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g" ContentType="image/jpeg"/>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omments1.xml" ContentType="application/vnd.openxmlformats-officedocument.spreadsheetml.comments+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queryTables/queryTable1.xml" ContentType="application/vnd.openxmlformats-officedocument.spreadsheetml.queryTable+xml"/>
  <Override PartName="/xl/comments8.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231"/>
  <workbookPr updateLinks="always" codeName="ThisWorkbook" defaultThemeVersion="124226"/>
  <mc:AlternateContent xmlns:mc="http://schemas.openxmlformats.org/markup-compatibility/2006">
    <mc:Choice Requires="x15">
      <x15ac:absPath xmlns:x15ac="http://schemas.microsoft.com/office/spreadsheetml/2010/11/ac" url="C:\Users\Jan\Desktop\Ceník a aktualizace\2023-2024\Ceníky\"/>
    </mc:Choice>
  </mc:AlternateContent>
  <xr:revisionPtr revIDLastSave="0" documentId="13_ncr:1_{E3CD95E0-CF82-4946-8982-A03F720AB6D7}" xr6:coauthVersionLast="47" xr6:coauthVersionMax="47" xr10:uidLastSave="{00000000-0000-0000-0000-000000000000}"/>
  <workbookProtection workbookAlgorithmName="SHA-512" workbookHashValue="ap3jjIDweHQF5GhLq+sv9uMUZvHXt6mdJbPL5MDePzVItqgP0mKE61aAfb3HbXWTQjR+k0ikFxFdlSVfYkPGXg==" workbookSaltValue="XYomRhu4Pt+NSU56D09EDA==" workbookSpinCount="100000" lockStructure="1"/>
  <bookViews>
    <workbookView xWindow="-120" yWindow="-120" windowWidth="38640" windowHeight="21240" tabRatio="819" firstSheet="1" activeTab="1" xr2:uid="{00000000-000D-0000-FFFF-FFFF00000000}"/>
  </bookViews>
  <sheets>
    <sheet name="HLAVIČKA" sheetId="42" state="hidden" r:id="rId1"/>
    <sheet name="Deutsche Markt" sheetId="45" r:id="rId2"/>
    <sheet name="Terms and Conditions" sheetId="47" r:id="rId3"/>
    <sheet name="Germany transport cost" sheetId="48" r:id="rId4"/>
    <sheet name="General price list" sheetId="19" state="hidden" r:id="rId5"/>
    <sheet name="info_all" sheetId="38" state="hidden" r:id="rId6"/>
    <sheet name="Kat." sheetId="36" state="hidden" r:id="rId7"/>
    <sheet name="Kategorie" sheetId="34" state="hidden" r:id="rId8"/>
    <sheet name="Jazyky_ceník" sheetId="32" state="hidden" r:id="rId9"/>
    <sheet name="Popisy" sheetId="33" state="hidden" r:id="rId10"/>
    <sheet name="Výpočet času" sheetId="35" state="hidden" r:id="rId11"/>
    <sheet name="Act_Kurs" sheetId="17" state="hidden" r:id="rId12"/>
  </sheets>
  <externalReferences>
    <externalReference r:id="rId13"/>
    <externalReference r:id="rId14"/>
    <externalReference r:id="rId15"/>
    <externalReference r:id="rId16"/>
  </externalReferences>
  <definedNames>
    <definedName name="_xlnm._FilterDatabase" localSheetId="11" hidden="1">Act_Kurs!$B$1:$B$1779</definedName>
    <definedName name="_xlnm._FilterDatabase" localSheetId="1" hidden="1">'Deutsche Markt'!$A$20:$AM$604</definedName>
    <definedName name="_xlnm._FilterDatabase" localSheetId="4" hidden="1">'General price list'!$A$20:$AM$604</definedName>
    <definedName name="_xlnm._FilterDatabase" localSheetId="5" hidden="1">info_all!$B$1:$C$139</definedName>
    <definedName name="_xlnm._FilterDatabase" localSheetId="8" hidden="1">Jazyky_ceník!$A$1:$A$16346</definedName>
    <definedName name="_xlnm._FilterDatabase" localSheetId="6" hidden="1">Kat.!$A$1:$A$548</definedName>
    <definedName name="_xlnm._FilterDatabase" localSheetId="7" hidden="1">Kategorie!$M$1:$M$219</definedName>
    <definedName name="_xlnm._FilterDatabase" localSheetId="9" hidden="1">Popisy!$A$5:$M$1335</definedName>
    <definedName name="_xlnm._FilterDatabase" localSheetId="2" hidden="1">'Terms and Conditions'!$B$1:$B$144</definedName>
    <definedName name="_xlnm._FilterDatabase" localSheetId="10" hidden="1">'Výpočet času'!$F$1:$F$1139</definedName>
    <definedName name="cbmPAL">'Výpočet času'!$AC$5</definedName>
    <definedName name="detail_kurzu?curr_eur" localSheetId="11">Act_Kurs!$A$3:$A$282</definedName>
    <definedName name="nextPAL" localSheetId="2">#REF!</definedName>
    <definedName name="nextPAL">'Výpočet času'!$Y$5</definedName>
    <definedName name="nextVK" localSheetId="2">#REF!</definedName>
    <definedName name="nextVK">'Výpočet času'!$T$5</definedName>
    <definedName name="odhPAL" localSheetId="2">#REF!</definedName>
    <definedName name="odhPAL">'Výpočet času'!$O$4</definedName>
    <definedName name="PALzKoje" localSheetId="2">#REF!</definedName>
    <definedName name="PALzKoje">'Výpočet času'!$U$5</definedName>
    <definedName name="prvniPAL" localSheetId="2">#REF!</definedName>
    <definedName name="prvniPAL">'Výpočet času'!$X$5</definedName>
    <definedName name="prvniVK" localSheetId="2">#REF!</definedName>
    <definedName name="prvniVK">'Výpočet času'!$S$5</definedName>
    <definedName name="tvorbaPAL" localSheetId="2">#REF!</definedName>
    <definedName name="tvorbaPAL">'Výpočet času'!$V$5</definedName>
    <definedName name="VK" localSheetId="2">#REF!</definedName>
    <definedName name="VK">'Výpočet času'!$Z$5</definedName>
    <definedName name="vystKONTROLA" localSheetId="2">#REF!</definedName>
    <definedName name="vystKONTROLA">'Výpočet času'!$W$5</definedName>
    <definedName name="zacatek">'Výpočet času'!$R$5</definedName>
  </definedNames>
  <calcPr calcId="181029"/>
</workbook>
</file>

<file path=xl/calcChain.xml><?xml version="1.0" encoding="utf-8"?>
<calcChain xmlns="http://schemas.openxmlformats.org/spreadsheetml/2006/main">
  <c r="AA23" i="19" l="1"/>
  <c r="AA24" i="19"/>
  <c r="AA25" i="19"/>
  <c r="AA26" i="19"/>
  <c r="AA27" i="19"/>
  <c r="AA28" i="19"/>
  <c r="AA29" i="19"/>
  <c r="AA30" i="19"/>
  <c r="AA31" i="19"/>
  <c r="AA32" i="19"/>
  <c r="AA33" i="19"/>
  <c r="AA34" i="19"/>
  <c r="AA35" i="19"/>
  <c r="AA36" i="19"/>
  <c r="AA37" i="19"/>
  <c r="AA38" i="19"/>
  <c r="AA39" i="19"/>
  <c r="AA40" i="19"/>
  <c r="AA41" i="19"/>
  <c r="AA42" i="19"/>
  <c r="AA43" i="19"/>
  <c r="AA44" i="19"/>
  <c r="AA45" i="19"/>
  <c r="AA46" i="19"/>
  <c r="AA47" i="19"/>
  <c r="AA48" i="19"/>
  <c r="AA49" i="19"/>
  <c r="AA50" i="19"/>
  <c r="AA51" i="19"/>
  <c r="AA52" i="19"/>
  <c r="AA53" i="19"/>
  <c r="AA54" i="19"/>
  <c r="AA55" i="19"/>
  <c r="AA56" i="19"/>
  <c r="AA57" i="19"/>
  <c r="AA58" i="19"/>
  <c r="AA59" i="19"/>
  <c r="AA60" i="19"/>
  <c r="AA61" i="19"/>
  <c r="AA62" i="19"/>
  <c r="AA63" i="19"/>
  <c r="AA64" i="19"/>
  <c r="AA65" i="19"/>
  <c r="AA66" i="19"/>
  <c r="AA67" i="19"/>
  <c r="AA68" i="19"/>
  <c r="AA69" i="19"/>
  <c r="AA70" i="19"/>
  <c r="AA71" i="19"/>
  <c r="AA72" i="19"/>
  <c r="AA73" i="19"/>
  <c r="AA74" i="19"/>
  <c r="AA75" i="19"/>
  <c r="AA76" i="19"/>
  <c r="AA77" i="19"/>
  <c r="AA78" i="19"/>
  <c r="AA79" i="19"/>
  <c r="AA80" i="19"/>
  <c r="AA81" i="19"/>
  <c r="AA82" i="19"/>
  <c r="AA83" i="19"/>
  <c r="AA84" i="19"/>
  <c r="AA85" i="19"/>
  <c r="AA86" i="19"/>
  <c r="AA87" i="19"/>
  <c r="AA88" i="19"/>
  <c r="AA89" i="19"/>
  <c r="AA90" i="19"/>
  <c r="AA91" i="19"/>
  <c r="AA92" i="19"/>
  <c r="AA93" i="19"/>
  <c r="AA94" i="19"/>
  <c r="AA95" i="19"/>
  <c r="AA96" i="19"/>
  <c r="AA97" i="19"/>
  <c r="AA98" i="19"/>
  <c r="AA99" i="19"/>
  <c r="AA100" i="19"/>
  <c r="AA101" i="19"/>
  <c r="AA102" i="19"/>
  <c r="AA103" i="19"/>
  <c r="AA104" i="19"/>
  <c r="AA105" i="19"/>
  <c r="AA106" i="19"/>
  <c r="AA107" i="19"/>
  <c r="AA108" i="19"/>
  <c r="AA109" i="19"/>
  <c r="AA110" i="19"/>
  <c r="AA111" i="19"/>
  <c r="AA112" i="19"/>
  <c r="AA113" i="19"/>
  <c r="AA114" i="19"/>
  <c r="AA115" i="19"/>
  <c r="AA116" i="19"/>
  <c r="AA117" i="19"/>
  <c r="AA118" i="19"/>
  <c r="AA119" i="19"/>
  <c r="AA120" i="19"/>
  <c r="AA121" i="19"/>
  <c r="AA122" i="19"/>
  <c r="AA123" i="19"/>
  <c r="AA124" i="19"/>
  <c r="AA125" i="19"/>
  <c r="AA126" i="19"/>
  <c r="AA127" i="19"/>
  <c r="AA128" i="19"/>
  <c r="AA129" i="19"/>
  <c r="AA130" i="19"/>
  <c r="AA131" i="19"/>
  <c r="AA132" i="19"/>
  <c r="AA133" i="19"/>
  <c r="AA134" i="19"/>
  <c r="AA135" i="19"/>
  <c r="AA136" i="19"/>
  <c r="AA137" i="19"/>
  <c r="AA138" i="19"/>
  <c r="AA139" i="19"/>
  <c r="AA140" i="19"/>
  <c r="AA141" i="19"/>
  <c r="AA142" i="19"/>
  <c r="AA143" i="19"/>
  <c r="AA144" i="19"/>
  <c r="AA145" i="19"/>
  <c r="AA146" i="19"/>
  <c r="AA147" i="19"/>
  <c r="AA148" i="19"/>
  <c r="AA149" i="19"/>
  <c r="AA150" i="19"/>
  <c r="AA151" i="19"/>
  <c r="AA152" i="19"/>
  <c r="AA153" i="19"/>
  <c r="AA154" i="19"/>
  <c r="AA155" i="19"/>
  <c r="AA156" i="19"/>
  <c r="AA157" i="19"/>
  <c r="AA158" i="19"/>
  <c r="AA159" i="19"/>
  <c r="AA160" i="19"/>
  <c r="AA161" i="19"/>
  <c r="AA162" i="19"/>
  <c r="AA163" i="19"/>
  <c r="AA164" i="19"/>
  <c r="AA165" i="19"/>
  <c r="AA166" i="19"/>
  <c r="AA167" i="19"/>
  <c r="AA168" i="19"/>
  <c r="AA169" i="19"/>
  <c r="AA170" i="19"/>
  <c r="AA171" i="19"/>
  <c r="AA172" i="19"/>
  <c r="AA173" i="19"/>
  <c r="AA174" i="19"/>
  <c r="AA175" i="19"/>
  <c r="AA176" i="19"/>
  <c r="AA177" i="19"/>
  <c r="AA178" i="19"/>
  <c r="AA179" i="19"/>
  <c r="AA180" i="19"/>
  <c r="AA181" i="19"/>
  <c r="AA182" i="19"/>
  <c r="AA183" i="19"/>
  <c r="AA184" i="19"/>
  <c r="AA185" i="19"/>
  <c r="AA186" i="19"/>
  <c r="AA187" i="19"/>
  <c r="AA188" i="19"/>
  <c r="AA189" i="19"/>
  <c r="AA190" i="19"/>
  <c r="AA191" i="19"/>
  <c r="AA192" i="19"/>
  <c r="AA193" i="19"/>
  <c r="AA194" i="19"/>
  <c r="AA195" i="19"/>
  <c r="AA196" i="19"/>
  <c r="AA197" i="19"/>
  <c r="AA198" i="19"/>
  <c r="AA199" i="19"/>
  <c r="AA200" i="19"/>
  <c r="AA201" i="19"/>
  <c r="AA202" i="19"/>
  <c r="AA203" i="19"/>
  <c r="AA204" i="19"/>
  <c r="AA205" i="19"/>
  <c r="AA206" i="19"/>
  <c r="AA207" i="19"/>
  <c r="AA208" i="19"/>
  <c r="AA209" i="19"/>
  <c r="AA210" i="19"/>
  <c r="AA211" i="19"/>
  <c r="AA212" i="19"/>
  <c r="AA213" i="19"/>
  <c r="AA214" i="19"/>
  <c r="AA215" i="19"/>
  <c r="AA216" i="19"/>
  <c r="AA217" i="19"/>
  <c r="AA218" i="19"/>
  <c r="AA219" i="19"/>
  <c r="AA220" i="19"/>
  <c r="AA221" i="19"/>
  <c r="AA222" i="19"/>
  <c r="AA223" i="19"/>
  <c r="AA224" i="19"/>
  <c r="AA225" i="19"/>
  <c r="AA226" i="19"/>
  <c r="AA227" i="19"/>
  <c r="AA228" i="19"/>
  <c r="AA229" i="19"/>
  <c r="AA230" i="19"/>
  <c r="AA231" i="19"/>
  <c r="AA232" i="19"/>
  <c r="AA233" i="19"/>
  <c r="AA234" i="19"/>
  <c r="AA235" i="19"/>
  <c r="AA236" i="19"/>
  <c r="AA237" i="19"/>
  <c r="AA238" i="19"/>
  <c r="AA239" i="19"/>
  <c r="AA240" i="19"/>
  <c r="AA241" i="19"/>
  <c r="AA242" i="19"/>
  <c r="AA243" i="19"/>
  <c r="AA244" i="19"/>
  <c r="AA245" i="19"/>
  <c r="AA246" i="19"/>
  <c r="AA247" i="19"/>
  <c r="AA248" i="19"/>
  <c r="AA249" i="19"/>
  <c r="AA250" i="19"/>
  <c r="AA251" i="19"/>
  <c r="AA252" i="19"/>
  <c r="AA253" i="19"/>
  <c r="AA254" i="19"/>
  <c r="AA255" i="19"/>
  <c r="AA256" i="19"/>
  <c r="AA257" i="19"/>
  <c r="AA258" i="19"/>
  <c r="AA259" i="19"/>
  <c r="AA260" i="19"/>
  <c r="AA261" i="19"/>
  <c r="AA262" i="19"/>
  <c r="AA263" i="19"/>
  <c r="AA264" i="19"/>
  <c r="AA265" i="19"/>
  <c r="AA266" i="19"/>
  <c r="AA267" i="19"/>
  <c r="AA268" i="19"/>
  <c r="AA269" i="19"/>
  <c r="AA270" i="19"/>
  <c r="AA271" i="19"/>
  <c r="AA272" i="19"/>
  <c r="AA273" i="19"/>
  <c r="AA274" i="19"/>
  <c r="AA275" i="19"/>
  <c r="AA276" i="19"/>
  <c r="AA277" i="19"/>
  <c r="AA278" i="19"/>
  <c r="AA279" i="19"/>
  <c r="AA280" i="19"/>
  <c r="AA281" i="19"/>
  <c r="AA282" i="19"/>
  <c r="AA283" i="19"/>
  <c r="AA284" i="19"/>
  <c r="AA285" i="19"/>
  <c r="AA286" i="19"/>
  <c r="AA287" i="19"/>
  <c r="AA288" i="19"/>
  <c r="AA289" i="19"/>
  <c r="AA290" i="19"/>
  <c r="AA291" i="19"/>
  <c r="AA292" i="19"/>
  <c r="AA293" i="19"/>
  <c r="AA294" i="19"/>
  <c r="AA295" i="19"/>
  <c r="AA296" i="19"/>
  <c r="AA297" i="19"/>
  <c r="AA298" i="19"/>
  <c r="AA299" i="19"/>
  <c r="AA300" i="19"/>
  <c r="AA301" i="19"/>
  <c r="AA302" i="19"/>
  <c r="AA303" i="19"/>
  <c r="AA304" i="19"/>
  <c r="AA305" i="19"/>
  <c r="AA306" i="19"/>
  <c r="AA307" i="19"/>
  <c r="AA308" i="19"/>
  <c r="AA309" i="19"/>
  <c r="AA310" i="19"/>
  <c r="AA311" i="19"/>
  <c r="AA312" i="19"/>
  <c r="AA313" i="19"/>
  <c r="AA314" i="19"/>
  <c r="AA315" i="19"/>
  <c r="AA316" i="19"/>
  <c r="AA317" i="19"/>
  <c r="AA318" i="19"/>
  <c r="AA319" i="19"/>
  <c r="AA320" i="19"/>
  <c r="AA321" i="19"/>
  <c r="AA322" i="19"/>
  <c r="AA323" i="19"/>
  <c r="AA324" i="19"/>
  <c r="AA325" i="19"/>
  <c r="AA326" i="19"/>
  <c r="AA327" i="19"/>
  <c r="AA328" i="19"/>
  <c r="AA329" i="19"/>
  <c r="AA330" i="19"/>
  <c r="AA331" i="19"/>
  <c r="AA332" i="19"/>
  <c r="AA333" i="19"/>
  <c r="AA334" i="19"/>
  <c r="AA335" i="19"/>
  <c r="AA336" i="19"/>
  <c r="AA337" i="19"/>
  <c r="AA338" i="19"/>
  <c r="AA339" i="19"/>
  <c r="AA340" i="19"/>
  <c r="AA341" i="19"/>
  <c r="AA342" i="19"/>
  <c r="AA343" i="19"/>
  <c r="AA344" i="19"/>
  <c r="AA345" i="19"/>
  <c r="AA346" i="19"/>
  <c r="AA347" i="19"/>
  <c r="AA348" i="19"/>
  <c r="AA349" i="19"/>
  <c r="AA350" i="19"/>
  <c r="AA351" i="19"/>
  <c r="AA352" i="19"/>
  <c r="AA353" i="19"/>
  <c r="AA354" i="19"/>
  <c r="AA355" i="19"/>
  <c r="AA356" i="19"/>
  <c r="AA357" i="19"/>
  <c r="AA358" i="19"/>
  <c r="AA359" i="19"/>
  <c r="AA360" i="19"/>
  <c r="AA361" i="19"/>
  <c r="AA362" i="19"/>
  <c r="AA363" i="19"/>
  <c r="AA364" i="19"/>
  <c r="AA365" i="19"/>
  <c r="AA366" i="19"/>
  <c r="AA367" i="19"/>
  <c r="AA368" i="19"/>
  <c r="AA369" i="19"/>
  <c r="AA370" i="19"/>
  <c r="AA371" i="19"/>
  <c r="AA372" i="19"/>
  <c r="AA373" i="19"/>
  <c r="AA374" i="19"/>
  <c r="AA375" i="19"/>
  <c r="AA376" i="19"/>
  <c r="AA377" i="19"/>
  <c r="AA378" i="19"/>
  <c r="AA379" i="19"/>
  <c r="AA380" i="19"/>
  <c r="AA381" i="19"/>
  <c r="AA382" i="19"/>
  <c r="AA383" i="19"/>
  <c r="AA384" i="19"/>
  <c r="AA385" i="19"/>
  <c r="AA386" i="19"/>
  <c r="AA387" i="19"/>
  <c r="AA388" i="19"/>
  <c r="AA389" i="19"/>
  <c r="AA390" i="19"/>
  <c r="AA391" i="19"/>
  <c r="AA392" i="19"/>
  <c r="AA393" i="19"/>
  <c r="AA394" i="19"/>
  <c r="AA395" i="19"/>
  <c r="AA396" i="19"/>
  <c r="AA397" i="19"/>
  <c r="AA398" i="19"/>
  <c r="AA399" i="19"/>
  <c r="AA400" i="19"/>
  <c r="AA401" i="19"/>
  <c r="AA402" i="19"/>
  <c r="AA403" i="19"/>
  <c r="AA404" i="19"/>
  <c r="AA405" i="19"/>
  <c r="AA406" i="19"/>
  <c r="AA407" i="19"/>
  <c r="AA408" i="19"/>
  <c r="AA409" i="19"/>
  <c r="AA410" i="19"/>
  <c r="AA411" i="19"/>
  <c r="AA412" i="19"/>
  <c r="AA413" i="19"/>
  <c r="AA414" i="19"/>
  <c r="AA415" i="19"/>
  <c r="AA416" i="19"/>
  <c r="AA417" i="19"/>
  <c r="AA418" i="19"/>
  <c r="AA419" i="19"/>
  <c r="AA420" i="19"/>
  <c r="AA421" i="19"/>
  <c r="AA422" i="19"/>
  <c r="AA423" i="19"/>
  <c r="AA424" i="19"/>
  <c r="AA425" i="19"/>
  <c r="AA426" i="19"/>
  <c r="AA427" i="19"/>
  <c r="AA428" i="19"/>
  <c r="AA429" i="19"/>
  <c r="AA430" i="19"/>
  <c r="AA431" i="19"/>
  <c r="AA432" i="19"/>
  <c r="AA433" i="19"/>
  <c r="AA434" i="19"/>
  <c r="AA435" i="19"/>
  <c r="AA436" i="19"/>
  <c r="AA437" i="19"/>
  <c r="AA438" i="19"/>
  <c r="AA439" i="19"/>
  <c r="AA440" i="19"/>
  <c r="AA441" i="19"/>
  <c r="AA442" i="19"/>
  <c r="AA443" i="19"/>
  <c r="AA444" i="19"/>
  <c r="AA445" i="19"/>
  <c r="AA446" i="19"/>
  <c r="AA447" i="19"/>
  <c r="AA448" i="19"/>
  <c r="AA449" i="19"/>
  <c r="AA450" i="19"/>
  <c r="AA451" i="19"/>
  <c r="AA452" i="19"/>
  <c r="AA453" i="19"/>
  <c r="AA454" i="19"/>
  <c r="AA455" i="19"/>
  <c r="AA456" i="19"/>
  <c r="AA457" i="19"/>
  <c r="AA458" i="19"/>
  <c r="AA459" i="19"/>
  <c r="AA460" i="19"/>
  <c r="AA461" i="19"/>
  <c r="AA462" i="19"/>
  <c r="AA463" i="19"/>
  <c r="AA464" i="19"/>
  <c r="AA465" i="19"/>
  <c r="AA466" i="19"/>
  <c r="AA467" i="19"/>
  <c r="AA468" i="19"/>
  <c r="AA469" i="19"/>
  <c r="AA470" i="19"/>
  <c r="AA471" i="19"/>
  <c r="AA472" i="19"/>
  <c r="AA473" i="19"/>
  <c r="AA474" i="19"/>
  <c r="AA475" i="19"/>
  <c r="AA476" i="19"/>
  <c r="AA477" i="19"/>
  <c r="AA478" i="19"/>
  <c r="AA479" i="19"/>
  <c r="AA480" i="19"/>
  <c r="AA481" i="19"/>
  <c r="AA482" i="19"/>
  <c r="AA483" i="19"/>
  <c r="AA484" i="19"/>
  <c r="AA485" i="19"/>
  <c r="AA486" i="19"/>
  <c r="AA487" i="19"/>
  <c r="AA488" i="19"/>
  <c r="AA489" i="19"/>
  <c r="AA490" i="19"/>
  <c r="AA491" i="19"/>
  <c r="AA492" i="19"/>
  <c r="AA493" i="19"/>
  <c r="AA494" i="19"/>
  <c r="AA495" i="19"/>
  <c r="AA496" i="19"/>
  <c r="AA497" i="19"/>
  <c r="AA498" i="19"/>
  <c r="AA499" i="19"/>
  <c r="AA500" i="19"/>
  <c r="AA501" i="19"/>
  <c r="AA502" i="19"/>
  <c r="AA503" i="19"/>
  <c r="AA504" i="19"/>
  <c r="AA505" i="19"/>
  <c r="AA506" i="19"/>
  <c r="AA507" i="19"/>
  <c r="AA508" i="19"/>
  <c r="AA509" i="19"/>
  <c r="AA510" i="19"/>
  <c r="AA511" i="19"/>
  <c r="AA512" i="19"/>
  <c r="AA513" i="19"/>
  <c r="AA514" i="19"/>
  <c r="AA515" i="19"/>
  <c r="AA516" i="19"/>
  <c r="AA517" i="19"/>
  <c r="AA518" i="19"/>
  <c r="AA519" i="19"/>
  <c r="AA520" i="19"/>
  <c r="AA521" i="19"/>
  <c r="AA522" i="19"/>
  <c r="AA523" i="19"/>
  <c r="AA524" i="19"/>
  <c r="AA525" i="19"/>
  <c r="AA526" i="19"/>
  <c r="AA527" i="19"/>
  <c r="AA528" i="19"/>
  <c r="AA529" i="19"/>
  <c r="AA530" i="19"/>
  <c r="AA531" i="19"/>
  <c r="AA532" i="19"/>
  <c r="AA533" i="19"/>
  <c r="AA534" i="19"/>
  <c r="AA535" i="19"/>
  <c r="AA536" i="19"/>
  <c r="AA537" i="19"/>
  <c r="AA538" i="19"/>
  <c r="AA539" i="19"/>
  <c r="AA540" i="19"/>
  <c r="AA541" i="19"/>
  <c r="AA542" i="19"/>
  <c r="AA543" i="19"/>
  <c r="AA544" i="19"/>
  <c r="AA545" i="19"/>
  <c r="AA546" i="19"/>
  <c r="AA547" i="19"/>
  <c r="AA548" i="19"/>
  <c r="AA549" i="19"/>
  <c r="AA550" i="19"/>
  <c r="AA551" i="19"/>
  <c r="AA552" i="19"/>
  <c r="AA553" i="19"/>
  <c r="AA554" i="19"/>
  <c r="AA555" i="19"/>
  <c r="AA556" i="19"/>
  <c r="AA557" i="19"/>
  <c r="AA558" i="19"/>
  <c r="AA559" i="19"/>
  <c r="AA560" i="19"/>
  <c r="AA561" i="19"/>
  <c r="AA562" i="19"/>
  <c r="AA563" i="19"/>
  <c r="AA564" i="19"/>
  <c r="AA565" i="19"/>
  <c r="AA566" i="19"/>
  <c r="AA567" i="19"/>
  <c r="AA568" i="19"/>
  <c r="AA569" i="19"/>
  <c r="AA570" i="19"/>
  <c r="AA571" i="19"/>
  <c r="AA572" i="19"/>
  <c r="AA573" i="19"/>
  <c r="AA574" i="19"/>
  <c r="AA575" i="19"/>
  <c r="AA576" i="19"/>
  <c r="AA577" i="19"/>
  <c r="AA578" i="19"/>
  <c r="AA579" i="19"/>
  <c r="AA580" i="19"/>
  <c r="AA581" i="19"/>
  <c r="AA582" i="19"/>
  <c r="AA583" i="19"/>
  <c r="AA584" i="19"/>
  <c r="AA585" i="19"/>
  <c r="AA586" i="19"/>
  <c r="AA587" i="19"/>
  <c r="AA588" i="19"/>
  <c r="AA589" i="19"/>
  <c r="AA590" i="19"/>
  <c r="AA591" i="19"/>
  <c r="AA592" i="19"/>
  <c r="AA593" i="19"/>
  <c r="AA594" i="19"/>
  <c r="AA595" i="19"/>
  <c r="AA596" i="19"/>
  <c r="AA597" i="19"/>
  <c r="AA598" i="19"/>
  <c r="AA599" i="19"/>
  <c r="AA600" i="19"/>
  <c r="AA601" i="19"/>
  <c r="AA602" i="19"/>
  <c r="AA603" i="19"/>
  <c r="AA604" i="19"/>
  <c r="AA22" i="19"/>
  <c r="F19" i="45"/>
  <c r="AB604" i="45" l="1"/>
  <c r="AB603" i="45"/>
  <c r="AB602" i="45"/>
  <c r="AB601" i="45"/>
  <c r="AB600" i="45"/>
  <c r="AB599" i="45"/>
  <c r="AB598" i="45"/>
  <c r="AB597" i="45"/>
  <c r="AB596" i="45"/>
  <c r="AB595" i="45"/>
  <c r="AB594" i="45"/>
  <c r="AB593" i="45"/>
  <c r="AB592" i="45"/>
  <c r="AB591" i="45"/>
  <c r="AB590" i="45"/>
  <c r="AB589" i="45"/>
  <c r="AB588" i="45"/>
  <c r="AB587" i="45"/>
  <c r="AB586" i="45"/>
  <c r="AB585" i="45"/>
  <c r="AB584" i="45"/>
  <c r="AB583" i="45"/>
  <c r="AB582" i="45"/>
  <c r="AB581" i="45"/>
  <c r="AB580" i="45"/>
  <c r="AB579" i="45"/>
  <c r="AB578" i="45"/>
  <c r="AB577" i="45"/>
  <c r="AB576" i="45"/>
  <c r="AB575" i="45"/>
  <c r="AB574" i="45"/>
  <c r="AB573" i="45"/>
  <c r="AB572" i="45"/>
  <c r="AB571" i="45"/>
  <c r="AB570" i="45"/>
  <c r="AB569" i="45"/>
  <c r="AB568" i="45"/>
  <c r="AB567" i="45"/>
  <c r="AB566" i="45"/>
  <c r="AB565" i="45"/>
  <c r="AB564" i="45"/>
  <c r="AB563" i="45"/>
  <c r="AB562" i="45"/>
  <c r="AB561" i="45"/>
  <c r="AB560" i="45"/>
  <c r="AB559" i="45"/>
  <c r="AB558" i="45"/>
  <c r="AB557" i="45"/>
  <c r="AB556" i="45"/>
  <c r="AB555" i="45"/>
  <c r="AB554" i="45"/>
  <c r="AB553" i="45"/>
  <c r="AB552" i="45"/>
  <c r="AB551" i="45"/>
  <c r="AB550" i="45"/>
  <c r="AB549" i="45"/>
  <c r="AB548" i="45"/>
  <c r="AB547" i="45"/>
  <c r="AB546" i="45"/>
  <c r="AB545" i="45"/>
  <c r="AB544" i="45"/>
  <c r="AB543" i="45"/>
  <c r="AB542" i="45"/>
  <c r="AB541" i="45"/>
  <c r="AB540" i="45"/>
  <c r="AB539" i="45"/>
  <c r="AB538" i="45"/>
  <c r="AB537" i="45"/>
  <c r="AB536" i="45"/>
  <c r="AB535" i="45"/>
  <c r="AB534" i="45"/>
  <c r="AB533" i="45"/>
  <c r="AB532" i="45"/>
  <c r="AB531" i="45"/>
  <c r="AB530" i="45"/>
  <c r="AB529" i="45"/>
  <c r="AB528" i="45"/>
  <c r="AB527" i="45"/>
  <c r="AB526" i="45"/>
  <c r="AB525" i="45"/>
  <c r="AB524" i="45"/>
  <c r="AB523" i="45"/>
  <c r="AB522" i="45"/>
  <c r="AB521" i="45"/>
  <c r="AB520" i="45"/>
  <c r="AB519" i="45"/>
  <c r="AB518" i="45"/>
  <c r="AB517" i="45"/>
  <c r="AB516" i="45"/>
  <c r="AB515" i="45"/>
  <c r="AB514" i="45"/>
  <c r="AB513" i="45"/>
  <c r="AB512" i="45"/>
  <c r="AB511" i="45"/>
  <c r="AB510" i="45"/>
  <c r="AB509" i="45"/>
  <c r="AB508" i="45"/>
  <c r="AB507" i="45"/>
  <c r="AB506" i="45"/>
  <c r="AB505" i="45"/>
  <c r="AB504" i="45"/>
  <c r="AB503" i="45"/>
  <c r="AB502" i="45"/>
  <c r="AB501" i="45"/>
  <c r="AB500" i="45"/>
  <c r="AB499" i="45"/>
  <c r="AB498" i="45"/>
  <c r="AB497" i="45"/>
  <c r="AB496" i="45"/>
  <c r="AB495" i="45"/>
  <c r="AB494" i="45"/>
  <c r="AB493" i="45"/>
  <c r="AB492" i="45"/>
  <c r="AB491" i="45"/>
  <c r="AB490" i="45"/>
  <c r="AB489" i="45"/>
  <c r="AB488" i="45"/>
  <c r="AB487" i="45"/>
  <c r="AB486" i="45"/>
  <c r="AB485" i="45"/>
  <c r="AB484" i="45"/>
  <c r="AB483" i="45"/>
  <c r="AB482" i="45"/>
  <c r="AB481" i="45"/>
  <c r="AB480" i="45"/>
  <c r="AB479" i="45"/>
  <c r="AB478" i="45"/>
  <c r="AB477" i="45"/>
  <c r="AB476" i="45"/>
  <c r="AB475" i="45"/>
  <c r="AB474" i="45"/>
  <c r="AB473" i="45"/>
  <c r="AB472" i="45"/>
  <c r="AB471" i="45"/>
  <c r="AB470" i="45"/>
  <c r="AB469" i="45"/>
  <c r="AB468" i="45"/>
  <c r="AB467" i="45"/>
  <c r="AB466" i="45"/>
  <c r="AB465" i="45"/>
  <c r="AB464" i="45"/>
  <c r="AB463" i="45"/>
  <c r="AB462" i="45"/>
  <c r="AB461" i="45"/>
  <c r="AB460" i="45"/>
  <c r="AB459" i="45"/>
  <c r="AB458" i="45"/>
  <c r="AB457" i="45"/>
  <c r="AB456" i="45"/>
  <c r="AB455" i="45"/>
  <c r="AB454" i="45"/>
  <c r="AB453" i="45"/>
  <c r="AB452" i="45"/>
  <c r="AB451" i="45"/>
  <c r="AB450" i="45"/>
  <c r="AB449" i="45"/>
  <c r="AB448" i="45"/>
  <c r="AB447" i="45"/>
  <c r="AB446" i="45"/>
  <c r="AB445" i="45"/>
  <c r="AB444" i="45"/>
  <c r="AB443" i="45"/>
  <c r="AB442" i="45"/>
  <c r="AB441" i="45"/>
  <c r="AB440" i="45"/>
  <c r="AB439" i="45"/>
  <c r="AB438" i="45"/>
  <c r="AB437" i="45"/>
  <c r="AB436" i="45"/>
  <c r="AB435" i="45"/>
  <c r="AB434" i="45"/>
  <c r="AB433" i="45"/>
  <c r="AB432" i="45"/>
  <c r="AB431" i="45"/>
  <c r="AB430" i="45"/>
  <c r="AB429" i="45"/>
  <c r="AB428" i="45"/>
  <c r="AB427" i="45"/>
  <c r="AB426" i="45"/>
  <c r="AB425" i="45"/>
  <c r="AB424" i="45"/>
  <c r="AB423" i="45"/>
  <c r="AB422" i="45"/>
  <c r="AB421" i="45"/>
  <c r="AB420" i="45"/>
  <c r="AB419" i="45"/>
  <c r="AB418" i="45"/>
  <c r="AB417" i="45"/>
  <c r="AB416" i="45"/>
  <c r="AB415" i="45"/>
  <c r="AB414" i="45"/>
  <c r="AB413" i="45"/>
  <c r="AB412" i="45"/>
  <c r="AB411" i="45"/>
  <c r="AB410" i="45"/>
  <c r="AB409" i="45"/>
  <c r="AB408" i="45"/>
  <c r="AB407" i="45"/>
  <c r="AB406" i="45"/>
  <c r="AB405" i="45"/>
  <c r="AB404" i="45"/>
  <c r="AB403" i="45"/>
  <c r="AB402" i="45"/>
  <c r="AB401" i="45"/>
  <c r="AB400" i="45"/>
  <c r="AB399" i="45"/>
  <c r="AB398" i="45"/>
  <c r="AB397" i="45"/>
  <c r="AB396" i="45"/>
  <c r="AB395" i="45"/>
  <c r="AB394" i="45"/>
  <c r="AB393" i="45"/>
  <c r="AB392" i="45"/>
  <c r="AB391" i="45"/>
  <c r="AB390" i="45"/>
  <c r="AB389" i="45"/>
  <c r="AB388" i="45"/>
  <c r="AB387" i="45"/>
  <c r="AB386" i="45"/>
  <c r="AB385" i="45"/>
  <c r="AB384" i="45"/>
  <c r="AB383" i="45"/>
  <c r="AB382" i="45"/>
  <c r="AB381" i="45"/>
  <c r="AB380" i="45"/>
  <c r="AB379" i="45"/>
  <c r="AB378" i="45"/>
  <c r="AB377" i="45"/>
  <c r="AB376" i="45"/>
  <c r="AB375" i="45"/>
  <c r="AB374" i="45"/>
  <c r="AB373" i="45"/>
  <c r="AB372" i="45"/>
  <c r="AB371" i="45"/>
  <c r="AB370" i="45"/>
  <c r="AB369" i="45"/>
  <c r="AB368" i="45"/>
  <c r="AB367" i="45"/>
  <c r="AB366" i="45"/>
  <c r="AB365" i="45"/>
  <c r="AB364" i="45"/>
  <c r="AB363" i="45"/>
  <c r="AB362" i="45"/>
  <c r="AB361" i="45"/>
  <c r="AB360" i="45"/>
  <c r="AB359" i="45"/>
  <c r="AB358" i="45"/>
  <c r="AB357" i="45"/>
  <c r="AB356" i="45"/>
  <c r="AB355" i="45"/>
  <c r="AB354" i="45"/>
  <c r="AB353" i="45"/>
  <c r="AB352" i="45"/>
  <c r="AB351" i="45"/>
  <c r="AB350" i="45"/>
  <c r="AB349" i="45"/>
  <c r="AB348" i="45"/>
  <c r="AB347" i="45"/>
  <c r="AB346" i="45"/>
  <c r="AB345" i="45"/>
  <c r="AB344" i="45"/>
  <c r="AB343" i="45"/>
  <c r="AB342" i="45"/>
  <c r="AB341" i="45"/>
  <c r="AB340" i="45"/>
  <c r="AB339" i="45"/>
  <c r="AB338" i="45"/>
  <c r="AB337" i="45"/>
  <c r="AB336" i="45"/>
  <c r="AB335" i="45"/>
  <c r="AB334" i="45"/>
  <c r="AB333" i="45"/>
  <c r="AB332" i="45"/>
  <c r="AB331" i="45"/>
  <c r="AB330" i="45"/>
  <c r="AB329" i="45"/>
  <c r="AB328" i="45"/>
  <c r="AB327" i="45"/>
  <c r="AB326" i="45"/>
  <c r="AB325" i="45"/>
  <c r="AB324" i="45"/>
  <c r="AB323" i="45"/>
  <c r="AB322" i="45"/>
  <c r="AB321" i="45"/>
  <c r="AB320" i="45"/>
  <c r="AB319" i="45"/>
  <c r="AB318" i="45"/>
  <c r="AB317" i="45"/>
  <c r="AB316" i="45"/>
  <c r="AB315" i="45"/>
  <c r="AB314" i="45"/>
  <c r="AB313" i="45"/>
  <c r="AB312" i="45"/>
  <c r="AB311" i="45"/>
  <c r="AB310" i="45"/>
  <c r="AB309" i="45"/>
  <c r="AB308" i="45"/>
  <c r="AB307" i="45"/>
  <c r="AB306" i="45"/>
  <c r="AB305" i="45"/>
  <c r="AB304" i="45"/>
  <c r="AB303" i="45"/>
  <c r="AB302" i="45"/>
  <c r="AB301" i="45"/>
  <c r="AB300" i="45"/>
  <c r="AB299" i="45"/>
  <c r="AB298" i="45"/>
  <c r="AB297" i="45"/>
  <c r="AB296" i="45"/>
  <c r="AB295" i="45"/>
  <c r="AB294" i="45"/>
  <c r="AB293" i="45"/>
  <c r="AB292" i="45"/>
  <c r="AB291" i="45"/>
  <c r="AB290" i="45"/>
  <c r="AB289" i="45"/>
  <c r="AB288" i="45"/>
  <c r="AB287" i="45"/>
  <c r="AB286" i="45"/>
  <c r="AB285" i="45"/>
  <c r="AB284" i="45"/>
  <c r="AB283" i="45"/>
  <c r="AB282" i="45"/>
  <c r="AB281" i="45"/>
  <c r="AB280" i="45"/>
  <c r="AB279" i="45"/>
  <c r="AB278" i="45"/>
  <c r="AB277" i="45"/>
  <c r="AB276" i="45"/>
  <c r="AB275" i="45"/>
  <c r="AB274" i="45"/>
  <c r="AB273" i="45"/>
  <c r="AB272" i="45"/>
  <c r="AB271" i="45"/>
  <c r="AB270" i="45"/>
  <c r="AB269" i="45"/>
  <c r="AB268" i="45"/>
  <c r="AB267" i="45"/>
  <c r="AB266" i="45"/>
  <c r="AB265" i="45"/>
  <c r="AB264" i="45"/>
  <c r="AB263" i="45"/>
  <c r="AB262" i="45"/>
  <c r="AB261" i="45"/>
  <c r="AB260" i="45"/>
  <c r="AB259" i="45"/>
  <c r="AB258" i="45"/>
  <c r="AB257" i="45"/>
  <c r="AB256" i="45"/>
  <c r="AB255" i="45"/>
  <c r="AB254" i="45"/>
  <c r="AB253" i="45"/>
  <c r="AB252" i="45"/>
  <c r="AB251" i="45"/>
  <c r="AB250" i="45"/>
  <c r="AB249" i="45"/>
  <c r="AB248" i="45"/>
  <c r="AB247" i="45"/>
  <c r="AB246" i="45"/>
  <c r="AB245" i="45"/>
  <c r="AB244" i="45"/>
  <c r="AB243" i="45"/>
  <c r="AB242" i="45"/>
  <c r="AB241" i="45"/>
  <c r="AB240" i="45"/>
  <c r="AB239" i="45"/>
  <c r="AB238" i="45"/>
  <c r="AB237" i="45"/>
  <c r="AB236" i="45"/>
  <c r="AB235" i="45"/>
  <c r="AB234" i="45"/>
  <c r="AB233" i="45"/>
  <c r="AB232" i="45"/>
  <c r="AB231" i="45"/>
  <c r="AB230" i="45"/>
  <c r="AB229" i="45"/>
  <c r="AB228" i="45"/>
  <c r="AB227" i="45"/>
  <c r="AB226" i="45"/>
  <c r="AB225" i="45"/>
  <c r="AB224" i="45"/>
  <c r="AB223" i="45"/>
  <c r="AB222" i="45"/>
  <c r="AB221" i="45"/>
  <c r="AB220" i="45"/>
  <c r="AB219" i="45"/>
  <c r="AB218" i="45"/>
  <c r="AB217" i="45"/>
  <c r="AB216" i="45"/>
  <c r="AB215" i="45"/>
  <c r="AB214" i="45"/>
  <c r="AB213" i="45"/>
  <c r="AB212" i="45"/>
  <c r="AB211" i="45"/>
  <c r="AB210" i="45"/>
  <c r="AB209" i="45"/>
  <c r="AB208" i="45"/>
  <c r="AB207" i="45"/>
  <c r="AB206" i="45"/>
  <c r="AB205" i="45"/>
  <c r="AB204" i="45"/>
  <c r="AB203" i="45"/>
  <c r="AB202" i="45"/>
  <c r="AB201" i="45"/>
  <c r="AB200" i="45"/>
  <c r="AB199" i="45"/>
  <c r="AB198" i="45"/>
  <c r="AB197" i="45"/>
  <c r="AB196" i="45"/>
  <c r="AB195" i="45"/>
  <c r="AB194" i="45"/>
  <c r="AB193" i="45"/>
  <c r="AB192" i="45"/>
  <c r="AB191" i="45"/>
  <c r="AB190" i="45"/>
  <c r="AB189" i="45"/>
  <c r="AB188" i="45"/>
  <c r="AB187" i="45"/>
  <c r="AB186" i="45"/>
  <c r="AB185" i="45"/>
  <c r="AB184" i="45"/>
  <c r="AB183" i="45"/>
  <c r="AB182" i="45"/>
  <c r="AB181" i="45"/>
  <c r="AB180" i="45"/>
  <c r="AC180" i="45" s="1"/>
  <c r="AB179" i="45"/>
  <c r="AB178" i="45"/>
  <c r="AB177" i="45"/>
  <c r="AB176" i="45"/>
  <c r="AB175" i="45"/>
  <c r="AB174" i="45"/>
  <c r="AB173" i="45"/>
  <c r="AB172" i="45"/>
  <c r="AB171" i="45"/>
  <c r="AB170" i="45"/>
  <c r="AB169" i="45"/>
  <c r="AB168" i="45"/>
  <c r="AB167" i="45"/>
  <c r="AB166" i="45"/>
  <c r="AB165" i="45"/>
  <c r="AB164" i="45"/>
  <c r="AB163" i="45"/>
  <c r="AB162" i="45"/>
  <c r="AB161" i="45"/>
  <c r="AB160" i="45"/>
  <c r="AB159" i="45"/>
  <c r="AB158" i="45"/>
  <c r="AB157" i="45"/>
  <c r="AB156" i="45"/>
  <c r="AB155" i="45"/>
  <c r="AB154" i="45"/>
  <c r="AB153" i="45"/>
  <c r="AB152" i="45"/>
  <c r="AB151" i="45"/>
  <c r="AB150" i="45"/>
  <c r="AB149" i="45"/>
  <c r="AB148" i="45"/>
  <c r="AB147" i="45"/>
  <c r="AB146" i="45"/>
  <c r="AB145" i="45"/>
  <c r="AB144" i="45"/>
  <c r="AB143" i="45"/>
  <c r="AB142" i="45"/>
  <c r="AB141" i="45"/>
  <c r="AB140" i="45"/>
  <c r="AB139" i="45"/>
  <c r="AB138" i="45"/>
  <c r="AB137" i="45"/>
  <c r="AB136" i="45"/>
  <c r="AB135" i="45"/>
  <c r="AB134" i="45"/>
  <c r="AB133" i="45"/>
  <c r="AB132" i="45"/>
  <c r="AB131" i="45"/>
  <c r="AB130" i="45"/>
  <c r="AB129" i="45"/>
  <c r="AB128" i="45"/>
  <c r="AB127" i="45"/>
  <c r="AB126" i="45"/>
  <c r="AB125" i="45"/>
  <c r="AB124" i="45"/>
  <c r="AB123" i="45"/>
  <c r="AB122" i="45"/>
  <c r="AB121" i="45"/>
  <c r="AB120" i="45"/>
  <c r="AB119" i="45"/>
  <c r="AB118" i="45"/>
  <c r="AB117" i="45"/>
  <c r="AB116" i="45"/>
  <c r="AB115" i="45"/>
  <c r="AB114" i="45"/>
  <c r="AB113" i="45"/>
  <c r="AB112" i="45"/>
  <c r="AB111" i="45"/>
  <c r="AB110" i="45"/>
  <c r="AB109" i="45"/>
  <c r="AB108" i="45"/>
  <c r="AB107" i="45"/>
  <c r="AB106" i="45"/>
  <c r="AB105" i="45"/>
  <c r="AB104" i="45"/>
  <c r="AB103" i="45"/>
  <c r="AB102" i="45"/>
  <c r="AB101" i="45"/>
  <c r="AB100" i="45"/>
  <c r="AB99" i="45"/>
  <c r="AB98" i="45"/>
  <c r="AB97" i="45"/>
  <c r="AB96" i="45"/>
  <c r="AB95" i="45"/>
  <c r="AB94" i="45"/>
  <c r="AB93" i="45"/>
  <c r="AB92" i="45"/>
  <c r="AB91" i="45"/>
  <c r="AB90" i="45"/>
  <c r="AB89" i="45"/>
  <c r="AB88" i="45"/>
  <c r="AB87" i="45"/>
  <c r="AB86" i="45"/>
  <c r="AB85" i="45"/>
  <c r="AB84" i="45"/>
  <c r="AB83" i="45"/>
  <c r="AB82" i="45"/>
  <c r="AB81" i="45"/>
  <c r="AB80" i="45"/>
  <c r="AB79" i="45"/>
  <c r="AB78" i="45"/>
  <c r="AB77" i="45"/>
  <c r="AB76" i="45"/>
  <c r="AB75" i="45"/>
  <c r="AB74" i="45"/>
  <c r="AB73" i="45"/>
  <c r="AB72" i="45"/>
  <c r="AB71" i="45"/>
  <c r="AB70" i="45"/>
  <c r="AB69" i="45"/>
  <c r="AB68" i="45"/>
  <c r="AB67" i="45"/>
  <c r="AB66" i="45"/>
  <c r="AB65" i="45"/>
  <c r="AB64" i="45"/>
  <c r="AB63" i="45"/>
  <c r="AB62" i="45"/>
  <c r="AB61" i="45"/>
  <c r="AB60" i="45"/>
  <c r="AB59" i="45"/>
  <c r="AB58" i="45"/>
  <c r="AB57" i="45"/>
  <c r="AB56" i="45"/>
  <c r="AB55" i="45"/>
  <c r="AB54" i="45"/>
  <c r="AB53" i="45"/>
  <c r="AB52" i="45"/>
  <c r="AB51" i="45"/>
  <c r="AB50" i="45"/>
  <c r="AB49" i="45"/>
  <c r="AB48" i="45"/>
  <c r="AB47" i="45"/>
  <c r="AB46" i="45"/>
  <c r="AB45" i="45"/>
  <c r="AB44" i="45"/>
  <c r="AB43" i="45"/>
  <c r="AB42" i="45"/>
  <c r="AB41" i="45"/>
  <c r="AB40" i="45"/>
  <c r="AB39" i="45"/>
  <c r="AB38" i="45"/>
  <c r="AB37" i="45"/>
  <c r="AB36" i="45"/>
  <c r="AB35" i="45"/>
  <c r="AB34" i="45"/>
  <c r="AB33" i="45"/>
  <c r="AB32" i="45"/>
  <c r="AB31" i="45"/>
  <c r="AB30" i="45"/>
  <c r="AB29" i="45"/>
  <c r="AB28" i="45"/>
  <c r="AB27" i="45"/>
  <c r="AB26" i="45"/>
  <c r="AB25" i="45"/>
  <c r="AB24" i="45"/>
  <c r="AB23" i="45"/>
  <c r="AB22" i="45" l="1"/>
  <c r="AP22" i="45" s="1"/>
  <c r="Z604" i="45"/>
  <c r="Z603" i="45"/>
  <c r="Z602" i="45"/>
  <c r="Z601" i="45"/>
  <c r="Z600" i="45"/>
  <c r="Z599" i="45"/>
  <c r="Z598" i="45"/>
  <c r="Z597" i="45"/>
  <c r="Z596" i="45"/>
  <c r="Z595" i="45"/>
  <c r="Z594" i="45"/>
  <c r="Z593" i="45"/>
  <c r="Z592" i="45"/>
  <c r="Z591" i="45"/>
  <c r="Z590" i="45"/>
  <c r="Z589" i="45"/>
  <c r="Z588" i="45"/>
  <c r="Z587" i="45"/>
  <c r="Z586" i="45"/>
  <c r="Z585" i="45"/>
  <c r="Z584" i="45"/>
  <c r="Z583" i="45"/>
  <c r="Z582" i="45"/>
  <c r="Z581" i="45"/>
  <c r="Z580" i="45"/>
  <c r="Z579" i="45"/>
  <c r="Z578" i="45"/>
  <c r="Z577" i="45"/>
  <c r="Z576" i="45"/>
  <c r="Z575" i="45"/>
  <c r="Z574" i="45"/>
  <c r="Z573" i="45"/>
  <c r="Z572" i="45"/>
  <c r="Z571" i="45"/>
  <c r="Z570" i="45"/>
  <c r="Z569" i="45"/>
  <c r="Z568" i="45"/>
  <c r="Z567" i="45"/>
  <c r="Z566" i="45"/>
  <c r="Z565" i="45"/>
  <c r="Z564" i="45"/>
  <c r="Z563" i="45"/>
  <c r="Z562" i="45"/>
  <c r="Z561" i="45"/>
  <c r="Z560" i="45"/>
  <c r="Z559" i="45"/>
  <c r="Z558" i="45"/>
  <c r="Z557" i="45"/>
  <c r="Z556" i="45"/>
  <c r="Z555" i="45"/>
  <c r="Z554" i="45"/>
  <c r="Z553" i="45"/>
  <c r="Z552" i="45"/>
  <c r="Z551" i="45"/>
  <c r="Z550" i="45"/>
  <c r="Z549" i="45"/>
  <c r="Z548" i="45"/>
  <c r="Z547" i="45"/>
  <c r="Z546" i="45"/>
  <c r="Z545" i="45"/>
  <c r="Z544" i="45"/>
  <c r="Z542" i="45"/>
  <c r="Z540" i="45"/>
  <c r="Z539" i="45"/>
  <c r="Z537" i="45"/>
  <c r="Z535" i="45"/>
  <c r="Z533" i="45"/>
  <c r="Z531" i="45"/>
  <c r="Z529" i="45"/>
  <c r="Z527" i="45"/>
  <c r="Z525" i="45"/>
  <c r="Z523" i="45"/>
  <c r="Z521" i="45"/>
  <c r="Z520" i="45"/>
  <c r="Z518" i="45"/>
  <c r="Z516" i="45"/>
  <c r="Z514" i="45"/>
  <c r="Z512" i="45"/>
  <c r="Z511" i="45"/>
  <c r="Z509" i="45"/>
  <c r="Z507" i="45"/>
  <c r="Z506" i="45"/>
  <c r="Z504" i="45"/>
  <c r="Z502" i="45"/>
  <c r="Z500" i="45"/>
  <c r="Z498" i="45"/>
  <c r="Z496" i="45"/>
  <c r="Z495" i="45"/>
  <c r="Z493" i="45"/>
  <c r="Z491" i="45"/>
  <c r="Z489" i="45"/>
  <c r="Z488" i="45"/>
  <c r="Z487" i="45"/>
  <c r="Z486" i="45"/>
  <c r="Z485" i="45"/>
  <c r="Z483" i="45"/>
  <c r="Z482" i="45"/>
  <c r="Z481" i="45"/>
  <c r="Z480" i="45"/>
  <c r="Z478" i="45"/>
  <c r="Z477" i="45"/>
  <c r="Z476" i="45"/>
  <c r="Z475" i="45"/>
  <c r="Z474" i="45"/>
  <c r="Z472" i="45"/>
  <c r="Z471" i="45"/>
  <c r="Z470" i="45"/>
  <c r="Z468" i="45"/>
  <c r="Z466" i="45"/>
  <c r="Z465" i="45"/>
  <c r="Z464" i="45"/>
  <c r="Z463" i="45"/>
  <c r="Z461" i="45"/>
  <c r="Z460" i="45"/>
  <c r="Z459" i="45"/>
  <c r="Z458" i="45"/>
  <c r="Z457" i="45"/>
  <c r="Z456" i="45"/>
  <c r="Z455" i="45"/>
  <c r="Z454" i="45"/>
  <c r="Z453" i="45"/>
  <c r="Z452" i="45"/>
  <c r="Z451" i="45"/>
  <c r="Z450" i="45"/>
  <c r="Z449" i="45"/>
  <c r="Z448" i="45"/>
  <c r="Z446" i="45"/>
  <c r="Z444" i="45"/>
  <c r="Z443" i="45"/>
  <c r="Z442" i="45"/>
  <c r="Z441" i="45"/>
  <c r="Z440" i="45"/>
  <c r="Z438" i="45"/>
  <c r="Z436" i="45"/>
  <c r="Z435" i="45"/>
  <c r="Z434" i="45"/>
  <c r="Z433" i="45"/>
  <c r="Z432" i="45"/>
  <c r="Z431" i="45"/>
  <c r="Z430" i="45"/>
  <c r="Z429" i="45"/>
  <c r="Z428" i="45"/>
  <c r="Z427" i="45"/>
  <c r="Z425" i="45"/>
  <c r="Z424" i="45"/>
  <c r="Z422" i="45"/>
  <c r="Z420" i="45"/>
  <c r="Z418" i="45"/>
  <c r="Z416" i="45"/>
  <c r="Z415" i="45"/>
  <c r="Z414" i="45"/>
  <c r="Z413" i="45"/>
  <c r="Z412" i="45"/>
  <c r="Z411" i="45"/>
  <c r="Z410" i="45"/>
  <c r="Z409" i="45"/>
  <c r="Z408" i="45"/>
  <c r="Z407" i="45"/>
  <c r="Z406" i="45"/>
  <c r="Z404" i="45"/>
  <c r="Z403" i="45"/>
  <c r="Z402" i="45"/>
  <c r="Z400" i="45"/>
  <c r="Z399" i="45"/>
  <c r="Z398" i="45"/>
  <c r="Z396" i="45"/>
  <c r="Z394" i="45"/>
  <c r="Z393" i="45"/>
  <c r="Z392" i="45"/>
  <c r="Z390" i="45"/>
  <c r="Z388" i="45"/>
  <c r="Z387" i="45"/>
  <c r="Z386" i="45"/>
  <c r="Z385" i="45"/>
  <c r="Z384" i="45"/>
  <c r="Z383" i="45"/>
  <c r="Z381" i="45"/>
  <c r="Z380" i="45"/>
  <c r="Z379" i="45"/>
  <c r="Z378" i="45"/>
  <c r="Z377" i="45"/>
  <c r="Z375" i="45"/>
  <c r="Z374" i="45"/>
  <c r="Z373" i="45"/>
  <c r="Z372" i="45"/>
  <c r="Z371" i="45"/>
  <c r="Z370" i="45"/>
  <c r="Z368" i="45"/>
  <c r="Z366" i="45"/>
  <c r="Z365" i="45"/>
  <c r="Z364" i="45"/>
  <c r="Z363" i="45"/>
  <c r="Z362" i="45"/>
  <c r="Z361" i="45"/>
  <c r="Z360" i="45"/>
  <c r="Z358" i="45"/>
  <c r="Z357" i="45"/>
  <c r="Z356" i="45"/>
  <c r="Z355" i="45"/>
  <c r="Z354" i="45"/>
  <c r="Z353" i="45"/>
  <c r="Z352" i="45"/>
  <c r="Z350" i="45"/>
  <c r="Z348" i="45"/>
  <c r="Z347" i="45"/>
  <c r="Z346" i="45"/>
  <c r="Z344" i="45"/>
  <c r="Z343" i="45"/>
  <c r="Z342" i="45"/>
  <c r="Z340" i="45"/>
  <c r="Z338" i="45"/>
  <c r="Z337" i="45"/>
  <c r="Z336" i="45"/>
  <c r="Z334" i="45"/>
  <c r="Z333" i="45"/>
  <c r="Z331" i="45"/>
  <c r="Z330" i="45"/>
  <c r="Z329" i="45"/>
  <c r="Z327" i="45"/>
  <c r="Z326" i="45"/>
  <c r="Z325" i="45"/>
  <c r="Z324" i="45"/>
  <c r="Z322" i="45"/>
  <c r="Z321" i="45"/>
  <c r="Z320" i="45"/>
  <c r="Z319" i="45"/>
  <c r="Z318" i="45"/>
  <c r="Z317" i="45"/>
  <c r="Z316" i="45"/>
  <c r="Z315" i="45"/>
  <c r="Z314" i="45"/>
  <c r="Z312" i="45"/>
  <c r="Z311" i="45"/>
  <c r="Z309" i="45"/>
  <c r="Z308" i="45"/>
  <c r="Z307" i="45"/>
  <c r="Z306" i="45"/>
  <c r="Z304" i="45"/>
  <c r="Z303" i="45"/>
  <c r="Z302" i="45"/>
  <c r="Z301" i="45"/>
  <c r="Z299" i="45"/>
  <c r="Z298" i="45"/>
  <c r="Z296" i="45"/>
  <c r="Z295" i="45"/>
  <c r="Z293" i="45"/>
  <c r="Z292" i="45"/>
  <c r="Z290" i="45"/>
  <c r="Z289" i="45"/>
  <c r="Z288" i="45"/>
  <c r="Z286" i="45"/>
  <c r="Z284" i="45"/>
  <c r="Z283" i="45"/>
  <c r="Z282" i="45"/>
  <c r="Z281" i="45"/>
  <c r="Z279" i="45"/>
  <c r="Z278" i="45"/>
  <c r="Z277" i="45"/>
  <c r="Z275" i="45"/>
  <c r="Z274" i="45"/>
  <c r="Z273" i="45"/>
  <c r="Z271" i="45"/>
  <c r="Z270" i="45"/>
  <c r="Z269" i="45"/>
  <c r="Z267" i="45"/>
  <c r="Z266" i="45"/>
  <c r="Z265" i="45"/>
  <c r="Z264" i="45"/>
  <c r="Z263" i="45"/>
  <c r="Z262" i="45"/>
  <c r="Z261" i="45"/>
  <c r="Z260" i="45"/>
  <c r="Z258" i="45"/>
  <c r="Z257" i="45"/>
  <c r="Z256" i="45"/>
  <c r="Z255" i="45"/>
  <c r="Z253" i="45"/>
  <c r="Z252" i="45"/>
  <c r="Z251" i="45"/>
  <c r="Z250" i="45"/>
  <c r="Z249" i="45"/>
  <c r="Z248" i="45"/>
  <c r="Z247" i="45"/>
  <c r="Z246" i="45"/>
  <c r="Z244" i="45"/>
  <c r="Z243" i="45"/>
  <c r="Z241" i="45"/>
  <c r="Z239" i="45"/>
  <c r="Z237" i="45"/>
  <c r="Z235" i="45"/>
  <c r="Z234" i="45"/>
  <c r="Z233" i="45"/>
  <c r="Z232" i="45"/>
  <c r="Z230" i="45"/>
  <c r="Z228" i="45"/>
  <c r="Z227" i="45"/>
  <c r="Z226" i="45"/>
  <c r="Z225" i="45"/>
  <c r="Z224" i="45"/>
  <c r="Z223" i="45"/>
  <c r="Z222" i="45"/>
  <c r="Z221" i="45"/>
  <c r="Z220" i="45"/>
  <c r="Z219" i="45"/>
  <c r="Z218" i="45"/>
  <c r="Z217" i="45"/>
  <c r="Z216" i="45"/>
  <c r="Z215" i="45"/>
  <c r="Z213" i="45"/>
  <c r="Z212" i="45"/>
  <c r="Z211" i="45"/>
  <c r="Z210" i="45"/>
  <c r="Z209" i="45"/>
  <c r="Z208" i="45"/>
  <c r="Z207" i="45"/>
  <c r="Z206" i="45"/>
  <c r="Z205" i="45"/>
  <c r="Z204" i="45"/>
  <c r="Z203" i="45"/>
  <c r="Z202" i="45"/>
  <c r="Z201" i="45"/>
  <c r="Z200" i="45"/>
  <c r="Z199" i="45"/>
  <c r="Z198" i="45"/>
  <c r="Z197" i="45"/>
  <c r="Z196" i="45"/>
  <c r="Z195" i="45"/>
  <c r="Z194" i="45"/>
  <c r="Z193" i="45"/>
  <c r="Z192" i="45"/>
  <c r="Z191" i="45"/>
  <c r="Z190" i="45"/>
  <c r="Z189" i="45"/>
  <c r="Z188" i="45"/>
  <c r="Z186" i="45"/>
  <c r="Z185" i="45"/>
  <c r="Z184" i="45"/>
  <c r="Z183" i="45"/>
  <c r="Z182" i="45"/>
  <c r="Z180" i="45"/>
  <c r="Z179" i="45"/>
  <c r="Z178" i="45"/>
  <c r="Z177" i="45"/>
  <c r="Z176" i="45"/>
  <c r="Z175" i="45"/>
  <c r="Z173" i="45"/>
  <c r="Z172" i="45"/>
  <c r="Z170" i="45"/>
  <c r="Z169" i="45"/>
  <c r="Z168" i="45"/>
  <c r="Z167" i="45"/>
  <c r="Z166" i="45"/>
  <c r="Z164" i="45"/>
  <c r="Z162" i="45"/>
  <c r="Z160" i="45"/>
  <c r="Z158" i="45"/>
  <c r="Z156" i="45"/>
  <c r="Z155" i="45"/>
  <c r="Z154" i="45"/>
  <c r="Z152" i="45"/>
  <c r="Z150" i="45"/>
  <c r="Z148" i="45"/>
  <c r="Z147" i="45"/>
  <c r="Z146" i="45"/>
  <c r="Z145" i="45"/>
  <c r="Z144" i="45"/>
  <c r="Z143" i="45"/>
  <c r="Z142" i="45"/>
  <c r="Z140" i="45"/>
  <c r="Z139" i="45"/>
  <c r="Z137" i="45"/>
  <c r="Z136" i="45"/>
  <c r="Z135" i="45"/>
  <c r="Z133" i="45"/>
  <c r="Z132" i="45"/>
  <c r="Z131" i="45"/>
  <c r="Z130" i="45"/>
  <c r="Z129" i="45"/>
  <c r="Z128" i="45"/>
  <c r="Z126" i="45"/>
  <c r="Z125" i="45"/>
  <c r="Z124" i="45"/>
  <c r="Z123" i="45"/>
  <c r="Z122" i="45"/>
  <c r="Z121" i="45"/>
  <c r="Z120" i="45"/>
  <c r="Z119" i="45"/>
  <c r="Z118" i="45"/>
  <c r="Z116" i="45"/>
  <c r="Z115" i="45"/>
  <c r="Z113" i="45"/>
  <c r="Z112" i="45"/>
  <c r="Z111" i="45"/>
  <c r="Z110" i="45"/>
  <c r="Z109" i="45"/>
  <c r="Z108" i="45"/>
  <c r="Z106" i="45"/>
  <c r="Z105" i="45"/>
  <c r="Z104" i="45"/>
  <c r="Z103" i="45"/>
  <c r="Z102" i="45"/>
  <c r="Z101" i="45"/>
  <c r="Z100" i="45"/>
  <c r="Z98" i="45"/>
  <c r="Z97" i="45"/>
  <c r="Z96" i="45"/>
  <c r="Z95" i="45"/>
  <c r="Z94" i="45"/>
  <c r="Z93" i="45"/>
  <c r="Z92" i="45"/>
  <c r="Z91" i="45"/>
  <c r="Z89" i="45"/>
  <c r="Z88" i="45"/>
  <c r="Z87" i="45"/>
  <c r="Z86" i="45"/>
  <c r="Z85" i="45"/>
  <c r="Z84" i="45"/>
  <c r="Z83" i="45"/>
  <c r="Z82" i="45"/>
  <c r="Z81" i="45"/>
  <c r="Z80" i="45"/>
  <c r="Z79" i="45"/>
  <c r="Z78" i="45"/>
  <c r="Z77" i="45"/>
  <c r="Z76" i="45"/>
  <c r="Z75" i="45"/>
  <c r="Z74" i="45"/>
  <c r="Z73" i="45"/>
  <c r="Z72" i="45"/>
  <c r="Z71" i="45"/>
  <c r="Z70" i="45"/>
  <c r="Z68" i="45"/>
  <c r="Z67" i="45"/>
  <c r="Z66" i="45"/>
  <c r="Z65" i="45"/>
  <c r="Z64" i="45"/>
  <c r="Z63" i="45"/>
  <c r="Z62" i="45"/>
  <c r="Z60" i="45"/>
  <c r="Z59" i="45"/>
  <c r="Z58" i="45"/>
  <c r="Z57" i="45"/>
  <c r="Z56" i="45"/>
  <c r="Z55" i="45"/>
  <c r="Z54" i="45"/>
  <c r="Z53" i="45"/>
  <c r="Z52" i="45"/>
  <c r="Z50" i="45"/>
  <c r="Z49" i="45"/>
  <c r="Z48" i="45"/>
  <c r="Z46" i="45"/>
  <c r="Z45" i="45"/>
  <c r="Z44" i="45"/>
  <c r="Z43" i="45"/>
  <c r="Z42" i="45"/>
  <c r="Z41" i="45"/>
  <c r="Z40" i="45"/>
  <c r="Z39" i="45"/>
  <c r="Z38" i="45"/>
  <c r="Z37" i="45"/>
  <c r="Z35" i="45"/>
  <c r="Z34" i="45"/>
  <c r="Z33" i="45"/>
  <c r="Z32" i="45"/>
  <c r="Z31" i="45"/>
  <c r="Z30" i="45"/>
  <c r="Z29" i="45"/>
  <c r="Z28" i="45"/>
  <c r="Z27" i="45"/>
  <c r="Z26" i="45"/>
  <c r="Z25" i="45"/>
  <c r="Z24" i="45"/>
  <c r="Z23" i="45"/>
  <c r="Z22" i="45"/>
  <c r="V540" i="45" l="1"/>
  <c r="V539" i="45"/>
  <c r="V537" i="45"/>
  <c r="V535" i="45"/>
  <c r="V533" i="45"/>
  <c r="V531" i="45"/>
  <c r="V529" i="45"/>
  <c r="V527" i="45"/>
  <c r="V525" i="45"/>
  <c r="V523" i="45"/>
  <c r="V520" i="45"/>
  <c r="V518" i="45"/>
  <c r="V516" i="45"/>
  <c r="V514" i="45"/>
  <c r="V512" i="45"/>
  <c r="V511" i="45"/>
  <c r="V509" i="45"/>
  <c r="V507" i="45"/>
  <c r="V506" i="45"/>
  <c r="V504" i="45"/>
  <c r="V502" i="45"/>
  <c r="V498" i="45"/>
  <c r="V496" i="45"/>
  <c r="V495" i="45"/>
  <c r="V493" i="45"/>
  <c r="V491" i="45"/>
  <c r="V489" i="45"/>
  <c r="V488" i="45"/>
  <c r="V487" i="45"/>
  <c r="V486" i="45"/>
  <c r="V485" i="45"/>
  <c r="V483" i="45"/>
  <c r="V482" i="45"/>
  <c r="V481" i="45"/>
  <c r="V480" i="45"/>
  <c r="V478" i="45"/>
  <c r="V477" i="45"/>
  <c r="V476" i="45"/>
  <c r="V475" i="45"/>
  <c r="V474" i="45"/>
  <c r="V472" i="45"/>
  <c r="V471" i="45"/>
  <c r="V470" i="45"/>
  <c r="V468" i="45"/>
  <c r="V466" i="45"/>
  <c r="V465" i="45"/>
  <c r="V464" i="45"/>
  <c r="V463" i="45"/>
  <c r="V461" i="45"/>
  <c r="V460" i="45"/>
  <c r="V459" i="45"/>
  <c r="V458" i="45"/>
  <c r="V457" i="45"/>
  <c r="V456" i="45"/>
  <c r="V455" i="45"/>
  <c r="V454" i="45"/>
  <c r="V453" i="45"/>
  <c r="V452" i="45"/>
  <c r="V451" i="45"/>
  <c r="V450" i="45"/>
  <c r="V449" i="45"/>
  <c r="V448" i="45"/>
  <c r="V446" i="45"/>
  <c r="V444" i="45"/>
  <c r="V443" i="45"/>
  <c r="V442" i="45"/>
  <c r="V441" i="45"/>
  <c r="V440" i="45"/>
  <c r="V438" i="45"/>
  <c r="V436" i="45"/>
  <c r="V435" i="45"/>
  <c r="V434" i="45"/>
  <c r="V433" i="45"/>
  <c r="V432" i="45"/>
  <c r="V431" i="45"/>
  <c r="V430" i="45"/>
  <c r="V429" i="45"/>
  <c r="V428" i="45"/>
  <c r="V427" i="45"/>
  <c r="V425" i="45"/>
  <c r="V424" i="45"/>
  <c r="V422" i="45"/>
  <c r="V420" i="45"/>
  <c r="V418" i="45"/>
  <c r="V416" i="45"/>
  <c r="V415" i="45"/>
  <c r="V414" i="45"/>
  <c r="V413" i="45"/>
  <c r="V412" i="45"/>
  <c r="V411" i="45"/>
  <c r="V410" i="45"/>
  <c r="V409" i="45"/>
  <c r="V408" i="45"/>
  <c r="V407" i="45"/>
  <c r="V406" i="45"/>
  <c r="V404" i="45"/>
  <c r="V403" i="45"/>
  <c r="V402" i="45"/>
  <c r="V400" i="45"/>
  <c r="V399" i="45"/>
  <c r="V398" i="45"/>
  <c r="V396" i="45"/>
  <c r="V394" i="45"/>
  <c r="V393" i="45"/>
  <c r="V392" i="45"/>
  <c r="V390" i="45"/>
  <c r="V388" i="45"/>
  <c r="V387" i="45"/>
  <c r="V386" i="45"/>
  <c r="V385" i="45"/>
  <c r="V384" i="45"/>
  <c r="V383" i="45"/>
  <c r="V381" i="45"/>
  <c r="V380" i="45"/>
  <c r="V379" i="45"/>
  <c r="V378" i="45"/>
  <c r="V377" i="45"/>
  <c r="V375" i="45"/>
  <c r="V374" i="45"/>
  <c r="V373" i="45"/>
  <c r="V372" i="45"/>
  <c r="V371" i="45"/>
  <c r="V370" i="45"/>
  <c r="V368" i="45"/>
  <c r="V366" i="45"/>
  <c r="V365" i="45"/>
  <c r="V364" i="45"/>
  <c r="V363" i="45"/>
  <c r="V362" i="45"/>
  <c r="V361" i="45"/>
  <c r="V360" i="45"/>
  <c r="V358" i="45"/>
  <c r="V357" i="45"/>
  <c r="V356" i="45"/>
  <c r="V355" i="45"/>
  <c r="V354" i="45"/>
  <c r="V353" i="45"/>
  <c r="V352" i="45"/>
  <c r="V350" i="45"/>
  <c r="V348" i="45"/>
  <c r="V347" i="45"/>
  <c r="V346" i="45"/>
  <c r="V344" i="45"/>
  <c r="V343" i="45"/>
  <c r="V342" i="45"/>
  <c r="V340" i="45"/>
  <c r="V338" i="45"/>
  <c r="V337" i="45"/>
  <c r="V336" i="45"/>
  <c r="V334" i="45"/>
  <c r="V333" i="45"/>
  <c r="V331" i="45"/>
  <c r="V330" i="45"/>
  <c r="V329" i="45"/>
  <c r="V327" i="45"/>
  <c r="V326" i="45"/>
  <c r="V325" i="45"/>
  <c r="V324" i="45"/>
  <c r="V322" i="45"/>
  <c r="V321" i="45"/>
  <c r="V320" i="45"/>
  <c r="V319" i="45"/>
  <c r="V318" i="45"/>
  <c r="V317" i="45"/>
  <c r="V316" i="45"/>
  <c r="V315" i="45"/>
  <c r="V314" i="45"/>
  <c r="V312" i="45"/>
  <c r="V311" i="45"/>
  <c r="V309" i="45"/>
  <c r="V308" i="45"/>
  <c r="V307" i="45"/>
  <c r="V306" i="45"/>
  <c r="V304" i="45"/>
  <c r="V303" i="45"/>
  <c r="V302" i="45"/>
  <c r="V301" i="45"/>
  <c r="V299" i="45"/>
  <c r="V298" i="45"/>
  <c r="V296" i="45"/>
  <c r="V295" i="45"/>
  <c r="V293" i="45"/>
  <c r="V292" i="45"/>
  <c r="V290" i="45"/>
  <c r="V289" i="45"/>
  <c r="V288" i="45"/>
  <c r="V286" i="45"/>
  <c r="V284" i="45"/>
  <c r="V283" i="45"/>
  <c r="V282" i="45"/>
  <c r="V281" i="45"/>
  <c r="V279" i="45"/>
  <c r="V278" i="45"/>
  <c r="V277" i="45"/>
  <c r="V275" i="45"/>
  <c r="V274" i="45"/>
  <c r="V273" i="45"/>
  <c r="V271" i="45"/>
  <c r="V270" i="45"/>
  <c r="V269" i="45"/>
  <c r="V267" i="45"/>
  <c r="V266" i="45"/>
  <c r="V265" i="45"/>
  <c r="V264" i="45"/>
  <c r="V263" i="45"/>
  <c r="V262" i="45"/>
  <c r="V261" i="45"/>
  <c r="V260" i="45"/>
  <c r="V258" i="45"/>
  <c r="V257" i="45"/>
  <c r="V256" i="45"/>
  <c r="V255" i="45"/>
  <c r="V253" i="45"/>
  <c r="V252" i="45"/>
  <c r="V251" i="45"/>
  <c r="V250" i="45"/>
  <c r="V249" i="45"/>
  <c r="V248" i="45"/>
  <c r="V247" i="45"/>
  <c r="V246" i="45"/>
  <c r="V244" i="45"/>
  <c r="V243" i="45"/>
  <c r="V241" i="45"/>
  <c r="V239" i="45"/>
  <c r="V237" i="45"/>
  <c r="V235" i="45"/>
  <c r="V234" i="45"/>
  <c r="V233" i="45"/>
  <c r="V232" i="45"/>
  <c r="V230" i="45"/>
  <c r="V228" i="45"/>
  <c r="V227" i="45"/>
  <c r="V226" i="45"/>
  <c r="V225" i="45"/>
  <c r="V224" i="45"/>
  <c r="V223" i="45"/>
  <c r="V222" i="45"/>
  <c r="V221" i="45"/>
  <c r="V220" i="45"/>
  <c r="V219" i="45"/>
  <c r="V218" i="45"/>
  <c r="V217" i="45"/>
  <c r="V216" i="45"/>
  <c r="V215" i="45"/>
  <c r="V213" i="45"/>
  <c r="V212" i="45"/>
  <c r="V211" i="45"/>
  <c r="V210" i="45"/>
  <c r="V209" i="45"/>
  <c r="V208" i="45"/>
  <c r="V207" i="45"/>
  <c r="V206" i="45"/>
  <c r="V205" i="45"/>
  <c r="V204" i="45"/>
  <c r="V203" i="45"/>
  <c r="V202" i="45"/>
  <c r="V201" i="45"/>
  <c r="V200" i="45"/>
  <c r="V199" i="45"/>
  <c r="V198" i="45"/>
  <c r="V197" i="45"/>
  <c r="V196" i="45"/>
  <c r="V195" i="45"/>
  <c r="V194" i="45"/>
  <c r="V193" i="45"/>
  <c r="V192" i="45"/>
  <c r="V191" i="45"/>
  <c r="V190" i="45"/>
  <c r="V189" i="45"/>
  <c r="V188" i="45"/>
  <c r="V186" i="45"/>
  <c r="V185" i="45"/>
  <c r="V184" i="45"/>
  <c r="V183" i="45"/>
  <c r="V182" i="45"/>
  <c r="V180" i="45"/>
  <c r="V179" i="45"/>
  <c r="V178" i="45"/>
  <c r="V177" i="45"/>
  <c r="V176" i="45"/>
  <c r="V175" i="45"/>
  <c r="V173" i="45"/>
  <c r="V172" i="45"/>
  <c r="V170" i="45"/>
  <c r="V169" i="45"/>
  <c r="V168" i="45"/>
  <c r="V167" i="45"/>
  <c r="V166" i="45"/>
  <c r="V164" i="45"/>
  <c r="V162" i="45"/>
  <c r="V160" i="45"/>
  <c r="V158" i="45"/>
  <c r="V156" i="45"/>
  <c r="V155" i="45"/>
  <c r="V154" i="45"/>
  <c r="V152" i="45"/>
  <c r="V150" i="45"/>
  <c r="V148" i="45"/>
  <c r="V147" i="45"/>
  <c r="V146" i="45"/>
  <c r="V145" i="45"/>
  <c r="V144" i="45"/>
  <c r="V143" i="45"/>
  <c r="V142" i="45"/>
  <c r="V140" i="45"/>
  <c r="V139" i="45"/>
  <c r="V137" i="45"/>
  <c r="V136" i="45"/>
  <c r="V135" i="45"/>
  <c r="V133" i="45"/>
  <c r="V132" i="45"/>
  <c r="V131" i="45"/>
  <c r="V130" i="45"/>
  <c r="V129" i="45"/>
  <c r="V128" i="45"/>
  <c r="V126" i="45"/>
  <c r="V125" i="45"/>
  <c r="V124" i="45"/>
  <c r="V123" i="45"/>
  <c r="V122" i="45"/>
  <c r="V121" i="45"/>
  <c r="V120" i="45"/>
  <c r="V119" i="45"/>
  <c r="V118" i="45"/>
  <c r="V116" i="45"/>
  <c r="V115" i="45"/>
  <c r="V113" i="45"/>
  <c r="V112" i="45"/>
  <c r="V111" i="45"/>
  <c r="V110" i="45"/>
  <c r="V109" i="45"/>
  <c r="V108" i="45"/>
  <c r="V106" i="45"/>
  <c r="V105" i="45"/>
  <c r="V104" i="45"/>
  <c r="V103" i="45"/>
  <c r="V102" i="45"/>
  <c r="V101" i="45"/>
  <c r="V100" i="45"/>
  <c r="V98" i="45"/>
  <c r="V97" i="45"/>
  <c r="V96" i="45"/>
  <c r="V95" i="45"/>
  <c r="V94" i="45"/>
  <c r="V93" i="45"/>
  <c r="V92" i="45"/>
  <c r="V91" i="45"/>
  <c r="V89" i="45"/>
  <c r="V88" i="45"/>
  <c r="V87" i="45"/>
  <c r="V86" i="45"/>
  <c r="V85" i="45"/>
  <c r="V84" i="45"/>
  <c r="V83" i="45"/>
  <c r="V82" i="45"/>
  <c r="V81" i="45"/>
  <c r="V80" i="45"/>
  <c r="V79" i="45"/>
  <c r="V78" i="45"/>
  <c r="V77" i="45"/>
  <c r="V76" i="45"/>
  <c r="V75" i="45"/>
  <c r="V74" i="45"/>
  <c r="V73" i="45"/>
  <c r="V72" i="45"/>
  <c r="V71" i="45"/>
  <c r="V70" i="45"/>
  <c r="V68" i="45"/>
  <c r="V67" i="45"/>
  <c r="V66" i="45"/>
  <c r="V65" i="45"/>
  <c r="V64" i="45"/>
  <c r="V63" i="45"/>
  <c r="V62" i="45"/>
  <c r="V60" i="45"/>
  <c r="V59" i="45"/>
  <c r="V58" i="45"/>
  <c r="V57" i="45"/>
  <c r="V56" i="45"/>
  <c r="V55" i="45"/>
  <c r="V54" i="45"/>
  <c r="V53" i="45"/>
  <c r="V52" i="45"/>
  <c r="V50" i="45"/>
  <c r="V49" i="45"/>
  <c r="V48" i="45"/>
  <c r="V46" i="45"/>
  <c r="V45" i="45"/>
  <c r="V44" i="45"/>
  <c r="V43" i="45"/>
  <c r="V42" i="45"/>
  <c r="V41" i="45"/>
  <c r="V40" i="45"/>
  <c r="V39" i="45"/>
  <c r="V38" i="45"/>
  <c r="V37" i="45"/>
  <c r="V35" i="45"/>
  <c r="V34" i="45"/>
  <c r="V33" i="45"/>
  <c r="V32" i="45"/>
  <c r="V31" i="45"/>
  <c r="V30" i="45"/>
  <c r="V29" i="45"/>
  <c r="V28" i="45"/>
  <c r="V27" i="45"/>
  <c r="V26" i="45"/>
  <c r="V25" i="45"/>
  <c r="V24" i="45"/>
  <c r="V23" i="45"/>
  <c r="V22" i="45"/>
  <c r="F604" i="45"/>
  <c r="F603" i="45"/>
  <c r="F602" i="45"/>
  <c r="F601" i="45"/>
  <c r="F600" i="45"/>
  <c r="F599" i="45"/>
  <c r="F598" i="45"/>
  <c r="F597" i="45"/>
  <c r="F596" i="45"/>
  <c r="F595" i="45"/>
  <c r="F594" i="45"/>
  <c r="F593" i="45"/>
  <c r="F592" i="45"/>
  <c r="F591" i="45"/>
  <c r="F590" i="45"/>
  <c r="F589" i="45"/>
  <c r="F588" i="45"/>
  <c r="F587" i="45"/>
  <c r="F586" i="45"/>
  <c r="F585" i="45"/>
  <c r="F584" i="45"/>
  <c r="F583" i="45"/>
  <c r="F582" i="45"/>
  <c r="F581" i="45"/>
  <c r="F580" i="45"/>
  <c r="F579" i="45"/>
  <c r="F578" i="45"/>
  <c r="F577" i="45"/>
  <c r="F576" i="45"/>
  <c r="F575" i="45"/>
  <c r="F574" i="45"/>
  <c r="F573" i="45"/>
  <c r="F572" i="45"/>
  <c r="F571" i="45"/>
  <c r="F570" i="45"/>
  <c r="F569" i="45"/>
  <c r="F568" i="45"/>
  <c r="F567" i="45"/>
  <c r="F566" i="45"/>
  <c r="F565" i="45"/>
  <c r="F564" i="45"/>
  <c r="F563" i="45"/>
  <c r="F562" i="45"/>
  <c r="F561" i="45"/>
  <c r="F560" i="45"/>
  <c r="F559" i="45"/>
  <c r="F558" i="45"/>
  <c r="F557" i="45"/>
  <c r="F556" i="45"/>
  <c r="F555" i="45"/>
  <c r="F554" i="45"/>
  <c r="F553" i="45"/>
  <c r="F552" i="45"/>
  <c r="F551" i="45"/>
  <c r="F550" i="45"/>
  <c r="F549" i="45"/>
  <c r="F548" i="45"/>
  <c r="F547" i="45"/>
  <c r="F546" i="45"/>
  <c r="F545" i="45"/>
  <c r="F544" i="45"/>
  <c r="F542" i="45"/>
  <c r="F540" i="45"/>
  <c r="F539" i="45"/>
  <c r="F537" i="45"/>
  <c r="F535" i="45"/>
  <c r="F533" i="45"/>
  <c r="F531" i="45"/>
  <c r="F529" i="45"/>
  <c r="F527" i="45"/>
  <c r="F525" i="45"/>
  <c r="F523" i="45"/>
  <c r="F521" i="45"/>
  <c r="F520" i="45"/>
  <c r="F518" i="45"/>
  <c r="F516" i="45"/>
  <c r="F514" i="45"/>
  <c r="F512" i="45"/>
  <c r="F511" i="45"/>
  <c r="F509" i="45"/>
  <c r="F507" i="45"/>
  <c r="F506" i="45"/>
  <c r="F504" i="45"/>
  <c r="F502" i="45"/>
  <c r="F500" i="45"/>
  <c r="F498" i="45"/>
  <c r="F496" i="45"/>
  <c r="F495" i="45"/>
  <c r="F493" i="45"/>
  <c r="F491" i="45"/>
  <c r="F489" i="45"/>
  <c r="F488" i="45"/>
  <c r="F487" i="45"/>
  <c r="F486" i="45"/>
  <c r="F485" i="45"/>
  <c r="F483" i="45"/>
  <c r="F482" i="45"/>
  <c r="F481" i="45"/>
  <c r="F480" i="45"/>
  <c r="F478" i="45"/>
  <c r="F477" i="45"/>
  <c r="F476" i="45"/>
  <c r="F475" i="45"/>
  <c r="F474" i="45"/>
  <c r="F472" i="45"/>
  <c r="F471" i="45"/>
  <c r="F470" i="45"/>
  <c r="F468" i="45"/>
  <c r="F466" i="45"/>
  <c r="F465" i="45"/>
  <c r="F464" i="45"/>
  <c r="F463" i="45"/>
  <c r="F461" i="45"/>
  <c r="F460" i="45"/>
  <c r="F459" i="45"/>
  <c r="F458" i="45"/>
  <c r="F457" i="45"/>
  <c r="F456" i="45"/>
  <c r="F455" i="45"/>
  <c r="F454" i="45"/>
  <c r="F453" i="45"/>
  <c r="F452" i="45"/>
  <c r="F451" i="45"/>
  <c r="F450" i="45"/>
  <c r="F449" i="45"/>
  <c r="F448" i="45"/>
  <c r="F446" i="45"/>
  <c r="F444" i="45"/>
  <c r="F443" i="45"/>
  <c r="F442" i="45"/>
  <c r="F441" i="45"/>
  <c r="F440" i="45"/>
  <c r="F438" i="45"/>
  <c r="F436" i="45"/>
  <c r="F435" i="45"/>
  <c r="F434" i="45"/>
  <c r="F433" i="45"/>
  <c r="F432" i="45"/>
  <c r="F431" i="45"/>
  <c r="F430" i="45"/>
  <c r="F429" i="45"/>
  <c r="F428" i="45"/>
  <c r="F427" i="45"/>
  <c r="F425" i="45"/>
  <c r="F424" i="45"/>
  <c r="F422" i="45"/>
  <c r="F420" i="45"/>
  <c r="F418" i="45"/>
  <c r="F416" i="45"/>
  <c r="F415" i="45"/>
  <c r="F414" i="45"/>
  <c r="F413" i="45"/>
  <c r="F412" i="45"/>
  <c r="F411" i="45"/>
  <c r="F410" i="45"/>
  <c r="F409" i="45"/>
  <c r="F408" i="45"/>
  <c r="F407" i="45"/>
  <c r="F406" i="45"/>
  <c r="F404" i="45"/>
  <c r="F403" i="45"/>
  <c r="F402" i="45"/>
  <c r="F400" i="45"/>
  <c r="F399" i="45"/>
  <c r="F398" i="45"/>
  <c r="F396" i="45"/>
  <c r="F394" i="45"/>
  <c r="F393" i="45"/>
  <c r="F392" i="45"/>
  <c r="F390" i="45"/>
  <c r="F388" i="45"/>
  <c r="F387" i="45"/>
  <c r="F386" i="45"/>
  <c r="F385" i="45"/>
  <c r="F384" i="45"/>
  <c r="F383" i="45"/>
  <c r="F381" i="45"/>
  <c r="F380" i="45"/>
  <c r="F379" i="45"/>
  <c r="F378" i="45"/>
  <c r="F377" i="45"/>
  <c r="F375" i="45"/>
  <c r="F374" i="45"/>
  <c r="F373" i="45"/>
  <c r="F372" i="45"/>
  <c r="F371" i="45"/>
  <c r="F370" i="45"/>
  <c r="F368" i="45"/>
  <c r="F366" i="45"/>
  <c r="F365" i="45"/>
  <c r="F364" i="45"/>
  <c r="F363" i="45"/>
  <c r="F362" i="45"/>
  <c r="F361" i="45"/>
  <c r="F360" i="45"/>
  <c r="F358" i="45"/>
  <c r="F357" i="45"/>
  <c r="F356" i="45"/>
  <c r="F355" i="45"/>
  <c r="F354" i="45"/>
  <c r="F353" i="45"/>
  <c r="F352" i="45"/>
  <c r="F350" i="45"/>
  <c r="F348" i="45"/>
  <c r="F347" i="45"/>
  <c r="F346" i="45"/>
  <c r="F344" i="45"/>
  <c r="F343" i="45"/>
  <c r="F342" i="45"/>
  <c r="F340" i="45"/>
  <c r="F338" i="45"/>
  <c r="F337" i="45"/>
  <c r="F336" i="45"/>
  <c r="F334" i="45"/>
  <c r="F333" i="45"/>
  <c r="F331" i="45"/>
  <c r="F330" i="45"/>
  <c r="F329" i="45"/>
  <c r="F327" i="45"/>
  <c r="F326" i="45"/>
  <c r="F325" i="45"/>
  <c r="F324" i="45"/>
  <c r="F322" i="45"/>
  <c r="F321" i="45"/>
  <c r="F320" i="45"/>
  <c r="F319" i="45"/>
  <c r="F318" i="45"/>
  <c r="F317" i="45"/>
  <c r="F316" i="45"/>
  <c r="F315" i="45"/>
  <c r="F314" i="45"/>
  <c r="F312" i="45"/>
  <c r="F311" i="45"/>
  <c r="F309" i="45"/>
  <c r="F308" i="45"/>
  <c r="F307" i="45"/>
  <c r="F306" i="45"/>
  <c r="F304" i="45"/>
  <c r="F303" i="45"/>
  <c r="F302" i="45"/>
  <c r="F301" i="45"/>
  <c r="F299" i="45"/>
  <c r="F298" i="45"/>
  <c r="F296" i="45"/>
  <c r="F295" i="45"/>
  <c r="F293" i="45"/>
  <c r="F292" i="45"/>
  <c r="F290" i="45"/>
  <c r="F289" i="45"/>
  <c r="F288" i="45"/>
  <c r="F286" i="45"/>
  <c r="F284" i="45"/>
  <c r="F283" i="45"/>
  <c r="F282" i="45"/>
  <c r="F281" i="45"/>
  <c r="F279" i="45"/>
  <c r="F278" i="45"/>
  <c r="F277" i="45"/>
  <c r="F275" i="45"/>
  <c r="F274" i="45"/>
  <c r="F273" i="45"/>
  <c r="F271" i="45"/>
  <c r="F270" i="45"/>
  <c r="F269" i="45"/>
  <c r="F267" i="45"/>
  <c r="F266" i="45"/>
  <c r="F265" i="45"/>
  <c r="F264" i="45"/>
  <c r="F263" i="45"/>
  <c r="F262" i="45"/>
  <c r="F261" i="45"/>
  <c r="F260" i="45"/>
  <c r="F258" i="45"/>
  <c r="F257" i="45"/>
  <c r="F256" i="45"/>
  <c r="F255" i="45"/>
  <c r="F253" i="45"/>
  <c r="F252" i="45"/>
  <c r="F251" i="45"/>
  <c r="F250" i="45"/>
  <c r="F249" i="45"/>
  <c r="F248" i="45"/>
  <c r="F247" i="45"/>
  <c r="F246" i="45"/>
  <c r="F244" i="45"/>
  <c r="F243" i="45"/>
  <c r="F241" i="45"/>
  <c r="F239" i="45"/>
  <c r="F237" i="45"/>
  <c r="F235" i="45"/>
  <c r="F234" i="45"/>
  <c r="F233" i="45"/>
  <c r="F232" i="45"/>
  <c r="F230" i="45"/>
  <c r="F228" i="45"/>
  <c r="F227" i="45"/>
  <c r="F226" i="45"/>
  <c r="F225" i="45"/>
  <c r="F224" i="45"/>
  <c r="F223" i="45"/>
  <c r="F222" i="45"/>
  <c r="F221" i="45"/>
  <c r="F220" i="45"/>
  <c r="F219" i="45"/>
  <c r="F218" i="45"/>
  <c r="F217" i="45"/>
  <c r="F216" i="45"/>
  <c r="F215" i="45"/>
  <c r="F213" i="45"/>
  <c r="F212" i="45"/>
  <c r="F211" i="45"/>
  <c r="F210" i="45"/>
  <c r="F209" i="45"/>
  <c r="F208" i="45"/>
  <c r="F207" i="45"/>
  <c r="F206" i="45"/>
  <c r="F205" i="45"/>
  <c r="F204" i="45"/>
  <c r="F203" i="45"/>
  <c r="F202" i="45"/>
  <c r="F201" i="45"/>
  <c r="F200" i="45"/>
  <c r="F199" i="45"/>
  <c r="F198" i="45"/>
  <c r="F197" i="45"/>
  <c r="F196" i="45"/>
  <c r="F195" i="45"/>
  <c r="F194" i="45"/>
  <c r="F193" i="45"/>
  <c r="F192" i="45"/>
  <c r="F191" i="45"/>
  <c r="F190" i="45"/>
  <c r="F189" i="45"/>
  <c r="F188" i="45"/>
  <c r="F186" i="45"/>
  <c r="F185" i="45"/>
  <c r="F184" i="45"/>
  <c r="F183" i="45"/>
  <c r="F182" i="45"/>
  <c r="F180" i="45"/>
  <c r="F179" i="45"/>
  <c r="F178" i="45"/>
  <c r="F177" i="45"/>
  <c r="F176" i="45"/>
  <c r="F175" i="45"/>
  <c r="F173" i="45"/>
  <c r="F172" i="45"/>
  <c r="F170" i="45"/>
  <c r="F169" i="45"/>
  <c r="F168" i="45"/>
  <c r="F167" i="45"/>
  <c r="F166" i="45"/>
  <c r="F164" i="45"/>
  <c r="F162" i="45"/>
  <c r="F160" i="45"/>
  <c r="F158" i="45"/>
  <c r="F156" i="45"/>
  <c r="F155" i="45"/>
  <c r="F154" i="45"/>
  <c r="F152" i="45"/>
  <c r="F150" i="45"/>
  <c r="F148" i="45"/>
  <c r="F147" i="45"/>
  <c r="F146" i="45"/>
  <c r="F145" i="45"/>
  <c r="F144" i="45"/>
  <c r="F143" i="45"/>
  <c r="F142" i="45"/>
  <c r="F140" i="45"/>
  <c r="F139" i="45"/>
  <c r="F137" i="45"/>
  <c r="F136" i="45"/>
  <c r="F135" i="45"/>
  <c r="F133" i="45"/>
  <c r="F132" i="45"/>
  <c r="F131" i="45"/>
  <c r="F130" i="45"/>
  <c r="F129" i="45"/>
  <c r="F128" i="45"/>
  <c r="F126" i="45"/>
  <c r="F125" i="45"/>
  <c r="F124" i="45"/>
  <c r="F123" i="45"/>
  <c r="F122" i="45"/>
  <c r="F121" i="45"/>
  <c r="F120" i="45"/>
  <c r="F119" i="45"/>
  <c r="F118" i="45"/>
  <c r="F116" i="45"/>
  <c r="F115" i="45"/>
  <c r="F113" i="45"/>
  <c r="F112" i="45"/>
  <c r="F111" i="45"/>
  <c r="F110" i="45"/>
  <c r="F109" i="45"/>
  <c r="F108" i="45"/>
  <c r="F106" i="45"/>
  <c r="F105" i="45"/>
  <c r="F104" i="45"/>
  <c r="F103" i="45"/>
  <c r="F102" i="45"/>
  <c r="F101" i="45"/>
  <c r="F100" i="45"/>
  <c r="F98" i="45"/>
  <c r="F97" i="45"/>
  <c r="F96" i="45"/>
  <c r="F95" i="45"/>
  <c r="F94" i="45"/>
  <c r="F93" i="45"/>
  <c r="F92" i="45"/>
  <c r="F91" i="45"/>
  <c r="F89" i="45"/>
  <c r="F88" i="45"/>
  <c r="F87" i="45"/>
  <c r="F86" i="45"/>
  <c r="F85" i="45"/>
  <c r="F84" i="45"/>
  <c r="F83" i="45"/>
  <c r="F82" i="45"/>
  <c r="F81" i="45"/>
  <c r="F80" i="45"/>
  <c r="F79" i="45"/>
  <c r="F78" i="45"/>
  <c r="F77" i="45"/>
  <c r="F76" i="45"/>
  <c r="F75" i="45"/>
  <c r="F74" i="45"/>
  <c r="F73" i="45"/>
  <c r="F72" i="45"/>
  <c r="F71" i="45"/>
  <c r="F70" i="45"/>
  <c r="F68" i="45"/>
  <c r="F67" i="45"/>
  <c r="F66" i="45"/>
  <c r="F65" i="45"/>
  <c r="F64" i="45"/>
  <c r="F63" i="45"/>
  <c r="F62" i="45"/>
  <c r="F60" i="45"/>
  <c r="F59" i="45"/>
  <c r="F58" i="45"/>
  <c r="F57" i="45"/>
  <c r="F56" i="45"/>
  <c r="F55" i="45"/>
  <c r="F54" i="45"/>
  <c r="F53" i="45"/>
  <c r="F52" i="45"/>
  <c r="F50" i="45"/>
  <c r="F49" i="45"/>
  <c r="F48" i="45"/>
  <c r="F46" i="45"/>
  <c r="F45" i="45"/>
  <c r="F44" i="45"/>
  <c r="F43" i="45"/>
  <c r="F42" i="45"/>
  <c r="F41" i="45"/>
  <c r="F40" i="45"/>
  <c r="F39" i="45"/>
  <c r="F38" i="45"/>
  <c r="F37" i="45"/>
  <c r="F35" i="45"/>
  <c r="F34" i="45"/>
  <c r="F33" i="45"/>
  <c r="F32" i="45"/>
  <c r="F31" i="45"/>
  <c r="F30" i="45"/>
  <c r="F29" i="45"/>
  <c r="F28" i="45"/>
  <c r="F27" i="45"/>
  <c r="F26" i="45"/>
  <c r="F25" i="45"/>
  <c r="F24" i="45"/>
  <c r="F23" i="45"/>
  <c r="F22" i="45"/>
  <c r="P604" i="45"/>
  <c r="O604" i="45"/>
  <c r="N604" i="45"/>
  <c r="P603" i="45"/>
  <c r="O603" i="45"/>
  <c r="N603" i="45"/>
  <c r="P602" i="45"/>
  <c r="O602" i="45"/>
  <c r="N602" i="45"/>
  <c r="P601" i="45"/>
  <c r="O601" i="45"/>
  <c r="N601" i="45"/>
  <c r="P600" i="45"/>
  <c r="O600" i="45"/>
  <c r="N600" i="45"/>
  <c r="P599" i="45"/>
  <c r="O599" i="45"/>
  <c r="N599" i="45"/>
  <c r="P598" i="45"/>
  <c r="O598" i="45"/>
  <c r="N598" i="45"/>
  <c r="P597" i="45"/>
  <c r="O597" i="45"/>
  <c r="N597" i="45"/>
  <c r="P596" i="45"/>
  <c r="O596" i="45"/>
  <c r="N596" i="45"/>
  <c r="P595" i="45"/>
  <c r="O595" i="45"/>
  <c r="N595" i="45"/>
  <c r="P594" i="45"/>
  <c r="O594" i="45"/>
  <c r="N594" i="45"/>
  <c r="P593" i="45"/>
  <c r="O593" i="45"/>
  <c r="N593" i="45"/>
  <c r="P592" i="45"/>
  <c r="O592" i="45"/>
  <c r="N592" i="45"/>
  <c r="P591" i="45"/>
  <c r="O591" i="45"/>
  <c r="N591" i="45"/>
  <c r="P590" i="45"/>
  <c r="O590" i="45"/>
  <c r="N590" i="45"/>
  <c r="P589" i="45"/>
  <c r="O589" i="45"/>
  <c r="N589" i="45"/>
  <c r="P588" i="45"/>
  <c r="O588" i="45"/>
  <c r="N588" i="45"/>
  <c r="P587" i="45"/>
  <c r="O587" i="45"/>
  <c r="N587" i="45"/>
  <c r="P586" i="45"/>
  <c r="O586" i="45"/>
  <c r="N586" i="45"/>
  <c r="P585" i="45"/>
  <c r="O585" i="45"/>
  <c r="N585" i="45"/>
  <c r="P584" i="45"/>
  <c r="O584" i="45"/>
  <c r="N584" i="45"/>
  <c r="P583" i="45"/>
  <c r="O583" i="45"/>
  <c r="N583" i="45"/>
  <c r="P582" i="45"/>
  <c r="O582" i="45"/>
  <c r="N582" i="45"/>
  <c r="P581" i="45"/>
  <c r="O581" i="45"/>
  <c r="N581" i="45"/>
  <c r="P580" i="45"/>
  <c r="O580" i="45"/>
  <c r="N580" i="45"/>
  <c r="P579" i="45"/>
  <c r="O579" i="45"/>
  <c r="N579" i="45"/>
  <c r="P578" i="45"/>
  <c r="O578" i="45"/>
  <c r="N578" i="45"/>
  <c r="P577" i="45"/>
  <c r="O577" i="45"/>
  <c r="N577" i="45"/>
  <c r="P576" i="45"/>
  <c r="O576" i="45"/>
  <c r="N576" i="45"/>
  <c r="P575" i="45"/>
  <c r="O575" i="45"/>
  <c r="N575" i="45"/>
  <c r="P574" i="45"/>
  <c r="O574" i="45"/>
  <c r="N574" i="45"/>
  <c r="P573" i="45"/>
  <c r="O573" i="45"/>
  <c r="N573" i="45"/>
  <c r="P572" i="45"/>
  <c r="O572" i="45"/>
  <c r="N572" i="45"/>
  <c r="P571" i="45"/>
  <c r="O571" i="45"/>
  <c r="N571" i="45"/>
  <c r="P570" i="45"/>
  <c r="O570" i="45"/>
  <c r="N570" i="45"/>
  <c r="P569" i="45"/>
  <c r="O569" i="45"/>
  <c r="N569" i="45"/>
  <c r="P568" i="45"/>
  <c r="O568" i="45"/>
  <c r="N568" i="45"/>
  <c r="P567" i="45"/>
  <c r="O567" i="45"/>
  <c r="N567" i="45"/>
  <c r="P566" i="45"/>
  <c r="O566" i="45"/>
  <c r="N566" i="45"/>
  <c r="P565" i="45"/>
  <c r="O565" i="45"/>
  <c r="N565" i="45"/>
  <c r="P564" i="45"/>
  <c r="O564" i="45"/>
  <c r="N564" i="45"/>
  <c r="P563" i="45"/>
  <c r="O563" i="45"/>
  <c r="N563" i="45"/>
  <c r="P562" i="45"/>
  <c r="O562" i="45"/>
  <c r="N562" i="45"/>
  <c r="P561" i="45"/>
  <c r="O561" i="45"/>
  <c r="N561" i="45"/>
  <c r="P560" i="45"/>
  <c r="O560" i="45"/>
  <c r="N560" i="45"/>
  <c r="P559" i="45"/>
  <c r="O559" i="45"/>
  <c r="N559" i="45"/>
  <c r="P558" i="45"/>
  <c r="O558" i="45"/>
  <c r="N558" i="45"/>
  <c r="P557" i="45"/>
  <c r="O557" i="45"/>
  <c r="N557" i="45"/>
  <c r="P556" i="45"/>
  <c r="O556" i="45"/>
  <c r="N556" i="45"/>
  <c r="P555" i="45"/>
  <c r="O555" i="45"/>
  <c r="N555" i="45"/>
  <c r="P554" i="45"/>
  <c r="O554" i="45"/>
  <c r="N554" i="45"/>
  <c r="P553" i="45"/>
  <c r="O553" i="45"/>
  <c r="N553" i="45"/>
  <c r="P552" i="45"/>
  <c r="O552" i="45"/>
  <c r="N552" i="45"/>
  <c r="P551" i="45"/>
  <c r="O551" i="45"/>
  <c r="N551" i="45"/>
  <c r="P550" i="45"/>
  <c r="O550" i="45"/>
  <c r="N550" i="45"/>
  <c r="P549" i="45"/>
  <c r="O549" i="45"/>
  <c r="N549" i="45"/>
  <c r="P548" i="45"/>
  <c r="O548" i="45"/>
  <c r="N548" i="45"/>
  <c r="P547" i="45"/>
  <c r="O547" i="45"/>
  <c r="N547" i="45"/>
  <c r="P546" i="45"/>
  <c r="O546" i="45"/>
  <c r="N546" i="45"/>
  <c r="P545" i="45"/>
  <c r="O545" i="45"/>
  <c r="N545" i="45"/>
  <c r="P544" i="45"/>
  <c r="O544" i="45"/>
  <c r="N544" i="45"/>
  <c r="P542" i="45"/>
  <c r="O542" i="45"/>
  <c r="N542" i="45"/>
  <c r="P540" i="45"/>
  <c r="O540" i="45"/>
  <c r="N540" i="45"/>
  <c r="P539" i="45"/>
  <c r="O539" i="45"/>
  <c r="N539" i="45"/>
  <c r="P537" i="45"/>
  <c r="O537" i="45"/>
  <c r="N537" i="45"/>
  <c r="P535" i="45"/>
  <c r="O535" i="45"/>
  <c r="N535" i="45"/>
  <c r="P533" i="45"/>
  <c r="O533" i="45"/>
  <c r="N533" i="45"/>
  <c r="P531" i="45"/>
  <c r="O531" i="45"/>
  <c r="N531" i="45"/>
  <c r="P529" i="45"/>
  <c r="O529" i="45"/>
  <c r="N529" i="45"/>
  <c r="P527" i="45"/>
  <c r="O527" i="45"/>
  <c r="N527" i="45"/>
  <c r="P525" i="45"/>
  <c r="O525" i="45"/>
  <c r="N525" i="45"/>
  <c r="P523" i="45"/>
  <c r="O523" i="45"/>
  <c r="N523" i="45"/>
  <c r="P521" i="45"/>
  <c r="O521" i="45"/>
  <c r="N521" i="45"/>
  <c r="P520" i="45"/>
  <c r="O520" i="45"/>
  <c r="N520" i="45"/>
  <c r="P518" i="45"/>
  <c r="O518" i="45"/>
  <c r="N518" i="45"/>
  <c r="P516" i="45"/>
  <c r="O516" i="45"/>
  <c r="N516" i="45"/>
  <c r="P514" i="45"/>
  <c r="O514" i="45"/>
  <c r="N514" i="45"/>
  <c r="P512" i="45"/>
  <c r="O512" i="45"/>
  <c r="N512" i="45"/>
  <c r="P511" i="45"/>
  <c r="O511" i="45"/>
  <c r="N511" i="45"/>
  <c r="P509" i="45"/>
  <c r="O509" i="45"/>
  <c r="N509" i="45"/>
  <c r="P507" i="45"/>
  <c r="O507" i="45"/>
  <c r="N507" i="45"/>
  <c r="P506" i="45"/>
  <c r="O506" i="45"/>
  <c r="N506" i="45"/>
  <c r="P504" i="45"/>
  <c r="O504" i="45"/>
  <c r="N504" i="45"/>
  <c r="P502" i="45"/>
  <c r="O502" i="45"/>
  <c r="N502" i="45"/>
  <c r="P500" i="45"/>
  <c r="O500" i="45"/>
  <c r="N500" i="45"/>
  <c r="P498" i="45"/>
  <c r="O498" i="45"/>
  <c r="N498" i="45"/>
  <c r="P496" i="45"/>
  <c r="O496" i="45"/>
  <c r="N496" i="45"/>
  <c r="P495" i="45"/>
  <c r="O495" i="45"/>
  <c r="N495" i="45"/>
  <c r="P493" i="45"/>
  <c r="O493" i="45"/>
  <c r="N493" i="45"/>
  <c r="P491" i="45"/>
  <c r="O491" i="45"/>
  <c r="N491" i="45"/>
  <c r="P489" i="45"/>
  <c r="O489" i="45"/>
  <c r="N489" i="45"/>
  <c r="P488" i="45"/>
  <c r="O488" i="45"/>
  <c r="N488" i="45"/>
  <c r="P487" i="45"/>
  <c r="O487" i="45"/>
  <c r="N487" i="45"/>
  <c r="P486" i="45"/>
  <c r="O486" i="45"/>
  <c r="N486" i="45"/>
  <c r="P485" i="45"/>
  <c r="O485" i="45"/>
  <c r="N485" i="45"/>
  <c r="P483" i="45"/>
  <c r="O483" i="45"/>
  <c r="N483" i="45"/>
  <c r="P482" i="45"/>
  <c r="O482" i="45"/>
  <c r="N482" i="45"/>
  <c r="P481" i="45"/>
  <c r="O481" i="45"/>
  <c r="N481" i="45"/>
  <c r="P480" i="45"/>
  <c r="O480" i="45"/>
  <c r="N480" i="45"/>
  <c r="P478" i="45"/>
  <c r="O478" i="45"/>
  <c r="N478" i="45"/>
  <c r="P477" i="45"/>
  <c r="O477" i="45"/>
  <c r="N477" i="45"/>
  <c r="P476" i="45"/>
  <c r="O476" i="45"/>
  <c r="N476" i="45"/>
  <c r="P475" i="45"/>
  <c r="O475" i="45"/>
  <c r="N475" i="45"/>
  <c r="P474" i="45"/>
  <c r="O474" i="45"/>
  <c r="N474" i="45"/>
  <c r="P472" i="45"/>
  <c r="O472" i="45"/>
  <c r="N472" i="45"/>
  <c r="P471" i="45"/>
  <c r="O471" i="45"/>
  <c r="N471" i="45"/>
  <c r="P470" i="45"/>
  <c r="O470" i="45"/>
  <c r="N470" i="45"/>
  <c r="P468" i="45"/>
  <c r="O468" i="45"/>
  <c r="N468" i="45"/>
  <c r="P466" i="45"/>
  <c r="O466" i="45"/>
  <c r="N466" i="45"/>
  <c r="P465" i="45"/>
  <c r="O465" i="45"/>
  <c r="N465" i="45"/>
  <c r="P464" i="45"/>
  <c r="O464" i="45"/>
  <c r="N464" i="45"/>
  <c r="P463" i="45"/>
  <c r="O463" i="45"/>
  <c r="N463" i="45"/>
  <c r="P461" i="45"/>
  <c r="O461" i="45"/>
  <c r="N461" i="45"/>
  <c r="P460" i="45"/>
  <c r="O460" i="45"/>
  <c r="N460" i="45"/>
  <c r="P459" i="45"/>
  <c r="O459" i="45"/>
  <c r="N459" i="45"/>
  <c r="P458" i="45"/>
  <c r="O458" i="45"/>
  <c r="N458" i="45"/>
  <c r="P457" i="45"/>
  <c r="O457" i="45"/>
  <c r="N457" i="45"/>
  <c r="P456" i="45"/>
  <c r="O456" i="45"/>
  <c r="N456" i="45"/>
  <c r="P455" i="45"/>
  <c r="O455" i="45"/>
  <c r="N455" i="45"/>
  <c r="P454" i="45"/>
  <c r="O454" i="45"/>
  <c r="N454" i="45"/>
  <c r="P453" i="45"/>
  <c r="O453" i="45"/>
  <c r="N453" i="45"/>
  <c r="P452" i="45"/>
  <c r="O452" i="45"/>
  <c r="N452" i="45"/>
  <c r="P451" i="45"/>
  <c r="O451" i="45"/>
  <c r="N451" i="45"/>
  <c r="P450" i="45"/>
  <c r="O450" i="45"/>
  <c r="N450" i="45"/>
  <c r="P449" i="45"/>
  <c r="O449" i="45"/>
  <c r="N449" i="45"/>
  <c r="P448" i="45"/>
  <c r="O448" i="45"/>
  <c r="N448" i="45"/>
  <c r="P446" i="45"/>
  <c r="O446" i="45"/>
  <c r="N446" i="45"/>
  <c r="P444" i="45"/>
  <c r="O444" i="45"/>
  <c r="N444" i="45"/>
  <c r="P443" i="45"/>
  <c r="O443" i="45"/>
  <c r="N443" i="45"/>
  <c r="P442" i="45"/>
  <c r="O442" i="45"/>
  <c r="N442" i="45"/>
  <c r="P441" i="45"/>
  <c r="O441" i="45"/>
  <c r="N441" i="45"/>
  <c r="P440" i="45"/>
  <c r="O440" i="45"/>
  <c r="N440" i="45"/>
  <c r="P438" i="45"/>
  <c r="O438" i="45"/>
  <c r="N438" i="45"/>
  <c r="P436" i="45"/>
  <c r="O436" i="45"/>
  <c r="N436" i="45"/>
  <c r="P435" i="45"/>
  <c r="O435" i="45"/>
  <c r="N435" i="45"/>
  <c r="P434" i="45"/>
  <c r="O434" i="45"/>
  <c r="N434" i="45"/>
  <c r="P433" i="45"/>
  <c r="O433" i="45"/>
  <c r="N433" i="45"/>
  <c r="P432" i="45"/>
  <c r="O432" i="45"/>
  <c r="N432" i="45"/>
  <c r="P431" i="45"/>
  <c r="O431" i="45"/>
  <c r="N431" i="45"/>
  <c r="P430" i="45"/>
  <c r="O430" i="45"/>
  <c r="N430" i="45"/>
  <c r="P429" i="45"/>
  <c r="O429" i="45"/>
  <c r="N429" i="45"/>
  <c r="P428" i="45"/>
  <c r="O428" i="45"/>
  <c r="N428" i="45"/>
  <c r="P427" i="45"/>
  <c r="O427" i="45"/>
  <c r="N427" i="45"/>
  <c r="P425" i="45"/>
  <c r="O425" i="45"/>
  <c r="N425" i="45"/>
  <c r="P424" i="45"/>
  <c r="O424" i="45"/>
  <c r="N424" i="45"/>
  <c r="P422" i="45"/>
  <c r="O422" i="45"/>
  <c r="N422" i="45"/>
  <c r="P420" i="45"/>
  <c r="O420" i="45"/>
  <c r="N420" i="45"/>
  <c r="P418" i="45"/>
  <c r="O418" i="45"/>
  <c r="N418" i="45"/>
  <c r="P416" i="45"/>
  <c r="O416" i="45"/>
  <c r="N416" i="45"/>
  <c r="P415" i="45"/>
  <c r="O415" i="45"/>
  <c r="N415" i="45"/>
  <c r="P414" i="45"/>
  <c r="O414" i="45"/>
  <c r="N414" i="45"/>
  <c r="P413" i="45"/>
  <c r="O413" i="45"/>
  <c r="N413" i="45"/>
  <c r="P412" i="45"/>
  <c r="O412" i="45"/>
  <c r="N412" i="45"/>
  <c r="P411" i="45"/>
  <c r="O411" i="45"/>
  <c r="N411" i="45"/>
  <c r="P410" i="45"/>
  <c r="O410" i="45"/>
  <c r="N410" i="45"/>
  <c r="P409" i="45"/>
  <c r="O409" i="45"/>
  <c r="N409" i="45"/>
  <c r="P408" i="45"/>
  <c r="O408" i="45"/>
  <c r="N408" i="45"/>
  <c r="P407" i="45"/>
  <c r="O407" i="45"/>
  <c r="N407" i="45"/>
  <c r="P406" i="45"/>
  <c r="O406" i="45"/>
  <c r="N406" i="45"/>
  <c r="P404" i="45"/>
  <c r="O404" i="45"/>
  <c r="N404" i="45"/>
  <c r="P403" i="45"/>
  <c r="O403" i="45"/>
  <c r="N403" i="45"/>
  <c r="P402" i="45"/>
  <c r="O402" i="45"/>
  <c r="N402" i="45"/>
  <c r="P400" i="45"/>
  <c r="O400" i="45"/>
  <c r="N400" i="45"/>
  <c r="P399" i="45"/>
  <c r="O399" i="45"/>
  <c r="N399" i="45"/>
  <c r="P398" i="45"/>
  <c r="O398" i="45"/>
  <c r="N398" i="45"/>
  <c r="P396" i="45"/>
  <c r="O396" i="45"/>
  <c r="N396" i="45"/>
  <c r="P394" i="45"/>
  <c r="O394" i="45"/>
  <c r="N394" i="45"/>
  <c r="P393" i="45"/>
  <c r="O393" i="45"/>
  <c r="N393" i="45"/>
  <c r="P392" i="45"/>
  <c r="O392" i="45"/>
  <c r="N392" i="45"/>
  <c r="P390" i="45"/>
  <c r="O390" i="45"/>
  <c r="N390" i="45"/>
  <c r="P388" i="45"/>
  <c r="O388" i="45"/>
  <c r="N388" i="45"/>
  <c r="P387" i="45"/>
  <c r="O387" i="45"/>
  <c r="N387" i="45"/>
  <c r="P386" i="45"/>
  <c r="O386" i="45"/>
  <c r="N386" i="45"/>
  <c r="P385" i="45"/>
  <c r="O385" i="45"/>
  <c r="N385" i="45"/>
  <c r="P384" i="45"/>
  <c r="O384" i="45"/>
  <c r="N384" i="45"/>
  <c r="P383" i="45"/>
  <c r="O383" i="45"/>
  <c r="N383" i="45"/>
  <c r="P381" i="45"/>
  <c r="O381" i="45"/>
  <c r="N381" i="45"/>
  <c r="P380" i="45"/>
  <c r="O380" i="45"/>
  <c r="N380" i="45"/>
  <c r="P379" i="45"/>
  <c r="O379" i="45"/>
  <c r="N379" i="45"/>
  <c r="P378" i="45"/>
  <c r="O378" i="45"/>
  <c r="N378" i="45"/>
  <c r="P377" i="45"/>
  <c r="O377" i="45"/>
  <c r="N377" i="45"/>
  <c r="P375" i="45"/>
  <c r="O375" i="45"/>
  <c r="N375" i="45"/>
  <c r="P374" i="45"/>
  <c r="O374" i="45"/>
  <c r="N374" i="45"/>
  <c r="P373" i="45"/>
  <c r="O373" i="45"/>
  <c r="N373" i="45"/>
  <c r="P372" i="45"/>
  <c r="O372" i="45"/>
  <c r="N372" i="45"/>
  <c r="P371" i="45"/>
  <c r="O371" i="45"/>
  <c r="N371" i="45"/>
  <c r="P370" i="45"/>
  <c r="O370" i="45"/>
  <c r="N370" i="45"/>
  <c r="P368" i="45"/>
  <c r="O368" i="45"/>
  <c r="N368" i="45"/>
  <c r="P366" i="45"/>
  <c r="O366" i="45"/>
  <c r="N366" i="45"/>
  <c r="P365" i="45"/>
  <c r="O365" i="45"/>
  <c r="N365" i="45"/>
  <c r="P364" i="45"/>
  <c r="O364" i="45"/>
  <c r="N364" i="45"/>
  <c r="P363" i="45"/>
  <c r="O363" i="45"/>
  <c r="N363" i="45"/>
  <c r="P362" i="45"/>
  <c r="O362" i="45"/>
  <c r="N362" i="45"/>
  <c r="P361" i="45"/>
  <c r="O361" i="45"/>
  <c r="N361" i="45"/>
  <c r="P360" i="45"/>
  <c r="O360" i="45"/>
  <c r="N360" i="45"/>
  <c r="P358" i="45"/>
  <c r="O358" i="45"/>
  <c r="N358" i="45"/>
  <c r="P357" i="45"/>
  <c r="O357" i="45"/>
  <c r="N357" i="45"/>
  <c r="P356" i="45"/>
  <c r="O356" i="45"/>
  <c r="N356" i="45"/>
  <c r="P355" i="45"/>
  <c r="O355" i="45"/>
  <c r="N355" i="45"/>
  <c r="P354" i="45"/>
  <c r="O354" i="45"/>
  <c r="N354" i="45"/>
  <c r="P353" i="45"/>
  <c r="O353" i="45"/>
  <c r="N353" i="45"/>
  <c r="P352" i="45"/>
  <c r="O352" i="45"/>
  <c r="N352" i="45"/>
  <c r="P350" i="45"/>
  <c r="O350" i="45"/>
  <c r="N350" i="45"/>
  <c r="P348" i="45"/>
  <c r="O348" i="45"/>
  <c r="N348" i="45"/>
  <c r="P347" i="45"/>
  <c r="O347" i="45"/>
  <c r="N347" i="45"/>
  <c r="P346" i="45"/>
  <c r="O346" i="45"/>
  <c r="N346" i="45"/>
  <c r="P344" i="45"/>
  <c r="O344" i="45"/>
  <c r="N344" i="45"/>
  <c r="P343" i="45"/>
  <c r="O343" i="45"/>
  <c r="N343" i="45"/>
  <c r="P342" i="45"/>
  <c r="O342" i="45"/>
  <c r="N342" i="45"/>
  <c r="P340" i="45"/>
  <c r="O340" i="45"/>
  <c r="N340" i="45"/>
  <c r="P338" i="45"/>
  <c r="O338" i="45"/>
  <c r="N338" i="45"/>
  <c r="P337" i="45"/>
  <c r="O337" i="45"/>
  <c r="N337" i="45"/>
  <c r="P336" i="45"/>
  <c r="O336" i="45"/>
  <c r="N336" i="45"/>
  <c r="P334" i="45"/>
  <c r="O334" i="45"/>
  <c r="N334" i="45"/>
  <c r="P333" i="45"/>
  <c r="O333" i="45"/>
  <c r="N333" i="45"/>
  <c r="P331" i="45"/>
  <c r="O331" i="45"/>
  <c r="N331" i="45"/>
  <c r="P330" i="45"/>
  <c r="O330" i="45"/>
  <c r="N330" i="45"/>
  <c r="P329" i="45"/>
  <c r="O329" i="45"/>
  <c r="N329" i="45"/>
  <c r="P327" i="45"/>
  <c r="O327" i="45"/>
  <c r="N327" i="45"/>
  <c r="P326" i="45"/>
  <c r="O326" i="45"/>
  <c r="N326" i="45"/>
  <c r="P325" i="45"/>
  <c r="O325" i="45"/>
  <c r="N325" i="45"/>
  <c r="P324" i="45"/>
  <c r="O324" i="45"/>
  <c r="N324" i="45"/>
  <c r="P322" i="45"/>
  <c r="O322" i="45"/>
  <c r="N322" i="45"/>
  <c r="P321" i="45"/>
  <c r="O321" i="45"/>
  <c r="N321" i="45"/>
  <c r="P320" i="45"/>
  <c r="O320" i="45"/>
  <c r="N320" i="45"/>
  <c r="P319" i="45"/>
  <c r="O319" i="45"/>
  <c r="N319" i="45"/>
  <c r="P318" i="45"/>
  <c r="O318" i="45"/>
  <c r="N318" i="45"/>
  <c r="P317" i="45"/>
  <c r="O317" i="45"/>
  <c r="N317" i="45"/>
  <c r="P316" i="45"/>
  <c r="O316" i="45"/>
  <c r="N316" i="45"/>
  <c r="P315" i="45"/>
  <c r="O315" i="45"/>
  <c r="N315" i="45"/>
  <c r="P314" i="45"/>
  <c r="O314" i="45"/>
  <c r="N314" i="45"/>
  <c r="P312" i="45"/>
  <c r="O312" i="45"/>
  <c r="N312" i="45"/>
  <c r="P311" i="45"/>
  <c r="O311" i="45"/>
  <c r="N311" i="45"/>
  <c r="P309" i="45"/>
  <c r="O309" i="45"/>
  <c r="N309" i="45"/>
  <c r="P308" i="45"/>
  <c r="O308" i="45"/>
  <c r="N308" i="45"/>
  <c r="P307" i="45"/>
  <c r="O307" i="45"/>
  <c r="N307" i="45"/>
  <c r="P306" i="45"/>
  <c r="O306" i="45"/>
  <c r="N306" i="45"/>
  <c r="P304" i="45"/>
  <c r="O304" i="45"/>
  <c r="N304" i="45"/>
  <c r="P303" i="45"/>
  <c r="O303" i="45"/>
  <c r="N303" i="45"/>
  <c r="P302" i="45"/>
  <c r="O302" i="45"/>
  <c r="N302" i="45"/>
  <c r="P301" i="45"/>
  <c r="O301" i="45"/>
  <c r="N301" i="45"/>
  <c r="P299" i="45"/>
  <c r="O299" i="45"/>
  <c r="N299" i="45"/>
  <c r="P298" i="45"/>
  <c r="O298" i="45"/>
  <c r="N298" i="45"/>
  <c r="P296" i="45"/>
  <c r="O296" i="45"/>
  <c r="N296" i="45"/>
  <c r="P295" i="45"/>
  <c r="O295" i="45"/>
  <c r="N295" i="45"/>
  <c r="P293" i="45"/>
  <c r="O293" i="45"/>
  <c r="N293" i="45"/>
  <c r="P292" i="45"/>
  <c r="O292" i="45"/>
  <c r="N292" i="45"/>
  <c r="P290" i="45"/>
  <c r="O290" i="45"/>
  <c r="N290" i="45"/>
  <c r="P289" i="45"/>
  <c r="O289" i="45"/>
  <c r="N289" i="45"/>
  <c r="P288" i="45"/>
  <c r="O288" i="45"/>
  <c r="N288" i="45"/>
  <c r="P286" i="45"/>
  <c r="O286" i="45"/>
  <c r="N286" i="45"/>
  <c r="P284" i="45"/>
  <c r="O284" i="45"/>
  <c r="N284" i="45"/>
  <c r="P283" i="45"/>
  <c r="O283" i="45"/>
  <c r="N283" i="45"/>
  <c r="P282" i="45"/>
  <c r="O282" i="45"/>
  <c r="N282" i="45"/>
  <c r="P281" i="45"/>
  <c r="O281" i="45"/>
  <c r="N281" i="45"/>
  <c r="P279" i="45"/>
  <c r="O279" i="45"/>
  <c r="N279" i="45"/>
  <c r="P278" i="45"/>
  <c r="O278" i="45"/>
  <c r="N278" i="45"/>
  <c r="P277" i="45"/>
  <c r="O277" i="45"/>
  <c r="N277" i="45"/>
  <c r="P275" i="45"/>
  <c r="O275" i="45"/>
  <c r="N275" i="45"/>
  <c r="P274" i="45"/>
  <c r="O274" i="45"/>
  <c r="N274" i="45"/>
  <c r="P273" i="45"/>
  <c r="O273" i="45"/>
  <c r="N273" i="45"/>
  <c r="P271" i="45"/>
  <c r="O271" i="45"/>
  <c r="N271" i="45"/>
  <c r="P270" i="45"/>
  <c r="O270" i="45"/>
  <c r="N270" i="45"/>
  <c r="P269" i="45"/>
  <c r="O269" i="45"/>
  <c r="N269" i="45"/>
  <c r="P267" i="45"/>
  <c r="O267" i="45"/>
  <c r="N267" i="45"/>
  <c r="P266" i="45"/>
  <c r="O266" i="45"/>
  <c r="N266" i="45"/>
  <c r="P265" i="45"/>
  <c r="O265" i="45"/>
  <c r="N265" i="45"/>
  <c r="P264" i="45"/>
  <c r="O264" i="45"/>
  <c r="N264" i="45"/>
  <c r="P263" i="45"/>
  <c r="O263" i="45"/>
  <c r="N263" i="45"/>
  <c r="P262" i="45"/>
  <c r="O262" i="45"/>
  <c r="N262" i="45"/>
  <c r="P261" i="45"/>
  <c r="O261" i="45"/>
  <c r="N261" i="45"/>
  <c r="P260" i="45"/>
  <c r="O260" i="45"/>
  <c r="N260" i="45"/>
  <c r="P258" i="45"/>
  <c r="O258" i="45"/>
  <c r="N258" i="45"/>
  <c r="P257" i="45"/>
  <c r="O257" i="45"/>
  <c r="N257" i="45"/>
  <c r="P256" i="45"/>
  <c r="O256" i="45"/>
  <c r="N256" i="45"/>
  <c r="P255" i="45"/>
  <c r="O255" i="45"/>
  <c r="N255" i="45"/>
  <c r="P253" i="45"/>
  <c r="O253" i="45"/>
  <c r="N253" i="45"/>
  <c r="P252" i="45"/>
  <c r="O252" i="45"/>
  <c r="N252" i="45"/>
  <c r="P251" i="45"/>
  <c r="O251" i="45"/>
  <c r="N251" i="45"/>
  <c r="P250" i="45"/>
  <c r="O250" i="45"/>
  <c r="N250" i="45"/>
  <c r="P249" i="45"/>
  <c r="O249" i="45"/>
  <c r="N249" i="45"/>
  <c r="P248" i="45"/>
  <c r="O248" i="45"/>
  <c r="N248" i="45"/>
  <c r="P247" i="45"/>
  <c r="O247" i="45"/>
  <c r="N247" i="45"/>
  <c r="P246" i="45"/>
  <c r="O246" i="45"/>
  <c r="N246" i="45"/>
  <c r="P244" i="45"/>
  <c r="O244" i="45"/>
  <c r="N244" i="45"/>
  <c r="P243" i="45"/>
  <c r="O243" i="45"/>
  <c r="N243" i="45"/>
  <c r="P241" i="45"/>
  <c r="O241" i="45"/>
  <c r="N241" i="45"/>
  <c r="P239" i="45"/>
  <c r="O239" i="45"/>
  <c r="N239" i="45"/>
  <c r="P237" i="45"/>
  <c r="O237" i="45"/>
  <c r="N237" i="45"/>
  <c r="P235" i="45"/>
  <c r="O235" i="45"/>
  <c r="N235" i="45"/>
  <c r="P234" i="45"/>
  <c r="O234" i="45"/>
  <c r="N234" i="45"/>
  <c r="P233" i="45"/>
  <c r="O233" i="45"/>
  <c r="N233" i="45"/>
  <c r="P232" i="45"/>
  <c r="O232" i="45"/>
  <c r="N232" i="45"/>
  <c r="P230" i="45"/>
  <c r="O230" i="45"/>
  <c r="N230" i="45"/>
  <c r="P228" i="45"/>
  <c r="O228" i="45"/>
  <c r="N228" i="45"/>
  <c r="P227" i="45"/>
  <c r="O227" i="45"/>
  <c r="N227" i="45"/>
  <c r="P226" i="45"/>
  <c r="O226" i="45"/>
  <c r="N226" i="45"/>
  <c r="P225" i="45"/>
  <c r="O225" i="45"/>
  <c r="N225" i="45"/>
  <c r="P224" i="45"/>
  <c r="O224" i="45"/>
  <c r="N224" i="45"/>
  <c r="P223" i="45"/>
  <c r="O223" i="45"/>
  <c r="N223" i="45"/>
  <c r="P222" i="45"/>
  <c r="O222" i="45"/>
  <c r="N222" i="45"/>
  <c r="P221" i="45"/>
  <c r="O221" i="45"/>
  <c r="N221" i="45"/>
  <c r="P220" i="45"/>
  <c r="O220" i="45"/>
  <c r="N220" i="45"/>
  <c r="P219" i="45"/>
  <c r="O219" i="45"/>
  <c r="N219" i="45"/>
  <c r="P218" i="45"/>
  <c r="O218" i="45"/>
  <c r="N218" i="45"/>
  <c r="P217" i="45"/>
  <c r="O217" i="45"/>
  <c r="N217" i="45"/>
  <c r="P216" i="45"/>
  <c r="O216" i="45"/>
  <c r="N216" i="45"/>
  <c r="P215" i="45"/>
  <c r="O215" i="45"/>
  <c r="N215" i="45"/>
  <c r="P213" i="45"/>
  <c r="O213" i="45"/>
  <c r="N213" i="45"/>
  <c r="P212" i="45"/>
  <c r="O212" i="45"/>
  <c r="N212" i="45"/>
  <c r="P211" i="45"/>
  <c r="O211" i="45"/>
  <c r="N211" i="45"/>
  <c r="P210" i="45"/>
  <c r="O210" i="45"/>
  <c r="N210" i="45"/>
  <c r="P209" i="45"/>
  <c r="O209" i="45"/>
  <c r="N209" i="45"/>
  <c r="P208" i="45"/>
  <c r="O208" i="45"/>
  <c r="N208" i="45"/>
  <c r="P207" i="45"/>
  <c r="O207" i="45"/>
  <c r="N207" i="45"/>
  <c r="P206" i="45"/>
  <c r="O206" i="45"/>
  <c r="N206" i="45"/>
  <c r="P205" i="45"/>
  <c r="O205" i="45"/>
  <c r="N205" i="45"/>
  <c r="P204" i="45"/>
  <c r="O204" i="45"/>
  <c r="N204" i="45"/>
  <c r="P203" i="45"/>
  <c r="O203" i="45"/>
  <c r="N203" i="45"/>
  <c r="P202" i="45"/>
  <c r="O202" i="45"/>
  <c r="N202" i="45"/>
  <c r="P201" i="45"/>
  <c r="O201" i="45"/>
  <c r="N201" i="45"/>
  <c r="P200" i="45"/>
  <c r="O200" i="45"/>
  <c r="N200" i="45"/>
  <c r="P199" i="45"/>
  <c r="O199" i="45"/>
  <c r="N199" i="45"/>
  <c r="P198" i="45"/>
  <c r="O198" i="45"/>
  <c r="N198" i="45"/>
  <c r="P197" i="45"/>
  <c r="O197" i="45"/>
  <c r="N197" i="45"/>
  <c r="P196" i="45"/>
  <c r="O196" i="45"/>
  <c r="N196" i="45"/>
  <c r="P195" i="45"/>
  <c r="O195" i="45"/>
  <c r="N195" i="45"/>
  <c r="P194" i="45"/>
  <c r="O194" i="45"/>
  <c r="N194" i="45"/>
  <c r="P193" i="45"/>
  <c r="O193" i="45"/>
  <c r="N193" i="45"/>
  <c r="P192" i="45"/>
  <c r="O192" i="45"/>
  <c r="N192" i="45"/>
  <c r="P191" i="45"/>
  <c r="O191" i="45"/>
  <c r="N191" i="45"/>
  <c r="P190" i="45"/>
  <c r="O190" i="45"/>
  <c r="N190" i="45"/>
  <c r="P189" i="45"/>
  <c r="O189" i="45"/>
  <c r="N189" i="45"/>
  <c r="P188" i="45"/>
  <c r="O188" i="45"/>
  <c r="N188" i="45"/>
  <c r="P186" i="45"/>
  <c r="O186" i="45"/>
  <c r="N186" i="45"/>
  <c r="P185" i="45"/>
  <c r="O185" i="45"/>
  <c r="N185" i="45"/>
  <c r="P184" i="45"/>
  <c r="O184" i="45"/>
  <c r="N184" i="45"/>
  <c r="P183" i="45"/>
  <c r="O183" i="45"/>
  <c r="N183" i="45"/>
  <c r="P182" i="45"/>
  <c r="O182" i="45"/>
  <c r="N182" i="45"/>
  <c r="P180" i="45"/>
  <c r="O180" i="45"/>
  <c r="N180" i="45"/>
  <c r="P179" i="45"/>
  <c r="O179" i="45"/>
  <c r="N179" i="45"/>
  <c r="P178" i="45"/>
  <c r="O178" i="45"/>
  <c r="N178" i="45"/>
  <c r="P177" i="45"/>
  <c r="O177" i="45"/>
  <c r="N177" i="45"/>
  <c r="P176" i="45"/>
  <c r="O176" i="45"/>
  <c r="N176" i="45"/>
  <c r="P175" i="45"/>
  <c r="O175" i="45"/>
  <c r="N175" i="45"/>
  <c r="P173" i="45"/>
  <c r="O173" i="45"/>
  <c r="N173" i="45"/>
  <c r="P172" i="45"/>
  <c r="O172" i="45"/>
  <c r="N172" i="45"/>
  <c r="P170" i="45"/>
  <c r="O170" i="45"/>
  <c r="N170" i="45"/>
  <c r="P169" i="45"/>
  <c r="O169" i="45"/>
  <c r="N169" i="45"/>
  <c r="P168" i="45"/>
  <c r="O168" i="45"/>
  <c r="N168" i="45"/>
  <c r="P167" i="45"/>
  <c r="O167" i="45"/>
  <c r="N167" i="45"/>
  <c r="P166" i="45"/>
  <c r="O166" i="45"/>
  <c r="N166" i="45"/>
  <c r="P164" i="45"/>
  <c r="O164" i="45"/>
  <c r="N164" i="45"/>
  <c r="P162" i="45"/>
  <c r="O162" i="45"/>
  <c r="N162" i="45"/>
  <c r="P160" i="45"/>
  <c r="O160" i="45"/>
  <c r="N160" i="45"/>
  <c r="P158" i="45"/>
  <c r="O158" i="45"/>
  <c r="N158" i="45"/>
  <c r="P156" i="45"/>
  <c r="O156" i="45"/>
  <c r="N156" i="45"/>
  <c r="P155" i="45"/>
  <c r="O155" i="45"/>
  <c r="N155" i="45"/>
  <c r="P154" i="45"/>
  <c r="O154" i="45"/>
  <c r="N154" i="45"/>
  <c r="P152" i="45"/>
  <c r="O152" i="45"/>
  <c r="N152" i="45"/>
  <c r="P150" i="45"/>
  <c r="O150" i="45"/>
  <c r="N150" i="45"/>
  <c r="P148" i="45"/>
  <c r="O148" i="45"/>
  <c r="N148" i="45"/>
  <c r="P147" i="45"/>
  <c r="O147" i="45"/>
  <c r="N147" i="45"/>
  <c r="P146" i="45"/>
  <c r="O146" i="45"/>
  <c r="N146" i="45"/>
  <c r="P145" i="45"/>
  <c r="O145" i="45"/>
  <c r="N145" i="45"/>
  <c r="P144" i="45"/>
  <c r="O144" i="45"/>
  <c r="N144" i="45"/>
  <c r="P143" i="45"/>
  <c r="O143" i="45"/>
  <c r="N143" i="45"/>
  <c r="P142" i="45"/>
  <c r="O142" i="45"/>
  <c r="N142" i="45"/>
  <c r="P140" i="45"/>
  <c r="O140" i="45"/>
  <c r="N140" i="45"/>
  <c r="P139" i="45"/>
  <c r="O139" i="45"/>
  <c r="N139" i="45"/>
  <c r="P137" i="45"/>
  <c r="O137" i="45"/>
  <c r="N137" i="45"/>
  <c r="P136" i="45"/>
  <c r="O136" i="45"/>
  <c r="N136" i="45"/>
  <c r="P135" i="45"/>
  <c r="O135" i="45"/>
  <c r="N135" i="45"/>
  <c r="P133" i="45"/>
  <c r="O133" i="45"/>
  <c r="N133" i="45"/>
  <c r="P132" i="45"/>
  <c r="O132" i="45"/>
  <c r="N132" i="45"/>
  <c r="P131" i="45"/>
  <c r="O131" i="45"/>
  <c r="N131" i="45"/>
  <c r="P130" i="45"/>
  <c r="O130" i="45"/>
  <c r="N130" i="45"/>
  <c r="P129" i="45"/>
  <c r="O129" i="45"/>
  <c r="N129" i="45"/>
  <c r="P128" i="45"/>
  <c r="O128" i="45"/>
  <c r="N128" i="45"/>
  <c r="P126" i="45"/>
  <c r="O126" i="45"/>
  <c r="N126" i="45"/>
  <c r="P125" i="45"/>
  <c r="O125" i="45"/>
  <c r="N125" i="45"/>
  <c r="P124" i="45"/>
  <c r="O124" i="45"/>
  <c r="N124" i="45"/>
  <c r="P123" i="45"/>
  <c r="O123" i="45"/>
  <c r="N123" i="45"/>
  <c r="P122" i="45"/>
  <c r="O122" i="45"/>
  <c r="N122" i="45"/>
  <c r="P121" i="45"/>
  <c r="O121" i="45"/>
  <c r="N121" i="45"/>
  <c r="P120" i="45"/>
  <c r="O120" i="45"/>
  <c r="N120" i="45"/>
  <c r="P119" i="45"/>
  <c r="O119" i="45"/>
  <c r="N119" i="45"/>
  <c r="P118" i="45"/>
  <c r="O118" i="45"/>
  <c r="N118" i="45"/>
  <c r="P116" i="45"/>
  <c r="O116" i="45"/>
  <c r="N116" i="45"/>
  <c r="P115" i="45"/>
  <c r="O115" i="45"/>
  <c r="N115" i="45"/>
  <c r="P113" i="45"/>
  <c r="O113" i="45"/>
  <c r="N113" i="45"/>
  <c r="P112" i="45"/>
  <c r="O112" i="45"/>
  <c r="N112" i="45"/>
  <c r="P111" i="45"/>
  <c r="O111" i="45"/>
  <c r="N111" i="45"/>
  <c r="P110" i="45"/>
  <c r="O110" i="45"/>
  <c r="N110" i="45"/>
  <c r="P109" i="45"/>
  <c r="O109" i="45"/>
  <c r="N109" i="45"/>
  <c r="P108" i="45"/>
  <c r="O108" i="45"/>
  <c r="N108" i="45"/>
  <c r="P106" i="45"/>
  <c r="O106" i="45"/>
  <c r="N106" i="45"/>
  <c r="P105" i="45"/>
  <c r="O105" i="45"/>
  <c r="N105" i="45"/>
  <c r="P104" i="45"/>
  <c r="O104" i="45"/>
  <c r="N104" i="45"/>
  <c r="P103" i="45"/>
  <c r="O103" i="45"/>
  <c r="N103" i="45"/>
  <c r="P102" i="45"/>
  <c r="O102" i="45"/>
  <c r="N102" i="45"/>
  <c r="P101" i="45"/>
  <c r="O101" i="45"/>
  <c r="N101" i="45"/>
  <c r="P100" i="45"/>
  <c r="O100" i="45"/>
  <c r="N100" i="45"/>
  <c r="P98" i="45"/>
  <c r="O98" i="45"/>
  <c r="N98" i="45"/>
  <c r="P97" i="45"/>
  <c r="O97" i="45"/>
  <c r="N97" i="45"/>
  <c r="P96" i="45"/>
  <c r="O96" i="45"/>
  <c r="N96" i="45"/>
  <c r="P95" i="45"/>
  <c r="O95" i="45"/>
  <c r="N95" i="45"/>
  <c r="P94" i="45"/>
  <c r="O94" i="45"/>
  <c r="N94" i="45"/>
  <c r="P93" i="45"/>
  <c r="O93" i="45"/>
  <c r="N93" i="45"/>
  <c r="P92" i="45"/>
  <c r="O92" i="45"/>
  <c r="N92" i="45"/>
  <c r="P91" i="45"/>
  <c r="O91" i="45"/>
  <c r="N91" i="45"/>
  <c r="P89" i="45"/>
  <c r="O89" i="45"/>
  <c r="N89" i="45"/>
  <c r="P88" i="45"/>
  <c r="O88" i="45"/>
  <c r="N88" i="45"/>
  <c r="P87" i="45"/>
  <c r="O87" i="45"/>
  <c r="N87" i="45"/>
  <c r="P86" i="45"/>
  <c r="O86" i="45"/>
  <c r="N86" i="45"/>
  <c r="P85" i="45"/>
  <c r="O85" i="45"/>
  <c r="N85" i="45"/>
  <c r="P84" i="45"/>
  <c r="O84" i="45"/>
  <c r="N84" i="45"/>
  <c r="P83" i="45"/>
  <c r="O83" i="45"/>
  <c r="N83" i="45"/>
  <c r="P82" i="45"/>
  <c r="O82" i="45"/>
  <c r="N82" i="45"/>
  <c r="P81" i="45"/>
  <c r="O81" i="45"/>
  <c r="N81" i="45"/>
  <c r="P80" i="45"/>
  <c r="O80" i="45"/>
  <c r="N80" i="45"/>
  <c r="P79" i="45"/>
  <c r="O79" i="45"/>
  <c r="N79" i="45"/>
  <c r="P78" i="45"/>
  <c r="O78" i="45"/>
  <c r="N78" i="45"/>
  <c r="P77" i="45"/>
  <c r="O77" i="45"/>
  <c r="N77" i="45"/>
  <c r="P76" i="45"/>
  <c r="O76" i="45"/>
  <c r="N76" i="45"/>
  <c r="P75" i="45"/>
  <c r="O75" i="45"/>
  <c r="N75" i="45"/>
  <c r="P74" i="45"/>
  <c r="O74" i="45"/>
  <c r="N74" i="45"/>
  <c r="P73" i="45"/>
  <c r="O73" i="45"/>
  <c r="N73" i="45"/>
  <c r="P72" i="45"/>
  <c r="O72" i="45"/>
  <c r="N72" i="45"/>
  <c r="P71" i="45"/>
  <c r="O71" i="45"/>
  <c r="N71" i="45"/>
  <c r="P70" i="45"/>
  <c r="O70" i="45"/>
  <c r="N70" i="45"/>
  <c r="P68" i="45"/>
  <c r="O68" i="45"/>
  <c r="N68" i="45"/>
  <c r="P67" i="45"/>
  <c r="O67" i="45"/>
  <c r="N67" i="45"/>
  <c r="P66" i="45"/>
  <c r="O66" i="45"/>
  <c r="N66" i="45"/>
  <c r="P65" i="45"/>
  <c r="O65" i="45"/>
  <c r="N65" i="45"/>
  <c r="P64" i="45"/>
  <c r="O64" i="45"/>
  <c r="N64" i="45"/>
  <c r="P63" i="45"/>
  <c r="O63" i="45"/>
  <c r="N63" i="45"/>
  <c r="P62" i="45"/>
  <c r="O62" i="45"/>
  <c r="N62" i="45"/>
  <c r="P60" i="45"/>
  <c r="O60" i="45"/>
  <c r="N60" i="45"/>
  <c r="P59" i="45"/>
  <c r="O59" i="45"/>
  <c r="N59" i="45"/>
  <c r="P58" i="45"/>
  <c r="O58" i="45"/>
  <c r="N58" i="45"/>
  <c r="P57" i="45"/>
  <c r="O57" i="45"/>
  <c r="N57" i="45"/>
  <c r="P56" i="45"/>
  <c r="O56" i="45"/>
  <c r="N56" i="45"/>
  <c r="P55" i="45"/>
  <c r="O55" i="45"/>
  <c r="N55" i="45"/>
  <c r="P54" i="45"/>
  <c r="O54" i="45"/>
  <c r="N54" i="45"/>
  <c r="P53" i="45"/>
  <c r="O53" i="45"/>
  <c r="N53" i="45"/>
  <c r="P52" i="45"/>
  <c r="O52" i="45"/>
  <c r="N52" i="45"/>
  <c r="P50" i="45"/>
  <c r="O50" i="45"/>
  <c r="N50" i="45"/>
  <c r="P49" i="45"/>
  <c r="O49" i="45"/>
  <c r="N49" i="45"/>
  <c r="P48" i="45"/>
  <c r="O48" i="45"/>
  <c r="N48" i="45"/>
  <c r="P46" i="45"/>
  <c r="O46" i="45"/>
  <c r="N46" i="45"/>
  <c r="P45" i="45"/>
  <c r="O45" i="45"/>
  <c r="N45" i="45"/>
  <c r="P44" i="45"/>
  <c r="O44" i="45"/>
  <c r="N44" i="45"/>
  <c r="P43" i="45"/>
  <c r="O43" i="45"/>
  <c r="N43" i="45"/>
  <c r="P42" i="45"/>
  <c r="O42" i="45"/>
  <c r="N42" i="45"/>
  <c r="P41" i="45"/>
  <c r="O41" i="45"/>
  <c r="N41" i="45"/>
  <c r="P40" i="45"/>
  <c r="O40" i="45"/>
  <c r="N40" i="45"/>
  <c r="P39" i="45"/>
  <c r="O39" i="45"/>
  <c r="N39" i="45"/>
  <c r="P38" i="45"/>
  <c r="O38" i="45"/>
  <c r="N38" i="45"/>
  <c r="P37" i="45"/>
  <c r="O37" i="45"/>
  <c r="N37" i="45"/>
  <c r="P35" i="45"/>
  <c r="O35" i="45"/>
  <c r="N35" i="45"/>
  <c r="P34" i="45"/>
  <c r="O34" i="45"/>
  <c r="N34" i="45"/>
  <c r="P33" i="45"/>
  <c r="O33" i="45"/>
  <c r="N33" i="45"/>
  <c r="P32" i="45"/>
  <c r="O32" i="45"/>
  <c r="N32" i="45"/>
  <c r="P31" i="45"/>
  <c r="O31" i="45"/>
  <c r="N31" i="45"/>
  <c r="P30" i="45"/>
  <c r="O30" i="45"/>
  <c r="N30" i="45"/>
  <c r="P29" i="45"/>
  <c r="O29" i="45"/>
  <c r="N29" i="45"/>
  <c r="P28" i="45"/>
  <c r="O28" i="45"/>
  <c r="N28" i="45"/>
  <c r="P27" i="45"/>
  <c r="O27" i="45"/>
  <c r="N27" i="45"/>
  <c r="P26" i="45"/>
  <c r="O26" i="45"/>
  <c r="N26" i="45"/>
  <c r="P25" i="45"/>
  <c r="O25" i="45"/>
  <c r="N25" i="45"/>
  <c r="P24" i="45"/>
  <c r="O24" i="45"/>
  <c r="N24" i="45"/>
  <c r="P23" i="45"/>
  <c r="O23" i="45"/>
  <c r="N23" i="45"/>
  <c r="P22" i="45"/>
  <c r="O22" i="45"/>
  <c r="N22" i="45"/>
  <c r="C60" i="36" l="1"/>
  <c r="A60" i="45" s="1"/>
  <c r="C64" i="36"/>
  <c r="A64" i="45" s="1"/>
  <c r="C65" i="36"/>
  <c r="A65" i="45" s="1"/>
  <c r="C66" i="36"/>
  <c r="A66" i="45" s="1"/>
  <c r="C73" i="36"/>
  <c r="A73" i="45" s="1"/>
  <c r="C74" i="36"/>
  <c r="A74" i="45" s="1"/>
  <c r="C77" i="36"/>
  <c r="A77" i="45" s="1"/>
  <c r="C79" i="36"/>
  <c r="A79" i="45" s="1"/>
  <c r="C82" i="36"/>
  <c r="A82" i="45" s="1"/>
  <c r="C84" i="36"/>
  <c r="A84" i="45" s="1"/>
  <c r="C85" i="36"/>
  <c r="A85" i="45" s="1"/>
  <c r="C86" i="36"/>
  <c r="A86" i="45" s="1"/>
  <c r="C91" i="36"/>
  <c r="A91" i="45" s="1"/>
  <c r="C92" i="36"/>
  <c r="A92" i="45" s="1"/>
  <c r="C93" i="36"/>
  <c r="A93" i="45" s="1"/>
  <c r="C94" i="36"/>
  <c r="A94" i="45" s="1"/>
  <c r="C95" i="36"/>
  <c r="A95" i="45" s="1"/>
  <c r="C96" i="36"/>
  <c r="A96" i="45" s="1"/>
  <c r="C97" i="36"/>
  <c r="A97" i="45" s="1"/>
  <c r="C98" i="36"/>
  <c r="A98" i="45" s="1"/>
  <c r="C110" i="36"/>
  <c r="A110" i="45" s="1"/>
  <c r="C111" i="36"/>
  <c r="A111" i="45" s="1"/>
  <c r="C130" i="36"/>
  <c r="A130" i="45" s="1"/>
  <c r="C170" i="36"/>
  <c r="A170" i="45" s="1"/>
  <c r="C173" i="36"/>
  <c r="A173" i="45" s="1"/>
  <c r="C179" i="36"/>
  <c r="A179" i="45" s="1"/>
  <c r="C182" i="36"/>
  <c r="A182" i="45" s="1"/>
  <c r="C183" i="36"/>
  <c r="A183" i="45" s="1"/>
  <c r="C184" i="36"/>
  <c r="A184" i="45" s="1"/>
  <c r="C185" i="36"/>
  <c r="A185" i="45" s="1"/>
  <c r="C186" i="36"/>
  <c r="A186" i="45" s="1"/>
  <c r="C216" i="36"/>
  <c r="A216" i="45" s="1"/>
  <c r="C222" i="36"/>
  <c r="A222" i="45" s="1"/>
  <c r="C227" i="36"/>
  <c r="A227" i="45" s="1"/>
  <c r="C283" i="36"/>
  <c r="A283" i="45" s="1"/>
  <c r="C306" i="36"/>
  <c r="A306" i="45" s="1"/>
  <c r="C340" i="36"/>
  <c r="A340" i="45" s="1"/>
  <c r="C352" i="36"/>
  <c r="A352" i="45" s="1"/>
  <c r="C370" i="36"/>
  <c r="A370" i="45" s="1"/>
  <c r="C400" i="36"/>
  <c r="A400" i="45" s="1"/>
  <c r="C410" i="36"/>
  <c r="A410" i="45" s="1"/>
  <c r="C418" i="36"/>
  <c r="A418" i="45" s="1"/>
  <c r="C420" i="36"/>
  <c r="A420" i="45" s="1"/>
  <c r="C422" i="36"/>
  <c r="A422" i="45" s="1"/>
  <c r="C425" i="36"/>
  <c r="A425" i="45" s="1"/>
  <c r="C23" i="36"/>
  <c r="A23" i="45" s="1"/>
  <c r="C30" i="36"/>
  <c r="A30" i="45" s="1"/>
  <c r="C38" i="36"/>
  <c r="A38" i="45" s="1"/>
  <c r="J3" i="17"/>
  <c r="K3" i="17" s="1"/>
  <c r="L3" i="17" s="1"/>
  <c r="J4" i="17" l="1"/>
  <c r="J5" i="17" l="1"/>
  <c r="K4" i="17"/>
  <c r="L4" i="17" s="1"/>
  <c r="J6" i="17" l="1"/>
  <c r="K5" i="17"/>
  <c r="L5" i="17" s="1"/>
  <c r="K6" i="17" l="1"/>
  <c r="L6" i="17" s="1"/>
  <c r="J7" i="17"/>
  <c r="K7" i="17" l="1"/>
  <c r="L7" i="17" s="1"/>
  <c r="J8" i="17"/>
  <c r="J9" i="17" l="1"/>
  <c r="K8" i="17"/>
  <c r="L8" i="17" s="1"/>
  <c r="J10" i="17" l="1"/>
  <c r="K9" i="17"/>
  <c r="L9" i="17" s="1"/>
  <c r="J11" i="17" l="1"/>
  <c r="K10" i="17"/>
  <c r="L10" i="17" s="1"/>
  <c r="J12" i="17" l="1"/>
  <c r="K11" i="17"/>
  <c r="L11" i="17" s="1"/>
  <c r="K12" i="17" l="1"/>
  <c r="L12" i="17" s="1"/>
  <c r="J13" i="17"/>
  <c r="J14" i="17" l="1"/>
  <c r="K13" i="17"/>
  <c r="L13" i="17" s="1"/>
  <c r="K14" i="17" l="1"/>
  <c r="L14" i="17" s="1"/>
  <c r="J15" i="17"/>
  <c r="K15" i="17" l="1"/>
  <c r="L15" i="17" s="1"/>
  <c r="J16" i="17"/>
  <c r="K16" i="17" l="1"/>
  <c r="L16" i="17" s="1"/>
  <c r="J17" i="17"/>
  <c r="J18" i="17" l="1"/>
  <c r="K17" i="17"/>
  <c r="L17" i="17" s="1"/>
  <c r="K18" i="17" l="1"/>
  <c r="L18" i="17" s="1"/>
  <c r="J19" i="17"/>
  <c r="K19" i="17" l="1"/>
  <c r="L19" i="17" s="1"/>
  <c r="J20" i="17"/>
  <c r="J21" i="17" l="1"/>
  <c r="K20" i="17"/>
  <c r="L20" i="17" s="1"/>
  <c r="J22" i="17" l="1"/>
  <c r="K21" i="17"/>
  <c r="L21" i="17" s="1"/>
  <c r="J23" i="17" l="1"/>
  <c r="K22" i="17"/>
  <c r="L22" i="17" s="1"/>
  <c r="K23" i="17" l="1"/>
  <c r="L23" i="17" s="1"/>
  <c r="J24" i="17"/>
  <c r="J25" i="17" l="1"/>
  <c r="K24" i="17"/>
  <c r="L24" i="17" s="1"/>
  <c r="J26" i="17" l="1"/>
  <c r="K25" i="17"/>
  <c r="L25" i="17" s="1"/>
  <c r="J27" i="17" l="1"/>
  <c r="K26" i="17"/>
  <c r="L26" i="17" s="1"/>
  <c r="J28" i="17" l="1"/>
  <c r="K27" i="17"/>
  <c r="L27" i="17" s="1"/>
  <c r="K28" i="17" l="1"/>
  <c r="L28" i="17" s="1"/>
  <c r="J29" i="17"/>
  <c r="J30" i="17" l="1"/>
  <c r="K29" i="17"/>
  <c r="L29" i="17" s="1"/>
  <c r="J31" i="17" l="1"/>
  <c r="K30" i="17"/>
  <c r="L30" i="17" s="1"/>
  <c r="K31" i="17" l="1"/>
  <c r="L31" i="17" s="1"/>
  <c r="J32" i="17"/>
  <c r="J33" i="17" l="1"/>
  <c r="K32" i="17"/>
  <c r="L32" i="17" s="1"/>
  <c r="J34" i="17" l="1"/>
  <c r="K33" i="17"/>
  <c r="L33" i="17" s="1"/>
  <c r="J35" i="17" l="1"/>
  <c r="K34" i="17"/>
  <c r="L34" i="17" s="1"/>
  <c r="K35" i="17" l="1"/>
  <c r="L35" i="17" s="1"/>
  <c r="J36" i="17"/>
  <c r="K36" i="17" l="1"/>
  <c r="L36" i="17" s="1"/>
  <c r="J37" i="17"/>
  <c r="J38" i="17" l="1"/>
  <c r="K37" i="17"/>
  <c r="L37" i="17" s="1"/>
  <c r="K38" i="17" l="1"/>
  <c r="L38" i="17" s="1"/>
  <c r="J39" i="17"/>
  <c r="K39" i="17" l="1"/>
  <c r="L39" i="17" s="1"/>
  <c r="J40" i="17"/>
  <c r="K40" i="17" l="1"/>
  <c r="L40" i="17" s="1"/>
  <c r="J41" i="17"/>
  <c r="J42" i="17" l="1"/>
  <c r="K41" i="17"/>
  <c r="L41" i="17" s="1"/>
  <c r="J43" i="17" l="1"/>
  <c r="K42" i="17"/>
  <c r="L42" i="17" s="1"/>
  <c r="K43" i="17" l="1"/>
  <c r="L43" i="17" s="1"/>
  <c r="J44" i="17"/>
  <c r="K44" i="17" l="1"/>
  <c r="L44" i="17" s="1"/>
  <c r="J45" i="17"/>
  <c r="J46" i="17" l="1"/>
  <c r="K45" i="17"/>
  <c r="L45" i="17" s="1"/>
  <c r="K46" i="17" l="1"/>
  <c r="L46" i="17" s="1"/>
  <c r="J47" i="17"/>
  <c r="K47" i="17" l="1"/>
  <c r="L47" i="17" s="1"/>
  <c r="J48" i="17"/>
  <c r="J49" i="17" l="1"/>
  <c r="K48" i="17"/>
  <c r="L48" i="17" s="1"/>
  <c r="J50" i="17" l="1"/>
  <c r="K49" i="17"/>
  <c r="L49" i="17" s="1"/>
  <c r="J51" i="17" l="1"/>
  <c r="K50" i="17"/>
  <c r="L50" i="17" s="1"/>
  <c r="K51" i="17" l="1"/>
  <c r="L51" i="17" s="1"/>
  <c r="J52" i="17"/>
  <c r="K52" i="17" l="1"/>
  <c r="L52" i="17" s="1"/>
  <c r="J53" i="17"/>
  <c r="J54" i="17" l="1"/>
  <c r="K53" i="17"/>
  <c r="L53" i="17" s="1"/>
  <c r="K54" i="17" l="1"/>
  <c r="L54" i="17" s="1"/>
  <c r="J55" i="17"/>
  <c r="K55" i="17" l="1"/>
  <c r="L55" i="17" s="1"/>
  <c r="J56" i="17"/>
  <c r="J57" i="17" l="1"/>
  <c r="K56" i="17"/>
  <c r="L56" i="17" s="1"/>
  <c r="J58" i="17" l="1"/>
  <c r="K57" i="17"/>
  <c r="L57" i="17" s="1"/>
  <c r="J59" i="17" l="1"/>
  <c r="K58" i="17"/>
  <c r="L58" i="17" s="1"/>
  <c r="K59" i="17" l="1"/>
  <c r="L59" i="17" s="1"/>
  <c r="J60" i="17"/>
  <c r="K60" i="17" l="1"/>
  <c r="L60" i="17" s="1"/>
  <c r="J61" i="17"/>
  <c r="J62" i="17" l="1"/>
  <c r="K61" i="17"/>
  <c r="L61" i="17" s="1"/>
  <c r="K62" i="17" l="1"/>
  <c r="L62" i="17" s="1"/>
  <c r="J63" i="17"/>
  <c r="K63" i="17" l="1"/>
  <c r="L63" i="17" s="1"/>
  <c r="J64" i="17"/>
  <c r="J65" i="17" l="1"/>
  <c r="K64" i="17"/>
  <c r="L64" i="17" s="1"/>
  <c r="J66" i="17" l="1"/>
  <c r="K65" i="17"/>
  <c r="L65" i="17" s="1"/>
  <c r="J67" i="17" l="1"/>
  <c r="K66" i="17"/>
  <c r="L66" i="17" s="1"/>
  <c r="K67" i="17" l="1"/>
  <c r="L67" i="17" s="1"/>
  <c r="J68" i="17"/>
  <c r="K68" i="17" l="1"/>
  <c r="L68" i="17" s="1"/>
  <c r="J69" i="17"/>
  <c r="K69" i="17" l="1"/>
  <c r="L69" i="17" s="1"/>
  <c r="J70" i="17"/>
  <c r="K70" i="17" l="1"/>
  <c r="L70" i="17" s="1"/>
  <c r="J71" i="17"/>
  <c r="J72" i="17" l="1"/>
  <c r="K71" i="17"/>
  <c r="L71" i="17" s="1"/>
  <c r="J73" i="17" l="1"/>
  <c r="K72" i="17"/>
  <c r="L72" i="17" s="1"/>
  <c r="K73" i="17" l="1"/>
  <c r="L73" i="17" s="1"/>
  <c r="J74" i="17"/>
  <c r="J75" i="17" l="1"/>
  <c r="K74" i="17"/>
  <c r="L74" i="17" s="1"/>
  <c r="J76" i="17" l="1"/>
  <c r="K75" i="17"/>
  <c r="L75" i="17" s="1"/>
  <c r="K76" i="17" l="1"/>
  <c r="L76" i="17" s="1"/>
  <c r="J77" i="17"/>
  <c r="K77" i="17" l="1"/>
  <c r="L77" i="17" s="1"/>
  <c r="J78" i="17"/>
  <c r="K78" i="17" l="1"/>
  <c r="L78" i="17" s="1"/>
  <c r="J79" i="17"/>
  <c r="J80" i="17" l="1"/>
  <c r="K79" i="17"/>
  <c r="L79" i="17" s="1"/>
  <c r="J81" i="17" l="1"/>
  <c r="K80" i="17"/>
  <c r="L80" i="17" s="1"/>
  <c r="K81" i="17" l="1"/>
  <c r="L81" i="17" s="1"/>
  <c r="J82" i="17"/>
  <c r="K82" i="17" l="1"/>
  <c r="L82" i="17" s="1"/>
  <c r="J83" i="17"/>
  <c r="J84" i="17" l="1"/>
  <c r="K83" i="17"/>
  <c r="L83" i="17" s="1"/>
  <c r="J85" i="17" l="1"/>
  <c r="K84" i="17"/>
  <c r="L84" i="17" s="1"/>
  <c r="K85" i="17" l="1"/>
  <c r="L85" i="17" s="1"/>
  <c r="J86" i="17"/>
  <c r="K86" i="17" l="1"/>
  <c r="L86" i="17" s="1"/>
  <c r="J87" i="17"/>
  <c r="J88" i="17" l="1"/>
  <c r="K87" i="17"/>
  <c r="L87" i="17" s="1"/>
  <c r="J89" i="17" l="1"/>
  <c r="K88" i="17"/>
  <c r="L88" i="17" s="1"/>
  <c r="K89" i="17" l="1"/>
  <c r="L89" i="17" s="1"/>
  <c r="J90" i="17"/>
  <c r="J91" i="17" l="1"/>
  <c r="K90" i="17"/>
  <c r="L90" i="17" s="1"/>
  <c r="J92" i="17" l="1"/>
  <c r="K91" i="17"/>
  <c r="L91" i="17" s="1"/>
  <c r="J93" i="17" l="1"/>
  <c r="K92" i="17"/>
  <c r="L92" i="17" s="1"/>
  <c r="K93" i="17" l="1"/>
  <c r="L93" i="17" s="1"/>
  <c r="J94" i="17"/>
  <c r="K94" i="17" l="1"/>
  <c r="L94" i="17" s="1"/>
  <c r="J95" i="17"/>
  <c r="J96" i="17" l="1"/>
  <c r="K95" i="17"/>
  <c r="L95" i="17" s="1"/>
  <c r="J97" i="17" l="1"/>
  <c r="K96" i="17"/>
  <c r="L96" i="17" s="1"/>
  <c r="K97" i="17" l="1"/>
  <c r="L97" i="17" s="1"/>
  <c r="J98" i="17"/>
  <c r="J99" i="17" l="1"/>
  <c r="K98" i="17"/>
  <c r="L98" i="17" s="1"/>
  <c r="J100" i="17" l="1"/>
  <c r="K99" i="17"/>
  <c r="L99" i="17" s="1"/>
  <c r="K100" i="17" l="1"/>
  <c r="L100" i="17" s="1"/>
  <c r="J101" i="17"/>
  <c r="J102" i="17" l="1"/>
  <c r="K101" i="17"/>
  <c r="L101" i="17" s="1"/>
  <c r="K102" i="17" l="1"/>
  <c r="L102" i="17" s="1"/>
  <c r="J103" i="17"/>
  <c r="J104" i="17" l="1"/>
  <c r="K103" i="17"/>
  <c r="L103" i="17" s="1"/>
  <c r="J105" i="17" l="1"/>
  <c r="K104" i="17"/>
  <c r="L104" i="17" s="1"/>
  <c r="K105" i="17" l="1"/>
  <c r="L105" i="17" s="1"/>
  <c r="J106" i="17"/>
  <c r="J107" i="17" l="1"/>
  <c r="K106" i="17"/>
  <c r="L106" i="17" s="1"/>
  <c r="J108" i="17" l="1"/>
  <c r="K107" i="17"/>
  <c r="L107" i="17" s="1"/>
  <c r="K108" i="17" l="1"/>
  <c r="L108" i="17" s="1"/>
  <c r="J109" i="17"/>
  <c r="K109" i="17" l="1"/>
  <c r="L109" i="17" s="1"/>
  <c r="J110" i="17"/>
  <c r="K110" i="17" l="1"/>
  <c r="L110" i="17" s="1"/>
  <c r="J111" i="17"/>
  <c r="J112" i="17" l="1"/>
  <c r="K111" i="17"/>
  <c r="L111" i="17" s="1"/>
  <c r="J113" i="17" l="1"/>
  <c r="K112" i="17"/>
  <c r="L112" i="17" s="1"/>
  <c r="K113" i="17" l="1"/>
  <c r="L113" i="17" s="1"/>
  <c r="J114" i="17"/>
  <c r="J115" i="17" l="1"/>
  <c r="K114" i="17"/>
  <c r="L114" i="17" s="1"/>
  <c r="K115" i="17" l="1"/>
  <c r="L115" i="17" s="1"/>
  <c r="J116" i="17"/>
  <c r="J117" i="17" l="1"/>
  <c r="K116" i="17"/>
  <c r="L116" i="17" s="1"/>
  <c r="K117" i="17" l="1"/>
  <c r="L117" i="17" s="1"/>
  <c r="J118" i="17"/>
  <c r="K118" i="17" l="1"/>
  <c r="L118" i="17" s="1"/>
  <c r="J119" i="17"/>
  <c r="J120" i="17" l="1"/>
  <c r="K119" i="17"/>
  <c r="L119" i="17" s="1"/>
  <c r="J121" i="17" l="1"/>
  <c r="K120" i="17"/>
  <c r="L120" i="17" s="1"/>
  <c r="K121" i="17" l="1"/>
  <c r="L121" i="17" s="1"/>
  <c r="J122" i="17"/>
  <c r="J123" i="17" l="1"/>
  <c r="K122" i="17"/>
  <c r="L122" i="17" s="1"/>
  <c r="J124" i="17" l="1"/>
  <c r="K123" i="17"/>
  <c r="L123" i="17" s="1"/>
  <c r="K124" i="17" l="1"/>
  <c r="L124" i="17" s="1"/>
  <c r="J125" i="17"/>
  <c r="K125" i="17" l="1"/>
  <c r="L125" i="17" s="1"/>
  <c r="J126" i="17"/>
  <c r="K126" i="17" l="1"/>
  <c r="L126" i="17" s="1"/>
  <c r="J127" i="17"/>
  <c r="J128" i="17" l="1"/>
  <c r="K127" i="17"/>
  <c r="L127" i="17" s="1"/>
  <c r="J129" i="17" l="1"/>
  <c r="K128" i="17"/>
  <c r="L128" i="17" s="1"/>
  <c r="K129" i="17" l="1"/>
  <c r="L129" i="17" s="1"/>
  <c r="J130" i="17"/>
  <c r="J131" i="17" l="1"/>
  <c r="K130" i="17"/>
  <c r="L130" i="17" s="1"/>
  <c r="J132" i="17" l="1"/>
  <c r="K131" i="17"/>
  <c r="L131" i="17" s="1"/>
  <c r="K132" i="17" l="1"/>
  <c r="L132" i="17" s="1"/>
  <c r="J133" i="17"/>
  <c r="K133" i="17" l="1"/>
  <c r="L133" i="17" s="1"/>
  <c r="J134" i="17"/>
  <c r="K134" i="17" l="1"/>
  <c r="L134" i="17" s="1"/>
  <c r="J135" i="17"/>
  <c r="J136" i="17" l="1"/>
  <c r="K135" i="17"/>
  <c r="L135" i="17" s="1"/>
  <c r="J137" i="17" l="1"/>
  <c r="K136" i="17"/>
  <c r="L136" i="17" s="1"/>
  <c r="K137" i="17" l="1"/>
  <c r="L137" i="17" s="1"/>
  <c r="J138" i="17"/>
  <c r="J139" i="17" l="1"/>
  <c r="K138" i="17"/>
  <c r="L138" i="17" s="1"/>
  <c r="J140" i="17" l="1"/>
  <c r="K139" i="17"/>
  <c r="L139" i="17" s="1"/>
  <c r="K140" i="17" l="1"/>
  <c r="L140" i="17" s="1"/>
  <c r="J141" i="17"/>
  <c r="K141" i="17" l="1"/>
  <c r="L141" i="17" s="1"/>
  <c r="J142" i="17"/>
  <c r="K142" i="17" l="1"/>
  <c r="L142" i="17" s="1"/>
  <c r="J143" i="17"/>
  <c r="J144" i="17" l="1"/>
  <c r="K143" i="17"/>
  <c r="L143" i="17" s="1"/>
  <c r="J145" i="17" l="1"/>
  <c r="K144" i="17"/>
  <c r="L144" i="17" s="1"/>
  <c r="K145" i="17" l="1"/>
  <c r="L145" i="17" s="1"/>
  <c r="J146" i="17"/>
  <c r="J147" i="17" l="1"/>
  <c r="K146" i="17"/>
  <c r="L146" i="17" s="1"/>
  <c r="K147" i="17" l="1"/>
  <c r="L147" i="17" s="1"/>
  <c r="J148" i="17"/>
  <c r="J149" i="17" l="1"/>
  <c r="K148" i="17"/>
  <c r="L148" i="17" s="1"/>
  <c r="K149" i="17" l="1"/>
  <c r="L149" i="17" s="1"/>
  <c r="J150" i="17"/>
  <c r="K150" i="17" l="1"/>
  <c r="L150" i="17" s="1"/>
  <c r="J151" i="17"/>
  <c r="J152" i="17" l="1"/>
  <c r="K151" i="17"/>
  <c r="L151" i="17" s="1"/>
  <c r="J153" i="17" l="1"/>
  <c r="K152" i="17"/>
  <c r="L152" i="17" s="1"/>
  <c r="K153" i="17" l="1"/>
  <c r="L153" i="17" s="1"/>
  <c r="J154" i="17"/>
  <c r="J155" i="17" l="1"/>
  <c r="K154" i="17"/>
  <c r="L154" i="17" s="1"/>
  <c r="K155" i="17" l="1"/>
  <c r="L155" i="17" s="1"/>
  <c r="J156" i="17"/>
  <c r="K156" i="17" l="1"/>
  <c r="L156" i="17" s="1"/>
  <c r="J157" i="17"/>
  <c r="K157" i="17" l="1"/>
  <c r="L157" i="17" s="1"/>
  <c r="J158" i="17"/>
  <c r="K158" i="17" l="1"/>
  <c r="L158" i="17" s="1"/>
  <c r="J159" i="17"/>
  <c r="J160" i="17" l="1"/>
  <c r="K159" i="17"/>
  <c r="L159" i="17" s="1"/>
  <c r="J161" i="17" l="1"/>
  <c r="K160" i="17"/>
  <c r="L160" i="17" s="1"/>
  <c r="K161" i="17" l="1"/>
  <c r="L161" i="17" s="1"/>
  <c r="J162" i="17"/>
  <c r="J163" i="17" l="1"/>
  <c r="K162" i="17"/>
  <c r="L162" i="17" s="1"/>
  <c r="J164" i="17" l="1"/>
  <c r="K163" i="17"/>
  <c r="L163" i="17" s="1"/>
  <c r="K164" i="17" l="1"/>
  <c r="L164" i="17" s="1"/>
  <c r="J165" i="17"/>
  <c r="K165" i="17" l="1"/>
  <c r="L165" i="17" s="1"/>
  <c r="J166" i="17"/>
  <c r="J167" i="17" l="1"/>
  <c r="K166" i="17"/>
  <c r="L166" i="17" s="1"/>
  <c r="J168" i="17" l="1"/>
  <c r="K167" i="17"/>
  <c r="L167" i="17" s="1"/>
  <c r="J169" i="17" l="1"/>
  <c r="K168" i="17"/>
  <c r="L168" i="17" s="1"/>
  <c r="K169" i="17" l="1"/>
  <c r="L169" i="17" s="1"/>
  <c r="J170" i="17"/>
  <c r="J171" i="17" l="1"/>
  <c r="K170" i="17"/>
  <c r="L170" i="17" s="1"/>
  <c r="J172" i="17" l="1"/>
  <c r="K171" i="17"/>
  <c r="L171" i="17" s="1"/>
  <c r="J173" i="17" l="1"/>
  <c r="K172" i="17"/>
  <c r="L172" i="17" s="1"/>
  <c r="K173" i="17" l="1"/>
  <c r="L173" i="17" s="1"/>
  <c r="J174" i="17"/>
  <c r="K174" i="17" l="1"/>
  <c r="L174" i="17" s="1"/>
  <c r="J175" i="17"/>
  <c r="J176" i="17" l="1"/>
  <c r="K175" i="17"/>
  <c r="L175" i="17" s="1"/>
  <c r="J177" i="17" l="1"/>
  <c r="K176" i="17"/>
  <c r="L176" i="17" s="1"/>
  <c r="K177" i="17" l="1"/>
  <c r="L177" i="17" s="1"/>
  <c r="J178" i="17"/>
  <c r="J179" i="17" l="1"/>
  <c r="K178" i="17"/>
  <c r="L178" i="17" s="1"/>
  <c r="K179" i="17" l="1"/>
  <c r="L179" i="17" s="1"/>
  <c r="J180" i="17"/>
  <c r="K180" i="17" l="1"/>
  <c r="L180" i="17" s="1"/>
  <c r="J181" i="17"/>
  <c r="K181" i="17" l="1"/>
  <c r="L181" i="17" s="1"/>
  <c r="J182" i="17"/>
  <c r="K182" i="17" l="1"/>
  <c r="L182" i="17" s="1"/>
  <c r="J183" i="17"/>
  <c r="J184" i="17" l="1"/>
  <c r="K183" i="17"/>
  <c r="L183" i="17" s="1"/>
  <c r="J185" i="17" l="1"/>
  <c r="K184" i="17"/>
  <c r="L184" i="17" s="1"/>
  <c r="K185" i="17" l="1"/>
  <c r="L185" i="17" s="1"/>
  <c r="J186" i="17"/>
  <c r="J187" i="17" l="1"/>
  <c r="K186" i="17"/>
  <c r="L186" i="17" s="1"/>
  <c r="J188" i="17" l="1"/>
  <c r="K187" i="17"/>
  <c r="L187" i="17" s="1"/>
  <c r="J189" i="17" l="1"/>
  <c r="K188" i="17"/>
  <c r="L188" i="17" s="1"/>
  <c r="K189" i="17" l="1"/>
  <c r="L189" i="17" s="1"/>
  <c r="J190" i="17"/>
  <c r="K190" i="17" l="1"/>
  <c r="L190" i="17" s="1"/>
  <c r="J191" i="17"/>
  <c r="J192" i="17" l="1"/>
  <c r="K191" i="17"/>
  <c r="L191" i="17" s="1"/>
  <c r="J193" i="17" l="1"/>
  <c r="K192" i="17"/>
  <c r="L192" i="17" s="1"/>
  <c r="K193" i="17" l="1"/>
  <c r="L193" i="17" s="1"/>
  <c r="J194" i="17"/>
  <c r="J195" i="17" l="1"/>
  <c r="K194" i="17"/>
  <c r="L194" i="17" s="1"/>
  <c r="J196" i="17" l="1"/>
  <c r="K195" i="17"/>
  <c r="L195" i="17" s="1"/>
  <c r="K196" i="17" l="1"/>
  <c r="L196" i="17" s="1"/>
  <c r="J197" i="17"/>
  <c r="K197" i="17" l="1"/>
  <c r="L197" i="17" s="1"/>
  <c r="J198" i="17"/>
  <c r="K198" i="17" l="1"/>
  <c r="L198" i="17" s="1"/>
  <c r="J199" i="17"/>
  <c r="J200" i="17" l="1"/>
  <c r="K199" i="17"/>
  <c r="L199" i="17" s="1"/>
  <c r="J201" i="17" l="1"/>
  <c r="K200" i="17"/>
  <c r="L200" i="17" s="1"/>
  <c r="K201" i="17" l="1"/>
  <c r="L201" i="17" s="1"/>
  <c r="J202" i="17"/>
  <c r="J203" i="17" l="1"/>
  <c r="K202" i="17"/>
  <c r="L202" i="17" s="1"/>
  <c r="J204" i="17" l="1"/>
  <c r="K203" i="17"/>
  <c r="L203" i="17" s="1"/>
  <c r="K204" i="17" l="1"/>
  <c r="L204" i="17" s="1"/>
  <c r="J205" i="17"/>
  <c r="K205" i="17" l="1"/>
  <c r="L205" i="17" s="1"/>
  <c r="J206" i="17"/>
  <c r="K206" i="17" l="1"/>
  <c r="L206" i="17" s="1"/>
  <c r="J207" i="17"/>
  <c r="J208" i="17" l="1"/>
  <c r="K207" i="17"/>
  <c r="L207" i="17" s="1"/>
  <c r="J209" i="17" l="1"/>
  <c r="K208" i="17"/>
  <c r="L208" i="17" s="1"/>
  <c r="K209" i="17" l="1"/>
  <c r="L209" i="17" s="1"/>
  <c r="J210" i="17"/>
  <c r="J211" i="17" l="1"/>
  <c r="K210" i="17"/>
  <c r="L210" i="17" s="1"/>
  <c r="J212" i="17" l="1"/>
  <c r="K211" i="17"/>
  <c r="L211" i="17" s="1"/>
  <c r="J213" i="17" l="1"/>
  <c r="K212" i="17"/>
  <c r="L212" i="17" s="1"/>
  <c r="K213" i="17" l="1"/>
  <c r="L213" i="17" s="1"/>
  <c r="J214" i="17"/>
  <c r="J215" i="17" l="1"/>
  <c r="K214" i="17"/>
  <c r="L214" i="17" s="1"/>
  <c r="J216" i="17" l="1"/>
  <c r="K215" i="17"/>
  <c r="L215" i="17" s="1"/>
  <c r="K216" i="17" l="1"/>
  <c r="L216" i="17" s="1"/>
  <c r="J217" i="17"/>
  <c r="K217" i="17" l="1"/>
  <c r="L217" i="17" s="1"/>
  <c r="J218" i="17"/>
  <c r="J219" i="17" l="1"/>
  <c r="K218" i="17"/>
  <c r="L218" i="17" s="1"/>
  <c r="J220" i="17" l="1"/>
  <c r="K219" i="17"/>
  <c r="L219" i="17" s="1"/>
  <c r="K220" i="17" l="1"/>
  <c r="L220" i="17" s="1"/>
  <c r="J221" i="17"/>
  <c r="K221" i="17" l="1"/>
  <c r="L221" i="17" s="1"/>
  <c r="J222" i="17"/>
  <c r="J223" i="17" l="1"/>
  <c r="K222" i="17"/>
  <c r="L222" i="17" s="1"/>
  <c r="J224" i="17" l="1"/>
  <c r="K223" i="17"/>
  <c r="L223" i="17" s="1"/>
  <c r="K224" i="17" l="1"/>
  <c r="L224" i="17" s="1"/>
  <c r="J225" i="17"/>
  <c r="K225" i="17" l="1"/>
  <c r="L225" i="17" s="1"/>
  <c r="J226" i="17"/>
  <c r="J227" i="17" l="1"/>
  <c r="K226" i="17"/>
  <c r="L226" i="17" s="1"/>
  <c r="J228" i="17" l="1"/>
  <c r="K227" i="17"/>
  <c r="L227" i="17" s="1"/>
  <c r="K228" i="17" l="1"/>
  <c r="L228" i="17" s="1"/>
  <c r="J229" i="17"/>
  <c r="K229" i="17" l="1"/>
  <c r="L229" i="17" s="1"/>
  <c r="J230" i="17"/>
  <c r="J231" i="17" l="1"/>
  <c r="K230" i="17"/>
  <c r="L230" i="17" s="1"/>
  <c r="J232" i="17" l="1"/>
  <c r="K231" i="17"/>
  <c r="L231" i="17" s="1"/>
  <c r="K232" i="17" l="1"/>
  <c r="L232" i="17" s="1"/>
  <c r="J233" i="17"/>
  <c r="K233" i="17" l="1"/>
  <c r="L233" i="17" s="1"/>
  <c r="J234" i="17"/>
  <c r="J235" i="17" l="1"/>
  <c r="K234" i="17"/>
  <c r="L234" i="17" s="1"/>
  <c r="J236" i="17" l="1"/>
  <c r="K235" i="17"/>
  <c r="L235" i="17" s="1"/>
  <c r="K236" i="17" l="1"/>
  <c r="L236" i="17" s="1"/>
  <c r="J237" i="17"/>
  <c r="K237" i="17" l="1"/>
  <c r="L237" i="17" s="1"/>
  <c r="J238" i="17"/>
  <c r="J239" i="17" l="1"/>
  <c r="K238" i="17"/>
  <c r="L238" i="17" s="1"/>
  <c r="J240" i="17" l="1"/>
  <c r="K239" i="17"/>
  <c r="L239" i="17" s="1"/>
  <c r="K240" i="17" l="1"/>
  <c r="L240" i="17" s="1"/>
  <c r="J241" i="17"/>
  <c r="K241" i="17" l="1"/>
  <c r="L241" i="17" s="1"/>
  <c r="J242" i="17"/>
  <c r="J243" i="17" l="1"/>
  <c r="K242" i="17"/>
  <c r="L242" i="17" s="1"/>
  <c r="J244" i="17" l="1"/>
  <c r="K243" i="17"/>
  <c r="L243" i="17" s="1"/>
  <c r="K244" i="17" l="1"/>
  <c r="L244" i="17" s="1"/>
  <c r="J245" i="17"/>
  <c r="K245" i="17" l="1"/>
  <c r="L245" i="17" s="1"/>
  <c r="J246" i="17"/>
  <c r="J247" i="17" l="1"/>
  <c r="K246" i="17"/>
  <c r="L246" i="17" s="1"/>
  <c r="J248" i="17" l="1"/>
  <c r="K247" i="17"/>
  <c r="L247" i="17" s="1"/>
  <c r="K248" i="17" l="1"/>
  <c r="L248" i="17" s="1"/>
  <c r="J249" i="17"/>
  <c r="K249" i="17" l="1"/>
  <c r="L249" i="17" s="1"/>
  <c r="J250" i="17"/>
  <c r="J251" i="17" l="1"/>
  <c r="K250" i="17"/>
  <c r="L250" i="17" s="1"/>
  <c r="J252" i="17" l="1"/>
  <c r="K251" i="17"/>
  <c r="L251" i="17" s="1"/>
  <c r="K252" i="17" l="1"/>
  <c r="L252" i="17" s="1"/>
  <c r="J253" i="17"/>
  <c r="K253" i="17" l="1"/>
  <c r="L253" i="17" s="1"/>
  <c r="J254" i="17"/>
  <c r="J255" i="17" l="1"/>
  <c r="K254" i="17"/>
  <c r="L254" i="17" s="1"/>
  <c r="J256" i="17" l="1"/>
  <c r="K255" i="17"/>
  <c r="L255" i="17" s="1"/>
  <c r="K256" i="17" l="1"/>
  <c r="L256" i="17" s="1"/>
  <c r="J257" i="17"/>
  <c r="K257" i="17" l="1"/>
  <c r="L257" i="17" s="1"/>
  <c r="J258" i="17"/>
  <c r="J259" i="17" l="1"/>
  <c r="K258" i="17"/>
  <c r="L258" i="17" s="1"/>
  <c r="J260" i="17" l="1"/>
  <c r="K259" i="17"/>
  <c r="L259" i="17" s="1"/>
  <c r="K260" i="17" l="1"/>
  <c r="L260" i="17" s="1"/>
  <c r="J261" i="17"/>
  <c r="K261" i="17" l="1"/>
  <c r="L261" i="17" s="1"/>
  <c r="J262" i="17"/>
  <c r="J263" i="17" l="1"/>
  <c r="K262" i="17"/>
  <c r="L262" i="17" s="1"/>
  <c r="J264" i="17" l="1"/>
  <c r="K263" i="17"/>
  <c r="L263" i="17" s="1"/>
  <c r="K264" i="17" l="1"/>
  <c r="L264" i="17" s="1"/>
  <c r="J265" i="17"/>
  <c r="K265" i="17" l="1"/>
  <c r="L265" i="17" s="1"/>
  <c r="J266" i="17"/>
  <c r="J267" i="17" l="1"/>
  <c r="K266" i="17"/>
  <c r="L266" i="17" s="1"/>
  <c r="J268" i="17" l="1"/>
  <c r="K267" i="17"/>
  <c r="L267" i="17" s="1"/>
  <c r="K268" i="17" l="1"/>
  <c r="L268" i="17" s="1"/>
  <c r="J269" i="17"/>
  <c r="K269" i="17" l="1"/>
  <c r="L269" i="17" s="1"/>
  <c r="J270" i="17"/>
  <c r="J271" i="17" l="1"/>
  <c r="K270" i="17"/>
  <c r="L270" i="17" s="1"/>
  <c r="J272" i="17" l="1"/>
  <c r="K271" i="17"/>
  <c r="L271" i="17" s="1"/>
  <c r="K272" i="17" l="1"/>
  <c r="L272" i="17" s="1"/>
  <c r="J273" i="17"/>
  <c r="K273" i="17" l="1"/>
  <c r="L273" i="17" s="1"/>
  <c r="J274" i="17"/>
  <c r="J275" i="17" l="1"/>
  <c r="K274" i="17"/>
  <c r="L274" i="17" s="1"/>
  <c r="J276" i="17" l="1"/>
  <c r="K275" i="17"/>
  <c r="L275" i="17" s="1"/>
  <c r="K276" i="17" l="1"/>
  <c r="L276" i="17" s="1"/>
  <c r="J277" i="17"/>
  <c r="K277" i="17" l="1"/>
  <c r="L277" i="17" s="1"/>
  <c r="J278" i="17"/>
  <c r="J279" i="17" l="1"/>
  <c r="K278" i="17"/>
  <c r="L278" i="17" s="1"/>
  <c r="J280" i="17" l="1"/>
  <c r="K279" i="17"/>
  <c r="L279" i="17" s="1"/>
  <c r="K280" i="17" l="1"/>
  <c r="L280" i="17" s="1"/>
  <c r="J281" i="17"/>
  <c r="K281" i="17" l="1"/>
  <c r="L281" i="17" s="1"/>
  <c r="J282" i="17"/>
  <c r="J283" i="17" l="1"/>
  <c r="K282" i="17"/>
  <c r="L282" i="17" s="1"/>
  <c r="J284" i="17" l="1"/>
  <c r="K283" i="17"/>
  <c r="L283" i="17" s="1"/>
  <c r="K284" i="17" l="1"/>
  <c r="L284" i="17" s="1"/>
  <c r="J285" i="17"/>
  <c r="K285" i="17" l="1"/>
  <c r="L285" i="17" s="1"/>
  <c r="J286" i="17"/>
  <c r="J287" i="17" l="1"/>
  <c r="K286" i="17"/>
  <c r="L286" i="17" s="1"/>
  <c r="J288" i="17" l="1"/>
  <c r="K287" i="17"/>
  <c r="L287" i="17" s="1"/>
  <c r="K288" i="17" l="1"/>
  <c r="L288" i="17" s="1"/>
  <c r="J289" i="17"/>
  <c r="K289" i="17" l="1"/>
  <c r="L289" i="17" s="1"/>
  <c r="J290" i="17"/>
  <c r="J291" i="17" l="1"/>
  <c r="K290" i="17"/>
  <c r="L290" i="17" s="1"/>
  <c r="J292" i="17" l="1"/>
  <c r="K291" i="17"/>
  <c r="L291" i="17" s="1"/>
  <c r="K292" i="17" l="1"/>
  <c r="L292" i="17" s="1"/>
  <c r="J293" i="17"/>
  <c r="K293" i="17" l="1"/>
  <c r="L293" i="17" s="1"/>
  <c r="J294" i="17"/>
  <c r="J295" i="17" l="1"/>
  <c r="K294" i="17"/>
  <c r="L294" i="17" s="1"/>
  <c r="J296" i="17" l="1"/>
  <c r="K295" i="17"/>
  <c r="L295" i="17" s="1"/>
  <c r="J297" i="17" l="1"/>
  <c r="K296" i="17"/>
  <c r="L296" i="17" s="1"/>
  <c r="K297" i="17" l="1"/>
  <c r="L297" i="17" s="1"/>
  <c r="J298" i="17"/>
  <c r="J299" i="17" l="1"/>
  <c r="K298" i="17"/>
  <c r="L298" i="17" s="1"/>
  <c r="J300" i="17" l="1"/>
  <c r="K299" i="17"/>
  <c r="L299" i="17" s="1"/>
  <c r="K300" i="17" l="1"/>
  <c r="L300" i="17" s="1"/>
  <c r="J301" i="17"/>
  <c r="K301" i="17" l="1"/>
  <c r="L301" i="17" s="1"/>
  <c r="J302" i="17"/>
  <c r="J303" i="17" l="1"/>
  <c r="K302" i="17"/>
  <c r="L302" i="17" s="1"/>
  <c r="J304" i="17" l="1"/>
  <c r="K303" i="17"/>
  <c r="L303" i="17" s="1"/>
  <c r="K304" i="17" l="1"/>
  <c r="L304" i="17" s="1"/>
  <c r="J305" i="17"/>
  <c r="K305" i="17" l="1"/>
  <c r="L305" i="17" s="1"/>
  <c r="J306" i="17"/>
  <c r="J307" i="17" l="1"/>
  <c r="K306" i="17"/>
  <c r="L306" i="17" s="1"/>
  <c r="J308" i="17" l="1"/>
  <c r="K307" i="17"/>
  <c r="L307" i="17" s="1"/>
  <c r="K308" i="17" l="1"/>
  <c r="L308" i="17" s="1"/>
  <c r="J309" i="17"/>
  <c r="K309" i="17" l="1"/>
  <c r="L309" i="17" s="1"/>
  <c r="J310" i="17"/>
  <c r="J311" i="17" l="1"/>
  <c r="K310" i="17"/>
  <c r="L310" i="17" s="1"/>
  <c r="J312" i="17" l="1"/>
  <c r="K311" i="17"/>
  <c r="L311" i="17" s="1"/>
  <c r="K312" i="17" l="1"/>
  <c r="L312" i="17" s="1"/>
  <c r="J313" i="17"/>
  <c r="K313" i="17" l="1"/>
  <c r="L313" i="17" s="1"/>
  <c r="J314" i="17"/>
  <c r="J315" i="17" l="1"/>
  <c r="K314" i="17"/>
  <c r="L314" i="17" s="1"/>
  <c r="J316" i="17" l="1"/>
  <c r="K315" i="17"/>
  <c r="L315" i="17" s="1"/>
  <c r="K316" i="17" l="1"/>
  <c r="L316" i="17" s="1"/>
  <c r="J317" i="17"/>
  <c r="K317" i="17" l="1"/>
  <c r="L317" i="17" s="1"/>
  <c r="J318" i="17"/>
  <c r="J319" i="17" l="1"/>
  <c r="K318" i="17"/>
  <c r="L318" i="17" s="1"/>
  <c r="J320" i="17" l="1"/>
  <c r="K319" i="17"/>
  <c r="L319" i="17" s="1"/>
  <c r="K320" i="17" l="1"/>
  <c r="L320" i="17" s="1"/>
  <c r="J321" i="17"/>
  <c r="K321" i="17" l="1"/>
  <c r="L321" i="17" s="1"/>
  <c r="J322" i="17"/>
  <c r="K322" i="17" l="1"/>
  <c r="L322" i="17" s="1"/>
  <c r="J323" i="17"/>
  <c r="K323" i="17" l="1"/>
  <c r="L323" i="17" s="1"/>
  <c r="J324" i="17"/>
  <c r="K324" i="17" l="1"/>
  <c r="L324" i="17" s="1"/>
  <c r="J325" i="17"/>
  <c r="K325" i="17" l="1"/>
  <c r="L325" i="17" s="1"/>
  <c r="J326" i="17"/>
  <c r="J327" i="17" l="1"/>
  <c r="K326" i="17"/>
  <c r="L326" i="17" s="1"/>
  <c r="J328" i="17" l="1"/>
  <c r="K327" i="17"/>
  <c r="L327" i="17" s="1"/>
  <c r="K328" i="17" l="1"/>
  <c r="L328" i="17" s="1"/>
  <c r="J329" i="17"/>
  <c r="K329" i="17" l="1"/>
  <c r="L329" i="17" s="1"/>
  <c r="J330" i="17"/>
  <c r="J331" i="17" l="1"/>
  <c r="K330" i="17"/>
  <c r="L330" i="17" s="1"/>
  <c r="J332" i="17" l="1"/>
  <c r="K331" i="17"/>
  <c r="L331" i="17" s="1"/>
  <c r="K332" i="17" l="1"/>
  <c r="L332" i="17" s="1"/>
  <c r="J333" i="17"/>
  <c r="J334" i="17" l="1"/>
  <c r="K333" i="17"/>
  <c r="L333" i="17" s="1"/>
  <c r="J335" i="17" l="1"/>
  <c r="K334" i="17"/>
  <c r="L334" i="17" s="1"/>
  <c r="J336" i="17" l="1"/>
  <c r="K335" i="17"/>
  <c r="L335" i="17" s="1"/>
  <c r="K336" i="17" l="1"/>
  <c r="L336" i="17" s="1"/>
  <c r="J337" i="17"/>
  <c r="K337" i="17" l="1"/>
  <c r="L337" i="17" s="1"/>
  <c r="J338" i="17"/>
  <c r="J339" i="17" l="1"/>
  <c r="K338" i="17"/>
  <c r="L338" i="17" s="1"/>
  <c r="J340" i="17" l="1"/>
  <c r="K339" i="17"/>
  <c r="L339" i="17" s="1"/>
  <c r="K340" i="17" l="1"/>
  <c r="L340" i="17" s="1"/>
  <c r="J341" i="17"/>
  <c r="K341" i="17" l="1"/>
  <c r="L341" i="17" s="1"/>
  <c r="J342" i="17"/>
  <c r="J343" i="17" l="1"/>
  <c r="K342" i="17"/>
  <c r="L342" i="17" s="1"/>
  <c r="J344" i="17" l="1"/>
  <c r="K343" i="17"/>
  <c r="L343" i="17" s="1"/>
  <c r="K344" i="17" l="1"/>
  <c r="L344" i="17" s="1"/>
  <c r="J345" i="17"/>
  <c r="K345" i="17" l="1"/>
  <c r="L345" i="17" s="1"/>
  <c r="J346" i="17"/>
  <c r="J347" i="17" l="1"/>
  <c r="K346" i="17"/>
  <c r="L346" i="17" s="1"/>
  <c r="J348" i="17" l="1"/>
  <c r="K347" i="17"/>
  <c r="L347" i="17" s="1"/>
  <c r="K348" i="17" l="1"/>
  <c r="L348" i="17" s="1"/>
  <c r="J349" i="17"/>
  <c r="K349" i="17" l="1"/>
  <c r="L349" i="17" s="1"/>
  <c r="J350" i="17"/>
  <c r="J351" i="17" l="1"/>
  <c r="K350" i="17"/>
  <c r="L350" i="17" s="1"/>
  <c r="J352" i="17" l="1"/>
  <c r="K351" i="17"/>
  <c r="L351" i="17" s="1"/>
  <c r="K352" i="17" l="1"/>
  <c r="L352" i="17" s="1"/>
  <c r="J353" i="17"/>
  <c r="K353" i="17" l="1"/>
  <c r="L353" i="17" s="1"/>
  <c r="J354" i="17"/>
  <c r="J355" i="17" l="1"/>
  <c r="K354" i="17"/>
  <c r="L354" i="17" s="1"/>
  <c r="J356" i="17" l="1"/>
  <c r="K355" i="17"/>
  <c r="L355" i="17" s="1"/>
  <c r="K356" i="17" l="1"/>
  <c r="L356" i="17" s="1"/>
  <c r="J357" i="17"/>
  <c r="K357" i="17" l="1"/>
  <c r="L357" i="17" s="1"/>
  <c r="J358" i="17"/>
  <c r="J359" i="17" l="1"/>
  <c r="K358" i="17"/>
  <c r="L358" i="17" s="1"/>
  <c r="J360" i="17" l="1"/>
  <c r="K359" i="17"/>
  <c r="L359" i="17" s="1"/>
  <c r="K360" i="17" l="1"/>
  <c r="L360" i="17" s="1"/>
  <c r="J361" i="17"/>
  <c r="K361" i="17" l="1"/>
  <c r="L361" i="17" s="1"/>
  <c r="J362" i="17"/>
  <c r="J363" i="17" l="1"/>
  <c r="K362" i="17"/>
  <c r="L362" i="17" s="1"/>
  <c r="J364" i="17" l="1"/>
  <c r="K363" i="17"/>
  <c r="L363" i="17" s="1"/>
  <c r="K364" i="17" l="1"/>
  <c r="L364" i="17" s="1"/>
  <c r="J365" i="17"/>
  <c r="K365" i="17" l="1"/>
  <c r="L365" i="17" s="1"/>
  <c r="J366" i="17"/>
  <c r="J367" i="17" l="1"/>
  <c r="K366" i="17"/>
  <c r="L366" i="17" s="1"/>
  <c r="J368" i="17" l="1"/>
  <c r="K367" i="17"/>
  <c r="L367" i="17" s="1"/>
  <c r="K368" i="17" l="1"/>
  <c r="L368" i="17" s="1"/>
  <c r="J369" i="17"/>
  <c r="K369" i="17" l="1"/>
  <c r="L369" i="17" s="1"/>
  <c r="J370" i="17"/>
  <c r="J371" i="17" l="1"/>
  <c r="K370" i="17"/>
  <c r="L370" i="17" s="1"/>
  <c r="J372" i="17" l="1"/>
  <c r="K371" i="17"/>
  <c r="L371" i="17" s="1"/>
  <c r="K372" i="17" l="1"/>
  <c r="L372" i="17" s="1"/>
  <c r="J373" i="17"/>
  <c r="K373" i="17" l="1"/>
  <c r="L373" i="17" s="1"/>
  <c r="J374" i="17"/>
  <c r="J375" i="17" l="1"/>
  <c r="K374" i="17"/>
  <c r="L374" i="17" s="1"/>
  <c r="J376" i="17" l="1"/>
  <c r="K375" i="17"/>
  <c r="L375" i="17" s="1"/>
  <c r="K376" i="17" l="1"/>
  <c r="L376" i="17" s="1"/>
  <c r="J377" i="17"/>
  <c r="K377" i="17" l="1"/>
  <c r="L377" i="17" s="1"/>
  <c r="J378" i="17"/>
  <c r="J379" i="17" l="1"/>
  <c r="K378" i="17"/>
  <c r="L378" i="17" s="1"/>
  <c r="J380" i="17" l="1"/>
  <c r="K379" i="17"/>
  <c r="L379" i="17" s="1"/>
  <c r="K380" i="17" l="1"/>
  <c r="L380" i="17" s="1"/>
  <c r="J381" i="17"/>
  <c r="K381" i="17" l="1"/>
  <c r="L381" i="17" s="1"/>
  <c r="J382" i="17"/>
  <c r="J383" i="17" l="1"/>
  <c r="K382" i="17"/>
  <c r="L382" i="17" s="1"/>
  <c r="K383" i="17" l="1"/>
  <c r="L383" i="17" s="1"/>
  <c r="J384" i="17"/>
  <c r="J385" i="17" l="1"/>
  <c r="K384" i="17"/>
  <c r="L384" i="17" s="1"/>
  <c r="J386" i="17" l="1"/>
  <c r="K385" i="17"/>
  <c r="L385" i="17" s="1"/>
  <c r="K386" i="17" l="1"/>
  <c r="L386" i="17" s="1"/>
  <c r="J387" i="17"/>
  <c r="K387" i="17" l="1"/>
  <c r="L387" i="17" s="1"/>
  <c r="J388" i="17"/>
  <c r="J389" i="17" l="1"/>
  <c r="K388" i="17"/>
  <c r="L388" i="17" s="1"/>
  <c r="J390" i="17" l="1"/>
  <c r="K389" i="17"/>
  <c r="L389" i="17" s="1"/>
  <c r="K390" i="17" l="1"/>
  <c r="L390" i="17" s="1"/>
  <c r="J391" i="17"/>
  <c r="K391" i="17" l="1"/>
  <c r="L391" i="17" s="1"/>
  <c r="J392" i="17"/>
  <c r="J393" i="17" l="1"/>
  <c r="K392" i="17"/>
  <c r="L392" i="17" s="1"/>
  <c r="J394" i="17" l="1"/>
  <c r="K393" i="17"/>
  <c r="L393" i="17" s="1"/>
  <c r="K394" i="17" l="1"/>
  <c r="L394" i="17" s="1"/>
  <c r="J395" i="17"/>
  <c r="K395" i="17" l="1"/>
  <c r="L395" i="17" s="1"/>
  <c r="J396" i="17"/>
  <c r="J397" i="17" l="1"/>
  <c r="K396" i="17"/>
  <c r="L396" i="17" s="1"/>
  <c r="J398" i="17" l="1"/>
  <c r="K397" i="17"/>
  <c r="L397" i="17" s="1"/>
  <c r="K398" i="17" l="1"/>
  <c r="L398" i="17" s="1"/>
  <c r="J399" i="17"/>
  <c r="K399" i="17" l="1"/>
  <c r="L399" i="17" s="1"/>
  <c r="J400" i="17"/>
  <c r="J401" i="17" l="1"/>
  <c r="K400" i="17"/>
  <c r="L400" i="17" s="1"/>
  <c r="J402" i="17" l="1"/>
  <c r="K401" i="17"/>
  <c r="L401" i="17" s="1"/>
  <c r="K402" i="17" l="1"/>
  <c r="L402" i="17" s="1"/>
  <c r="J403" i="17"/>
  <c r="K403" i="17" l="1"/>
  <c r="L403" i="17" s="1"/>
  <c r="J404" i="17"/>
  <c r="J405" i="17" l="1"/>
  <c r="K404" i="17"/>
  <c r="L404" i="17" s="1"/>
  <c r="J406" i="17" l="1"/>
  <c r="K405" i="17"/>
  <c r="L405" i="17" s="1"/>
  <c r="K406" i="17" l="1"/>
  <c r="L406" i="17" s="1"/>
  <c r="J407" i="17"/>
  <c r="K407" i="17" l="1"/>
  <c r="L407" i="17" s="1"/>
  <c r="J408" i="17"/>
  <c r="J409" i="17" l="1"/>
  <c r="K408" i="17"/>
  <c r="L408" i="17" s="1"/>
  <c r="J410" i="17" l="1"/>
  <c r="K409" i="17"/>
  <c r="L409" i="17" s="1"/>
  <c r="K410" i="17" l="1"/>
  <c r="L410" i="17" s="1"/>
  <c r="J411" i="17"/>
  <c r="K411" i="17" l="1"/>
  <c r="L411" i="17" s="1"/>
  <c r="J412" i="17"/>
  <c r="J413" i="17" l="1"/>
  <c r="K412" i="17"/>
  <c r="L412" i="17" s="1"/>
  <c r="J414" i="17" l="1"/>
  <c r="K413" i="17"/>
  <c r="L413" i="17" s="1"/>
  <c r="K414" i="17" l="1"/>
  <c r="L414" i="17" s="1"/>
  <c r="J415" i="17"/>
  <c r="K415" i="17" l="1"/>
  <c r="L415" i="17" s="1"/>
  <c r="J416" i="17"/>
  <c r="J417" i="17" l="1"/>
  <c r="K416" i="17"/>
  <c r="L416" i="17" s="1"/>
  <c r="J418" i="17" l="1"/>
  <c r="K417" i="17"/>
  <c r="L417" i="17" s="1"/>
  <c r="K418" i="17" l="1"/>
  <c r="L418" i="17" s="1"/>
  <c r="J419" i="17"/>
  <c r="K419" i="17" l="1"/>
  <c r="L419" i="17" s="1"/>
  <c r="J420" i="17"/>
  <c r="K420" i="17" l="1"/>
  <c r="L420" i="17" s="1"/>
  <c r="J421" i="17"/>
  <c r="J422" i="17" l="1"/>
  <c r="K421" i="17"/>
  <c r="L421" i="17" s="1"/>
  <c r="K422" i="17" l="1"/>
  <c r="L422" i="17" s="1"/>
  <c r="J423" i="17"/>
  <c r="K423" i="17" l="1"/>
  <c r="L423" i="17" s="1"/>
  <c r="J424" i="17"/>
  <c r="J425" i="17" l="1"/>
  <c r="K424" i="17"/>
  <c r="L424" i="17" s="1"/>
  <c r="J426" i="17" l="1"/>
  <c r="K425" i="17"/>
  <c r="L425" i="17" s="1"/>
  <c r="J427" i="17" l="1"/>
  <c r="K426" i="17"/>
  <c r="L426" i="17" s="1"/>
  <c r="K427" i="17" l="1"/>
  <c r="L427" i="17" s="1"/>
  <c r="J428" i="17"/>
  <c r="J429" i="17" l="1"/>
  <c r="K428" i="17"/>
  <c r="L428" i="17" s="1"/>
  <c r="J430" i="17" l="1"/>
  <c r="K429" i="17"/>
  <c r="L429" i="17" s="1"/>
  <c r="J431" i="17" l="1"/>
  <c r="K430" i="17"/>
  <c r="L430" i="17" s="1"/>
  <c r="K431" i="17" l="1"/>
  <c r="L431" i="17" s="1"/>
  <c r="J432" i="17"/>
  <c r="J433" i="17" l="1"/>
  <c r="K432" i="17"/>
  <c r="L432" i="17" s="1"/>
  <c r="J434" i="17" l="1"/>
  <c r="K433" i="17"/>
  <c r="L433" i="17" s="1"/>
  <c r="K434" i="17" l="1"/>
  <c r="L434" i="17" s="1"/>
  <c r="J435" i="17"/>
  <c r="K435" i="17" l="1"/>
  <c r="L435" i="17" s="1"/>
  <c r="J436" i="17"/>
  <c r="K436" i="17" l="1"/>
  <c r="L436" i="17" s="1"/>
  <c r="J437" i="17"/>
  <c r="J438" i="17" l="1"/>
  <c r="K437" i="17"/>
  <c r="L437" i="17" s="1"/>
  <c r="K438" i="17" l="1"/>
  <c r="L438" i="17" s="1"/>
  <c r="J439" i="17"/>
  <c r="K439" i="17" l="1"/>
  <c r="L439" i="17" s="1"/>
  <c r="J440" i="17"/>
  <c r="K440" i="17" l="1"/>
  <c r="L440" i="17" s="1"/>
  <c r="J441" i="17"/>
  <c r="J442" i="17" l="1"/>
  <c r="K441" i="17"/>
  <c r="L441" i="17" s="1"/>
  <c r="J443" i="17" l="1"/>
  <c r="K442" i="17"/>
  <c r="L442" i="17" s="1"/>
  <c r="K443" i="17" l="1"/>
  <c r="L443" i="17" s="1"/>
  <c r="J444" i="17"/>
  <c r="J445" i="17" l="1"/>
  <c r="K444" i="17"/>
  <c r="L444" i="17" s="1"/>
  <c r="J446" i="17" l="1"/>
  <c r="K445" i="17"/>
  <c r="L445" i="17" s="1"/>
  <c r="J447" i="17" l="1"/>
  <c r="K446" i="17"/>
  <c r="L446" i="17" s="1"/>
  <c r="K447" i="17" l="1"/>
  <c r="L447" i="17" s="1"/>
  <c r="J448" i="17"/>
  <c r="J449" i="17" l="1"/>
  <c r="K448" i="17"/>
  <c r="L448" i="17" s="1"/>
  <c r="J450" i="17" l="1"/>
  <c r="K449" i="17"/>
  <c r="L449" i="17" s="1"/>
  <c r="K450" i="17" l="1"/>
  <c r="L450" i="17" s="1"/>
  <c r="J451" i="17"/>
  <c r="K451" i="17" l="1"/>
  <c r="L451" i="17" s="1"/>
  <c r="J452" i="17"/>
  <c r="K452" i="17" l="1"/>
  <c r="L452" i="17" s="1"/>
  <c r="J453" i="17"/>
  <c r="J454" i="17" l="1"/>
  <c r="K453" i="17"/>
  <c r="L453" i="17" s="1"/>
  <c r="K454" i="17" l="1"/>
  <c r="L454" i="17" s="1"/>
  <c r="J455" i="17"/>
  <c r="K455" i="17" l="1"/>
  <c r="L455" i="17" s="1"/>
  <c r="J456" i="17"/>
  <c r="J457" i="17" l="1"/>
  <c r="K456" i="17"/>
  <c r="L456" i="17" s="1"/>
  <c r="J458" i="17" l="1"/>
  <c r="K457" i="17"/>
  <c r="L457" i="17" s="1"/>
  <c r="J459" i="17" l="1"/>
  <c r="K458" i="17"/>
  <c r="L458" i="17" s="1"/>
  <c r="K459" i="17" l="1"/>
  <c r="L459" i="17" s="1"/>
  <c r="J460" i="17"/>
  <c r="J461" i="17" l="1"/>
  <c r="K460" i="17"/>
  <c r="L460" i="17" s="1"/>
  <c r="J462" i="17" l="1"/>
  <c r="K461" i="17"/>
  <c r="L461" i="17" s="1"/>
  <c r="J463" i="17" l="1"/>
  <c r="K462" i="17"/>
  <c r="L462" i="17" s="1"/>
  <c r="K463" i="17" l="1"/>
  <c r="L463" i="17" s="1"/>
  <c r="J464" i="17"/>
  <c r="J465" i="17" l="1"/>
  <c r="K464" i="17"/>
  <c r="L464" i="17" s="1"/>
  <c r="J466" i="17" l="1"/>
  <c r="K465" i="17"/>
  <c r="L465" i="17" s="1"/>
  <c r="K466" i="17" l="1"/>
  <c r="L466" i="17" s="1"/>
  <c r="J467" i="17"/>
  <c r="K467" i="17" l="1"/>
  <c r="L467" i="17" s="1"/>
  <c r="J468" i="17"/>
  <c r="K468" i="17" l="1"/>
  <c r="L468" i="17" s="1"/>
  <c r="J469" i="17"/>
  <c r="J470" i="17" l="1"/>
  <c r="K469" i="17"/>
  <c r="L469" i="17" s="1"/>
  <c r="K470" i="17" l="1"/>
  <c r="L470" i="17" s="1"/>
  <c r="J471" i="17"/>
  <c r="K471" i="17" l="1"/>
  <c r="L471" i="17" s="1"/>
  <c r="J472" i="17"/>
  <c r="K472" i="17" l="1"/>
  <c r="L472" i="17" s="1"/>
  <c r="J473" i="17"/>
  <c r="J474" i="17" l="1"/>
  <c r="K473" i="17"/>
  <c r="L473" i="17" s="1"/>
  <c r="J475" i="17" l="1"/>
  <c r="K474" i="17"/>
  <c r="L474" i="17" s="1"/>
  <c r="K475" i="17" l="1"/>
  <c r="L475" i="17" s="1"/>
  <c r="J476" i="17"/>
  <c r="J477" i="17" l="1"/>
  <c r="K476" i="17"/>
  <c r="L476" i="17" s="1"/>
  <c r="J478" i="17" l="1"/>
  <c r="K477" i="17"/>
  <c r="L477" i="17" s="1"/>
  <c r="J479" i="17" l="1"/>
  <c r="K478" i="17"/>
  <c r="L478" i="17" s="1"/>
  <c r="K479" i="17" l="1"/>
  <c r="L479" i="17" s="1"/>
  <c r="J480" i="17"/>
  <c r="J481" i="17" l="1"/>
  <c r="K480" i="17"/>
  <c r="L480" i="17" s="1"/>
  <c r="J482" i="17" l="1"/>
  <c r="K481" i="17"/>
  <c r="L481" i="17" s="1"/>
  <c r="K482" i="17" l="1"/>
  <c r="L482" i="17" s="1"/>
  <c r="J483" i="17"/>
  <c r="K483" i="17" l="1"/>
  <c r="L483" i="17" s="1"/>
  <c r="J484" i="17"/>
  <c r="K484" i="17" l="1"/>
  <c r="L484" i="17" s="1"/>
  <c r="J485" i="17"/>
  <c r="J486" i="17" l="1"/>
  <c r="K485" i="17"/>
  <c r="L485" i="17" s="1"/>
  <c r="K486" i="17" l="1"/>
  <c r="L486" i="17" s="1"/>
  <c r="J487" i="17"/>
  <c r="K487" i="17" l="1"/>
  <c r="L487" i="17" s="1"/>
  <c r="J488" i="17"/>
  <c r="J489" i="17" l="1"/>
  <c r="K488" i="17"/>
  <c r="L488" i="17" s="1"/>
  <c r="J490" i="17" l="1"/>
  <c r="K489" i="17"/>
  <c r="L489" i="17" s="1"/>
  <c r="J491" i="17" l="1"/>
  <c r="K490" i="17"/>
  <c r="L490" i="17" s="1"/>
  <c r="K491" i="17" l="1"/>
  <c r="L491" i="17" s="1"/>
  <c r="J492" i="17"/>
  <c r="J493" i="17" l="1"/>
  <c r="K492" i="17"/>
  <c r="L492" i="17" s="1"/>
  <c r="J494" i="17" l="1"/>
  <c r="K493" i="17"/>
  <c r="L493" i="17" s="1"/>
  <c r="J495" i="17" l="1"/>
  <c r="K494" i="17"/>
  <c r="L494" i="17" s="1"/>
  <c r="K495" i="17" l="1"/>
  <c r="L495" i="17" s="1"/>
  <c r="J496" i="17"/>
  <c r="J497" i="17" l="1"/>
  <c r="K496" i="17"/>
  <c r="L496" i="17" s="1"/>
  <c r="J498" i="17" l="1"/>
  <c r="K497" i="17"/>
  <c r="L497" i="17" s="1"/>
  <c r="K498" i="17" l="1"/>
  <c r="L498" i="17" s="1"/>
  <c r="J499" i="17"/>
  <c r="K499" i="17" l="1"/>
  <c r="L499" i="17" s="1"/>
  <c r="J500" i="17"/>
  <c r="K500" i="17" l="1"/>
  <c r="L500" i="17" s="1"/>
  <c r="J501" i="17"/>
  <c r="J502" i="17" l="1"/>
  <c r="K501" i="17"/>
  <c r="L501" i="17" s="1"/>
  <c r="K502" i="17" l="1"/>
  <c r="L502" i="17" s="1"/>
  <c r="J503" i="17"/>
  <c r="K503" i="17" l="1"/>
  <c r="L503" i="17" s="1"/>
  <c r="J504" i="17"/>
  <c r="J505" i="17" l="1"/>
  <c r="K504" i="17"/>
  <c r="L504" i="17" s="1"/>
  <c r="K505" i="17" l="1"/>
  <c r="L505" i="17" s="1"/>
  <c r="J506" i="17"/>
  <c r="K506" i="17" l="1"/>
  <c r="L506" i="17" s="1"/>
  <c r="J507" i="17"/>
  <c r="J508" i="17" l="1"/>
  <c r="K507" i="17"/>
  <c r="L507" i="17" s="1"/>
  <c r="J509" i="17" l="1"/>
  <c r="K508" i="17"/>
  <c r="L508" i="17" s="1"/>
  <c r="K509" i="17" l="1"/>
  <c r="L509" i="17" s="1"/>
  <c r="J510" i="17"/>
  <c r="J511" i="17" l="1"/>
  <c r="K510" i="17"/>
  <c r="L510" i="17" s="1"/>
  <c r="J512" i="17" l="1"/>
  <c r="K511" i="17"/>
  <c r="L511" i="17" s="1"/>
  <c r="J513" i="17" l="1"/>
  <c r="K512" i="17"/>
  <c r="L512" i="17" s="1"/>
  <c r="K513" i="17" l="1"/>
  <c r="L513" i="17" s="1"/>
  <c r="J514" i="17"/>
  <c r="K514" i="17" l="1"/>
  <c r="L514" i="17" s="1"/>
  <c r="J515" i="17"/>
  <c r="J516" i="17" l="1"/>
  <c r="K515" i="17"/>
  <c r="L515" i="17" s="1"/>
  <c r="J517" i="17" l="1"/>
  <c r="K516" i="17"/>
  <c r="L516" i="17" s="1"/>
  <c r="K517" i="17" l="1"/>
  <c r="L517" i="17" s="1"/>
  <c r="J518" i="17"/>
  <c r="J519" i="17" l="1"/>
  <c r="K518" i="17"/>
  <c r="L518" i="17" s="1"/>
  <c r="J520" i="17" l="1"/>
  <c r="K519" i="17"/>
  <c r="L519" i="17" s="1"/>
  <c r="K520" i="17" l="1"/>
  <c r="L520" i="17" s="1"/>
  <c r="J521" i="17"/>
  <c r="K521" i="17" l="1"/>
  <c r="L521" i="17" s="1"/>
  <c r="J522" i="17"/>
  <c r="K522" i="17" l="1"/>
  <c r="L522" i="17" s="1"/>
  <c r="J523" i="17"/>
  <c r="J524" i="17" l="1"/>
  <c r="K523" i="17"/>
  <c r="L523" i="17" s="1"/>
  <c r="J525" i="17" l="1"/>
  <c r="K524" i="17"/>
  <c r="L524" i="17" s="1"/>
  <c r="K525" i="17" l="1"/>
  <c r="L525" i="17" s="1"/>
  <c r="J526" i="17"/>
  <c r="J527" i="17" l="1"/>
  <c r="K526" i="17"/>
  <c r="L526" i="17" s="1"/>
  <c r="J528" i="17" l="1"/>
  <c r="K527" i="17"/>
  <c r="L527" i="17" s="1"/>
  <c r="AD3" i="45"/>
  <c r="J529" i="17" l="1"/>
  <c r="K528" i="17"/>
  <c r="L528" i="17" s="1"/>
  <c r="O8" i="45"/>
  <c r="O9" i="45"/>
  <c r="O10" i="45"/>
  <c r="O11" i="45"/>
  <c r="O12" i="45"/>
  <c r="O7" i="45"/>
  <c r="O6" i="45"/>
  <c r="O5" i="45"/>
  <c r="O4" i="45"/>
  <c r="O3" i="45"/>
  <c r="O2" i="45"/>
  <c r="W17" i="45"/>
  <c r="BU14" i="42"/>
  <c r="AQ604" i="19"/>
  <c r="AB604" i="19"/>
  <c r="AQ603" i="19"/>
  <c r="AB603" i="19"/>
  <c r="AQ602" i="19"/>
  <c r="AB602" i="19"/>
  <c r="AQ600" i="19"/>
  <c r="AQ599" i="19"/>
  <c r="AB599" i="19"/>
  <c r="AQ598" i="19"/>
  <c r="AB598" i="19"/>
  <c r="AQ597" i="19"/>
  <c r="AQ596" i="19"/>
  <c r="AQ594" i="19"/>
  <c r="AQ593" i="19"/>
  <c r="AQ592" i="19"/>
  <c r="AQ591" i="19"/>
  <c r="AQ590" i="19"/>
  <c r="AB590" i="19"/>
  <c r="AQ589" i="19"/>
  <c r="AB589" i="19"/>
  <c r="AQ588" i="19"/>
  <c r="AQ586" i="19"/>
  <c r="AB586" i="19"/>
  <c r="AQ585" i="19"/>
  <c r="AQ584" i="19"/>
  <c r="AQ583" i="19"/>
  <c r="AQ582" i="19"/>
  <c r="AQ581" i="19"/>
  <c r="AB581" i="19"/>
  <c r="AQ580" i="19"/>
  <c r="AB580" i="19"/>
  <c r="AQ579" i="19"/>
  <c r="AB579" i="19"/>
  <c r="AQ577" i="19"/>
  <c r="AQ576" i="19"/>
  <c r="AB576" i="19"/>
  <c r="AQ575" i="19"/>
  <c r="AB575" i="19"/>
  <c r="AQ574" i="19"/>
  <c r="AB574" i="19"/>
  <c r="AQ573" i="19"/>
  <c r="AB573" i="19"/>
  <c r="AQ572" i="19"/>
  <c r="AB572" i="19"/>
  <c r="AQ571" i="19"/>
  <c r="AB571" i="19"/>
  <c r="AQ570" i="19"/>
  <c r="AB570" i="19"/>
  <c r="AQ568" i="19"/>
  <c r="AQ567" i="19"/>
  <c r="AB567" i="19"/>
  <c r="AQ566" i="19"/>
  <c r="AB566" i="19"/>
  <c r="AQ565" i="19"/>
  <c r="AB565" i="19"/>
  <c r="AQ564" i="19"/>
  <c r="AB564" i="19"/>
  <c r="AQ563" i="19"/>
  <c r="AB563" i="19"/>
  <c r="AQ562" i="19"/>
  <c r="AB562" i="19"/>
  <c r="AQ561" i="19"/>
  <c r="AB561" i="19"/>
  <c r="AQ560" i="19"/>
  <c r="AQ558" i="19"/>
  <c r="AB558" i="19"/>
  <c r="AQ557" i="19"/>
  <c r="AB557" i="19"/>
  <c r="AQ556" i="19"/>
  <c r="AB556" i="19"/>
  <c r="AQ555" i="19"/>
  <c r="AB555" i="19"/>
  <c r="AQ554" i="19"/>
  <c r="AB554" i="19"/>
  <c r="AQ553" i="19"/>
  <c r="AQ552" i="19"/>
  <c r="AB552" i="19"/>
  <c r="AQ551" i="19"/>
  <c r="AB551" i="19"/>
  <c r="AQ550" i="19"/>
  <c r="AB550" i="19"/>
  <c r="AQ549" i="19"/>
  <c r="AB549" i="19"/>
  <c r="AQ547" i="19"/>
  <c r="AB547" i="19"/>
  <c r="AQ546" i="19"/>
  <c r="AB546" i="19"/>
  <c r="AQ545" i="19"/>
  <c r="AB545" i="19"/>
  <c r="AQ544" i="19"/>
  <c r="AB544" i="19"/>
  <c r="AQ543" i="19"/>
  <c r="AB543" i="19"/>
  <c r="AQ542" i="19"/>
  <c r="AQ541" i="19"/>
  <c r="AB541" i="19"/>
  <c r="AQ540" i="19"/>
  <c r="AQ539" i="19"/>
  <c r="AQ538" i="19"/>
  <c r="AB538" i="19"/>
  <c r="AQ536" i="19"/>
  <c r="AB536" i="19"/>
  <c r="AQ535" i="19"/>
  <c r="AB535" i="19"/>
  <c r="AQ534" i="19"/>
  <c r="AB534" i="19"/>
  <c r="AQ532" i="19"/>
  <c r="AB532" i="19"/>
  <c r="AQ531" i="19"/>
  <c r="AB531" i="19"/>
  <c r="AQ530" i="19"/>
  <c r="AQ529" i="19"/>
  <c r="AQ527" i="19"/>
  <c r="AQ526" i="19"/>
  <c r="AB526" i="19"/>
  <c r="AQ524" i="19"/>
  <c r="AB524" i="19"/>
  <c r="AQ523" i="19"/>
  <c r="AB523" i="19"/>
  <c r="AQ522" i="19"/>
  <c r="AQ520" i="19"/>
  <c r="AB520" i="19"/>
  <c r="AQ519" i="19"/>
  <c r="AB519" i="19"/>
  <c r="AQ517" i="19"/>
  <c r="AB517" i="19"/>
  <c r="AQ516" i="19"/>
  <c r="AB516" i="19"/>
  <c r="AQ515" i="19"/>
  <c r="AB515" i="19"/>
  <c r="AQ514" i="19"/>
  <c r="AQ512" i="19"/>
  <c r="AQ511" i="19"/>
  <c r="AB511" i="19"/>
  <c r="AQ510" i="19"/>
  <c r="AB510" i="19"/>
  <c r="AQ509" i="19"/>
  <c r="AB509" i="19"/>
  <c r="AQ507" i="19"/>
  <c r="AQ506" i="19"/>
  <c r="AB506" i="19"/>
  <c r="AQ505" i="19"/>
  <c r="AQ503" i="19"/>
  <c r="AB503" i="19"/>
  <c r="AQ502" i="19"/>
  <c r="AB502" i="19"/>
  <c r="AQ500" i="19"/>
  <c r="AQ499" i="19"/>
  <c r="AQ498" i="19"/>
  <c r="AQ496" i="19"/>
  <c r="AB496" i="19"/>
  <c r="AQ495" i="19"/>
  <c r="AB495" i="19"/>
  <c r="AQ493" i="19"/>
  <c r="AQ492" i="19"/>
  <c r="AB492" i="19"/>
  <c r="AQ491" i="19"/>
  <c r="AB491" i="19"/>
  <c r="AQ490" i="19"/>
  <c r="AB490" i="19"/>
  <c r="AQ488" i="19"/>
  <c r="AQ486" i="19"/>
  <c r="AB486" i="19"/>
  <c r="AQ485" i="19"/>
  <c r="AQ484" i="19"/>
  <c r="AB484" i="19"/>
  <c r="AQ483" i="19"/>
  <c r="AB483" i="19"/>
  <c r="AQ481" i="19"/>
  <c r="AB481" i="19"/>
  <c r="AQ480" i="19"/>
  <c r="AB480" i="19"/>
  <c r="AQ479" i="19"/>
  <c r="AB479" i="19"/>
  <c r="AQ477" i="19"/>
  <c r="AB477" i="19"/>
  <c r="AQ476" i="19"/>
  <c r="AB476" i="19"/>
  <c r="AQ475" i="19"/>
  <c r="AB475" i="19"/>
  <c r="AQ474" i="19"/>
  <c r="AQ473" i="19"/>
  <c r="AB473" i="19"/>
  <c r="AQ472" i="19"/>
  <c r="AB472" i="19"/>
  <c r="AQ470" i="19"/>
  <c r="AB470" i="19"/>
  <c r="AQ469" i="19"/>
  <c r="AB469" i="19"/>
  <c r="AQ468" i="19"/>
  <c r="AQ466" i="19"/>
  <c r="AB466" i="19"/>
  <c r="AQ465" i="19"/>
  <c r="AQ464" i="19"/>
  <c r="AB464" i="19"/>
  <c r="AQ463" i="19"/>
  <c r="AB463" i="19"/>
  <c r="AQ462" i="19"/>
  <c r="AB462" i="19"/>
  <c r="AQ461" i="19"/>
  <c r="AB461" i="19"/>
  <c r="AQ460" i="19"/>
  <c r="AB460" i="19"/>
  <c r="AQ459" i="19"/>
  <c r="AQ458" i="19"/>
  <c r="AB458" i="19"/>
  <c r="AQ457" i="19"/>
  <c r="AQ456" i="19"/>
  <c r="AB456" i="19"/>
  <c r="AQ454" i="19"/>
  <c r="AB454" i="19"/>
  <c r="AQ453" i="19"/>
  <c r="AB453" i="19"/>
  <c r="AQ451" i="19"/>
  <c r="AB451" i="19"/>
  <c r="AQ450" i="19"/>
  <c r="AB450" i="19"/>
  <c r="AQ449" i="19"/>
  <c r="AB449" i="19"/>
  <c r="AQ448" i="19"/>
  <c r="AB448" i="19"/>
  <c r="AQ446" i="19"/>
  <c r="AB446" i="19"/>
  <c r="AQ445" i="19"/>
  <c r="AQ444" i="19"/>
  <c r="AB444" i="19"/>
  <c r="AQ443" i="19"/>
  <c r="AB443" i="19"/>
  <c r="AQ442" i="19"/>
  <c r="AB442" i="19"/>
  <c r="AQ441" i="19"/>
  <c r="AQ440" i="19"/>
  <c r="AB440" i="19"/>
  <c r="AQ439" i="19"/>
  <c r="AB439" i="19"/>
  <c r="AQ437" i="19"/>
  <c r="AB437" i="19"/>
  <c r="AQ436" i="19"/>
  <c r="AB436" i="19"/>
  <c r="AQ434" i="19"/>
  <c r="AB434" i="19"/>
  <c r="AQ432" i="19"/>
  <c r="AB432" i="19"/>
  <c r="AQ430" i="19"/>
  <c r="AB430" i="19"/>
  <c r="AQ428" i="19"/>
  <c r="AQ426" i="19"/>
  <c r="AB426" i="19"/>
  <c r="AQ425" i="19"/>
  <c r="AQ424" i="19"/>
  <c r="AQ423" i="19"/>
  <c r="AB423" i="19"/>
  <c r="AQ421" i="19"/>
  <c r="AB421" i="19"/>
  <c r="AQ420" i="19"/>
  <c r="AB420" i="19"/>
  <c r="AQ418" i="19"/>
  <c r="AB418" i="19"/>
  <c r="AQ417" i="19"/>
  <c r="AB417" i="19"/>
  <c r="AQ416" i="19"/>
  <c r="AQ415" i="19"/>
  <c r="AB415" i="19"/>
  <c r="AQ414" i="19"/>
  <c r="AQ413" i="19"/>
  <c r="AQ412" i="19"/>
  <c r="AQ411" i="19"/>
  <c r="AB411" i="19"/>
  <c r="AQ410" i="19"/>
  <c r="AQ409" i="19"/>
  <c r="AB409" i="19"/>
  <c r="AQ408" i="19"/>
  <c r="AQ407" i="19"/>
  <c r="AQ406" i="19"/>
  <c r="AQ405" i="19"/>
  <c r="AQ404" i="19"/>
  <c r="AB404" i="19"/>
  <c r="AQ403" i="19"/>
  <c r="AQ402" i="19"/>
  <c r="AQ401" i="19"/>
  <c r="AB401" i="19"/>
  <c r="AQ399" i="19"/>
  <c r="AB399" i="19"/>
  <c r="AQ398" i="19"/>
  <c r="AB398" i="19"/>
  <c r="AQ396" i="19"/>
  <c r="AQ395" i="19"/>
  <c r="AQ394" i="19"/>
  <c r="AQ393" i="19"/>
  <c r="AB393" i="19"/>
  <c r="AQ391" i="19"/>
  <c r="AQ390" i="19"/>
  <c r="AQ389" i="19"/>
  <c r="AQ388" i="19"/>
  <c r="AB388" i="19"/>
  <c r="AQ386" i="19"/>
  <c r="AB386" i="19"/>
  <c r="AQ385" i="19"/>
  <c r="AB385" i="19"/>
  <c r="AQ384" i="19"/>
  <c r="AB384" i="19"/>
  <c r="AQ383" i="19"/>
  <c r="AB383" i="19"/>
  <c r="AQ381" i="19"/>
  <c r="AQ380" i="19"/>
  <c r="AB380" i="19"/>
  <c r="AQ379" i="19"/>
  <c r="AB379" i="19"/>
  <c r="AQ378" i="19"/>
  <c r="AQ376" i="19"/>
  <c r="AB376" i="19"/>
  <c r="AQ375" i="19"/>
  <c r="AB375" i="19"/>
  <c r="AQ374" i="19"/>
  <c r="AB374" i="19"/>
  <c r="AQ373" i="19"/>
  <c r="AB373" i="19"/>
  <c r="AQ371" i="19"/>
  <c r="AQ370" i="19"/>
  <c r="AQ369" i="19"/>
  <c r="AB369" i="19"/>
  <c r="AQ368" i="19"/>
  <c r="AQ367" i="19"/>
  <c r="AB367" i="19"/>
  <c r="AQ366" i="19"/>
  <c r="AB366" i="19"/>
  <c r="AQ365" i="19"/>
  <c r="AQ364" i="19"/>
  <c r="AQ363" i="19"/>
  <c r="AQ362" i="19"/>
  <c r="AQ361" i="19"/>
  <c r="AQ359" i="19"/>
  <c r="AQ358" i="19"/>
  <c r="AQ357" i="19"/>
  <c r="AB357" i="19"/>
  <c r="AQ356" i="19"/>
  <c r="AQ355" i="19"/>
  <c r="AB355" i="19"/>
  <c r="AQ354" i="19"/>
  <c r="AB354" i="19"/>
  <c r="AQ353" i="19"/>
  <c r="AB353" i="19"/>
  <c r="AQ352" i="19"/>
  <c r="AB352" i="19"/>
  <c r="AQ351" i="19"/>
  <c r="AQ350" i="19"/>
  <c r="AQ349" i="19"/>
  <c r="AB349" i="19"/>
  <c r="AQ348" i="19"/>
  <c r="AB348" i="19"/>
  <c r="AQ347" i="19"/>
  <c r="AB347" i="19"/>
  <c r="AQ345" i="19"/>
  <c r="AB345" i="19"/>
  <c r="AQ344" i="19"/>
  <c r="AB344" i="19"/>
  <c r="AQ343" i="19"/>
  <c r="AQ342" i="19"/>
  <c r="AB342" i="19"/>
  <c r="AQ341" i="19"/>
  <c r="AB341" i="19"/>
  <c r="AQ340" i="19"/>
  <c r="AB340" i="19"/>
  <c r="AQ339" i="19"/>
  <c r="AB339" i="19"/>
  <c r="AQ338" i="19"/>
  <c r="AQ337" i="19"/>
  <c r="AQ336" i="19"/>
  <c r="AQ335" i="19"/>
  <c r="AB335" i="19"/>
  <c r="AQ334" i="19"/>
  <c r="AB334" i="19"/>
  <c r="AQ333" i="19"/>
  <c r="AQ332" i="19"/>
  <c r="AB332" i="19"/>
  <c r="AQ331" i="19"/>
  <c r="AB331" i="19"/>
  <c r="AQ330" i="19"/>
  <c r="AQ329" i="19"/>
  <c r="AQ327" i="19"/>
  <c r="AQ326" i="19"/>
  <c r="AQ325" i="19"/>
  <c r="AQ324" i="19"/>
  <c r="AB324" i="19"/>
  <c r="AQ323" i="19"/>
  <c r="AB323" i="19"/>
  <c r="AQ322" i="19"/>
  <c r="AB322" i="19"/>
  <c r="AQ321" i="19"/>
  <c r="AQ320" i="19"/>
  <c r="AB320" i="19"/>
  <c r="AQ319" i="19"/>
  <c r="AB319" i="19"/>
  <c r="AQ318" i="19"/>
  <c r="AB318" i="19"/>
  <c r="AQ317" i="19"/>
  <c r="AQ316" i="19"/>
  <c r="AB316" i="19"/>
  <c r="AQ314" i="19"/>
  <c r="AQ312" i="19"/>
  <c r="AB312" i="19"/>
  <c r="AQ311" i="19"/>
  <c r="AB311" i="19"/>
  <c r="AQ310" i="19"/>
  <c r="AQ309" i="19"/>
  <c r="AB309" i="19"/>
  <c r="AQ308" i="19"/>
  <c r="AB308" i="19"/>
  <c r="AQ307" i="19"/>
  <c r="AB307" i="19"/>
  <c r="AQ306" i="19"/>
  <c r="AB306" i="19"/>
  <c r="AQ305" i="19"/>
  <c r="AB305" i="19"/>
  <c r="AQ304" i="19"/>
  <c r="AB304" i="19"/>
  <c r="AQ303" i="19"/>
  <c r="AQ302" i="19"/>
  <c r="AB302" i="19"/>
  <c r="AQ301" i="19"/>
  <c r="AB301" i="19"/>
  <c r="AQ300" i="19"/>
  <c r="AB300" i="19"/>
  <c r="AQ299" i="19"/>
  <c r="AQ298" i="19"/>
  <c r="AQ297" i="19"/>
  <c r="AQ296" i="19"/>
  <c r="AQ292" i="19"/>
  <c r="AB292" i="19"/>
  <c r="AQ291" i="19"/>
  <c r="AB291" i="19"/>
  <c r="AQ290" i="19"/>
  <c r="AQ289" i="19"/>
  <c r="AB289" i="19"/>
  <c r="AQ288" i="19"/>
  <c r="AB288" i="19"/>
  <c r="AQ287" i="19"/>
  <c r="AQ286" i="19"/>
  <c r="AB286" i="19"/>
  <c r="AQ285" i="19"/>
  <c r="AB285" i="19"/>
  <c r="AQ283" i="19"/>
  <c r="AQ282" i="19"/>
  <c r="AQ281" i="19"/>
  <c r="AQ280" i="19"/>
  <c r="AQ279" i="19"/>
  <c r="AQ278" i="19"/>
  <c r="AQ276" i="19"/>
  <c r="AQ275" i="19"/>
  <c r="AB275" i="19"/>
  <c r="AQ274" i="19"/>
  <c r="AB274" i="19"/>
  <c r="AQ273" i="19"/>
  <c r="AB273" i="19"/>
  <c r="AQ272" i="19"/>
  <c r="AB272" i="19"/>
  <c r="AQ271" i="19"/>
  <c r="AB271" i="19"/>
  <c r="AQ269" i="19"/>
  <c r="AQ267" i="19"/>
  <c r="AB267" i="19"/>
  <c r="AQ265" i="19"/>
  <c r="AQ264" i="19"/>
  <c r="AB264" i="19"/>
  <c r="AQ262" i="19"/>
  <c r="AQ261" i="19"/>
  <c r="AB261" i="19"/>
  <c r="AQ260" i="19"/>
  <c r="AB260" i="19"/>
  <c r="AQ259" i="19"/>
  <c r="AQ257" i="19"/>
  <c r="AQ256" i="19"/>
  <c r="AB256" i="19"/>
  <c r="AQ255" i="19"/>
  <c r="AB255" i="19"/>
  <c r="AQ254" i="19"/>
  <c r="AB254" i="19"/>
  <c r="AQ252" i="19"/>
  <c r="AB252" i="19"/>
  <c r="AQ250" i="19"/>
  <c r="AB250" i="19"/>
  <c r="AQ249" i="19"/>
  <c r="AQ248" i="19"/>
  <c r="AB248" i="19"/>
  <c r="AQ246" i="19"/>
  <c r="AB246" i="19"/>
  <c r="AQ245" i="19"/>
  <c r="AB245" i="19"/>
  <c r="AQ244" i="19"/>
  <c r="AQ243" i="19"/>
  <c r="AB243" i="19"/>
  <c r="AQ242" i="19"/>
  <c r="AQ241" i="19"/>
  <c r="AB241" i="19"/>
  <c r="AQ239" i="19"/>
  <c r="AQ238" i="19"/>
  <c r="AB238" i="19"/>
  <c r="AQ237" i="19"/>
  <c r="AB237" i="19"/>
  <c r="AQ236" i="19"/>
  <c r="AB236" i="19"/>
  <c r="AQ235" i="19"/>
  <c r="AB235" i="19"/>
  <c r="AQ234" i="19"/>
  <c r="AQ233" i="19"/>
  <c r="AB233" i="19"/>
  <c r="AQ232" i="19"/>
  <c r="AQ230" i="19"/>
  <c r="AB230" i="19"/>
  <c r="AQ229" i="19"/>
  <c r="AQ227" i="19"/>
  <c r="AB227" i="19"/>
  <c r="AQ226" i="19"/>
  <c r="AQ225" i="19"/>
  <c r="AB225" i="19"/>
  <c r="AQ224" i="19"/>
  <c r="AQ222" i="19"/>
  <c r="AQ221" i="19"/>
  <c r="AQ220" i="19"/>
  <c r="AQ219" i="19"/>
  <c r="AQ218" i="19"/>
  <c r="AQ217" i="19"/>
  <c r="AQ216" i="19"/>
  <c r="AQ215" i="19"/>
  <c r="AQ214" i="19"/>
  <c r="AQ213" i="19"/>
  <c r="AQ212" i="19"/>
  <c r="AQ211" i="19"/>
  <c r="AQ210" i="19"/>
  <c r="AQ209" i="19"/>
  <c r="AB209" i="19"/>
  <c r="AQ208" i="19"/>
  <c r="AQ207" i="19"/>
  <c r="AQ205" i="19"/>
  <c r="AB205" i="19"/>
  <c r="AQ204" i="19"/>
  <c r="AQ203" i="19"/>
  <c r="AQ202" i="19"/>
  <c r="AB202" i="19"/>
  <c r="AQ201" i="19"/>
  <c r="AQ200" i="19"/>
  <c r="AB200" i="19"/>
  <c r="AQ199" i="19"/>
  <c r="AQ198" i="19"/>
  <c r="AB198" i="19"/>
  <c r="AQ197" i="19"/>
  <c r="AB197" i="19"/>
  <c r="AQ196" i="19"/>
  <c r="AB196" i="19"/>
  <c r="AQ195" i="19"/>
  <c r="AQ194" i="19"/>
  <c r="AB194" i="19"/>
  <c r="AQ192" i="19"/>
  <c r="AQ191" i="19"/>
  <c r="AB191" i="19"/>
  <c r="AQ190" i="19"/>
  <c r="AB190" i="19"/>
  <c r="AQ189" i="19"/>
  <c r="AB189" i="19"/>
  <c r="AQ188" i="19"/>
  <c r="AB188" i="19"/>
  <c r="AQ187" i="19"/>
  <c r="AB187" i="19"/>
  <c r="AQ186" i="19"/>
  <c r="AB186" i="19"/>
  <c r="AQ185" i="19"/>
  <c r="AQ184" i="19"/>
  <c r="AB184" i="19"/>
  <c r="AQ183" i="19"/>
  <c r="AB183" i="19"/>
  <c r="AQ182" i="19"/>
  <c r="AB182" i="19"/>
  <c r="AQ180" i="19"/>
  <c r="AQ179" i="19"/>
  <c r="AQ178" i="19"/>
  <c r="AB178" i="19"/>
  <c r="AQ176" i="19"/>
  <c r="AB176" i="19"/>
  <c r="AQ175" i="19"/>
  <c r="AQ174" i="19"/>
  <c r="AB174" i="19"/>
  <c r="AQ173" i="19"/>
  <c r="AQ172" i="19"/>
  <c r="AB172" i="19"/>
  <c r="AQ171" i="19"/>
  <c r="AB171" i="19"/>
  <c r="AQ170" i="19"/>
  <c r="AB170" i="19"/>
  <c r="AQ168" i="19"/>
  <c r="AQ167" i="19"/>
  <c r="AB167" i="19"/>
  <c r="AQ166" i="19"/>
  <c r="AB166" i="19"/>
  <c r="AQ165" i="19"/>
  <c r="AB165" i="19"/>
  <c r="AQ164" i="19"/>
  <c r="AB164" i="19"/>
  <c r="AQ163" i="19"/>
  <c r="AB163" i="19"/>
  <c r="AQ162" i="19"/>
  <c r="AQ161" i="19"/>
  <c r="AQ160" i="19"/>
  <c r="AQ159" i="19"/>
  <c r="AB159" i="19"/>
  <c r="AQ158" i="19"/>
  <c r="AB158" i="19"/>
  <c r="AQ156" i="19"/>
  <c r="AB156" i="19"/>
  <c r="AQ155" i="19"/>
  <c r="AB155" i="19"/>
  <c r="AQ154" i="19"/>
  <c r="AB154" i="19"/>
  <c r="AQ153" i="19"/>
  <c r="AB153" i="19"/>
  <c r="AQ152" i="19"/>
  <c r="AB152" i="19"/>
  <c r="AQ151" i="19"/>
  <c r="AB151" i="19"/>
  <c r="AQ150" i="19"/>
  <c r="AQ149" i="19"/>
  <c r="AQ148" i="19"/>
  <c r="AB148" i="19"/>
  <c r="AQ147" i="19"/>
  <c r="AQ146" i="19"/>
  <c r="AQ144" i="19"/>
  <c r="AB144" i="19"/>
  <c r="AQ143" i="19"/>
  <c r="AB143" i="19"/>
  <c r="AQ142" i="19"/>
  <c r="AB142" i="19"/>
  <c r="AQ141" i="19"/>
  <c r="AB141" i="19"/>
  <c r="AQ140" i="19"/>
  <c r="AB140" i="19"/>
  <c r="AQ139" i="19"/>
  <c r="AB139" i="19"/>
  <c r="AQ138" i="19"/>
  <c r="AB138" i="19"/>
  <c r="AQ137" i="19"/>
  <c r="AB137" i="19"/>
  <c r="AQ135" i="19"/>
  <c r="AQ134" i="19"/>
  <c r="AB134" i="19"/>
  <c r="AQ133" i="19"/>
  <c r="AQ132" i="19"/>
  <c r="AQ131" i="19"/>
  <c r="AQ130" i="19"/>
  <c r="AQ129" i="19"/>
  <c r="AQ128" i="19"/>
  <c r="AQ127" i="19"/>
  <c r="AQ126" i="19"/>
  <c r="AQ125" i="19"/>
  <c r="AQ124" i="19"/>
  <c r="AQ122" i="19"/>
  <c r="AQ121" i="19"/>
  <c r="AB121" i="19"/>
  <c r="AQ120" i="19"/>
  <c r="AB120" i="19"/>
  <c r="AQ119" i="19"/>
  <c r="AQ118" i="19"/>
  <c r="AB118" i="19"/>
  <c r="AQ117" i="19"/>
  <c r="AB117" i="19"/>
  <c r="AQ116" i="19"/>
  <c r="AB116" i="19"/>
  <c r="AQ115" i="19"/>
  <c r="AB115" i="19"/>
  <c r="AQ114" i="19"/>
  <c r="AB114" i="19"/>
  <c r="AQ113" i="19"/>
  <c r="AQ112" i="19"/>
  <c r="AB112" i="19"/>
  <c r="AQ111" i="19"/>
  <c r="AQ110" i="19"/>
  <c r="AB110" i="19"/>
  <c r="AQ109" i="19"/>
  <c r="AB109" i="19"/>
  <c r="AQ108" i="19"/>
  <c r="AQ107" i="19"/>
  <c r="AB107" i="19"/>
  <c r="AQ106" i="19"/>
  <c r="AQ105" i="19"/>
  <c r="AQ104" i="19"/>
  <c r="AB104" i="19"/>
  <c r="AQ103" i="19"/>
  <c r="AQ102" i="19"/>
  <c r="AB102" i="19"/>
  <c r="AQ101" i="19"/>
  <c r="AB101" i="19"/>
  <c r="AQ99" i="19"/>
  <c r="AB99" i="19"/>
  <c r="AQ98" i="19"/>
  <c r="AB98" i="19"/>
  <c r="AQ97" i="19"/>
  <c r="AB97" i="19"/>
  <c r="AQ96" i="19"/>
  <c r="AB96" i="19"/>
  <c r="AQ95" i="19"/>
  <c r="AB95" i="19"/>
  <c r="AQ94" i="19"/>
  <c r="AB94" i="19"/>
  <c r="AQ93" i="19"/>
  <c r="AB93" i="19"/>
  <c r="AQ91" i="19"/>
  <c r="AB91" i="19"/>
  <c r="AQ90" i="19"/>
  <c r="AB90" i="19"/>
  <c r="AQ89" i="19"/>
  <c r="AB89" i="19"/>
  <c r="AQ88" i="19"/>
  <c r="AB88" i="19"/>
  <c r="AQ87" i="19"/>
  <c r="AB87" i="19"/>
  <c r="AQ86" i="19"/>
  <c r="AQ85" i="19"/>
  <c r="AB85" i="19"/>
  <c r="AQ84" i="19"/>
  <c r="AB84" i="19"/>
  <c r="AQ83" i="19"/>
  <c r="AB83" i="19"/>
  <c r="AQ81" i="19"/>
  <c r="AB81" i="19"/>
  <c r="AQ80" i="19"/>
  <c r="AB80" i="19"/>
  <c r="AQ79" i="19"/>
  <c r="AQ77" i="19"/>
  <c r="AB77" i="19"/>
  <c r="AQ76" i="19"/>
  <c r="AB76" i="19"/>
  <c r="AQ75" i="19"/>
  <c r="AQ74" i="19"/>
  <c r="AQ73" i="19"/>
  <c r="AB73" i="19"/>
  <c r="AQ71" i="19"/>
  <c r="AB71" i="19"/>
  <c r="AQ70" i="19"/>
  <c r="AB70" i="19"/>
  <c r="AQ69" i="19"/>
  <c r="AQ68" i="19"/>
  <c r="AQ67" i="19"/>
  <c r="AB67" i="19"/>
  <c r="AQ66" i="19"/>
  <c r="AB66" i="19"/>
  <c r="AQ65" i="19"/>
  <c r="AB65" i="19"/>
  <c r="AQ64" i="19"/>
  <c r="AB64" i="19"/>
  <c r="AQ63" i="19"/>
  <c r="AQ62" i="19"/>
  <c r="AB62" i="19"/>
  <c r="AQ61" i="19"/>
  <c r="AQ60" i="19"/>
  <c r="AB60" i="19"/>
  <c r="AQ59" i="19"/>
  <c r="AB59" i="19"/>
  <c r="AQ58" i="19"/>
  <c r="AQ57" i="19"/>
  <c r="AQ55" i="19"/>
  <c r="AB55" i="19"/>
  <c r="AQ54" i="19"/>
  <c r="AB54" i="19"/>
  <c r="AQ53" i="19"/>
  <c r="AB53" i="19"/>
  <c r="AQ52" i="19"/>
  <c r="AB52" i="19"/>
  <c r="AQ51" i="19"/>
  <c r="AB51" i="19"/>
  <c r="AQ50" i="19"/>
  <c r="AB50" i="19"/>
  <c r="AQ49" i="19"/>
  <c r="AB49" i="19"/>
  <c r="AQ48" i="19"/>
  <c r="AB48" i="19"/>
  <c r="AQ47" i="19"/>
  <c r="AB47" i="19"/>
  <c r="AQ46" i="19"/>
  <c r="AB46" i="19"/>
  <c r="AQ45" i="19"/>
  <c r="AB45" i="19"/>
  <c r="AQ44" i="19"/>
  <c r="AB44" i="19"/>
  <c r="AQ43" i="19"/>
  <c r="AQ42" i="19"/>
  <c r="AB42" i="19"/>
  <c r="AQ41" i="19"/>
  <c r="AB41" i="19"/>
  <c r="AQ40" i="19"/>
  <c r="AB40" i="19"/>
  <c r="AQ39" i="19"/>
  <c r="AB39" i="19"/>
  <c r="AQ38" i="19"/>
  <c r="AB38" i="19"/>
  <c r="AQ37" i="19"/>
  <c r="AQ36" i="19"/>
  <c r="AB36" i="19"/>
  <c r="AQ35" i="19"/>
  <c r="AB35" i="19"/>
  <c r="AQ34" i="19"/>
  <c r="AB34" i="19"/>
  <c r="AQ33" i="19"/>
  <c r="AQ32" i="19"/>
  <c r="AB32" i="19"/>
  <c r="AQ31" i="19"/>
  <c r="AB31" i="19"/>
  <c r="AQ30" i="19"/>
  <c r="AB30" i="19"/>
  <c r="AQ29" i="19"/>
  <c r="AB29" i="19"/>
  <c r="AQ28" i="19"/>
  <c r="AB28" i="19"/>
  <c r="AQ27" i="19"/>
  <c r="AQ26" i="19"/>
  <c r="AQ25" i="19"/>
  <c r="AB25" i="19"/>
  <c r="AQ24" i="19"/>
  <c r="AQ23" i="19"/>
  <c r="AB23" i="19"/>
  <c r="AQ22" i="19"/>
  <c r="AB22" i="19"/>
  <c r="W604" i="45" l="1"/>
  <c r="W600" i="45"/>
  <c r="W596" i="45"/>
  <c r="W592" i="45"/>
  <c r="W588" i="45"/>
  <c r="W584" i="45"/>
  <c r="W580" i="45"/>
  <c r="W576" i="45"/>
  <c r="W572" i="45"/>
  <c r="W568" i="45"/>
  <c r="W564" i="45"/>
  <c r="W560" i="45"/>
  <c r="W556" i="45"/>
  <c r="W552" i="45"/>
  <c r="W548" i="45"/>
  <c r="W544" i="45"/>
  <c r="W537" i="45"/>
  <c r="W529" i="45"/>
  <c r="W521" i="45"/>
  <c r="W514" i="45"/>
  <c r="W507" i="45"/>
  <c r="W500" i="45"/>
  <c r="W493" i="45"/>
  <c r="W487" i="45"/>
  <c r="W482" i="45"/>
  <c r="W477" i="45"/>
  <c r="W472" i="45"/>
  <c r="W466" i="45"/>
  <c r="W461" i="45"/>
  <c r="W457" i="45"/>
  <c r="W453" i="45"/>
  <c r="W449" i="45"/>
  <c r="W443" i="45"/>
  <c r="W438" i="45"/>
  <c r="W433" i="45"/>
  <c r="W429" i="45"/>
  <c r="W424" i="45"/>
  <c r="W416" i="45"/>
  <c r="W412" i="45"/>
  <c r="W408" i="45"/>
  <c r="W403" i="45"/>
  <c r="W398" i="45"/>
  <c r="W392" i="45"/>
  <c r="W386" i="45"/>
  <c r="W381" i="45"/>
  <c r="W377" i="45"/>
  <c r="W372" i="45"/>
  <c r="W366" i="45"/>
  <c r="W362" i="45"/>
  <c r="W357" i="45"/>
  <c r="W353" i="45"/>
  <c r="W347" i="45"/>
  <c r="W342" i="45"/>
  <c r="W336" i="45"/>
  <c r="W330" i="45"/>
  <c r="W325" i="45"/>
  <c r="W320" i="45"/>
  <c r="W316" i="45"/>
  <c r="W311" i="45"/>
  <c r="W306" i="45"/>
  <c r="W301" i="45"/>
  <c r="W295" i="45"/>
  <c r="W289" i="45"/>
  <c r="W283" i="45"/>
  <c r="W278" i="45"/>
  <c r="W273" i="45"/>
  <c r="W267" i="45"/>
  <c r="W263" i="45"/>
  <c r="W258" i="45"/>
  <c r="W253" i="45"/>
  <c r="W249" i="45"/>
  <c r="W244" i="45"/>
  <c r="W237" i="45"/>
  <c r="W232" i="45"/>
  <c r="W226" i="45"/>
  <c r="W222" i="45"/>
  <c r="W218" i="45"/>
  <c r="W213" i="45"/>
  <c r="W209" i="45"/>
  <c r="W205" i="45"/>
  <c r="W201" i="45"/>
  <c r="W197" i="45"/>
  <c r="W193" i="45"/>
  <c r="W189" i="45"/>
  <c r="W184" i="45"/>
  <c r="W179" i="45"/>
  <c r="W175" i="45"/>
  <c r="W169" i="45"/>
  <c r="W164" i="45"/>
  <c r="W156" i="45"/>
  <c r="W150" i="45"/>
  <c r="W145" i="45"/>
  <c r="W140" i="45"/>
  <c r="W135" i="45"/>
  <c r="W130" i="45"/>
  <c r="W125" i="45"/>
  <c r="W121" i="45"/>
  <c r="W116" i="45"/>
  <c r="W111" i="45"/>
  <c r="W106" i="45"/>
  <c r="W102" i="45"/>
  <c r="W97" i="45"/>
  <c r="W93" i="45"/>
  <c r="W88" i="45"/>
  <c r="W84" i="45"/>
  <c r="W80" i="45"/>
  <c r="W76" i="45"/>
  <c r="W72" i="45"/>
  <c r="W67" i="45"/>
  <c r="W63" i="45"/>
  <c r="W58" i="45"/>
  <c r="W54" i="45"/>
  <c r="W49" i="45"/>
  <c r="W44" i="45"/>
  <c r="W40" i="45"/>
  <c r="W35" i="45"/>
  <c r="W31" i="45"/>
  <c r="W27" i="45"/>
  <c r="W23" i="45"/>
  <c r="W593" i="45"/>
  <c r="W589" i="45"/>
  <c r="W577" i="45"/>
  <c r="W573" i="45"/>
  <c r="W561" i="45"/>
  <c r="W549" i="45"/>
  <c r="W531" i="45"/>
  <c r="W509" i="45"/>
  <c r="W488" i="45"/>
  <c r="W478" i="45"/>
  <c r="W463" i="45"/>
  <c r="W450" i="45"/>
  <c r="W434" i="45"/>
  <c r="W418" i="45"/>
  <c r="W404" i="45"/>
  <c r="W393" i="45"/>
  <c r="W378" i="45"/>
  <c r="W363" i="45"/>
  <c r="W348" i="45"/>
  <c r="W331" i="45"/>
  <c r="W317" i="45"/>
  <c r="W302" i="45"/>
  <c r="W284" i="45"/>
  <c r="W264" i="45"/>
  <c r="W250" i="45"/>
  <c r="W239" i="45"/>
  <c r="W223" i="45"/>
  <c r="W210" i="45"/>
  <c r="W202" i="45"/>
  <c r="W190" i="45"/>
  <c r="W176" i="45"/>
  <c r="W158" i="45"/>
  <c r="W142" i="45"/>
  <c r="W126" i="45"/>
  <c r="W118" i="45"/>
  <c r="W108" i="45"/>
  <c r="W89" i="45"/>
  <c r="W77" i="45"/>
  <c r="W68" i="45"/>
  <c r="W55" i="45"/>
  <c r="W41" i="45"/>
  <c r="W28" i="45"/>
  <c r="W603" i="45"/>
  <c r="W599" i="45"/>
  <c r="W595" i="45"/>
  <c r="W591" i="45"/>
  <c r="W587" i="45"/>
  <c r="W583" i="45"/>
  <c r="W579" i="45"/>
  <c r="W575" i="45"/>
  <c r="W571" i="45"/>
  <c r="W567" i="45"/>
  <c r="W563" i="45"/>
  <c r="W559" i="45"/>
  <c r="W555" i="45"/>
  <c r="W551" i="45"/>
  <c r="W547" i="45"/>
  <c r="W542" i="45"/>
  <c r="W535" i="45"/>
  <c r="W527" i="45"/>
  <c r="W520" i="45"/>
  <c r="W512" i="45"/>
  <c r="W506" i="45"/>
  <c r="W498" i="45"/>
  <c r="W491" i="45"/>
  <c r="W486" i="45"/>
  <c r="W481" i="45"/>
  <c r="W476" i="45"/>
  <c r="W471" i="45"/>
  <c r="W465" i="45"/>
  <c r="W460" i="45"/>
  <c r="W456" i="45"/>
  <c r="W452" i="45"/>
  <c r="W448" i="45"/>
  <c r="W442" i="45"/>
  <c r="W436" i="45"/>
  <c r="W432" i="45"/>
  <c r="W428" i="45"/>
  <c r="W422" i="45"/>
  <c r="W415" i="45"/>
  <c r="W411" i="45"/>
  <c r="W407" i="45"/>
  <c r="W402" i="45"/>
  <c r="W396" i="45"/>
  <c r="W390" i="45"/>
  <c r="W385" i="45"/>
  <c r="W380" i="45"/>
  <c r="W375" i="45"/>
  <c r="W371" i="45"/>
  <c r="W365" i="45"/>
  <c r="W361" i="45"/>
  <c r="W356" i="45"/>
  <c r="W352" i="45"/>
  <c r="W346" i="45"/>
  <c r="W340" i="45"/>
  <c r="W334" i="45"/>
  <c r="W329" i="45"/>
  <c r="W324" i="45"/>
  <c r="W319" i="45"/>
  <c r="W315" i="45"/>
  <c r="W309" i="45"/>
  <c r="W304" i="45"/>
  <c r="W299" i="45"/>
  <c r="W293" i="45"/>
  <c r="W288" i="45"/>
  <c r="W282" i="45"/>
  <c r="W277" i="45"/>
  <c r="W271" i="45"/>
  <c r="W266" i="45"/>
  <c r="W262" i="45"/>
  <c r="W257" i="45"/>
  <c r="W252" i="45"/>
  <c r="W248" i="45"/>
  <c r="W243" i="45"/>
  <c r="W235" i="45"/>
  <c r="W230" i="45"/>
  <c r="W225" i="45"/>
  <c r="W221" i="45"/>
  <c r="W217" i="45"/>
  <c r="W212" i="45"/>
  <c r="W208" i="45"/>
  <c r="W204" i="45"/>
  <c r="W200" i="45"/>
  <c r="W196" i="45"/>
  <c r="W192" i="45"/>
  <c r="W188" i="45"/>
  <c r="W183" i="45"/>
  <c r="W178" i="45"/>
  <c r="W173" i="45"/>
  <c r="W168" i="45"/>
  <c r="W162" i="45"/>
  <c r="W155" i="45"/>
  <c r="W148" i="45"/>
  <c r="W144" i="45"/>
  <c r="W139" i="45"/>
  <c r="W133" i="45"/>
  <c r="W129" i="45"/>
  <c r="W124" i="45"/>
  <c r="W120" i="45"/>
  <c r="W115" i="45"/>
  <c r="W110" i="45"/>
  <c r="W105" i="45"/>
  <c r="W101" i="45"/>
  <c r="W96" i="45"/>
  <c r="W92" i="45"/>
  <c r="W87" i="45"/>
  <c r="W83" i="45"/>
  <c r="W79" i="45"/>
  <c r="W75" i="45"/>
  <c r="W71" i="45"/>
  <c r="W66" i="45"/>
  <c r="W62" i="45"/>
  <c r="W57" i="45"/>
  <c r="W53" i="45"/>
  <c r="W48" i="45"/>
  <c r="W43" i="45"/>
  <c r="W39" i="45"/>
  <c r="W34" i="45"/>
  <c r="W30" i="45"/>
  <c r="W26" i="45"/>
  <c r="W22" i="45"/>
  <c r="W597" i="45"/>
  <c r="W581" i="45"/>
  <c r="W569" i="45"/>
  <c r="W557" i="45"/>
  <c r="W545" i="45"/>
  <c r="W523" i="45"/>
  <c r="W502" i="45"/>
  <c r="W483" i="45"/>
  <c r="W468" i="45"/>
  <c r="W454" i="45"/>
  <c r="W440" i="45"/>
  <c r="W430" i="45"/>
  <c r="W413" i="45"/>
  <c r="W399" i="45"/>
  <c r="W383" i="45"/>
  <c r="W368" i="45"/>
  <c r="W354" i="45"/>
  <c r="W337" i="45"/>
  <c r="W321" i="45"/>
  <c r="W307" i="45"/>
  <c r="W290" i="45"/>
  <c r="W274" i="45"/>
  <c r="W260" i="45"/>
  <c r="W246" i="45"/>
  <c r="W227" i="45"/>
  <c r="W215" i="45"/>
  <c r="W198" i="45"/>
  <c r="W185" i="45"/>
  <c r="W170" i="45"/>
  <c r="W152" i="45"/>
  <c r="W136" i="45"/>
  <c r="W122" i="45"/>
  <c r="W103" i="45"/>
  <c r="W94" i="45"/>
  <c r="W81" i="45"/>
  <c r="W64" i="45"/>
  <c r="W50" i="45"/>
  <c r="W37" i="45"/>
  <c r="W24" i="45"/>
  <c r="W602" i="45"/>
  <c r="W598" i="45"/>
  <c r="W594" i="45"/>
  <c r="W590" i="45"/>
  <c r="W586" i="45"/>
  <c r="W582" i="45"/>
  <c r="W578" i="45"/>
  <c r="W574" i="45"/>
  <c r="W570" i="45"/>
  <c r="W566" i="45"/>
  <c r="W562" i="45"/>
  <c r="W558" i="45"/>
  <c r="W554" i="45"/>
  <c r="W550" i="45"/>
  <c r="W546" i="45"/>
  <c r="W540" i="45"/>
  <c r="W533" i="45"/>
  <c r="W525" i="45"/>
  <c r="W518" i="45"/>
  <c r="W511" i="45"/>
  <c r="W504" i="45"/>
  <c r="W496" i="45"/>
  <c r="W489" i="45"/>
  <c r="W485" i="45"/>
  <c r="W480" i="45"/>
  <c r="W475" i="45"/>
  <c r="W470" i="45"/>
  <c r="W464" i="45"/>
  <c r="W459" i="45"/>
  <c r="W455" i="45"/>
  <c r="W451" i="45"/>
  <c r="W446" i="45"/>
  <c r="W441" i="45"/>
  <c r="W435" i="45"/>
  <c r="W431" i="45"/>
  <c r="W427" i="45"/>
  <c r="W420" i="45"/>
  <c r="W414" i="45"/>
  <c r="W410" i="45"/>
  <c r="W406" i="45"/>
  <c r="W400" i="45"/>
  <c r="W394" i="45"/>
  <c r="W388" i="45"/>
  <c r="W384" i="45"/>
  <c r="W379" i="45"/>
  <c r="W374" i="45"/>
  <c r="W370" i="45"/>
  <c r="W364" i="45"/>
  <c r="W360" i="45"/>
  <c r="W355" i="45"/>
  <c r="W350" i="45"/>
  <c r="W344" i="45"/>
  <c r="W338" i="45"/>
  <c r="W333" i="45"/>
  <c r="W327" i="45"/>
  <c r="W322" i="45"/>
  <c r="W318" i="45"/>
  <c r="W314" i="45"/>
  <c r="W308" i="45"/>
  <c r="W303" i="45"/>
  <c r="W298" i="45"/>
  <c r="W292" i="45"/>
  <c r="W286" i="45"/>
  <c r="W281" i="45"/>
  <c r="W275" i="45"/>
  <c r="W270" i="45"/>
  <c r="W265" i="45"/>
  <c r="W261" i="45"/>
  <c r="W256" i="45"/>
  <c r="W251" i="45"/>
  <c r="W247" i="45"/>
  <c r="W241" i="45"/>
  <c r="W234" i="45"/>
  <c r="W228" i="45"/>
  <c r="W224" i="45"/>
  <c r="W220" i="45"/>
  <c r="W216" i="45"/>
  <c r="W211" i="45"/>
  <c r="W207" i="45"/>
  <c r="W203" i="45"/>
  <c r="W199" i="45"/>
  <c r="W195" i="45"/>
  <c r="W191" i="45"/>
  <c r="W186" i="45"/>
  <c r="W182" i="45"/>
  <c r="W177" i="45"/>
  <c r="W172" i="45"/>
  <c r="W167" i="45"/>
  <c r="W160" i="45"/>
  <c r="W154" i="45"/>
  <c r="W147" i="45"/>
  <c r="W143" i="45"/>
  <c r="W137" i="45"/>
  <c r="W132" i="45"/>
  <c r="W128" i="45"/>
  <c r="W123" i="45"/>
  <c r="W119" i="45"/>
  <c r="W113" i="45"/>
  <c r="W109" i="45"/>
  <c r="W104" i="45"/>
  <c r="W100" i="45"/>
  <c r="W95" i="45"/>
  <c r="W91" i="45"/>
  <c r="W86" i="45"/>
  <c r="W82" i="45"/>
  <c r="W78" i="45"/>
  <c r="W74" i="45"/>
  <c r="W70" i="45"/>
  <c r="W65" i="45"/>
  <c r="W60" i="45"/>
  <c r="W56" i="45"/>
  <c r="W52" i="45"/>
  <c r="W46" i="45"/>
  <c r="W42" i="45"/>
  <c r="W38" i="45"/>
  <c r="W33" i="45"/>
  <c r="W29" i="45"/>
  <c r="W25" i="45"/>
  <c r="W601" i="45"/>
  <c r="W585" i="45"/>
  <c r="W565" i="45"/>
  <c r="W553" i="45"/>
  <c r="W539" i="45"/>
  <c r="W516" i="45"/>
  <c r="W495" i="45"/>
  <c r="W474" i="45"/>
  <c r="W458" i="45"/>
  <c r="W444" i="45"/>
  <c r="W425" i="45"/>
  <c r="W409" i="45"/>
  <c r="W387" i="45"/>
  <c r="W373" i="45"/>
  <c r="W358" i="45"/>
  <c r="W343" i="45"/>
  <c r="W326" i="45"/>
  <c r="W312" i="45"/>
  <c r="W296" i="45"/>
  <c r="W279" i="45"/>
  <c r="W269" i="45"/>
  <c r="W255" i="45"/>
  <c r="W233" i="45"/>
  <c r="W219" i="45"/>
  <c r="W206" i="45"/>
  <c r="W194" i="45"/>
  <c r="W180" i="45"/>
  <c r="W166" i="45"/>
  <c r="W146" i="45"/>
  <c r="W131" i="45"/>
  <c r="W112" i="45"/>
  <c r="W98" i="45"/>
  <c r="W85" i="45"/>
  <c r="W73" i="45"/>
  <c r="W59" i="45"/>
  <c r="W45" i="45"/>
  <c r="W32" i="45"/>
  <c r="Z17" i="45"/>
  <c r="AH4" i="45"/>
  <c r="AH17" i="45"/>
  <c r="K529" i="17"/>
  <c r="L529" i="17" s="1"/>
  <c r="J530" i="17"/>
  <c r="K530" i="17" s="1"/>
  <c r="L530" i="17" s="1"/>
  <c r="F1" i="17" s="1"/>
  <c r="F19" i="19" s="1"/>
  <c r="AD17" i="45"/>
  <c r="AC17" i="45"/>
  <c r="AA17" i="45"/>
  <c r="W19" i="45"/>
  <c r="B26" i="19"/>
  <c r="B27" i="19"/>
  <c r="B29" i="19"/>
  <c r="B31" i="19"/>
  <c r="B37" i="19"/>
  <c r="B38" i="19"/>
  <c r="B39" i="19"/>
  <c r="B40" i="19"/>
  <c r="B52" i="19"/>
  <c r="B53" i="19"/>
  <c r="B54" i="19"/>
  <c r="B55" i="19"/>
  <c r="B79" i="19"/>
  <c r="B80" i="19"/>
  <c r="B81" i="19"/>
  <c r="B83" i="19"/>
  <c r="B84" i="19"/>
  <c r="B85" i="19"/>
  <c r="B86" i="19"/>
  <c r="B87" i="19"/>
  <c r="B88" i="19"/>
  <c r="B89" i="19"/>
  <c r="B91" i="19"/>
  <c r="B182" i="19"/>
  <c r="B183" i="19"/>
  <c r="B188" i="19"/>
  <c r="B189" i="19"/>
  <c r="B194" i="19"/>
  <c r="B195" i="19"/>
  <c r="B196" i="19"/>
  <c r="B197" i="19"/>
  <c r="B198" i="19"/>
  <c r="B208" i="19"/>
  <c r="B209" i="19"/>
  <c r="B210" i="19"/>
  <c r="B233" i="19"/>
  <c r="B234" i="19"/>
  <c r="B235" i="19"/>
  <c r="B237" i="19"/>
  <c r="B239" i="19"/>
  <c r="B252" i="19"/>
  <c r="B292" i="19"/>
  <c r="B306" i="19"/>
  <c r="B307" i="19"/>
  <c r="B309" i="19"/>
  <c r="B311" i="19"/>
  <c r="B312" i="19"/>
  <c r="B316" i="19"/>
  <c r="B330" i="19"/>
  <c r="B333" i="19"/>
  <c r="B361" i="19"/>
  <c r="B362" i="19"/>
  <c r="B363" i="19"/>
  <c r="B364" i="19"/>
  <c r="B365" i="19"/>
  <c r="B366" i="19"/>
  <c r="B368" i="19"/>
  <c r="B370" i="19"/>
  <c r="B371" i="19"/>
  <c r="B373" i="19"/>
  <c r="B374" i="19"/>
  <c r="B375" i="19"/>
  <c r="B378" i="19"/>
  <c r="B379" i="19"/>
  <c r="B380" i="19"/>
  <c r="B381" i="19"/>
  <c r="B383" i="19"/>
  <c r="B384" i="19"/>
  <c r="B385" i="19"/>
  <c r="B386" i="19"/>
  <c r="B388" i="19"/>
  <c r="B390" i="19"/>
  <c r="B393" i="19"/>
  <c r="B394" i="19"/>
  <c r="B396" i="19"/>
  <c r="B398" i="19"/>
  <c r="B399" i="19"/>
  <c r="B402" i="19"/>
  <c r="B403" i="19"/>
  <c r="B404" i="19"/>
  <c r="B406" i="19"/>
  <c r="B407" i="19"/>
  <c r="B408" i="19"/>
  <c r="B410" i="19"/>
  <c r="B411" i="19"/>
  <c r="B412" i="19"/>
  <c r="B413" i="19"/>
  <c r="B414" i="19"/>
  <c r="B415" i="19"/>
  <c r="B416" i="19"/>
  <c r="B418" i="19"/>
  <c r="B420" i="19"/>
  <c r="B424" i="19"/>
  <c r="B425" i="19"/>
  <c r="B430" i="19"/>
  <c r="B436" i="19"/>
  <c r="B440" i="19"/>
  <c r="B441" i="19"/>
  <c r="B443" i="19"/>
  <c r="B444" i="19"/>
  <c r="B446" i="19"/>
  <c r="B448" i="19"/>
  <c r="B449" i="19"/>
  <c r="B450" i="19"/>
  <c r="B451" i="19"/>
  <c r="B458" i="19"/>
  <c r="B460" i="19"/>
  <c r="B461" i="19"/>
  <c r="B463" i="19"/>
  <c r="B464" i="19"/>
  <c r="B465" i="19"/>
  <c r="B466" i="19"/>
  <c r="B468" i="19"/>
  <c r="B470" i="19"/>
  <c r="B475" i="19"/>
  <c r="B476" i="19"/>
  <c r="B477" i="19"/>
  <c r="B480" i="19"/>
  <c r="B481" i="19"/>
  <c r="B483" i="19"/>
  <c r="B485" i="19"/>
  <c r="B486" i="19"/>
  <c r="B488" i="19"/>
  <c r="B491" i="19"/>
  <c r="B493" i="19"/>
  <c r="B495" i="19"/>
  <c r="B496" i="19"/>
  <c r="B506" i="19"/>
  <c r="B507" i="19"/>
  <c r="B509" i="19"/>
  <c r="B523" i="19"/>
  <c r="B545" i="19"/>
  <c r="B597" i="19"/>
  <c r="B598" i="19"/>
  <c r="B599" i="19"/>
  <c r="B600" i="19"/>
  <c r="B602" i="19"/>
  <c r="B603" i="19"/>
  <c r="B604" i="19"/>
  <c r="M69" i="32" l="1"/>
  <c r="N15" i="45"/>
  <c r="N14" i="45"/>
  <c r="N13" i="45"/>
  <c r="AB7" i="19" l="1"/>
  <c r="AW22" i="45" s="1"/>
  <c r="AX604" i="45" l="1"/>
  <c r="AX602" i="45"/>
  <c r="AX600" i="45"/>
  <c r="AX598" i="45"/>
  <c r="AX596" i="45"/>
  <c r="AX594" i="45"/>
  <c r="AX592" i="45"/>
  <c r="AX590" i="45"/>
  <c r="AX588" i="45"/>
  <c r="AX586" i="45"/>
  <c r="AX584" i="45"/>
  <c r="AX582" i="45"/>
  <c r="AX580" i="45"/>
  <c r="AX578" i="45"/>
  <c r="AX576" i="45"/>
  <c r="AX574" i="45"/>
  <c r="AX572" i="45"/>
  <c r="AX570" i="45"/>
  <c r="AX568" i="45"/>
  <c r="AX566" i="45"/>
  <c r="AX564" i="45"/>
  <c r="AX562" i="45"/>
  <c r="AX560" i="45"/>
  <c r="AX558" i="45"/>
  <c r="AX556" i="45"/>
  <c r="AX554" i="45"/>
  <c r="AX552" i="45"/>
  <c r="AX550" i="45"/>
  <c r="AX548" i="45"/>
  <c r="AX546" i="45"/>
  <c r="AX544" i="45"/>
  <c r="AX540" i="45"/>
  <c r="AX537" i="45"/>
  <c r="AX533" i="45"/>
  <c r="AX529" i="45"/>
  <c r="AX525" i="45"/>
  <c r="AX521" i="45"/>
  <c r="AX518" i="45"/>
  <c r="AX514" i="45"/>
  <c r="AX511" i="45"/>
  <c r="AX507" i="45"/>
  <c r="AX504" i="45"/>
  <c r="AX500" i="45"/>
  <c r="AX496" i="45"/>
  <c r="AX493" i="45"/>
  <c r="AX489" i="45"/>
  <c r="AX487" i="45"/>
  <c r="AX485" i="45"/>
  <c r="AX482" i="45"/>
  <c r="AX480" i="45"/>
  <c r="AX477" i="45"/>
  <c r="AX475" i="45"/>
  <c r="AX472" i="45"/>
  <c r="AX470" i="45"/>
  <c r="AX466" i="45"/>
  <c r="AX464" i="45"/>
  <c r="AX461" i="45"/>
  <c r="AX459" i="45"/>
  <c r="AX457" i="45"/>
  <c r="AX455" i="45"/>
  <c r="AX453" i="45"/>
  <c r="AX451" i="45"/>
  <c r="AX449" i="45"/>
  <c r="AX446" i="45"/>
  <c r="AX443" i="45"/>
  <c r="AX441" i="45"/>
  <c r="AX438" i="45"/>
  <c r="AX435" i="45"/>
  <c r="AX433" i="45"/>
  <c r="AX431" i="45"/>
  <c r="AX429" i="45"/>
  <c r="AX427" i="45"/>
  <c r="AX424" i="45"/>
  <c r="AX420" i="45"/>
  <c r="AX416" i="45"/>
  <c r="AX414" i="45"/>
  <c r="AX412" i="45"/>
  <c r="AX410" i="45"/>
  <c r="AX408" i="45"/>
  <c r="AX406" i="45"/>
  <c r="AX403" i="45"/>
  <c r="AX400" i="45"/>
  <c r="AX398" i="45"/>
  <c r="AX394" i="45"/>
  <c r="AX392" i="45"/>
  <c r="AW604" i="45"/>
  <c r="AW602" i="45"/>
  <c r="AW600" i="45"/>
  <c r="AW598" i="45"/>
  <c r="AW596" i="45"/>
  <c r="AW594" i="45"/>
  <c r="AW592" i="45"/>
  <c r="AW590" i="45"/>
  <c r="AW588" i="45"/>
  <c r="AW586" i="45"/>
  <c r="AW584" i="45"/>
  <c r="AW582" i="45"/>
  <c r="AW580" i="45"/>
  <c r="AW578" i="45"/>
  <c r="AW576" i="45"/>
  <c r="AW574" i="45"/>
  <c r="AW572" i="45"/>
  <c r="AW570" i="45"/>
  <c r="AW568" i="45"/>
  <c r="AW566" i="45"/>
  <c r="AW564" i="45"/>
  <c r="AW562" i="45"/>
  <c r="AW560" i="45"/>
  <c r="AW558" i="45"/>
  <c r="AW556" i="45"/>
  <c r="AW554" i="45"/>
  <c r="AW552" i="45"/>
  <c r="AW550" i="45"/>
  <c r="AW548" i="45"/>
  <c r="AW546" i="45"/>
  <c r="AW544" i="45"/>
  <c r="AW540" i="45"/>
  <c r="AW537" i="45"/>
  <c r="AW533" i="45"/>
  <c r="AW529" i="45"/>
  <c r="AW525" i="45"/>
  <c r="AW521" i="45"/>
  <c r="AW518" i="45"/>
  <c r="AW514" i="45"/>
  <c r="AW511" i="45"/>
  <c r="AW507" i="45"/>
  <c r="AW504" i="45"/>
  <c r="AW500" i="45"/>
  <c r="AW496" i="45"/>
  <c r="AW493" i="45"/>
  <c r="AW489" i="45"/>
  <c r="AW487" i="45"/>
  <c r="AW485" i="45"/>
  <c r="AW482" i="45"/>
  <c r="AW480" i="45"/>
  <c r="AW477" i="45"/>
  <c r="AW475" i="45"/>
  <c r="AW472" i="45"/>
  <c r="AW470" i="45"/>
  <c r="AW466" i="45"/>
  <c r="AW464" i="45"/>
  <c r="AW461" i="45"/>
  <c r="AW459" i="45"/>
  <c r="AW457" i="45"/>
  <c r="AW455" i="45"/>
  <c r="AW453" i="45"/>
  <c r="AW451" i="45"/>
  <c r="AW449" i="45"/>
  <c r="AW446" i="45"/>
  <c r="AW443" i="45"/>
  <c r="AW441" i="45"/>
  <c r="AW438" i="45"/>
  <c r="AW435" i="45"/>
  <c r="AW433" i="45"/>
  <c r="AW431" i="45"/>
  <c r="AW429" i="45"/>
  <c r="AW427" i="45"/>
  <c r="AW424" i="45"/>
  <c r="AW420" i="45"/>
  <c r="AW416" i="45"/>
  <c r="AW414" i="45"/>
  <c r="AW412" i="45"/>
  <c r="AW410" i="45"/>
  <c r="AW408" i="45"/>
  <c r="AW406" i="45"/>
  <c r="AW403" i="45"/>
  <c r="AW400" i="45"/>
  <c r="AW398" i="45"/>
  <c r="AW394" i="45"/>
  <c r="AW392" i="45"/>
  <c r="AX603" i="45"/>
  <c r="AX601" i="45"/>
  <c r="AX599" i="45"/>
  <c r="AX597" i="45"/>
  <c r="AX595" i="45"/>
  <c r="AX593" i="45"/>
  <c r="AX591" i="45"/>
  <c r="AX589" i="45"/>
  <c r="AX587" i="45"/>
  <c r="AX585" i="45"/>
  <c r="AX583" i="45"/>
  <c r="AX581" i="45"/>
  <c r="AX579" i="45"/>
  <c r="AX577" i="45"/>
  <c r="AX575" i="45"/>
  <c r="AX573" i="45"/>
  <c r="AX571" i="45"/>
  <c r="AX569" i="45"/>
  <c r="AX567" i="45"/>
  <c r="AX565" i="45"/>
  <c r="AX563" i="45"/>
  <c r="AX561" i="45"/>
  <c r="AX559" i="45"/>
  <c r="AX557" i="45"/>
  <c r="AX555" i="45"/>
  <c r="AX553" i="45"/>
  <c r="AX551" i="45"/>
  <c r="AX549" i="45"/>
  <c r="AX547" i="45"/>
  <c r="AX545" i="45"/>
  <c r="AX542" i="45"/>
  <c r="AX539" i="45"/>
  <c r="AX535" i="45"/>
  <c r="AX531" i="45"/>
  <c r="AX527" i="45"/>
  <c r="AX523" i="45"/>
  <c r="AX520" i="45"/>
  <c r="AX516" i="45"/>
  <c r="AX512" i="45"/>
  <c r="AX509" i="45"/>
  <c r="AX506" i="45"/>
  <c r="AX502" i="45"/>
  <c r="AX498" i="45"/>
  <c r="AX495" i="45"/>
  <c r="AX491" i="45"/>
  <c r="AX488" i="45"/>
  <c r="AX486" i="45"/>
  <c r="AX483" i="45"/>
  <c r="AX481" i="45"/>
  <c r="AX478" i="45"/>
  <c r="AX476" i="45"/>
  <c r="AX474" i="45"/>
  <c r="AX471" i="45"/>
  <c r="AX468" i="45"/>
  <c r="AX465" i="45"/>
  <c r="AX463" i="45"/>
  <c r="AX460" i="45"/>
  <c r="AX458" i="45"/>
  <c r="AX456" i="45"/>
  <c r="AX454" i="45"/>
  <c r="AX452" i="45"/>
  <c r="AX450" i="45"/>
  <c r="AX448" i="45"/>
  <c r="AX444" i="45"/>
  <c r="AX442" i="45"/>
  <c r="AX440" i="45"/>
  <c r="AX436" i="45"/>
  <c r="AX434" i="45"/>
  <c r="AX432" i="45"/>
  <c r="AX430" i="45"/>
  <c r="AX428" i="45"/>
  <c r="AX425" i="45"/>
  <c r="AX422" i="45"/>
  <c r="AX418" i="45"/>
  <c r="AX415" i="45"/>
  <c r="AX413" i="45"/>
  <c r="AX411" i="45"/>
  <c r="AX409" i="45"/>
  <c r="AX407" i="45"/>
  <c r="AX404" i="45"/>
  <c r="AX402" i="45"/>
  <c r="AX399" i="45"/>
  <c r="AX396" i="45"/>
  <c r="AX393" i="45"/>
  <c r="AX390" i="45"/>
  <c r="AW603" i="45"/>
  <c r="AW595" i="45"/>
  <c r="AW587" i="45"/>
  <c r="AW579" i="45"/>
  <c r="AW571" i="45"/>
  <c r="AW563" i="45"/>
  <c r="AW555" i="45"/>
  <c r="AW547" i="45"/>
  <c r="AW535" i="45"/>
  <c r="AW520" i="45"/>
  <c r="AW506" i="45"/>
  <c r="AW491" i="45"/>
  <c r="AW481" i="45"/>
  <c r="AW471" i="45"/>
  <c r="AW460" i="45"/>
  <c r="AW452" i="45"/>
  <c r="AW442" i="45"/>
  <c r="AW432" i="45"/>
  <c r="AW422" i="45"/>
  <c r="AW411" i="45"/>
  <c r="AW402" i="45"/>
  <c r="AW390" i="45"/>
  <c r="AW387" i="45"/>
  <c r="AW385" i="45"/>
  <c r="AW383" i="45"/>
  <c r="AW380" i="45"/>
  <c r="AW378" i="45"/>
  <c r="AW375" i="45"/>
  <c r="AW373" i="45"/>
  <c r="AW371" i="45"/>
  <c r="AW368" i="45"/>
  <c r="AW365" i="45"/>
  <c r="AW363" i="45"/>
  <c r="AW361" i="45"/>
  <c r="AW358" i="45"/>
  <c r="AW356" i="45"/>
  <c r="AW354" i="45"/>
  <c r="AW352" i="45"/>
  <c r="AW348" i="45"/>
  <c r="AW346" i="45"/>
  <c r="AW343" i="45"/>
  <c r="AW340" i="45"/>
  <c r="AW337" i="45"/>
  <c r="AW334" i="45"/>
  <c r="AW331" i="45"/>
  <c r="AW329" i="45"/>
  <c r="AW326" i="45"/>
  <c r="AW324" i="45"/>
  <c r="AW321" i="45"/>
  <c r="AW319" i="45"/>
  <c r="AW317" i="45"/>
  <c r="AW315" i="45"/>
  <c r="AW312" i="45"/>
  <c r="AW309" i="45"/>
  <c r="AW307" i="45"/>
  <c r="AW304" i="45"/>
  <c r="AW302" i="45"/>
  <c r="AW299" i="45"/>
  <c r="AW296" i="45"/>
  <c r="AW293" i="45"/>
  <c r="AW290" i="45"/>
  <c r="AW288" i="45"/>
  <c r="AW284" i="45"/>
  <c r="AW282" i="45"/>
  <c r="AW279" i="45"/>
  <c r="AW277" i="45"/>
  <c r="AW274" i="45"/>
  <c r="AW271" i="45"/>
  <c r="AW269" i="45"/>
  <c r="AW266" i="45"/>
  <c r="AW264" i="45"/>
  <c r="AW262" i="45"/>
  <c r="AW260" i="45"/>
  <c r="AW257" i="45"/>
  <c r="AW255" i="45"/>
  <c r="AW252" i="45"/>
  <c r="AW250" i="45"/>
  <c r="AW248" i="45"/>
  <c r="AW246" i="45"/>
  <c r="AW243" i="45"/>
  <c r="AW239" i="45"/>
  <c r="AW235" i="45"/>
  <c r="AW233" i="45"/>
  <c r="AW230" i="45"/>
  <c r="AW227" i="45"/>
  <c r="AW225" i="45"/>
  <c r="AW223" i="45"/>
  <c r="AW221" i="45"/>
  <c r="AW219" i="45"/>
  <c r="AW217" i="45"/>
  <c r="AW215" i="45"/>
  <c r="AW212" i="45"/>
  <c r="AW210" i="45"/>
  <c r="AW208" i="45"/>
  <c r="AW206" i="45"/>
  <c r="AW204" i="45"/>
  <c r="AW202" i="45"/>
  <c r="AW200" i="45"/>
  <c r="AW198" i="45"/>
  <c r="AW196" i="45"/>
  <c r="AW194" i="45"/>
  <c r="AW192" i="45"/>
  <c r="AW190" i="45"/>
  <c r="AW188" i="45"/>
  <c r="AW185" i="45"/>
  <c r="AW183" i="45"/>
  <c r="AW180" i="45"/>
  <c r="AW178" i="45"/>
  <c r="AW176" i="45"/>
  <c r="AW173" i="45"/>
  <c r="AW170" i="45"/>
  <c r="AW168" i="45"/>
  <c r="AW166" i="45"/>
  <c r="AW162" i="45"/>
  <c r="AW158" i="45"/>
  <c r="AW155" i="45"/>
  <c r="AW152" i="45"/>
  <c r="AW148" i="45"/>
  <c r="AW146" i="45"/>
  <c r="AW144" i="45"/>
  <c r="AW142" i="45"/>
  <c r="AW139" i="45"/>
  <c r="AW136" i="45"/>
  <c r="AW133" i="45"/>
  <c r="AW131" i="45"/>
  <c r="AW129" i="45"/>
  <c r="AW126" i="45"/>
  <c r="AW124" i="45"/>
  <c r="AW122" i="45"/>
  <c r="AW120" i="45"/>
  <c r="AW118" i="45"/>
  <c r="AW115" i="45"/>
  <c r="AW112" i="45"/>
  <c r="AW110" i="45"/>
  <c r="AW108" i="45"/>
  <c r="AW105" i="45"/>
  <c r="AW103" i="45"/>
  <c r="AW101" i="45"/>
  <c r="AW98" i="45"/>
  <c r="AW96" i="45"/>
  <c r="AW94" i="45"/>
  <c r="AW92" i="45"/>
  <c r="AW89" i="45"/>
  <c r="AW87" i="45"/>
  <c r="AW85" i="45"/>
  <c r="AW83" i="45"/>
  <c r="AW81" i="45"/>
  <c r="AW79" i="45"/>
  <c r="AW77" i="45"/>
  <c r="AW75" i="45"/>
  <c r="AW73" i="45"/>
  <c r="AW71" i="45"/>
  <c r="AW68" i="45"/>
  <c r="AW66" i="45"/>
  <c r="AW64" i="45"/>
  <c r="AW62" i="45"/>
  <c r="AW59" i="45"/>
  <c r="AW57" i="45"/>
  <c r="AW55" i="45"/>
  <c r="AW53" i="45"/>
  <c r="AW50" i="45"/>
  <c r="AW48" i="45"/>
  <c r="AW45" i="45"/>
  <c r="AW43" i="45"/>
  <c r="AW41" i="45"/>
  <c r="AW39" i="45"/>
  <c r="AW37" i="45"/>
  <c r="AW34" i="45"/>
  <c r="AW32" i="45"/>
  <c r="AW30" i="45"/>
  <c r="AW601" i="45"/>
  <c r="AW593" i="45"/>
  <c r="AW585" i="45"/>
  <c r="AW577" i="45"/>
  <c r="AW569" i="45"/>
  <c r="AW561" i="45"/>
  <c r="AW553" i="45"/>
  <c r="AW545" i="45"/>
  <c r="AW531" i="45"/>
  <c r="AW516" i="45"/>
  <c r="AW502" i="45"/>
  <c r="AW488" i="45"/>
  <c r="AW478" i="45"/>
  <c r="AW468" i="45"/>
  <c r="AW458" i="45"/>
  <c r="AW450" i="45"/>
  <c r="AW440" i="45"/>
  <c r="AW430" i="45"/>
  <c r="AW418" i="45"/>
  <c r="AW409" i="45"/>
  <c r="AW399" i="45"/>
  <c r="AX388" i="45"/>
  <c r="AX386" i="45"/>
  <c r="AX384" i="45"/>
  <c r="AX381" i="45"/>
  <c r="AX379" i="45"/>
  <c r="AX377" i="45"/>
  <c r="AX374" i="45"/>
  <c r="AX372" i="45"/>
  <c r="AX370" i="45"/>
  <c r="AX366" i="45"/>
  <c r="AX364" i="45"/>
  <c r="AX362" i="45"/>
  <c r="AX360" i="45"/>
  <c r="AX357" i="45"/>
  <c r="AX355" i="45"/>
  <c r="AX353" i="45"/>
  <c r="AX350" i="45"/>
  <c r="AX347" i="45"/>
  <c r="AX344" i="45"/>
  <c r="AX342" i="45"/>
  <c r="AX338" i="45"/>
  <c r="AX336" i="45"/>
  <c r="AX333" i="45"/>
  <c r="AX330" i="45"/>
  <c r="AX327" i="45"/>
  <c r="AX325" i="45"/>
  <c r="AX322" i="45"/>
  <c r="AX320" i="45"/>
  <c r="AX318" i="45"/>
  <c r="AX316" i="45"/>
  <c r="AX314" i="45"/>
  <c r="AX311" i="45"/>
  <c r="AX308" i="45"/>
  <c r="AX306" i="45"/>
  <c r="AX303" i="45"/>
  <c r="AX301" i="45"/>
  <c r="AX298" i="45"/>
  <c r="AX295" i="45"/>
  <c r="AX292" i="45"/>
  <c r="AX289" i="45"/>
  <c r="AX286" i="45"/>
  <c r="AX283" i="45"/>
  <c r="AX281" i="45"/>
  <c r="AX278" i="45"/>
  <c r="AX275" i="45"/>
  <c r="AX273" i="45"/>
  <c r="AX270" i="45"/>
  <c r="AX267" i="45"/>
  <c r="AX265" i="45"/>
  <c r="AX263" i="45"/>
  <c r="AX261" i="45"/>
  <c r="AX258" i="45"/>
  <c r="AX256" i="45"/>
  <c r="AX253" i="45"/>
  <c r="AX251" i="45"/>
  <c r="AX249" i="45"/>
  <c r="AX247" i="45"/>
  <c r="AX244" i="45"/>
  <c r="AX241" i="45"/>
  <c r="AX237" i="45"/>
  <c r="AX234" i="45"/>
  <c r="AX232" i="45"/>
  <c r="AX228" i="45"/>
  <c r="AX226" i="45"/>
  <c r="AX224" i="45"/>
  <c r="AX222" i="45"/>
  <c r="AX220" i="45"/>
  <c r="AX218" i="45"/>
  <c r="AX216" i="45"/>
  <c r="AX213" i="45"/>
  <c r="AX211" i="45"/>
  <c r="AX209" i="45"/>
  <c r="AX207" i="45"/>
  <c r="AX205" i="45"/>
  <c r="AX203" i="45"/>
  <c r="AX201" i="45"/>
  <c r="AX199" i="45"/>
  <c r="AX197" i="45"/>
  <c r="AX195" i="45"/>
  <c r="AX193" i="45"/>
  <c r="AX191" i="45"/>
  <c r="AX189" i="45"/>
  <c r="AX186" i="45"/>
  <c r="AX184" i="45"/>
  <c r="AX182" i="45"/>
  <c r="AX179" i="45"/>
  <c r="AX177" i="45"/>
  <c r="AX175" i="45"/>
  <c r="AX172" i="45"/>
  <c r="AX169" i="45"/>
  <c r="AX167" i="45"/>
  <c r="AX164" i="45"/>
  <c r="AX160" i="45"/>
  <c r="AX156" i="45"/>
  <c r="AX154" i="45"/>
  <c r="AX150" i="45"/>
  <c r="AX147" i="45"/>
  <c r="AX145" i="45"/>
  <c r="AX143" i="45"/>
  <c r="AX140" i="45"/>
  <c r="AX137" i="45"/>
  <c r="AX135" i="45"/>
  <c r="AX132" i="45"/>
  <c r="AX130" i="45"/>
  <c r="AX128" i="45"/>
  <c r="AX125" i="45"/>
  <c r="AX123" i="45"/>
  <c r="AX121" i="45"/>
  <c r="AX119" i="45"/>
  <c r="AX116" i="45"/>
  <c r="AX113" i="45"/>
  <c r="AX111" i="45"/>
  <c r="AX109" i="45"/>
  <c r="AX106" i="45"/>
  <c r="AX104" i="45"/>
  <c r="AX102" i="45"/>
  <c r="AX100" i="45"/>
  <c r="AX97" i="45"/>
  <c r="AX95" i="45"/>
  <c r="AX93" i="45"/>
  <c r="AX91" i="45"/>
  <c r="AX88" i="45"/>
  <c r="AX86" i="45"/>
  <c r="AX84" i="45"/>
  <c r="AX82" i="45"/>
  <c r="AX80" i="45"/>
  <c r="AX78" i="45"/>
  <c r="AX76" i="45"/>
  <c r="AX74" i="45"/>
  <c r="AX72" i="45"/>
  <c r="AX70" i="45"/>
  <c r="AX67" i="45"/>
  <c r="AX65" i="45"/>
  <c r="AX63" i="45"/>
  <c r="AX60" i="45"/>
  <c r="AX58" i="45"/>
  <c r="AX56" i="45"/>
  <c r="AX54" i="45"/>
  <c r="AX52" i="45"/>
  <c r="AX49" i="45"/>
  <c r="AX46" i="45"/>
  <c r="AX44" i="45"/>
  <c r="AX42" i="45"/>
  <c r="AX40" i="45"/>
  <c r="AX38" i="45"/>
  <c r="AX35" i="45"/>
  <c r="AX33" i="45"/>
  <c r="AX31" i="45"/>
  <c r="AX29" i="45"/>
  <c r="AW599" i="45"/>
  <c r="AW591" i="45"/>
  <c r="AW583" i="45"/>
  <c r="AW575" i="45"/>
  <c r="AW567" i="45"/>
  <c r="AW559" i="45"/>
  <c r="AW551" i="45"/>
  <c r="AW542" i="45"/>
  <c r="AW527" i="45"/>
  <c r="AW512" i="45"/>
  <c r="AW498" i="45"/>
  <c r="AW486" i="45"/>
  <c r="AW476" i="45"/>
  <c r="AW465" i="45"/>
  <c r="AW456" i="45"/>
  <c r="AW448" i="45"/>
  <c r="AW436" i="45"/>
  <c r="AW428" i="45"/>
  <c r="AW415" i="45"/>
  <c r="AW407" i="45"/>
  <c r="AW396" i="45"/>
  <c r="AW388" i="45"/>
  <c r="AW386" i="45"/>
  <c r="AW384" i="45"/>
  <c r="AW381" i="45"/>
  <c r="AW379" i="45"/>
  <c r="AW377" i="45"/>
  <c r="AW374" i="45"/>
  <c r="AW372" i="45"/>
  <c r="AW370" i="45"/>
  <c r="AW366" i="45"/>
  <c r="AW364" i="45"/>
  <c r="AW362" i="45"/>
  <c r="AW360" i="45"/>
  <c r="AW357" i="45"/>
  <c r="AW355" i="45"/>
  <c r="AW353" i="45"/>
  <c r="AW350" i="45"/>
  <c r="AW347" i="45"/>
  <c r="AW344" i="45"/>
  <c r="AW342" i="45"/>
  <c r="AW338" i="45"/>
  <c r="AW336" i="45"/>
  <c r="AW333" i="45"/>
  <c r="AW330" i="45"/>
  <c r="AW327" i="45"/>
  <c r="AW325" i="45"/>
  <c r="AW322" i="45"/>
  <c r="AW320" i="45"/>
  <c r="AW318" i="45"/>
  <c r="AW316" i="45"/>
  <c r="AW314" i="45"/>
  <c r="AW311" i="45"/>
  <c r="AW308" i="45"/>
  <c r="AW306" i="45"/>
  <c r="AW303" i="45"/>
  <c r="AW301" i="45"/>
  <c r="AW298" i="45"/>
  <c r="AW295" i="45"/>
  <c r="AW292" i="45"/>
  <c r="AW289" i="45"/>
  <c r="AW286" i="45"/>
  <c r="AW283" i="45"/>
  <c r="AW281" i="45"/>
  <c r="AW278" i="45"/>
  <c r="AW275" i="45"/>
  <c r="AW273" i="45"/>
  <c r="AW270" i="45"/>
  <c r="AW267" i="45"/>
  <c r="AW265" i="45"/>
  <c r="AW263" i="45"/>
  <c r="AW261" i="45"/>
  <c r="AW258" i="45"/>
  <c r="AW256" i="45"/>
  <c r="AW253" i="45"/>
  <c r="AW251" i="45"/>
  <c r="AW249" i="45"/>
  <c r="AW247" i="45"/>
  <c r="AW244" i="45"/>
  <c r="AW241" i="45"/>
  <c r="AW237" i="45"/>
  <c r="AW234" i="45"/>
  <c r="AW232" i="45"/>
  <c r="AW228" i="45"/>
  <c r="AW226" i="45"/>
  <c r="AW224" i="45"/>
  <c r="AW222" i="45"/>
  <c r="AW220" i="45"/>
  <c r="AW218" i="45"/>
  <c r="AW216" i="45"/>
  <c r="AW213" i="45"/>
  <c r="AW211" i="45"/>
  <c r="AW209" i="45"/>
  <c r="AW207" i="45"/>
  <c r="AW205" i="45"/>
  <c r="AW203" i="45"/>
  <c r="AW201" i="45"/>
  <c r="AW199" i="45"/>
  <c r="AW197" i="45"/>
  <c r="AW195" i="45"/>
  <c r="AW193" i="45"/>
  <c r="AW191" i="45"/>
  <c r="AW189" i="45"/>
  <c r="AW186" i="45"/>
  <c r="AW184" i="45"/>
  <c r="AW182" i="45"/>
  <c r="AW179" i="45"/>
  <c r="AW177" i="45"/>
  <c r="AW175" i="45"/>
  <c r="AW172" i="45"/>
  <c r="AW169" i="45"/>
  <c r="AW167" i="45"/>
  <c r="AW164" i="45"/>
  <c r="AW160" i="45"/>
  <c r="AW156" i="45"/>
  <c r="AW154" i="45"/>
  <c r="AW150" i="45"/>
  <c r="AW147" i="45"/>
  <c r="AW145" i="45"/>
  <c r="AW143" i="45"/>
  <c r="AW140" i="45"/>
  <c r="AW137" i="45"/>
  <c r="AW135" i="45"/>
  <c r="AW132" i="45"/>
  <c r="AW130" i="45"/>
  <c r="AW128" i="45"/>
  <c r="AW125" i="45"/>
  <c r="AW123" i="45"/>
  <c r="AW121" i="45"/>
  <c r="AW119" i="45"/>
  <c r="AW116" i="45"/>
  <c r="AW113" i="45"/>
  <c r="AW111" i="45"/>
  <c r="AW109" i="45"/>
  <c r="AW106" i="45"/>
  <c r="AW104" i="45"/>
  <c r="AW102" i="45"/>
  <c r="AW100" i="45"/>
  <c r="AW97" i="45"/>
  <c r="AW95" i="45"/>
  <c r="AW93" i="45"/>
  <c r="AW91" i="45"/>
  <c r="AW88" i="45"/>
  <c r="AW86" i="45"/>
  <c r="AW84" i="45"/>
  <c r="AW82" i="45"/>
  <c r="AW80" i="45"/>
  <c r="AW78" i="45"/>
  <c r="AW76" i="45"/>
  <c r="AW74" i="45"/>
  <c r="AW72" i="45"/>
  <c r="AW70" i="45"/>
  <c r="AW67" i="45"/>
  <c r="AW65" i="45"/>
  <c r="AW63" i="45"/>
  <c r="AW60" i="45"/>
  <c r="AW58" i="45"/>
  <c r="AW56" i="45"/>
  <c r="AW54" i="45"/>
  <c r="AW52" i="45"/>
  <c r="AW49" i="45"/>
  <c r="AW46" i="45"/>
  <c r="AW44" i="45"/>
  <c r="AW42" i="45"/>
  <c r="AW40" i="45"/>
  <c r="AW38" i="45"/>
  <c r="AW35" i="45"/>
  <c r="AW33" i="45"/>
  <c r="AW31" i="45"/>
  <c r="AW29" i="45"/>
  <c r="AW597" i="45"/>
  <c r="AW565" i="45"/>
  <c r="AW523" i="45"/>
  <c r="AW474" i="45"/>
  <c r="AW434" i="45"/>
  <c r="AW393" i="45"/>
  <c r="AX380" i="45"/>
  <c r="AX371" i="45"/>
  <c r="AX361" i="45"/>
  <c r="AX352" i="45"/>
  <c r="AX340" i="45"/>
  <c r="AX329" i="45"/>
  <c r="AX319" i="45"/>
  <c r="AX309" i="45"/>
  <c r="AX299" i="45"/>
  <c r="AX288" i="45"/>
  <c r="AX277" i="45"/>
  <c r="AX266" i="45"/>
  <c r="AX257" i="45"/>
  <c r="AX248" i="45"/>
  <c r="AX235" i="45"/>
  <c r="AX225" i="45"/>
  <c r="AX217" i="45"/>
  <c r="AX208" i="45"/>
  <c r="AX200" i="45"/>
  <c r="AX192" i="45"/>
  <c r="AX183" i="45"/>
  <c r="AX173" i="45"/>
  <c r="AX162" i="45"/>
  <c r="AX148" i="45"/>
  <c r="AX139" i="45"/>
  <c r="AX129" i="45"/>
  <c r="AX120" i="45"/>
  <c r="AX110" i="45"/>
  <c r="AX101" i="45"/>
  <c r="AX92" i="45"/>
  <c r="AX83" i="45"/>
  <c r="AX75" i="45"/>
  <c r="AX66" i="45"/>
  <c r="AX57" i="45"/>
  <c r="AX48" i="45"/>
  <c r="AX39" i="45"/>
  <c r="AX30" i="45"/>
  <c r="AW27" i="45"/>
  <c r="AW25" i="45"/>
  <c r="AW23" i="45"/>
  <c r="AW589" i="45"/>
  <c r="AW557" i="45"/>
  <c r="AW509" i="45"/>
  <c r="AW463" i="45"/>
  <c r="AW425" i="45"/>
  <c r="AX387" i="45"/>
  <c r="AX378" i="45"/>
  <c r="AX368" i="45"/>
  <c r="AX358" i="45"/>
  <c r="AX348" i="45"/>
  <c r="AX337" i="45"/>
  <c r="AX326" i="45"/>
  <c r="AX317" i="45"/>
  <c r="AX307" i="45"/>
  <c r="AX296" i="45"/>
  <c r="AX284" i="45"/>
  <c r="AX274" i="45"/>
  <c r="AX264" i="45"/>
  <c r="AX255" i="45"/>
  <c r="AX246" i="45"/>
  <c r="AX233" i="45"/>
  <c r="AX223" i="45"/>
  <c r="AX215" i="45"/>
  <c r="AX206" i="45"/>
  <c r="AX198" i="45"/>
  <c r="AX190" i="45"/>
  <c r="AX180" i="45"/>
  <c r="AX170" i="45"/>
  <c r="AX158" i="45"/>
  <c r="AX146" i="45"/>
  <c r="AX136" i="45"/>
  <c r="AX126" i="45"/>
  <c r="AX118" i="45"/>
  <c r="AX108" i="45"/>
  <c r="AX98" i="45"/>
  <c r="AX89" i="45"/>
  <c r="AX81" i="45"/>
  <c r="AX73" i="45"/>
  <c r="AX64" i="45"/>
  <c r="AX55" i="45"/>
  <c r="AX45" i="45"/>
  <c r="AX37" i="45"/>
  <c r="AX28" i="45"/>
  <c r="AX26" i="45"/>
  <c r="AX24" i="45"/>
  <c r="AX22" i="45"/>
  <c r="AW581" i="45"/>
  <c r="AW549" i="45"/>
  <c r="AW495" i="45"/>
  <c r="AW454" i="45"/>
  <c r="AW413" i="45"/>
  <c r="AX385" i="45"/>
  <c r="AX375" i="45"/>
  <c r="AX365" i="45"/>
  <c r="AX356" i="45"/>
  <c r="AX346" i="45"/>
  <c r="AX334" i="45"/>
  <c r="AX324" i="45"/>
  <c r="AX315" i="45"/>
  <c r="AX304" i="45"/>
  <c r="AX293" i="45"/>
  <c r="AX282" i="45"/>
  <c r="AX271" i="45"/>
  <c r="AX262" i="45"/>
  <c r="AX252" i="45"/>
  <c r="AX243" i="45"/>
  <c r="AX230" i="45"/>
  <c r="AX221" i="45"/>
  <c r="AX212" i="45"/>
  <c r="AX204" i="45"/>
  <c r="AX196" i="45"/>
  <c r="AX188" i="45"/>
  <c r="AX178" i="45"/>
  <c r="AX168" i="45"/>
  <c r="AX155" i="45"/>
  <c r="AX144" i="45"/>
  <c r="AX133" i="45"/>
  <c r="AX124" i="45"/>
  <c r="AX115" i="45"/>
  <c r="AX105" i="45"/>
  <c r="AX96" i="45"/>
  <c r="AX87" i="45"/>
  <c r="AX79" i="45"/>
  <c r="AX71" i="45"/>
  <c r="AX62" i="45"/>
  <c r="AX53" i="45"/>
  <c r="AX43" i="45"/>
  <c r="AX34" i="45"/>
  <c r="AW28" i="45"/>
  <c r="AW26" i="45"/>
  <c r="AW24" i="45"/>
  <c r="AW573" i="45"/>
  <c r="AW539" i="45"/>
  <c r="AW483" i="45"/>
  <c r="AW444" i="45"/>
  <c r="AW404" i="45"/>
  <c r="AX383" i="45"/>
  <c r="AX373" i="45"/>
  <c r="AX363" i="45"/>
  <c r="AX354" i="45"/>
  <c r="AX343" i="45"/>
  <c r="AX331" i="45"/>
  <c r="AX321" i="45"/>
  <c r="AX312" i="45"/>
  <c r="AX302" i="45"/>
  <c r="AX290" i="45"/>
  <c r="AX279" i="45"/>
  <c r="AX269" i="45"/>
  <c r="AX260" i="45"/>
  <c r="AX250" i="45"/>
  <c r="AX239" i="45"/>
  <c r="AX227" i="45"/>
  <c r="AX219" i="45"/>
  <c r="AX210" i="45"/>
  <c r="AX202" i="45"/>
  <c r="AX194" i="45"/>
  <c r="AX185" i="45"/>
  <c r="AX176" i="45"/>
  <c r="AX166" i="45"/>
  <c r="AX152" i="45"/>
  <c r="AX142" i="45"/>
  <c r="AX131" i="45"/>
  <c r="AX122" i="45"/>
  <c r="AX112" i="45"/>
  <c r="AX103" i="45"/>
  <c r="AX94" i="45"/>
  <c r="AX85" i="45"/>
  <c r="AX77" i="45"/>
  <c r="AX68" i="45"/>
  <c r="AX59" i="45"/>
  <c r="AX50" i="45"/>
  <c r="AX41" i="45"/>
  <c r="AX32" i="45"/>
  <c r="AX27" i="45"/>
  <c r="AX25" i="45"/>
  <c r="AX23" i="45"/>
  <c r="W17" i="19"/>
  <c r="W22" i="19" s="1"/>
  <c r="W604" i="19"/>
  <c r="W586" i="19"/>
  <c r="W585" i="19"/>
  <c r="W582" i="19"/>
  <c r="W581" i="19"/>
  <c r="W580" i="19"/>
  <c r="W579" i="19"/>
  <c r="W577" i="19"/>
  <c r="W576" i="19"/>
  <c r="W575" i="19"/>
  <c r="W574" i="19"/>
  <c r="W573" i="19"/>
  <c r="W572" i="19"/>
  <c r="W571" i="19"/>
  <c r="W570" i="19"/>
  <c r="W568" i="19"/>
  <c r="W567" i="19"/>
  <c r="W566" i="19"/>
  <c r="W565" i="19"/>
  <c r="W564" i="19"/>
  <c r="W563" i="19"/>
  <c r="W562" i="19"/>
  <c r="W561" i="19"/>
  <c r="W560" i="19"/>
  <c r="W558" i="19"/>
  <c r="W557" i="19"/>
  <c r="W556" i="19"/>
  <c r="W555" i="19"/>
  <c r="W554" i="19"/>
  <c r="W553" i="19"/>
  <c r="W552" i="19"/>
  <c r="W551" i="19"/>
  <c r="W550" i="19"/>
  <c r="W549" i="19"/>
  <c r="W547" i="19"/>
  <c r="W546" i="19"/>
  <c r="W545" i="19"/>
  <c r="W544" i="19"/>
  <c r="W543" i="19"/>
  <c r="W542" i="19"/>
  <c r="W541" i="19"/>
  <c r="W540" i="19"/>
  <c r="W539" i="19"/>
  <c r="W538" i="19"/>
  <c r="W536" i="19"/>
  <c r="W535" i="19"/>
  <c r="W526" i="19"/>
  <c r="W524" i="19"/>
  <c r="W515" i="19"/>
  <c r="W514" i="19"/>
  <c r="W505" i="19"/>
  <c r="W503" i="19"/>
  <c r="W502" i="19"/>
  <c r="W500" i="19"/>
  <c r="W499" i="19"/>
  <c r="W498" i="19"/>
  <c r="W496" i="19"/>
  <c r="W495" i="19"/>
  <c r="W493" i="19"/>
  <c r="W492" i="19"/>
  <c r="W491" i="19"/>
  <c r="W490" i="19"/>
  <c r="W488" i="19"/>
  <c r="W486" i="19"/>
  <c r="W485" i="19"/>
  <c r="W484" i="19"/>
  <c r="W483" i="19"/>
  <c r="W481" i="19"/>
  <c r="W480" i="19"/>
  <c r="W479" i="19"/>
  <c r="W477" i="19"/>
  <c r="W476" i="19"/>
  <c r="W475" i="19"/>
  <c r="W474" i="19"/>
  <c r="W473" i="19"/>
  <c r="W472" i="19"/>
  <c r="W470" i="19"/>
  <c r="W469" i="19"/>
  <c r="W468" i="19"/>
  <c r="W466" i="19"/>
  <c r="W465" i="19"/>
  <c r="W464" i="19"/>
  <c r="W463" i="19"/>
  <c r="W462" i="19"/>
  <c r="W461" i="19"/>
  <c r="W460" i="19"/>
  <c r="W459" i="19"/>
  <c r="W458" i="19"/>
  <c r="W457" i="19"/>
  <c r="W456" i="19"/>
  <c r="W454" i="19"/>
  <c r="W453" i="19"/>
  <c r="W451" i="19"/>
  <c r="W450" i="19"/>
  <c r="W449" i="19"/>
  <c r="W448" i="19"/>
  <c r="W446" i="19"/>
  <c r="W600" i="19"/>
  <c r="W599" i="19"/>
  <c r="W591" i="19"/>
  <c r="W590" i="19"/>
  <c r="W589" i="19"/>
  <c r="W588" i="19"/>
  <c r="W531" i="19"/>
  <c r="W530" i="19"/>
  <c r="W529" i="19"/>
  <c r="W527" i="19"/>
  <c r="W523" i="19"/>
  <c r="W522" i="19"/>
  <c r="W445" i="19"/>
  <c r="W444" i="19"/>
  <c r="W443" i="19"/>
  <c r="W442" i="19"/>
  <c r="W441" i="19"/>
  <c r="W440" i="19"/>
  <c r="W439" i="19"/>
  <c r="W437" i="19"/>
  <c r="W436" i="19"/>
  <c r="W434" i="19"/>
  <c r="W432" i="19"/>
  <c r="W430" i="19"/>
  <c r="W428" i="19"/>
  <c r="W426" i="19"/>
  <c r="W425" i="19"/>
  <c r="W424" i="19"/>
  <c r="W423" i="19"/>
  <c r="W421" i="19"/>
  <c r="W420" i="19"/>
  <c r="W418" i="19"/>
  <c r="W417" i="19"/>
  <c r="W416" i="19"/>
  <c r="W415" i="19"/>
  <c r="W414" i="19"/>
  <c r="W413" i="19"/>
  <c r="W412" i="19"/>
  <c r="W411" i="19"/>
  <c r="W410" i="19"/>
  <c r="W409" i="19"/>
  <c r="W408" i="19"/>
  <c r="W407" i="19"/>
  <c r="W406" i="19"/>
  <c r="W405" i="19"/>
  <c r="W404" i="19"/>
  <c r="W403" i="19"/>
  <c r="W402" i="19"/>
  <c r="W401" i="19"/>
  <c r="W399" i="19"/>
  <c r="W398" i="19"/>
  <c r="W396" i="19"/>
  <c r="W395" i="19"/>
  <c r="W394" i="19"/>
  <c r="W393" i="19"/>
  <c r="W391" i="19"/>
  <c r="W390" i="19"/>
  <c r="W389" i="19"/>
  <c r="W388" i="19"/>
  <c r="W386" i="19"/>
  <c r="W385" i="19"/>
  <c r="W384" i="19"/>
  <c r="W383" i="19"/>
  <c r="W381" i="19"/>
  <c r="W380" i="19"/>
  <c r="W379" i="19"/>
  <c r="W378" i="19"/>
  <c r="W376" i="19"/>
  <c r="W375" i="19"/>
  <c r="W374" i="19"/>
  <c r="W373" i="19"/>
  <c r="W371" i="19"/>
  <c r="W370" i="19"/>
  <c r="W369" i="19"/>
  <c r="W368" i="19"/>
  <c r="W367" i="19"/>
  <c r="W366" i="19"/>
  <c r="W365" i="19"/>
  <c r="W364" i="19"/>
  <c r="W363" i="19"/>
  <c r="W362" i="19"/>
  <c r="W361" i="19"/>
  <c r="W359" i="19"/>
  <c r="W358" i="19"/>
  <c r="W357" i="19"/>
  <c r="W356" i="19"/>
  <c r="W355" i="19"/>
  <c r="W354" i="19"/>
  <c r="W353" i="19"/>
  <c r="W352" i="19"/>
  <c r="W351" i="19"/>
  <c r="W350" i="19"/>
  <c r="W349" i="19"/>
  <c r="W348" i="19"/>
  <c r="W347" i="19"/>
  <c r="W345" i="19"/>
  <c r="W344" i="19"/>
  <c r="W343" i="19"/>
  <c r="W342" i="19"/>
  <c r="W341" i="19"/>
  <c r="W340" i="19"/>
  <c r="W339" i="19"/>
  <c r="W338" i="19"/>
  <c r="W337" i="19"/>
  <c r="W336" i="19"/>
  <c r="W335" i="19"/>
  <c r="W334" i="19"/>
  <c r="W333" i="19"/>
  <c r="W332" i="19"/>
  <c r="W331" i="19"/>
  <c r="W330" i="19"/>
  <c r="W329" i="19"/>
  <c r="W327" i="19"/>
  <c r="W326" i="19"/>
  <c r="W325" i="19"/>
  <c r="W593" i="19"/>
  <c r="W592" i="19"/>
  <c r="W520" i="19"/>
  <c r="W519" i="19"/>
  <c r="W517" i="19"/>
  <c r="W516" i="19"/>
  <c r="W512" i="19"/>
  <c r="W511" i="19"/>
  <c r="W534" i="19"/>
  <c r="W532" i="19"/>
  <c r="W598" i="19"/>
  <c r="W597" i="19"/>
  <c r="W510" i="19"/>
  <c r="W509" i="19"/>
  <c r="W507" i="19"/>
  <c r="W506" i="19"/>
  <c r="W66" i="19"/>
  <c r="W65" i="19"/>
  <c r="W58" i="19"/>
  <c r="W57" i="19"/>
  <c r="W49" i="19"/>
  <c r="W48" i="19"/>
  <c r="W41" i="19"/>
  <c r="W40" i="19"/>
  <c r="W33" i="19"/>
  <c r="W32" i="19"/>
  <c r="W25" i="19"/>
  <c r="W24" i="19"/>
  <c r="W603" i="19"/>
  <c r="W602" i="19"/>
  <c r="W321" i="19"/>
  <c r="W320" i="19"/>
  <c r="W319" i="19"/>
  <c r="W318" i="19"/>
  <c r="W317" i="19"/>
  <c r="W316" i="19"/>
  <c r="W314" i="19"/>
  <c r="W312" i="19"/>
  <c r="W311" i="19"/>
  <c r="W310" i="19"/>
  <c r="W309" i="19"/>
  <c r="W308" i="19"/>
  <c r="W307" i="19"/>
  <c r="W306" i="19"/>
  <c r="W305" i="19"/>
  <c r="W304" i="19"/>
  <c r="W297" i="19"/>
  <c r="W296" i="19"/>
  <c r="W292" i="19"/>
  <c r="W291" i="19"/>
  <c r="W290" i="19"/>
  <c r="W289" i="19"/>
  <c r="W288" i="19"/>
  <c r="W287" i="19"/>
  <c r="W286" i="19"/>
  <c r="W285" i="19"/>
  <c r="W283" i="19"/>
  <c r="W282" i="19"/>
  <c r="W281" i="19"/>
  <c r="W280" i="19"/>
  <c r="W279" i="19"/>
  <c r="W278" i="19"/>
  <c r="W276" i="19"/>
  <c r="W275" i="19"/>
  <c r="W274" i="19"/>
  <c r="W273" i="19"/>
  <c r="W272" i="19"/>
  <c r="W271" i="19"/>
  <c r="W269" i="19"/>
  <c r="W267" i="19"/>
  <c r="W265" i="19"/>
  <c r="W264" i="19"/>
  <c r="W262" i="19"/>
  <c r="W261" i="19"/>
  <c r="W260" i="19"/>
  <c r="W259" i="19"/>
  <c r="W257" i="19"/>
  <c r="W256" i="19"/>
  <c r="W255" i="19"/>
  <c r="W254" i="19"/>
  <c r="W252" i="19"/>
  <c r="W250" i="19"/>
  <c r="W249" i="19"/>
  <c r="W248" i="19"/>
  <c r="W246" i="19"/>
  <c r="W245" i="19"/>
  <c r="W244" i="19"/>
  <c r="W243" i="19"/>
  <c r="W242" i="19"/>
  <c r="W241" i="19"/>
  <c r="W239" i="19"/>
  <c r="W238" i="19"/>
  <c r="W237" i="19"/>
  <c r="W236" i="19"/>
  <c r="W235" i="19"/>
  <c r="W234" i="19"/>
  <c r="W233" i="19"/>
  <c r="W232" i="19"/>
  <c r="W230" i="19"/>
  <c r="W229" i="19"/>
  <c r="W227" i="19"/>
  <c r="W226" i="19"/>
  <c r="W225" i="19"/>
  <c r="W224" i="19"/>
  <c r="W222" i="19"/>
  <c r="W221" i="19"/>
  <c r="W220" i="19"/>
  <c r="W219" i="19"/>
  <c r="W218" i="19"/>
  <c r="W217" i="19"/>
  <c r="W303" i="19"/>
  <c r="W302" i="19"/>
  <c r="W301" i="19"/>
  <c r="W300" i="19"/>
  <c r="W299" i="19"/>
  <c r="W298" i="19"/>
  <c r="W70" i="19"/>
  <c r="W69" i="19"/>
  <c r="W68" i="19"/>
  <c r="W67" i="19"/>
  <c r="W64" i="19"/>
  <c r="W63" i="19"/>
  <c r="W37" i="19"/>
  <c r="W36" i="19"/>
  <c r="W35" i="19"/>
  <c r="W34" i="19"/>
  <c r="W31" i="19"/>
  <c r="W30" i="19"/>
  <c r="W324" i="19"/>
  <c r="W323" i="19"/>
  <c r="W322" i="19"/>
  <c r="W216" i="19"/>
  <c r="W215" i="19"/>
  <c r="W214" i="19"/>
  <c r="W213" i="19"/>
  <c r="W212" i="19"/>
  <c r="W211" i="19"/>
  <c r="W210" i="19"/>
  <c r="W209" i="19"/>
  <c r="W208" i="19"/>
  <c r="W207" i="19"/>
  <c r="W205" i="19"/>
  <c r="W204" i="19"/>
  <c r="W203" i="19"/>
  <c r="W202" i="19"/>
  <c r="W201" i="19"/>
  <c r="W200" i="19"/>
  <c r="W199" i="19"/>
  <c r="W198" i="19"/>
  <c r="W197" i="19"/>
  <c r="W196" i="19"/>
  <c r="W195" i="19"/>
  <c r="W194" i="19"/>
  <c r="W192" i="19"/>
  <c r="W191" i="19"/>
  <c r="W190" i="19"/>
  <c r="W189" i="19"/>
  <c r="W188" i="19"/>
  <c r="W187" i="19"/>
  <c r="W186" i="19"/>
  <c r="W185" i="19"/>
  <c r="W184" i="19"/>
  <c r="W183" i="19"/>
  <c r="W182" i="19"/>
  <c r="W180" i="19"/>
  <c r="W179" i="19"/>
  <c r="W178" i="19"/>
  <c r="W176" i="19"/>
  <c r="W175" i="19"/>
  <c r="W174" i="19"/>
  <c r="W173" i="19"/>
  <c r="W172" i="19"/>
  <c r="W171" i="19"/>
  <c r="W170" i="19"/>
  <c r="W168" i="19"/>
  <c r="W167" i="19"/>
  <c r="W166" i="19"/>
  <c r="W165" i="19"/>
  <c r="W164" i="19"/>
  <c r="W163" i="19"/>
  <c r="W162" i="19"/>
  <c r="W161" i="19"/>
  <c r="W160" i="19"/>
  <c r="W159" i="19"/>
  <c r="W158" i="19"/>
  <c r="W156" i="19"/>
  <c r="W155" i="19"/>
  <c r="W154" i="19"/>
  <c r="W153" i="19"/>
  <c r="W152" i="19"/>
  <c r="W151" i="19"/>
  <c r="W150" i="19"/>
  <c r="W149" i="19"/>
  <c r="W148" i="19"/>
  <c r="W147" i="19"/>
  <c r="W146" i="19"/>
  <c r="W144" i="19"/>
  <c r="W143" i="19"/>
  <c r="W142" i="19"/>
  <c r="W141" i="19"/>
  <c r="W140" i="19"/>
  <c r="W139" i="19"/>
  <c r="W138" i="19"/>
  <c r="W137" i="19"/>
  <c r="W135" i="19"/>
  <c r="W134" i="19"/>
  <c r="W133" i="19"/>
  <c r="W132" i="19"/>
  <c r="W131" i="19"/>
  <c r="W130" i="19"/>
  <c r="W129" i="19"/>
  <c r="W128" i="19"/>
  <c r="W127" i="19"/>
  <c r="W126" i="19"/>
  <c r="W125" i="19"/>
  <c r="W124" i="19"/>
  <c r="W122" i="19"/>
  <c r="W121" i="19"/>
  <c r="W120" i="19"/>
  <c r="W119" i="19"/>
  <c r="W118" i="19"/>
  <c r="W117" i="19"/>
  <c r="W116" i="19"/>
  <c r="W115" i="19"/>
  <c r="W114" i="19"/>
  <c r="W113" i="19"/>
  <c r="W112" i="19"/>
  <c r="W111" i="19"/>
  <c r="W110" i="19"/>
  <c r="W109" i="19"/>
  <c r="W108" i="19"/>
  <c r="W107" i="19"/>
  <c r="W106" i="19"/>
  <c r="W105" i="19"/>
  <c r="W104" i="19"/>
  <c r="W103" i="19"/>
  <c r="W102" i="19"/>
  <c r="W101" i="19"/>
  <c r="W99" i="19"/>
  <c r="W98" i="19"/>
  <c r="W97" i="19"/>
  <c r="W96" i="19"/>
  <c r="W95" i="19"/>
  <c r="W94" i="19"/>
  <c r="W93" i="19"/>
  <c r="W91" i="19"/>
  <c r="W90" i="19"/>
  <c r="W89" i="19"/>
  <c r="W88" i="19"/>
  <c r="W87" i="19"/>
  <c r="W86" i="19"/>
  <c r="W85" i="19"/>
  <c r="W84" i="19"/>
  <c r="W83" i="19"/>
  <c r="W81" i="19"/>
  <c r="W80" i="19"/>
  <c r="W79" i="19"/>
  <c r="W77" i="19"/>
  <c r="W76" i="19"/>
  <c r="W75" i="19"/>
  <c r="W74" i="19"/>
  <c r="W73" i="19"/>
  <c r="W71" i="19"/>
  <c r="W45" i="19"/>
  <c r="W44" i="19"/>
  <c r="W43" i="19"/>
  <c r="W42" i="19"/>
  <c r="W39" i="19"/>
  <c r="W38" i="19"/>
  <c r="W55" i="19"/>
  <c r="W54" i="19"/>
  <c r="W53" i="19"/>
  <c r="W52" i="19"/>
  <c r="W51" i="19"/>
  <c r="W50" i="19"/>
  <c r="W62" i="19"/>
  <c r="W61" i="19"/>
  <c r="W60" i="19"/>
  <c r="W59" i="19"/>
  <c r="W29" i="19"/>
  <c r="W28" i="19"/>
  <c r="W27" i="19"/>
  <c r="W26" i="19"/>
  <c r="W47" i="19"/>
  <c r="W46" i="19"/>
  <c r="W23" i="19"/>
  <c r="B21" i="36"/>
  <c r="B142" i="47"/>
  <c r="B138" i="47"/>
  <c r="B133" i="47"/>
  <c r="B129" i="47"/>
  <c r="B124" i="47"/>
  <c r="B118" i="47"/>
  <c r="B111" i="47"/>
  <c r="B104" i="47"/>
  <c r="B98" i="47"/>
  <c r="B92" i="47"/>
  <c r="B88" i="47"/>
  <c r="B84" i="47"/>
  <c r="B80" i="47"/>
  <c r="B75" i="47"/>
  <c r="B70" i="47"/>
  <c r="B66" i="47"/>
  <c r="B61" i="47"/>
  <c r="B57" i="47"/>
  <c r="B53" i="47"/>
  <c r="B49" i="47"/>
  <c r="B45" i="47"/>
  <c r="B39" i="47"/>
  <c r="B33" i="47"/>
  <c r="B29" i="47"/>
  <c r="B24" i="47"/>
  <c r="B20" i="47"/>
  <c r="B16" i="47"/>
  <c r="B12" i="47"/>
  <c r="B7" i="47"/>
  <c r="B3" i="47"/>
  <c r="B136" i="47"/>
  <c r="B127" i="47"/>
  <c r="B114" i="47"/>
  <c r="B94" i="47"/>
  <c r="B86" i="47"/>
  <c r="B77" i="47"/>
  <c r="B68" i="47"/>
  <c r="B59" i="47"/>
  <c r="B51" i="47"/>
  <c r="B42" i="47"/>
  <c r="B31" i="47"/>
  <c r="B22" i="47"/>
  <c r="B14" i="47"/>
  <c r="B5" i="47"/>
  <c r="B143" i="47"/>
  <c r="B134" i="47"/>
  <c r="B126" i="47"/>
  <c r="B113" i="47"/>
  <c r="B100" i="47"/>
  <c r="B89" i="47"/>
  <c r="B81" i="47"/>
  <c r="B71" i="47"/>
  <c r="B62" i="47"/>
  <c r="B54" i="47"/>
  <c r="B46" i="47"/>
  <c r="B34" i="47"/>
  <c r="B25" i="47"/>
  <c r="B17" i="47"/>
  <c r="B8" i="47"/>
  <c r="B141" i="47"/>
  <c r="B137" i="47"/>
  <c r="B132" i="47"/>
  <c r="B128" i="47"/>
  <c r="B122" i="47"/>
  <c r="B116" i="47"/>
  <c r="B110" i="47"/>
  <c r="B103" i="47"/>
  <c r="B96" i="47"/>
  <c r="B91" i="47"/>
  <c r="B87" i="47"/>
  <c r="B83" i="47"/>
  <c r="B78" i="47"/>
  <c r="B74" i="47"/>
  <c r="B69" i="47"/>
  <c r="B64" i="47"/>
  <c r="B60" i="47"/>
  <c r="B56" i="47"/>
  <c r="B52" i="47"/>
  <c r="B48" i="47"/>
  <c r="B43" i="47"/>
  <c r="B37" i="47"/>
  <c r="B32" i="47"/>
  <c r="B28" i="47"/>
  <c r="B23" i="47"/>
  <c r="B19" i="47"/>
  <c r="B15" i="47"/>
  <c r="B11" i="47"/>
  <c r="B6" i="47"/>
  <c r="B2" i="47"/>
  <c r="B140" i="47"/>
  <c r="B131" i="47"/>
  <c r="B121" i="47"/>
  <c r="B108" i="47"/>
  <c r="B102" i="47"/>
  <c r="B90" i="47"/>
  <c r="B82" i="47"/>
  <c r="B72" i="47"/>
  <c r="B63" i="47"/>
  <c r="B55" i="47"/>
  <c r="B47" i="47"/>
  <c r="B35" i="47"/>
  <c r="B26" i="47"/>
  <c r="B18" i="47"/>
  <c r="B9" i="47"/>
  <c r="B1" i="47"/>
  <c r="B139" i="47"/>
  <c r="B130" i="47"/>
  <c r="B120" i="47"/>
  <c r="B106" i="47"/>
  <c r="B93" i="47"/>
  <c r="B85" i="47"/>
  <c r="B76" i="47"/>
  <c r="B67" i="47"/>
  <c r="B58" i="47"/>
  <c r="B50" i="47"/>
  <c r="B41" i="47"/>
  <c r="B30" i="47"/>
  <c r="B21" i="47"/>
  <c r="B13" i="47"/>
  <c r="B4" i="47"/>
  <c r="A17" i="45"/>
  <c r="Z4" i="45"/>
  <c r="W583" i="19" l="1"/>
  <c r="W594" i="19"/>
  <c r="W584" i="19"/>
  <c r="W596" i="19"/>
  <c r="C21" i="36"/>
  <c r="A21" i="45" s="1"/>
  <c r="B22" i="36"/>
  <c r="A22" i="19" s="1"/>
  <c r="A21" i="19"/>
  <c r="B23" i="36" l="1"/>
  <c r="B24" i="36" s="1"/>
  <c r="C22" i="36"/>
  <c r="A22" i="45" s="1"/>
  <c r="D19" i="19"/>
  <c r="A23" i="19" l="1"/>
  <c r="B25" i="36"/>
  <c r="C24" i="36"/>
  <c r="A24" i="45" s="1"/>
  <c r="A24" i="19"/>
  <c r="B26" i="36" l="1"/>
  <c r="C25" i="36"/>
  <c r="A25" i="45" s="1"/>
  <c r="A25" i="19"/>
  <c r="X604" i="45"/>
  <c r="X603" i="45"/>
  <c r="X602" i="45"/>
  <c r="X601" i="45"/>
  <c r="X600" i="45"/>
  <c r="X599" i="45"/>
  <c r="X598" i="45"/>
  <c r="X597" i="45"/>
  <c r="X596" i="45"/>
  <c r="X595" i="45"/>
  <c r="X594" i="45"/>
  <c r="X593" i="45"/>
  <c r="X592" i="45"/>
  <c r="X591" i="45"/>
  <c r="X590" i="45"/>
  <c r="X589" i="45"/>
  <c r="X588" i="45"/>
  <c r="X587" i="45"/>
  <c r="X586" i="45"/>
  <c r="X585" i="45"/>
  <c r="X584" i="45"/>
  <c r="X583" i="45"/>
  <c r="X582" i="45"/>
  <c r="X581" i="45"/>
  <c r="X580" i="45"/>
  <c r="X579" i="45"/>
  <c r="X578" i="45"/>
  <c r="X577" i="45"/>
  <c r="X576" i="45"/>
  <c r="X575" i="45"/>
  <c r="X574" i="45"/>
  <c r="X573" i="45"/>
  <c r="X572" i="45"/>
  <c r="X571" i="45"/>
  <c r="X570" i="45"/>
  <c r="X569" i="45"/>
  <c r="X568" i="45"/>
  <c r="X567" i="45"/>
  <c r="X566" i="45"/>
  <c r="X565" i="45"/>
  <c r="X564" i="45"/>
  <c r="X563" i="45"/>
  <c r="X562" i="45"/>
  <c r="X561" i="45"/>
  <c r="X560" i="45"/>
  <c r="X559" i="45"/>
  <c r="X558" i="45"/>
  <c r="X557" i="45"/>
  <c r="X556" i="45"/>
  <c r="X555" i="45"/>
  <c r="X554" i="45"/>
  <c r="X553" i="45"/>
  <c r="X552" i="45"/>
  <c r="X551" i="45"/>
  <c r="X550" i="45"/>
  <c r="X549" i="45"/>
  <c r="X548" i="45"/>
  <c r="X547" i="45"/>
  <c r="X546" i="45"/>
  <c r="X545" i="45"/>
  <c r="X544" i="45"/>
  <c r="X543" i="45"/>
  <c r="X542" i="45"/>
  <c r="X541" i="45"/>
  <c r="X540" i="45"/>
  <c r="X539" i="45"/>
  <c r="X538" i="45"/>
  <c r="X537" i="45"/>
  <c r="X536" i="45"/>
  <c r="X535" i="45"/>
  <c r="X534" i="45"/>
  <c r="X533" i="45"/>
  <c r="X532" i="45"/>
  <c r="X531" i="45"/>
  <c r="X530" i="45"/>
  <c r="X529" i="45"/>
  <c r="X528" i="45"/>
  <c r="X527" i="45"/>
  <c r="X526" i="45"/>
  <c r="X525" i="45"/>
  <c r="X524" i="45"/>
  <c r="X523" i="45"/>
  <c r="X522" i="45"/>
  <c r="X521" i="45"/>
  <c r="X520" i="45"/>
  <c r="X519" i="45"/>
  <c r="X518" i="45"/>
  <c r="X517" i="45"/>
  <c r="X516" i="45"/>
  <c r="X515" i="45"/>
  <c r="X514" i="45"/>
  <c r="X513" i="45"/>
  <c r="X512" i="45"/>
  <c r="X511" i="45"/>
  <c r="X510" i="45"/>
  <c r="X509" i="45"/>
  <c r="X508" i="45"/>
  <c r="X507" i="45"/>
  <c r="X506" i="45"/>
  <c r="X505" i="45"/>
  <c r="X504" i="45"/>
  <c r="X503" i="45"/>
  <c r="X502" i="45"/>
  <c r="X501" i="45"/>
  <c r="X500" i="45"/>
  <c r="X499" i="45"/>
  <c r="X498" i="45"/>
  <c r="X497" i="45"/>
  <c r="X496" i="45"/>
  <c r="X495" i="45"/>
  <c r="X494" i="45"/>
  <c r="X493" i="45"/>
  <c r="X492" i="45"/>
  <c r="X491" i="45"/>
  <c r="X490" i="45"/>
  <c r="X489" i="45"/>
  <c r="X488" i="45"/>
  <c r="X487" i="45"/>
  <c r="X486" i="45"/>
  <c r="X485" i="45"/>
  <c r="X484" i="45"/>
  <c r="X483" i="45"/>
  <c r="X482" i="45"/>
  <c r="X481" i="45"/>
  <c r="X480" i="45"/>
  <c r="X479" i="45"/>
  <c r="X478" i="45"/>
  <c r="X477" i="45"/>
  <c r="X476" i="45"/>
  <c r="X475" i="45"/>
  <c r="X474" i="45"/>
  <c r="X473" i="45"/>
  <c r="X472" i="45"/>
  <c r="X471" i="45"/>
  <c r="X470" i="45"/>
  <c r="X469" i="45"/>
  <c r="X468" i="45"/>
  <c r="X467" i="45"/>
  <c r="X466" i="45"/>
  <c r="X465" i="45"/>
  <c r="X464" i="45"/>
  <c r="X463" i="45"/>
  <c r="X462" i="45"/>
  <c r="X461" i="45"/>
  <c r="X460" i="45"/>
  <c r="X459" i="45"/>
  <c r="X458" i="45"/>
  <c r="X457" i="45"/>
  <c r="X456" i="45"/>
  <c r="X455" i="45"/>
  <c r="X454" i="45"/>
  <c r="X453" i="45"/>
  <c r="X452" i="45"/>
  <c r="X451" i="45"/>
  <c r="X450" i="45"/>
  <c r="X449" i="45"/>
  <c r="X448" i="45"/>
  <c r="X447" i="45"/>
  <c r="X446" i="45"/>
  <c r="X445" i="45"/>
  <c r="X444" i="45"/>
  <c r="X443" i="45"/>
  <c r="X442" i="45"/>
  <c r="X441" i="45"/>
  <c r="X440" i="45"/>
  <c r="X439" i="45"/>
  <c r="X438" i="45"/>
  <c r="X437" i="45"/>
  <c r="X436" i="45"/>
  <c r="X435" i="45"/>
  <c r="X434" i="45"/>
  <c r="X433" i="45"/>
  <c r="X432" i="45"/>
  <c r="X431" i="45"/>
  <c r="X430" i="45"/>
  <c r="X429" i="45"/>
  <c r="X428" i="45"/>
  <c r="X427" i="45"/>
  <c r="X426" i="45"/>
  <c r="X425" i="45"/>
  <c r="X424" i="45"/>
  <c r="X423" i="45"/>
  <c r="X422" i="45"/>
  <c r="X421" i="45"/>
  <c r="X420" i="45"/>
  <c r="X419" i="45"/>
  <c r="X418" i="45"/>
  <c r="X417" i="45"/>
  <c r="X416" i="45"/>
  <c r="X415" i="45"/>
  <c r="X414" i="45"/>
  <c r="X413" i="45"/>
  <c r="X412" i="45"/>
  <c r="X411" i="45"/>
  <c r="X410" i="45"/>
  <c r="X409" i="45"/>
  <c r="X408" i="45"/>
  <c r="X407" i="45"/>
  <c r="X406" i="45"/>
  <c r="X405" i="45"/>
  <c r="X404" i="45"/>
  <c r="X403" i="45"/>
  <c r="X402" i="45"/>
  <c r="X401" i="45"/>
  <c r="X400" i="45"/>
  <c r="X399" i="45"/>
  <c r="X398" i="45"/>
  <c r="X397" i="45"/>
  <c r="X396" i="45"/>
  <c r="X395" i="45"/>
  <c r="X394" i="45"/>
  <c r="X393" i="45"/>
  <c r="X392" i="45"/>
  <c r="X391" i="45"/>
  <c r="X390" i="45"/>
  <c r="X389" i="45"/>
  <c r="X388" i="45"/>
  <c r="X387" i="45"/>
  <c r="X386" i="45"/>
  <c r="X385" i="45"/>
  <c r="X384" i="45"/>
  <c r="X383" i="45"/>
  <c r="X382" i="45"/>
  <c r="X381" i="45"/>
  <c r="X380" i="45"/>
  <c r="X379" i="45"/>
  <c r="X378" i="45"/>
  <c r="X377" i="45"/>
  <c r="X376" i="45"/>
  <c r="X375" i="45"/>
  <c r="X374" i="45"/>
  <c r="X373" i="45"/>
  <c r="X372" i="45"/>
  <c r="X371" i="45"/>
  <c r="X370" i="45"/>
  <c r="X369" i="45"/>
  <c r="X368" i="45"/>
  <c r="X367" i="45"/>
  <c r="X366" i="45"/>
  <c r="X365" i="45"/>
  <c r="X364" i="45"/>
  <c r="X363" i="45"/>
  <c r="X362" i="45"/>
  <c r="X361" i="45"/>
  <c r="X360" i="45"/>
  <c r="X359" i="45"/>
  <c r="X358" i="45"/>
  <c r="X357" i="45"/>
  <c r="X356" i="45"/>
  <c r="X355" i="45"/>
  <c r="X354" i="45"/>
  <c r="X353" i="45"/>
  <c r="X352" i="45"/>
  <c r="X351" i="45"/>
  <c r="X350" i="45"/>
  <c r="X349" i="45"/>
  <c r="X348" i="45"/>
  <c r="X347" i="45"/>
  <c r="X346" i="45"/>
  <c r="X345" i="45"/>
  <c r="X344" i="45"/>
  <c r="X343" i="45"/>
  <c r="X342" i="45"/>
  <c r="X341" i="45"/>
  <c r="X340" i="45"/>
  <c r="X339" i="45"/>
  <c r="X338" i="45"/>
  <c r="X337" i="45"/>
  <c r="X336" i="45"/>
  <c r="X335" i="45"/>
  <c r="X334" i="45"/>
  <c r="X333" i="45"/>
  <c r="X332" i="45"/>
  <c r="X331" i="45"/>
  <c r="X330" i="45"/>
  <c r="X329" i="45"/>
  <c r="X328" i="45"/>
  <c r="X327" i="45"/>
  <c r="X326" i="45"/>
  <c r="X325" i="45"/>
  <c r="X324" i="45"/>
  <c r="X323" i="45"/>
  <c r="X322" i="45"/>
  <c r="X321" i="45"/>
  <c r="X320" i="45"/>
  <c r="X319" i="45"/>
  <c r="X318" i="45"/>
  <c r="X317" i="45"/>
  <c r="X316" i="45"/>
  <c r="X315" i="45"/>
  <c r="X314" i="45"/>
  <c r="X313" i="45"/>
  <c r="X312" i="45"/>
  <c r="X311" i="45"/>
  <c r="X310" i="45"/>
  <c r="X309" i="45"/>
  <c r="X308" i="45"/>
  <c r="X307" i="45"/>
  <c r="X306" i="45"/>
  <c r="X305" i="45"/>
  <c r="X304" i="45"/>
  <c r="X303" i="45"/>
  <c r="X302" i="45"/>
  <c r="X301" i="45"/>
  <c r="X300" i="45"/>
  <c r="X299" i="45"/>
  <c r="X298" i="45"/>
  <c r="X297" i="45"/>
  <c r="X296" i="45"/>
  <c r="X295" i="45"/>
  <c r="X294" i="45"/>
  <c r="X293" i="45"/>
  <c r="X292" i="45"/>
  <c r="X291" i="45"/>
  <c r="X290" i="45"/>
  <c r="X289" i="45"/>
  <c r="X288" i="45"/>
  <c r="X287" i="45"/>
  <c r="X286" i="45"/>
  <c r="X285" i="45"/>
  <c r="X284" i="45"/>
  <c r="X283" i="45"/>
  <c r="X282" i="45"/>
  <c r="X281" i="45"/>
  <c r="X280" i="45"/>
  <c r="X279" i="45"/>
  <c r="X278" i="45"/>
  <c r="X277" i="45"/>
  <c r="X276" i="45"/>
  <c r="X275" i="45"/>
  <c r="X274" i="45"/>
  <c r="X273" i="45"/>
  <c r="X272" i="45"/>
  <c r="X271" i="45"/>
  <c r="X270" i="45"/>
  <c r="X269" i="45"/>
  <c r="X268" i="45"/>
  <c r="X267" i="45"/>
  <c r="X266" i="45"/>
  <c r="X265" i="45"/>
  <c r="X264" i="45"/>
  <c r="X263" i="45"/>
  <c r="X262" i="45"/>
  <c r="X261" i="45"/>
  <c r="X260" i="45"/>
  <c r="X259" i="45"/>
  <c r="X258" i="45"/>
  <c r="X257" i="45"/>
  <c r="X256" i="45"/>
  <c r="X255" i="45"/>
  <c r="X254" i="45"/>
  <c r="X253" i="45"/>
  <c r="X252" i="45"/>
  <c r="X251" i="45"/>
  <c r="X250" i="45"/>
  <c r="X249" i="45"/>
  <c r="X248" i="45"/>
  <c r="X247" i="45"/>
  <c r="X246" i="45"/>
  <c r="X245" i="45"/>
  <c r="X244" i="45"/>
  <c r="X243" i="45"/>
  <c r="X242" i="45"/>
  <c r="X241" i="45"/>
  <c r="X240" i="45"/>
  <c r="X239" i="45"/>
  <c r="X238" i="45"/>
  <c r="X237" i="45"/>
  <c r="X236" i="45"/>
  <c r="X235" i="45"/>
  <c r="X234" i="45"/>
  <c r="X233" i="45"/>
  <c r="X232" i="45"/>
  <c r="X231" i="45"/>
  <c r="X230" i="45"/>
  <c r="X229" i="45"/>
  <c r="X228" i="45"/>
  <c r="X227" i="45"/>
  <c r="X226" i="45"/>
  <c r="X225" i="45"/>
  <c r="X224" i="45"/>
  <c r="X223" i="45"/>
  <c r="X222" i="45"/>
  <c r="X221" i="45"/>
  <c r="X220" i="45"/>
  <c r="X219" i="45"/>
  <c r="X218" i="45"/>
  <c r="X217" i="45"/>
  <c r="X216" i="45"/>
  <c r="X215" i="45"/>
  <c r="X214" i="45"/>
  <c r="X213" i="45"/>
  <c r="X212" i="45"/>
  <c r="X211" i="45"/>
  <c r="X210" i="45"/>
  <c r="X209" i="45"/>
  <c r="X208" i="45"/>
  <c r="X207" i="45"/>
  <c r="X206" i="45"/>
  <c r="X205" i="45"/>
  <c r="X204" i="45"/>
  <c r="X203" i="45"/>
  <c r="X202" i="45"/>
  <c r="X201" i="45"/>
  <c r="X200" i="45"/>
  <c r="X199" i="45"/>
  <c r="X198" i="45"/>
  <c r="X197" i="45"/>
  <c r="X196" i="45"/>
  <c r="X195" i="45"/>
  <c r="X194" i="45"/>
  <c r="X193" i="45"/>
  <c r="X192" i="45"/>
  <c r="X191" i="45"/>
  <c r="X190" i="45"/>
  <c r="X189" i="45"/>
  <c r="X188" i="45"/>
  <c r="X187" i="45"/>
  <c r="X186" i="45"/>
  <c r="X185" i="45"/>
  <c r="X184" i="45"/>
  <c r="X183" i="45"/>
  <c r="X182" i="45"/>
  <c r="X181" i="45"/>
  <c r="X180" i="45"/>
  <c r="X179" i="45"/>
  <c r="X178" i="45"/>
  <c r="X177" i="45"/>
  <c r="X176" i="45"/>
  <c r="X175" i="45"/>
  <c r="X174" i="45"/>
  <c r="X173" i="45"/>
  <c r="X172" i="45"/>
  <c r="X171" i="45"/>
  <c r="X170" i="45"/>
  <c r="X169" i="45"/>
  <c r="X168" i="45"/>
  <c r="X167" i="45"/>
  <c r="X166" i="45"/>
  <c r="X165" i="45"/>
  <c r="X164" i="45"/>
  <c r="X163" i="45"/>
  <c r="X162" i="45"/>
  <c r="X161" i="45"/>
  <c r="X160" i="45"/>
  <c r="X159" i="45"/>
  <c r="X158" i="45"/>
  <c r="X157" i="45"/>
  <c r="X156" i="45"/>
  <c r="X155" i="45"/>
  <c r="X154" i="45"/>
  <c r="X153" i="45"/>
  <c r="X152" i="45"/>
  <c r="X151" i="45"/>
  <c r="X150" i="45"/>
  <c r="X149" i="45"/>
  <c r="X148" i="45"/>
  <c r="X147" i="45"/>
  <c r="X146" i="45"/>
  <c r="X145" i="45"/>
  <c r="X144" i="45"/>
  <c r="X143" i="45"/>
  <c r="X142" i="45"/>
  <c r="X141" i="45"/>
  <c r="X140" i="45"/>
  <c r="X139" i="45"/>
  <c r="X138" i="45"/>
  <c r="X137" i="45"/>
  <c r="X136" i="45"/>
  <c r="X135" i="45"/>
  <c r="X134" i="45"/>
  <c r="X133" i="45"/>
  <c r="X132" i="45"/>
  <c r="X131" i="45"/>
  <c r="X130" i="45"/>
  <c r="X129" i="45"/>
  <c r="X128" i="45"/>
  <c r="X127" i="45"/>
  <c r="X126" i="45"/>
  <c r="X125" i="45"/>
  <c r="X124" i="45"/>
  <c r="X123" i="45"/>
  <c r="X122" i="45"/>
  <c r="X121" i="45"/>
  <c r="X120" i="45"/>
  <c r="X119" i="45"/>
  <c r="X118" i="45"/>
  <c r="X117" i="45"/>
  <c r="X116" i="45"/>
  <c r="X115" i="45"/>
  <c r="X114" i="45"/>
  <c r="X113" i="45"/>
  <c r="X112" i="45"/>
  <c r="X111" i="45"/>
  <c r="X110" i="45"/>
  <c r="X109" i="45"/>
  <c r="X108" i="45"/>
  <c r="X107" i="45"/>
  <c r="X106" i="45"/>
  <c r="X105" i="45"/>
  <c r="X104" i="45"/>
  <c r="X103" i="45"/>
  <c r="X102" i="45"/>
  <c r="X101" i="45"/>
  <c r="X100" i="45"/>
  <c r="X99" i="45"/>
  <c r="X98" i="45"/>
  <c r="X97" i="45"/>
  <c r="X96" i="45"/>
  <c r="X95" i="45"/>
  <c r="X94" i="45"/>
  <c r="X93" i="45"/>
  <c r="X92" i="45"/>
  <c r="X91" i="45"/>
  <c r="X90" i="45"/>
  <c r="X89" i="45"/>
  <c r="X88" i="45"/>
  <c r="X87" i="45"/>
  <c r="X86" i="45"/>
  <c r="X85" i="45"/>
  <c r="X84" i="45"/>
  <c r="X83" i="45"/>
  <c r="X82" i="45"/>
  <c r="X81" i="45"/>
  <c r="X80" i="45"/>
  <c r="X79" i="45"/>
  <c r="X78" i="45"/>
  <c r="X77" i="45"/>
  <c r="X76" i="45"/>
  <c r="X75" i="45"/>
  <c r="X74" i="45"/>
  <c r="X73" i="45"/>
  <c r="X72" i="45"/>
  <c r="X71" i="45"/>
  <c r="X70" i="45"/>
  <c r="X69" i="45"/>
  <c r="X68" i="45"/>
  <c r="X67" i="45"/>
  <c r="X66" i="45"/>
  <c r="X65" i="45"/>
  <c r="X64" i="45"/>
  <c r="X63" i="45"/>
  <c r="X62" i="45"/>
  <c r="X61" i="45"/>
  <c r="X60" i="45"/>
  <c r="X59" i="45"/>
  <c r="X58" i="45"/>
  <c r="X57" i="45"/>
  <c r="X56" i="45"/>
  <c r="X55" i="45"/>
  <c r="X54" i="45"/>
  <c r="X53" i="45"/>
  <c r="X52" i="45"/>
  <c r="X51" i="45"/>
  <c r="X50" i="45"/>
  <c r="X49" i="45"/>
  <c r="X48" i="45"/>
  <c r="X47" i="45"/>
  <c r="X46" i="45"/>
  <c r="X45" i="45"/>
  <c r="X44" i="45"/>
  <c r="X43" i="45"/>
  <c r="X42" i="45"/>
  <c r="X41" i="45"/>
  <c r="X40" i="45"/>
  <c r="X39" i="45"/>
  <c r="X38" i="45"/>
  <c r="X37" i="45"/>
  <c r="X36" i="45"/>
  <c r="X35" i="45"/>
  <c r="X34" i="45"/>
  <c r="X33" i="45"/>
  <c r="X32" i="45"/>
  <c r="X31" i="45"/>
  <c r="X30" i="45"/>
  <c r="X29" i="45"/>
  <c r="X28" i="45"/>
  <c r="X27" i="45"/>
  <c r="X26" i="45"/>
  <c r="X25" i="45"/>
  <c r="X24" i="45"/>
  <c r="X23" i="45"/>
  <c r="B27" i="36" l="1"/>
  <c r="C26" i="36"/>
  <c r="A26" i="45" s="1"/>
  <c r="A26" i="19"/>
  <c r="X22" i="45"/>
  <c r="R19" i="45"/>
  <c r="AQ601" i="19"/>
  <c r="AQ595" i="19"/>
  <c r="AQ587" i="19"/>
  <c r="AQ578" i="19"/>
  <c r="AQ569" i="19"/>
  <c r="AQ559" i="19"/>
  <c r="AQ548" i="19"/>
  <c r="AQ537" i="19"/>
  <c r="AQ533" i="19"/>
  <c r="AQ528" i="19"/>
  <c r="AQ525" i="19"/>
  <c r="AQ521" i="19"/>
  <c r="AQ518" i="19"/>
  <c r="AS518" i="19" s="1"/>
  <c r="AR518" i="19" s="1"/>
  <c r="AQ513" i="19"/>
  <c r="AQ508" i="19"/>
  <c r="AQ504" i="19"/>
  <c r="AQ501" i="19"/>
  <c r="AQ497" i="19"/>
  <c r="AQ494" i="19"/>
  <c r="AS494" i="19" s="1"/>
  <c r="AQ489" i="19"/>
  <c r="AQ487" i="19"/>
  <c r="AQ482" i="19"/>
  <c r="AQ478" i="19"/>
  <c r="AS478" i="19" s="1"/>
  <c r="AQ471" i="19"/>
  <c r="AQ467" i="19"/>
  <c r="AQ455" i="19"/>
  <c r="AQ452" i="19"/>
  <c r="AQ447" i="19"/>
  <c r="AQ438" i="19"/>
  <c r="AQ435" i="19"/>
  <c r="AQ433" i="19"/>
  <c r="AQ431" i="19"/>
  <c r="AQ429" i="19"/>
  <c r="AQ427" i="19"/>
  <c r="AQ422" i="19"/>
  <c r="AQ419" i="19"/>
  <c r="AQ400" i="19"/>
  <c r="AQ397" i="19"/>
  <c r="AS397" i="19" s="1"/>
  <c r="AR397" i="19" s="1"/>
  <c r="AQ392" i="19"/>
  <c r="AS392" i="19" s="1"/>
  <c r="AQ387" i="19"/>
  <c r="AQ382" i="19"/>
  <c r="AQ377" i="19"/>
  <c r="AQ372" i="19"/>
  <c r="AQ360" i="19"/>
  <c r="AQ346" i="19"/>
  <c r="AQ328" i="19"/>
  <c r="AQ315" i="19"/>
  <c r="AQ313" i="19"/>
  <c r="AQ295" i="19"/>
  <c r="AQ284" i="19"/>
  <c r="AQ277" i="19"/>
  <c r="AQ270" i="19"/>
  <c r="AQ268" i="19"/>
  <c r="AQ266" i="19"/>
  <c r="AQ263" i="19"/>
  <c r="AQ258" i="19"/>
  <c r="AQ253" i="19"/>
  <c r="AQ251" i="19"/>
  <c r="AQ247" i="19"/>
  <c r="AQ240" i="19"/>
  <c r="AQ231" i="19"/>
  <c r="AQ228" i="19"/>
  <c r="AQ223" i="19"/>
  <c r="AQ206" i="19"/>
  <c r="AQ193" i="19"/>
  <c r="AQ181" i="19"/>
  <c r="AQ177" i="19"/>
  <c r="AQ169" i="19"/>
  <c r="AQ157" i="19"/>
  <c r="AQ145" i="19"/>
  <c r="AQ136" i="19"/>
  <c r="AQ123" i="19"/>
  <c r="AQ100" i="19"/>
  <c r="AQ92" i="19"/>
  <c r="AQ82" i="19"/>
  <c r="AQ78" i="19"/>
  <c r="AQ72" i="19"/>
  <c r="AQ22" i="17"/>
  <c r="X537" i="19"/>
  <c r="X528" i="19"/>
  <c r="X525" i="19"/>
  <c r="X518" i="19"/>
  <c r="X513" i="19"/>
  <c r="X501" i="19"/>
  <c r="X478" i="19"/>
  <c r="X452" i="19"/>
  <c r="X397" i="19"/>
  <c r="X392" i="19"/>
  <c r="X328" i="19"/>
  <c r="B28" i="36" l="1"/>
  <c r="C27" i="36"/>
  <c r="A27" i="45" s="1"/>
  <c r="A27" i="19"/>
  <c r="AG19" i="45"/>
  <c r="W9" i="45"/>
  <c r="E1" i="45"/>
  <c r="V10" i="45"/>
  <c r="C16" i="45"/>
  <c r="V2" i="45"/>
  <c r="Z5" i="45"/>
  <c r="W10" i="45"/>
  <c r="J17" i="45"/>
  <c r="T18" i="45"/>
  <c r="W7" i="45"/>
  <c r="Z8" i="45"/>
  <c r="J1" i="45"/>
  <c r="V8" i="45"/>
  <c r="Z9" i="45"/>
  <c r="C17" i="45"/>
  <c r="E19" i="45"/>
  <c r="V4" i="45"/>
  <c r="W8" i="45"/>
  <c r="D12" i="45"/>
  <c r="D617" i="45" s="1"/>
  <c r="G17" i="45"/>
  <c r="AI17" i="45"/>
  <c r="D1" i="45"/>
  <c r="Z1" i="45"/>
  <c r="V3" i="45"/>
  <c r="V5" i="45"/>
  <c r="D7" i="45"/>
  <c r="F16" i="45" s="1"/>
  <c r="F17" i="45"/>
  <c r="S17" i="45"/>
  <c r="AE17" i="45"/>
  <c r="H18" i="45"/>
  <c r="AF17" i="45"/>
  <c r="Q18" i="45"/>
  <c r="C19" i="45"/>
  <c r="M1" i="45" s="1"/>
  <c r="AF19" i="45"/>
  <c r="V1" i="45"/>
  <c r="W6" i="45"/>
  <c r="E8" i="45"/>
  <c r="G16" i="45" s="1"/>
  <c r="D9" i="45"/>
  <c r="D614" i="45" s="1"/>
  <c r="D10" i="45"/>
  <c r="D615" i="45" s="1"/>
  <c r="D11" i="45"/>
  <c r="D616" i="45" s="1"/>
  <c r="D13" i="45"/>
  <c r="D618" i="45" s="1"/>
  <c r="E17" i="45"/>
  <c r="Q17" i="45"/>
  <c r="AM17" i="45"/>
  <c r="AF18" i="45"/>
  <c r="M19" i="45"/>
  <c r="R2" i="45"/>
  <c r="W5" i="45"/>
  <c r="V6" i="45"/>
  <c r="V9" i="45"/>
  <c r="Z10" i="45"/>
  <c r="Z11" i="45"/>
  <c r="Z12" i="45"/>
  <c r="D17" i="45"/>
  <c r="H17" i="45"/>
  <c r="T17" i="45"/>
  <c r="AG17" i="45"/>
  <c r="F18" i="45"/>
  <c r="R18" i="45"/>
  <c r="AG18" i="45"/>
  <c r="D619" i="45"/>
  <c r="D612" i="45"/>
  <c r="AC6" i="45"/>
  <c r="AI4" i="45"/>
  <c r="AE4" i="45"/>
  <c r="D606" i="45"/>
  <c r="D611" i="45"/>
  <c r="D609" i="45"/>
  <c r="D613" i="45"/>
  <c r="AF7" i="45"/>
  <c r="AG5" i="45"/>
  <c r="D608" i="45"/>
  <c r="AG4" i="45"/>
  <c r="AD4" i="45"/>
  <c r="AF9" i="45"/>
  <c r="D610" i="45"/>
  <c r="AF5" i="45"/>
  <c r="AM4" i="45"/>
  <c r="AF4" i="45"/>
  <c r="D607" i="45"/>
  <c r="AD8" i="45"/>
  <c r="G18" i="45"/>
  <c r="S18" i="45"/>
  <c r="G19" i="45"/>
  <c r="AE19" i="45"/>
  <c r="AE5" i="45" s="1"/>
  <c r="AS266" i="19"/>
  <c r="AS328" i="19"/>
  <c r="AR392" i="19"/>
  <c r="AS452" i="19"/>
  <c r="AS513" i="19"/>
  <c r="AS521" i="19"/>
  <c r="AS528" i="19"/>
  <c r="AS537" i="19"/>
  <c r="AS501" i="19"/>
  <c r="AS525" i="19"/>
  <c r="AR478" i="19"/>
  <c r="AR494" i="19"/>
  <c r="D8" i="35" l="1"/>
  <c r="D12" i="35"/>
  <c r="D16" i="35"/>
  <c r="D20" i="35"/>
  <c r="D24" i="35"/>
  <c r="D28" i="35"/>
  <c r="D32" i="35"/>
  <c r="D36" i="35"/>
  <c r="D40" i="35"/>
  <c r="D44" i="35"/>
  <c r="D48" i="35"/>
  <c r="D52" i="35"/>
  <c r="D56" i="35"/>
  <c r="D60" i="35"/>
  <c r="D64" i="35"/>
  <c r="D68" i="35"/>
  <c r="D72" i="35"/>
  <c r="D76" i="35"/>
  <c r="D80" i="35"/>
  <c r="D84" i="35"/>
  <c r="D88" i="35"/>
  <c r="D92" i="35"/>
  <c r="D96" i="35"/>
  <c r="D100" i="35"/>
  <c r="D104" i="35"/>
  <c r="D108" i="35"/>
  <c r="D112" i="35"/>
  <c r="D116" i="35"/>
  <c r="D120" i="35"/>
  <c r="D124" i="35"/>
  <c r="D128" i="35"/>
  <c r="D132" i="35"/>
  <c r="D136" i="35"/>
  <c r="D140" i="35"/>
  <c r="D144" i="35"/>
  <c r="D148" i="35"/>
  <c r="D152" i="35"/>
  <c r="D156" i="35"/>
  <c r="D160" i="35"/>
  <c r="D164" i="35"/>
  <c r="D168" i="35"/>
  <c r="D172" i="35"/>
  <c r="D176" i="35"/>
  <c r="D180" i="35"/>
  <c r="D184" i="35"/>
  <c r="D188" i="35"/>
  <c r="D192" i="35"/>
  <c r="D196" i="35"/>
  <c r="D200" i="35"/>
  <c r="D204" i="35"/>
  <c r="D208" i="35"/>
  <c r="D212" i="35"/>
  <c r="D216" i="35"/>
  <c r="D220" i="35"/>
  <c r="D224" i="35"/>
  <c r="D228" i="35"/>
  <c r="D232" i="35"/>
  <c r="D236" i="35"/>
  <c r="D240" i="35"/>
  <c r="D244" i="35"/>
  <c r="D248" i="35"/>
  <c r="D252" i="35"/>
  <c r="D256" i="35"/>
  <c r="D260" i="35"/>
  <c r="D264" i="35"/>
  <c r="D5" i="35"/>
  <c r="D9" i="35"/>
  <c r="D13" i="35"/>
  <c r="D17" i="35"/>
  <c r="D21" i="35"/>
  <c r="D25" i="35"/>
  <c r="D29" i="35"/>
  <c r="D33" i="35"/>
  <c r="D37" i="35"/>
  <c r="D41" i="35"/>
  <c r="D45" i="35"/>
  <c r="D49" i="35"/>
  <c r="D53" i="35"/>
  <c r="D57" i="35"/>
  <c r="D61" i="35"/>
  <c r="D65" i="35"/>
  <c r="D69" i="35"/>
  <c r="D73" i="35"/>
  <c r="D77" i="35"/>
  <c r="D81" i="35"/>
  <c r="D85" i="35"/>
  <c r="D89" i="35"/>
  <c r="D93" i="35"/>
  <c r="D97" i="35"/>
  <c r="D101" i="35"/>
  <c r="D105" i="35"/>
  <c r="D109" i="35"/>
  <c r="D113" i="35"/>
  <c r="D117" i="35"/>
  <c r="D121" i="35"/>
  <c r="D125" i="35"/>
  <c r="D129" i="35"/>
  <c r="D133" i="35"/>
  <c r="D137" i="35"/>
  <c r="D141" i="35"/>
  <c r="D145" i="35"/>
  <c r="D149" i="35"/>
  <c r="D153" i="35"/>
  <c r="D157" i="35"/>
  <c r="D161" i="35"/>
  <c r="D165" i="35"/>
  <c r="D169" i="35"/>
  <c r="D173" i="35"/>
  <c r="D177" i="35"/>
  <c r="D181" i="35"/>
  <c r="D185" i="35"/>
  <c r="D189" i="35"/>
  <c r="D193" i="35"/>
  <c r="D197" i="35"/>
  <c r="D201" i="35"/>
  <c r="D205" i="35"/>
  <c r="D209" i="35"/>
  <c r="D213" i="35"/>
  <c r="D217" i="35"/>
  <c r="D221" i="35"/>
  <c r="D225" i="35"/>
  <c r="D229" i="35"/>
  <c r="D233" i="35"/>
  <c r="D237" i="35"/>
  <c r="D241" i="35"/>
  <c r="D245" i="35"/>
  <c r="D249" i="35"/>
  <c r="D253" i="35"/>
  <c r="D257" i="35"/>
  <c r="D261" i="35"/>
  <c r="D265" i="35"/>
  <c r="D269" i="35"/>
  <c r="D273" i="35"/>
  <c r="D277" i="35"/>
  <c r="D281" i="35"/>
  <c r="D285" i="35"/>
  <c r="D289" i="35"/>
  <c r="D293" i="35"/>
  <c r="D297" i="35"/>
  <c r="D301" i="35"/>
  <c r="D305" i="35"/>
  <c r="D309" i="35"/>
  <c r="D313" i="35"/>
  <c r="D317" i="35"/>
  <c r="D321" i="35"/>
  <c r="D325" i="35"/>
  <c r="D329" i="35"/>
  <c r="D333" i="35"/>
  <c r="D337" i="35"/>
  <c r="D341" i="35"/>
  <c r="D6" i="35"/>
  <c r="D10" i="35"/>
  <c r="D14" i="35"/>
  <c r="D18" i="35"/>
  <c r="D22" i="35"/>
  <c r="D26" i="35"/>
  <c r="D30" i="35"/>
  <c r="D34" i="35"/>
  <c r="D38" i="35"/>
  <c r="D42" i="35"/>
  <c r="D46" i="35"/>
  <c r="D50" i="35"/>
  <c r="D54" i="35"/>
  <c r="D58" i="35"/>
  <c r="D62" i="35"/>
  <c r="D66" i="35"/>
  <c r="D70" i="35"/>
  <c r="D74" i="35"/>
  <c r="D78" i="35"/>
  <c r="D82" i="35"/>
  <c r="D86" i="35"/>
  <c r="D90" i="35"/>
  <c r="D94" i="35"/>
  <c r="D98" i="35"/>
  <c r="D102" i="35"/>
  <c r="D106" i="35"/>
  <c r="D110" i="35"/>
  <c r="D114" i="35"/>
  <c r="D118" i="35"/>
  <c r="D122" i="35"/>
  <c r="D126" i="35"/>
  <c r="D130" i="35"/>
  <c r="D134" i="35"/>
  <c r="D138" i="35"/>
  <c r="D142" i="35"/>
  <c r="D146" i="35"/>
  <c r="D150" i="35"/>
  <c r="D154" i="35"/>
  <c r="D158" i="35"/>
  <c r="D162" i="35"/>
  <c r="D166" i="35"/>
  <c r="D170" i="35"/>
  <c r="D174" i="35"/>
  <c r="D178" i="35"/>
  <c r="D182" i="35"/>
  <c r="D186" i="35"/>
  <c r="D190" i="35"/>
  <c r="D194" i="35"/>
  <c r="D198" i="35"/>
  <c r="D202" i="35"/>
  <c r="D206" i="35"/>
  <c r="D210" i="35"/>
  <c r="D214" i="35"/>
  <c r="D218" i="35"/>
  <c r="D222" i="35"/>
  <c r="D226" i="35"/>
  <c r="D230" i="35"/>
  <c r="D234" i="35"/>
  <c r="D238" i="35"/>
  <c r="D242" i="35"/>
  <c r="D246" i="35"/>
  <c r="D250" i="35"/>
  <c r="D254" i="35"/>
  <c r="D258" i="35"/>
  <c r="D262" i="35"/>
  <c r="D266" i="35"/>
  <c r="D270" i="35"/>
  <c r="D274" i="35"/>
  <c r="D278" i="35"/>
  <c r="D282" i="35"/>
  <c r="D286" i="35"/>
  <c r="D290" i="35"/>
  <c r="D294" i="35"/>
  <c r="D298" i="35"/>
  <c r="D302" i="35"/>
  <c r="D306" i="35"/>
  <c r="D310" i="35"/>
  <c r="D7" i="35"/>
  <c r="D11" i="35"/>
  <c r="D15" i="35"/>
  <c r="D19" i="35"/>
  <c r="D23" i="35"/>
  <c r="D27" i="35"/>
  <c r="D31" i="35"/>
  <c r="D35" i="35"/>
  <c r="D39" i="35"/>
  <c r="D43" i="35"/>
  <c r="D47" i="35"/>
  <c r="D51" i="35"/>
  <c r="D55" i="35"/>
  <c r="D59" i="35"/>
  <c r="D63" i="35"/>
  <c r="D67" i="35"/>
  <c r="D71" i="35"/>
  <c r="D75" i="35"/>
  <c r="D79" i="35"/>
  <c r="D83" i="35"/>
  <c r="D87" i="35"/>
  <c r="D91" i="35"/>
  <c r="D95" i="35"/>
  <c r="D99" i="35"/>
  <c r="D103" i="35"/>
  <c r="D107" i="35"/>
  <c r="D111" i="35"/>
  <c r="D115" i="35"/>
  <c r="D119" i="35"/>
  <c r="D123" i="35"/>
  <c r="D127" i="35"/>
  <c r="D131" i="35"/>
  <c r="D135" i="35"/>
  <c r="D139" i="35"/>
  <c r="D143" i="35"/>
  <c r="D147" i="35"/>
  <c r="D151" i="35"/>
  <c r="D155" i="35"/>
  <c r="D159" i="35"/>
  <c r="D163" i="35"/>
  <c r="D167" i="35"/>
  <c r="D171" i="35"/>
  <c r="D175" i="35"/>
  <c r="D179" i="35"/>
  <c r="D183" i="35"/>
  <c r="D187" i="35"/>
  <c r="D191" i="35"/>
  <c r="D195" i="35"/>
  <c r="D199" i="35"/>
  <c r="D203" i="35"/>
  <c r="D207" i="35"/>
  <c r="D211" i="35"/>
  <c r="D215" i="35"/>
  <c r="D219" i="35"/>
  <c r="D223" i="35"/>
  <c r="D227" i="35"/>
  <c r="D231" i="35"/>
  <c r="D235" i="35"/>
  <c r="D239" i="35"/>
  <c r="D243" i="35"/>
  <c r="D247" i="35"/>
  <c r="D251" i="35"/>
  <c r="D255" i="35"/>
  <c r="D259" i="35"/>
  <c r="D263" i="35"/>
  <c r="D267" i="35"/>
  <c r="D271" i="35"/>
  <c r="D275" i="35"/>
  <c r="D279" i="35"/>
  <c r="D283" i="35"/>
  <c r="D287" i="35"/>
  <c r="D291" i="35"/>
  <c r="D295" i="35"/>
  <c r="D299" i="35"/>
  <c r="D303" i="35"/>
  <c r="D307" i="35"/>
  <c r="D311" i="35"/>
  <c r="D315" i="35"/>
  <c r="D319" i="35"/>
  <c r="D323" i="35"/>
  <c r="D327" i="35"/>
  <c r="D331" i="35"/>
  <c r="D335" i="35"/>
  <c r="D339" i="35"/>
  <c r="D343" i="35"/>
  <c r="D280" i="35"/>
  <c r="D268" i="35"/>
  <c r="D284" i="35"/>
  <c r="D300" i="35"/>
  <c r="D314" i="35"/>
  <c r="D322" i="35"/>
  <c r="D330" i="35"/>
  <c r="D338" i="35"/>
  <c r="D345" i="35"/>
  <c r="D349" i="35"/>
  <c r="D353" i="35"/>
  <c r="D357" i="35"/>
  <c r="D361" i="35"/>
  <c r="D365" i="35"/>
  <c r="D369" i="35"/>
  <c r="D373" i="35"/>
  <c r="D377" i="35"/>
  <c r="D381" i="35"/>
  <c r="D385" i="35"/>
  <c r="D389" i="35"/>
  <c r="D393" i="35"/>
  <c r="D397" i="35"/>
  <c r="D401" i="35"/>
  <c r="D405" i="35"/>
  <c r="D409" i="35"/>
  <c r="D413" i="35"/>
  <c r="D417" i="35"/>
  <c r="D421" i="35"/>
  <c r="D425" i="35"/>
  <c r="D429" i="35"/>
  <c r="D433" i="35"/>
  <c r="D437" i="35"/>
  <c r="D441" i="35"/>
  <c r="D445" i="35"/>
  <c r="D449" i="35"/>
  <c r="D453" i="35"/>
  <c r="D457" i="35"/>
  <c r="D461" i="35"/>
  <c r="D465" i="35"/>
  <c r="D469" i="35"/>
  <c r="D473" i="35"/>
  <c r="D477" i="35"/>
  <c r="D481" i="35"/>
  <c r="D485" i="35"/>
  <c r="D489" i="35"/>
  <c r="D493" i="35"/>
  <c r="D497" i="35"/>
  <c r="D501" i="35"/>
  <c r="D505" i="35"/>
  <c r="D509" i="35"/>
  <c r="D513" i="35"/>
  <c r="D517" i="35"/>
  <c r="D521" i="35"/>
  <c r="D525" i="35"/>
  <c r="D529" i="35"/>
  <c r="D533" i="35"/>
  <c r="D537" i="35"/>
  <c r="D541" i="35"/>
  <c r="D545" i="35"/>
  <c r="D549" i="35"/>
  <c r="D553" i="35"/>
  <c r="D557" i="35"/>
  <c r="D561" i="35"/>
  <c r="D565" i="35"/>
  <c r="D569" i="35"/>
  <c r="D573" i="35"/>
  <c r="D577" i="35"/>
  <c r="D581" i="35"/>
  <c r="D585" i="35"/>
  <c r="D589" i="35"/>
  <c r="D593" i="35"/>
  <c r="D597" i="35"/>
  <c r="D601" i="35"/>
  <c r="D605" i="35"/>
  <c r="D609" i="35"/>
  <c r="D613" i="35"/>
  <c r="D617" i="35"/>
  <c r="D621" i="35"/>
  <c r="D625" i="35"/>
  <c r="D629" i="35"/>
  <c r="D633" i="35"/>
  <c r="D637" i="35"/>
  <c r="D641" i="35"/>
  <c r="D645" i="35"/>
  <c r="D649" i="35"/>
  <c r="D653" i="35"/>
  <c r="D657" i="35"/>
  <c r="D272" i="35"/>
  <c r="D288" i="35"/>
  <c r="D304" i="35"/>
  <c r="D316" i="35"/>
  <c r="D324" i="35"/>
  <c r="D332" i="35"/>
  <c r="D340" i="35"/>
  <c r="D346" i="35"/>
  <c r="D350" i="35"/>
  <c r="D354" i="35"/>
  <c r="D358" i="35"/>
  <c r="D362" i="35"/>
  <c r="D366" i="35"/>
  <c r="D370" i="35"/>
  <c r="D374" i="35"/>
  <c r="D378" i="35"/>
  <c r="D382" i="35"/>
  <c r="D386" i="35"/>
  <c r="D390" i="35"/>
  <c r="D394" i="35"/>
  <c r="D398" i="35"/>
  <c r="D402" i="35"/>
  <c r="D406" i="35"/>
  <c r="D410" i="35"/>
  <c r="D414" i="35"/>
  <c r="D418" i="35"/>
  <c r="D422" i="35"/>
  <c r="D426" i="35"/>
  <c r="D430" i="35"/>
  <c r="D434" i="35"/>
  <c r="D438" i="35"/>
  <c r="D442" i="35"/>
  <c r="D446" i="35"/>
  <c r="D450" i="35"/>
  <c r="D454" i="35"/>
  <c r="D458" i="35"/>
  <c r="D462" i="35"/>
  <c r="D466" i="35"/>
  <c r="D470" i="35"/>
  <c r="D474" i="35"/>
  <c r="D478" i="35"/>
  <c r="D482" i="35"/>
  <c r="D486" i="35"/>
  <c r="D490" i="35"/>
  <c r="D494" i="35"/>
  <c r="D498" i="35"/>
  <c r="D502" i="35"/>
  <c r="D506" i="35"/>
  <c r="D510" i="35"/>
  <c r="D514" i="35"/>
  <c r="D518" i="35"/>
  <c r="D522" i="35"/>
  <c r="D526" i="35"/>
  <c r="D530" i="35"/>
  <c r="D534" i="35"/>
  <c r="D538" i="35"/>
  <c r="D542" i="35"/>
  <c r="D546" i="35"/>
  <c r="D550" i="35"/>
  <c r="D554" i="35"/>
  <c r="D558" i="35"/>
  <c r="D562" i="35"/>
  <c r="D566" i="35"/>
  <c r="D570" i="35"/>
  <c r="D574" i="35"/>
  <c r="D578" i="35"/>
  <c r="D582" i="35"/>
  <c r="D586" i="35"/>
  <c r="D590" i="35"/>
  <c r="D594" i="35"/>
  <c r="D598" i="35"/>
  <c r="D602" i="35"/>
  <c r="D606" i="35"/>
  <c r="D610" i="35"/>
  <c r="D614" i="35"/>
  <c r="D618" i="35"/>
  <c r="D622" i="35"/>
  <c r="D626" i="35"/>
  <c r="D630" i="35"/>
  <c r="D634" i="35"/>
  <c r="D638" i="35"/>
  <c r="D642" i="35"/>
  <c r="D646" i="35"/>
  <c r="D650" i="35"/>
  <c r="D654" i="35"/>
  <c r="D308" i="35"/>
  <c r="D326" i="35"/>
  <c r="D342" i="35"/>
  <c r="D351" i="35"/>
  <c r="D359" i="35"/>
  <c r="D367" i="35"/>
  <c r="D375" i="35"/>
  <c r="D383" i="35"/>
  <c r="D391" i="35"/>
  <c r="D399" i="35"/>
  <c r="D407" i="35"/>
  <c r="D415" i="35"/>
  <c r="D423" i="35"/>
  <c r="D431" i="35"/>
  <c r="D439" i="35"/>
  <c r="D447" i="35"/>
  <c r="D455" i="35"/>
  <c r="D463" i="35"/>
  <c r="D471" i="35"/>
  <c r="D479" i="35"/>
  <c r="D487" i="35"/>
  <c r="D495" i="35"/>
  <c r="D503" i="35"/>
  <c r="D511" i="35"/>
  <c r="D519" i="35"/>
  <c r="D527" i="35"/>
  <c r="D535" i="35"/>
  <c r="D543" i="35"/>
  <c r="D551" i="35"/>
  <c r="D559" i="35"/>
  <c r="D567" i="35"/>
  <c r="D575" i="35"/>
  <c r="D583" i="35"/>
  <c r="D591" i="35"/>
  <c r="D599" i="35"/>
  <c r="D607" i="35"/>
  <c r="D615" i="35"/>
  <c r="D623" i="35"/>
  <c r="D631" i="35"/>
  <c r="D639" i="35"/>
  <c r="D647" i="35"/>
  <c r="D655" i="35"/>
  <c r="D660" i="35"/>
  <c r="D664" i="35"/>
  <c r="D668" i="35"/>
  <c r="D672" i="35"/>
  <c r="D676" i="35"/>
  <c r="D680" i="35"/>
  <c r="D684" i="35"/>
  <c r="D688" i="35"/>
  <c r="D692" i="35"/>
  <c r="D696" i="35"/>
  <c r="D700" i="35"/>
  <c r="D704" i="35"/>
  <c r="D708" i="35"/>
  <c r="D712" i="35"/>
  <c r="D716" i="35"/>
  <c r="D720" i="35"/>
  <c r="D724" i="35"/>
  <c r="D728" i="35"/>
  <c r="D732" i="35"/>
  <c r="D736" i="35"/>
  <c r="D740" i="35"/>
  <c r="D744" i="35"/>
  <c r="D748" i="35"/>
  <c r="D752" i="35"/>
  <c r="D756" i="35"/>
  <c r="D760" i="35"/>
  <c r="D764" i="35"/>
  <c r="D768" i="35"/>
  <c r="D772" i="35"/>
  <c r="D776" i="35"/>
  <c r="D780" i="35"/>
  <c r="D784" i="35"/>
  <c r="D788" i="35"/>
  <c r="D792" i="35"/>
  <c r="D796" i="35"/>
  <c r="D800" i="35"/>
  <c r="D804" i="35"/>
  <c r="D808" i="35"/>
  <c r="D812" i="35"/>
  <c r="D816" i="35"/>
  <c r="D820" i="35"/>
  <c r="D824" i="35"/>
  <c r="D828" i="35"/>
  <c r="D276" i="35"/>
  <c r="D312" i="35"/>
  <c r="D328" i="35"/>
  <c r="D344" i="35"/>
  <c r="D352" i="35"/>
  <c r="D360" i="35"/>
  <c r="D368" i="35"/>
  <c r="D376" i="35"/>
  <c r="D384" i="35"/>
  <c r="D392" i="35"/>
  <c r="D400" i="35"/>
  <c r="D408" i="35"/>
  <c r="D416" i="35"/>
  <c r="D424" i="35"/>
  <c r="D432" i="35"/>
  <c r="D440" i="35"/>
  <c r="D448" i="35"/>
  <c r="D456" i="35"/>
  <c r="D464" i="35"/>
  <c r="D472" i="35"/>
  <c r="D480" i="35"/>
  <c r="D488" i="35"/>
  <c r="D496" i="35"/>
  <c r="D504" i="35"/>
  <c r="D512" i="35"/>
  <c r="D520" i="35"/>
  <c r="D528" i="35"/>
  <c r="D536" i="35"/>
  <c r="D544" i="35"/>
  <c r="D552" i="35"/>
  <c r="D560" i="35"/>
  <c r="D568" i="35"/>
  <c r="D576" i="35"/>
  <c r="D584" i="35"/>
  <c r="D592" i="35"/>
  <c r="D600" i="35"/>
  <c r="D608" i="35"/>
  <c r="D616" i="35"/>
  <c r="D624" i="35"/>
  <c r="D632" i="35"/>
  <c r="D640" i="35"/>
  <c r="D648" i="35"/>
  <c r="D656" i="35"/>
  <c r="D661" i="35"/>
  <c r="D665" i="35"/>
  <c r="D669" i="35"/>
  <c r="D673" i="35"/>
  <c r="D677" i="35"/>
  <c r="D681" i="35"/>
  <c r="D685" i="35"/>
  <c r="D689" i="35"/>
  <c r="D693" i="35"/>
  <c r="D697" i="35"/>
  <c r="D701" i="35"/>
  <c r="D705" i="35"/>
  <c r="D709" i="35"/>
  <c r="D713" i="35"/>
  <c r="D717" i="35"/>
  <c r="D721" i="35"/>
  <c r="D725" i="35"/>
  <c r="D729" i="35"/>
  <c r="D733" i="35"/>
  <c r="D737" i="35"/>
  <c r="D741" i="35"/>
  <c r="D745" i="35"/>
  <c r="D749" i="35"/>
  <c r="D753" i="35"/>
  <c r="D757" i="35"/>
  <c r="D761" i="35"/>
  <c r="D765" i="35"/>
  <c r="D769" i="35"/>
  <c r="D773" i="35"/>
  <c r="D777" i="35"/>
  <c r="D781" i="35"/>
  <c r="D785" i="35"/>
  <c r="D789" i="35"/>
  <c r="D793" i="35"/>
  <c r="D797" i="35"/>
  <c r="D801" i="35"/>
  <c r="D805" i="35"/>
  <c r="D809" i="35"/>
  <c r="D813" i="35"/>
  <c r="D817" i="35"/>
  <c r="D821" i="35"/>
  <c r="D825" i="35"/>
  <c r="D829" i="35"/>
  <c r="D292" i="35"/>
  <c r="D318" i="35"/>
  <c r="D334" i="35"/>
  <c r="D347" i="35"/>
  <c r="D355" i="35"/>
  <c r="D363" i="35"/>
  <c r="D371" i="35"/>
  <c r="D379" i="35"/>
  <c r="D387" i="35"/>
  <c r="D395" i="35"/>
  <c r="D403" i="35"/>
  <c r="D411" i="35"/>
  <c r="D419" i="35"/>
  <c r="D427" i="35"/>
  <c r="D435" i="35"/>
  <c r="D443" i="35"/>
  <c r="D451" i="35"/>
  <c r="D459" i="35"/>
  <c r="D467" i="35"/>
  <c r="D475" i="35"/>
  <c r="D483" i="35"/>
  <c r="D491" i="35"/>
  <c r="D499" i="35"/>
  <c r="D507" i="35"/>
  <c r="D515" i="35"/>
  <c r="D523" i="35"/>
  <c r="D531" i="35"/>
  <c r="D539" i="35"/>
  <c r="D547" i="35"/>
  <c r="D555" i="35"/>
  <c r="D563" i="35"/>
  <c r="D571" i="35"/>
  <c r="D579" i="35"/>
  <c r="D587" i="35"/>
  <c r="D595" i="35"/>
  <c r="D603" i="35"/>
  <c r="D611" i="35"/>
  <c r="D619" i="35"/>
  <c r="D627" i="35"/>
  <c r="D635" i="35"/>
  <c r="D643" i="35"/>
  <c r="D651" i="35"/>
  <c r="D658" i="35"/>
  <c r="D662" i="35"/>
  <c r="D666" i="35"/>
  <c r="D670" i="35"/>
  <c r="D674" i="35"/>
  <c r="D678" i="35"/>
  <c r="D682" i="35"/>
  <c r="D686" i="35"/>
  <c r="D690" i="35"/>
  <c r="D694" i="35"/>
  <c r="D698" i="35"/>
  <c r="D702" i="35"/>
  <c r="D706" i="35"/>
  <c r="D710" i="35"/>
  <c r="D714" i="35"/>
  <c r="D718" i="35"/>
  <c r="D722" i="35"/>
  <c r="D726" i="35"/>
  <c r="D730" i="35"/>
  <c r="D734" i="35"/>
  <c r="D738" i="35"/>
  <c r="D742" i="35"/>
  <c r="D746" i="35"/>
  <c r="D750" i="35"/>
  <c r="D754" i="35"/>
  <c r="D758" i="35"/>
  <c r="D762" i="35"/>
  <c r="D766" i="35"/>
  <c r="D770" i="35"/>
  <c r="D774" i="35"/>
  <c r="D778" i="35"/>
  <c r="D782" i="35"/>
  <c r="D786" i="35"/>
  <c r="D790" i="35"/>
  <c r="D794" i="35"/>
  <c r="D348" i="35"/>
  <c r="D380" i="35"/>
  <c r="D412" i="35"/>
  <c r="D444" i="35"/>
  <c r="D476" i="35"/>
  <c r="D508" i="35"/>
  <c r="D540" i="35"/>
  <c r="D572" i="35"/>
  <c r="D604" i="35"/>
  <c r="D636" i="35"/>
  <c r="D663" i="35"/>
  <c r="D679" i="35"/>
  <c r="D695" i="35"/>
  <c r="D711" i="35"/>
  <c r="D727" i="35"/>
  <c r="D743" i="35"/>
  <c r="D759" i="35"/>
  <c r="D775" i="35"/>
  <c r="D791" i="35"/>
  <c r="D802" i="35"/>
  <c r="D810" i="35"/>
  <c r="D818" i="35"/>
  <c r="D826" i="35"/>
  <c r="D832" i="35"/>
  <c r="D836" i="35"/>
  <c r="D840" i="35"/>
  <c r="D844" i="35"/>
  <c r="D848" i="35"/>
  <c r="D852" i="35"/>
  <c r="D856" i="35"/>
  <c r="D860" i="35"/>
  <c r="D864" i="35"/>
  <c r="D868" i="35"/>
  <c r="D872" i="35"/>
  <c r="D876" i="35"/>
  <c r="D880" i="35"/>
  <c r="D884" i="35"/>
  <c r="D888" i="35"/>
  <c r="D892" i="35"/>
  <c r="D896" i="35"/>
  <c r="D900" i="35"/>
  <c r="D904" i="35"/>
  <c r="D908" i="35"/>
  <c r="D912" i="35"/>
  <c r="D916" i="35"/>
  <c r="D920" i="35"/>
  <c r="D924" i="35"/>
  <c r="D928" i="35"/>
  <c r="D932" i="35"/>
  <c r="D936" i="35"/>
  <c r="D940" i="35"/>
  <c r="D944" i="35"/>
  <c r="D948" i="35"/>
  <c r="D952" i="35"/>
  <c r="D956" i="35"/>
  <c r="D960" i="35"/>
  <c r="D964" i="35"/>
  <c r="D968" i="35"/>
  <c r="D972" i="35"/>
  <c r="D976" i="35"/>
  <c r="D980" i="35"/>
  <c r="D984" i="35"/>
  <c r="D988" i="35"/>
  <c r="D992" i="35"/>
  <c r="D996" i="35"/>
  <c r="D1000" i="35"/>
  <c r="D1004" i="35"/>
  <c r="D1008" i="35"/>
  <c r="D1012" i="35"/>
  <c r="D1016" i="35"/>
  <c r="D1020" i="35"/>
  <c r="D1024" i="35"/>
  <c r="D1028" i="35"/>
  <c r="D1032" i="35"/>
  <c r="D1036" i="35"/>
  <c r="D1040" i="35"/>
  <c r="D1044" i="35"/>
  <c r="D1048" i="35"/>
  <c r="D1052" i="35"/>
  <c r="D1056" i="35"/>
  <c r="D1060" i="35"/>
  <c r="D1064" i="35"/>
  <c r="D1068" i="35"/>
  <c r="D1072" i="35"/>
  <c r="D1076" i="35"/>
  <c r="D1080" i="35"/>
  <c r="D1084" i="35"/>
  <c r="D1088" i="35"/>
  <c r="D1092" i="35"/>
  <c r="D1096" i="35"/>
  <c r="D1100" i="35"/>
  <c r="D1104" i="35"/>
  <c r="D1108" i="35"/>
  <c r="D1112" i="35"/>
  <c r="D1116" i="35"/>
  <c r="D1120" i="35"/>
  <c r="D1124" i="35"/>
  <c r="D1128" i="35"/>
  <c r="D1132" i="35"/>
  <c r="D1136" i="35"/>
  <c r="D4" i="35"/>
  <c r="C19" i="35"/>
  <c r="C23" i="35"/>
  <c r="C27" i="35"/>
  <c r="C31" i="35"/>
  <c r="C35" i="35"/>
  <c r="C39" i="35"/>
  <c r="C43" i="35"/>
  <c r="C47" i="35"/>
  <c r="C51" i="35"/>
  <c r="C55" i="35"/>
  <c r="C59" i="35"/>
  <c r="C63" i="35"/>
  <c r="C67" i="35"/>
  <c r="C71" i="35"/>
  <c r="C75" i="35"/>
  <c r="C79" i="35"/>
  <c r="C83" i="35"/>
  <c r="C87" i="35"/>
  <c r="C91" i="35"/>
  <c r="C95" i="35"/>
  <c r="C99" i="35"/>
  <c r="C103" i="35"/>
  <c r="C107" i="35"/>
  <c r="C111" i="35"/>
  <c r="C115" i="35"/>
  <c r="C119" i="35"/>
  <c r="C123" i="35"/>
  <c r="C127" i="35"/>
  <c r="C131" i="35"/>
  <c r="C135" i="35"/>
  <c r="C139" i="35"/>
  <c r="C143" i="35"/>
  <c r="C147" i="35"/>
  <c r="C151" i="35"/>
  <c r="C155" i="35"/>
  <c r="C159" i="35"/>
  <c r="C163" i="35"/>
  <c r="C167" i="35"/>
  <c r="C171" i="35"/>
  <c r="C175" i="35"/>
  <c r="C179" i="35"/>
  <c r="C183" i="35"/>
  <c r="C187" i="35"/>
  <c r="C191" i="35"/>
  <c r="C195" i="35"/>
  <c r="C199" i="35"/>
  <c r="C203" i="35"/>
  <c r="C207" i="35"/>
  <c r="C211" i="35"/>
  <c r="C215" i="35"/>
  <c r="C219" i="35"/>
  <c r="C223" i="35"/>
  <c r="C227" i="35"/>
  <c r="C231" i="35"/>
  <c r="C235" i="35"/>
  <c r="C239" i="35"/>
  <c r="C243" i="35"/>
  <c r="C247" i="35"/>
  <c r="C251" i="35"/>
  <c r="C255" i="35"/>
  <c r="C259" i="35"/>
  <c r="C263" i="35"/>
  <c r="C267" i="35"/>
  <c r="C271" i="35"/>
  <c r="C275" i="35"/>
  <c r="C279" i="35"/>
  <c r="C283" i="35"/>
  <c r="C287" i="35"/>
  <c r="C291" i="35"/>
  <c r="D296" i="35"/>
  <c r="D356" i="35"/>
  <c r="D388" i="35"/>
  <c r="D420" i="35"/>
  <c r="D452" i="35"/>
  <c r="D484" i="35"/>
  <c r="D516" i="35"/>
  <c r="D548" i="35"/>
  <c r="D580" i="35"/>
  <c r="D612" i="35"/>
  <c r="D644" i="35"/>
  <c r="D667" i="35"/>
  <c r="D683" i="35"/>
  <c r="D699" i="35"/>
  <c r="D715" i="35"/>
  <c r="D731" i="35"/>
  <c r="D747" i="35"/>
  <c r="D763" i="35"/>
  <c r="D779" i="35"/>
  <c r="D795" i="35"/>
  <c r="D803" i="35"/>
  <c r="D811" i="35"/>
  <c r="D819" i="35"/>
  <c r="D827" i="35"/>
  <c r="D833" i="35"/>
  <c r="D837" i="35"/>
  <c r="D841" i="35"/>
  <c r="D845" i="35"/>
  <c r="D849" i="35"/>
  <c r="D853" i="35"/>
  <c r="D857" i="35"/>
  <c r="D861" i="35"/>
  <c r="D865" i="35"/>
  <c r="D869" i="35"/>
  <c r="D873" i="35"/>
  <c r="D877" i="35"/>
  <c r="D881" i="35"/>
  <c r="D885" i="35"/>
  <c r="D889" i="35"/>
  <c r="D893" i="35"/>
  <c r="D897" i="35"/>
  <c r="D901" i="35"/>
  <c r="D905" i="35"/>
  <c r="D909" i="35"/>
  <c r="D913" i="35"/>
  <c r="D917" i="35"/>
  <c r="D921" i="35"/>
  <c r="D925" i="35"/>
  <c r="D929" i="35"/>
  <c r="D933" i="35"/>
  <c r="D937" i="35"/>
  <c r="D941" i="35"/>
  <c r="D945" i="35"/>
  <c r="D949" i="35"/>
  <c r="D953" i="35"/>
  <c r="D957" i="35"/>
  <c r="D961" i="35"/>
  <c r="D965" i="35"/>
  <c r="D969" i="35"/>
  <c r="D973" i="35"/>
  <c r="D977" i="35"/>
  <c r="D981" i="35"/>
  <c r="D985" i="35"/>
  <c r="D989" i="35"/>
  <c r="D993" i="35"/>
  <c r="D997" i="35"/>
  <c r="D1001" i="35"/>
  <c r="D1005" i="35"/>
  <c r="D1009" i="35"/>
  <c r="D1013" i="35"/>
  <c r="D1017" i="35"/>
  <c r="D1021" i="35"/>
  <c r="D1025" i="35"/>
  <c r="D1029" i="35"/>
  <c r="D1033" i="35"/>
  <c r="D1037" i="35"/>
  <c r="D1041" i="35"/>
  <c r="D1045" i="35"/>
  <c r="D1049" i="35"/>
  <c r="D1053" i="35"/>
  <c r="D1057" i="35"/>
  <c r="D1061" i="35"/>
  <c r="D1065" i="35"/>
  <c r="D1069" i="35"/>
  <c r="D1073" i="35"/>
  <c r="D1077" i="35"/>
  <c r="D1081" i="35"/>
  <c r="D1085" i="35"/>
  <c r="D1089" i="35"/>
  <c r="D1093" i="35"/>
  <c r="D1097" i="35"/>
  <c r="D1101" i="35"/>
  <c r="D1105" i="35"/>
  <c r="D1109" i="35"/>
  <c r="D1113" i="35"/>
  <c r="D1117" i="35"/>
  <c r="D1121" i="35"/>
  <c r="D1125" i="35"/>
  <c r="D1129" i="35"/>
  <c r="D1133" i="35"/>
  <c r="D1137" i="35"/>
  <c r="C16" i="35"/>
  <c r="C20" i="35"/>
  <c r="C24" i="35"/>
  <c r="C28" i="35"/>
  <c r="C32" i="35"/>
  <c r="C36" i="35"/>
  <c r="C40" i="35"/>
  <c r="C44" i="35"/>
  <c r="C48" i="35"/>
  <c r="C52" i="35"/>
  <c r="C56" i="35"/>
  <c r="C60" i="35"/>
  <c r="C64" i="35"/>
  <c r="C68" i="35"/>
  <c r="C72" i="35"/>
  <c r="C76" i="35"/>
  <c r="C80" i="35"/>
  <c r="C84" i="35"/>
  <c r="C88" i="35"/>
  <c r="C92" i="35"/>
  <c r="C96" i="35"/>
  <c r="C100" i="35"/>
  <c r="C104" i="35"/>
  <c r="C108" i="35"/>
  <c r="C112" i="35"/>
  <c r="C116" i="35"/>
  <c r="C120" i="35"/>
  <c r="C124" i="35"/>
  <c r="C128" i="35"/>
  <c r="C132" i="35"/>
  <c r="C136" i="35"/>
  <c r="C140" i="35"/>
  <c r="C144" i="35"/>
  <c r="C148" i="35"/>
  <c r="C152" i="35"/>
  <c r="C156" i="35"/>
  <c r="C160" i="35"/>
  <c r="C164" i="35"/>
  <c r="C168" i="35"/>
  <c r="C172" i="35"/>
  <c r="C176" i="35"/>
  <c r="C180" i="35"/>
  <c r="C184" i="35"/>
  <c r="C188" i="35"/>
  <c r="C192" i="35"/>
  <c r="C196" i="35"/>
  <c r="C200" i="35"/>
  <c r="C204" i="35"/>
  <c r="C208" i="35"/>
  <c r="C212" i="35"/>
  <c r="C216" i="35"/>
  <c r="C220" i="35"/>
  <c r="C224" i="35"/>
  <c r="C228" i="35"/>
  <c r="C232" i="35"/>
  <c r="C236" i="35"/>
  <c r="C240" i="35"/>
  <c r="C244" i="35"/>
  <c r="C248" i="35"/>
  <c r="C252" i="35"/>
  <c r="C256" i="35"/>
  <c r="C260" i="35"/>
  <c r="C264" i="35"/>
  <c r="C268" i="35"/>
  <c r="C272" i="35"/>
  <c r="C276" i="35"/>
  <c r="C280" i="35"/>
  <c r="C284" i="35"/>
  <c r="C288" i="35"/>
  <c r="D320" i="35"/>
  <c r="D364" i="35"/>
  <c r="D396" i="35"/>
  <c r="D428" i="35"/>
  <c r="D460" i="35"/>
  <c r="D492" i="35"/>
  <c r="D524" i="35"/>
  <c r="D556" i="35"/>
  <c r="D588" i="35"/>
  <c r="D620" i="35"/>
  <c r="D652" i="35"/>
  <c r="D671" i="35"/>
  <c r="D687" i="35"/>
  <c r="D703" i="35"/>
  <c r="D719" i="35"/>
  <c r="D735" i="35"/>
  <c r="D751" i="35"/>
  <c r="D767" i="35"/>
  <c r="D783" i="35"/>
  <c r="D798" i="35"/>
  <c r="D806" i="35"/>
  <c r="D814" i="35"/>
  <c r="D822" i="35"/>
  <c r="D830" i="35"/>
  <c r="D834" i="35"/>
  <c r="D838" i="35"/>
  <c r="D842" i="35"/>
  <c r="D846" i="35"/>
  <c r="D850" i="35"/>
  <c r="D854" i="35"/>
  <c r="D858" i="35"/>
  <c r="D862" i="35"/>
  <c r="D866" i="35"/>
  <c r="D870" i="35"/>
  <c r="D874" i="35"/>
  <c r="D878" i="35"/>
  <c r="D882" i="35"/>
  <c r="D886" i="35"/>
  <c r="D890" i="35"/>
  <c r="D894" i="35"/>
  <c r="D898" i="35"/>
  <c r="D902" i="35"/>
  <c r="D906" i="35"/>
  <c r="D910" i="35"/>
  <c r="D914" i="35"/>
  <c r="D918" i="35"/>
  <c r="D922" i="35"/>
  <c r="D926" i="35"/>
  <c r="D930" i="35"/>
  <c r="D934" i="35"/>
  <c r="D938" i="35"/>
  <c r="D942" i="35"/>
  <c r="D946" i="35"/>
  <c r="D950" i="35"/>
  <c r="D954" i="35"/>
  <c r="D958" i="35"/>
  <c r="D962" i="35"/>
  <c r="D966" i="35"/>
  <c r="D970" i="35"/>
  <c r="D974" i="35"/>
  <c r="D978" i="35"/>
  <c r="D982" i="35"/>
  <c r="D986" i="35"/>
  <c r="D990" i="35"/>
  <c r="D994" i="35"/>
  <c r="D998" i="35"/>
  <c r="D1002" i="35"/>
  <c r="D1006" i="35"/>
  <c r="D1010" i="35"/>
  <c r="D1014" i="35"/>
  <c r="D1018" i="35"/>
  <c r="D1022" i="35"/>
  <c r="D1026" i="35"/>
  <c r="D1030" i="35"/>
  <c r="D1034" i="35"/>
  <c r="D1038" i="35"/>
  <c r="D1042" i="35"/>
  <c r="D1046" i="35"/>
  <c r="D1050" i="35"/>
  <c r="D1054" i="35"/>
  <c r="D1058" i="35"/>
  <c r="D1062" i="35"/>
  <c r="D1066" i="35"/>
  <c r="D1070" i="35"/>
  <c r="D1074" i="35"/>
  <c r="D1078" i="35"/>
  <c r="D1082" i="35"/>
  <c r="D1086" i="35"/>
  <c r="D1090" i="35"/>
  <c r="D1094" i="35"/>
  <c r="D1098" i="35"/>
  <c r="D1102" i="35"/>
  <c r="D1106" i="35"/>
  <c r="D1110" i="35"/>
  <c r="D1114" i="35"/>
  <c r="D1118" i="35"/>
  <c r="D1122" i="35"/>
  <c r="D1126" i="35"/>
  <c r="D1130" i="35"/>
  <c r="D1134" i="35"/>
  <c r="D1138" i="35"/>
  <c r="C17" i="35"/>
  <c r="C21" i="35"/>
  <c r="C25" i="35"/>
  <c r="C29" i="35"/>
  <c r="C33" i="35"/>
  <c r="C37" i="35"/>
  <c r="C41" i="35"/>
  <c r="C45" i="35"/>
  <c r="C49" i="35"/>
  <c r="C53" i="35"/>
  <c r="C57" i="35"/>
  <c r="C61" i="35"/>
  <c r="C65" i="35"/>
  <c r="C69" i="35"/>
  <c r="C73" i="35"/>
  <c r="C77" i="35"/>
  <c r="C81" i="35"/>
  <c r="C85" i="35"/>
  <c r="C89" i="35"/>
  <c r="C93" i="35"/>
  <c r="C97" i="35"/>
  <c r="C101" i="35"/>
  <c r="C105" i="35"/>
  <c r="C109" i="35"/>
  <c r="C113" i="35"/>
  <c r="C117" i="35"/>
  <c r="C121" i="35"/>
  <c r="C125" i="35"/>
  <c r="C129" i="35"/>
  <c r="C133" i="35"/>
  <c r="C137" i="35"/>
  <c r="C141" i="35"/>
  <c r="C145" i="35"/>
  <c r="C149" i="35"/>
  <c r="C153" i="35"/>
  <c r="C157" i="35"/>
  <c r="C161" i="35"/>
  <c r="C165" i="35"/>
  <c r="C169" i="35"/>
  <c r="C173" i="35"/>
  <c r="C177" i="35"/>
  <c r="C181" i="35"/>
  <c r="C185" i="35"/>
  <c r="C189" i="35"/>
  <c r="C193" i="35"/>
  <c r="C197" i="35"/>
  <c r="C201" i="35"/>
  <c r="C205" i="35"/>
  <c r="C209" i="35"/>
  <c r="C213" i="35"/>
  <c r="C217" i="35"/>
  <c r="C221" i="35"/>
  <c r="C225" i="35"/>
  <c r="C229" i="35"/>
  <c r="C233" i="35"/>
  <c r="C237" i="35"/>
  <c r="C241" i="35"/>
  <c r="C245" i="35"/>
  <c r="C249" i="35"/>
  <c r="C253" i="35"/>
  <c r="C257" i="35"/>
  <c r="C261" i="35"/>
  <c r="C265" i="35"/>
  <c r="C269" i="35"/>
  <c r="C273" i="35"/>
  <c r="C277" i="35"/>
  <c r="C281" i="35"/>
  <c r="C285" i="35"/>
  <c r="C289" i="35"/>
  <c r="D436" i="35"/>
  <c r="D564" i="35"/>
  <c r="D675" i="35"/>
  <c r="D739" i="35"/>
  <c r="D799" i="35"/>
  <c r="D831" i="35"/>
  <c r="D847" i="35"/>
  <c r="D863" i="35"/>
  <c r="D879" i="35"/>
  <c r="D895" i="35"/>
  <c r="D911" i="35"/>
  <c r="D927" i="35"/>
  <c r="D943" i="35"/>
  <c r="D959" i="35"/>
  <c r="D975" i="35"/>
  <c r="D991" i="35"/>
  <c r="D1007" i="35"/>
  <c r="D1023" i="35"/>
  <c r="D1039" i="35"/>
  <c r="D1055" i="35"/>
  <c r="D1071" i="35"/>
  <c r="D1087" i="35"/>
  <c r="D1103" i="35"/>
  <c r="D1119" i="35"/>
  <c r="D1135" i="35"/>
  <c r="C26" i="35"/>
  <c r="C42" i="35"/>
  <c r="C58" i="35"/>
  <c r="C74" i="35"/>
  <c r="C90" i="35"/>
  <c r="C106" i="35"/>
  <c r="C122" i="35"/>
  <c r="C138" i="35"/>
  <c r="C154" i="35"/>
  <c r="C170" i="35"/>
  <c r="C186" i="35"/>
  <c r="C202" i="35"/>
  <c r="C218" i="35"/>
  <c r="C234" i="35"/>
  <c r="C250" i="35"/>
  <c r="C266" i="35"/>
  <c r="C282" i="35"/>
  <c r="C293" i="35"/>
  <c r="C297" i="35"/>
  <c r="C301" i="35"/>
  <c r="C305" i="35"/>
  <c r="C309" i="35"/>
  <c r="C313" i="35"/>
  <c r="C317" i="35"/>
  <c r="C321" i="35"/>
  <c r="C325" i="35"/>
  <c r="C329" i="35"/>
  <c r="C333" i="35"/>
  <c r="C337" i="35"/>
  <c r="C341" i="35"/>
  <c r="C345" i="35"/>
  <c r="C349" i="35"/>
  <c r="C353" i="35"/>
  <c r="C357" i="35"/>
  <c r="C361" i="35"/>
  <c r="C365" i="35"/>
  <c r="C369" i="35"/>
  <c r="C373" i="35"/>
  <c r="C377" i="35"/>
  <c r="C381" i="35"/>
  <c r="C385" i="35"/>
  <c r="C389" i="35"/>
  <c r="C393" i="35"/>
  <c r="C397" i="35"/>
  <c r="C401" i="35"/>
  <c r="C405" i="35"/>
  <c r="C409" i="35"/>
  <c r="C413" i="35"/>
  <c r="C417" i="35"/>
  <c r="C421" i="35"/>
  <c r="C425" i="35"/>
  <c r="C429" i="35"/>
  <c r="C433" i="35"/>
  <c r="C437" i="35"/>
  <c r="C441" i="35"/>
  <c r="C445" i="35"/>
  <c r="C449" i="35"/>
  <c r="C453" i="35"/>
  <c r="C457" i="35"/>
  <c r="C461" i="35"/>
  <c r="C465" i="35"/>
  <c r="C469" i="35"/>
  <c r="C473" i="35"/>
  <c r="C477" i="35"/>
  <c r="C481" i="35"/>
  <c r="C485" i="35"/>
  <c r="C489" i="35"/>
  <c r="C493" i="35"/>
  <c r="C497" i="35"/>
  <c r="C501" i="35"/>
  <c r="C505" i="35"/>
  <c r="C509" i="35"/>
  <c r="C513" i="35"/>
  <c r="C517" i="35"/>
  <c r="C521" i="35"/>
  <c r="C525" i="35"/>
  <c r="C529" i="35"/>
  <c r="C533" i="35"/>
  <c r="C537" i="35"/>
  <c r="C541" i="35"/>
  <c r="C545" i="35"/>
  <c r="C549" i="35"/>
  <c r="C553" i="35"/>
  <c r="C557" i="35"/>
  <c r="C561" i="35"/>
  <c r="C565" i="35"/>
  <c r="C569" i="35"/>
  <c r="C573" i="35"/>
  <c r="C577" i="35"/>
  <c r="C581" i="35"/>
  <c r="C585" i="35"/>
  <c r="C589" i="35"/>
  <c r="C593" i="35"/>
  <c r="C597" i="35"/>
  <c r="C601" i="35"/>
  <c r="C605" i="35"/>
  <c r="C609" i="35"/>
  <c r="C613" i="35"/>
  <c r="C617" i="35"/>
  <c r="C621" i="35"/>
  <c r="C625" i="35"/>
  <c r="C629" i="35"/>
  <c r="C633" i="35"/>
  <c r="C637" i="35"/>
  <c r="C641" i="35"/>
  <c r="C645" i="35"/>
  <c r="C649" i="35"/>
  <c r="C653" i="35"/>
  <c r="C657" i="35"/>
  <c r="C661" i="35"/>
  <c r="C665" i="35"/>
  <c r="C669" i="35"/>
  <c r="C673" i="35"/>
  <c r="C677" i="35"/>
  <c r="C681" i="35"/>
  <c r="C685" i="35"/>
  <c r="C689" i="35"/>
  <c r="C693" i="35"/>
  <c r="C697" i="35"/>
  <c r="C701" i="35"/>
  <c r="C705" i="35"/>
  <c r="C709" i="35"/>
  <c r="C713" i="35"/>
  <c r="C717" i="35"/>
  <c r="C721" i="35"/>
  <c r="C725" i="35"/>
  <c r="C729" i="35"/>
  <c r="C733" i="35"/>
  <c r="C737" i="35"/>
  <c r="C741" i="35"/>
  <c r="C745" i="35"/>
  <c r="C749" i="35"/>
  <c r="C753" i="35"/>
  <c r="C757" i="35"/>
  <c r="C761" i="35"/>
  <c r="C765" i="35"/>
  <c r="C769" i="35"/>
  <c r="C773" i="35"/>
  <c r="C777" i="35"/>
  <c r="C781" i="35"/>
  <c r="C785" i="35"/>
  <c r="C789" i="35"/>
  <c r="C793" i="35"/>
  <c r="C797" i="35"/>
  <c r="C801" i="35"/>
  <c r="C805" i="35"/>
  <c r="C809" i="35"/>
  <c r="C813" i="35"/>
  <c r="C817" i="35"/>
  <c r="C821" i="35"/>
  <c r="C825" i="35"/>
  <c r="C829" i="35"/>
  <c r="C833" i="35"/>
  <c r="C837" i="35"/>
  <c r="C841" i="35"/>
  <c r="C845" i="35"/>
  <c r="C849" i="35"/>
  <c r="C853" i="35"/>
  <c r="C857" i="35"/>
  <c r="C861" i="35"/>
  <c r="C865" i="35"/>
  <c r="C869" i="35"/>
  <c r="C873" i="35"/>
  <c r="C877" i="35"/>
  <c r="C881" i="35"/>
  <c r="C885" i="35"/>
  <c r="C889" i="35"/>
  <c r="C893" i="35"/>
  <c r="C897" i="35"/>
  <c r="C901" i="35"/>
  <c r="C905" i="35"/>
  <c r="C909" i="35"/>
  <c r="C913" i="35"/>
  <c r="C917" i="35"/>
  <c r="C921" i="35"/>
  <c r="C925" i="35"/>
  <c r="C929" i="35"/>
  <c r="C933" i="35"/>
  <c r="C937" i="35"/>
  <c r="C941" i="35"/>
  <c r="C945" i="35"/>
  <c r="C949" i="35"/>
  <c r="C953" i="35"/>
  <c r="C957" i="35"/>
  <c r="C961" i="35"/>
  <c r="C965" i="35"/>
  <c r="C969" i="35"/>
  <c r="C973" i="35"/>
  <c r="C977" i="35"/>
  <c r="C981" i="35"/>
  <c r="C985" i="35"/>
  <c r="C989" i="35"/>
  <c r="C993" i="35"/>
  <c r="C997" i="35"/>
  <c r="C1001" i="35"/>
  <c r="C1005" i="35"/>
  <c r="C1009" i="35"/>
  <c r="C1013" i="35"/>
  <c r="C1017" i="35"/>
  <c r="C1021" i="35"/>
  <c r="C1025" i="35"/>
  <c r="C1029" i="35"/>
  <c r="C1033" i="35"/>
  <c r="C1037" i="35"/>
  <c r="C1041" i="35"/>
  <c r="C1045" i="35"/>
  <c r="C1049" i="35"/>
  <c r="C1053" i="35"/>
  <c r="C1057" i="35"/>
  <c r="C1061" i="35"/>
  <c r="C1065" i="35"/>
  <c r="C1069" i="35"/>
  <c r="C1073" i="35"/>
  <c r="C1077" i="35"/>
  <c r="C1081" i="35"/>
  <c r="C1085" i="35"/>
  <c r="C1089" i="35"/>
  <c r="C1093" i="35"/>
  <c r="C1097" i="35"/>
  <c r="C1101" i="35"/>
  <c r="C1105" i="35"/>
  <c r="C1109" i="35"/>
  <c r="C1113" i="35"/>
  <c r="C1117" i="35"/>
  <c r="C1121" i="35"/>
  <c r="C1125" i="35"/>
  <c r="C1129" i="35"/>
  <c r="C1133" i="35"/>
  <c r="C1137" i="35"/>
  <c r="C6" i="35"/>
  <c r="C10" i="35"/>
  <c r="C14" i="35"/>
  <c r="C1090" i="35"/>
  <c r="C1106" i="35"/>
  <c r="C1110" i="35"/>
  <c r="C1118" i="35"/>
  <c r="C1126" i="35"/>
  <c r="C1134" i="35"/>
  <c r="C7" i="35"/>
  <c r="C15" i="35"/>
  <c r="D532" i="35"/>
  <c r="D955" i="35"/>
  <c r="D1003" i="35"/>
  <c r="D1051" i="35"/>
  <c r="D1099" i="35"/>
  <c r="C22" i="35"/>
  <c r="C70" i="35"/>
  <c r="C118" i="35"/>
  <c r="C166" i="35"/>
  <c r="C214" i="35"/>
  <c r="C262" i="35"/>
  <c r="C296" i="35"/>
  <c r="C304" i="35"/>
  <c r="C312" i="35"/>
  <c r="C332" i="35"/>
  <c r="C340" i="35"/>
  <c r="C352" i="35"/>
  <c r="C364" i="35"/>
  <c r="C376" i="35"/>
  <c r="C388" i="35"/>
  <c r="C400" i="35"/>
  <c r="C412" i="35"/>
  <c r="C424" i="35"/>
  <c r="C436" i="35"/>
  <c r="C448" i="35"/>
  <c r="C460" i="35"/>
  <c r="C472" i="35"/>
  <c r="C484" i="35"/>
  <c r="C496" i="35"/>
  <c r="C508" i="35"/>
  <c r="C520" i="35"/>
  <c r="C528" i="35"/>
  <c r="C540" i="35"/>
  <c r="C548" i="35"/>
  <c r="C560" i="35"/>
  <c r="C572" i="35"/>
  <c r="C584" i="35"/>
  <c r="C596" i="35"/>
  <c r="C608" i="35"/>
  <c r="C620" i="35"/>
  <c r="C632" i="35"/>
  <c r="C644" i="35"/>
  <c r="C656" i="35"/>
  <c r="C668" i="35"/>
  <c r="C680" i="35"/>
  <c r="C692" i="35"/>
  <c r="C704" i="35"/>
  <c r="C716" i="35"/>
  <c r="C724" i="35"/>
  <c r="C736" i="35"/>
  <c r="C748" i="35"/>
  <c r="C760" i="35"/>
  <c r="C772" i="35"/>
  <c r="C784" i="35"/>
  <c r="C796" i="35"/>
  <c r="C808" i="35"/>
  <c r="C820" i="35"/>
  <c r="C828" i="35"/>
  <c r="C840" i="35"/>
  <c r="C852" i="35"/>
  <c r="C864" i="35"/>
  <c r="C872" i="35"/>
  <c r="C884" i="35"/>
  <c r="C896" i="35"/>
  <c r="C908" i="35"/>
  <c r="C920" i="35"/>
  <c r="C932" i="35"/>
  <c r="C944" i="35"/>
  <c r="C956" i="35"/>
  <c r="C968" i="35"/>
  <c r="C980" i="35"/>
  <c r="C988" i="35"/>
  <c r="C996" i="35"/>
  <c r="C1008" i="35"/>
  <c r="C1020" i="35"/>
  <c r="C1032" i="35"/>
  <c r="D336" i="35"/>
  <c r="D468" i="35"/>
  <c r="D596" i="35"/>
  <c r="D691" i="35"/>
  <c r="D755" i="35"/>
  <c r="D807" i="35"/>
  <c r="D835" i="35"/>
  <c r="D851" i="35"/>
  <c r="D867" i="35"/>
  <c r="D883" i="35"/>
  <c r="D899" i="35"/>
  <c r="D915" i="35"/>
  <c r="D931" i="35"/>
  <c r="D947" i="35"/>
  <c r="D963" i="35"/>
  <c r="D979" i="35"/>
  <c r="D995" i="35"/>
  <c r="D1011" i="35"/>
  <c r="D1027" i="35"/>
  <c r="D1043" i="35"/>
  <c r="D1059" i="35"/>
  <c r="D1075" i="35"/>
  <c r="D1091" i="35"/>
  <c r="D1107" i="35"/>
  <c r="D1123" i="35"/>
  <c r="D1139" i="35"/>
  <c r="C30" i="35"/>
  <c r="C46" i="35"/>
  <c r="C62" i="35"/>
  <c r="C78" i="35"/>
  <c r="C94" i="35"/>
  <c r="C110" i="35"/>
  <c r="C126" i="35"/>
  <c r="C142" i="35"/>
  <c r="C158" i="35"/>
  <c r="C174" i="35"/>
  <c r="C190" i="35"/>
  <c r="C206" i="35"/>
  <c r="C222" i="35"/>
  <c r="C238" i="35"/>
  <c r="C254" i="35"/>
  <c r="C270" i="35"/>
  <c r="C286" i="35"/>
  <c r="C294" i="35"/>
  <c r="C298" i="35"/>
  <c r="C302" i="35"/>
  <c r="C306" i="35"/>
  <c r="C310" i="35"/>
  <c r="C314" i="35"/>
  <c r="C318" i="35"/>
  <c r="C322" i="35"/>
  <c r="C326" i="35"/>
  <c r="C330" i="35"/>
  <c r="C334" i="35"/>
  <c r="C338" i="35"/>
  <c r="C342" i="35"/>
  <c r="C346" i="35"/>
  <c r="C350" i="35"/>
  <c r="C354" i="35"/>
  <c r="C358" i="35"/>
  <c r="C362" i="35"/>
  <c r="C366" i="35"/>
  <c r="C370" i="35"/>
  <c r="C374" i="35"/>
  <c r="C378" i="35"/>
  <c r="C382" i="35"/>
  <c r="C386" i="35"/>
  <c r="C390" i="35"/>
  <c r="C394" i="35"/>
  <c r="C398" i="35"/>
  <c r="C402" i="35"/>
  <c r="C406" i="35"/>
  <c r="C410" i="35"/>
  <c r="C414" i="35"/>
  <c r="C418" i="35"/>
  <c r="C422" i="35"/>
  <c r="C426" i="35"/>
  <c r="C430" i="35"/>
  <c r="C434" i="35"/>
  <c r="C438" i="35"/>
  <c r="C442" i="35"/>
  <c r="C446" i="35"/>
  <c r="C450" i="35"/>
  <c r="C454" i="35"/>
  <c r="C458" i="35"/>
  <c r="C462" i="35"/>
  <c r="C466" i="35"/>
  <c r="C470" i="35"/>
  <c r="C474" i="35"/>
  <c r="C478" i="35"/>
  <c r="C482" i="35"/>
  <c r="C486" i="35"/>
  <c r="C490" i="35"/>
  <c r="C494" i="35"/>
  <c r="C498" i="35"/>
  <c r="C502" i="35"/>
  <c r="C506" i="35"/>
  <c r="C510" i="35"/>
  <c r="C514" i="35"/>
  <c r="C518" i="35"/>
  <c r="C522" i="35"/>
  <c r="C526" i="35"/>
  <c r="C530" i="35"/>
  <c r="C534" i="35"/>
  <c r="C538" i="35"/>
  <c r="C542" i="35"/>
  <c r="C546" i="35"/>
  <c r="C550" i="35"/>
  <c r="C554" i="35"/>
  <c r="C558" i="35"/>
  <c r="C562" i="35"/>
  <c r="C566" i="35"/>
  <c r="C570" i="35"/>
  <c r="C574" i="35"/>
  <c r="C578" i="35"/>
  <c r="C582" i="35"/>
  <c r="C586" i="35"/>
  <c r="C590" i="35"/>
  <c r="C594" i="35"/>
  <c r="C598" i="35"/>
  <c r="C602" i="35"/>
  <c r="C606" i="35"/>
  <c r="C610" i="35"/>
  <c r="C614" i="35"/>
  <c r="C618" i="35"/>
  <c r="C622" i="35"/>
  <c r="C626" i="35"/>
  <c r="C630" i="35"/>
  <c r="C634" i="35"/>
  <c r="C638" i="35"/>
  <c r="C642" i="35"/>
  <c r="C646" i="35"/>
  <c r="C650" i="35"/>
  <c r="C654" i="35"/>
  <c r="C658" i="35"/>
  <c r="C662" i="35"/>
  <c r="C666" i="35"/>
  <c r="C670" i="35"/>
  <c r="C674" i="35"/>
  <c r="C678" i="35"/>
  <c r="C682" i="35"/>
  <c r="C686" i="35"/>
  <c r="C690" i="35"/>
  <c r="C694" i="35"/>
  <c r="C698" i="35"/>
  <c r="C702" i="35"/>
  <c r="C706" i="35"/>
  <c r="C710" i="35"/>
  <c r="C714" i="35"/>
  <c r="C718" i="35"/>
  <c r="C722" i="35"/>
  <c r="C726" i="35"/>
  <c r="C730" i="35"/>
  <c r="C734" i="35"/>
  <c r="C738" i="35"/>
  <c r="C742" i="35"/>
  <c r="C746" i="35"/>
  <c r="C750" i="35"/>
  <c r="C754" i="35"/>
  <c r="C758" i="35"/>
  <c r="C762" i="35"/>
  <c r="C766" i="35"/>
  <c r="C770" i="35"/>
  <c r="C774" i="35"/>
  <c r="C778" i="35"/>
  <c r="C782" i="35"/>
  <c r="C786" i="35"/>
  <c r="C790" i="35"/>
  <c r="C794" i="35"/>
  <c r="C798" i="35"/>
  <c r="C802" i="35"/>
  <c r="C806" i="35"/>
  <c r="C810" i="35"/>
  <c r="C814" i="35"/>
  <c r="C818" i="35"/>
  <c r="C822" i="35"/>
  <c r="C826" i="35"/>
  <c r="C830" i="35"/>
  <c r="C834" i="35"/>
  <c r="C838" i="35"/>
  <c r="C842" i="35"/>
  <c r="C846" i="35"/>
  <c r="C850" i="35"/>
  <c r="C854" i="35"/>
  <c r="C858" i="35"/>
  <c r="C862" i="35"/>
  <c r="C866" i="35"/>
  <c r="C870" i="35"/>
  <c r="C874" i="35"/>
  <c r="C878" i="35"/>
  <c r="C882" i="35"/>
  <c r="C886" i="35"/>
  <c r="C890" i="35"/>
  <c r="C894" i="35"/>
  <c r="C898" i="35"/>
  <c r="C902" i="35"/>
  <c r="C906" i="35"/>
  <c r="C910" i="35"/>
  <c r="C914" i="35"/>
  <c r="C918" i="35"/>
  <c r="C922" i="35"/>
  <c r="C926" i="35"/>
  <c r="C930" i="35"/>
  <c r="C934" i="35"/>
  <c r="C938" i="35"/>
  <c r="C942" i="35"/>
  <c r="C946" i="35"/>
  <c r="C950" i="35"/>
  <c r="C954" i="35"/>
  <c r="C958" i="35"/>
  <c r="C962" i="35"/>
  <c r="C966" i="35"/>
  <c r="C970" i="35"/>
  <c r="C974" i="35"/>
  <c r="C978" i="35"/>
  <c r="C982" i="35"/>
  <c r="C986" i="35"/>
  <c r="C990" i="35"/>
  <c r="C994" i="35"/>
  <c r="C998" i="35"/>
  <c r="C1002" i="35"/>
  <c r="C1006" i="35"/>
  <c r="C1010" i="35"/>
  <c r="C1014" i="35"/>
  <c r="C1018" i="35"/>
  <c r="C1022" i="35"/>
  <c r="C1026" i="35"/>
  <c r="C1030" i="35"/>
  <c r="C1034" i="35"/>
  <c r="C1038" i="35"/>
  <c r="C1042" i="35"/>
  <c r="C1046" i="35"/>
  <c r="C1050" i="35"/>
  <c r="C1054" i="35"/>
  <c r="C1058" i="35"/>
  <c r="C1062" i="35"/>
  <c r="C1066" i="35"/>
  <c r="C1070" i="35"/>
  <c r="C1074" i="35"/>
  <c r="C1078" i="35"/>
  <c r="C1082" i="35"/>
  <c r="C1086" i="35"/>
  <c r="C1094" i="35"/>
  <c r="C1098" i="35"/>
  <c r="C1102" i="35"/>
  <c r="C1114" i="35"/>
  <c r="C1122" i="35"/>
  <c r="C1130" i="35"/>
  <c r="C1138" i="35"/>
  <c r="C11" i="35"/>
  <c r="D659" i="35"/>
  <c r="D971" i="35"/>
  <c r="D1019" i="35"/>
  <c r="D1067" i="35"/>
  <c r="D1115" i="35"/>
  <c r="C38" i="35"/>
  <c r="C86" i="35"/>
  <c r="C134" i="35"/>
  <c r="C182" i="35"/>
  <c r="C230" i="35"/>
  <c r="C292" i="35"/>
  <c r="C320" i="35"/>
  <c r="C324" i="35"/>
  <c r="C336" i="35"/>
  <c r="C348" i="35"/>
  <c r="C360" i="35"/>
  <c r="C372" i="35"/>
  <c r="C384" i="35"/>
  <c r="C396" i="35"/>
  <c r="C408" i="35"/>
  <c r="C420" i="35"/>
  <c r="C432" i="35"/>
  <c r="C444" i="35"/>
  <c r="C456" i="35"/>
  <c r="C468" i="35"/>
  <c r="C480" i="35"/>
  <c r="C492" i="35"/>
  <c r="C504" i="35"/>
  <c r="C516" i="35"/>
  <c r="C532" i="35"/>
  <c r="C544" i="35"/>
  <c r="C556" i="35"/>
  <c r="C568" i="35"/>
  <c r="C580" i="35"/>
  <c r="C592" i="35"/>
  <c r="C600" i="35"/>
  <c r="C612" i="35"/>
  <c r="C624" i="35"/>
  <c r="C640" i="35"/>
  <c r="C652" i="35"/>
  <c r="C664" i="35"/>
  <c r="C672" i="35"/>
  <c r="C684" i="35"/>
  <c r="C696" i="35"/>
  <c r="C708" i="35"/>
  <c r="C720" i="35"/>
  <c r="C732" i="35"/>
  <c r="C744" i="35"/>
  <c r="C756" i="35"/>
  <c r="C768" i="35"/>
  <c r="C780" i="35"/>
  <c r="C792" i="35"/>
  <c r="C804" i="35"/>
  <c r="C816" i="35"/>
  <c r="C832" i="35"/>
  <c r="C844" i="35"/>
  <c r="C856" i="35"/>
  <c r="C868" i="35"/>
  <c r="C880" i="35"/>
  <c r="C892" i="35"/>
  <c r="C904" i="35"/>
  <c r="C916" i="35"/>
  <c r="C928" i="35"/>
  <c r="C936" i="35"/>
  <c r="C948" i="35"/>
  <c r="C960" i="35"/>
  <c r="C972" i="35"/>
  <c r="C984" i="35"/>
  <c r="C1000" i="35"/>
  <c r="C1012" i="35"/>
  <c r="C1024" i="35"/>
  <c r="C1036" i="35"/>
  <c r="D372" i="35"/>
  <c r="D500" i="35"/>
  <c r="D628" i="35"/>
  <c r="D707" i="35"/>
  <c r="D771" i="35"/>
  <c r="D815" i="35"/>
  <c r="D839" i="35"/>
  <c r="D855" i="35"/>
  <c r="D871" i="35"/>
  <c r="D887" i="35"/>
  <c r="D903" i="35"/>
  <c r="D919" i="35"/>
  <c r="D935" i="35"/>
  <c r="D951" i="35"/>
  <c r="D967" i="35"/>
  <c r="D983" i="35"/>
  <c r="D999" i="35"/>
  <c r="D1015" i="35"/>
  <c r="D1031" i="35"/>
  <c r="D1047" i="35"/>
  <c r="D1063" i="35"/>
  <c r="D1079" i="35"/>
  <c r="D1095" i="35"/>
  <c r="D1111" i="35"/>
  <c r="D1127" i="35"/>
  <c r="C18" i="35"/>
  <c r="C34" i="35"/>
  <c r="C50" i="35"/>
  <c r="C66" i="35"/>
  <c r="C82" i="35"/>
  <c r="C98" i="35"/>
  <c r="C114" i="35"/>
  <c r="C130" i="35"/>
  <c r="C146" i="35"/>
  <c r="C162" i="35"/>
  <c r="C178" i="35"/>
  <c r="C194" i="35"/>
  <c r="C210" i="35"/>
  <c r="C226" i="35"/>
  <c r="C242" i="35"/>
  <c r="C258" i="35"/>
  <c r="C274" i="35"/>
  <c r="C290" i="35"/>
  <c r="C295" i="35"/>
  <c r="C299" i="35"/>
  <c r="C303" i="35"/>
  <c r="C307" i="35"/>
  <c r="C311" i="35"/>
  <c r="C315" i="35"/>
  <c r="C319" i="35"/>
  <c r="C323" i="35"/>
  <c r="C327" i="35"/>
  <c r="C331" i="35"/>
  <c r="C335" i="35"/>
  <c r="C339" i="35"/>
  <c r="C343" i="35"/>
  <c r="C347" i="35"/>
  <c r="C351" i="35"/>
  <c r="C355" i="35"/>
  <c r="C359" i="35"/>
  <c r="C363" i="35"/>
  <c r="C367" i="35"/>
  <c r="C371" i="35"/>
  <c r="C375" i="35"/>
  <c r="C379" i="35"/>
  <c r="C383" i="35"/>
  <c r="C387" i="35"/>
  <c r="C391" i="35"/>
  <c r="C395" i="35"/>
  <c r="C399" i="35"/>
  <c r="C403" i="35"/>
  <c r="C407" i="35"/>
  <c r="C411" i="35"/>
  <c r="C415" i="35"/>
  <c r="C419" i="35"/>
  <c r="C423" i="35"/>
  <c r="C427" i="35"/>
  <c r="C431" i="35"/>
  <c r="C435" i="35"/>
  <c r="C439" i="35"/>
  <c r="C443" i="35"/>
  <c r="C447" i="35"/>
  <c r="C451" i="35"/>
  <c r="C455" i="35"/>
  <c r="C459" i="35"/>
  <c r="C463" i="35"/>
  <c r="C467" i="35"/>
  <c r="C471" i="35"/>
  <c r="C475" i="35"/>
  <c r="C479" i="35"/>
  <c r="C483" i="35"/>
  <c r="C487" i="35"/>
  <c r="C491" i="35"/>
  <c r="C495" i="35"/>
  <c r="C499" i="35"/>
  <c r="C503" i="35"/>
  <c r="C507" i="35"/>
  <c r="C511" i="35"/>
  <c r="C515" i="35"/>
  <c r="C519" i="35"/>
  <c r="C523" i="35"/>
  <c r="C527" i="35"/>
  <c r="C531" i="35"/>
  <c r="C535" i="35"/>
  <c r="C539" i="35"/>
  <c r="C543" i="35"/>
  <c r="C547" i="35"/>
  <c r="C551" i="35"/>
  <c r="C555" i="35"/>
  <c r="C559" i="35"/>
  <c r="C563" i="35"/>
  <c r="C567" i="35"/>
  <c r="C571" i="35"/>
  <c r="C575" i="35"/>
  <c r="C579" i="35"/>
  <c r="C583" i="35"/>
  <c r="C587" i="35"/>
  <c r="C591" i="35"/>
  <c r="C595" i="35"/>
  <c r="C599" i="35"/>
  <c r="C603" i="35"/>
  <c r="C607" i="35"/>
  <c r="C611" i="35"/>
  <c r="C615" i="35"/>
  <c r="C619" i="35"/>
  <c r="C623" i="35"/>
  <c r="C627" i="35"/>
  <c r="C631" i="35"/>
  <c r="C635" i="35"/>
  <c r="C639" i="35"/>
  <c r="C643" i="35"/>
  <c r="C647" i="35"/>
  <c r="C651" i="35"/>
  <c r="C655" i="35"/>
  <c r="C659" i="35"/>
  <c r="C663" i="35"/>
  <c r="C667" i="35"/>
  <c r="C671" i="35"/>
  <c r="C675" i="35"/>
  <c r="C679" i="35"/>
  <c r="C683" i="35"/>
  <c r="C687" i="35"/>
  <c r="C691" i="35"/>
  <c r="C695" i="35"/>
  <c r="C699" i="35"/>
  <c r="C703" i="35"/>
  <c r="C707" i="35"/>
  <c r="C711" i="35"/>
  <c r="C715" i="35"/>
  <c r="C719" i="35"/>
  <c r="C723" i="35"/>
  <c r="C727" i="35"/>
  <c r="C731" i="35"/>
  <c r="C735" i="35"/>
  <c r="C739" i="35"/>
  <c r="C743" i="35"/>
  <c r="C747" i="35"/>
  <c r="C751" i="35"/>
  <c r="C755" i="35"/>
  <c r="C759" i="35"/>
  <c r="C763" i="35"/>
  <c r="C767" i="35"/>
  <c r="C771" i="35"/>
  <c r="C775" i="35"/>
  <c r="C779" i="35"/>
  <c r="C783" i="35"/>
  <c r="C787" i="35"/>
  <c r="C791" i="35"/>
  <c r="C795" i="35"/>
  <c r="C799" i="35"/>
  <c r="C803" i="35"/>
  <c r="C807" i="35"/>
  <c r="C811" i="35"/>
  <c r="C815" i="35"/>
  <c r="C819" i="35"/>
  <c r="C823" i="35"/>
  <c r="C827" i="35"/>
  <c r="C831" i="35"/>
  <c r="C835" i="35"/>
  <c r="C839" i="35"/>
  <c r="C843" i="35"/>
  <c r="C847" i="35"/>
  <c r="C851" i="35"/>
  <c r="C855" i="35"/>
  <c r="C859" i="35"/>
  <c r="C863" i="35"/>
  <c r="C867" i="35"/>
  <c r="C871" i="35"/>
  <c r="C875" i="35"/>
  <c r="C879" i="35"/>
  <c r="C883" i="35"/>
  <c r="C887" i="35"/>
  <c r="C891" i="35"/>
  <c r="C895" i="35"/>
  <c r="C899" i="35"/>
  <c r="C903" i="35"/>
  <c r="C907" i="35"/>
  <c r="C911" i="35"/>
  <c r="C915" i="35"/>
  <c r="C919" i="35"/>
  <c r="C923" i="35"/>
  <c r="C927" i="35"/>
  <c r="C931" i="35"/>
  <c r="C935" i="35"/>
  <c r="C939" i="35"/>
  <c r="C943" i="35"/>
  <c r="C947" i="35"/>
  <c r="C951" i="35"/>
  <c r="C955" i="35"/>
  <c r="C959" i="35"/>
  <c r="C963" i="35"/>
  <c r="C967" i="35"/>
  <c r="C971" i="35"/>
  <c r="C975" i="35"/>
  <c r="C979" i="35"/>
  <c r="C983" i="35"/>
  <c r="C987" i="35"/>
  <c r="C991" i="35"/>
  <c r="C995" i="35"/>
  <c r="C999" i="35"/>
  <c r="C1003" i="35"/>
  <c r="C1007" i="35"/>
  <c r="C1011" i="35"/>
  <c r="C1015" i="35"/>
  <c r="C1019" i="35"/>
  <c r="C1023" i="35"/>
  <c r="C1027" i="35"/>
  <c r="C1031" i="35"/>
  <c r="C1035" i="35"/>
  <c r="C1039" i="35"/>
  <c r="C1043" i="35"/>
  <c r="C1047" i="35"/>
  <c r="C1051" i="35"/>
  <c r="C1055" i="35"/>
  <c r="C1059" i="35"/>
  <c r="C1063" i="35"/>
  <c r="C1067" i="35"/>
  <c r="C1071" i="35"/>
  <c r="C1075" i="35"/>
  <c r="C1079" i="35"/>
  <c r="C1083" i="35"/>
  <c r="C1087" i="35"/>
  <c r="C1091" i="35"/>
  <c r="C1095" i="35"/>
  <c r="C1099" i="35"/>
  <c r="C1103" i="35"/>
  <c r="C1107" i="35"/>
  <c r="C1111" i="35"/>
  <c r="C1115" i="35"/>
  <c r="C1119" i="35"/>
  <c r="C1123" i="35"/>
  <c r="C1127" i="35"/>
  <c r="C1131" i="35"/>
  <c r="C1135" i="35"/>
  <c r="C1139" i="35"/>
  <c r="C8" i="35"/>
  <c r="C12" i="35"/>
  <c r="C4" i="35"/>
  <c r="D404" i="35"/>
  <c r="D723" i="35"/>
  <c r="D787" i="35"/>
  <c r="D823" i="35"/>
  <c r="D843" i="35"/>
  <c r="D859" i="35"/>
  <c r="D875" i="35"/>
  <c r="D891" i="35"/>
  <c r="D907" i="35"/>
  <c r="D923" i="35"/>
  <c r="D939" i="35"/>
  <c r="D987" i="35"/>
  <c r="D1035" i="35"/>
  <c r="D1083" i="35"/>
  <c r="D1131" i="35"/>
  <c r="C54" i="35"/>
  <c r="C102" i="35"/>
  <c r="C150" i="35"/>
  <c r="C198" i="35"/>
  <c r="C246" i="35"/>
  <c r="C278" i="35"/>
  <c r="C300" i="35"/>
  <c r="C308" i="35"/>
  <c r="C316" i="35"/>
  <c r="C328" i="35"/>
  <c r="C344" i="35"/>
  <c r="C356" i="35"/>
  <c r="C368" i="35"/>
  <c r="C380" i="35"/>
  <c r="C392" i="35"/>
  <c r="C404" i="35"/>
  <c r="C416" i="35"/>
  <c r="C428" i="35"/>
  <c r="C440" i="35"/>
  <c r="C452" i="35"/>
  <c r="C464" i="35"/>
  <c r="C476" i="35"/>
  <c r="C488" i="35"/>
  <c r="C500" i="35"/>
  <c r="C512" i="35"/>
  <c r="C524" i="35"/>
  <c r="C536" i="35"/>
  <c r="C552" i="35"/>
  <c r="C564" i="35"/>
  <c r="C576" i="35"/>
  <c r="C588" i="35"/>
  <c r="C604" i="35"/>
  <c r="C616" i="35"/>
  <c r="C628" i="35"/>
  <c r="C636" i="35"/>
  <c r="C648" i="35"/>
  <c r="C660" i="35"/>
  <c r="C676" i="35"/>
  <c r="C688" i="35"/>
  <c r="C700" i="35"/>
  <c r="C712" i="35"/>
  <c r="C728" i="35"/>
  <c r="C740" i="35"/>
  <c r="C752" i="35"/>
  <c r="C764" i="35"/>
  <c r="C776" i="35"/>
  <c r="C788" i="35"/>
  <c r="C800" i="35"/>
  <c r="C812" i="35"/>
  <c r="C824" i="35"/>
  <c r="C836" i="35"/>
  <c r="C848" i="35"/>
  <c r="C860" i="35"/>
  <c r="C876" i="35"/>
  <c r="C888" i="35"/>
  <c r="C900" i="35"/>
  <c r="C912" i="35"/>
  <c r="C924" i="35"/>
  <c r="C940" i="35"/>
  <c r="C952" i="35"/>
  <c r="C964" i="35"/>
  <c r="C976" i="35"/>
  <c r="C992" i="35"/>
  <c r="C1004" i="35"/>
  <c r="C1016" i="35"/>
  <c r="C1028" i="35"/>
  <c r="C1040" i="35"/>
  <c r="C1056" i="35"/>
  <c r="C1072" i="35"/>
  <c r="C1088" i="35"/>
  <c r="C1104" i="35"/>
  <c r="C1120" i="35"/>
  <c r="C1136" i="35"/>
  <c r="C1068" i="35"/>
  <c r="C13" i="35"/>
  <c r="C1044" i="35"/>
  <c r="C1060" i="35"/>
  <c r="C1076" i="35"/>
  <c r="C1092" i="35"/>
  <c r="C1108" i="35"/>
  <c r="C1124" i="35"/>
  <c r="C5" i="35"/>
  <c r="C1084" i="35"/>
  <c r="C1132" i="35"/>
  <c r="C1048" i="35"/>
  <c r="C1064" i="35"/>
  <c r="C1080" i="35"/>
  <c r="C1096" i="35"/>
  <c r="C1112" i="35"/>
  <c r="C1128" i="35"/>
  <c r="C9" i="35"/>
  <c r="C1052" i="35"/>
  <c r="C1100" i="35"/>
  <c r="C1116" i="35"/>
  <c r="B29" i="36"/>
  <c r="C28" i="36"/>
  <c r="A28" i="45" s="1"/>
  <c r="J12" i="45"/>
  <c r="N12" i="45" s="1"/>
  <c r="J4" i="45"/>
  <c r="N4" i="45" s="1"/>
  <c r="J11" i="45"/>
  <c r="N11" i="45" s="1"/>
  <c r="J3" i="45"/>
  <c r="N3" i="45" s="1"/>
  <c r="J10" i="45"/>
  <c r="N10" i="45" s="1"/>
  <c r="J2" i="45"/>
  <c r="N2" i="45" s="1"/>
  <c r="J9" i="45"/>
  <c r="N9" i="45" s="1"/>
  <c r="J8" i="45"/>
  <c r="N8" i="45" s="1"/>
  <c r="J7" i="45"/>
  <c r="N7" i="45" s="1"/>
  <c r="J6" i="45"/>
  <c r="N6" i="45" s="1"/>
  <c r="J5" i="45"/>
  <c r="N5" i="45" s="1"/>
  <c r="A28" i="19"/>
  <c r="V7" i="45"/>
  <c r="R1" i="45"/>
  <c r="AR525" i="19"/>
  <c r="AR528" i="19"/>
  <c r="AR328" i="19"/>
  <c r="AR537" i="19"/>
  <c r="AR521" i="19"/>
  <c r="AR513" i="19"/>
  <c r="AR501" i="19"/>
  <c r="AR452" i="19"/>
  <c r="AR266" i="19"/>
  <c r="B30" i="36" l="1"/>
  <c r="B31" i="36" s="1"/>
  <c r="C29" i="36"/>
  <c r="A29" i="45" s="1"/>
  <c r="A29" i="19"/>
  <c r="B32" i="36" l="1"/>
  <c r="C31" i="36"/>
  <c r="A31" i="45" s="1"/>
  <c r="A30" i="19"/>
  <c r="AB528" i="19"/>
  <c r="AB525" i="19"/>
  <c r="AB518" i="19"/>
  <c r="AB513" i="19"/>
  <c r="AB501" i="19"/>
  <c r="AB452" i="19"/>
  <c r="AB397" i="19"/>
  <c r="AB392" i="19"/>
  <c r="AB328" i="19"/>
  <c r="B33" i="36" l="1"/>
  <c r="C32" i="36"/>
  <c r="A32" i="45" s="1"/>
  <c r="A31" i="19"/>
  <c r="B34" i="36" l="1"/>
  <c r="C33" i="36"/>
  <c r="A33" i="45" s="1"/>
  <c r="A32" i="19"/>
  <c r="B35" i="36" l="1"/>
  <c r="C34" i="36"/>
  <c r="A34" i="45" s="1"/>
  <c r="A33" i="19"/>
  <c r="BC36" i="42"/>
  <c r="BC37" i="42"/>
  <c r="B36" i="36" l="1"/>
  <c r="C35" i="36"/>
  <c r="A35" i="45" s="1"/>
  <c r="A34" i="19"/>
  <c r="M16" i="19"/>
  <c r="AD17" i="19"/>
  <c r="D608" i="19"/>
  <c r="S18" i="19"/>
  <c r="S17" i="19"/>
  <c r="J17" i="19"/>
  <c r="V4" i="19"/>
  <c r="BC29" i="42" s="1"/>
  <c r="E1" i="19"/>
  <c r="AA610" i="19"/>
  <c r="W537" i="19"/>
  <c r="W525" i="19"/>
  <c r="W528" i="19"/>
  <c r="W518" i="19"/>
  <c r="W392" i="19"/>
  <c r="W328" i="19"/>
  <c r="W397" i="19"/>
  <c r="W501" i="19"/>
  <c r="W513" i="19"/>
  <c r="W478" i="19"/>
  <c r="W452" i="19"/>
  <c r="AG18" i="19"/>
  <c r="AF18" i="19"/>
  <c r="B37" i="36" l="1"/>
  <c r="C36" i="36"/>
  <c r="A36" i="45" s="1"/>
  <c r="A35" i="19"/>
  <c r="B38" i="36" l="1"/>
  <c r="B39" i="36" s="1"/>
  <c r="C37" i="36"/>
  <c r="A37" i="45" s="1"/>
  <c r="A36" i="19"/>
  <c r="BV14" i="42"/>
  <c r="BJ43" i="42"/>
  <c r="BJ44" i="42"/>
  <c r="B40" i="36" l="1"/>
  <c r="C39" i="36"/>
  <c r="A39" i="45" s="1"/>
  <c r="A37" i="19"/>
  <c r="B41" i="36" l="1"/>
  <c r="C40" i="36"/>
  <c r="A40" i="45" s="1"/>
  <c r="A38" i="19"/>
  <c r="N9" i="19"/>
  <c r="N10" i="19"/>
  <c r="N11" i="19"/>
  <c r="N12" i="19"/>
  <c r="AH9" i="42"/>
  <c r="AH10" i="42"/>
  <c r="AG11" i="42"/>
  <c r="AH12" i="42"/>
  <c r="R19" i="19"/>
  <c r="AG12" i="42"/>
  <c r="AH2" i="42"/>
  <c r="AH3" i="42"/>
  <c r="AH4" i="42"/>
  <c r="AH5" i="42"/>
  <c r="AH6" i="42"/>
  <c r="AH7" i="42"/>
  <c r="AH8" i="42"/>
  <c r="AH11" i="42"/>
  <c r="AG2" i="42"/>
  <c r="AG3" i="42"/>
  <c r="AG4" i="42"/>
  <c r="AG5" i="42"/>
  <c r="AG6" i="42"/>
  <c r="AG7" i="42"/>
  <c r="AG8" i="42"/>
  <c r="AG9" i="42"/>
  <c r="AG10" i="42"/>
  <c r="B42" i="36" l="1"/>
  <c r="C41" i="36"/>
  <c r="A41" i="45" s="1"/>
  <c r="A39" i="19"/>
  <c r="B43" i="36" l="1"/>
  <c r="C42" i="36"/>
  <c r="A42" i="45" s="1"/>
  <c r="A40" i="19"/>
  <c r="Z5" i="34"/>
  <c r="E8" i="19"/>
  <c r="B44" i="36" l="1"/>
  <c r="C43" i="36"/>
  <c r="A43" i="45" s="1"/>
  <c r="A41" i="19"/>
  <c r="G16" i="19"/>
  <c r="AS49" i="42"/>
  <c r="AK2" i="19"/>
  <c r="A17" i="19"/>
  <c r="C16" i="19" s="1"/>
  <c r="W5" i="19"/>
  <c r="BE19" i="42" s="1"/>
  <c r="V5" i="19"/>
  <c r="D620" i="19"/>
  <c r="J1" i="19"/>
  <c r="AG1" i="42" s="1"/>
  <c r="BZ2" i="42" s="1"/>
  <c r="CB2" i="42" s="1"/>
  <c r="CD2" i="42" s="1"/>
  <c r="CF2" i="42" s="1"/>
  <c r="AD608" i="19"/>
  <c r="D7" i="19"/>
  <c r="F16" i="19" s="1"/>
  <c r="D13" i="19"/>
  <c r="D10" i="19"/>
  <c r="D9" i="19"/>
  <c r="D11" i="19"/>
  <c r="AP3" i="42"/>
  <c r="D12" i="19"/>
  <c r="C19" i="19"/>
  <c r="F17" i="19"/>
  <c r="E19" i="19"/>
  <c r="V9" i="19"/>
  <c r="Q18" i="19"/>
  <c r="G17" i="19"/>
  <c r="F18" i="19"/>
  <c r="V10" i="19"/>
  <c r="R18" i="19"/>
  <c r="D17" i="19"/>
  <c r="H17" i="19"/>
  <c r="G18" i="19"/>
  <c r="G19" i="19"/>
  <c r="Q17" i="19"/>
  <c r="T18" i="19"/>
  <c r="E17" i="19"/>
  <c r="H18" i="19"/>
  <c r="M19" i="19"/>
  <c r="T17" i="19"/>
  <c r="W10" i="19"/>
  <c r="W9" i="19"/>
  <c r="BE20" i="42" s="1"/>
  <c r="W8" i="19"/>
  <c r="W6" i="19"/>
  <c r="W7" i="19"/>
  <c r="BE18" i="42" s="1"/>
  <c r="D1" i="19"/>
  <c r="Z17" i="19"/>
  <c r="AF17" i="19"/>
  <c r="AM17" i="19"/>
  <c r="AG17" i="19"/>
  <c r="AH17" i="19"/>
  <c r="AI17" i="19"/>
  <c r="AB9" i="19"/>
  <c r="AA17" i="19"/>
  <c r="AC17" i="19"/>
  <c r="AF611" i="19"/>
  <c r="C17" i="19"/>
  <c r="AA608" i="19"/>
  <c r="D609" i="19"/>
  <c r="D613" i="19"/>
  <c r="D610" i="19"/>
  <c r="D614" i="19"/>
  <c r="D607" i="19"/>
  <c r="D611" i="19"/>
  <c r="D612" i="19"/>
  <c r="D1" i="36"/>
  <c r="W21" i="35"/>
  <c r="S18" i="35" s="1"/>
  <c r="AB539" i="19" l="1"/>
  <c r="AB485" i="19"/>
  <c r="AB211" i="19"/>
  <c r="AB203" i="19"/>
  <c r="AB208" i="19"/>
  <c r="AB514" i="19"/>
  <c r="AB207" i="19"/>
  <c r="AB588" i="19"/>
  <c r="AB540" i="19"/>
  <c r="G77" i="42"/>
  <c r="BP42" i="42"/>
  <c r="B45" i="36"/>
  <c r="C44" i="36"/>
  <c r="A44" i="45" s="1"/>
  <c r="AB69" i="19"/>
  <c r="AB343" i="19"/>
  <c r="AB402" i="19"/>
  <c r="AB239" i="19"/>
  <c r="AB596" i="19"/>
  <c r="AB113" i="19"/>
  <c r="AB265" i="19"/>
  <c r="AB61" i="19"/>
  <c r="AB57" i="19"/>
  <c r="AB26" i="19"/>
  <c r="AB27" i="19"/>
  <c r="AB58" i="19"/>
  <c r="AB406" i="19"/>
  <c r="AB394" i="19"/>
  <c r="AB221" i="19"/>
  <c r="AB217" i="19"/>
  <c r="AB213" i="19"/>
  <c r="AB459" i="19"/>
  <c r="AB407" i="19"/>
  <c r="AB282" i="19"/>
  <c r="AB218" i="19"/>
  <c r="AB214" i="19"/>
  <c r="AB325" i="19"/>
  <c r="AB280" i="19"/>
  <c r="AB219" i="19"/>
  <c r="AB215" i="19"/>
  <c r="AB278" i="19"/>
  <c r="AB220" i="19"/>
  <c r="AB216" i="19"/>
  <c r="AB212" i="19"/>
  <c r="AB108" i="19"/>
  <c r="AB351" i="19"/>
  <c r="AB363" i="19"/>
  <c r="AB297" i="19"/>
  <c r="AB403" i="19"/>
  <c r="AB364" i="19"/>
  <c r="AB412" i="19"/>
  <c r="AB408" i="19"/>
  <c r="AB281" i="19"/>
  <c r="AB370" i="19"/>
  <c r="AB283" i="19"/>
  <c r="AB180" i="19"/>
  <c r="A42" i="19"/>
  <c r="F76" i="42"/>
  <c r="D78" i="42"/>
  <c r="BC71" i="42"/>
  <c r="AR67" i="42"/>
  <c r="BC61" i="42"/>
  <c r="BG28" i="42"/>
  <c r="BC59" i="42"/>
  <c r="BC35" i="42"/>
  <c r="BK49" i="42"/>
  <c r="AQ14" i="42"/>
  <c r="AQ24" i="42"/>
  <c r="AK1" i="19"/>
  <c r="BC19" i="42"/>
  <c r="BC30" i="42"/>
  <c r="BC20" i="42"/>
  <c r="BC34" i="42"/>
  <c r="AL49" i="42"/>
  <c r="D619" i="19"/>
  <c r="D617" i="19"/>
  <c r="D615" i="19"/>
  <c r="D618" i="19"/>
  <c r="D616" i="19"/>
  <c r="BP40" i="42"/>
  <c r="BP44" i="42"/>
  <c r="AM28" i="42"/>
  <c r="AM24" i="42"/>
  <c r="AN26" i="42"/>
  <c r="AK29" i="42"/>
  <c r="AP29" i="42"/>
  <c r="AJ28" i="42"/>
  <c r="AT28" i="42"/>
  <c r="AR28" i="42"/>
  <c r="AO29" i="42"/>
  <c r="AP5" i="42"/>
  <c r="AJ29" i="42"/>
  <c r="AI39" i="35"/>
  <c r="AI38" i="35"/>
  <c r="AI37" i="35"/>
  <c r="AI36" i="35"/>
  <c r="AI35" i="35"/>
  <c r="AI34" i="35"/>
  <c r="AI33" i="35"/>
  <c r="AI32" i="35"/>
  <c r="AI31" i="35"/>
  <c r="AI30" i="35"/>
  <c r="AI29" i="35"/>
  <c r="AI28" i="35"/>
  <c r="AI27" i="35"/>
  <c r="AI26" i="35"/>
  <c r="W19" i="35"/>
  <c r="U19" i="35"/>
  <c r="W18" i="35"/>
  <c r="U18" i="35"/>
  <c r="B46" i="36" l="1"/>
  <c r="C45" i="36"/>
  <c r="A45" i="45" s="1"/>
  <c r="A43" i="19"/>
  <c r="AB12" i="19"/>
  <c r="AB11" i="19"/>
  <c r="AB10" i="19"/>
  <c r="AB8" i="19"/>
  <c r="AB4" i="19"/>
  <c r="B47" i="36" l="1"/>
  <c r="C46" i="36"/>
  <c r="A46" i="45" s="1"/>
  <c r="A44" i="19"/>
  <c r="AM608" i="19"/>
  <c r="AG609" i="19"/>
  <c r="AF609" i="19"/>
  <c r="AI608" i="19"/>
  <c r="AH608" i="19"/>
  <c r="AG608" i="19"/>
  <c r="AF608" i="19"/>
  <c r="AB5" i="19"/>
  <c r="AB1" i="19"/>
  <c r="B48" i="36" l="1"/>
  <c r="C47" i="36"/>
  <c r="A47" i="45" s="1"/>
  <c r="A45" i="19"/>
  <c r="V8" i="19"/>
  <c r="BC33" i="42" s="1"/>
  <c r="V1" i="19"/>
  <c r="BC26" i="42" s="1"/>
  <c r="V2" i="19"/>
  <c r="V3" i="19"/>
  <c r="V6" i="19"/>
  <c r="W19" i="19"/>
  <c r="AF19" i="19"/>
  <c r="AG19" i="19"/>
  <c r="AE19" i="19"/>
  <c r="AD609" i="19" s="1"/>
  <c r="AE17" i="19"/>
  <c r="AB457" i="19" l="1"/>
  <c r="AB410" i="19"/>
  <c r="AB390" i="19"/>
  <c r="AB226" i="19"/>
  <c r="AB201" i="19"/>
  <c r="AB299" i="19"/>
  <c r="AB269" i="19"/>
  <c r="AB179" i="19"/>
  <c r="AB79" i="19"/>
  <c r="AB192" i="19"/>
  <c r="AB413" i="19"/>
  <c r="AB195" i="19"/>
  <c r="B187" i="19"/>
  <c r="B238" i="19"/>
  <c r="B543" i="19"/>
  <c r="B90" i="19"/>
  <c r="B254" i="19"/>
  <c r="B367" i="19"/>
  <c r="B376" i="19"/>
  <c r="B401" i="19"/>
  <c r="B462" i="19"/>
  <c r="B538" i="19"/>
  <c r="B99" i="19"/>
  <c r="B369" i="19"/>
  <c r="B417" i="19"/>
  <c r="B437" i="19"/>
  <c r="B469" i="19"/>
  <c r="B484" i="19"/>
  <c r="B236" i="19"/>
  <c r="B426" i="19"/>
  <c r="B439" i="19"/>
  <c r="B492" i="19"/>
  <c r="B524" i="19"/>
  <c r="AB224" i="19"/>
  <c r="AB530" i="19"/>
  <c r="AB74" i="19"/>
  <c r="AB416" i="19"/>
  <c r="AB290" i="19"/>
  <c r="AB310" i="19"/>
  <c r="B310" i="19" s="1"/>
  <c r="AB43" i="19"/>
  <c r="AB378" i="19"/>
  <c r="AB425" i="19"/>
  <c r="AB317" i="19"/>
  <c r="AB381" i="19"/>
  <c r="B49" i="36"/>
  <c r="C48" i="36"/>
  <c r="A48" i="45" s="1"/>
  <c r="AB600" i="19"/>
  <c r="AB584" i="19"/>
  <c r="AB542" i="19"/>
  <c r="AB395" i="19"/>
  <c r="B395" i="19" s="1"/>
  <c r="AB173" i="19"/>
  <c r="AB168" i="19"/>
  <c r="AB125" i="19"/>
  <c r="AB24" i="19"/>
  <c r="AB593" i="19"/>
  <c r="AB585" i="19"/>
  <c r="AB428" i="19"/>
  <c r="AB389" i="19"/>
  <c r="B389" i="19" s="1"/>
  <c r="AB128" i="19"/>
  <c r="AB119" i="19"/>
  <c r="AB111" i="19"/>
  <c r="AB105" i="19"/>
  <c r="AB594" i="19"/>
  <c r="AB553" i="19"/>
  <c r="AB507" i="19"/>
  <c r="AB199" i="19"/>
  <c r="AB149" i="19"/>
  <c r="AB465" i="19"/>
  <c r="AB103" i="19"/>
  <c r="AB582" i="19"/>
  <c r="AP582" i="19" s="1"/>
  <c r="AB577" i="19"/>
  <c r="AB568" i="19"/>
  <c r="AB529" i="19"/>
  <c r="AB445" i="19"/>
  <c r="B445" i="19" s="1"/>
  <c r="AB441" i="19"/>
  <c r="AB591" i="19"/>
  <c r="AB338" i="19"/>
  <c r="AB146" i="19"/>
  <c r="AB129" i="19"/>
  <c r="AP129" i="19" s="1"/>
  <c r="AB488" i="19"/>
  <c r="AB336" i="19"/>
  <c r="AP336" i="19" s="1"/>
  <c r="AB298" i="19"/>
  <c r="AB257" i="19"/>
  <c r="AB68" i="19"/>
  <c r="AB414" i="19"/>
  <c r="AP414" i="19" s="1"/>
  <c r="AB512" i="19"/>
  <c r="AB329" i="19"/>
  <c r="AB296" i="19"/>
  <c r="AB234" i="19"/>
  <c r="AB124" i="19"/>
  <c r="AB527" i="19"/>
  <c r="AB358" i="19"/>
  <c r="AP358" i="19" s="1"/>
  <c r="AB330" i="19"/>
  <c r="AB326" i="19"/>
  <c r="AB493" i="19"/>
  <c r="AP493" i="19" s="1"/>
  <c r="AB244" i="19"/>
  <c r="AP244" i="19" s="1"/>
  <c r="AB210" i="19"/>
  <c r="AB597" i="19"/>
  <c r="AP597" i="19" s="1"/>
  <c r="AB522" i="19"/>
  <c r="B522" i="19" s="1"/>
  <c r="AB474" i="19"/>
  <c r="B409" i="19"/>
  <c r="B459" i="19"/>
  <c r="AB327" i="19"/>
  <c r="B327" i="19" s="1"/>
  <c r="AB505" i="19"/>
  <c r="AB132" i="19"/>
  <c r="B132" i="19" s="1"/>
  <c r="AB122" i="19"/>
  <c r="AP122" i="19" s="1"/>
  <c r="AB560" i="19"/>
  <c r="AB396" i="19"/>
  <c r="AB356" i="19"/>
  <c r="AB337" i="19"/>
  <c r="AB287" i="19"/>
  <c r="AB162" i="19"/>
  <c r="AB130" i="19"/>
  <c r="AP130" i="19" s="1"/>
  <c r="AB37" i="19"/>
  <c r="AP37" i="19" s="1"/>
  <c r="AB33" i="19"/>
  <c r="AB592" i="19"/>
  <c r="AB583" i="19"/>
  <c r="AB368" i="19"/>
  <c r="AP368" i="19" s="1"/>
  <c r="AB314" i="19"/>
  <c r="AP314" i="19" s="1"/>
  <c r="AB262" i="19"/>
  <c r="AB499" i="19"/>
  <c r="AP499" i="19" s="1"/>
  <c r="AP26" i="19"/>
  <c r="BC27" i="42"/>
  <c r="AB242" i="19"/>
  <c r="AB229" i="19"/>
  <c r="AP596" i="19"/>
  <c r="AB498" i="19"/>
  <c r="AP498" i="19" s="1"/>
  <c r="AP600" i="19"/>
  <c r="AP531" i="19"/>
  <c r="AP586" i="19"/>
  <c r="AP515" i="19"/>
  <c r="AB500" i="19"/>
  <c r="AP500" i="19" s="1"/>
  <c r="AB424" i="19"/>
  <c r="AP424" i="19" s="1"/>
  <c r="AB391" i="19"/>
  <c r="AB371" i="19"/>
  <c r="AP371" i="19" s="1"/>
  <c r="AB350" i="19"/>
  <c r="AP350" i="19" s="1"/>
  <c r="AB333" i="19"/>
  <c r="AP333" i="19" s="1"/>
  <c r="AB321" i="19"/>
  <c r="AP321" i="19" s="1"/>
  <c r="AB303" i="19"/>
  <c r="AP303" i="19" s="1"/>
  <c r="AB359" i="19"/>
  <c r="AP359" i="19" s="1"/>
  <c r="AP510" i="19"/>
  <c r="AB468" i="19"/>
  <c r="AP468" i="19" s="1"/>
  <c r="AB361" i="19"/>
  <c r="AP361" i="19" s="1"/>
  <c r="AP512" i="19"/>
  <c r="AP591" i="19"/>
  <c r="AP520" i="19"/>
  <c r="AB365" i="19"/>
  <c r="AP365" i="19" s="1"/>
  <c r="AB259" i="19"/>
  <c r="AP259" i="19" s="1"/>
  <c r="AP45" i="19"/>
  <c r="AB276" i="19"/>
  <c r="AP276" i="19" s="1"/>
  <c r="AB249" i="19"/>
  <c r="AP249" i="19" s="1"/>
  <c r="AB204" i="19"/>
  <c r="AP204" i="19" s="1"/>
  <c r="AB185" i="19"/>
  <c r="AP185" i="19" s="1"/>
  <c r="AB405" i="19"/>
  <c r="AB232" i="19"/>
  <c r="AP232" i="19" s="1"/>
  <c r="AB362" i="19"/>
  <c r="AP362" i="19" s="1"/>
  <c r="AB279" i="19"/>
  <c r="AP279" i="19" s="1"/>
  <c r="AB222" i="19"/>
  <c r="AP222" i="19" s="1"/>
  <c r="AP58" i="19"/>
  <c r="AP53" i="19"/>
  <c r="AP25" i="19"/>
  <c r="AB160" i="19"/>
  <c r="AP160" i="19" s="1"/>
  <c r="AB147" i="19"/>
  <c r="AP147" i="19" s="1"/>
  <c r="AB133" i="19"/>
  <c r="AP133" i="19" s="1"/>
  <c r="AB86" i="19"/>
  <c r="AP86" i="19" s="1"/>
  <c r="AP66" i="19"/>
  <c r="AP29" i="19"/>
  <c r="AB161" i="19"/>
  <c r="AP161" i="19" s="1"/>
  <c r="AB126" i="19"/>
  <c r="AP126" i="19" s="1"/>
  <c r="AP55" i="19"/>
  <c r="AB175" i="19"/>
  <c r="AP175" i="19" s="1"/>
  <c r="AB135" i="19"/>
  <c r="AP135" i="19" s="1"/>
  <c r="AB131" i="19"/>
  <c r="AP131" i="19" s="1"/>
  <c r="AB127" i="19"/>
  <c r="AP127" i="19" s="1"/>
  <c r="AB106" i="19"/>
  <c r="AP106" i="19" s="1"/>
  <c r="AB150" i="19"/>
  <c r="AP150" i="19" s="1"/>
  <c r="AB75" i="19"/>
  <c r="AP75" i="19" s="1"/>
  <c r="AP70" i="19"/>
  <c r="AB63" i="19"/>
  <c r="AP63" i="19" s="1"/>
  <c r="AP23" i="19"/>
  <c r="AP62" i="19"/>
  <c r="AP33" i="19"/>
  <c r="AP31" i="19"/>
  <c r="AP41" i="19"/>
  <c r="AP79" i="19"/>
  <c r="AP38" i="19"/>
  <c r="AP64" i="19"/>
  <c r="AP84" i="19"/>
  <c r="AP42" i="19"/>
  <c r="AP68" i="19"/>
  <c r="AP88" i="19"/>
  <c r="AP74" i="19"/>
  <c r="AP85" i="19"/>
  <c r="AP103" i="19"/>
  <c r="AP119" i="19"/>
  <c r="AP137" i="19"/>
  <c r="AP159" i="19"/>
  <c r="AP176" i="19"/>
  <c r="AP110" i="19"/>
  <c r="AP140" i="19"/>
  <c r="AP30" i="19"/>
  <c r="AP93" i="19"/>
  <c r="AP49" i="19"/>
  <c r="AP43" i="19"/>
  <c r="AP32" i="19"/>
  <c r="AP89" i="19"/>
  <c r="AP111" i="19"/>
  <c r="AP163" i="19"/>
  <c r="AP97" i="19"/>
  <c r="AP158" i="19"/>
  <c r="AP67" i="19"/>
  <c r="AP87" i="19"/>
  <c r="AP105" i="19"/>
  <c r="AP121" i="19"/>
  <c r="AP143" i="19"/>
  <c r="AP165" i="19"/>
  <c r="AP184" i="19"/>
  <c r="AP65" i="19"/>
  <c r="AP90" i="19"/>
  <c r="AP108" i="19"/>
  <c r="AP125" i="19"/>
  <c r="AP151" i="19"/>
  <c r="AP173" i="19"/>
  <c r="AP59" i="19"/>
  <c r="AP233" i="19"/>
  <c r="AP252" i="19"/>
  <c r="AP274" i="19"/>
  <c r="AP226" i="19"/>
  <c r="AP250" i="19"/>
  <c r="AP273" i="19"/>
  <c r="AP326" i="19"/>
  <c r="AP379" i="19"/>
  <c r="AP187" i="19"/>
  <c r="AP191" i="19"/>
  <c r="AP196" i="19"/>
  <c r="AP200" i="19"/>
  <c r="AP205" i="19"/>
  <c r="AP210" i="19"/>
  <c r="AP214" i="19"/>
  <c r="AP225" i="19"/>
  <c r="AP272" i="19"/>
  <c r="AP46" i="19"/>
  <c r="AP219" i="19"/>
  <c r="AP238" i="19"/>
  <c r="AP264" i="19"/>
  <c r="AP285" i="19"/>
  <c r="AP349" i="19"/>
  <c r="AP343" i="19"/>
  <c r="AP401" i="19"/>
  <c r="AP464" i="19"/>
  <c r="AP417" i="19"/>
  <c r="AP353" i="19"/>
  <c r="AP409" i="19"/>
  <c r="AP484" i="19"/>
  <c r="AP394" i="19"/>
  <c r="AP421" i="19"/>
  <c r="AP444" i="19"/>
  <c r="AP463" i="19"/>
  <c r="AP517" i="19"/>
  <c r="AP44" i="19"/>
  <c r="AP325" i="19"/>
  <c r="AP342" i="19"/>
  <c r="AP388" i="19"/>
  <c r="AP411" i="19"/>
  <c r="AP432" i="19"/>
  <c r="AP516" i="19"/>
  <c r="AP546" i="19"/>
  <c r="AP564" i="19"/>
  <c r="AP588" i="19"/>
  <c r="AP296" i="19"/>
  <c r="AP301" i="19"/>
  <c r="AP306" i="19"/>
  <c r="AP310" i="19"/>
  <c r="AP316" i="19"/>
  <c r="AP320" i="19"/>
  <c r="AP329" i="19"/>
  <c r="AP354" i="19"/>
  <c r="AP386" i="19"/>
  <c r="AP410" i="19"/>
  <c r="AP437" i="19"/>
  <c r="AP457" i="19"/>
  <c r="AP475" i="19"/>
  <c r="AP496" i="19"/>
  <c r="AP536" i="19"/>
  <c r="AP554" i="19"/>
  <c r="AP572" i="19"/>
  <c r="AP488" i="19"/>
  <c r="AP535" i="19"/>
  <c r="AP553" i="19"/>
  <c r="AP571" i="19"/>
  <c r="AP458" i="19"/>
  <c r="AP476" i="19"/>
  <c r="AP503" i="19"/>
  <c r="AP543" i="19"/>
  <c r="AP561" i="19"/>
  <c r="AP581" i="19"/>
  <c r="AP585" i="19"/>
  <c r="AP530" i="19"/>
  <c r="AP34" i="19"/>
  <c r="AP94" i="19"/>
  <c r="AP115" i="19"/>
  <c r="AP141" i="19"/>
  <c r="AP167" i="19"/>
  <c r="AP102" i="19"/>
  <c r="AP144" i="19"/>
  <c r="AP162" i="19"/>
  <c r="AP73" i="19"/>
  <c r="AP91" i="19"/>
  <c r="AP109" i="19"/>
  <c r="AP148" i="19"/>
  <c r="AP170" i="19"/>
  <c r="AP35" i="19"/>
  <c r="AP71" i="19"/>
  <c r="AP95" i="19"/>
  <c r="AP112" i="19"/>
  <c r="AP155" i="19"/>
  <c r="AP178" i="19"/>
  <c r="AP27" i="19"/>
  <c r="AP60" i="19"/>
  <c r="AP237" i="19"/>
  <c r="AP257" i="19"/>
  <c r="AP288" i="19"/>
  <c r="AP236" i="19"/>
  <c r="AP256" i="19"/>
  <c r="AP278" i="19"/>
  <c r="AP331" i="19"/>
  <c r="AP469" i="19"/>
  <c r="AP188" i="19"/>
  <c r="AP192" i="19"/>
  <c r="AP197" i="19"/>
  <c r="AP201" i="19"/>
  <c r="AP207" i="19"/>
  <c r="AP211" i="19"/>
  <c r="AP215" i="19"/>
  <c r="AP230" i="19"/>
  <c r="AP255" i="19"/>
  <c r="AP286" i="19"/>
  <c r="AP48" i="19"/>
  <c r="AP224" i="19"/>
  <c r="AP243" i="19"/>
  <c r="AP271" i="19"/>
  <c r="AP352" i="19"/>
  <c r="AP332" i="19"/>
  <c r="AP348" i="19"/>
  <c r="AP428" i="19"/>
  <c r="AP450" i="19"/>
  <c r="AP526" i="19"/>
  <c r="AP423" i="19"/>
  <c r="AP289" i="19"/>
  <c r="AP357" i="19"/>
  <c r="AP505" i="19"/>
  <c r="AP490" i="19"/>
  <c r="AP399" i="19"/>
  <c r="AP426" i="19"/>
  <c r="AP449" i="19"/>
  <c r="AP473" i="19"/>
  <c r="AP524" i="19"/>
  <c r="AP52" i="19"/>
  <c r="AP330" i="19"/>
  <c r="AP347" i="19"/>
  <c r="AP373" i="19"/>
  <c r="AP393" i="19"/>
  <c r="AP415" i="19"/>
  <c r="AP439" i="19"/>
  <c r="AP523" i="19"/>
  <c r="AP551" i="19"/>
  <c r="AP568" i="19"/>
  <c r="AP593" i="19"/>
  <c r="AP298" i="19"/>
  <c r="AP302" i="19"/>
  <c r="AP307" i="19"/>
  <c r="AP311" i="19"/>
  <c r="AP317" i="19"/>
  <c r="AP322" i="19"/>
  <c r="AP337" i="19"/>
  <c r="AP396" i="19"/>
  <c r="AP442" i="19"/>
  <c r="AP461" i="19"/>
  <c r="AP480" i="19"/>
  <c r="AP514" i="19"/>
  <c r="AP541" i="19"/>
  <c r="AP558" i="19"/>
  <c r="AP576" i="19"/>
  <c r="AP540" i="19"/>
  <c r="AP557" i="19"/>
  <c r="AP575" i="19"/>
  <c r="AP462" i="19"/>
  <c r="AP481" i="19"/>
  <c r="AP506" i="19"/>
  <c r="AP547" i="19"/>
  <c r="AP565" i="19"/>
  <c r="AP598" i="19"/>
  <c r="AP594" i="19"/>
  <c r="AP590" i="19"/>
  <c r="AP39" i="19"/>
  <c r="AP98" i="19"/>
  <c r="AP124" i="19"/>
  <c r="AP146" i="19"/>
  <c r="AP172" i="19"/>
  <c r="AP114" i="19"/>
  <c r="AP149" i="19"/>
  <c r="AP166" i="19"/>
  <c r="AP77" i="19"/>
  <c r="AP96" i="19"/>
  <c r="AP113" i="19"/>
  <c r="AP134" i="19"/>
  <c r="AP152" i="19"/>
  <c r="AP174" i="19"/>
  <c r="AP40" i="19"/>
  <c r="AP76" i="19"/>
  <c r="AP99" i="19"/>
  <c r="AP116" i="19"/>
  <c r="AP138" i="19"/>
  <c r="AP164" i="19"/>
  <c r="AP183" i="19"/>
  <c r="AP22" i="19"/>
  <c r="AP54" i="19"/>
  <c r="AP218" i="19"/>
  <c r="AP242" i="19"/>
  <c r="AP262" i="19"/>
  <c r="AP217" i="19"/>
  <c r="AP241" i="19"/>
  <c r="AP261" i="19"/>
  <c r="AP282" i="19"/>
  <c r="AP366" i="19"/>
  <c r="AP474" i="19"/>
  <c r="AP189" i="19"/>
  <c r="AP194" i="19"/>
  <c r="AP198" i="19"/>
  <c r="AP202" i="19"/>
  <c r="AP208" i="19"/>
  <c r="AP212" i="19"/>
  <c r="AP216" i="19"/>
  <c r="AP235" i="19"/>
  <c r="AP260" i="19"/>
  <c r="AP50" i="19"/>
  <c r="AP248" i="19"/>
  <c r="AP275" i="19"/>
  <c r="AP340" i="19"/>
  <c r="AP356" i="19"/>
  <c r="AP335" i="19"/>
  <c r="AP369" i="19"/>
  <c r="AP436" i="19"/>
  <c r="AP456" i="19"/>
  <c r="AP390" i="19"/>
  <c r="AP511" i="19"/>
  <c r="AP290" i="19"/>
  <c r="AP375" i="19"/>
  <c r="AP495" i="19"/>
  <c r="AP384" i="19"/>
  <c r="AP404" i="19"/>
  <c r="AP434" i="19"/>
  <c r="AP454" i="19"/>
  <c r="AP477" i="19"/>
  <c r="AP534" i="19"/>
  <c r="AP28" i="19"/>
  <c r="AP61" i="19"/>
  <c r="AP334" i="19"/>
  <c r="AP351" i="19"/>
  <c r="AP378" i="19"/>
  <c r="AP398" i="19"/>
  <c r="AP420" i="19"/>
  <c r="AP443" i="19"/>
  <c r="AP538" i="19"/>
  <c r="AP555" i="19"/>
  <c r="AP573" i="19"/>
  <c r="AP299" i="19"/>
  <c r="AP304" i="19"/>
  <c r="AP308" i="19"/>
  <c r="AP312" i="19"/>
  <c r="AP318" i="19"/>
  <c r="AP323" i="19"/>
  <c r="AP341" i="19"/>
  <c r="AP367" i="19"/>
  <c r="AP402" i="19"/>
  <c r="AP418" i="19"/>
  <c r="AP446" i="19"/>
  <c r="AP465" i="19"/>
  <c r="AP485" i="19"/>
  <c r="AP522" i="19"/>
  <c r="AP545" i="19"/>
  <c r="AP563" i="19"/>
  <c r="AP592" i="19"/>
  <c r="AP544" i="19"/>
  <c r="AP562" i="19"/>
  <c r="AP602" i="19"/>
  <c r="AP448" i="19"/>
  <c r="AP466" i="19"/>
  <c r="AP486" i="19"/>
  <c r="AP507" i="19"/>
  <c r="AP552" i="19"/>
  <c r="AP570" i="19"/>
  <c r="AP579" i="19"/>
  <c r="AP583" i="19"/>
  <c r="AP604" i="19"/>
  <c r="AP509" i="19"/>
  <c r="AP599" i="19"/>
  <c r="AP80" i="19"/>
  <c r="AP107" i="19"/>
  <c r="AP128" i="19"/>
  <c r="AP154" i="19"/>
  <c r="AP182" i="19"/>
  <c r="AP118" i="19"/>
  <c r="AP153" i="19"/>
  <c r="AP171" i="19"/>
  <c r="AP83" i="19"/>
  <c r="AP101" i="19"/>
  <c r="AP117" i="19"/>
  <c r="AP139" i="19"/>
  <c r="AP156" i="19"/>
  <c r="AP179" i="19"/>
  <c r="AP47" i="19"/>
  <c r="AP81" i="19"/>
  <c r="AP104" i="19"/>
  <c r="AP120" i="19"/>
  <c r="AP142" i="19"/>
  <c r="AP168" i="19"/>
  <c r="AP24" i="19"/>
  <c r="AP57" i="19"/>
  <c r="AP227" i="19"/>
  <c r="AP246" i="19"/>
  <c r="AP269" i="19"/>
  <c r="AP221" i="19"/>
  <c r="AP245" i="19"/>
  <c r="AP267" i="19"/>
  <c r="AP287" i="19"/>
  <c r="AP374" i="19"/>
  <c r="AP186" i="19"/>
  <c r="AP190" i="19"/>
  <c r="AP195" i="19"/>
  <c r="AP199" i="19"/>
  <c r="AP203" i="19"/>
  <c r="AP209" i="19"/>
  <c r="AP213" i="19"/>
  <c r="AP220" i="19"/>
  <c r="AP239" i="19"/>
  <c r="AP265" i="19"/>
  <c r="AP51" i="19"/>
  <c r="AP234" i="19"/>
  <c r="AP254" i="19"/>
  <c r="AP280" i="19"/>
  <c r="AP344" i="19"/>
  <c r="AP385" i="19"/>
  <c r="AP339" i="19"/>
  <c r="AP395" i="19"/>
  <c r="AP441" i="19"/>
  <c r="AP460" i="19"/>
  <c r="AP413" i="19"/>
  <c r="AP291" i="19"/>
  <c r="AP380" i="19"/>
  <c r="AP479" i="19"/>
  <c r="AP527" i="19"/>
  <c r="AP389" i="19"/>
  <c r="AP416" i="19"/>
  <c r="AP440" i="19"/>
  <c r="AP459" i="19"/>
  <c r="AP483" i="19"/>
  <c r="AP589" i="19"/>
  <c r="AP36" i="19"/>
  <c r="AP69" i="19"/>
  <c r="AP338" i="19"/>
  <c r="AP355" i="19"/>
  <c r="AP383" i="19"/>
  <c r="AP407" i="19"/>
  <c r="AP425" i="19"/>
  <c r="AP502" i="19"/>
  <c r="AP542" i="19"/>
  <c r="AP560" i="19"/>
  <c r="AP577" i="19"/>
  <c r="AP292" i="19"/>
  <c r="AP300" i="19"/>
  <c r="AP305" i="19"/>
  <c r="AP309" i="19"/>
  <c r="AP319" i="19"/>
  <c r="AP324" i="19"/>
  <c r="AP345" i="19"/>
  <c r="AP376" i="19"/>
  <c r="AP406" i="19"/>
  <c r="AP430" i="19"/>
  <c r="AP451" i="19"/>
  <c r="AP470" i="19"/>
  <c r="AP491" i="19"/>
  <c r="AP529" i="19"/>
  <c r="AP550" i="19"/>
  <c r="AP567" i="19"/>
  <c r="AP532" i="19"/>
  <c r="AP549" i="19"/>
  <c r="AP566" i="19"/>
  <c r="AP603" i="19"/>
  <c r="AP453" i="19"/>
  <c r="AP472" i="19"/>
  <c r="AP492" i="19"/>
  <c r="AP539" i="19"/>
  <c r="AP556" i="19"/>
  <c r="AP574" i="19"/>
  <c r="AP580" i="19"/>
  <c r="AP584" i="19"/>
  <c r="AP519" i="19"/>
  <c r="B57" i="19"/>
  <c r="B347" i="19"/>
  <c r="B532" i="19"/>
  <c r="B94" i="19"/>
  <c r="B299" i="19"/>
  <c r="B521" i="19"/>
  <c r="B583" i="19"/>
  <c r="B255" i="19"/>
  <c r="B542" i="19"/>
  <c r="B266" i="19"/>
  <c r="B494" i="19"/>
  <c r="B601" i="19"/>
  <c r="B592" i="19"/>
  <c r="B588" i="19"/>
  <c r="B584" i="19"/>
  <c r="B579" i="19"/>
  <c r="B575" i="19"/>
  <c r="B570" i="19"/>
  <c r="B566" i="19"/>
  <c r="B562" i="19"/>
  <c r="B556" i="19"/>
  <c r="B551" i="19"/>
  <c r="B546" i="19"/>
  <c r="B539" i="19"/>
  <c r="B533" i="19"/>
  <c r="B527" i="19"/>
  <c r="B519" i="19"/>
  <c r="B514" i="19"/>
  <c r="B502" i="19"/>
  <c r="B487" i="19"/>
  <c r="B473" i="19"/>
  <c r="B457" i="19"/>
  <c r="B435" i="19"/>
  <c r="B431" i="19"/>
  <c r="B422" i="19"/>
  <c r="B387" i="19"/>
  <c r="B358" i="19"/>
  <c r="B353" i="19"/>
  <c r="B348" i="19"/>
  <c r="B343" i="19"/>
  <c r="B339" i="19"/>
  <c r="B335" i="19"/>
  <c r="B325" i="19"/>
  <c r="B320" i="19"/>
  <c r="B315" i="19"/>
  <c r="B304" i="19"/>
  <c r="B298" i="19"/>
  <c r="B290" i="19"/>
  <c r="B284" i="19"/>
  <c r="B275" i="19"/>
  <c r="B269" i="19"/>
  <c r="B263" i="19"/>
  <c r="B257" i="19"/>
  <c r="B250" i="19"/>
  <c r="B244" i="19"/>
  <c r="B231" i="19"/>
  <c r="B225" i="19"/>
  <c r="B220" i="19"/>
  <c r="B215" i="19"/>
  <c r="B207" i="19"/>
  <c r="B202" i="19"/>
  <c r="B193" i="19"/>
  <c r="B186" i="19"/>
  <c r="B177" i="19"/>
  <c r="B170" i="19"/>
  <c r="B166" i="19"/>
  <c r="B158" i="19"/>
  <c r="B154" i="19"/>
  <c r="B146" i="19"/>
  <c r="B142" i="19"/>
  <c r="B596" i="19"/>
  <c r="B591" i="19"/>
  <c r="B587" i="19"/>
  <c r="B582" i="19"/>
  <c r="B578" i="19"/>
  <c r="B574" i="19"/>
  <c r="B569" i="19"/>
  <c r="B565" i="19"/>
  <c r="B560" i="19"/>
  <c r="B555" i="19"/>
  <c r="B550" i="19"/>
  <c r="B544" i="19"/>
  <c r="B536" i="19"/>
  <c r="B531" i="19"/>
  <c r="B526" i="19"/>
  <c r="B517" i="19"/>
  <c r="B512" i="19"/>
  <c r="B482" i="19"/>
  <c r="B472" i="19"/>
  <c r="B455" i="19"/>
  <c r="B434" i="19"/>
  <c r="B429" i="19"/>
  <c r="B421" i="19"/>
  <c r="B382" i="19"/>
  <c r="B357" i="19"/>
  <c r="B352" i="19"/>
  <c r="B346" i="19"/>
  <c r="B342" i="19"/>
  <c r="B338" i="19"/>
  <c r="B332" i="19"/>
  <c r="B324" i="19"/>
  <c r="B319" i="19"/>
  <c r="B314" i="19"/>
  <c r="B302" i="19"/>
  <c r="B296" i="19"/>
  <c r="B289" i="19"/>
  <c r="B282" i="19"/>
  <c r="B273" i="19"/>
  <c r="B268" i="19"/>
  <c r="B262" i="19"/>
  <c r="B256" i="19"/>
  <c r="B247" i="19"/>
  <c r="B243" i="19"/>
  <c r="B228" i="19"/>
  <c r="B224" i="19"/>
  <c r="B219" i="19"/>
  <c r="B214" i="19"/>
  <c r="B206" i="19"/>
  <c r="B201" i="19"/>
  <c r="B192" i="19"/>
  <c r="B181" i="19"/>
  <c r="B176" i="19"/>
  <c r="B169" i="19"/>
  <c r="B165" i="19"/>
  <c r="B157" i="19"/>
  <c r="B152" i="19"/>
  <c r="B145" i="19"/>
  <c r="B141" i="19"/>
  <c r="B136" i="19"/>
  <c r="B128" i="19"/>
  <c r="B120" i="19"/>
  <c r="B116" i="19"/>
  <c r="B112" i="19"/>
  <c r="B108" i="19"/>
  <c r="B595" i="19"/>
  <c r="B590" i="19"/>
  <c r="B586" i="19"/>
  <c r="B581" i="19"/>
  <c r="B577" i="19"/>
  <c r="B573" i="19"/>
  <c r="B568" i="19"/>
  <c r="B564" i="19"/>
  <c r="B559" i="19"/>
  <c r="B554" i="19"/>
  <c r="B548" i="19"/>
  <c r="B541" i="19"/>
  <c r="B535" i="19"/>
  <c r="B530" i="19"/>
  <c r="B516" i="19"/>
  <c r="B510" i="19"/>
  <c r="B497" i="19"/>
  <c r="B479" i="19"/>
  <c r="B471" i="19"/>
  <c r="B453" i="19"/>
  <c r="B433" i="19"/>
  <c r="B428" i="19"/>
  <c r="B419" i="19"/>
  <c r="B372" i="19"/>
  <c r="B356" i="19"/>
  <c r="B351" i="19"/>
  <c r="B345" i="19"/>
  <c r="B341" i="19"/>
  <c r="B337" i="19"/>
  <c r="B331" i="19"/>
  <c r="B323" i="19"/>
  <c r="B318" i="19"/>
  <c r="B313" i="19"/>
  <c r="B301" i="19"/>
  <c r="B295" i="19"/>
  <c r="B288" i="19"/>
  <c r="B280" i="19"/>
  <c r="B272" i="19"/>
  <c r="B267" i="19"/>
  <c r="B260" i="19"/>
  <c r="B253" i="19"/>
  <c r="B246" i="19"/>
  <c r="B241" i="19"/>
  <c r="B227" i="19"/>
  <c r="B223" i="19"/>
  <c r="B217" i="19"/>
  <c r="B213" i="19"/>
  <c r="B205" i="19"/>
  <c r="B200" i="19"/>
  <c r="B191" i="19"/>
  <c r="B179" i="19"/>
  <c r="B173" i="19"/>
  <c r="B168" i="19"/>
  <c r="B162" i="19"/>
  <c r="B156" i="19"/>
  <c r="B151" i="19"/>
  <c r="B144" i="19"/>
  <c r="B140" i="19"/>
  <c r="B134" i="19"/>
  <c r="B125" i="19"/>
  <c r="B119" i="19"/>
  <c r="B115" i="19"/>
  <c r="B594" i="19"/>
  <c r="B589" i="19"/>
  <c r="B585" i="19"/>
  <c r="B580" i="19"/>
  <c r="B576" i="19"/>
  <c r="B571" i="19"/>
  <c r="B567" i="19"/>
  <c r="B563" i="19"/>
  <c r="B558" i="19"/>
  <c r="B553" i="19"/>
  <c r="B547" i="19"/>
  <c r="B540" i="19"/>
  <c r="B534" i="19"/>
  <c r="B529" i="19"/>
  <c r="B520" i="19"/>
  <c r="B515" i="19"/>
  <c r="B508" i="19"/>
  <c r="B489" i="19"/>
  <c r="B474" i="19"/>
  <c r="B467" i="19"/>
  <c r="B447" i="19"/>
  <c r="B432" i="19"/>
  <c r="B427" i="19"/>
  <c r="B400" i="19"/>
  <c r="B360" i="19"/>
  <c r="B355" i="19"/>
  <c r="B349" i="19"/>
  <c r="B344" i="19"/>
  <c r="B340" i="19"/>
  <c r="B336" i="19"/>
  <c r="B329" i="19"/>
  <c r="B322" i="19"/>
  <c r="B317" i="19"/>
  <c r="B305" i="19"/>
  <c r="B300" i="19"/>
  <c r="B291" i="19"/>
  <c r="B285" i="19"/>
  <c r="B278" i="19"/>
  <c r="B270" i="19"/>
  <c r="B265" i="19"/>
  <c r="B258" i="19"/>
  <c r="B251" i="19"/>
  <c r="B245" i="19"/>
  <c r="B240" i="19"/>
  <c r="B226" i="19"/>
  <c r="B221" i="19"/>
  <c r="B216" i="19"/>
  <c r="B212" i="19"/>
  <c r="B203" i="19"/>
  <c r="B199" i="19"/>
  <c r="B190" i="19"/>
  <c r="B178" i="19"/>
  <c r="B171" i="19"/>
  <c r="B167" i="19"/>
  <c r="B159" i="19"/>
  <c r="B155" i="19"/>
  <c r="B149" i="19"/>
  <c r="B143" i="19"/>
  <c r="B137" i="19"/>
  <c r="B122" i="19"/>
  <c r="B113" i="19"/>
  <c r="B107" i="19"/>
  <c r="B101" i="19"/>
  <c r="B96" i="19"/>
  <c r="B82" i="19"/>
  <c r="B71" i="19"/>
  <c r="B67" i="19"/>
  <c r="B60" i="19"/>
  <c r="B51" i="19"/>
  <c r="B47" i="19"/>
  <c r="B42" i="19"/>
  <c r="B34" i="19"/>
  <c r="B28" i="19"/>
  <c r="B118" i="19"/>
  <c r="B111" i="19"/>
  <c r="B105" i="19"/>
  <c r="B100" i="19"/>
  <c r="B95" i="19"/>
  <c r="B77" i="19"/>
  <c r="B70" i="19"/>
  <c r="B65" i="19"/>
  <c r="B59" i="19"/>
  <c r="B50" i="19"/>
  <c r="B46" i="19"/>
  <c r="B41" i="19"/>
  <c r="B33" i="19"/>
  <c r="B25" i="19"/>
  <c r="B117" i="19"/>
  <c r="B110" i="19"/>
  <c r="B104" i="19"/>
  <c r="B98" i="19"/>
  <c r="B93" i="19"/>
  <c r="B74" i="19"/>
  <c r="B69" i="19"/>
  <c r="B64" i="19"/>
  <c r="B58" i="19"/>
  <c r="B49" i="19"/>
  <c r="B44" i="19"/>
  <c r="B36" i="19"/>
  <c r="B32" i="19"/>
  <c r="B24" i="19"/>
  <c r="B138" i="19"/>
  <c r="B123" i="19"/>
  <c r="B114" i="19"/>
  <c r="B109" i="19"/>
  <c r="B103" i="19"/>
  <c r="B97" i="19"/>
  <c r="B92" i="19"/>
  <c r="B72" i="19"/>
  <c r="B68" i="19"/>
  <c r="B62" i="19"/>
  <c r="B56" i="19"/>
  <c r="B48" i="19"/>
  <c r="B43" i="19"/>
  <c r="B35" i="19"/>
  <c r="B30" i="19"/>
  <c r="B23" i="19"/>
  <c r="B572" i="19"/>
  <c r="B549" i="19"/>
  <c r="B274" i="19"/>
  <c r="B230" i="19"/>
  <c r="B148" i="19"/>
  <c r="B73" i="19"/>
  <c r="B561" i="19"/>
  <c r="B490" i="19"/>
  <c r="B271" i="19"/>
  <c r="B211" i="19"/>
  <c r="B139" i="19"/>
  <c r="B557" i="19"/>
  <c r="B511" i="19"/>
  <c r="B442" i="19"/>
  <c r="B326" i="19"/>
  <c r="B261" i="19"/>
  <c r="B184" i="19"/>
  <c r="B124" i="19"/>
  <c r="B593" i="19"/>
  <c r="B552" i="19"/>
  <c r="B454" i="19"/>
  <c r="B334" i="19"/>
  <c r="B308" i="19"/>
  <c r="B248" i="19"/>
  <c r="B172" i="19"/>
  <c r="B102" i="19"/>
  <c r="B501" i="19"/>
  <c r="B513" i="19"/>
  <c r="B528" i="19"/>
  <c r="B328" i="19"/>
  <c r="B397" i="19"/>
  <c r="B392" i="19"/>
  <c r="B452" i="19"/>
  <c r="B518" i="19"/>
  <c r="B525" i="19"/>
  <c r="B22" i="19"/>
  <c r="B121" i="19"/>
  <c r="B423" i="19"/>
  <c r="B264" i="19"/>
  <c r="B438" i="19"/>
  <c r="B281" i="19"/>
  <c r="B287" i="19"/>
  <c r="B283" i="19"/>
  <c r="AP180" i="19"/>
  <c r="AP363" i="19"/>
  <c r="AP403" i="19"/>
  <c r="AP297" i="19"/>
  <c r="AP283" i="19"/>
  <c r="AP364" i="19"/>
  <c r="AP281" i="19"/>
  <c r="AP408" i="19"/>
  <c r="AP370" i="19"/>
  <c r="AP412" i="19"/>
  <c r="AP381" i="19"/>
  <c r="A46" i="19"/>
  <c r="B232" i="19"/>
  <c r="B185" i="19"/>
  <c r="B297" i="19"/>
  <c r="B126" i="19"/>
  <c r="B242" i="19"/>
  <c r="B303" i="19"/>
  <c r="B63" i="19"/>
  <c r="B175" i="19"/>
  <c r="B279" i="19"/>
  <c r="B505" i="19"/>
  <c r="B504" i="19"/>
  <c r="B163" i="19"/>
  <c r="B66" i="19"/>
  <c r="B354" i="19"/>
  <c r="B153" i="19"/>
  <c r="B106" i="19"/>
  <c r="B78" i="19"/>
  <c r="B377" i="19"/>
  <c r="B277" i="19"/>
  <c r="B218" i="19"/>
  <c r="B503" i="19"/>
  <c r="B164" i="19"/>
  <c r="B129" i="19"/>
  <c r="B174" i="19"/>
  <c r="B76" i="19"/>
  <c r="B45" i="19"/>
  <c r="B61" i="19"/>
  <c r="AP504" i="19"/>
  <c r="Y504" i="19" s="1"/>
  <c r="AP578" i="19"/>
  <c r="Y578" i="19" s="1"/>
  <c r="B286" i="19"/>
  <c r="AB537" i="19"/>
  <c r="B537" i="19" s="1"/>
  <c r="AP559" i="19"/>
  <c r="Y559" i="19" s="1"/>
  <c r="AP521" i="19"/>
  <c r="AP497" i="19"/>
  <c r="Y497" i="19" s="1"/>
  <c r="AP494" i="19"/>
  <c r="AP72" i="19"/>
  <c r="Y72" i="19" s="1"/>
  <c r="AP595" i="19"/>
  <c r="Y595" i="19" s="1"/>
  <c r="AP266" i="19"/>
  <c r="AP268" i="19"/>
  <c r="Y268" i="19" s="1"/>
  <c r="AP360" i="19"/>
  <c r="Y360" i="19" s="1"/>
  <c r="AP263" i="19"/>
  <c r="Y263" i="19" s="1"/>
  <c r="AP328" i="19"/>
  <c r="Y328" i="19" s="1"/>
  <c r="AP487" i="19"/>
  <c r="Y487" i="19" s="1"/>
  <c r="AP452" i="19"/>
  <c r="Y452" i="19" s="1"/>
  <c r="AP501" i="19"/>
  <c r="Y501" i="19" s="1"/>
  <c r="AP419" i="19"/>
  <c r="Y419" i="19" s="1"/>
  <c r="AP177" i="19"/>
  <c r="Y177" i="19" s="1"/>
  <c r="AP431" i="19"/>
  <c r="Y431" i="19" s="1"/>
  <c r="AP447" i="19"/>
  <c r="Y447" i="19" s="1"/>
  <c r="AP508" i="19"/>
  <c r="Y508" i="19" s="1"/>
  <c r="AP482" i="19"/>
  <c r="Y482" i="19" s="1"/>
  <c r="AP525" i="19"/>
  <c r="Y525" i="19" s="1"/>
  <c r="AP145" i="19"/>
  <c r="Y145" i="19" s="1"/>
  <c r="AP228" i="19"/>
  <c r="Y228" i="19" s="1"/>
  <c r="AP270" i="19"/>
  <c r="Y270" i="19" s="1"/>
  <c r="AP251" i="19"/>
  <c r="Y251" i="19" s="1"/>
  <c r="AP92" i="19"/>
  <c r="Y92" i="19" s="1"/>
  <c r="AP136" i="19"/>
  <c r="Y136" i="19" s="1"/>
  <c r="AP223" i="19"/>
  <c r="Y223" i="19" s="1"/>
  <c r="AP231" i="19"/>
  <c r="Y231" i="19" s="1"/>
  <c r="AP258" i="19"/>
  <c r="Y258" i="19" s="1"/>
  <c r="AP346" i="19"/>
  <c r="Y346" i="19" s="1"/>
  <c r="AP422" i="19"/>
  <c r="Y422" i="19" s="1"/>
  <c r="AP181" i="19"/>
  <c r="Y181" i="19" s="1"/>
  <c r="AP240" i="19"/>
  <c r="Y240" i="19" s="1"/>
  <c r="AP313" i="19"/>
  <c r="Y313" i="19" s="1"/>
  <c r="AP435" i="19"/>
  <c r="Y435" i="19" s="1"/>
  <c r="AP467" i="19"/>
  <c r="Y467" i="19" s="1"/>
  <c r="AP489" i="19"/>
  <c r="Y489" i="19" s="1"/>
  <c r="AP518" i="19"/>
  <c r="Y518" i="19" s="1"/>
  <c r="AP528" i="19"/>
  <c r="Y528" i="19" s="1"/>
  <c r="AP284" i="19"/>
  <c r="Y284" i="19" s="1"/>
  <c r="AP471" i="19"/>
  <c r="Y471" i="19" s="1"/>
  <c r="AP253" i="19"/>
  <c r="Y253" i="19" s="1"/>
  <c r="AP387" i="19"/>
  <c r="Y387" i="19" s="1"/>
  <c r="AP157" i="19"/>
  <c r="Y157" i="19" s="1"/>
  <c r="AP169" i="19"/>
  <c r="Y169" i="19" s="1"/>
  <c r="AP206" i="19"/>
  <c r="Y206" i="19" s="1"/>
  <c r="AP315" i="19"/>
  <c r="Y315" i="19" s="1"/>
  <c r="AP382" i="19"/>
  <c r="Y382" i="19" s="1"/>
  <c r="AP400" i="19"/>
  <c r="Y400" i="19" s="1"/>
  <c r="AP513" i="19"/>
  <c r="Y513" i="19" s="1"/>
  <c r="AP548" i="19"/>
  <c r="Y548" i="19" s="1"/>
  <c r="AP569" i="19"/>
  <c r="Y569" i="19" s="1"/>
  <c r="AP587" i="19"/>
  <c r="Y587" i="19" s="1"/>
  <c r="AP438" i="19"/>
  <c r="Y438" i="19" s="1"/>
  <c r="AP455" i="19"/>
  <c r="Y455" i="19" s="1"/>
  <c r="AP82" i="19"/>
  <c r="Y82" i="19" s="1"/>
  <c r="AP372" i="19"/>
  <c r="Y372" i="19" s="1"/>
  <c r="AP397" i="19"/>
  <c r="Y397" i="19" s="1"/>
  <c r="AP433" i="19"/>
  <c r="Y433" i="19" s="1"/>
  <c r="AP123" i="19"/>
  <c r="Y123" i="19" s="1"/>
  <c r="AP247" i="19"/>
  <c r="Y247" i="19" s="1"/>
  <c r="AP392" i="19"/>
  <c r="Y392" i="19" s="1"/>
  <c r="AP533" i="19"/>
  <c r="Y533" i="19" s="1"/>
  <c r="AP429" i="19"/>
  <c r="Y429" i="19" s="1"/>
  <c r="AP601" i="19"/>
  <c r="Y601" i="19" s="1"/>
  <c r="AP193" i="19"/>
  <c r="Y193" i="19" s="1"/>
  <c r="AP427" i="19"/>
  <c r="Y427" i="19" s="1"/>
  <c r="B456" i="19"/>
  <c r="AB478" i="19"/>
  <c r="B478" i="19" s="1"/>
  <c r="B180" i="19"/>
  <c r="BC28" i="42"/>
  <c r="BC17" i="42"/>
  <c r="BC31" i="42"/>
  <c r="M1" i="19"/>
  <c r="AH1" i="42" s="1"/>
  <c r="CA2" i="42" s="1"/>
  <c r="CC2" i="42" s="1"/>
  <c r="CE2" i="42" s="1"/>
  <c r="CG2" i="42" s="1"/>
  <c r="BE17" i="42"/>
  <c r="V7" i="19"/>
  <c r="BC18" i="42" s="1"/>
  <c r="N3" i="19"/>
  <c r="N4" i="19"/>
  <c r="N5" i="19"/>
  <c r="N6" i="19"/>
  <c r="N7" i="19"/>
  <c r="N8" i="19"/>
  <c r="N2" i="19"/>
  <c r="AP445" i="19" l="1"/>
  <c r="AP405" i="19"/>
  <c r="B405" i="19"/>
  <c r="AP229" i="19"/>
  <c r="B229" i="19"/>
  <c r="AP327" i="19"/>
  <c r="AP391" i="19"/>
  <c r="B391" i="19"/>
  <c r="B133" i="19"/>
  <c r="B499" i="19"/>
  <c r="B50" i="36"/>
  <c r="C49" i="36"/>
  <c r="A49" i="45" s="1"/>
  <c r="B130" i="19"/>
  <c r="AP132" i="19"/>
  <c r="B500" i="19"/>
  <c r="B135" i="19"/>
  <c r="Y494" i="19"/>
  <c r="AO494" i="19" s="1"/>
  <c r="Y521" i="19"/>
  <c r="AO521" i="19" s="1"/>
  <c r="Y266" i="19"/>
  <c r="AO266" i="19" s="1"/>
  <c r="B161" i="19"/>
  <c r="B204" i="19"/>
  <c r="B249" i="19"/>
  <c r="B350" i="19"/>
  <c r="B147" i="19"/>
  <c r="B222" i="19"/>
  <c r="B127" i="19"/>
  <c r="B276" i="19"/>
  <c r="B498" i="19"/>
  <c r="B160" i="19"/>
  <c r="B259" i="19"/>
  <c r="B359" i="19"/>
  <c r="B321" i="19"/>
  <c r="B75" i="19"/>
  <c r="B131" i="19"/>
  <c r="B150" i="19"/>
  <c r="A47" i="19"/>
  <c r="AP377" i="19"/>
  <c r="Y377" i="19" s="1"/>
  <c r="AO513" i="19"/>
  <c r="AO501" i="19"/>
  <c r="AO328" i="19"/>
  <c r="AO397" i="19"/>
  <c r="AO392" i="19"/>
  <c r="AO528" i="19"/>
  <c r="AO525" i="19"/>
  <c r="AO452" i="19"/>
  <c r="AO518" i="19"/>
  <c r="AP537" i="19"/>
  <c r="Y537" i="19" s="1"/>
  <c r="AP78" i="19"/>
  <c r="Y78" i="19" s="1"/>
  <c r="AP277" i="19"/>
  <c r="Y277" i="19" s="1"/>
  <c r="AP100" i="19"/>
  <c r="Y100" i="19" s="1"/>
  <c r="AP295" i="19"/>
  <c r="Y295" i="19" s="1"/>
  <c r="AP478" i="19"/>
  <c r="Y478" i="19" s="1"/>
  <c r="AQ56" i="19"/>
  <c r="AP56" i="19"/>
  <c r="Y56" i="19" s="1"/>
  <c r="BC32" i="42"/>
  <c r="B51" i="36" l="1"/>
  <c r="C50" i="36"/>
  <c r="A50" i="45" s="1"/>
  <c r="A48" i="19"/>
  <c r="AO537" i="19"/>
  <c r="AO478" i="19"/>
  <c r="B52" i="36" l="1"/>
  <c r="C51" i="36"/>
  <c r="A51" i="45" s="1"/>
  <c r="A49" i="19"/>
  <c r="B53" i="36" l="1"/>
  <c r="C52" i="36"/>
  <c r="A52" i="45" s="1"/>
  <c r="A50" i="19"/>
  <c r="B54" i="36" l="1"/>
  <c r="C53" i="36"/>
  <c r="A53" i="45" s="1"/>
  <c r="A51" i="19"/>
  <c r="B55" i="36" l="1"/>
  <c r="C54" i="36"/>
  <c r="A54" i="45" s="1"/>
  <c r="A52" i="19"/>
  <c r="B56" i="36" l="1"/>
  <c r="C55" i="36"/>
  <c r="A55" i="45" s="1"/>
  <c r="A53" i="19"/>
  <c r="B57" i="36" l="1"/>
  <c r="C56" i="36"/>
  <c r="A56" i="45" s="1"/>
  <c r="A54" i="19"/>
  <c r="B58" i="36" l="1"/>
  <c r="C57" i="36"/>
  <c r="A57" i="45" s="1"/>
  <c r="A55" i="19"/>
  <c r="B59" i="36" l="1"/>
  <c r="C58" i="36"/>
  <c r="A58" i="45" s="1"/>
  <c r="A56" i="19"/>
  <c r="B60" i="36" l="1"/>
  <c r="B61" i="36" s="1"/>
  <c r="C59" i="36"/>
  <c r="A59" i="45" s="1"/>
  <c r="A57" i="19"/>
  <c r="B62" i="36" l="1"/>
  <c r="C61" i="36"/>
  <c r="A61" i="45" s="1"/>
  <c r="A58" i="19"/>
  <c r="B63" i="36" l="1"/>
  <c r="C62" i="36"/>
  <c r="A62" i="45" s="1"/>
  <c r="A59" i="19"/>
  <c r="B64" i="36" l="1"/>
  <c r="B65" i="36" s="1"/>
  <c r="B66" i="36" s="1"/>
  <c r="B67" i="36" s="1"/>
  <c r="C63" i="36"/>
  <c r="A63" i="45" s="1"/>
  <c r="A60" i="19"/>
  <c r="B68" i="36" l="1"/>
  <c r="C67" i="36"/>
  <c r="A67" i="45" s="1"/>
  <c r="A61" i="19"/>
  <c r="B69" i="36" l="1"/>
  <c r="C68" i="36"/>
  <c r="A68" i="45" s="1"/>
  <c r="A62" i="19"/>
  <c r="B70" i="36" l="1"/>
  <c r="C69" i="36"/>
  <c r="A69" i="45" s="1"/>
  <c r="A63" i="19"/>
  <c r="B71" i="36" l="1"/>
  <c r="C70" i="36"/>
  <c r="A70" i="45" s="1"/>
  <c r="A64" i="19"/>
  <c r="B72" i="36" l="1"/>
  <c r="C71" i="36"/>
  <c r="A71" i="45" s="1"/>
  <c r="A65" i="19"/>
  <c r="B73" i="36" l="1"/>
  <c r="B74" i="36" s="1"/>
  <c r="B75" i="36" s="1"/>
  <c r="C72" i="36"/>
  <c r="A72" i="45" s="1"/>
  <c r="A66" i="19"/>
  <c r="B76" i="36" l="1"/>
  <c r="C75" i="36"/>
  <c r="A75" i="45" s="1"/>
  <c r="A67" i="19"/>
  <c r="B77" i="36" l="1"/>
  <c r="B78" i="36" s="1"/>
  <c r="C76" i="36"/>
  <c r="A76" i="45" s="1"/>
  <c r="A68" i="19"/>
  <c r="B79" i="36" l="1"/>
  <c r="B80" i="36" s="1"/>
  <c r="C78" i="36"/>
  <c r="A78" i="45" s="1"/>
  <c r="A69" i="19"/>
  <c r="B81" i="36" l="1"/>
  <c r="C80" i="36"/>
  <c r="A80" i="45" s="1"/>
  <c r="A70" i="19"/>
  <c r="B82" i="36" l="1"/>
  <c r="B83" i="36" s="1"/>
  <c r="C81" i="36"/>
  <c r="A81" i="45" s="1"/>
  <c r="A71" i="19"/>
  <c r="B84" i="36" l="1"/>
  <c r="B85" i="36" s="1"/>
  <c r="B86" i="36" s="1"/>
  <c r="B87" i="36" s="1"/>
  <c r="C83" i="36"/>
  <c r="A83" i="45" s="1"/>
  <c r="A72" i="19"/>
  <c r="B88" i="36" l="1"/>
  <c r="C87" i="36"/>
  <c r="A87" i="45" s="1"/>
  <c r="A73" i="19"/>
  <c r="B89" i="36" l="1"/>
  <c r="C88" i="36"/>
  <c r="A88" i="45" s="1"/>
  <c r="A74" i="19"/>
  <c r="B90" i="36" l="1"/>
  <c r="C89" i="36"/>
  <c r="A89" i="45" s="1"/>
  <c r="A75" i="19"/>
  <c r="B91" i="36" l="1"/>
  <c r="B92" i="36" s="1"/>
  <c r="B93" i="36" s="1"/>
  <c r="B94" i="36" s="1"/>
  <c r="B95" i="36" s="1"/>
  <c r="B96" i="36" s="1"/>
  <c r="B97" i="36" s="1"/>
  <c r="B98" i="36" s="1"/>
  <c r="B99" i="36" s="1"/>
  <c r="C90" i="36"/>
  <c r="A90" i="45" s="1"/>
  <c r="A76" i="19"/>
  <c r="B100" i="36" l="1"/>
  <c r="C99" i="36"/>
  <c r="A99" i="45" s="1"/>
  <c r="A77" i="19"/>
  <c r="B19" i="19"/>
  <c r="AC528" i="19"/>
  <c r="AC525" i="19"/>
  <c r="AC501" i="19"/>
  <c r="AC266" i="19"/>
  <c r="AC494" i="19"/>
  <c r="AC521" i="19"/>
  <c r="AC328" i="19"/>
  <c r="AC397" i="19"/>
  <c r="AC452" i="19"/>
  <c r="AC518" i="19"/>
  <c r="AC537" i="19"/>
  <c r="AC478" i="19"/>
  <c r="AC513" i="19"/>
  <c r="AC392" i="19"/>
  <c r="B101" i="36" l="1"/>
  <c r="C100" i="36"/>
  <c r="A100" i="45" s="1"/>
  <c r="A78" i="19"/>
  <c r="B102" i="36" l="1"/>
  <c r="C101" i="36"/>
  <c r="A101" i="45" s="1"/>
  <c r="A79" i="19"/>
  <c r="B103" i="36" l="1"/>
  <c r="C102" i="36"/>
  <c r="A102" i="45" s="1"/>
  <c r="A80" i="19"/>
  <c r="B104" i="36" l="1"/>
  <c r="C103" i="36"/>
  <c r="A103" i="45" s="1"/>
  <c r="A81" i="19"/>
  <c r="B105" i="36" l="1"/>
  <c r="C104" i="36"/>
  <c r="A104" i="45" s="1"/>
  <c r="A82" i="19"/>
  <c r="B106" i="36" l="1"/>
  <c r="C105" i="36"/>
  <c r="A105" i="45" s="1"/>
  <c r="A83" i="19"/>
  <c r="B107" i="36" l="1"/>
  <c r="C106" i="36"/>
  <c r="A106" i="45" s="1"/>
  <c r="A84" i="19"/>
  <c r="B108" i="36" l="1"/>
  <c r="C107" i="36"/>
  <c r="A107" i="45" s="1"/>
  <c r="A85" i="19"/>
  <c r="B109" i="36" l="1"/>
  <c r="C108" i="36"/>
  <c r="A108" i="45" s="1"/>
  <c r="A86" i="19"/>
  <c r="B110" i="36" l="1"/>
  <c r="B111" i="36" s="1"/>
  <c r="B112" i="36" s="1"/>
  <c r="C109" i="36"/>
  <c r="A109" i="45" s="1"/>
  <c r="A87" i="19"/>
  <c r="B113" i="36" l="1"/>
  <c r="C112" i="36"/>
  <c r="A112" i="45" s="1"/>
  <c r="A88" i="19"/>
  <c r="B114" i="36" l="1"/>
  <c r="C113" i="36"/>
  <c r="A113" i="45" s="1"/>
  <c r="A89" i="19"/>
  <c r="B115" i="36" l="1"/>
  <c r="C114" i="36"/>
  <c r="A114" i="45" s="1"/>
  <c r="A90" i="19"/>
  <c r="B116" i="36" l="1"/>
  <c r="C115" i="36"/>
  <c r="A115" i="45" s="1"/>
  <c r="A91" i="19"/>
  <c r="B117" i="36" l="1"/>
  <c r="C116" i="36"/>
  <c r="A116" i="45" s="1"/>
  <c r="A92" i="19"/>
  <c r="B118" i="36" l="1"/>
  <c r="C117" i="36"/>
  <c r="A117" i="45" s="1"/>
  <c r="A93" i="19"/>
  <c r="B119" i="36" l="1"/>
  <c r="C118" i="36"/>
  <c r="A118" i="45" s="1"/>
  <c r="A94" i="19"/>
  <c r="B120" i="36" l="1"/>
  <c r="C119" i="36"/>
  <c r="A119" i="45" s="1"/>
  <c r="A95" i="19"/>
  <c r="B121" i="36" l="1"/>
  <c r="C120" i="36"/>
  <c r="A120" i="45" s="1"/>
  <c r="A96" i="19"/>
  <c r="B122" i="36" l="1"/>
  <c r="C121" i="36"/>
  <c r="A121" i="45" s="1"/>
  <c r="A97" i="19"/>
  <c r="B123" i="36" l="1"/>
  <c r="C122" i="36"/>
  <c r="A122" i="45" s="1"/>
  <c r="A98" i="19"/>
  <c r="B124" i="36" l="1"/>
  <c r="C123" i="36"/>
  <c r="A123" i="45" s="1"/>
  <c r="A99" i="19"/>
  <c r="B125" i="36" l="1"/>
  <c r="C124" i="36"/>
  <c r="A124" i="45" s="1"/>
  <c r="A100" i="19"/>
  <c r="B126" i="36" l="1"/>
  <c r="C125" i="36"/>
  <c r="A125" i="45" s="1"/>
  <c r="A101" i="19"/>
  <c r="B127" i="36" l="1"/>
  <c r="C126" i="36"/>
  <c r="A126" i="45" s="1"/>
  <c r="A102" i="19"/>
  <c r="B128" i="36" l="1"/>
  <c r="C127" i="36"/>
  <c r="A127" i="45" s="1"/>
  <c r="A103" i="19"/>
  <c r="B129" i="36" l="1"/>
  <c r="C128" i="36"/>
  <c r="A128" i="45" s="1"/>
  <c r="A104" i="19"/>
  <c r="B130" i="36" l="1"/>
  <c r="B131" i="36" s="1"/>
  <c r="C129" i="36"/>
  <c r="A129" i="45" s="1"/>
  <c r="A105" i="19"/>
  <c r="B132" i="36" l="1"/>
  <c r="C131" i="36"/>
  <c r="A131" i="45" s="1"/>
  <c r="A106" i="19"/>
  <c r="B133" i="36" l="1"/>
  <c r="C132" i="36"/>
  <c r="A132" i="45" s="1"/>
  <c r="A107" i="19"/>
  <c r="B134" i="36" l="1"/>
  <c r="C133" i="36"/>
  <c r="A133" i="45" s="1"/>
  <c r="A108" i="19"/>
  <c r="B135" i="36" l="1"/>
  <c r="C134" i="36"/>
  <c r="A134" i="45" s="1"/>
  <c r="A109" i="19"/>
  <c r="B136" i="36" l="1"/>
  <c r="C135" i="36"/>
  <c r="A135" i="45" s="1"/>
  <c r="A110" i="19"/>
  <c r="B137" i="36" l="1"/>
  <c r="C136" i="36"/>
  <c r="A136" i="45" s="1"/>
  <c r="A111" i="19"/>
  <c r="B138" i="36" l="1"/>
  <c r="C137" i="36"/>
  <c r="A137" i="45" s="1"/>
  <c r="A112" i="19"/>
  <c r="B139" i="36" l="1"/>
  <c r="C138" i="36"/>
  <c r="A138" i="45" s="1"/>
  <c r="A113" i="19"/>
  <c r="B140" i="36" l="1"/>
  <c r="C139" i="36"/>
  <c r="A139" i="45" s="1"/>
  <c r="A114" i="19"/>
  <c r="B141" i="36" l="1"/>
  <c r="C140" i="36"/>
  <c r="A140" i="45" s="1"/>
  <c r="A115" i="19"/>
  <c r="B142" i="36" l="1"/>
  <c r="C141" i="36"/>
  <c r="A141" i="45" s="1"/>
  <c r="A116" i="19"/>
  <c r="B143" i="36" l="1"/>
  <c r="C142" i="36"/>
  <c r="A142" i="45" s="1"/>
  <c r="A117" i="19"/>
  <c r="B144" i="36" l="1"/>
  <c r="C143" i="36"/>
  <c r="A143" i="45" s="1"/>
  <c r="A118" i="19"/>
  <c r="B145" i="36" l="1"/>
  <c r="C144" i="36"/>
  <c r="A144" i="45" s="1"/>
  <c r="A119" i="19"/>
  <c r="B146" i="36" l="1"/>
  <c r="C145" i="36"/>
  <c r="A145" i="45" s="1"/>
  <c r="A120" i="19"/>
  <c r="B147" i="36" l="1"/>
  <c r="C146" i="36"/>
  <c r="A146" i="45" s="1"/>
  <c r="A121" i="19"/>
  <c r="B148" i="36" l="1"/>
  <c r="C147" i="36"/>
  <c r="A147" i="45" s="1"/>
  <c r="A122" i="19"/>
  <c r="B149" i="36" l="1"/>
  <c r="C148" i="36"/>
  <c r="A148" i="45" s="1"/>
  <c r="A123" i="19"/>
  <c r="B150" i="36" l="1"/>
  <c r="C149" i="36"/>
  <c r="A149" i="45" s="1"/>
  <c r="A124" i="19"/>
  <c r="B151" i="36" l="1"/>
  <c r="C150" i="36"/>
  <c r="A150" i="45" s="1"/>
  <c r="A125" i="19"/>
  <c r="B152" i="36" l="1"/>
  <c r="C151" i="36"/>
  <c r="A151" i="45" s="1"/>
  <c r="A126" i="19"/>
  <c r="B153" i="36" l="1"/>
  <c r="C152" i="36"/>
  <c r="A152" i="45" s="1"/>
  <c r="A127" i="19"/>
  <c r="B154" i="36" l="1"/>
  <c r="C153" i="36"/>
  <c r="A153" i="45" s="1"/>
  <c r="A128" i="19"/>
  <c r="B155" i="36" l="1"/>
  <c r="C154" i="36"/>
  <c r="A154" i="45" s="1"/>
  <c r="A129" i="19"/>
  <c r="B156" i="36" l="1"/>
  <c r="C155" i="36"/>
  <c r="A155" i="45" s="1"/>
  <c r="A130" i="19"/>
  <c r="B157" i="36" l="1"/>
  <c r="C156" i="36"/>
  <c r="A156" i="45" s="1"/>
  <c r="A131" i="19"/>
  <c r="B158" i="36" l="1"/>
  <c r="C157" i="36"/>
  <c r="A157" i="45" s="1"/>
  <c r="A132" i="19"/>
  <c r="B159" i="36" l="1"/>
  <c r="C158" i="36"/>
  <c r="A158" i="45" s="1"/>
  <c r="A133" i="19"/>
  <c r="B160" i="36" l="1"/>
  <c r="C159" i="36"/>
  <c r="A159" i="45" s="1"/>
  <c r="A134" i="19"/>
  <c r="B161" i="36" l="1"/>
  <c r="C160" i="36"/>
  <c r="A160" i="45" s="1"/>
  <c r="A135" i="19"/>
  <c r="B162" i="36" l="1"/>
  <c r="C161" i="36"/>
  <c r="A161" i="45" s="1"/>
  <c r="A136" i="19"/>
  <c r="B163" i="36" l="1"/>
  <c r="C162" i="36"/>
  <c r="A162" i="45" s="1"/>
  <c r="A137" i="19"/>
  <c r="B164" i="36" l="1"/>
  <c r="C163" i="36"/>
  <c r="A163" i="45" s="1"/>
  <c r="A138" i="19"/>
  <c r="B165" i="36" l="1"/>
  <c r="C164" i="36"/>
  <c r="A164" i="45" s="1"/>
  <c r="A139" i="19"/>
  <c r="B166" i="36" l="1"/>
  <c r="C165" i="36"/>
  <c r="A165" i="45" s="1"/>
  <c r="A140" i="19"/>
  <c r="B167" i="36" l="1"/>
  <c r="C166" i="36"/>
  <c r="A166" i="45" s="1"/>
  <c r="A141" i="19"/>
  <c r="B168" i="36" l="1"/>
  <c r="C167" i="36"/>
  <c r="A167" i="45" s="1"/>
  <c r="A142" i="19"/>
  <c r="B169" i="36" l="1"/>
  <c r="C168" i="36"/>
  <c r="A168" i="45" s="1"/>
  <c r="A143" i="19"/>
  <c r="B170" i="36" l="1"/>
  <c r="B171" i="36" s="1"/>
  <c r="C169" i="36"/>
  <c r="A169" i="45" s="1"/>
  <c r="A144" i="19"/>
  <c r="B172" i="36" l="1"/>
  <c r="C171" i="36"/>
  <c r="A171" i="45" s="1"/>
  <c r="A145" i="19"/>
  <c r="B173" i="36" l="1"/>
  <c r="B174" i="36" s="1"/>
  <c r="C172" i="36"/>
  <c r="A172" i="45" s="1"/>
  <c r="A146" i="19"/>
  <c r="B175" i="36" l="1"/>
  <c r="C174" i="36"/>
  <c r="A174" i="45" s="1"/>
  <c r="A147" i="19"/>
  <c r="B176" i="36" l="1"/>
  <c r="C175" i="36"/>
  <c r="A175" i="45" s="1"/>
  <c r="A148" i="19"/>
  <c r="B177" i="36" l="1"/>
  <c r="C176" i="36"/>
  <c r="A176" i="45" s="1"/>
  <c r="A149" i="19"/>
  <c r="B178" i="36" l="1"/>
  <c r="C177" i="36"/>
  <c r="A177" i="45" s="1"/>
  <c r="A150" i="19"/>
  <c r="B179" i="36" l="1"/>
  <c r="B180" i="36" s="1"/>
  <c r="C178" i="36"/>
  <c r="A178" i="45" s="1"/>
  <c r="A151" i="19"/>
  <c r="B181" i="36" l="1"/>
  <c r="C180" i="36"/>
  <c r="A180" i="45" s="1"/>
  <c r="A152" i="19"/>
  <c r="B182" i="36" l="1"/>
  <c r="B183" i="36" s="1"/>
  <c r="B184" i="36" s="1"/>
  <c r="B185" i="36" s="1"/>
  <c r="B186" i="36" s="1"/>
  <c r="B187" i="36" s="1"/>
  <c r="C181" i="36"/>
  <c r="A181" i="45" s="1"/>
  <c r="A153" i="19"/>
  <c r="B188" i="36" l="1"/>
  <c r="C187" i="36"/>
  <c r="A187" i="45" s="1"/>
  <c r="A154" i="19"/>
  <c r="B189" i="36" l="1"/>
  <c r="C188" i="36"/>
  <c r="A188" i="45" s="1"/>
  <c r="A155" i="19"/>
  <c r="B190" i="36" l="1"/>
  <c r="C189" i="36"/>
  <c r="A189" i="45" s="1"/>
  <c r="A156" i="19"/>
  <c r="B191" i="36" l="1"/>
  <c r="C190" i="36"/>
  <c r="A190" i="45" s="1"/>
  <c r="A157" i="19"/>
  <c r="B192" i="36" l="1"/>
  <c r="C191" i="36"/>
  <c r="A191" i="45" s="1"/>
  <c r="A158" i="19"/>
  <c r="B193" i="36" l="1"/>
  <c r="C192" i="36"/>
  <c r="A192" i="45" s="1"/>
  <c r="A159" i="19"/>
  <c r="B194" i="36" l="1"/>
  <c r="C193" i="36"/>
  <c r="A193" i="45" s="1"/>
  <c r="A160" i="19"/>
  <c r="B195" i="36" l="1"/>
  <c r="C194" i="36"/>
  <c r="A194" i="45" s="1"/>
  <c r="A161" i="19"/>
  <c r="B196" i="36" l="1"/>
  <c r="C195" i="36"/>
  <c r="A195" i="45" s="1"/>
  <c r="A162" i="19"/>
  <c r="B197" i="36" l="1"/>
  <c r="C196" i="36"/>
  <c r="A196" i="45" s="1"/>
  <c r="A163" i="19"/>
  <c r="B198" i="36" l="1"/>
  <c r="C197" i="36"/>
  <c r="A197" i="45" s="1"/>
  <c r="A164" i="19"/>
  <c r="B199" i="36" l="1"/>
  <c r="C198" i="36"/>
  <c r="A198" i="45" s="1"/>
  <c r="A165" i="19"/>
  <c r="B200" i="36" l="1"/>
  <c r="C199" i="36"/>
  <c r="A199" i="45" s="1"/>
  <c r="A166" i="19"/>
  <c r="B201" i="36" l="1"/>
  <c r="C200" i="36"/>
  <c r="A200" i="45" s="1"/>
  <c r="A167" i="19"/>
  <c r="B202" i="36" l="1"/>
  <c r="C201" i="36"/>
  <c r="A201" i="45" s="1"/>
  <c r="A168" i="19"/>
  <c r="B203" i="36" l="1"/>
  <c r="C202" i="36"/>
  <c r="A202" i="45" s="1"/>
  <c r="A169" i="19"/>
  <c r="B204" i="36" l="1"/>
  <c r="C203" i="36"/>
  <c r="A203" i="45" s="1"/>
  <c r="A170" i="19"/>
  <c r="B205" i="36" l="1"/>
  <c r="C204" i="36"/>
  <c r="A204" i="45" s="1"/>
  <c r="A171" i="19"/>
  <c r="B206" i="36" l="1"/>
  <c r="C205" i="36"/>
  <c r="A205" i="45" s="1"/>
  <c r="A172" i="19"/>
  <c r="B207" i="36" l="1"/>
  <c r="C206" i="36"/>
  <c r="A206" i="45" s="1"/>
  <c r="A173" i="19"/>
  <c r="B208" i="36" l="1"/>
  <c r="C207" i="36"/>
  <c r="A207" i="45" s="1"/>
  <c r="A174" i="19"/>
  <c r="B209" i="36" l="1"/>
  <c r="C208" i="36"/>
  <c r="A208" i="45" s="1"/>
  <c r="A175" i="19"/>
  <c r="B210" i="36" l="1"/>
  <c r="C209" i="36"/>
  <c r="A209" i="45" s="1"/>
  <c r="A176" i="19"/>
  <c r="B211" i="36" l="1"/>
  <c r="C210" i="36"/>
  <c r="A210" i="45" s="1"/>
  <c r="A177" i="19"/>
  <c r="B212" i="36" l="1"/>
  <c r="C211" i="36"/>
  <c r="A211" i="45" s="1"/>
  <c r="A178" i="19"/>
  <c r="B213" i="36" l="1"/>
  <c r="C212" i="36"/>
  <c r="A212" i="45" s="1"/>
  <c r="A179" i="19"/>
  <c r="B214" i="36" l="1"/>
  <c r="C213" i="36"/>
  <c r="A213" i="45" s="1"/>
  <c r="A180" i="19"/>
  <c r="B215" i="36" l="1"/>
  <c r="C214" i="36"/>
  <c r="A214" i="45" s="1"/>
  <c r="A181" i="19"/>
  <c r="B216" i="36" l="1"/>
  <c r="B217" i="36" s="1"/>
  <c r="C215" i="36"/>
  <c r="A215" i="45" s="1"/>
  <c r="A182" i="19"/>
  <c r="B218" i="36" l="1"/>
  <c r="C217" i="36"/>
  <c r="A217" i="45" s="1"/>
  <c r="A183" i="19"/>
  <c r="B219" i="36" l="1"/>
  <c r="C218" i="36"/>
  <c r="A218" i="45" s="1"/>
  <c r="A184" i="19"/>
  <c r="B220" i="36" l="1"/>
  <c r="C219" i="36"/>
  <c r="A219" i="45" s="1"/>
  <c r="A185" i="19"/>
  <c r="B221" i="36" l="1"/>
  <c r="C220" i="36"/>
  <c r="A220" i="45" s="1"/>
  <c r="A186" i="19"/>
  <c r="B222" i="36" l="1"/>
  <c r="B223" i="36" s="1"/>
  <c r="C221" i="36"/>
  <c r="A221" i="45" s="1"/>
  <c r="A187" i="19"/>
  <c r="B224" i="36" l="1"/>
  <c r="C223" i="36"/>
  <c r="A223" i="45" s="1"/>
  <c r="A188" i="19"/>
  <c r="B225" i="36" l="1"/>
  <c r="C224" i="36"/>
  <c r="A224" i="45" s="1"/>
  <c r="A189" i="19"/>
  <c r="B226" i="36" l="1"/>
  <c r="C225" i="36"/>
  <c r="A225" i="45" s="1"/>
  <c r="A190" i="19"/>
  <c r="B227" i="36" l="1"/>
  <c r="B228" i="36" s="1"/>
  <c r="C226" i="36"/>
  <c r="A226" i="45" s="1"/>
  <c r="A191" i="19"/>
  <c r="B229" i="36" l="1"/>
  <c r="C228" i="36"/>
  <c r="A228" i="45" s="1"/>
  <c r="A192" i="19"/>
  <c r="B230" i="36" l="1"/>
  <c r="C229" i="36"/>
  <c r="A229" i="45" s="1"/>
  <c r="A193" i="19"/>
  <c r="B231" i="36" l="1"/>
  <c r="C230" i="36"/>
  <c r="A230" i="45" s="1"/>
  <c r="A194" i="19"/>
  <c r="B232" i="36" l="1"/>
  <c r="C231" i="36"/>
  <c r="A231" i="45" s="1"/>
  <c r="A195" i="19"/>
  <c r="B233" i="36" l="1"/>
  <c r="C232" i="36"/>
  <c r="A232" i="45" s="1"/>
  <c r="A196" i="19"/>
  <c r="B234" i="36" l="1"/>
  <c r="C233" i="36"/>
  <c r="A233" i="45" s="1"/>
  <c r="A197" i="19"/>
  <c r="B235" i="36" l="1"/>
  <c r="C234" i="36"/>
  <c r="A234" i="45" s="1"/>
  <c r="A198" i="19"/>
  <c r="B236" i="36" l="1"/>
  <c r="C235" i="36"/>
  <c r="A235" i="45" s="1"/>
  <c r="A199" i="19"/>
  <c r="B237" i="36" l="1"/>
  <c r="C236" i="36"/>
  <c r="A236" i="45" s="1"/>
  <c r="A200" i="19"/>
  <c r="B238" i="36" l="1"/>
  <c r="C237" i="36"/>
  <c r="A237" i="45" s="1"/>
  <c r="A201" i="19"/>
  <c r="B239" i="36" l="1"/>
  <c r="C238" i="36"/>
  <c r="A238" i="45" s="1"/>
  <c r="A202" i="19"/>
  <c r="B240" i="36" l="1"/>
  <c r="C239" i="36"/>
  <c r="A239" i="45" s="1"/>
  <c r="A203" i="19"/>
  <c r="B241" i="36" l="1"/>
  <c r="C240" i="36"/>
  <c r="A240" i="45" s="1"/>
  <c r="A204" i="19"/>
  <c r="B242" i="36" l="1"/>
  <c r="C241" i="36"/>
  <c r="A241" i="45" s="1"/>
  <c r="A205" i="19"/>
  <c r="B243" i="36" l="1"/>
  <c r="C242" i="36"/>
  <c r="A242" i="45" s="1"/>
  <c r="A206" i="19"/>
  <c r="B244" i="36" l="1"/>
  <c r="C243" i="36"/>
  <c r="A243" i="45" s="1"/>
  <c r="A207" i="19"/>
  <c r="B245" i="36" l="1"/>
  <c r="C244" i="36"/>
  <c r="A244" i="45" s="1"/>
  <c r="A208" i="19"/>
  <c r="B246" i="36" l="1"/>
  <c r="C245" i="36"/>
  <c r="A245" i="45" s="1"/>
  <c r="A209" i="19"/>
  <c r="B247" i="36" l="1"/>
  <c r="C246" i="36"/>
  <c r="A246" i="45" s="1"/>
  <c r="A210" i="19"/>
  <c r="B248" i="36" l="1"/>
  <c r="C247" i="36"/>
  <c r="A247" i="45" s="1"/>
  <c r="A211" i="19"/>
  <c r="B249" i="36" l="1"/>
  <c r="C248" i="36"/>
  <c r="A248" i="45" s="1"/>
  <c r="A212" i="19"/>
  <c r="B250" i="36" l="1"/>
  <c r="C249" i="36"/>
  <c r="A249" i="45" s="1"/>
  <c r="A213" i="19"/>
  <c r="B251" i="36" l="1"/>
  <c r="C250" i="36"/>
  <c r="A250" i="45" s="1"/>
  <c r="A214" i="19"/>
  <c r="B252" i="36" l="1"/>
  <c r="C251" i="36"/>
  <c r="A251" i="45" s="1"/>
  <c r="A215" i="19"/>
  <c r="B253" i="36" l="1"/>
  <c r="C252" i="36"/>
  <c r="A252" i="45" s="1"/>
  <c r="A216" i="19"/>
  <c r="B254" i="36" l="1"/>
  <c r="C253" i="36"/>
  <c r="A253" i="45" s="1"/>
  <c r="A217" i="19"/>
  <c r="B255" i="36" l="1"/>
  <c r="C254" i="36"/>
  <c r="A254" i="45" s="1"/>
  <c r="A218" i="19"/>
  <c r="B256" i="36" l="1"/>
  <c r="C255" i="36"/>
  <c r="A255" i="45" s="1"/>
  <c r="A219" i="19"/>
  <c r="B257" i="36" l="1"/>
  <c r="C256" i="36"/>
  <c r="A256" i="45" s="1"/>
  <c r="A220" i="19"/>
  <c r="B258" i="36" l="1"/>
  <c r="C257" i="36"/>
  <c r="A257" i="45" s="1"/>
  <c r="A221" i="19"/>
  <c r="B259" i="36" l="1"/>
  <c r="C258" i="36"/>
  <c r="A258" i="45" s="1"/>
  <c r="A222" i="19"/>
  <c r="B260" i="36" l="1"/>
  <c r="C259" i="36"/>
  <c r="A259" i="45" s="1"/>
  <c r="A223" i="19"/>
  <c r="B261" i="36" l="1"/>
  <c r="C260" i="36"/>
  <c r="A260" i="45" s="1"/>
  <c r="A224" i="19"/>
  <c r="B262" i="36" l="1"/>
  <c r="C261" i="36"/>
  <c r="A261" i="45" s="1"/>
  <c r="A225" i="19"/>
  <c r="B263" i="36" l="1"/>
  <c r="C262" i="36"/>
  <c r="A262" i="45" s="1"/>
  <c r="A226" i="19"/>
  <c r="B264" i="36" l="1"/>
  <c r="C263" i="36"/>
  <c r="A263" i="45" s="1"/>
  <c r="A227" i="19"/>
  <c r="B265" i="36" l="1"/>
  <c r="C264" i="36"/>
  <c r="A264" i="45" s="1"/>
  <c r="A228" i="19"/>
  <c r="B266" i="36" l="1"/>
  <c r="C265" i="36"/>
  <c r="A265" i="45" s="1"/>
  <c r="A229" i="19"/>
  <c r="B267" i="36" l="1"/>
  <c r="C266" i="36"/>
  <c r="A266" i="45" s="1"/>
  <c r="A230" i="19"/>
  <c r="B268" i="36" l="1"/>
  <c r="C267" i="36"/>
  <c r="A267" i="45" s="1"/>
  <c r="A231" i="19"/>
  <c r="B269" i="36" l="1"/>
  <c r="C268" i="36"/>
  <c r="A268" i="45" s="1"/>
  <c r="A232" i="19"/>
  <c r="B270" i="36" l="1"/>
  <c r="C269" i="36"/>
  <c r="A269" i="45" s="1"/>
  <c r="A233" i="19"/>
  <c r="B271" i="36" l="1"/>
  <c r="C270" i="36"/>
  <c r="A270" i="45" s="1"/>
  <c r="A234" i="19"/>
  <c r="B272" i="36" l="1"/>
  <c r="C271" i="36"/>
  <c r="A271" i="45" s="1"/>
  <c r="A235" i="19"/>
  <c r="B273" i="36" l="1"/>
  <c r="C272" i="36"/>
  <c r="A272" i="45" s="1"/>
  <c r="A236" i="19"/>
  <c r="B274" i="36" l="1"/>
  <c r="C273" i="36"/>
  <c r="A273" i="45" s="1"/>
  <c r="A237" i="19"/>
  <c r="B275" i="36" l="1"/>
  <c r="C274" i="36"/>
  <c r="A274" i="45" s="1"/>
  <c r="A238" i="19"/>
  <c r="B276" i="36" l="1"/>
  <c r="C275" i="36"/>
  <c r="A275" i="45" s="1"/>
  <c r="A239" i="19"/>
  <c r="B277" i="36" l="1"/>
  <c r="C276" i="36"/>
  <c r="A276" i="45" s="1"/>
  <c r="A240" i="19"/>
  <c r="B278" i="36" l="1"/>
  <c r="C277" i="36"/>
  <c r="A277" i="45" s="1"/>
  <c r="A241" i="19"/>
  <c r="B279" i="36" l="1"/>
  <c r="C278" i="36"/>
  <c r="A278" i="45" s="1"/>
  <c r="A242" i="19"/>
  <c r="B280" i="36" l="1"/>
  <c r="C279" i="36"/>
  <c r="A279" i="45" s="1"/>
  <c r="A243" i="19"/>
  <c r="B281" i="36" l="1"/>
  <c r="C280" i="36"/>
  <c r="A280" i="45" s="1"/>
  <c r="A244" i="19"/>
  <c r="B282" i="36" l="1"/>
  <c r="C281" i="36"/>
  <c r="A281" i="45" s="1"/>
  <c r="A245" i="19"/>
  <c r="B283" i="36" l="1"/>
  <c r="B284" i="36" s="1"/>
  <c r="C282" i="36"/>
  <c r="A282" i="45" s="1"/>
  <c r="A246" i="19"/>
  <c r="B285" i="36" l="1"/>
  <c r="C284" i="36"/>
  <c r="A284" i="45" s="1"/>
  <c r="A247" i="19"/>
  <c r="B286" i="36" l="1"/>
  <c r="C285" i="36"/>
  <c r="A285" i="45" s="1"/>
  <c r="A248" i="19"/>
  <c r="B287" i="36" l="1"/>
  <c r="C286" i="36"/>
  <c r="A286" i="45" s="1"/>
  <c r="A249" i="19"/>
  <c r="B288" i="36" l="1"/>
  <c r="C287" i="36"/>
  <c r="A287" i="45" s="1"/>
  <c r="A250" i="19"/>
  <c r="B289" i="36" l="1"/>
  <c r="C288" i="36"/>
  <c r="A288" i="45" s="1"/>
  <c r="A251" i="19"/>
  <c r="B290" i="36" l="1"/>
  <c r="C289" i="36"/>
  <c r="A289" i="45" s="1"/>
  <c r="A252" i="19"/>
  <c r="B291" i="36" l="1"/>
  <c r="C290" i="36"/>
  <c r="A290" i="45" s="1"/>
  <c r="A253" i="19"/>
  <c r="B292" i="36" l="1"/>
  <c r="C291" i="36"/>
  <c r="A291" i="45" s="1"/>
  <c r="A254" i="19"/>
  <c r="B293" i="36" l="1"/>
  <c r="C292" i="36"/>
  <c r="A292" i="45" s="1"/>
  <c r="A255" i="19"/>
  <c r="B294" i="36" l="1"/>
  <c r="C293" i="36"/>
  <c r="A293" i="45" s="1"/>
  <c r="A256" i="19"/>
  <c r="B295" i="36" l="1"/>
  <c r="C294" i="36"/>
  <c r="A294" i="45" s="1"/>
  <c r="A257" i="19"/>
  <c r="B296" i="36" l="1"/>
  <c r="C295" i="36"/>
  <c r="A295" i="45" s="1"/>
  <c r="A258" i="19"/>
  <c r="B297" i="36" l="1"/>
  <c r="C296" i="36"/>
  <c r="A296" i="45" s="1"/>
  <c r="A259" i="19"/>
  <c r="B298" i="36" l="1"/>
  <c r="C297" i="36"/>
  <c r="A297" i="45" s="1"/>
  <c r="A260" i="19"/>
  <c r="B299" i="36" l="1"/>
  <c r="C298" i="36"/>
  <c r="A298" i="45" s="1"/>
  <c r="A261" i="19"/>
  <c r="B300" i="36" l="1"/>
  <c r="C299" i="36"/>
  <c r="A299" i="45" s="1"/>
  <c r="A262" i="19"/>
  <c r="B301" i="36" l="1"/>
  <c r="C300" i="36"/>
  <c r="A300" i="45" s="1"/>
  <c r="A263" i="19"/>
  <c r="B302" i="36" l="1"/>
  <c r="C301" i="36"/>
  <c r="A301" i="45" s="1"/>
  <c r="A264" i="19"/>
  <c r="B303" i="36" l="1"/>
  <c r="C302" i="36"/>
  <c r="A302" i="45" s="1"/>
  <c r="A265" i="19"/>
  <c r="B304" i="36" l="1"/>
  <c r="C303" i="36"/>
  <c r="A303" i="45" s="1"/>
  <c r="A266" i="19"/>
  <c r="B305" i="36" l="1"/>
  <c r="C304" i="36"/>
  <c r="A304" i="45" s="1"/>
  <c r="A267" i="19"/>
  <c r="B306" i="36" l="1"/>
  <c r="B307" i="36" s="1"/>
  <c r="C305" i="36"/>
  <c r="A305" i="45" s="1"/>
  <c r="A268" i="19"/>
  <c r="B308" i="36" l="1"/>
  <c r="C307" i="36"/>
  <c r="A307" i="45" s="1"/>
  <c r="A269" i="19"/>
  <c r="B309" i="36" l="1"/>
  <c r="C308" i="36"/>
  <c r="A308" i="45" s="1"/>
  <c r="A270" i="19"/>
  <c r="B310" i="36" l="1"/>
  <c r="C309" i="36"/>
  <c r="A309" i="45" s="1"/>
  <c r="A271" i="19"/>
  <c r="B311" i="36" l="1"/>
  <c r="C310" i="36"/>
  <c r="A310" i="45" s="1"/>
  <c r="A272" i="19"/>
  <c r="B312" i="36" l="1"/>
  <c r="C311" i="36"/>
  <c r="A311" i="45" s="1"/>
  <c r="A273" i="19"/>
  <c r="B313" i="36" l="1"/>
  <c r="C312" i="36"/>
  <c r="A312" i="45" s="1"/>
  <c r="A274" i="19"/>
  <c r="B314" i="36" l="1"/>
  <c r="C313" i="36"/>
  <c r="A313" i="45" s="1"/>
  <c r="A275" i="19"/>
  <c r="B315" i="36" l="1"/>
  <c r="C314" i="36"/>
  <c r="A314" i="45" s="1"/>
  <c r="A276" i="19"/>
  <c r="B316" i="36" l="1"/>
  <c r="C315" i="36"/>
  <c r="A315" i="45" s="1"/>
  <c r="A277" i="19"/>
  <c r="B317" i="36" l="1"/>
  <c r="C316" i="36"/>
  <c r="A316" i="45" s="1"/>
  <c r="A278" i="19"/>
  <c r="B318" i="36" l="1"/>
  <c r="C317" i="36"/>
  <c r="A317" i="45" s="1"/>
  <c r="A279" i="19"/>
  <c r="B319" i="36" l="1"/>
  <c r="C318" i="36"/>
  <c r="A318" i="45" s="1"/>
  <c r="A280" i="19"/>
  <c r="B320" i="36" l="1"/>
  <c r="C319" i="36"/>
  <c r="A319" i="45" s="1"/>
  <c r="A281" i="19"/>
  <c r="B321" i="36" l="1"/>
  <c r="C320" i="36"/>
  <c r="A320" i="45" s="1"/>
  <c r="A282" i="19"/>
  <c r="B322" i="36" l="1"/>
  <c r="C321" i="36"/>
  <c r="A321" i="45" s="1"/>
  <c r="A283" i="19"/>
  <c r="B323" i="36" l="1"/>
  <c r="C322" i="36"/>
  <c r="A322" i="45" s="1"/>
  <c r="A284" i="19"/>
  <c r="B324" i="36" l="1"/>
  <c r="C323" i="36"/>
  <c r="A323" i="45" s="1"/>
  <c r="A285" i="19"/>
  <c r="B325" i="36" l="1"/>
  <c r="C324" i="36"/>
  <c r="A324" i="45" s="1"/>
  <c r="A286" i="19"/>
  <c r="B326" i="36" l="1"/>
  <c r="C325" i="36"/>
  <c r="A325" i="45" s="1"/>
  <c r="A287" i="19"/>
  <c r="B327" i="36" l="1"/>
  <c r="C326" i="36"/>
  <c r="A326" i="45" s="1"/>
  <c r="A288" i="19"/>
  <c r="B328" i="36" l="1"/>
  <c r="C327" i="36"/>
  <c r="A327" i="45" s="1"/>
  <c r="A289" i="19"/>
  <c r="B329" i="36" l="1"/>
  <c r="C328" i="36"/>
  <c r="A328" i="45" s="1"/>
  <c r="A290" i="19"/>
  <c r="B330" i="36" l="1"/>
  <c r="C329" i="36"/>
  <c r="A329" i="45" s="1"/>
  <c r="A291" i="19"/>
  <c r="B331" i="36" l="1"/>
  <c r="C330" i="36"/>
  <c r="A330" i="45" s="1"/>
  <c r="A292" i="19"/>
  <c r="B332" i="36" l="1"/>
  <c r="C331" i="36"/>
  <c r="A331" i="45" s="1"/>
  <c r="A295" i="19"/>
  <c r="B333" i="36" l="1"/>
  <c r="C332" i="36"/>
  <c r="A332" i="45" s="1"/>
  <c r="A296" i="19"/>
  <c r="B334" i="36" l="1"/>
  <c r="C333" i="36"/>
  <c r="A333" i="45" s="1"/>
  <c r="A297" i="19"/>
  <c r="B335" i="36" l="1"/>
  <c r="C334" i="36"/>
  <c r="A334" i="45" s="1"/>
  <c r="A298" i="19"/>
  <c r="B336" i="36" l="1"/>
  <c r="C335" i="36"/>
  <c r="A335" i="45" s="1"/>
  <c r="A299" i="19"/>
  <c r="B337" i="36" l="1"/>
  <c r="C336" i="36"/>
  <c r="A336" i="45" s="1"/>
  <c r="A300" i="19"/>
  <c r="B338" i="36" l="1"/>
  <c r="C337" i="36"/>
  <c r="A337" i="45" s="1"/>
  <c r="A301" i="19"/>
  <c r="B339" i="36" l="1"/>
  <c r="C338" i="36"/>
  <c r="A338" i="45" s="1"/>
  <c r="A302" i="19"/>
  <c r="B340" i="36" l="1"/>
  <c r="B341" i="36" s="1"/>
  <c r="C339" i="36"/>
  <c r="A339" i="45" s="1"/>
  <c r="A303" i="19"/>
  <c r="B342" i="36" l="1"/>
  <c r="C341" i="36"/>
  <c r="A341" i="45" s="1"/>
  <c r="A304" i="19"/>
  <c r="B343" i="36" l="1"/>
  <c r="C342" i="36"/>
  <c r="A342" i="45" s="1"/>
  <c r="A305" i="19"/>
  <c r="B344" i="36" l="1"/>
  <c r="C343" i="36"/>
  <c r="A343" i="45" s="1"/>
  <c r="A306" i="19"/>
  <c r="B345" i="36" l="1"/>
  <c r="C344" i="36"/>
  <c r="A344" i="45" s="1"/>
  <c r="A307" i="19"/>
  <c r="B346" i="36" l="1"/>
  <c r="C345" i="36"/>
  <c r="A345" i="45" s="1"/>
  <c r="A308" i="19"/>
  <c r="B347" i="36" l="1"/>
  <c r="C346" i="36"/>
  <c r="A346" i="45" s="1"/>
  <c r="A309" i="19"/>
  <c r="B348" i="36" l="1"/>
  <c r="C347" i="36"/>
  <c r="A347" i="45" s="1"/>
  <c r="A310" i="19"/>
  <c r="B349" i="36" l="1"/>
  <c r="C348" i="36"/>
  <c r="A348" i="45" s="1"/>
  <c r="A311" i="19"/>
  <c r="B350" i="36" l="1"/>
  <c r="C349" i="36"/>
  <c r="A349" i="45" s="1"/>
  <c r="A312" i="19"/>
  <c r="B351" i="36" l="1"/>
  <c r="C350" i="36"/>
  <c r="A350" i="45" s="1"/>
  <c r="A313" i="19"/>
  <c r="B352" i="36" l="1"/>
  <c r="B353" i="36" s="1"/>
  <c r="C351" i="36"/>
  <c r="A351" i="45" s="1"/>
  <c r="A314" i="19"/>
  <c r="B354" i="36" l="1"/>
  <c r="C353" i="36"/>
  <c r="A353" i="45" s="1"/>
  <c r="A315" i="19"/>
  <c r="B355" i="36" l="1"/>
  <c r="C354" i="36"/>
  <c r="A354" i="45" s="1"/>
  <c r="A316" i="19"/>
  <c r="B356" i="36" l="1"/>
  <c r="C355" i="36"/>
  <c r="A355" i="45" s="1"/>
  <c r="A317" i="19"/>
  <c r="B357" i="36" l="1"/>
  <c r="C356" i="36"/>
  <c r="A356" i="45" s="1"/>
  <c r="A318" i="19"/>
  <c r="B358" i="36" l="1"/>
  <c r="C357" i="36"/>
  <c r="A357" i="45" s="1"/>
  <c r="A319" i="19"/>
  <c r="B359" i="36" l="1"/>
  <c r="C358" i="36"/>
  <c r="A358" i="45" s="1"/>
  <c r="A320" i="19"/>
  <c r="B360" i="36" l="1"/>
  <c r="C359" i="36"/>
  <c r="A359" i="45" s="1"/>
  <c r="A321" i="19"/>
  <c r="B361" i="36" l="1"/>
  <c r="C360" i="36"/>
  <c r="A360" i="45" s="1"/>
  <c r="A322" i="19"/>
  <c r="B362" i="36" l="1"/>
  <c r="C361" i="36"/>
  <c r="A361" i="45" s="1"/>
  <c r="A323" i="19"/>
  <c r="B363" i="36" l="1"/>
  <c r="C362" i="36"/>
  <c r="A362" i="45" s="1"/>
  <c r="A324" i="19"/>
  <c r="B364" i="36" l="1"/>
  <c r="C363" i="36"/>
  <c r="A363" i="45" s="1"/>
  <c r="A325" i="19"/>
  <c r="B365" i="36" l="1"/>
  <c r="C364" i="36"/>
  <c r="A364" i="45" s="1"/>
  <c r="A326" i="19"/>
  <c r="B366" i="36" l="1"/>
  <c r="C365" i="36"/>
  <c r="A365" i="45" s="1"/>
  <c r="A327" i="19"/>
  <c r="B367" i="36" l="1"/>
  <c r="C366" i="36"/>
  <c r="A366" i="45" s="1"/>
  <c r="A328" i="19"/>
  <c r="B368" i="36" l="1"/>
  <c r="C367" i="36"/>
  <c r="A367" i="45" s="1"/>
  <c r="A329" i="19"/>
  <c r="B369" i="36" l="1"/>
  <c r="C368" i="36"/>
  <c r="A368" i="45" s="1"/>
  <c r="A330" i="19"/>
  <c r="B370" i="36" l="1"/>
  <c r="B371" i="36" s="1"/>
  <c r="C369" i="36"/>
  <c r="A369" i="45" s="1"/>
  <c r="A331" i="19"/>
  <c r="B372" i="36" l="1"/>
  <c r="C371" i="36"/>
  <c r="A371" i="45" s="1"/>
  <c r="A332" i="19"/>
  <c r="B373" i="36" l="1"/>
  <c r="C372" i="36"/>
  <c r="A372" i="45" s="1"/>
  <c r="A333" i="19"/>
  <c r="B374" i="36" l="1"/>
  <c r="C373" i="36"/>
  <c r="A373" i="45" s="1"/>
  <c r="A334" i="19"/>
  <c r="B375" i="36" l="1"/>
  <c r="C374" i="36"/>
  <c r="A374" i="45" s="1"/>
  <c r="A335" i="19"/>
  <c r="B376" i="36" l="1"/>
  <c r="C375" i="36"/>
  <c r="A375" i="45" s="1"/>
  <c r="A336" i="19"/>
  <c r="B377" i="36" l="1"/>
  <c r="C376" i="36"/>
  <c r="A376" i="45" s="1"/>
  <c r="A337" i="19"/>
  <c r="B378" i="36" l="1"/>
  <c r="C377" i="36"/>
  <c r="A377" i="45" s="1"/>
  <c r="A338" i="19"/>
  <c r="B379" i="36" l="1"/>
  <c r="C378" i="36"/>
  <c r="A378" i="45" s="1"/>
  <c r="A339" i="19"/>
  <c r="B380" i="36" l="1"/>
  <c r="C379" i="36"/>
  <c r="A379" i="45" s="1"/>
  <c r="A340" i="19"/>
  <c r="B381" i="36" l="1"/>
  <c r="C380" i="36"/>
  <c r="A380" i="45" s="1"/>
  <c r="A341" i="19"/>
  <c r="B382" i="36" l="1"/>
  <c r="C381" i="36"/>
  <c r="A381" i="45" s="1"/>
  <c r="A342" i="19"/>
  <c r="B383" i="36" l="1"/>
  <c r="C382" i="36"/>
  <c r="A382" i="45" s="1"/>
  <c r="A343" i="19"/>
  <c r="B384" i="36" l="1"/>
  <c r="C383" i="36"/>
  <c r="A383" i="45" s="1"/>
  <c r="A344" i="19"/>
  <c r="B385" i="36" l="1"/>
  <c r="C384" i="36"/>
  <c r="A384" i="45" s="1"/>
  <c r="A345" i="19"/>
  <c r="B386" i="36" l="1"/>
  <c r="C385" i="36"/>
  <c r="A385" i="45" s="1"/>
  <c r="A346" i="19"/>
  <c r="B387" i="36" l="1"/>
  <c r="C386" i="36"/>
  <c r="A386" i="45" s="1"/>
  <c r="A347" i="19"/>
  <c r="B388" i="36" l="1"/>
  <c r="C387" i="36"/>
  <c r="A387" i="45" s="1"/>
  <c r="A348" i="19"/>
  <c r="B389" i="36" l="1"/>
  <c r="C388" i="36"/>
  <c r="A388" i="45" s="1"/>
  <c r="A349" i="19"/>
  <c r="B390" i="36" l="1"/>
  <c r="C389" i="36"/>
  <c r="A389" i="45" s="1"/>
  <c r="A350" i="19"/>
  <c r="B391" i="36" l="1"/>
  <c r="C390" i="36"/>
  <c r="A390" i="45" s="1"/>
  <c r="A351" i="19"/>
  <c r="B392" i="36" l="1"/>
  <c r="C391" i="36"/>
  <c r="A391" i="45" s="1"/>
  <c r="A353" i="19"/>
  <c r="B393" i="36" l="1"/>
  <c r="C392" i="36"/>
  <c r="A392" i="45" s="1"/>
  <c r="A354" i="19"/>
  <c r="B394" i="36" l="1"/>
  <c r="C393" i="36"/>
  <c r="A393" i="45" s="1"/>
  <c r="A355" i="19"/>
  <c r="B395" i="36" l="1"/>
  <c r="C394" i="36"/>
  <c r="A394" i="45" s="1"/>
  <c r="A356" i="19"/>
  <c r="B396" i="36" l="1"/>
  <c r="C395" i="36"/>
  <c r="A395" i="45" s="1"/>
  <c r="A357" i="19"/>
  <c r="B397" i="36" l="1"/>
  <c r="C396" i="36"/>
  <c r="A396" i="45" s="1"/>
  <c r="A358" i="19"/>
  <c r="B398" i="36" l="1"/>
  <c r="C397" i="36"/>
  <c r="A397" i="45" s="1"/>
  <c r="A359" i="19"/>
  <c r="B399" i="36" l="1"/>
  <c r="C398" i="36"/>
  <c r="A398" i="45" s="1"/>
  <c r="A360" i="19"/>
  <c r="B400" i="36" l="1"/>
  <c r="B401" i="36" s="1"/>
  <c r="C399" i="36"/>
  <c r="A399" i="45" s="1"/>
  <c r="A361" i="19"/>
  <c r="B402" i="36" l="1"/>
  <c r="C401" i="36"/>
  <c r="A401" i="45" s="1"/>
  <c r="A362" i="19"/>
  <c r="B403" i="36" l="1"/>
  <c r="C402" i="36"/>
  <c r="A402" i="45" s="1"/>
  <c r="A363" i="19"/>
  <c r="B404" i="36" l="1"/>
  <c r="C403" i="36"/>
  <c r="A403" i="45" s="1"/>
  <c r="A364" i="19"/>
  <c r="B405" i="36" l="1"/>
  <c r="C404" i="36"/>
  <c r="A404" i="45" s="1"/>
  <c r="A365" i="19"/>
  <c r="B406" i="36" l="1"/>
  <c r="C405" i="36"/>
  <c r="A405" i="45" s="1"/>
  <c r="A366" i="19"/>
  <c r="B407" i="36" l="1"/>
  <c r="C406" i="36"/>
  <c r="A406" i="45" s="1"/>
  <c r="A367" i="19"/>
  <c r="B408" i="36" l="1"/>
  <c r="C407" i="36"/>
  <c r="A407" i="45" s="1"/>
  <c r="A368" i="19"/>
  <c r="B409" i="36" l="1"/>
  <c r="C408" i="36"/>
  <c r="A408" i="45" s="1"/>
  <c r="A369" i="19"/>
  <c r="B410" i="36" l="1"/>
  <c r="B411" i="36" s="1"/>
  <c r="C409" i="36"/>
  <c r="A409" i="45" s="1"/>
  <c r="A370" i="19"/>
  <c r="B412" i="36" l="1"/>
  <c r="C411" i="36"/>
  <c r="A411" i="45" s="1"/>
  <c r="A371" i="19"/>
  <c r="B413" i="36" l="1"/>
  <c r="C412" i="36"/>
  <c r="A412" i="45" s="1"/>
  <c r="A372" i="19"/>
  <c r="B414" i="36" l="1"/>
  <c r="C413" i="36"/>
  <c r="A413" i="45" s="1"/>
  <c r="A373" i="19"/>
  <c r="B415" i="36" l="1"/>
  <c r="C414" i="36"/>
  <c r="A414" i="45" s="1"/>
  <c r="A374" i="19"/>
  <c r="B416" i="36" l="1"/>
  <c r="C415" i="36"/>
  <c r="A415" i="45" s="1"/>
  <c r="A375" i="19"/>
  <c r="B417" i="36" l="1"/>
  <c r="C416" i="36"/>
  <c r="A416" i="45" s="1"/>
  <c r="A376" i="19"/>
  <c r="B418" i="36" l="1"/>
  <c r="B419" i="36" s="1"/>
  <c r="C417" i="36"/>
  <c r="A417" i="45" s="1"/>
  <c r="A377" i="19"/>
  <c r="B420" i="36" l="1"/>
  <c r="B421" i="36" s="1"/>
  <c r="C419" i="36"/>
  <c r="A419" i="45" s="1"/>
  <c r="A378" i="19"/>
  <c r="B422" i="36" l="1"/>
  <c r="B423" i="36" s="1"/>
  <c r="C421" i="36"/>
  <c r="A421" i="45" s="1"/>
  <c r="A379" i="19"/>
  <c r="B424" i="36" l="1"/>
  <c r="C423" i="36"/>
  <c r="A423" i="45" s="1"/>
  <c r="A380" i="19"/>
  <c r="B425" i="36" l="1"/>
  <c r="B426" i="36" s="1"/>
  <c r="C424" i="36"/>
  <c r="A424" i="45" s="1"/>
  <c r="A381" i="19"/>
  <c r="B427" i="36" l="1"/>
  <c r="C426" i="36"/>
  <c r="A426" i="45" s="1"/>
  <c r="A382" i="19"/>
  <c r="B428" i="36" l="1"/>
  <c r="C427" i="36"/>
  <c r="A427" i="45" s="1"/>
  <c r="A383" i="19"/>
  <c r="B429" i="36" l="1"/>
  <c r="C428" i="36"/>
  <c r="A428" i="45" s="1"/>
  <c r="A384" i="19"/>
  <c r="B430" i="36" l="1"/>
  <c r="C429" i="36"/>
  <c r="A429" i="45" s="1"/>
  <c r="A385" i="19"/>
  <c r="B431" i="36" l="1"/>
  <c r="C430" i="36"/>
  <c r="A430" i="45" s="1"/>
  <c r="A386" i="19"/>
  <c r="B432" i="36" l="1"/>
  <c r="C431" i="36"/>
  <c r="A431" i="45" s="1"/>
  <c r="A387" i="19"/>
  <c r="B433" i="36" l="1"/>
  <c r="C432" i="36"/>
  <c r="A432" i="45" s="1"/>
  <c r="A388" i="19"/>
  <c r="B434" i="36" l="1"/>
  <c r="C433" i="36"/>
  <c r="A433" i="45" s="1"/>
  <c r="A389" i="19"/>
  <c r="B435" i="36" l="1"/>
  <c r="C434" i="36"/>
  <c r="A434" i="45" s="1"/>
  <c r="A390" i="19"/>
  <c r="B436" i="36" l="1"/>
  <c r="C435" i="36"/>
  <c r="A435" i="45" s="1"/>
  <c r="A391" i="19"/>
  <c r="B437" i="36" l="1"/>
  <c r="C436" i="36"/>
  <c r="A436" i="45" s="1"/>
  <c r="A392" i="19"/>
  <c r="B438" i="36" l="1"/>
  <c r="C437" i="36"/>
  <c r="A437" i="45" s="1"/>
  <c r="A393" i="19"/>
  <c r="B439" i="36" l="1"/>
  <c r="C438" i="36"/>
  <c r="A438" i="45" s="1"/>
  <c r="A394" i="19"/>
  <c r="B440" i="36" l="1"/>
  <c r="C439" i="36"/>
  <c r="A439" i="45" s="1"/>
  <c r="A395" i="19"/>
  <c r="B441" i="36" l="1"/>
  <c r="C440" i="36"/>
  <c r="A440" i="45" s="1"/>
  <c r="A396" i="19"/>
  <c r="B442" i="36" l="1"/>
  <c r="C441" i="36"/>
  <c r="A441" i="45" s="1"/>
  <c r="A397" i="19"/>
  <c r="B443" i="36" l="1"/>
  <c r="C442" i="36"/>
  <c r="A442" i="45" s="1"/>
  <c r="A398" i="19"/>
  <c r="B444" i="36" l="1"/>
  <c r="C443" i="36"/>
  <c r="A443" i="45" s="1"/>
  <c r="A399" i="19"/>
  <c r="B445" i="36" l="1"/>
  <c r="C444" i="36"/>
  <c r="A444" i="45" s="1"/>
  <c r="A400" i="19"/>
  <c r="B446" i="36" l="1"/>
  <c r="C445" i="36"/>
  <c r="A445" i="45" s="1"/>
  <c r="A401" i="19"/>
  <c r="B447" i="36" l="1"/>
  <c r="C446" i="36"/>
  <c r="A446" i="45" s="1"/>
  <c r="A402" i="19"/>
  <c r="B448" i="36" l="1"/>
  <c r="C447" i="36"/>
  <c r="A447" i="45" s="1"/>
  <c r="A403" i="19"/>
  <c r="B449" i="36" l="1"/>
  <c r="C448" i="36"/>
  <c r="A448" i="45" s="1"/>
  <c r="A404" i="19"/>
  <c r="B450" i="36" l="1"/>
  <c r="C449" i="36"/>
  <c r="A449" i="45" s="1"/>
  <c r="A405" i="19"/>
  <c r="B451" i="36" l="1"/>
  <c r="C450" i="36"/>
  <c r="A450" i="45" s="1"/>
  <c r="A406" i="19"/>
  <c r="B452" i="36" l="1"/>
  <c r="C451" i="36"/>
  <c r="A451" i="45" s="1"/>
  <c r="A407" i="19"/>
  <c r="B453" i="36" l="1"/>
  <c r="C452" i="36"/>
  <c r="A452" i="45" s="1"/>
  <c r="A408" i="19"/>
  <c r="B454" i="36" l="1"/>
  <c r="C453" i="36"/>
  <c r="A453" i="45" s="1"/>
  <c r="A409" i="19"/>
  <c r="B455" i="36" l="1"/>
  <c r="C454" i="36"/>
  <c r="A454" i="45" s="1"/>
  <c r="A410" i="19"/>
  <c r="B456" i="36" l="1"/>
  <c r="C455" i="36"/>
  <c r="A455" i="45" s="1"/>
  <c r="A411" i="19"/>
  <c r="B457" i="36" l="1"/>
  <c r="C456" i="36"/>
  <c r="A456" i="45" s="1"/>
  <c r="A412" i="19"/>
  <c r="B458" i="36" l="1"/>
  <c r="C457" i="36"/>
  <c r="A457" i="45" s="1"/>
  <c r="A413" i="19"/>
  <c r="B459" i="36" l="1"/>
  <c r="C458" i="36"/>
  <c r="A458" i="45" s="1"/>
  <c r="A414" i="19"/>
  <c r="B460" i="36" l="1"/>
  <c r="C459" i="36"/>
  <c r="A459" i="45" s="1"/>
  <c r="A415" i="19"/>
  <c r="B461" i="36" l="1"/>
  <c r="C460" i="36"/>
  <c r="A460" i="45" s="1"/>
  <c r="A416" i="19"/>
  <c r="B462" i="36" l="1"/>
  <c r="C461" i="36"/>
  <c r="A461" i="45" s="1"/>
  <c r="A417" i="19"/>
  <c r="B463" i="36" l="1"/>
  <c r="C462" i="36"/>
  <c r="A462" i="45" s="1"/>
  <c r="A418" i="19"/>
  <c r="B464" i="36" l="1"/>
  <c r="C463" i="36"/>
  <c r="A463" i="45" s="1"/>
  <c r="A419" i="19"/>
  <c r="B465" i="36" l="1"/>
  <c r="C464" i="36"/>
  <c r="A464" i="45" s="1"/>
  <c r="A420" i="19"/>
  <c r="B466" i="36" l="1"/>
  <c r="C465" i="36"/>
  <c r="A465" i="45" s="1"/>
  <c r="A421" i="19"/>
  <c r="B467" i="36" l="1"/>
  <c r="C466" i="36"/>
  <c r="A466" i="45" s="1"/>
  <c r="A422" i="19"/>
  <c r="B468" i="36" l="1"/>
  <c r="C467" i="36"/>
  <c r="A467" i="45" s="1"/>
  <c r="A423" i="19"/>
  <c r="B469" i="36" l="1"/>
  <c r="C468" i="36"/>
  <c r="A468" i="45" s="1"/>
  <c r="A424" i="19"/>
  <c r="B470" i="36" l="1"/>
  <c r="C469" i="36"/>
  <c r="A469" i="45" s="1"/>
  <c r="A425" i="19"/>
  <c r="B471" i="36" l="1"/>
  <c r="C470" i="36"/>
  <c r="A470" i="45" s="1"/>
  <c r="A426" i="19"/>
  <c r="B472" i="36" l="1"/>
  <c r="C471" i="36"/>
  <c r="A471" i="45" s="1"/>
  <c r="A427" i="19"/>
  <c r="B473" i="36" l="1"/>
  <c r="C472" i="36"/>
  <c r="A472" i="45" s="1"/>
  <c r="A428" i="19"/>
  <c r="B474" i="36" l="1"/>
  <c r="C473" i="36"/>
  <c r="A473" i="45" s="1"/>
  <c r="A429" i="19"/>
  <c r="B475" i="36" l="1"/>
  <c r="C474" i="36"/>
  <c r="A474" i="45" s="1"/>
  <c r="A430" i="19"/>
  <c r="B476" i="36" l="1"/>
  <c r="C475" i="36"/>
  <c r="A475" i="45" s="1"/>
  <c r="A431" i="19"/>
  <c r="B477" i="36" l="1"/>
  <c r="C476" i="36"/>
  <c r="A476" i="45" s="1"/>
  <c r="A432" i="19"/>
  <c r="B478" i="36" l="1"/>
  <c r="C477" i="36"/>
  <c r="A477" i="45" s="1"/>
  <c r="A433" i="19"/>
  <c r="B479" i="36" l="1"/>
  <c r="C478" i="36"/>
  <c r="A478" i="45" s="1"/>
  <c r="A434" i="19"/>
  <c r="B480" i="36" l="1"/>
  <c r="C479" i="36"/>
  <c r="A479" i="45" s="1"/>
  <c r="A435" i="19"/>
  <c r="B481" i="36" l="1"/>
  <c r="C480" i="36"/>
  <c r="A480" i="45" s="1"/>
  <c r="A436" i="19"/>
  <c r="B482" i="36" l="1"/>
  <c r="C481" i="36"/>
  <c r="A481" i="45" s="1"/>
  <c r="A437" i="19"/>
  <c r="B483" i="36" l="1"/>
  <c r="C482" i="36"/>
  <c r="A482" i="45" s="1"/>
  <c r="A438" i="19"/>
  <c r="B484" i="36" l="1"/>
  <c r="C483" i="36"/>
  <c r="A483" i="45" s="1"/>
  <c r="A439" i="19"/>
  <c r="B485" i="36" l="1"/>
  <c r="C484" i="36"/>
  <c r="A484" i="45" s="1"/>
  <c r="A440" i="19"/>
  <c r="B486" i="36" l="1"/>
  <c r="C485" i="36"/>
  <c r="A485" i="45" s="1"/>
  <c r="A441" i="19"/>
  <c r="B487" i="36" l="1"/>
  <c r="C486" i="36"/>
  <c r="A486" i="45" s="1"/>
  <c r="A442" i="19"/>
  <c r="B488" i="36" l="1"/>
  <c r="C487" i="36"/>
  <c r="A487" i="45" s="1"/>
  <c r="A443" i="19"/>
  <c r="B489" i="36" l="1"/>
  <c r="C488" i="36"/>
  <c r="A488" i="45" s="1"/>
  <c r="A444" i="19"/>
  <c r="B490" i="36" l="1"/>
  <c r="C489" i="36"/>
  <c r="A489" i="45" s="1"/>
  <c r="A445" i="19"/>
  <c r="B491" i="36" l="1"/>
  <c r="C490" i="36"/>
  <c r="A490" i="45" s="1"/>
  <c r="A446" i="19"/>
  <c r="B492" i="36" l="1"/>
  <c r="C491" i="36"/>
  <c r="A491" i="45" s="1"/>
  <c r="A447" i="19"/>
  <c r="B493" i="36" l="1"/>
  <c r="C492" i="36"/>
  <c r="A492" i="45" s="1"/>
  <c r="A448" i="19"/>
  <c r="B494" i="36" l="1"/>
  <c r="C493" i="36"/>
  <c r="A493" i="45" s="1"/>
  <c r="A449" i="19"/>
  <c r="B495" i="36" l="1"/>
  <c r="C494" i="36"/>
  <c r="A494" i="45" s="1"/>
  <c r="A450" i="19"/>
  <c r="B496" i="36" l="1"/>
  <c r="C495" i="36"/>
  <c r="A495" i="45" s="1"/>
  <c r="A451" i="19"/>
  <c r="B497" i="36" l="1"/>
  <c r="C496" i="36"/>
  <c r="A496" i="45" s="1"/>
  <c r="A452" i="19"/>
  <c r="B498" i="36" l="1"/>
  <c r="C497" i="36"/>
  <c r="A497" i="45" s="1"/>
  <c r="A453" i="19"/>
  <c r="B499" i="36" l="1"/>
  <c r="C498" i="36"/>
  <c r="A498" i="45" s="1"/>
  <c r="A454" i="19"/>
  <c r="B500" i="36" l="1"/>
  <c r="C499" i="36"/>
  <c r="A499" i="45" s="1"/>
  <c r="A455" i="19"/>
  <c r="B501" i="36" l="1"/>
  <c r="C500" i="36"/>
  <c r="A500" i="45" s="1"/>
  <c r="A456" i="19"/>
  <c r="B502" i="36" l="1"/>
  <c r="C501" i="36"/>
  <c r="A501" i="45" s="1"/>
  <c r="A457" i="19"/>
  <c r="B503" i="36" l="1"/>
  <c r="C502" i="36"/>
  <c r="A502" i="45" s="1"/>
  <c r="A458" i="19"/>
  <c r="B504" i="36" l="1"/>
  <c r="C503" i="36"/>
  <c r="A503" i="45" s="1"/>
  <c r="A459" i="19"/>
  <c r="B505" i="36" l="1"/>
  <c r="C504" i="36"/>
  <c r="A504" i="45" s="1"/>
  <c r="A460" i="19"/>
  <c r="B506" i="36" l="1"/>
  <c r="C505" i="36"/>
  <c r="A505" i="45" s="1"/>
  <c r="A461" i="19"/>
  <c r="B507" i="36" l="1"/>
  <c r="C506" i="36"/>
  <c r="A506" i="45" s="1"/>
  <c r="A462" i="19"/>
  <c r="B508" i="36" l="1"/>
  <c r="C507" i="36"/>
  <c r="A507" i="45" s="1"/>
  <c r="A463" i="19"/>
  <c r="B509" i="36" l="1"/>
  <c r="C508" i="36"/>
  <c r="A508" i="45" s="1"/>
  <c r="A464" i="19"/>
  <c r="B510" i="36" l="1"/>
  <c r="C509" i="36"/>
  <c r="A509" i="45" s="1"/>
  <c r="A465" i="19"/>
  <c r="B511" i="36" l="1"/>
  <c r="C510" i="36"/>
  <c r="A510" i="45" s="1"/>
  <c r="A466" i="19"/>
  <c r="B512" i="36" l="1"/>
  <c r="C511" i="36"/>
  <c r="A511" i="45" s="1"/>
  <c r="A467" i="19"/>
  <c r="B513" i="36" l="1"/>
  <c r="C512" i="36"/>
  <c r="A512" i="45" s="1"/>
  <c r="A468" i="19"/>
  <c r="B514" i="36" l="1"/>
  <c r="C513" i="36"/>
  <c r="A513" i="45" s="1"/>
  <c r="A469" i="19"/>
  <c r="B515" i="36" l="1"/>
  <c r="C514" i="36"/>
  <c r="A514" i="45" s="1"/>
  <c r="A470" i="19"/>
  <c r="B516" i="36" l="1"/>
  <c r="C515" i="36"/>
  <c r="A515" i="45" s="1"/>
  <c r="A471" i="19"/>
  <c r="B517" i="36" l="1"/>
  <c r="C516" i="36"/>
  <c r="A516" i="45" s="1"/>
  <c r="A472" i="19"/>
  <c r="B518" i="36" l="1"/>
  <c r="C517" i="36"/>
  <c r="A517" i="45" s="1"/>
  <c r="A473" i="19"/>
  <c r="B519" i="36" l="1"/>
  <c r="C518" i="36"/>
  <c r="A518" i="45" s="1"/>
  <c r="A474" i="19"/>
  <c r="B520" i="36" l="1"/>
  <c r="C519" i="36"/>
  <c r="A519" i="45" s="1"/>
  <c r="A475" i="19"/>
  <c r="B521" i="36" l="1"/>
  <c r="C520" i="36"/>
  <c r="A520" i="45" s="1"/>
  <c r="A476" i="19"/>
  <c r="B522" i="36" l="1"/>
  <c r="C521" i="36"/>
  <c r="A521" i="45" s="1"/>
  <c r="A477" i="19"/>
  <c r="B523" i="36" l="1"/>
  <c r="C522" i="36"/>
  <c r="A522" i="45" s="1"/>
  <c r="A478" i="19"/>
  <c r="B524" i="36" l="1"/>
  <c r="C523" i="36"/>
  <c r="A523" i="45" s="1"/>
  <c r="A479" i="19"/>
  <c r="B525" i="36" l="1"/>
  <c r="C524" i="36"/>
  <c r="A524" i="45" s="1"/>
  <c r="A480" i="19"/>
  <c r="B526" i="36" l="1"/>
  <c r="C525" i="36"/>
  <c r="A525" i="45" s="1"/>
  <c r="A481" i="19"/>
  <c r="B527" i="36" l="1"/>
  <c r="C526" i="36"/>
  <c r="A526" i="45" s="1"/>
  <c r="A482" i="19"/>
  <c r="B528" i="36" l="1"/>
  <c r="C527" i="36"/>
  <c r="A527" i="45" s="1"/>
  <c r="A483" i="19"/>
  <c r="B529" i="36" l="1"/>
  <c r="C528" i="36"/>
  <c r="A528" i="45" s="1"/>
  <c r="A484" i="19"/>
  <c r="B530" i="36" l="1"/>
  <c r="C529" i="36"/>
  <c r="A529" i="45" s="1"/>
  <c r="A485" i="19"/>
  <c r="B531" i="36" l="1"/>
  <c r="C530" i="36"/>
  <c r="A530" i="45" s="1"/>
  <c r="A486" i="19"/>
  <c r="B532" i="36" l="1"/>
  <c r="C531" i="36"/>
  <c r="A531" i="45" s="1"/>
  <c r="A487" i="19"/>
  <c r="B533" i="36" l="1"/>
  <c r="C532" i="36"/>
  <c r="A532" i="45" s="1"/>
  <c r="A488" i="19"/>
  <c r="B534" i="36" l="1"/>
  <c r="C533" i="36"/>
  <c r="A533" i="45" s="1"/>
  <c r="A489" i="19"/>
  <c r="B535" i="36" l="1"/>
  <c r="C534" i="36"/>
  <c r="A534" i="45" s="1"/>
  <c r="A490" i="19"/>
  <c r="B536" i="36" l="1"/>
  <c r="C535" i="36"/>
  <c r="A535" i="45" s="1"/>
  <c r="A491" i="19"/>
  <c r="B537" i="36" l="1"/>
  <c r="C536" i="36"/>
  <c r="A536" i="45" s="1"/>
  <c r="A492" i="19"/>
  <c r="B538" i="36" l="1"/>
  <c r="C537" i="36"/>
  <c r="A537" i="45" s="1"/>
  <c r="A493" i="19"/>
  <c r="B539" i="36" l="1"/>
  <c r="C538" i="36"/>
  <c r="A538" i="45" s="1"/>
  <c r="A494" i="19"/>
  <c r="B540" i="36" l="1"/>
  <c r="C539" i="36"/>
  <c r="A539" i="45" s="1"/>
  <c r="A495" i="19"/>
  <c r="B541" i="36" l="1"/>
  <c r="C540" i="36"/>
  <c r="A540" i="45" s="1"/>
  <c r="A496" i="19"/>
  <c r="B542" i="36" l="1"/>
  <c r="C541" i="36"/>
  <c r="A541" i="45" s="1"/>
  <c r="A497" i="19"/>
  <c r="B543" i="36" l="1"/>
  <c r="C542" i="36"/>
  <c r="A542" i="45" s="1"/>
  <c r="A498" i="19"/>
  <c r="B544" i="36" l="1"/>
  <c r="C544" i="36" s="1"/>
  <c r="A544" i="45" s="1"/>
  <c r="C543" i="36"/>
  <c r="A543" i="45" s="1"/>
  <c r="A499" i="19"/>
  <c r="A500" i="19" l="1"/>
  <c r="A501" i="19" l="1"/>
  <c r="A502" i="19" l="1"/>
  <c r="A503" i="19" l="1"/>
  <c r="A504" i="19" l="1"/>
  <c r="A505" i="19" l="1"/>
  <c r="A506" i="19" l="1"/>
  <c r="A507" i="19" l="1"/>
  <c r="A508" i="19" l="1"/>
  <c r="A509" i="19" l="1"/>
  <c r="A510" i="19" l="1"/>
  <c r="A511" i="19" l="1"/>
  <c r="A512" i="19" l="1"/>
  <c r="A513" i="19" l="1"/>
  <c r="A514" i="19" l="1"/>
  <c r="A515" i="19" l="1"/>
  <c r="A516" i="19" l="1"/>
  <c r="A517" i="19" l="1"/>
  <c r="A518" i="19" l="1"/>
  <c r="A519" i="19" l="1"/>
  <c r="A520" i="19" l="1"/>
  <c r="A521" i="19" l="1"/>
  <c r="A522" i="19" l="1"/>
  <c r="A523" i="19" l="1"/>
  <c r="A524" i="19" l="1"/>
  <c r="A525" i="19" l="1"/>
  <c r="A526" i="19" l="1"/>
  <c r="A527" i="19" l="1"/>
  <c r="A528" i="19" l="1"/>
  <c r="A529" i="19" l="1"/>
  <c r="A530" i="19" l="1"/>
  <c r="A531" i="19" l="1"/>
  <c r="A532" i="19" l="1"/>
  <c r="A533" i="19" l="1"/>
  <c r="A534" i="19" l="1"/>
  <c r="A535" i="19" l="1"/>
  <c r="A536" i="19" l="1"/>
  <c r="A537" i="19" l="1"/>
  <c r="A538" i="19" l="1"/>
  <c r="A539" i="19" l="1"/>
  <c r="A540" i="19" l="1"/>
  <c r="A541" i="19" l="1"/>
  <c r="A542" i="19" l="1"/>
  <c r="A543" i="19" l="1"/>
  <c r="A544" i="19" l="1"/>
  <c r="A545" i="19" l="1"/>
  <c r="A546" i="19" l="1"/>
  <c r="A547" i="19" l="1"/>
  <c r="A548" i="19" l="1"/>
  <c r="A549" i="19" l="1"/>
  <c r="A550" i="19" l="1"/>
  <c r="A551" i="19" l="1"/>
  <c r="A552" i="19" l="1"/>
  <c r="A553" i="19" l="1"/>
  <c r="A554" i="19" l="1"/>
  <c r="A555" i="19" l="1"/>
  <c r="A556" i="19" l="1"/>
  <c r="A557" i="19" l="1"/>
  <c r="A558" i="19" l="1"/>
  <c r="A559" i="19" l="1"/>
  <c r="A560" i="19" l="1"/>
  <c r="A561" i="19" l="1"/>
  <c r="A562" i="19" l="1"/>
  <c r="A563" i="19" l="1"/>
  <c r="A564" i="19" l="1"/>
  <c r="A565" i="19" l="1"/>
  <c r="A566" i="19" l="1"/>
  <c r="A567" i="19" l="1"/>
  <c r="A568" i="19" l="1"/>
  <c r="A569" i="19" l="1"/>
  <c r="A570" i="19" l="1"/>
  <c r="A571" i="19" l="1"/>
  <c r="A572" i="19" l="1"/>
  <c r="A573" i="19" l="1"/>
  <c r="A574" i="19" l="1"/>
  <c r="A575" i="19" l="1"/>
  <c r="A576" i="19" l="1"/>
  <c r="A577" i="19" l="1"/>
  <c r="A578" i="19" l="1"/>
  <c r="A579" i="19" l="1"/>
  <c r="A580" i="19" l="1"/>
  <c r="A581" i="19" l="1"/>
  <c r="A582" i="19" l="1"/>
  <c r="A583" i="19" l="1"/>
  <c r="A584" i="19" l="1"/>
  <c r="A585" i="19" l="1"/>
  <c r="A586" i="19" l="1"/>
  <c r="A587" i="19" l="1"/>
  <c r="A588" i="19" l="1"/>
  <c r="A589" i="19" l="1"/>
  <c r="A590" i="19" l="1"/>
  <c r="A591" i="19" l="1"/>
  <c r="A592" i="19" l="1"/>
  <c r="A593" i="19" l="1"/>
  <c r="A594" i="19" l="1"/>
  <c r="A595" i="19" l="1"/>
  <c r="A596" i="19" l="1"/>
  <c r="A597" i="19" l="1"/>
  <c r="A598" i="19" l="1"/>
  <c r="A599" i="19" l="1"/>
  <c r="A600" i="19" l="1"/>
  <c r="A602" i="19" l="1"/>
  <c r="A603" i="19" l="1"/>
  <c r="A604" i="19" l="1"/>
  <c r="AP32" i="45" l="1"/>
  <c r="AP28" i="45"/>
  <c r="AP30" i="45"/>
  <c r="AP26" i="45"/>
  <c r="AP33" i="45"/>
  <c r="AP24" i="45"/>
  <c r="E1120" i="35" l="1"/>
  <c r="E1118" i="35"/>
  <c r="E1138" i="35"/>
  <c r="AO24" i="45"/>
  <c r="AC24" i="45" s="1"/>
  <c r="AO30" i="45"/>
  <c r="AC30" i="45" s="1"/>
  <c r="AO33" i="45"/>
  <c r="AC33" i="45" s="1"/>
  <c r="AO26" i="45"/>
  <c r="AC26" i="45" s="1"/>
  <c r="AO28" i="45"/>
  <c r="AC28" i="45" s="1"/>
  <c r="AO32" i="45"/>
  <c r="AC32" i="45" s="1"/>
  <c r="F1138" i="35" l="1"/>
  <c r="I1138" i="35" s="1"/>
  <c r="H1138" i="35"/>
  <c r="H1118" i="35"/>
  <c r="F1118" i="35"/>
  <c r="I1118" i="35" s="1"/>
  <c r="E1096" i="35"/>
  <c r="E1095" i="35"/>
  <c r="F1120" i="35"/>
  <c r="I1120" i="35" s="1"/>
  <c r="H1120" i="35"/>
  <c r="G1120" i="35" l="1"/>
  <c r="J1120" i="35" s="1"/>
  <c r="G1138" i="35"/>
  <c r="J1138" i="35" s="1"/>
  <c r="H1095" i="35"/>
  <c r="F1095" i="35"/>
  <c r="I1095" i="35" s="1"/>
  <c r="H1096" i="35"/>
  <c r="F1096" i="35"/>
  <c r="I1096" i="35" s="1"/>
  <c r="G1118" i="35"/>
  <c r="J1118" i="35" s="1"/>
  <c r="G1096" i="35" l="1"/>
  <c r="J1096" i="35" s="1"/>
  <c r="G1095" i="35"/>
  <c r="J1095" i="35" s="1"/>
  <c r="E1131" i="35" l="1"/>
  <c r="E1134" i="35"/>
  <c r="E1121" i="35"/>
  <c r="E1128" i="35"/>
  <c r="E1126" i="35"/>
  <c r="E1124" i="35" l="1"/>
  <c r="I1124" i="35"/>
  <c r="F1121" i="35"/>
  <c r="I1121" i="35" s="1"/>
  <c r="H1121" i="35"/>
  <c r="E1119" i="35"/>
  <c r="I1119" i="35"/>
  <c r="F1126" i="35"/>
  <c r="I1126" i="35" s="1"/>
  <c r="H1126" i="35"/>
  <c r="F1128" i="35"/>
  <c r="I1128" i="35" s="1"/>
  <c r="H1128" i="35"/>
  <c r="F1134" i="35"/>
  <c r="I1134" i="35" s="1"/>
  <c r="H1134" i="35"/>
  <c r="F1131" i="35"/>
  <c r="I1131" i="35" s="1"/>
  <c r="H1131" i="35"/>
  <c r="G1134" i="35" l="1"/>
  <c r="J1134" i="35" s="1"/>
  <c r="G1126" i="35"/>
  <c r="J1126" i="35" s="1"/>
  <c r="G1131" i="35"/>
  <c r="J1131" i="35" s="1"/>
  <c r="G1121" i="35"/>
  <c r="J1121" i="35" s="1"/>
  <c r="G1128" i="35"/>
  <c r="J1128" i="35" s="1"/>
  <c r="H1119" i="35"/>
  <c r="F1119" i="35"/>
  <c r="H1124" i="35"/>
  <c r="F1124" i="35"/>
  <c r="G1124" i="35" l="1"/>
  <c r="J1124" i="35" s="1"/>
  <c r="G1119" i="35"/>
  <c r="J1119" i="35" s="1"/>
  <c r="AP168" i="45" l="1"/>
  <c r="AP119" i="45"/>
  <c r="AP115" i="45"/>
  <c r="AP141" i="45"/>
  <c r="AP81" i="45"/>
  <c r="AP44" i="45"/>
  <c r="AP79" i="45"/>
  <c r="AP72" i="45"/>
  <c r="AP92" i="45"/>
  <c r="AP94" i="45"/>
  <c r="AP118" i="45"/>
  <c r="AP173" i="45"/>
  <c r="AP120" i="45"/>
  <c r="AP101" i="45"/>
  <c r="AP121" i="45"/>
  <c r="AP117" i="45"/>
  <c r="AP162" i="45"/>
  <c r="AP165" i="45"/>
  <c r="AP130" i="45"/>
  <c r="AP107" i="45"/>
  <c r="AP88" i="45"/>
  <c r="AP82" i="45"/>
  <c r="AP46" i="45"/>
  <c r="AP48" i="45"/>
  <c r="AP139" i="45"/>
  <c r="AP41" i="45"/>
  <c r="AP87" i="45"/>
  <c r="AP166" i="45"/>
  <c r="AP93" i="45"/>
  <c r="AP83" i="45"/>
  <c r="AP96" i="45"/>
  <c r="AP125" i="45"/>
  <c r="AP99" i="45"/>
  <c r="AP95" i="45"/>
  <c r="AP80" i="45"/>
  <c r="AP35" i="45"/>
  <c r="AP266" i="45"/>
  <c r="AP249" i="45"/>
  <c r="AP217" i="45"/>
  <c r="AP237" i="45"/>
  <c r="AP219" i="45"/>
  <c r="AP275" i="45"/>
  <c r="AP277" i="45"/>
  <c r="AP257" i="45"/>
  <c r="AP202" i="45"/>
  <c r="AP200" i="45"/>
  <c r="AP273" i="45"/>
  <c r="AP221" i="45"/>
  <c r="AP158" i="45"/>
  <c r="AP103" i="45"/>
  <c r="AP145" i="45"/>
  <c r="AP97" i="45"/>
  <c r="AP105" i="45"/>
  <c r="AP215" i="45"/>
  <c r="AP85" i="45"/>
  <c r="AP302" i="45"/>
  <c r="AP218" i="45"/>
  <c r="AP206" i="45"/>
  <c r="AP211" i="45"/>
  <c r="AP321" i="45"/>
  <c r="AP135" i="45"/>
  <c r="AP325" i="45"/>
  <c r="AP111" i="45"/>
  <c r="AP319" i="45"/>
  <c r="AP123" i="45"/>
  <c r="AP311" i="45"/>
  <c r="AP235" i="45"/>
  <c r="AP315" i="45"/>
  <c r="AP317" i="45"/>
  <c r="AP208" i="45"/>
  <c r="AO80" i="45" l="1"/>
  <c r="AC80" i="45" s="1"/>
  <c r="AO125" i="45"/>
  <c r="AC125" i="45" s="1"/>
  <c r="AO96" i="45"/>
  <c r="AC96" i="45" s="1"/>
  <c r="AO83" i="45"/>
  <c r="AC83" i="45" s="1"/>
  <c r="AO87" i="45"/>
  <c r="AC87" i="45" s="1"/>
  <c r="AO139" i="45"/>
  <c r="AC139" i="45" s="1"/>
  <c r="AO81" i="45"/>
  <c r="AC81" i="45" s="1"/>
  <c r="AO119" i="45"/>
  <c r="AC119" i="45" s="1"/>
  <c r="AO35" i="45"/>
  <c r="AC35" i="45" s="1"/>
  <c r="AO41" i="45"/>
  <c r="AC41" i="45" s="1"/>
  <c r="AO82" i="45"/>
  <c r="AC82" i="45" s="1"/>
  <c r="AO107" i="45"/>
  <c r="AC107" i="45" s="1"/>
  <c r="AO162" i="45"/>
  <c r="AC162" i="45" s="1"/>
  <c r="AO117" i="45"/>
  <c r="AC117" i="45" s="1"/>
  <c r="AO118" i="45"/>
  <c r="AC118" i="45" s="1"/>
  <c r="AO94" i="45"/>
  <c r="AC94" i="45" s="1"/>
  <c r="AO115" i="45"/>
  <c r="AC115" i="45" s="1"/>
  <c r="AO168" i="45"/>
  <c r="AC168" i="45" s="1"/>
  <c r="AO99" i="45"/>
  <c r="AC99" i="45" s="1"/>
  <c r="AO166" i="45"/>
  <c r="AC166" i="45" s="1"/>
  <c r="AO46" i="45"/>
  <c r="AC46" i="45" s="1"/>
  <c r="AO88" i="45"/>
  <c r="AC88" i="45" s="1"/>
  <c r="AO130" i="45"/>
  <c r="AC130" i="45" s="1"/>
  <c r="AO121" i="45"/>
  <c r="AC121" i="45" s="1"/>
  <c r="AO101" i="45"/>
  <c r="AC101" i="45" s="1"/>
  <c r="AO173" i="45"/>
  <c r="AC173" i="45" s="1"/>
  <c r="AO92" i="45"/>
  <c r="AC92" i="45" s="1"/>
  <c r="AO72" i="45"/>
  <c r="AC72" i="45" s="1"/>
  <c r="AO44" i="45"/>
  <c r="AC44" i="45" s="1"/>
  <c r="AO141" i="45"/>
  <c r="AC141" i="45" s="1"/>
  <c r="AO95" i="45"/>
  <c r="AC95" i="45" s="1"/>
  <c r="AO93" i="45"/>
  <c r="AC93" i="45" s="1"/>
  <c r="AO48" i="45"/>
  <c r="AC48" i="45" s="1"/>
  <c r="AO165" i="45"/>
  <c r="AC165" i="45" s="1"/>
  <c r="AO120" i="45"/>
  <c r="AC120" i="45" s="1"/>
  <c r="AO79" i="45"/>
  <c r="AC79" i="45" s="1"/>
  <c r="AO237" i="45"/>
  <c r="AC237" i="45" s="1"/>
  <c r="AO217" i="45"/>
  <c r="AC217" i="45" s="1"/>
  <c r="AO266" i="45"/>
  <c r="AC266" i="45" s="1"/>
  <c r="AO277" i="45"/>
  <c r="AC277" i="45" s="1"/>
  <c r="AO257" i="45"/>
  <c r="AC257" i="45" s="1"/>
  <c r="AO249" i="45"/>
  <c r="AC249" i="45" s="1"/>
  <c r="AO275" i="45"/>
  <c r="AC275" i="45" s="1"/>
  <c r="AO219" i="45"/>
  <c r="AC219" i="45" s="1"/>
  <c r="AO221" i="45"/>
  <c r="AC221" i="45" s="1"/>
  <c r="AO273" i="45"/>
  <c r="AC273" i="45" s="1"/>
  <c r="AO200" i="45"/>
  <c r="AC200" i="45" s="1"/>
  <c r="AO202" i="45"/>
  <c r="AC202" i="45" s="1"/>
  <c r="AO103" i="45"/>
  <c r="AC103" i="45" s="1"/>
  <c r="AO158" i="45"/>
  <c r="AC158" i="45" s="1"/>
  <c r="AO145" i="45"/>
  <c r="AC145" i="45" s="1"/>
  <c r="AO302" i="45"/>
  <c r="AC302" i="45" s="1"/>
  <c r="AO215" i="45"/>
  <c r="AC215" i="45" s="1"/>
  <c r="AO105" i="45"/>
  <c r="AC105" i="45" s="1"/>
  <c r="AO85" i="45"/>
  <c r="AC85" i="45" s="1"/>
  <c r="AO97" i="45"/>
  <c r="AC97" i="45" s="1"/>
  <c r="AO218" i="45"/>
  <c r="AC218" i="45" s="1"/>
  <c r="AO206" i="45"/>
  <c r="AC206" i="45" s="1"/>
  <c r="AO211" i="45"/>
  <c r="AC211" i="45" s="1"/>
  <c r="AO208" i="45"/>
  <c r="AC208" i="45" s="1"/>
  <c r="AO111" i="45"/>
  <c r="AC111" i="45" s="1"/>
  <c r="AS508" i="19"/>
  <c r="AS181" i="19"/>
  <c r="AS471" i="19"/>
  <c r="E1104" i="35"/>
  <c r="AS284" i="19"/>
  <c r="AS377" i="19"/>
  <c r="AS313" i="19"/>
  <c r="AS193" i="19"/>
  <c r="AS145" i="19"/>
  <c r="AS295" i="19"/>
  <c r="E1115" i="35"/>
  <c r="AS587" i="19"/>
  <c r="E1110" i="35"/>
  <c r="AS253" i="19"/>
  <c r="AS387" i="19"/>
  <c r="E1103" i="35"/>
  <c r="E1137" i="35"/>
  <c r="AS455" i="19"/>
  <c r="E1132" i="35"/>
  <c r="E1117" i="35"/>
  <c r="AS422" i="19"/>
  <c r="E1113" i="35"/>
  <c r="E1100" i="35"/>
  <c r="E1098" i="35"/>
  <c r="AS206" i="19"/>
  <c r="AS360" i="19"/>
  <c r="AO321" i="45"/>
  <c r="AC321" i="45" s="1"/>
  <c r="AO123" i="45"/>
  <c r="AC123" i="45" s="1"/>
  <c r="AS247" i="19"/>
  <c r="AS123" i="19"/>
  <c r="E1114" i="35"/>
  <c r="E1127" i="35"/>
  <c r="E1130" i="35"/>
  <c r="AS268" i="19"/>
  <c r="AS136" i="19"/>
  <c r="AS258" i="19"/>
  <c r="AS482" i="19"/>
  <c r="AS228" i="19"/>
  <c r="AS601" i="19"/>
  <c r="AS251" i="19"/>
  <c r="AO317" i="45"/>
  <c r="AC317" i="45" s="1"/>
  <c r="E1133" i="35"/>
  <c r="AS489" i="19"/>
  <c r="AS435" i="19"/>
  <c r="AS595" i="19"/>
  <c r="AS372" i="19"/>
  <c r="AS504" i="19"/>
  <c r="AS447" i="19"/>
  <c r="AS56" i="19"/>
  <c r="AS240" i="19"/>
  <c r="AS431" i="19"/>
  <c r="E1102" i="35"/>
  <c r="AS533" i="19"/>
  <c r="E1136" i="35"/>
  <c r="AS429" i="19"/>
  <c r="AS263" i="19"/>
  <c r="AS346" i="19"/>
  <c r="AS382" i="19"/>
  <c r="AS177" i="19"/>
  <c r="AO135" i="45"/>
  <c r="AC135" i="45" s="1"/>
  <c r="AS157" i="19"/>
  <c r="AS169" i="19"/>
  <c r="AS578" i="19"/>
  <c r="E1116" i="35"/>
  <c r="AS78" i="19"/>
  <c r="E1111" i="35"/>
  <c r="E1139" i="35"/>
  <c r="AS548" i="19"/>
  <c r="AS427" i="19"/>
  <c r="AS277" i="19"/>
  <c r="AS559" i="19"/>
  <c r="E1122" i="35"/>
  <c r="E1108" i="35"/>
  <c r="AS72" i="19"/>
  <c r="AS223" i="19"/>
  <c r="AS497" i="19"/>
  <c r="AS569" i="19"/>
  <c r="E1106" i="35"/>
  <c r="E1135" i="35"/>
  <c r="AS419" i="19"/>
  <c r="AS315" i="19"/>
  <c r="AO315" i="45"/>
  <c r="AC315" i="45" s="1"/>
  <c r="AO311" i="45"/>
  <c r="AC311" i="45" s="1"/>
  <c r="AS400" i="19"/>
  <c r="AS92" i="19"/>
  <c r="AS82" i="19"/>
  <c r="E1107" i="35"/>
  <c r="AS438" i="19"/>
  <c r="E1105" i="35"/>
  <c r="E1125" i="35"/>
  <c r="AS231" i="19"/>
  <c r="AS270" i="19"/>
  <c r="E1123" i="35"/>
  <c r="E1129" i="35"/>
  <c r="AO325" i="45"/>
  <c r="AC325" i="45" s="1"/>
  <c r="AO235" i="45"/>
  <c r="AC235" i="45" s="1"/>
  <c r="AO319" i="45"/>
  <c r="AC319" i="45" s="1"/>
  <c r="E1109" i="35"/>
  <c r="E1097" i="35"/>
  <c r="AS100" i="19"/>
  <c r="E1112" i="35"/>
  <c r="AS433" i="19"/>
  <c r="E1099" i="35"/>
  <c r="AS467" i="19"/>
  <c r="AS487" i="19"/>
  <c r="AR467" i="19" l="1"/>
  <c r="AO72" i="19"/>
  <c r="AO427" i="19"/>
  <c r="AR177" i="19"/>
  <c r="AR431" i="19"/>
  <c r="AR240" i="19"/>
  <c r="AR372" i="19"/>
  <c r="AR251" i="19"/>
  <c r="AO601" i="19"/>
  <c r="AO228" i="19"/>
  <c r="AO482" i="19"/>
  <c r="AO268" i="19"/>
  <c r="F1113" i="35"/>
  <c r="I1113" i="35" s="1"/>
  <c r="H1113" i="35"/>
  <c r="F1132" i="35"/>
  <c r="I1132" i="35" s="1"/>
  <c r="H1132" i="35"/>
  <c r="AR295" i="19"/>
  <c r="AR145" i="19"/>
  <c r="AO313" i="19"/>
  <c r="AR471" i="19"/>
  <c r="AR100" i="19"/>
  <c r="AO270" i="19"/>
  <c r="AR315" i="19"/>
  <c r="AR427" i="19"/>
  <c r="H1139" i="35"/>
  <c r="F1139" i="35"/>
  <c r="I1139" i="35" s="1"/>
  <c r="AO578" i="19"/>
  <c r="AR157" i="19"/>
  <c r="AO177" i="19"/>
  <c r="AR429" i="19"/>
  <c r="AR595" i="19"/>
  <c r="AR489" i="19"/>
  <c r="AR601" i="19"/>
  <c r="AR228" i="19"/>
  <c r="AO123" i="19"/>
  <c r="AO206" i="19"/>
  <c r="AO422" i="19"/>
  <c r="AR253" i="19"/>
  <c r="F1110" i="35"/>
  <c r="I1110" i="35" s="1"/>
  <c r="H1110" i="35"/>
  <c r="AR487" i="19"/>
  <c r="F1123" i="35"/>
  <c r="I1123" i="35" s="1"/>
  <c r="H1123" i="35"/>
  <c r="AR270" i="19"/>
  <c r="F1125" i="35"/>
  <c r="I1125" i="35" s="1"/>
  <c r="H1125" i="35"/>
  <c r="F1105" i="35"/>
  <c r="I1105" i="35" s="1"/>
  <c r="H1105" i="35"/>
  <c r="H1107" i="35"/>
  <c r="F1107" i="35"/>
  <c r="I1107" i="35" s="1"/>
  <c r="AO400" i="19"/>
  <c r="AR419" i="19"/>
  <c r="H1122" i="35"/>
  <c r="F1122" i="35"/>
  <c r="I1122" i="35" s="1"/>
  <c r="AR277" i="19"/>
  <c r="AR578" i="19"/>
  <c r="AR382" i="19"/>
  <c r="AO429" i="19"/>
  <c r="AO533" i="19"/>
  <c r="AO431" i="19"/>
  <c r="AO56" i="19"/>
  <c r="AO372" i="19"/>
  <c r="AO595" i="19"/>
  <c r="AR435" i="19"/>
  <c r="AO258" i="19"/>
  <c r="AR123" i="19"/>
  <c r="AO247" i="19"/>
  <c r="AR360" i="19"/>
  <c r="AO455" i="19"/>
  <c r="F1103" i="35"/>
  <c r="I1103" i="35" s="1"/>
  <c r="H1103" i="35"/>
  <c r="AO295" i="19"/>
  <c r="AR193" i="19"/>
  <c r="AO471" i="19"/>
  <c r="AR433" i="19"/>
  <c r="F1097" i="35"/>
  <c r="I1097" i="35" s="1"/>
  <c r="H1097" i="35"/>
  <c r="AO231" i="19"/>
  <c r="AR400" i="19"/>
  <c r="AO315" i="19"/>
  <c r="AO419" i="19"/>
  <c r="AO277" i="19"/>
  <c r="AO548" i="19"/>
  <c r="AO157" i="19"/>
  <c r="AO382" i="19"/>
  <c r="AO263" i="19"/>
  <c r="AR533" i="19"/>
  <c r="AR56" i="19"/>
  <c r="AO435" i="19"/>
  <c r="AO489" i="19"/>
  <c r="F1130" i="35"/>
  <c r="I1130" i="35" s="1"/>
  <c r="H1130" i="35"/>
  <c r="AR247" i="19"/>
  <c r="AO360" i="19"/>
  <c r="AR206" i="19"/>
  <c r="F1117" i="35"/>
  <c r="I1117" i="35" s="1"/>
  <c r="H1117" i="35"/>
  <c r="AR455" i="19"/>
  <c r="H1137" i="35"/>
  <c r="F1137" i="35"/>
  <c r="I1137" i="35" s="1"/>
  <c r="AO253" i="19"/>
  <c r="AR377" i="19"/>
  <c r="AR284" i="19"/>
  <c r="H1104" i="35"/>
  <c r="F1104" i="35"/>
  <c r="I1104" i="35" s="1"/>
  <c r="AR231" i="19"/>
  <c r="AR569" i="19"/>
  <c r="AR497" i="19"/>
  <c r="AR548" i="19"/>
  <c r="H1102" i="35"/>
  <c r="F1102" i="35"/>
  <c r="I1102" i="35" s="1"/>
  <c r="AR258" i="19"/>
  <c r="AR136" i="19"/>
  <c r="H1114" i="35"/>
  <c r="F1114" i="35"/>
  <c r="I1114" i="35" s="1"/>
  <c r="H1098" i="35"/>
  <c r="F1098" i="35"/>
  <c r="I1098" i="35" s="1"/>
  <c r="AR587" i="19"/>
  <c r="AO193" i="19"/>
  <c r="AO377" i="19"/>
  <c r="AR181" i="19"/>
  <c r="AO487" i="19"/>
  <c r="F1109" i="35"/>
  <c r="I1109" i="35" s="1"/>
  <c r="H1109" i="35"/>
  <c r="F1129" i="35"/>
  <c r="I1129" i="35" s="1"/>
  <c r="H1129" i="35"/>
  <c r="AO438" i="19"/>
  <c r="H1135" i="35"/>
  <c r="F1135" i="35"/>
  <c r="I1135" i="35" s="1"/>
  <c r="AO497" i="19"/>
  <c r="AR223" i="19"/>
  <c r="F1108" i="35"/>
  <c r="I1108" i="35" s="1"/>
  <c r="H1108" i="35"/>
  <c r="H1111" i="35"/>
  <c r="F1111" i="35"/>
  <c r="I1111" i="35" s="1"/>
  <c r="AO78" i="19"/>
  <c r="H1116" i="35"/>
  <c r="F1116" i="35"/>
  <c r="I1116" i="35" s="1"/>
  <c r="AR169" i="19"/>
  <c r="AR263" i="19"/>
  <c r="H1136" i="35"/>
  <c r="F1136" i="35"/>
  <c r="I1136" i="35" s="1"/>
  <c r="AR504" i="19"/>
  <c r="AO136" i="19"/>
  <c r="F1127" i="35"/>
  <c r="I1127" i="35" s="1"/>
  <c r="H1127" i="35"/>
  <c r="AO387" i="19"/>
  <c r="AO284" i="19"/>
  <c r="AO508" i="19"/>
  <c r="AR438" i="19"/>
  <c r="AO82" i="19"/>
  <c r="AR92" i="19"/>
  <c r="AO569" i="19"/>
  <c r="AO223" i="19"/>
  <c r="AR72" i="19"/>
  <c r="AO559" i="19"/>
  <c r="AR346" i="19"/>
  <c r="AO447" i="19"/>
  <c r="AO504" i="19"/>
  <c r="H1133" i="35"/>
  <c r="F1133" i="35"/>
  <c r="I1133" i="35" s="1"/>
  <c r="AR482" i="19"/>
  <c r="AO587" i="19"/>
  <c r="AO181" i="19"/>
  <c r="AR508" i="19"/>
  <c r="AO433" i="19"/>
  <c r="AO467" i="19"/>
  <c r="F1099" i="35"/>
  <c r="I1099" i="35" s="1"/>
  <c r="H1099" i="35"/>
  <c r="F1112" i="35"/>
  <c r="I1112" i="35" s="1"/>
  <c r="H1112" i="35"/>
  <c r="AO100" i="19"/>
  <c r="AR82" i="19"/>
  <c r="AO92" i="19"/>
  <c r="F1106" i="35"/>
  <c r="I1106" i="35" s="1"/>
  <c r="H1106" i="35"/>
  <c r="AR559" i="19"/>
  <c r="AR78" i="19"/>
  <c r="AO169" i="19"/>
  <c r="AO346" i="19"/>
  <c r="AO240" i="19"/>
  <c r="AR447" i="19"/>
  <c r="AO251" i="19"/>
  <c r="AR268" i="19"/>
  <c r="F1100" i="35"/>
  <c r="I1100" i="35" s="1"/>
  <c r="H1100" i="35"/>
  <c r="AR422" i="19"/>
  <c r="AR387" i="19"/>
  <c r="H1115" i="35"/>
  <c r="F1115" i="35"/>
  <c r="I1115" i="35" s="1"/>
  <c r="AO145" i="19"/>
  <c r="AR313" i="19"/>
  <c r="G1108" i="35" l="1"/>
  <c r="J1108" i="35" s="1"/>
  <c r="G1097" i="35"/>
  <c r="J1097" i="35" s="1"/>
  <c r="G1109" i="35"/>
  <c r="J1109" i="35" s="1"/>
  <c r="G1098" i="35"/>
  <c r="J1098" i="35" s="1"/>
  <c r="G1106" i="35"/>
  <c r="J1106" i="35" s="1"/>
  <c r="G1129" i="35"/>
  <c r="J1129" i="35" s="1"/>
  <c r="G1137" i="35"/>
  <c r="J1137" i="35" s="1"/>
  <c r="G1112" i="35"/>
  <c r="J1112" i="35" s="1"/>
  <c r="G1099" i="35"/>
  <c r="J1099" i="35" s="1"/>
  <c r="G1127" i="35"/>
  <c r="J1127" i="35" s="1"/>
  <c r="G1133" i="35"/>
  <c r="J1133" i="35" s="1"/>
  <c r="G1115" i="35"/>
  <c r="J1115" i="35" s="1"/>
  <c r="G1100" i="35"/>
  <c r="J1100" i="35" s="1"/>
  <c r="G1123" i="35"/>
  <c r="J1123" i="35" s="1"/>
  <c r="G1110" i="35"/>
  <c r="J1110" i="35" s="1"/>
  <c r="G1105" i="35"/>
  <c r="J1105" i="35" s="1"/>
  <c r="G1132" i="35"/>
  <c r="J1132" i="35" s="1"/>
  <c r="G1107" i="35"/>
  <c r="J1107" i="35" s="1"/>
  <c r="G1130" i="35"/>
  <c r="J1130" i="35" s="1"/>
  <c r="G1116" i="35"/>
  <c r="J1116" i="35" s="1"/>
  <c r="G1102" i="35"/>
  <c r="J1102" i="35" s="1"/>
  <c r="G1122" i="35"/>
  <c r="J1122" i="35" s="1"/>
  <c r="G1111" i="35"/>
  <c r="J1111" i="35" s="1"/>
  <c r="G1104" i="35"/>
  <c r="J1104" i="35" s="1"/>
  <c r="G1117" i="35"/>
  <c r="J1117" i="35" s="1"/>
  <c r="G1136" i="35"/>
  <c r="J1136" i="35" s="1"/>
  <c r="G1135" i="35"/>
  <c r="J1135" i="35" s="1"/>
  <c r="G1114" i="35"/>
  <c r="J1114" i="35" s="1"/>
  <c r="G1103" i="35"/>
  <c r="J1103" i="35" s="1"/>
  <c r="G1125" i="35"/>
  <c r="J1125" i="35" s="1"/>
  <c r="G1139" i="35"/>
  <c r="J1139" i="35" s="1"/>
  <c r="G1113" i="35"/>
  <c r="J1113" i="35" s="1"/>
  <c r="AX231" i="45" l="1"/>
  <c r="AW231" i="45"/>
  <c r="AP205" i="45"/>
  <c r="AP251" i="45"/>
  <c r="AP320" i="45"/>
  <c r="AP362" i="45"/>
  <c r="AP337" i="45"/>
  <c r="AP245" i="45"/>
  <c r="AP260" i="45"/>
  <c r="P231" i="45"/>
  <c r="Z231" i="45"/>
  <c r="O231" i="45"/>
  <c r="N231" i="45"/>
  <c r="W231" i="45"/>
  <c r="F231" i="45"/>
  <c r="AP231" i="45"/>
  <c r="AP269" i="45"/>
  <c r="AP228" i="45"/>
  <c r="AP122" i="45"/>
  <c r="AP192" i="45"/>
  <c r="AP304" i="45"/>
  <c r="AO269" i="45" l="1"/>
  <c r="AC269" i="45" s="1"/>
  <c r="AO320" i="45"/>
  <c r="AC320" i="45" s="1"/>
  <c r="AO192" i="45"/>
  <c r="AC192" i="45" s="1"/>
  <c r="AO228" i="45"/>
  <c r="AC228" i="45" s="1"/>
  <c r="AO337" i="45"/>
  <c r="AC337" i="45" s="1"/>
  <c r="AO205" i="45"/>
  <c r="AC205" i="45" s="1"/>
  <c r="AO304" i="45"/>
  <c r="AC304" i="45" s="1"/>
  <c r="AO122" i="45"/>
  <c r="AC122" i="45" s="1"/>
  <c r="AO260" i="45"/>
  <c r="AC260" i="45" s="1"/>
  <c r="AO245" i="45"/>
  <c r="AC245" i="45" s="1"/>
  <c r="AO362" i="45"/>
  <c r="AC362" i="45" s="1"/>
  <c r="AO231" i="45"/>
  <c r="AC231" i="45" s="1"/>
  <c r="AO251" i="45"/>
  <c r="AC251" i="45" s="1"/>
  <c r="AP132" i="45" l="1"/>
  <c r="AP278" i="45"/>
  <c r="AP577" i="45"/>
  <c r="AP499" i="45"/>
  <c r="AP528" i="45"/>
  <c r="AP550" i="45"/>
  <c r="AP552" i="45"/>
  <c r="AP384" i="45"/>
  <c r="AP288" i="45"/>
  <c r="AP65" i="45"/>
  <c r="AP106" i="45"/>
  <c r="AP378" i="45"/>
  <c r="AP38" i="45"/>
  <c r="AP421" i="45"/>
  <c r="AP333" i="45"/>
  <c r="AP570" i="45"/>
  <c r="AP108" i="45"/>
  <c r="AP238" i="45"/>
  <c r="AP194" i="45"/>
  <c r="AP91" i="45"/>
  <c r="AP77" i="45"/>
  <c r="AP430" i="45"/>
  <c r="AP523" i="45"/>
  <c r="AP521" i="45"/>
  <c r="AP102" i="45"/>
  <c r="AP366" i="45"/>
  <c r="AP525" i="45"/>
  <c r="AP556" i="45"/>
  <c r="A556" i="45"/>
  <c r="AP485" i="45"/>
  <c r="AP253" i="45"/>
  <c r="AP62" i="45"/>
  <c r="AP188" i="45"/>
  <c r="AP372" i="45"/>
  <c r="AP250" i="45"/>
  <c r="AP298" i="45"/>
  <c r="AP36" i="45"/>
  <c r="AP280" i="45"/>
  <c r="AP34" i="45"/>
  <c r="AP306" i="45"/>
  <c r="AP110" i="45"/>
  <c r="AP419" i="45"/>
  <c r="AP54" i="45"/>
  <c r="AP568" i="45"/>
  <c r="AP68" i="45"/>
  <c r="AP432" i="45"/>
  <c r="AP498" i="45"/>
  <c r="AP84" i="45"/>
  <c r="AP240" i="45"/>
  <c r="AP42" i="45"/>
  <c r="AP89" i="45"/>
  <c r="AP52" i="45"/>
  <c r="AP393" i="45"/>
  <c r="AP112" i="45"/>
  <c r="AP374" i="45"/>
  <c r="AP100" i="45"/>
  <c r="AP380" i="45"/>
  <c r="AP56" i="45"/>
  <c r="AP566" i="45"/>
  <c r="AP114" i="45"/>
  <c r="AP572" i="45"/>
  <c r="AP376" i="45"/>
  <c r="AP527" i="45"/>
  <c r="Y34" i="19" l="1"/>
  <c r="AP129" i="45"/>
  <c r="AP195" i="45"/>
  <c r="AP64" i="45"/>
  <c r="AP330" i="45"/>
  <c r="AP361" i="45"/>
  <c r="AP334" i="45"/>
  <c r="AP50" i="45"/>
  <c r="AP318" i="45"/>
  <c r="AP60" i="45"/>
  <c r="AP373" i="45"/>
  <c r="AP354" i="45"/>
  <c r="AO132" i="45"/>
  <c r="AC132" i="45" s="1"/>
  <c r="AP348" i="45"/>
  <c r="AP159" i="45"/>
  <c r="AP149" i="45"/>
  <c r="AP379" i="45"/>
  <c r="AP375" i="45"/>
  <c r="AP191" i="45"/>
  <c r="AP161" i="45"/>
  <c r="AP305" i="45"/>
  <c r="AP171" i="45"/>
  <c r="AO278" i="45"/>
  <c r="AC278" i="45" s="1"/>
  <c r="AP224" i="45"/>
  <c r="AP377" i="45"/>
  <c r="AP157" i="45"/>
  <c r="AP365" i="45"/>
  <c r="AP66" i="45"/>
  <c r="AP307" i="45"/>
  <c r="AP181" i="45"/>
  <c r="AP243" i="45"/>
  <c r="AP143" i="45"/>
  <c r="AP151" i="45"/>
  <c r="AP204" i="45"/>
  <c r="AW90" i="45"/>
  <c r="AX90" i="45"/>
  <c r="AP90" i="45"/>
  <c r="W90" i="45"/>
  <c r="O90" i="45"/>
  <c r="N90" i="45"/>
  <c r="Z90" i="45"/>
  <c r="F90" i="45"/>
  <c r="P90" i="45"/>
  <c r="AP312" i="45"/>
  <c r="AP58" i="45"/>
  <c r="AW138" i="45"/>
  <c r="AX138" i="45"/>
  <c r="AP138" i="45"/>
  <c r="W138" i="45"/>
  <c r="N138" i="45"/>
  <c r="P138" i="45"/>
  <c r="F138" i="45"/>
  <c r="Z138" i="45"/>
  <c r="O138" i="45"/>
  <c r="AP369" i="45"/>
  <c r="AP78" i="45"/>
  <c r="AP239" i="45"/>
  <c r="AP73" i="45"/>
  <c r="AP75" i="45"/>
  <c r="AP153" i="45"/>
  <c r="AP256" i="45"/>
  <c r="AP248" i="45"/>
  <c r="AP186" i="45"/>
  <c r="AP599" i="45"/>
  <c r="AP595" i="45"/>
  <c r="AP601" i="45"/>
  <c r="AP178" i="45"/>
  <c r="AP154" i="45"/>
  <c r="AP63" i="45"/>
  <c r="AP465" i="45"/>
  <c r="AP487" i="45"/>
  <c r="AP470" i="45"/>
  <c r="AP475" i="45"/>
  <c r="AP392" i="45"/>
  <c r="AP486" i="45"/>
  <c r="AP29" i="45"/>
  <c r="AP156" i="45"/>
  <c r="AP481" i="45"/>
  <c r="AP268" i="45"/>
  <c r="AP482" i="45"/>
  <c r="AP443" i="45"/>
  <c r="AP27" i="45"/>
  <c r="AP152" i="45"/>
  <c r="AP272" i="45"/>
  <c r="AP109" i="45"/>
  <c r="AP418" i="45"/>
  <c r="AP454" i="45"/>
  <c r="AP270" i="45"/>
  <c r="AP216" i="45"/>
  <c r="AP263" i="45"/>
  <c r="AP399" i="45"/>
  <c r="AP31" i="45"/>
  <c r="AO31" i="45"/>
  <c r="AC31" i="45" s="1"/>
  <c r="AP193" i="45"/>
  <c r="AP25" i="45"/>
  <c r="N236" i="45"/>
  <c r="W236" i="45"/>
  <c r="AP236" i="45"/>
  <c r="F236" i="45"/>
  <c r="AW236" i="45"/>
  <c r="P236" i="45"/>
  <c r="AX236" i="45"/>
  <c r="Z236" i="45"/>
  <c r="O236" i="45"/>
  <c r="AP494" i="45"/>
  <c r="AP597" i="45"/>
  <c r="AP602" i="45"/>
  <c r="AP600" i="45"/>
  <c r="AP603" i="45"/>
  <c r="AP234" i="45"/>
  <c r="AP86" i="45"/>
  <c r="AP289" i="45"/>
  <c r="AP279" i="45"/>
  <c r="AP176" i="45"/>
  <c r="AP449" i="45"/>
  <c r="AP67" i="45"/>
  <c r="AP439" i="45"/>
  <c r="AP448" i="45"/>
  <c r="AP170" i="45"/>
  <c r="AP442" i="45"/>
  <c r="AP261" i="45"/>
  <c r="AP174" i="45"/>
  <c r="AP127" i="45"/>
  <c r="AP259" i="45"/>
  <c r="AP37" i="45"/>
  <c r="AP150" i="45"/>
  <c r="AP441" i="45"/>
  <c r="AP232" i="45"/>
  <c r="AP480" i="45"/>
  <c r="AP484" i="45"/>
  <c r="AP440" i="45"/>
  <c r="AP483" i="45"/>
  <c r="AP71" i="45"/>
  <c r="AP389" i="45"/>
  <c r="AW254" i="45"/>
  <c r="AX254" i="45"/>
  <c r="W254" i="45"/>
  <c r="AP254" i="45"/>
  <c r="O254" i="45"/>
  <c r="Z254" i="45"/>
  <c r="F254" i="45"/>
  <c r="N254" i="45"/>
  <c r="P254" i="45"/>
  <c r="AP410" i="45"/>
  <c r="AP74" i="45"/>
  <c r="AP281" i="45"/>
  <c r="AP576" i="45"/>
  <c r="AO129" i="45"/>
  <c r="AC129" i="45" s="1"/>
  <c r="AP197" i="45"/>
  <c r="AP167" i="45"/>
  <c r="AP502" i="45"/>
  <c r="AP287" i="45"/>
  <c r="AP383" i="45"/>
  <c r="AP406" i="45"/>
  <c r="AP51" i="45"/>
  <c r="AP455" i="45"/>
  <c r="AP451" i="45"/>
  <c r="AP57" i="45"/>
  <c r="AP133" i="45"/>
  <c r="AP431" i="45"/>
  <c r="AP385" i="45"/>
  <c r="AP464" i="45"/>
  <c r="AP420" i="45"/>
  <c r="AP409" i="45"/>
  <c r="AP225" i="45"/>
  <c r="AP164" i="45"/>
  <c r="AX47" i="45"/>
  <c r="AW47" i="45"/>
  <c r="N47" i="45"/>
  <c r="W47" i="45"/>
  <c r="O47" i="45"/>
  <c r="F47" i="45"/>
  <c r="P47" i="45"/>
  <c r="Z47" i="45"/>
  <c r="AP47" i="45"/>
  <c r="AP184" i="45"/>
  <c r="AP252" i="45"/>
  <c r="AP457" i="45"/>
  <c r="AP136" i="45"/>
  <c r="AP246" i="45"/>
  <c r="AP49" i="45"/>
  <c r="AP180" i="45"/>
  <c r="AP434" i="45"/>
  <c r="AP310" i="45"/>
  <c r="AP140" i="45"/>
  <c r="AP142" i="45"/>
  <c r="AP394" i="45"/>
  <c r="AP429" i="45"/>
  <c r="AP495" i="45"/>
  <c r="AP274" i="45"/>
  <c r="AP489" i="45"/>
  <c r="AP144" i="45"/>
  <c r="AP220" i="45"/>
  <c r="AP578" i="45"/>
  <c r="AP598" i="45"/>
  <c r="AP604" i="45"/>
  <c r="AP596" i="45"/>
  <c r="AP488" i="45"/>
  <c r="AP148" i="45"/>
  <c r="AP223" i="45"/>
  <c r="AP303" i="45"/>
  <c r="AP182" i="45"/>
  <c r="AP40" i="45"/>
  <c r="AP301" i="45"/>
  <c r="AP43" i="45"/>
  <c r="AX61" i="45"/>
  <c r="AW61" i="45"/>
  <c r="N61" i="45"/>
  <c r="P61" i="45"/>
  <c r="W61" i="45"/>
  <c r="O61" i="45"/>
  <c r="Z61" i="45"/>
  <c r="AP61" i="45"/>
  <c r="F61" i="45"/>
  <c r="AP461" i="45"/>
  <c r="AP471" i="45"/>
  <c r="AP203" i="45"/>
  <c r="AP400" i="45"/>
  <c r="AP405" i="45"/>
  <c r="AP422" i="45"/>
  <c r="Y26" i="19"/>
  <c r="Y39" i="19"/>
  <c r="Y52" i="19"/>
  <c r="Y40" i="19"/>
  <c r="Y29" i="19"/>
  <c r="Y37" i="19"/>
  <c r="Y31" i="19"/>
  <c r="AP23" i="45"/>
  <c r="Y38" i="19"/>
  <c r="Y27" i="19"/>
  <c r="Y53" i="19"/>
  <c r="Y54" i="19"/>
  <c r="AP433" i="45"/>
  <c r="AP450" i="45"/>
  <c r="AP456" i="45"/>
  <c r="AP388" i="45"/>
  <c r="AP417" i="45"/>
  <c r="AP458" i="45"/>
  <c r="AP45" i="45"/>
  <c r="A551" i="45"/>
  <c r="AP551" i="45"/>
  <c r="AP529" i="45"/>
  <c r="AP569" i="45"/>
  <c r="AP267" i="45"/>
  <c r="AP131" i="45"/>
  <c r="AP244" i="45"/>
  <c r="AP526" i="45"/>
  <c r="AP316" i="45"/>
  <c r="AP222" i="45"/>
  <c r="AP128" i="45"/>
  <c r="AP169" i="45"/>
  <c r="Y33" i="19"/>
  <c r="AP70" i="45"/>
  <c r="AP524" i="45"/>
  <c r="AP567" i="45"/>
  <c r="AP557" i="45"/>
  <c r="AP207" i="45"/>
  <c r="AO528" i="45"/>
  <c r="AC528" i="45" s="1"/>
  <c r="AO499" i="45"/>
  <c r="AC499" i="45" s="1"/>
  <c r="AP199" i="45"/>
  <c r="AP282" i="45"/>
  <c r="AP571" i="45"/>
  <c r="AP474" i="45"/>
  <c r="AP212" i="45"/>
  <c r="AP339" i="45"/>
  <c r="AP146" i="45"/>
  <c r="AP271" i="45"/>
  <c r="AP255" i="45"/>
  <c r="AP258" i="45"/>
  <c r="AP190" i="45"/>
  <c r="AP276" i="45"/>
  <c r="AP233" i="45"/>
  <c r="AO552" i="45"/>
  <c r="AC552" i="45" s="1"/>
  <c r="AO577" i="45"/>
  <c r="AC577" i="45" s="1"/>
  <c r="AP329" i="45"/>
  <c r="AP522" i="45"/>
  <c r="AP247" i="45"/>
  <c r="AP326" i="45"/>
  <c r="AP124" i="45"/>
  <c r="AP322" i="45"/>
  <c r="AP345" i="45"/>
  <c r="AP360" i="45"/>
  <c r="AP262" i="45"/>
  <c r="AO550" i="45"/>
  <c r="AC550" i="45" s="1"/>
  <c r="AO527" i="45"/>
  <c r="AC527" i="45" s="1"/>
  <c r="AO112" i="45"/>
  <c r="AC112" i="45" s="1"/>
  <c r="AO89" i="45"/>
  <c r="AC89" i="45" s="1"/>
  <c r="AO419" i="45"/>
  <c r="AC419" i="45" s="1"/>
  <c r="AO298" i="45"/>
  <c r="AC298" i="45" s="1"/>
  <c r="AO250" i="45"/>
  <c r="AC250" i="45" s="1"/>
  <c r="AO102" i="45"/>
  <c r="AC102" i="45" s="1"/>
  <c r="AO521" i="45"/>
  <c r="AC521" i="45" s="1"/>
  <c r="AO523" i="45"/>
  <c r="AC523" i="45" s="1"/>
  <c r="AO77" i="45"/>
  <c r="AC77" i="45" s="1"/>
  <c r="AO238" i="45"/>
  <c r="AC238" i="45" s="1"/>
  <c r="AO421" i="45"/>
  <c r="AC421" i="45" s="1"/>
  <c r="AO38" i="45"/>
  <c r="AC38" i="45" s="1"/>
  <c r="AO288" i="45"/>
  <c r="AC288" i="45" s="1"/>
  <c r="AO376" i="45"/>
  <c r="AC376" i="45" s="1"/>
  <c r="AO572" i="45"/>
  <c r="AC572" i="45" s="1"/>
  <c r="AO114" i="45"/>
  <c r="AC114" i="45" s="1"/>
  <c r="AO56" i="45"/>
  <c r="AC56" i="45" s="1"/>
  <c r="AO240" i="45"/>
  <c r="AC240" i="45" s="1"/>
  <c r="AO84" i="45"/>
  <c r="AC84" i="45" s="1"/>
  <c r="AO432" i="45"/>
  <c r="AC432" i="45" s="1"/>
  <c r="AO68" i="45"/>
  <c r="AC68" i="45" s="1"/>
  <c r="AS34" i="19"/>
  <c r="AR34" i="19" s="1"/>
  <c r="E653" i="35"/>
  <c r="X34" i="19"/>
  <c r="AO280" i="45"/>
  <c r="AC280" i="45" s="1"/>
  <c r="AO188" i="45"/>
  <c r="AC188" i="45" s="1"/>
  <c r="AO556" i="45"/>
  <c r="AC556" i="45" s="1"/>
  <c r="AO366" i="45"/>
  <c r="AC366" i="45" s="1"/>
  <c r="AO65" i="45"/>
  <c r="AC65" i="45" s="1"/>
  <c r="AO566" i="45"/>
  <c r="AC566" i="45" s="1"/>
  <c r="AO380" i="45"/>
  <c r="AC380" i="45" s="1"/>
  <c r="AO100" i="45"/>
  <c r="AC100" i="45" s="1"/>
  <c r="AO393" i="45"/>
  <c r="AC393" i="45" s="1"/>
  <c r="AO52" i="45"/>
  <c r="AC52" i="45" s="1"/>
  <c r="AO498" i="45"/>
  <c r="AC498" i="45" s="1"/>
  <c r="AO54" i="45"/>
  <c r="AC54" i="45" s="1"/>
  <c r="AO62" i="45"/>
  <c r="AC62" i="45" s="1"/>
  <c r="AO485" i="45"/>
  <c r="AC485" i="45" s="1"/>
  <c r="AO194" i="45"/>
  <c r="AC194" i="45" s="1"/>
  <c r="AO106" i="45"/>
  <c r="AC106" i="45" s="1"/>
  <c r="AO374" i="45"/>
  <c r="AC374" i="45" s="1"/>
  <c r="AO42" i="45"/>
  <c r="AC42" i="45" s="1"/>
  <c r="AO568" i="45"/>
  <c r="AC568" i="45" s="1"/>
  <c r="AO110" i="45"/>
  <c r="AC110" i="45" s="1"/>
  <c r="AO306" i="45"/>
  <c r="AC306" i="45" s="1"/>
  <c r="AO34" i="45"/>
  <c r="AC34" i="45" s="1"/>
  <c r="AO36" i="45"/>
  <c r="AC36" i="45" s="1"/>
  <c r="AO372" i="45"/>
  <c r="AC372" i="45" s="1"/>
  <c r="AO253" i="45"/>
  <c r="AC253" i="45" s="1"/>
  <c r="AO525" i="45"/>
  <c r="AC525" i="45" s="1"/>
  <c r="AO430" i="45"/>
  <c r="AC430" i="45" s="1"/>
  <c r="AO91" i="45"/>
  <c r="AC91" i="45" s="1"/>
  <c r="AO108" i="45"/>
  <c r="AC108" i="45" s="1"/>
  <c r="AO570" i="45"/>
  <c r="AC570" i="45" s="1"/>
  <c r="AO333" i="45"/>
  <c r="AC333" i="45" s="1"/>
  <c r="AO378" i="45"/>
  <c r="AC378" i="45" s="1"/>
  <c r="AO384" i="45"/>
  <c r="AC384" i="45" s="1"/>
  <c r="AO75" i="45" l="1"/>
  <c r="AC75" i="45" s="1"/>
  <c r="AO73" i="45"/>
  <c r="AC73" i="45" s="1"/>
  <c r="AO239" i="45"/>
  <c r="AC239" i="45" s="1"/>
  <c r="AO369" i="45"/>
  <c r="AC369" i="45" s="1"/>
  <c r="AO181" i="45"/>
  <c r="AC181" i="45" s="1"/>
  <c r="AO66" i="45"/>
  <c r="AC66" i="45" s="1"/>
  <c r="AO161" i="45"/>
  <c r="AC161" i="45" s="1"/>
  <c r="AO375" i="45"/>
  <c r="AC375" i="45" s="1"/>
  <c r="AO159" i="45"/>
  <c r="AC159" i="45" s="1"/>
  <c r="AO373" i="45"/>
  <c r="AC373" i="45" s="1"/>
  <c r="AO60" i="45"/>
  <c r="AC60" i="45" s="1"/>
  <c r="AO361" i="45"/>
  <c r="AC361" i="45" s="1"/>
  <c r="AO195" i="45"/>
  <c r="AC195" i="45" s="1"/>
  <c r="AO153" i="45"/>
  <c r="AC153" i="45" s="1"/>
  <c r="AO78" i="45"/>
  <c r="AC78" i="45" s="1"/>
  <c r="AO58" i="45"/>
  <c r="AC58" i="45" s="1"/>
  <c r="AO312" i="45"/>
  <c r="AC312" i="45" s="1"/>
  <c r="AO151" i="45"/>
  <c r="AC151" i="45" s="1"/>
  <c r="AO143" i="45"/>
  <c r="AC143" i="45" s="1"/>
  <c r="AO171" i="45"/>
  <c r="AC171" i="45" s="1"/>
  <c r="AO305" i="45"/>
  <c r="AC305" i="45" s="1"/>
  <c r="AO191" i="45"/>
  <c r="AC191" i="45" s="1"/>
  <c r="AO379" i="45"/>
  <c r="AC379" i="45" s="1"/>
  <c r="AO354" i="45"/>
  <c r="AC354" i="45" s="1"/>
  <c r="AO334" i="45"/>
  <c r="AC334" i="45" s="1"/>
  <c r="AO330" i="45"/>
  <c r="AC330" i="45" s="1"/>
  <c r="AO138" i="45"/>
  <c r="AC138" i="45" s="1"/>
  <c r="AO90" i="45"/>
  <c r="AC90" i="45" s="1"/>
  <c r="AO204" i="45"/>
  <c r="AC204" i="45" s="1"/>
  <c r="AO243" i="45"/>
  <c r="AC243" i="45" s="1"/>
  <c r="AO307" i="45"/>
  <c r="AC307" i="45" s="1"/>
  <c r="AO365" i="45"/>
  <c r="AC365" i="45" s="1"/>
  <c r="AO348" i="45"/>
  <c r="AC348" i="45" s="1"/>
  <c r="AO64" i="45"/>
  <c r="AC64" i="45" s="1"/>
  <c r="AO157" i="45"/>
  <c r="AC157" i="45" s="1"/>
  <c r="AO377" i="45"/>
  <c r="AC377" i="45" s="1"/>
  <c r="AO224" i="45"/>
  <c r="AC224" i="45" s="1"/>
  <c r="AO149" i="45"/>
  <c r="AC149" i="45" s="1"/>
  <c r="AO318" i="45"/>
  <c r="AC318" i="45" s="1"/>
  <c r="AO50" i="45"/>
  <c r="AC50" i="45" s="1"/>
  <c r="AO551" i="45"/>
  <c r="AC551" i="45" s="1"/>
  <c r="AO458" i="45"/>
  <c r="AC458" i="45" s="1"/>
  <c r="X27" i="19"/>
  <c r="AS27" i="19"/>
  <c r="AR27" i="19" s="1"/>
  <c r="E643" i="35"/>
  <c r="X37" i="19"/>
  <c r="AS37" i="19"/>
  <c r="AR37" i="19" s="1"/>
  <c r="E639" i="35"/>
  <c r="AS39" i="19"/>
  <c r="AR39" i="19" s="1"/>
  <c r="X39" i="19"/>
  <c r="E634" i="35"/>
  <c r="AO40" i="45"/>
  <c r="AC40" i="45" s="1"/>
  <c r="AO182" i="45"/>
  <c r="AC182" i="45" s="1"/>
  <c r="AO303" i="45"/>
  <c r="AC303" i="45" s="1"/>
  <c r="AO489" i="45"/>
  <c r="AC489" i="45" s="1"/>
  <c r="AO429" i="45"/>
  <c r="AC429" i="45" s="1"/>
  <c r="AO394" i="45"/>
  <c r="AC394" i="45" s="1"/>
  <c r="AO434" i="45"/>
  <c r="AC434" i="45" s="1"/>
  <c r="AO136" i="45"/>
  <c r="AC136" i="45" s="1"/>
  <c r="AO47" i="45"/>
  <c r="AC47" i="45" s="1"/>
  <c r="AO420" i="45"/>
  <c r="AC420" i="45" s="1"/>
  <c r="AO464" i="45"/>
  <c r="AC464" i="45" s="1"/>
  <c r="AO385" i="45"/>
  <c r="AC385" i="45" s="1"/>
  <c r="AO431" i="45"/>
  <c r="AC431" i="45" s="1"/>
  <c r="AO455" i="45"/>
  <c r="AC455" i="45" s="1"/>
  <c r="AO254" i="45"/>
  <c r="AC254" i="45" s="1"/>
  <c r="AO440" i="45"/>
  <c r="AC440" i="45" s="1"/>
  <c r="AO484" i="45"/>
  <c r="AC484" i="45" s="1"/>
  <c r="AO259" i="45"/>
  <c r="AC259" i="45" s="1"/>
  <c r="AO442" i="45"/>
  <c r="AC442" i="45" s="1"/>
  <c r="AO170" i="45"/>
  <c r="AC170" i="45" s="1"/>
  <c r="AO448" i="45"/>
  <c r="AC448" i="45" s="1"/>
  <c r="AO67" i="45"/>
  <c r="AC67" i="45" s="1"/>
  <c r="AO289" i="45"/>
  <c r="AC289" i="45" s="1"/>
  <c r="AO603" i="45"/>
  <c r="AC603" i="45" s="1"/>
  <c r="AO602" i="45"/>
  <c r="AC602" i="45" s="1"/>
  <c r="AO597" i="45"/>
  <c r="AC597" i="45" s="1"/>
  <c r="AO454" i="45"/>
  <c r="AC454" i="45" s="1"/>
  <c r="AO529" i="45"/>
  <c r="AC529" i="45" s="1"/>
  <c r="AO456" i="45"/>
  <c r="AC456" i="45" s="1"/>
  <c r="AO450" i="45"/>
  <c r="AC450" i="45" s="1"/>
  <c r="AS38" i="19"/>
  <c r="AR38" i="19" s="1"/>
  <c r="X38" i="19"/>
  <c r="E633" i="35"/>
  <c r="X29" i="19"/>
  <c r="AS29" i="19"/>
  <c r="AR29" i="19" s="1"/>
  <c r="E651" i="35"/>
  <c r="X26" i="19"/>
  <c r="AS26" i="19"/>
  <c r="AR26" i="19" s="1"/>
  <c r="E642" i="35"/>
  <c r="AO405" i="45"/>
  <c r="AC405" i="45" s="1"/>
  <c r="AO203" i="45"/>
  <c r="AC203" i="45" s="1"/>
  <c r="AO43" i="45"/>
  <c r="AC43" i="45" s="1"/>
  <c r="AO596" i="45"/>
  <c r="AC596" i="45" s="1"/>
  <c r="AO598" i="45"/>
  <c r="AC598" i="45" s="1"/>
  <c r="AO274" i="45"/>
  <c r="AC274" i="45" s="1"/>
  <c r="AO252" i="45"/>
  <c r="AC252" i="45" s="1"/>
  <c r="AO133" i="45"/>
  <c r="AC133" i="45" s="1"/>
  <c r="AO51" i="45"/>
  <c r="AC51" i="45" s="1"/>
  <c r="AO406" i="45"/>
  <c r="AC406" i="45" s="1"/>
  <c r="AO383" i="45"/>
  <c r="AC383" i="45" s="1"/>
  <c r="AO167" i="45"/>
  <c r="AC167" i="45" s="1"/>
  <c r="AO197" i="45"/>
  <c r="AC197" i="45" s="1"/>
  <c r="AO389" i="45"/>
  <c r="AC389" i="45" s="1"/>
  <c r="AO232" i="45"/>
  <c r="AC232" i="45" s="1"/>
  <c r="AO441" i="45"/>
  <c r="AC441" i="45" s="1"/>
  <c r="AO37" i="45"/>
  <c r="AC37" i="45" s="1"/>
  <c r="AO127" i="45"/>
  <c r="AC127" i="45" s="1"/>
  <c r="AO449" i="45"/>
  <c r="AC449" i="45" s="1"/>
  <c r="AO25" i="45"/>
  <c r="AC25" i="45" s="1"/>
  <c r="AO399" i="45"/>
  <c r="AC399" i="45" s="1"/>
  <c r="AO263" i="45"/>
  <c r="AC263" i="45" s="1"/>
  <c r="AO270" i="45"/>
  <c r="AC270" i="45" s="1"/>
  <c r="AO418" i="45"/>
  <c r="AC418" i="45" s="1"/>
  <c r="AO109" i="45"/>
  <c r="AC109" i="45" s="1"/>
  <c r="AO482" i="45"/>
  <c r="AC482" i="45" s="1"/>
  <c r="AO268" i="45"/>
  <c r="AC268" i="45" s="1"/>
  <c r="AO481" i="45"/>
  <c r="AC481" i="45" s="1"/>
  <c r="AO475" i="45"/>
  <c r="AC475" i="45" s="1"/>
  <c r="AO63" i="45"/>
  <c r="AC63" i="45" s="1"/>
  <c r="AO154" i="45"/>
  <c r="AC154" i="45" s="1"/>
  <c r="AO178" i="45"/>
  <c r="AC178" i="45" s="1"/>
  <c r="AO601" i="45"/>
  <c r="AC601" i="45" s="1"/>
  <c r="AO595" i="45"/>
  <c r="AC595" i="45" s="1"/>
  <c r="AO417" i="45"/>
  <c r="AC417" i="45" s="1"/>
  <c r="X54" i="19"/>
  <c r="AS54" i="19"/>
  <c r="AR54" i="19" s="1"/>
  <c r="E12" i="35"/>
  <c r="AS40" i="19"/>
  <c r="AR40" i="19" s="1"/>
  <c r="X40" i="19"/>
  <c r="E654" i="35"/>
  <c r="AO400" i="45"/>
  <c r="AC400" i="45" s="1"/>
  <c r="AO471" i="45"/>
  <c r="AC471" i="45" s="1"/>
  <c r="AO61" i="45"/>
  <c r="AC61" i="45" s="1"/>
  <c r="AO148" i="45"/>
  <c r="AC148" i="45" s="1"/>
  <c r="AO604" i="45"/>
  <c r="AC604" i="45" s="1"/>
  <c r="AO578" i="45"/>
  <c r="AC578" i="45" s="1"/>
  <c r="AO220" i="45"/>
  <c r="AC220" i="45" s="1"/>
  <c r="AO144" i="45"/>
  <c r="AC144" i="45" s="1"/>
  <c r="AO495" i="45"/>
  <c r="AC495" i="45" s="1"/>
  <c r="AO142" i="45"/>
  <c r="AC142" i="45" s="1"/>
  <c r="AO184" i="45"/>
  <c r="AC184" i="45" s="1"/>
  <c r="AO409" i="45"/>
  <c r="AC409" i="45" s="1"/>
  <c r="AO57" i="45"/>
  <c r="AC57" i="45" s="1"/>
  <c r="AO451" i="45"/>
  <c r="AC451" i="45" s="1"/>
  <c r="AO287" i="45"/>
  <c r="AC287" i="45" s="1"/>
  <c r="AO502" i="45"/>
  <c r="AC502" i="45" s="1"/>
  <c r="AO576" i="45"/>
  <c r="AC576" i="45" s="1"/>
  <c r="AO74" i="45"/>
  <c r="AC74" i="45" s="1"/>
  <c r="AO410" i="45"/>
  <c r="AC410" i="45" s="1"/>
  <c r="AO483" i="45"/>
  <c r="AC483" i="45" s="1"/>
  <c r="AO150" i="45"/>
  <c r="AC150" i="45" s="1"/>
  <c r="AO174" i="45"/>
  <c r="AC174" i="45" s="1"/>
  <c r="AO279" i="45"/>
  <c r="AC279" i="45" s="1"/>
  <c r="AO234" i="45"/>
  <c r="AC234" i="45" s="1"/>
  <c r="AO236" i="45"/>
  <c r="AC236" i="45" s="1"/>
  <c r="AO272" i="45"/>
  <c r="AC272" i="45" s="1"/>
  <c r="AO152" i="45"/>
  <c r="AC152" i="45" s="1"/>
  <c r="AO27" i="45"/>
  <c r="AC27" i="45" s="1"/>
  <c r="AO443" i="45"/>
  <c r="AC443" i="45" s="1"/>
  <c r="AO392" i="45"/>
  <c r="AC392" i="45" s="1"/>
  <c r="AO470" i="45"/>
  <c r="AC470" i="45" s="1"/>
  <c r="AO465" i="45"/>
  <c r="AC465" i="45" s="1"/>
  <c r="AO599" i="45"/>
  <c r="AC599" i="45" s="1"/>
  <c r="AO186" i="45"/>
  <c r="AC186" i="45" s="1"/>
  <c r="AO256" i="45"/>
  <c r="AC256" i="45" s="1"/>
  <c r="AO45" i="45"/>
  <c r="AC45" i="45" s="1"/>
  <c r="AO388" i="45"/>
  <c r="AC388" i="45" s="1"/>
  <c r="AO433" i="45"/>
  <c r="AC433" i="45" s="1"/>
  <c r="X53" i="19"/>
  <c r="AS53" i="19"/>
  <c r="AR53" i="19" s="1"/>
  <c r="E11" i="35"/>
  <c r="AO23" i="45"/>
  <c r="AC23" i="45" s="1"/>
  <c r="X31" i="19"/>
  <c r="AS31" i="19"/>
  <c r="AR31" i="19" s="1"/>
  <c r="E645" i="35"/>
  <c r="AS52" i="19"/>
  <c r="AR52" i="19" s="1"/>
  <c r="X52" i="19"/>
  <c r="E10" i="35"/>
  <c r="AO422" i="45"/>
  <c r="AC422" i="45" s="1"/>
  <c r="AO461" i="45"/>
  <c r="AC461" i="45" s="1"/>
  <c r="AO301" i="45"/>
  <c r="AC301" i="45" s="1"/>
  <c r="AO223" i="45"/>
  <c r="AC223" i="45" s="1"/>
  <c r="AO488" i="45"/>
  <c r="AC488" i="45" s="1"/>
  <c r="AO140" i="45"/>
  <c r="AC140" i="45" s="1"/>
  <c r="AO310" i="45"/>
  <c r="AC310" i="45" s="1"/>
  <c r="AO49" i="45"/>
  <c r="AC49" i="45" s="1"/>
  <c r="AO246" i="45"/>
  <c r="AC246" i="45" s="1"/>
  <c r="AO457" i="45"/>
  <c r="AC457" i="45" s="1"/>
  <c r="AO164" i="45"/>
  <c r="AC164" i="45" s="1"/>
  <c r="AO225" i="45"/>
  <c r="AC225" i="45" s="1"/>
  <c r="AO281" i="45"/>
  <c r="AC281" i="45" s="1"/>
  <c r="AO71" i="45"/>
  <c r="AC71" i="45" s="1"/>
  <c r="AO480" i="45"/>
  <c r="AC480" i="45" s="1"/>
  <c r="AO261" i="45"/>
  <c r="AC261" i="45" s="1"/>
  <c r="AO439" i="45"/>
  <c r="AC439" i="45" s="1"/>
  <c r="AO176" i="45"/>
  <c r="AC176" i="45" s="1"/>
  <c r="AO86" i="45"/>
  <c r="AC86" i="45" s="1"/>
  <c r="AO600" i="45"/>
  <c r="AC600" i="45" s="1"/>
  <c r="AO494" i="45"/>
  <c r="AC494" i="45" s="1"/>
  <c r="AO193" i="45"/>
  <c r="AC193" i="45" s="1"/>
  <c r="AO216" i="45"/>
  <c r="AC216" i="45" s="1"/>
  <c r="AO156" i="45"/>
  <c r="AC156" i="45" s="1"/>
  <c r="AO29" i="45"/>
  <c r="AC29" i="45" s="1"/>
  <c r="AO486" i="45"/>
  <c r="AC486" i="45" s="1"/>
  <c r="AO487" i="45"/>
  <c r="AC487" i="45" s="1"/>
  <c r="AO248" i="45"/>
  <c r="AC248" i="45" s="1"/>
  <c r="AO360" i="45"/>
  <c r="AC360" i="45" s="1"/>
  <c r="AO247" i="45"/>
  <c r="AC247" i="45" s="1"/>
  <c r="AO282" i="45"/>
  <c r="AC282" i="45" s="1"/>
  <c r="AO524" i="45"/>
  <c r="AC524" i="45" s="1"/>
  <c r="X33" i="19"/>
  <c r="AS33" i="19"/>
  <c r="AR33" i="19" s="1"/>
  <c r="E652" i="35"/>
  <c r="AO316" i="45"/>
  <c r="AC316" i="45" s="1"/>
  <c r="AO526" i="45"/>
  <c r="AC526" i="45" s="1"/>
  <c r="AO131" i="45"/>
  <c r="AC131" i="45" s="1"/>
  <c r="AO345" i="45"/>
  <c r="AC345" i="45" s="1"/>
  <c r="AO233" i="45"/>
  <c r="AC233" i="45" s="1"/>
  <c r="AO276" i="45"/>
  <c r="AC276" i="45" s="1"/>
  <c r="AO258" i="45"/>
  <c r="AC258" i="45" s="1"/>
  <c r="AO474" i="45"/>
  <c r="AC474" i="45" s="1"/>
  <c r="AO571" i="45"/>
  <c r="AC571" i="45" s="1"/>
  <c r="AO207" i="45"/>
  <c r="AC207" i="45" s="1"/>
  <c r="AO70" i="45"/>
  <c r="AC70" i="45" s="1"/>
  <c r="AO128" i="45"/>
  <c r="AC128" i="45" s="1"/>
  <c r="AO262" i="45"/>
  <c r="AC262" i="45" s="1"/>
  <c r="AO322" i="45"/>
  <c r="AC322" i="45" s="1"/>
  <c r="AO124" i="45"/>
  <c r="AC124" i="45" s="1"/>
  <c r="AO326" i="45"/>
  <c r="AC326" i="45" s="1"/>
  <c r="AO522" i="45"/>
  <c r="AC522" i="45" s="1"/>
  <c r="AO329" i="45"/>
  <c r="AC329" i="45" s="1"/>
  <c r="AO255" i="45"/>
  <c r="AC255" i="45" s="1"/>
  <c r="AO271" i="45"/>
  <c r="AC271" i="45" s="1"/>
  <c r="AO212" i="45"/>
  <c r="AC212" i="45" s="1"/>
  <c r="AO199" i="45"/>
  <c r="AC199" i="45" s="1"/>
  <c r="AO169" i="45"/>
  <c r="AC169" i="45" s="1"/>
  <c r="AO222" i="45"/>
  <c r="AC222" i="45" s="1"/>
  <c r="AO244" i="45"/>
  <c r="AC244" i="45" s="1"/>
  <c r="AO569" i="45"/>
  <c r="AC569" i="45" s="1"/>
  <c r="AO190" i="45"/>
  <c r="AC190" i="45" s="1"/>
  <c r="AO146" i="45"/>
  <c r="AC146" i="45" s="1"/>
  <c r="AO339" i="45"/>
  <c r="AC339" i="45" s="1"/>
  <c r="AO557" i="45"/>
  <c r="AC557" i="45" s="1"/>
  <c r="AO567" i="45"/>
  <c r="AC567" i="45" s="1"/>
  <c r="AO267" i="45"/>
  <c r="AC267" i="45" s="1"/>
  <c r="AO34" i="19"/>
  <c r="AC34" i="19" s="1"/>
  <c r="F653" i="35"/>
  <c r="H653" i="35" l="1"/>
  <c r="G653" i="35" s="1"/>
  <c r="J653" i="35" s="1"/>
  <c r="AO38" i="19"/>
  <c r="AC38" i="19" s="1"/>
  <c r="F639" i="35"/>
  <c r="H639" i="35" s="1"/>
  <c r="AO27" i="19"/>
  <c r="AC27" i="19" s="1"/>
  <c r="F10" i="35"/>
  <c r="I10" i="35" s="1"/>
  <c r="H10" i="35"/>
  <c r="F645" i="35"/>
  <c r="H645" i="35"/>
  <c r="AO54" i="19"/>
  <c r="AC54" i="19" s="1"/>
  <c r="AO26" i="19"/>
  <c r="AC26" i="19" s="1"/>
  <c r="AO29" i="19"/>
  <c r="AC29" i="19" s="1"/>
  <c r="H643" i="35"/>
  <c r="F643" i="35"/>
  <c r="I643" i="35" s="1"/>
  <c r="AO53" i="19"/>
  <c r="AC53" i="19" s="1"/>
  <c r="F654" i="35"/>
  <c r="I654" i="35" s="1"/>
  <c r="H654" i="35"/>
  <c r="F12" i="35"/>
  <c r="I12" i="35" s="1"/>
  <c r="H12" i="35"/>
  <c r="F642" i="35"/>
  <c r="I642" i="35" s="1"/>
  <c r="F651" i="35"/>
  <c r="I651" i="35" s="1"/>
  <c r="H651" i="35"/>
  <c r="AO52" i="19"/>
  <c r="AC52" i="19" s="1"/>
  <c r="AO31" i="19"/>
  <c r="AC31" i="19" s="1"/>
  <c r="F11" i="35"/>
  <c r="I11" i="35" s="1"/>
  <c r="AO40" i="19"/>
  <c r="AC40" i="19" s="1"/>
  <c r="F633" i="35"/>
  <c r="I633" i="35" s="1"/>
  <c r="F634" i="35"/>
  <c r="AO39" i="19"/>
  <c r="AC39" i="19" s="1"/>
  <c r="AO37" i="19"/>
  <c r="AC37" i="19" s="1"/>
  <c r="F652" i="35"/>
  <c r="I652" i="35" s="1"/>
  <c r="AO33" i="19"/>
  <c r="AC33" i="19" s="1"/>
  <c r="I653" i="35" l="1"/>
  <c r="H11" i="35"/>
  <c r="G11" i="35" s="1"/>
  <c r="J11" i="35" s="1"/>
  <c r="H652" i="35"/>
  <c r="G652" i="35" s="1"/>
  <c r="J652" i="35" s="1"/>
  <c r="H634" i="35"/>
  <c r="G634" i="35" s="1"/>
  <c r="J634" i="35" s="1"/>
  <c r="H642" i="35"/>
  <c r="G642" i="35" s="1"/>
  <c r="J642" i="35" s="1"/>
  <c r="H633" i="35"/>
  <c r="G633" i="35" s="1"/>
  <c r="J633" i="35" s="1"/>
  <c r="G643" i="35"/>
  <c r="J643" i="35" s="1"/>
  <c r="G10" i="35"/>
  <c r="J10" i="35" s="1"/>
  <c r="G651" i="35"/>
  <c r="J651" i="35" s="1"/>
  <c r="G654" i="35"/>
  <c r="J654" i="35" s="1"/>
  <c r="G645" i="35"/>
  <c r="J645" i="35" s="1"/>
  <c r="G12" i="35"/>
  <c r="J12" i="35" s="1"/>
  <c r="G639" i="35"/>
  <c r="I634" i="35" l="1"/>
  <c r="I645" i="35"/>
  <c r="J639" i="35"/>
  <c r="K639" i="35"/>
  <c r="I639" i="35"/>
  <c r="AP357" i="45" l="1"/>
  <c r="AP344" i="45"/>
  <c r="AP338" i="45"/>
  <c r="AP351" i="45"/>
  <c r="AO357" i="45" l="1"/>
  <c r="AC357" i="45" s="1"/>
  <c r="AO344" i="45"/>
  <c r="AC344" i="45" s="1"/>
  <c r="AO338" i="45"/>
  <c r="AC338" i="45" s="1"/>
  <c r="AO351" i="45"/>
  <c r="AC351" i="45" s="1"/>
  <c r="O157" i="45" l="1"/>
  <c r="P157" i="45"/>
  <c r="AX157" i="45"/>
  <c r="W157" i="45"/>
  <c r="Z157" i="45"/>
  <c r="AW157" i="45"/>
  <c r="F157" i="45"/>
  <c r="N157" i="45"/>
  <c r="F161" i="45"/>
  <c r="Z161" i="45"/>
  <c r="N161" i="45"/>
  <c r="AX161" i="45"/>
  <c r="W161" i="45"/>
  <c r="P161" i="45"/>
  <c r="O161" i="45"/>
  <c r="AW161" i="45"/>
  <c r="A552" i="45"/>
  <c r="A600" i="45"/>
  <c r="Z339" i="45"/>
  <c r="O339" i="45"/>
  <c r="P339" i="45"/>
  <c r="W339" i="45"/>
  <c r="F339" i="45"/>
  <c r="N339" i="45"/>
  <c r="AX339" i="45"/>
  <c r="AW339" i="45"/>
  <c r="A602" i="45"/>
  <c r="A578" i="45"/>
  <c r="A571" i="45"/>
  <c r="P149" i="45"/>
  <c r="AX149" i="45"/>
  <c r="N149" i="45"/>
  <c r="F149" i="45"/>
  <c r="AW149" i="45"/>
  <c r="Z149" i="45"/>
  <c r="O149" i="45"/>
  <c r="W149" i="45"/>
  <c r="Z345" i="45"/>
  <c r="F345" i="45"/>
  <c r="AX345" i="45"/>
  <c r="AW345" i="45"/>
  <c r="N345" i="45"/>
  <c r="P345" i="45"/>
  <c r="O345" i="45"/>
  <c r="W345" i="45"/>
  <c r="F240" i="45"/>
  <c r="W240" i="45"/>
  <c r="P240" i="45"/>
  <c r="Z240" i="45"/>
  <c r="AW240" i="45"/>
  <c r="O240" i="45"/>
  <c r="N240" i="45"/>
  <c r="AX240" i="45"/>
  <c r="AP573" i="45"/>
  <c r="A573" i="45"/>
  <c r="AP295" i="45"/>
  <c r="AP561" i="45"/>
  <c r="A561" i="45"/>
  <c r="AX214" i="45"/>
  <c r="F214" i="45"/>
  <c r="N214" i="45"/>
  <c r="W214" i="45"/>
  <c r="Z214" i="45"/>
  <c r="AP214" i="45"/>
  <c r="AW214" i="45"/>
  <c r="O214" i="45"/>
  <c r="P214" i="45"/>
  <c r="AX300" i="45"/>
  <c r="W300" i="45"/>
  <c r="O300" i="45"/>
  <c r="Z300" i="45"/>
  <c r="AP300" i="45"/>
  <c r="AW300" i="45"/>
  <c r="N300" i="45"/>
  <c r="P300" i="45"/>
  <c r="F300" i="45"/>
  <c r="O242" i="45"/>
  <c r="AP242" i="45"/>
  <c r="Z242" i="45"/>
  <c r="P242" i="45"/>
  <c r="N242" i="45"/>
  <c r="AX242" i="45"/>
  <c r="F242" i="45"/>
  <c r="AW242" i="45"/>
  <c r="W242" i="45"/>
  <c r="AP286" i="45"/>
  <c r="AP336" i="45"/>
  <c r="A547" i="45"/>
  <c r="AP547" i="45"/>
  <c r="AW328" i="45"/>
  <c r="AX328" i="45"/>
  <c r="Z328" i="45"/>
  <c r="AP328" i="45"/>
  <c r="W328" i="45"/>
  <c r="N328" i="45"/>
  <c r="O328" i="45"/>
  <c r="F328" i="45"/>
  <c r="P328" i="45"/>
  <c r="AP341" i="45"/>
  <c r="N341" i="45"/>
  <c r="AW341" i="45"/>
  <c r="W341" i="45"/>
  <c r="Z341" i="45"/>
  <c r="O341" i="45"/>
  <c r="F341" i="45"/>
  <c r="AX341" i="45"/>
  <c r="P341" i="45"/>
  <c r="AW332" i="45"/>
  <c r="F332" i="45"/>
  <c r="AX332" i="45"/>
  <c r="W332" i="45"/>
  <c r="AP332" i="45"/>
  <c r="N332" i="45"/>
  <c r="P332" i="45"/>
  <c r="O332" i="45"/>
  <c r="Z332" i="45"/>
  <c r="AP230" i="45"/>
  <c r="A558" i="45"/>
  <c r="AP558" i="45"/>
  <c r="AP314" i="45"/>
  <c r="A553" i="45"/>
  <c r="AP553" i="45"/>
  <c r="P505" i="45"/>
  <c r="AP505" i="45"/>
  <c r="W505" i="45"/>
  <c r="N505" i="45"/>
  <c r="F505" i="45"/>
  <c r="O505" i="45"/>
  <c r="AX505" i="45"/>
  <c r="Z505" i="45"/>
  <c r="AW505" i="45"/>
  <c r="AP516" i="45"/>
  <c r="AP343" i="45"/>
  <c r="AP293" i="45"/>
  <c r="AP588" i="45"/>
  <c r="A588" i="45"/>
  <c r="AP324" i="45"/>
  <c r="AP309" i="45"/>
  <c r="AP227" i="45"/>
  <c r="AP350" i="45"/>
  <c r="AP284" i="45"/>
  <c r="AP265" i="45"/>
  <c r="AW291" i="45"/>
  <c r="P291" i="45"/>
  <c r="Z291" i="45"/>
  <c r="W291" i="45"/>
  <c r="O291" i="45"/>
  <c r="N291" i="45"/>
  <c r="F291" i="45"/>
  <c r="AX291" i="45"/>
  <c r="AP291" i="45"/>
  <c r="O530" i="45"/>
  <c r="AX530" i="45"/>
  <c r="P530" i="45"/>
  <c r="W530" i="45"/>
  <c r="N530" i="45"/>
  <c r="Z530" i="45"/>
  <c r="AW530" i="45"/>
  <c r="F530" i="45"/>
  <c r="AP530" i="45"/>
  <c r="O297" i="45"/>
  <c r="F297" i="45"/>
  <c r="AX297" i="45"/>
  <c r="N297" i="45"/>
  <c r="AW297" i="45"/>
  <c r="Z297" i="45"/>
  <c r="AP297" i="45"/>
  <c r="P297" i="45"/>
  <c r="W297" i="45"/>
  <c r="AP210" i="45"/>
  <c r="A579" i="45"/>
  <c r="AP579" i="45"/>
  <c r="AP347" i="45"/>
  <c r="AP408" i="45"/>
  <c r="AX534" i="45"/>
  <c r="N534" i="45"/>
  <c r="Z534" i="45"/>
  <c r="F534" i="45"/>
  <c r="O534" i="45"/>
  <c r="P534" i="45"/>
  <c r="AW534" i="45"/>
  <c r="W534" i="45"/>
  <c r="AP534" i="45"/>
  <c r="AP520" i="45"/>
  <c r="P359" i="45"/>
  <c r="O359" i="45"/>
  <c r="AP359" i="45"/>
  <c r="AW359" i="45"/>
  <c r="F359" i="45"/>
  <c r="AX359" i="45"/>
  <c r="Z359" i="45"/>
  <c r="W359" i="45"/>
  <c r="N359" i="45"/>
  <c r="AP493" i="45"/>
  <c r="A555" i="45"/>
  <c r="AP555" i="45"/>
  <c r="A560" i="45"/>
  <c r="AP560" i="45"/>
  <c r="AP546" i="45"/>
  <c r="A546" i="45"/>
  <c r="AP424" i="45"/>
  <c r="AP364" i="45"/>
  <c r="AP436" i="45"/>
  <c r="AP477" i="45"/>
  <c r="W391" i="45"/>
  <c r="O391" i="45"/>
  <c r="AX391" i="45"/>
  <c r="AW391" i="45"/>
  <c r="AP391" i="45"/>
  <c r="F391" i="45"/>
  <c r="P391" i="45"/>
  <c r="N391" i="45"/>
  <c r="Z391" i="45"/>
  <c r="AP398" i="45"/>
  <c r="AP507" i="45"/>
  <c r="AP463" i="45"/>
  <c r="AP402" i="45"/>
  <c r="AP583" i="45"/>
  <c r="A583" i="45"/>
  <c r="A594" i="45"/>
  <c r="AP594" i="45"/>
  <c r="P447" i="45"/>
  <c r="AP447" i="45"/>
  <c r="AW447" i="45"/>
  <c r="Z447" i="45"/>
  <c r="F447" i="45"/>
  <c r="AX447" i="45"/>
  <c r="O447" i="45"/>
  <c r="W447" i="45"/>
  <c r="N447" i="45"/>
  <c r="AP518" i="45"/>
  <c r="AP396" i="45"/>
  <c r="A563" i="45"/>
  <c r="AP563" i="45"/>
  <c r="AP387" i="45"/>
  <c r="AP491" i="45"/>
  <c r="AP504" i="45"/>
  <c r="AP513" i="45"/>
  <c r="O513" i="45"/>
  <c r="W513" i="45"/>
  <c r="F513" i="45"/>
  <c r="AW513" i="45"/>
  <c r="N513" i="45"/>
  <c r="AX513" i="45"/>
  <c r="Z513" i="45"/>
  <c r="P513" i="45"/>
  <c r="AP414" i="45"/>
  <c r="AP542" i="45"/>
  <c r="P445" i="45"/>
  <c r="Z445" i="45"/>
  <c r="W445" i="45"/>
  <c r="N445" i="45"/>
  <c r="AX445" i="45"/>
  <c r="O445" i="45"/>
  <c r="AP445" i="45"/>
  <c r="AW445" i="45"/>
  <c r="F445" i="45"/>
  <c r="AW426" i="45"/>
  <c r="P426" i="45"/>
  <c r="N426" i="45"/>
  <c r="Z426" i="45"/>
  <c r="O426" i="45"/>
  <c r="F426" i="45"/>
  <c r="W426" i="45"/>
  <c r="AX426" i="45"/>
  <c r="AP426" i="45"/>
  <c r="AP356" i="45"/>
  <c r="A565" i="45"/>
  <c r="AP565" i="45"/>
  <c r="AP368" i="45"/>
  <c r="AP404" i="45"/>
  <c r="N479" i="45"/>
  <c r="O479" i="45"/>
  <c r="AW479" i="45"/>
  <c r="AX479" i="45"/>
  <c r="F479" i="45"/>
  <c r="Z479" i="45"/>
  <c r="AP479" i="45"/>
  <c r="W479" i="45"/>
  <c r="P479" i="45"/>
  <c r="AP453" i="45"/>
  <c r="P501" i="45"/>
  <c r="AW501" i="45"/>
  <c r="Z501" i="45"/>
  <c r="AX501" i="45"/>
  <c r="F501" i="45"/>
  <c r="O501" i="45"/>
  <c r="AP501" i="45"/>
  <c r="N501" i="45"/>
  <c r="W501" i="45"/>
  <c r="W467" i="45"/>
  <c r="AX467" i="45"/>
  <c r="AP467" i="45"/>
  <c r="Z467" i="45"/>
  <c r="N467" i="45"/>
  <c r="AW467" i="45"/>
  <c r="P467" i="45"/>
  <c r="O467" i="45"/>
  <c r="F467" i="45"/>
  <c r="Z469" i="45"/>
  <c r="W469" i="45"/>
  <c r="F469" i="45"/>
  <c r="O469" i="45"/>
  <c r="AX469" i="45"/>
  <c r="P469" i="45"/>
  <c r="AW469" i="45"/>
  <c r="N469" i="45"/>
  <c r="AP469" i="45"/>
  <c r="A581" i="45"/>
  <c r="AP581" i="45"/>
  <c r="Z382" i="45"/>
  <c r="N382" i="45"/>
  <c r="O382" i="45"/>
  <c r="W382" i="45"/>
  <c r="P382" i="45"/>
  <c r="AX382" i="45"/>
  <c r="AW382" i="45"/>
  <c r="AP382" i="45"/>
  <c r="F382" i="45"/>
  <c r="N532" i="45"/>
  <c r="P532" i="45"/>
  <c r="AX532" i="45"/>
  <c r="W532" i="45"/>
  <c r="AW532" i="45"/>
  <c r="Z532" i="45"/>
  <c r="F532" i="45"/>
  <c r="O532" i="45"/>
  <c r="AP532" i="45"/>
  <c r="AP540" i="45"/>
  <c r="AP428" i="45"/>
  <c r="AP511" i="45"/>
  <c r="AP353" i="45"/>
  <c r="P497" i="45"/>
  <c r="AX497" i="45"/>
  <c r="O497" i="45"/>
  <c r="W497" i="45"/>
  <c r="Z497" i="45"/>
  <c r="AW497" i="45"/>
  <c r="AP497" i="45"/>
  <c r="F497" i="45"/>
  <c r="N497" i="45"/>
  <c r="A592" i="45"/>
  <c r="AP592" i="45"/>
  <c r="AP509" i="45"/>
  <c r="A585" i="45"/>
  <c r="AP585" i="45"/>
  <c r="N515" i="45"/>
  <c r="Z515" i="45"/>
  <c r="AX515" i="45"/>
  <c r="W515" i="45"/>
  <c r="O515" i="45"/>
  <c r="P515" i="45"/>
  <c r="F515" i="45"/>
  <c r="AP515" i="45"/>
  <c r="AW515" i="45"/>
  <c r="AP416" i="45"/>
  <c r="N536" i="45"/>
  <c r="F536" i="45"/>
  <c r="O536" i="45"/>
  <c r="AX536" i="45"/>
  <c r="AW536" i="45"/>
  <c r="AP536" i="45"/>
  <c r="Z536" i="45"/>
  <c r="P536" i="45"/>
  <c r="W536" i="45"/>
  <c r="AP438" i="45"/>
  <c r="AP587" i="45"/>
  <c r="A587" i="45"/>
  <c r="F538" i="45"/>
  <c r="O538" i="45"/>
  <c r="W538" i="45"/>
  <c r="N538" i="45"/>
  <c r="AW538" i="45"/>
  <c r="AX538" i="45"/>
  <c r="Z538" i="45"/>
  <c r="AP538" i="45"/>
  <c r="P538" i="45"/>
  <c r="A549" i="45"/>
  <c r="AP549" i="45"/>
  <c r="AP460" i="45"/>
  <c r="AP371" i="45"/>
  <c r="AP575" i="45"/>
  <c r="A575" i="45"/>
  <c r="A590" i="45"/>
  <c r="AP590" i="45"/>
  <c r="AP544" i="45"/>
  <c r="AP412" i="45"/>
  <c r="O473" i="45"/>
  <c r="F473" i="45"/>
  <c r="AW473" i="45"/>
  <c r="AX473" i="45"/>
  <c r="N473" i="45"/>
  <c r="P473" i="45"/>
  <c r="W473" i="45"/>
  <c r="Z473" i="45"/>
  <c r="AP473" i="45"/>
  <c r="P395" i="45"/>
  <c r="AW395" i="45"/>
  <c r="W395" i="45"/>
  <c r="F395" i="45"/>
  <c r="AX395" i="45"/>
  <c r="Z395" i="45"/>
  <c r="N395" i="45"/>
  <c r="O395" i="45"/>
  <c r="AP395" i="45"/>
  <c r="AP137" i="45"/>
  <c r="AP126" i="45"/>
  <c r="AX367" i="45"/>
  <c r="AW367" i="45"/>
  <c r="AP367" i="45"/>
  <c r="N367" i="45"/>
  <c r="P367" i="45"/>
  <c r="O367" i="45"/>
  <c r="W367" i="45"/>
  <c r="Z367" i="45"/>
  <c r="F367" i="45"/>
  <c r="AP116" i="45"/>
  <c r="AP346" i="45"/>
  <c r="AP535" i="45"/>
  <c r="AX423" i="45"/>
  <c r="O423" i="45"/>
  <c r="N423" i="45"/>
  <c r="AW423" i="45"/>
  <c r="AP423" i="45"/>
  <c r="W423" i="45"/>
  <c r="F423" i="45"/>
  <c r="Z423" i="45"/>
  <c r="P423" i="45"/>
  <c r="AP53" i="45"/>
  <c r="W517" i="45"/>
  <c r="Z517" i="45"/>
  <c r="AX517" i="45"/>
  <c r="AP517" i="45"/>
  <c r="AW517" i="45"/>
  <c r="F517" i="45"/>
  <c r="N517" i="45"/>
  <c r="P517" i="45"/>
  <c r="O517" i="45"/>
  <c r="AP411" i="45"/>
  <c r="AP490" i="45"/>
  <c r="W490" i="45"/>
  <c r="O490" i="45"/>
  <c r="N490" i="45"/>
  <c r="F490" i="45"/>
  <c r="P490" i="45"/>
  <c r="Z490" i="45"/>
  <c r="AX490" i="45"/>
  <c r="AW490" i="45"/>
  <c r="AP198" i="45"/>
  <c r="AP226" i="45"/>
  <c r="AP342" i="45"/>
  <c r="AP476" i="45"/>
  <c r="AP76" i="45"/>
  <c r="AP340" i="45"/>
  <c r="AP196" i="45"/>
  <c r="AP113" i="45"/>
  <c r="A548" i="45"/>
  <c r="AP548" i="45"/>
  <c r="AP413" i="45"/>
  <c r="AP185" i="45"/>
  <c r="AP512" i="45"/>
  <c r="AP514" i="45"/>
  <c r="O401" i="45"/>
  <c r="W401" i="45"/>
  <c r="F401" i="45"/>
  <c r="AP401" i="45"/>
  <c r="AX401" i="45"/>
  <c r="N401" i="45"/>
  <c r="Z401" i="45"/>
  <c r="AW401" i="45"/>
  <c r="P401" i="45"/>
  <c r="AP444" i="45"/>
  <c r="P69" i="45"/>
  <c r="AP69" i="45"/>
  <c r="N69" i="45"/>
  <c r="Z69" i="45"/>
  <c r="AX69" i="45"/>
  <c r="W69" i="45"/>
  <c r="O69" i="45"/>
  <c r="AW69" i="45"/>
  <c r="F69" i="45"/>
  <c r="AP175" i="45"/>
  <c r="AP403" i="45"/>
  <c r="AP531" i="45"/>
  <c r="N294" i="45"/>
  <c r="Z294" i="45"/>
  <c r="AW294" i="45"/>
  <c r="O294" i="45"/>
  <c r="F294" i="45"/>
  <c r="W294" i="45"/>
  <c r="P294" i="45"/>
  <c r="AP294" i="45"/>
  <c r="AX294" i="45"/>
  <c r="A586" i="45"/>
  <c r="AP586" i="45"/>
  <c r="AP264" i="45"/>
  <c r="AP554" i="45"/>
  <c r="A554" i="45"/>
  <c r="AX519" i="45"/>
  <c r="N519" i="45"/>
  <c r="W519" i="45"/>
  <c r="AP519" i="45"/>
  <c r="AW519" i="45"/>
  <c r="F519" i="45"/>
  <c r="Z519" i="45"/>
  <c r="P519" i="45"/>
  <c r="O519" i="45"/>
  <c r="AP562" i="45"/>
  <c r="A562" i="45"/>
  <c r="AP292" i="45"/>
  <c r="AX187" i="45"/>
  <c r="P187" i="45"/>
  <c r="AP187" i="45"/>
  <c r="AW187" i="45"/>
  <c r="N187" i="45"/>
  <c r="W187" i="45"/>
  <c r="Z187" i="45"/>
  <c r="F187" i="45"/>
  <c r="O187" i="45"/>
  <c r="AP435" i="45"/>
  <c r="A564" i="45"/>
  <c r="AP564" i="45"/>
  <c r="AP55" i="45"/>
  <c r="AP386" i="45"/>
  <c r="AP370" i="45"/>
  <c r="AP478" i="45"/>
  <c r="AP533" i="45"/>
  <c r="AP209" i="45"/>
  <c r="AP290" i="45"/>
  <c r="AP452" i="45"/>
  <c r="AP425" i="45"/>
  <c r="AP390" i="45"/>
  <c r="N397" i="45"/>
  <c r="P397" i="45"/>
  <c r="Z397" i="45"/>
  <c r="AW397" i="45"/>
  <c r="AP397" i="45"/>
  <c r="O397" i="45"/>
  <c r="AX397" i="45"/>
  <c r="W397" i="45"/>
  <c r="F397" i="45"/>
  <c r="AP189" i="45"/>
  <c r="AP415" i="45"/>
  <c r="AP355" i="45"/>
  <c r="AP468" i="45"/>
  <c r="AX313" i="45"/>
  <c r="W313" i="45"/>
  <c r="P313" i="45"/>
  <c r="AW313" i="45"/>
  <c r="O313" i="45"/>
  <c r="Z313" i="45"/>
  <c r="N313" i="45"/>
  <c r="F313" i="45"/>
  <c r="AP313" i="45"/>
  <c r="AP155" i="45"/>
  <c r="AP363" i="45"/>
  <c r="AP593" i="45"/>
  <c r="A593" i="45"/>
  <c r="AX323" i="45"/>
  <c r="AW323" i="45"/>
  <c r="P323" i="45"/>
  <c r="N323" i="45"/>
  <c r="Z323" i="45"/>
  <c r="W323" i="45"/>
  <c r="AP323" i="45"/>
  <c r="O323" i="45"/>
  <c r="F323" i="45"/>
  <c r="AP160" i="45"/>
  <c r="AP584" i="45"/>
  <c r="A584" i="45"/>
  <c r="AP446" i="45"/>
  <c r="AP459" i="45"/>
  <c r="AP241" i="45"/>
  <c r="AW285" i="45"/>
  <c r="F285" i="45"/>
  <c r="W285" i="45"/>
  <c r="AP285" i="45"/>
  <c r="Z285" i="45"/>
  <c r="AX285" i="45"/>
  <c r="O285" i="45"/>
  <c r="N285" i="45"/>
  <c r="P285" i="45"/>
  <c r="N462" i="45"/>
  <c r="AP462" i="45"/>
  <c r="Z462" i="45"/>
  <c r="AX462" i="45"/>
  <c r="F462" i="45"/>
  <c r="O462" i="45"/>
  <c r="AW462" i="45"/>
  <c r="P462" i="45"/>
  <c r="W462" i="45"/>
  <c r="AX503" i="45"/>
  <c r="P503" i="45"/>
  <c r="W503" i="45"/>
  <c r="O503" i="45"/>
  <c r="F503" i="45"/>
  <c r="AP503" i="45"/>
  <c r="N503" i="45"/>
  <c r="Z503" i="45"/>
  <c r="AW503" i="45"/>
  <c r="AP545" i="45"/>
  <c r="AP539" i="45"/>
  <c r="AP283" i="45"/>
  <c r="AP104" i="45"/>
  <c r="A591" i="45"/>
  <c r="AP591" i="45"/>
  <c r="AP407" i="45"/>
  <c r="AP500" i="45"/>
  <c r="AP177" i="45"/>
  <c r="AP213" i="45"/>
  <c r="A589" i="45"/>
  <c r="AP589" i="45"/>
  <c r="AP352" i="45"/>
  <c r="AP496" i="45"/>
  <c r="AP466" i="45"/>
  <c r="P437" i="45"/>
  <c r="W437" i="45"/>
  <c r="F437" i="45"/>
  <c r="AX437" i="45"/>
  <c r="AP437" i="45"/>
  <c r="AW437" i="45"/>
  <c r="N437" i="45"/>
  <c r="O437" i="45"/>
  <c r="Z437" i="45"/>
  <c r="AP59" i="45"/>
  <c r="AP327" i="45"/>
  <c r="AP580" i="45"/>
  <c r="A580" i="45"/>
  <c r="AP506" i="45"/>
  <c r="AP331" i="45"/>
  <c r="A582" i="45"/>
  <c r="AP582" i="45"/>
  <c r="AP201" i="45"/>
  <c r="AP358" i="45"/>
  <c r="AP492" i="45"/>
  <c r="N492" i="45"/>
  <c r="W492" i="45"/>
  <c r="AX492" i="45"/>
  <c r="AW492" i="45"/>
  <c r="O492" i="45"/>
  <c r="P492" i="45"/>
  <c r="Z492" i="45"/>
  <c r="F492" i="45"/>
  <c r="AP296" i="45"/>
  <c r="W543" i="45"/>
  <c r="O543" i="45"/>
  <c r="AP543" i="45"/>
  <c r="N543" i="45"/>
  <c r="P543" i="45"/>
  <c r="AX543" i="45"/>
  <c r="AW543" i="45"/>
  <c r="F543" i="45"/>
  <c r="Z543" i="45"/>
  <c r="AP559" i="45"/>
  <c r="A559" i="45"/>
  <c r="P163" i="45"/>
  <c r="AX163" i="45"/>
  <c r="Z163" i="45"/>
  <c r="W163" i="45"/>
  <c r="AP163" i="45"/>
  <c r="N163" i="45"/>
  <c r="F163" i="45"/>
  <c r="O163" i="45"/>
  <c r="AW163" i="45"/>
  <c r="AX229" i="45"/>
  <c r="F229" i="45"/>
  <c r="W229" i="45"/>
  <c r="AW229" i="45"/>
  <c r="P229" i="45"/>
  <c r="O229" i="45"/>
  <c r="AP229" i="45"/>
  <c r="Z229" i="45"/>
  <c r="N229" i="45"/>
  <c r="AX349" i="45"/>
  <c r="AW349" i="45"/>
  <c r="P349" i="45"/>
  <c r="W349" i="45"/>
  <c r="N349" i="45"/>
  <c r="F349" i="45"/>
  <c r="O349" i="45"/>
  <c r="AP349" i="45"/>
  <c r="Z349" i="45"/>
  <c r="Z508" i="45"/>
  <c r="AP508" i="45"/>
  <c r="F508" i="45"/>
  <c r="AW508" i="45"/>
  <c r="AX508" i="45"/>
  <c r="N508" i="45"/>
  <c r="P508" i="45"/>
  <c r="O508" i="45"/>
  <c r="W508" i="45"/>
  <c r="AP308" i="45"/>
  <c r="AP98" i="45"/>
  <c r="Z510" i="45"/>
  <c r="F510" i="45"/>
  <c r="AX510" i="45"/>
  <c r="W510" i="45"/>
  <c r="P510" i="45"/>
  <c r="AW510" i="45"/>
  <c r="N510" i="45"/>
  <c r="O510" i="45"/>
  <c r="AP510" i="45"/>
  <c r="AP39" i="45"/>
  <c r="Y337" i="19"/>
  <c r="Y428" i="19"/>
  <c r="Y121" i="19"/>
  <c r="Y434" i="19"/>
  <c r="Y296" i="19"/>
  <c r="Y290" i="19"/>
  <c r="Y406" i="19"/>
  <c r="Y271" i="19"/>
  <c r="Y558" i="19"/>
  <c r="Y415" i="19"/>
  <c r="Y118" i="19"/>
  <c r="Y185" i="19"/>
  <c r="Y68" i="19"/>
  <c r="Y182" i="19"/>
  <c r="Y255" i="19"/>
  <c r="Y49" i="19"/>
  <c r="Y555" i="19"/>
  <c r="Y539" i="19"/>
  <c r="Y575" i="19"/>
  <c r="Y117" i="19"/>
  <c r="Y214" i="19"/>
  <c r="Y48" i="19"/>
  <c r="Y160" i="19"/>
  <c r="Y150" i="19"/>
  <c r="Y222" i="19"/>
  <c r="Y144" i="19"/>
  <c r="Y368" i="19"/>
  <c r="Y164" i="19"/>
  <c r="Y59" i="19"/>
  <c r="Y111" i="19"/>
  <c r="Y77" i="19"/>
  <c r="Y437" i="19"/>
  <c r="Y141" i="19"/>
  <c r="Y493" i="19"/>
  <c r="Y171" i="19"/>
  <c r="Y67" i="19"/>
  <c r="Y573" i="19"/>
  <c r="Y198" i="19"/>
  <c r="Y323" i="19"/>
  <c r="Y453" i="19"/>
  <c r="Y477" i="19"/>
  <c r="Y292" i="19"/>
  <c r="Y495" i="19"/>
  <c r="Y596" i="19"/>
  <c r="Y191" i="19"/>
  <c r="Y81" i="19"/>
  <c r="Y279" i="19"/>
  <c r="Y176" i="19"/>
  <c r="Y502" i="19"/>
  <c r="Y189" i="19"/>
  <c r="Y237" i="19"/>
  <c r="Y23" i="19"/>
  <c r="Y410" i="19"/>
  <c r="Y515" i="19"/>
  <c r="Y73" i="19"/>
  <c r="Y312" i="19"/>
  <c r="Y500" i="19"/>
  <c r="Y332" i="19"/>
  <c r="Y510" i="19"/>
  <c r="Y71" i="19"/>
  <c r="Y336" i="19"/>
  <c r="Y215" i="19"/>
  <c r="Y250" i="19"/>
  <c r="Y179" i="19"/>
  <c r="Y88" i="19"/>
  <c r="Y416" i="19"/>
  <c r="Y383" i="19"/>
  <c r="Y153" i="19"/>
  <c r="Y184" i="19"/>
  <c r="Y297" i="19"/>
  <c r="Y288" i="19"/>
  <c r="Y30" i="19"/>
  <c r="Y329" i="19"/>
  <c r="Y95" i="19"/>
  <c r="Y51" i="19"/>
  <c r="Y103" i="19"/>
  <c r="Y444" i="19"/>
  <c r="Y301" i="19"/>
  <c r="Y235" i="19"/>
  <c r="Y238" i="19"/>
  <c r="Y188" i="19"/>
  <c r="Y236" i="19"/>
  <c r="Y401" i="19"/>
  <c r="Y479" i="19"/>
  <c r="Y308" i="19"/>
  <c r="Y161" i="19"/>
  <c r="Y469" i="19"/>
  <c r="Y241" i="19"/>
  <c r="Y476" i="19"/>
  <c r="Y107" i="19"/>
  <c r="Y506" i="19"/>
  <c r="Y306" i="19"/>
  <c r="Y139" i="19"/>
  <c r="Y46" i="19"/>
  <c r="Y252" i="19"/>
  <c r="Y105" i="19"/>
  <c r="Y563" i="19"/>
  <c r="Y25" i="19"/>
  <c r="Y403" i="19"/>
  <c r="Y219" i="19"/>
  <c r="Y535" i="19"/>
  <c r="Y254" i="19"/>
  <c r="Y384" i="19"/>
  <c r="Y310" i="19"/>
  <c r="Y367" i="19"/>
  <c r="Y579" i="19"/>
  <c r="Y246" i="19"/>
  <c r="Y232" i="19"/>
  <c r="Y519" i="19"/>
  <c r="Y166" i="19"/>
  <c r="Y242" i="19"/>
  <c r="Y481" i="19"/>
  <c r="Y351" i="19"/>
  <c r="Y60" i="19"/>
  <c r="Y446" i="19"/>
  <c r="Y461" i="19"/>
  <c r="Y83" i="19"/>
  <c r="Y137" i="19"/>
  <c r="Y361" i="19"/>
  <c r="Y303" i="19"/>
  <c r="Y114" i="19"/>
  <c r="Y278" i="19"/>
  <c r="Y168" i="19"/>
  <c r="Y269" i="19"/>
  <c r="Y526" i="19"/>
  <c r="Y561" i="19"/>
  <c r="Y239" i="19"/>
  <c r="Y208" i="19"/>
  <c r="Y413" i="19"/>
  <c r="Y98" i="19"/>
  <c r="Y590" i="19"/>
  <c r="Y91" i="19"/>
  <c r="Y79" i="19"/>
  <c r="Y598" i="19"/>
  <c r="Y267" i="19"/>
  <c r="Y94" i="19"/>
  <c r="Y127" i="19"/>
  <c r="Y560" i="19"/>
  <c r="Y570" i="19"/>
  <c r="Y187" i="19"/>
  <c r="Y327" i="19"/>
  <c r="Y248" i="19"/>
  <c r="Y183" i="19"/>
  <c r="Y229" i="19"/>
  <c r="Y65" i="19"/>
  <c r="Y285" i="19"/>
  <c r="Y218" i="19"/>
  <c r="Y583" i="19"/>
  <c r="Y64" i="19"/>
  <c r="Y190" i="19"/>
  <c r="Y156" i="19"/>
  <c r="Y485" i="19"/>
  <c r="Y202" i="19"/>
  <c r="Y480" i="19"/>
  <c r="Y138" i="19"/>
  <c r="Y580" i="19"/>
  <c r="Y544" i="19"/>
  <c r="Y125" i="19"/>
  <c r="Y490" i="19"/>
  <c r="Y283" i="19"/>
  <c r="Y212" i="19"/>
  <c r="Y126" i="19"/>
  <c r="Y405" i="19"/>
  <c r="Y474" i="19"/>
  <c r="Y233" i="19"/>
  <c r="Y110" i="19"/>
  <c r="Y194" i="19"/>
  <c r="Y305" i="19"/>
  <c r="Y568" i="19"/>
  <c r="Y541" i="19"/>
  <c r="Y140" i="19"/>
  <c r="Y66" i="19"/>
  <c r="Y108" i="19"/>
  <c r="Y210" i="19"/>
  <c r="Y203" i="19"/>
  <c r="Y399" i="19"/>
  <c r="Y441" i="19"/>
  <c r="Y204" i="19"/>
  <c r="Y398" i="19"/>
  <c r="Y115" i="19"/>
  <c r="Y499" i="19"/>
  <c r="Y349" i="19"/>
  <c r="Y340" i="19"/>
  <c r="Y602" i="19"/>
  <c r="Y307" i="19"/>
  <c r="Y473" i="19"/>
  <c r="Y514" i="19"/>
  <c r="Y106" i="19"/>
  <c r="Y120" i="19"/>
  <c r="Y316" i="19"/>
  <c r="Y109" i="19"/>
  <c r="Y226" i="19"/>
  <c r="Y69" i="19"/>
  <c r="Y335" i="19"/>
  <c r="Y347" i="19"/>
  <c r="Y234" i="19"/>
  <c r="Y245" i="19"/>
  <c r="Y475" i="19"/>
  <c r="Y195" i="19"/>
  <c r="Y122" i="19"/>
  <c r="Y448" i="19"/>
  <c r="Y345" i="19"/>
  <c r="Y311" i="19"/>
  <c r="Y280" i="19"/>
  <c r="Y147" i="19"/>
  <c r="Y498" i="19"/>
  <c r="Y275" i="19"/>
  <c r="Y509" i="19"/>
  <c r="Y287" i="19"/>
  <c r="Y426" i="19"/>
  <c r="Y365" i="19"/>
  <c r="Y227" i="19"/>
  <c r="Y309" i="19"/>
  <c r="Y262" i="19"/>
  <c r="Y217" i="19"/>
  <c r="Y178" i="19"/>
  <c r="Y491" i="19"/>
  <c r="Y62" i="19"/>
  <c r="Y486" i="19"/>
  <c r="Y63" i="19"/>
  <c r="Y582" i="19"/>
  <c r="Y458" i="19"/>
  <c r="Y133" i="19"/>
  <c r="Y260" i="19"/>
  <c r="Y197" i="19"/>
  <c r="Y342" i="19"/>
  <c r="Y565" i="19"/>
  <c r="Y205" i="19"/>
  <c r="Y412" i="19"/>
  <c r="Y192" i="19"/>
  <c r="Y104" i="19"/>
  <c r="Y527" i="19"/>
  <c r="Y572" i="19"/>
  <c r="Y331" i="19"/>
  <c r="Y36" i="19"/>
  <c r="Y557" i="19"/>
  <c r="Y408" i="19"/>
  <c r="Y97" i="19"/>
  <c r="Y352" i="19"/>
  <c r="Y224" i="19"/>
  <c r="Y259" i="19"/>
  <c r="Y432" i="19"/>
  <c r="Y362" i="19"/>
  <c r="Y207" i="19"/>
  <c r="Y180" i="19"/>
  <c r="Y209" i="19"/>
  <c r="Y167" i="19"/>
  <c r="Y128" i="19"/>
  <c r="Y594" i="19"/>
  <c r="Y411" i="19"/>
  <c r="Y566" i="19"/>
  <c r="Y101" i="19"/>
  <c r="Y484" i="19"/>
  <c r="Y325" i="19"/>
  <c r="Y550" i="19"/>
  <c r="Y530" i="19"/>
  <c r="Y57" i="19"/>
  <c r="Y299" i="19"/>
  <c r="Y276" i="19"/>
  <c r="Y158" i="19"/>
  <c r="Y465" i="19"/>
  <c r="Y99" i="19"/>
  <c r="Y135" i="19"/>
  <c r="Y90" i="19"/>
  <c r="Y420" i="19"/>
  <c r="Y281" i="19"/>
  <c r="Y356" i="19"/>
  <c r="Y143" i="19"/>
  <c r="Y80" i="19"/>
  <c r="Y511" i="19"/>
  <c r="Y211" i="19"/>
  <c r="Y396" i="19"/>
  <c r="Y418" i="19"/>
  <c r="Y363" i="19"/>
  <c r="Y517" i="19"/>
  <c r="Y547" i="19"/>
  <c r="Y358" i="19"/>
  <c r="Y132" i="19"/>
  <c r="Y554" i="19"/>
  <c r="Y334" i="19"/>
  <c r="Y196" i="19"/>
  <c r="Y298" i="19"/>
  <c r="Y353" i="19"/>
  <c r="Y221" i="19"/>
  <c r="Y170" i="19"/>
  <c r="Y35" i="19"/>
  <c r="Y75" i="19"/>
  <c r="Y564" i="19"/>
  <c r="Y468" i="19"/>
  <c r="Y244" i="19"/>
  <c r="Y102" i="19"/>
  <c r="Y451" i="19"/>
  <c r="Y113" i="19"/>
  <c r="Y409" i="19"/>
  <c r="Y492" i="19"/>
  <c r="Y522" i="19"/>
  <c r="Y89" i="19"/>
  <c r="Y407" i="19"/>
  <c r="Y131" i="19"/>
  <c r="Y366" i="19"/>
  <c r="Y338" i="19"/>
  <c r="Y339" i="19"/>
  <c r="Y286" i="19"/>
  <c r="Y86" i="19"/>
  <c r="Y174" i="19"/>
  <c r="Y85" i="19"/>
  <c r="Y462" i="19"/>
  <c r="Y540" i="19"/>
  <c r="Y74" i="19"/>
  <c r="Y470" i="19"/>
  <c r="Y289" i="19"/>
  <c r="Y523" i="19"/>
  <c r="Y249" i="19"/>
  <c r="Y380" i="19"/>
  <c r="Y243" i="19"/>
  <c r="Y324" i="19"/>
  <c r="Y571" i="19"/>
  <c r="Y87" i="19"/>
  <c r="Y592" i="19"/>
  <c r="Y282" i="19"/>
  <c r="Y175" i="19"/>
  <c r="Y445" i="19"/>
  <c r="Y199" i="19"/>
  <c r="Y155" i="19"/>
  <c r="Y389" i="19"/>
  <c r="Y47" i="19"/>
  <c r="Y395" i="19"/>
  <c r="Y257" i="19"/>
  <c r="Y186" i="19"/>
  <c r="Y84" i="19"/>
  <c r="Y531" i="19"/>
  <c r="Y496" i="19"/>
  <c r="Y551" i="19"/>
  <c r="Y172" i="19"/>
  <c r="Y148" i="19"/>
  <c r="Y348" i="19"/>
  <c r="Y304" i="19"/>
  <c r="Y459" i="19"/>
  <c r="Y425" i="19"/>
  <c r="Y421" i="19"/>
  <c r="Y357" i="19"/>
  <c r="Y302" i="19"/>
  <c r="Y44" i="19"/>
  <c r="Y130" i="19"/>
  <c r="Y343" i="19"/>
  <c r="Y538" i="19"/>
  <c r="Y230" i="19"/>
  <c r="Y124" i="19"/>
  <c r="Y371" i="19"/>
  <c r="Y370" i="19"/>
  <c r="Y376" i="19"/>
  <c r="Y369" i="19"/>
  <c r="Y391" i="19"/>
  <c r="Y460" i="19"/>
  <c r="Y314" i="19"/>
  <c r="Y317" i="19"/>
  <c r="Y466" i="19"/>
  <c r="Y534" i="19"/>
  <c r="Y320" i="19"/>
  <c r="Y440" i="19"/>
  <c r="Y454" i="19"/>
  <c r="Y385" i="19"/>
  <c r="Y134" i="19"/>
  <c r="Y319" i="19"/>
  <c r="Y61" i="19"/>
  <c r="Y333" i="19"/>
  <c r="Y291" i="19"/>
  <c r="Y32" i="19"/>
  <c r="Y216" i="19"/>
  <c r="Y159" i="19"/>
  <c r="Y322" i="19"/>
  <c r="Y330" i="19"/>
  <c r="Y488" i="19"/>
  <c r="Y350" i="19"/>
  <c r="Y507" i="19"/>
  <c r="Y588" i="19"/>
  <c r="Y213" i="19"/>
  <c r="Y529" i="19"/>
  <c r="Y524" i="19"/>
  <c r="Y442" i="19"/>
  <c r="Y375" i="19"/>
  <c r="Y220" i="19"/>
  <c r="Y593" i="19"/>
  <c r="Y364" i="19"/>
  <c r="Y129" i="19"/>
  <c r="Y28" i="19"/>
  <c r="Y264" i="19"/>
  <c r="Y604" i="19"/>
  <c r="Y586" i="19"/>
  <c r="Y599" i="19"/>
  <c r="Y272" i="19"/>
  <c r="Y93" i="19"/>
  <c r="Y381" i="19"/>
  <c r="Y326" i="19"/>
  <c r="Y457" i="19"/>
  <c r="Y536" i="19"/>
  <c r="Y585" i="19"/>
  <c r="Y439" i="19"/>
  <c r="Y591" i="19"/>
  <c r="Y341" i="19"/>
  <c r="Y373" i="19"/>
  <c r="Y589" i="19"/>
  <c r="Y354" i="19"/>
  <c r="Y225" i="19"/>
  <c r="Y379" i="19"/>
  <c r="Y344" i="19"/>
  <c r="Y505" i="19"/>
  <c r="Y436" i="19"/>
  <c r="Y96" i="19"/>
  <c r="Y173" i="19"/>
  <c r="Y119" i="19"/>
  <c r="Y463" i="19"/>
  <c r="Y456" i="19"/>
  <c r="Y483" i="19"/>
  <c r="Y597" i="19"/>
  <c r="Y45" i="19"/>
  <c r="Y152" i="19"/>
  <c r="Y273" i="19"/>
  <c r="Y165" i="19"/>
  <c r="Y449" i="19"/>
  <c r="Y546" i="19"/>
  <c r="Y516" i="19"/>
  <c r="Y388" i="19"/>
  <c r="Y600" i="19"/>
  <c r="Y374" i="19"/>
  <c r="Y404" i="19"/>
  <c r="Y201" i="19"/>
  <c r="Y574" i="19"/>
  <c r="Y318" i="19"/>
  <c r="Y146" i="19"/>
  <c r="Y300" i="19"/>
  <c r="Y116" i="19"/>
  <c r="Y149" i="19"/>
  <c r="Y265" i="19"/>
  <c r="Y450" i="19"/>
  <c r="Y552" i="19"/>
  <c r="Y562" i="19"/>
  <c r="Y577" i="19"/>
  <c r="Y584" i="19"/>
  <c r="Y355" i="19"/>
  <c r="Y151" i="19"/>
  <c r="Y256" i="19"/>
  <c r="Y162" i="19"/>
  <c r="Y142" i="19"/>
  <c r="Y386" i="19"/>
  <c r="Y24" i="19"/>
  <c r="Y112" i="19"/>
  <c r="Y261" i="19"/>
  <c r="Y430" i="19"/>
  <c r="Y424" i="19"/>
  <c r="Y359" i="19"/>
  <c r="Y543" i="19"/>
  <c r="Y567" i="19"/>
  <c r="Y378" i="19"/>
  <c r="Y321" i="19"/>
  <c r="Y472" i="19"/>
  <c r="Y542" i="19"/>
  <c r="Y154" i="19"/>
  <c r="Y603" i="19"/>
  <c r="Y402" i="19"/>
  <c r="Y423" i="19"/>
  <c r="Y581" i="19"/>
  <c r="Y512" i="19"/>
  <c r="Y443" i="19"/>
  <c r="Y520" i="19"/>
  <c r="Y553" i="19"/>
  <c r="Y549" i="19"/>
  <c r="Y163" i="19"/>
  <c r="Y394" i="19"/>
  <c r="Y556" i="19"/>
  <c r="Y417" i="19"/>
  <c r="Y576" i="19"/>
  <c r="Y274" i="19"/>
  <c r="Y390" i="19"/>
  <c r="Y393" i="19"/>
  <c r="Y464" i="19"/>
  <c r="Y532" i="19"/>
  <c r="Y58" i="19"/>
  <c r="Y70" i="19"/>
  <c r="Y503" i="19"/>
  <c r="Y545" i="19"/>
  <c r="Y200" i="19"/>
  <c r="Y76" i="19"/>
  <c r="AP381" i="45"/>
  <c r="AP179" i="45"/>
  <c r="AP427" i="45"/>
  <c r="N541" i="45"/>
  <c r="F541" i="45"/>
  <c r="AP541" i="45"/>
  <c r="W541" i="45"/>
  <c r="P541" i="45"/>
  <c r="AW541" i="45"/>
  <c r="AX541" i="45"/>
  <c r="O541" i="45"/>
  <c r="Z541" i="45"/>
  <c r="AP299" i="45"/>
  <c r="P134" i="45"/>
  <c r="AX134" i="45"/>
  <c r="W134" i="45"/>
  <c r="F134" i="45"/>
  <c r="O134" i="45"/>
  <c r="AW134" i="45"/>
  <c r="AP134" i="45"/>
  <c r="Z134" i="45"/>
  <c r="N134" i="45"/>
  <c r="AX335" i="45"/>
  <c r="AP335" i="45"/>
  <c r="AW335" i="45"/>
  <c r="W335" i="45"/>
  <c r="N335" i="45"/>
  <c r="P335" i="45"/>
  <c r="F335" i="45"/>
  <c r="O335" i="45"/>
  <c r="Z335" i="45"/>
  <c r="AP147" i="45"/>
  <c r="AP537" i="45"/>
  <c r="AP183" i="45"/>
  <c r="AP472" i="45"/>
  <c r="AP172" i="45"/>
  <c r="A574" i="45"/>
  <c r="AP574" i="45"/>
  <c r="Y22" i="19" l="1"/>
  <c r="Y414" i="19"/>
  <c r="E1101" i="35"/>
  <c r="Y50" i="19"/>
  <c r="AW245" i="45"/>
  <c r="F245" i="45"/>
  <c r="W245" i="45"/>
  <c r="O245" i="45"/>
  <c r="Z245" i="45"/>
  <c r="N245" i="45"/>
  <c r="AX245" i="45"/>
  <c r="P245" i="45"/>
  <c r="AW171" i="45"/>
  <c r="W171" i="45"/>
  <c r="O171" i="45"/>
  <c r="F171" i="45"/>
  <c r="Z171" i="45"/>
  <c r="P171" i="45"/>
  <c r="AX171" i="45"/>
  <c r="N171" i="45"/>
  <c r="F159" i="45"/>
  <c r="W159" i="45"/>
  <c r="AX159" i="45"/>
  <c r="O159" i="45"/>
  <c r="N159" i="45"/>
  <c r="AW159" i="45"/>
  <c r="Z159" i="45"/>
  <c r="P159" i="45"/>
  <c r="Y55" i="19"/>
  <c r="X55" i="19"/>
  <c r="E13" i="35"/>
  <c r="AS55" i="19"/>
  <c r="AR55" i="19" s="1"/>
  <c r="AW51" i="45"/>
  <c r="F51" i="45"/>
  <c r="Z51" i="45"/>
  <c r="N51" i="45"/>
  <c r="P51" i="45"/>
  <c r="AX51" i="45"/>
  <c r="O51" i="45"/>
  <c r="W51" i="45"/>
  <c r="AX117" i="45"/>
  <c r="Z117" i="45"/>
  <c r="N117" i="45"/>
  <c r="AW117" i="45"/>
  <c r="O117" i="45"/>
  <c r="W117" i="45"/>
  <c r="P117" i="45"/>
  <c r="F117" i="45"/>
  <c r="P153" i="45"/>
  <c r="AW153" i="45"/>
  <c r="Z153" i="45"/>
  <c r="AX153" i="45"/>
  <c r="F153" i="45"/>
  <c r="W153" i="45"/>
  <c r="O153" i="45"/>
  <c r="N153" i="45"/>
  <c r="W389" i="45"/>
  <c r="O389" i="45"/>
  <c r="F389" i="45"/>
  <c r="AW389" i="45"/>
  <c r="AX389" i="45"/>
  <c r="N389" i="45"/>
  <c r="Z389" i="45"/>
  <c r="P389" i="45"/>
  <c r="A569" i="45"/>
  <c r="P181" i="45"/>
  <c r="W181" i="45"/>
  <c r="Z181" i="45"/>
  <c r="F181" i="45"/>
  <c r="AX181" i="45"/>
  <c r="AW181" i="45"/>
  <c r="O181" i="45"/>
  <c r="N181" i="45"/>
  <c r="A576" i="45"/>
  <c r="AX165" i="45"/>
  <c r="AW165" i="45"/>
  <c r="O165" i="45"/>
  <c r="Z165" i="45"/>
  <c r="N165" i="45"/>
  <c r="W165" i="45"/>
  <c r="P165" i="45"/>
  <c r="F165" i="45"/>
  <c r="AX151" i="45"/>
  <c r="P151" i="45"/>
  <c r="Z151" i="45"/>
  <c r="O151" i="45"/>
  <c r="AW151" i="45"/>
  <c r="F151" i="45"/>
  <c r="W151" i="45"/>
  <c r="N151" i="45"/>
  <c r="F127" i="45"/>
  <c r="AX127" i="45"/>
  <c r="O127" i="45"/>
  <c r="N127" i="45"/>
  <c r="AW127" i="45"/>
  <c r="W127" i="45"/>
  <c r="P127" i="45"/>
  <c r="Z127" i="45"/>
  <c r="A595" i="45"/>
  <c r="A601" i="45"/>
  <c r="A603" i="45"/>
  <c r="N276" i="45"/>
  <c r="F276" i="45"/>
  <c r="W276" i="45"/>
  <c r="O276" i="45"/>
  <c r="AX276" i="45"/>
  <c r="Z276" i="45"/>
  <c r="AW276" i="45"/>
  <c r="P276" i="45"/>
  <c r="AX268" i="45"/>
  <c r="W268" i="45"/>
  <c r="P268" i="45"/>
  <c r="F268" i="45"/>
  <c r="Z268" i="45"/>
  <c r="O268" i="45"/>
  <c r="N268" i="45"/>
  <c r="AW268" i="45"/>
  <c r="A598" i="45"/>
  <c r="AX141" i="45"/>
  <c r="O141" i="45"/>
  <c r="W141" i="45"/>
  <c r="AW141" i="45"/>
  <c r="N141" i="45"/>
  <c r="F141" i="45"/>
  <c r="Z141" i="45"/>
  <c r="P141" i="45"/>
  <c r="Z376" i="45"/>
  <c r="W376" i="45"/>
  <c r="AW376" i="45"/>
  <c r="AX376" i="45"/>
  <c r="O376" i="45"/>
  <c r="N376" i="45"/>
  <c r="P376" i="45"/>
  <c r="F376" i="45"/>
  <c r="P36" i="45"/>
  <c r="AX36" i="45"/>
  <c r="N36" i="45"/>
  <c r="W36" i="45"/>
  <c r="O36" i="45"/>
  <c r="Z36" i="45"/>
  <c r="F36" i="45"/>
  <c r="AW36" i="45"/>
  <c r="AX259" i="45"/>
  <c r="F259" i="45"/>
  <c r="Z259" i="45"/>
  <c r="P259" i="45"/>
  <c r="AW259" i="45"/>
  <c r="N259" i="45"/>
  <c r="O259" i="45"/>
  <c r="W259" i="45"/>
  <c r="A596" i="45"/>
  <c r="AX417" i="45"/>
  <c r="Z417" i="45"/>
  <c r="N417" i="45"/>
  <c r="O417" i="45"/>
  <c r="P417" i="45"/>
  <c r="AW417" i="45"/>
  <c r="F417" i="45"/>
  <c r="W417" i="45"/>
  <c r="Z405" i="45"/>
  <c r="AW405" i="45"/>
  <c r="N405" i="45"/>
  <c r="AX405" i="45"/>
  <c r="P405" i="45"/>
  <c r="F405" i="45"/>
  <c r="O405" i="45"/>
  <c r="W405" i="45"/>
  <c r="AW351" i="45"/>
  <c r="Z351" i="45"/>
  <c r="N351" i="45"/>
  <c r="O351" i="45"/>
  <c r="W351" i="45"/>
  <c r="P351" i="45"/>
  <c r="AX351" i="45"/>
  <c r="F351" i="45"/>
  <c r="A557" i="45"/>
  <c r="A604" i="45"/>
  <c r="AW272" i="45"/>
  <c r="F272" i="45"/>
  <c r="P272" i="45"/>
  <c r="N272" i="45"/>
  <c r="AX272" i="45"/>
  <c r="Z272" i="45"/>
  <c r="O272" i="45"/>
  <c r="W272" i="45"/>
  <c r="A550" i="45"/>
  <c r="A599" i="45"/>
  <c r="AW369" i="45"/>
  <c r="AX369" i="45"/>
  <c r="N369" i="45"/>
  <c r="P369" i="45"/>
  <c r="W369" i="45"/>
  <c r="F369" i="45"/>
  <c r="O369" i="45"/>
  <c r="Z369" i="45"/>
  <c r="Z114" i="45"/>
  <c r="N114" i="45"/>
  <c r="O114" i="45"/>
  <c r="AW114" i="45"/>
  <c r="AX114" i="45"/>
  <c r="F114" i="45"/>
  <c r="W114" i="45"/>
  <c r="P114" i="45"/>
  <c r="A597" i="45"/>
  <c r="N484" i="45"/>
  <c r="P484" i="45"/>
  <c r="F484" i="45"/>
  <c r="Z484" i="45"/>
  <c r="AX484" i="45"/>
  <c r="AW484" i="45"/>
  <c r="O484" i="45"/>
  <c r="W484" i="45"/>
  <c r="F174" i="45"/>
  <c r="P174" i="45"/>
  <c r="W174" i="45"/>
  <c r="AW174" i="45"/>
  <c r="N174" i="45"/>
  <c r="Z174" i="45"/>
  <c r="AX174" i="45"/>
  <c r="O174" i="45"/>
  <c r="A572" i="45"/>
  <c r="AW439" i="45"/>
  <c r="O439" i="45"/>
  <c r="N439" i="45"/>
  <c r="W439" i="45"/>
  <c r="F439" i="45"/>
  <c r="P439" i="45"/>
  <c r="AX439" i="45"/>
  <c r="Z439" i="45"/>
  <c r="A567" i="45"/>
  <c r="N494" i="45"/>
  <c r="F494" i="45"/>
  <c r="AX494" i="45"/>
  <c r="AW494" i="45"/>
  <c r="W494" i="45"/>
  <c r="O494" i="45"/>
  <c r="Z494" i="45"/>
  <c r="P494" i="45"/>
  <c r="O310" i="45"/>
  <c r="AW310" i="45"/>
  <c r="F310" i="45"/>
  <c r="W310" i="45"/>
  <c r="P310" i="45"/>
  <c r="AX310" i="45"/>
  <c r="N310" i="45"/>
  <c r="Z310" i="45"/>
  <c r="N524" i="45"/>
  <c r="W524" i="45"/>
  <c r="Z524" i="45"/>
  <c r="AW524" i="45"/>
  <c r="O524" i="45"/>
  <c r="AX524" i="45"/>
  <c r="P524" i="45"/>
  <c r="F524" i="45"/>
  <c r="AX99" i="45"/>
  <c r="AW99" i="45"/>
  <c r="N99" i="45"/>
  <c r="W99" i="45"/>
  <c r="F99" i="45"/>
  <c r="O99" i="45"/>
  <c r="P99" i="45"/>
  <c r="Z99" i="45"/>
  <c r="AW421" i="45"/>
  <c r="Z421" i="45"/>
  <c r="AX421" i="45"/>
  <c r="F421" i="45"/>
  <c r="O421" i="45"/>
  <c r="P421" i="45"/>
  <c r="N421" i="45"/>
  <c r="W421" i="45"/>
  <c r="AX280" i="45"/>
  <c r="P280" i="45"/>
  <c r="O280" i="45"/>
  <c r="Z280" i="45"/>
  <c r="F280" i="45"/>
  <c r="AW280" i="45"/>
  <c r="W280" i="45"/>
  <c r="N280" i="45"/>
  <c r="AW305" i="45"/>
  <c r="Z305" i="45"/>
  <c r="N305" i="45"/>
  <c r="P305" i="45"/>
  <c r="F305" i="45"/>
  <c r="W305" i="45"/>
  <c r="AX305" i="45"/>
  <c r="O305" i="45"/>
  <c r="A570" i="45"/>
  <c r="AW419" i="45"/>
  <c r="P419" i="45"/>
  <c r="O419" i="45"/>
  <c r="N419" i="45"/>
  <c r="F419" i="45"/>
  <c r="AX419" i="45"/>
  <c r="Z419" i="45"/>
  <c r="W419" i="45"/>
  <c r="A568" i="45"/>
  <c r="A577" i="45"/>
  <c r="A566" i="45"/>
  <c r="N522" i="45"/>
  <c r="F522" i="45"/>
  <c r="Z522" i="45"/>
  <c r="O522" i="45"/>
  <c r="P522" i="45"/>
  <c r="AW522" i="45"/>
  <c r="W522" i="45"/>
  <c r="AX522" i="45"/>
  <c r="AW528" i="45"/>
  <c r="O528" i="45"/>
  <c r="P528" i="45"/>
  <c r="F528" i="45"/>
  <c r="Z528" i="45"/>
  <c r="N528" i="45"/>
  <c r="W528" i="45"/>
  <c r="AX528" i="45"/>
  <c r="AW287" i="45"/>
  <c r="P287" i="45"/>
  <c r="Z287" i="45"/>
  <c r="F287" i="45"/>
  <c r="N287" i="45"/>
  <c r="W287" i="45"/>
  <c r="AX287" i="45"/>
  <c r="O287" i="45"/>
  <c r="AX107" i="45"/>
  <c r="N107" i="45"/>
  <c r="F107" i="45"/>
  <c r="AW107" i="45"/>
  <c r="W107" i="45"/>
  <c r="P107" i="45"/>
  <c r="O107" i="45"/>
  <c r="Z107" i="45"/>
  <c r="P526" i="45"/>
  <c r="Z526" i="45"/>
  <c r="AX526" i="45"/>
  <c r="W526" i="45"/>
  <c r="AW526" i="45"/>
  <c r="O526" i="45"/>
  <c r="N526" i="45"/>
  <c r="F526" i="45"/>
  <c r="AX499" i="45"/>
  <c r="W499" i="45"/>
  <c r="O499" i="45"/>
  <c r="N499" i="45"/>
  <c r="F499" i="45"/>
  <c r="Z499" i="45"/>
  <c r="P499" i="45"/>
  <c r="AW499" i="45"/>
  <c r="F238" i="45"/>
  <c r="AW238" i="45"/>
  <c r="N238" i="45"/>
  <c r="Z238" i="45"/>
  <c r="O238" i="45"/>
  <c r="W238" i="45"/>
  <c r="AX238" i="45"/>
  <c r="P238" i="45"/>
  <c r="AO347" i="45"/>
  <c r="AC347" i="45" s="1"/>
  <c r="AO210" i="45"/>
  <c r="AC210" i="45" s="1"/>
  <c r="AO530" i="45"/>
  <c r="AC530" i="45" s="1"/>
  <c r="AO350" i="45"/>
  <c r="AC350" i="45" s="1"/>
  <c r="AO309" i="45"/>
  <c r="AC309" i="45" s="1"/>
  <c r="AO314" i="45"/>
  <c r="AC314" i="45" s="1"/>
  <c r="AO230" i="45"/>
  <c r="AC230" i="45" s="1"/>
  <c r="AO332" i="45"/>
  <c r="AC332" i="45" s="1"/>
  <c r="AO328" i="45"/>
  <c r="AC328" i="45" s="1"/>
  <c r="AO242" i="45"/>
  <c r="AC242" i="45" s="1"/>
  <c r="AO300" i="45"/>
  <c r="AC300" i="45" s="1"/>
  <c r="AO214" i="45"/>
  <c r="AC214" i="45" s="1"/>
  <c r="AO579" i="45"/>
  <c r="AC579" i="45" s="1"/>
  <c r="AO297" i="45"/>
  <c r="AC297" i="45" s="1"/>
  <c r="AO284" i="45"/>
  <c r="AC284" i="45" s="1"/>
  <c r="AO286" i="45"/>
  <c r="AC286" i="45" s="1"/>
  <c r="AO561" i="45"/>
  <c r="AC561" i="45" s="1"/>
  <c r="AO295" i="45"/>
  <c r="AC295" i="45" s="1"/>
  <c r="AO265" i="45"/>
  <c r="AC265" i="45" s="1"/>
  <c r="AO227" i="45"/>
  <c r="AC227" i="45" s="1"/>
  <c r="AO324" i="45"/>
  <c r="AC324" i="45" s="1"/>
  <c r="AO588" i="45"/>
  <c r="AC588" i="45" s="1"/>
  <c r="AO293" i="45"/>
  <c r="AC293" i="45" s="1"/>
  <c r="AO516" i="45"/>
  <c r="AC516" i="45" s="1"/>
  <c r="AO505" i="45"/>
  <c r="AC505" i="45" s="1"/>
  <c r="AO553" i="45"/>
  <c r="AC553" i="45" s="1"/>
  <c r="AO336" i="45"/>
  <c r="AC336" i="45" s="1"/>
  <c r="AO291" i="45"/>
  <c r="AC291" i="45" s="1"/>
  <c r="AO343" i="45"/>
  <c r="AC343" i="45" s="1"/>
  <c r="AO558" i="45"/>
  <c r="AC558" i="45" s="1"/>
  <c r="AO341" i="45"/>
  <c r="AC341" i="45" s="1"/>
  <c r="AO547" i="45"/>
  <c r="AC547" i="45" s="1"/>
  <c r="AO573" i="45"/>
  <c r="AC573" i="45" s="1"/>
  <c r="AO575" i="45"/>
  <c r="AC575" i="45" s="1"/>
  <c r="AO467" i="45"/>
  <c r="AC467" i="45" s="1"/>
  <c r="AO404" i="45"/>
  <c r="AC404" i="45" s="1"/>
  <c r="AO504" i="45"/>
  <c r="AC504" i="45" s="1"/>
  <c r="AO491" i="45"/>
  <c r="AC491" i="45" s="1"/>
  <c r="AO387" i="45"/>
  <c r="AC387" i="45" s="1"/>
  <c r="AO398" i="45"/>
  <c r="AC398" i="45" s="1"/>
  <c r="AO408" i="45"/>
  <c r="AC408" i="45" s="1"/>
  <c r="AO371" i="45"/>
  <c r="AC371" i="45" s="1"/>
  <c r="AO414" i="45"/>
  <c r="AC414" i="45" s="1"/>
  <c r="AO594" i="45"/>
  <c r="AC594" i="45" s="1"/>
  <c r="AO583" i="45"/>
  <c r="AC583" i="45" s="1"/>
  <c r="AO477" i="45"/>
  <c r="AC477" i="45" s="1"/>
  <c r="AO546" i="45"/>
  <c r="AC546" i="45" s="1"/>
  <c r="AO493" i="45"/>
  <c r="AC493" i="45" s="1"/>
  <c r="AO359" i="45"/>
  <c r="AC359" i="45" s="1"/>
  <c r="AO549" i="45"/>
  <c r="AC549" i="45" s="1"/>
  <c r="AO536" i="45"/>
  <c r="AC536" i="45" s="1"/>
  <c r="AO592" i="45"/>
  <c r="AC592" i="45" s="1"/>
  <c r="AO497" i="45"/>
  <c r="AC497" i="45" s="1"/>
  <c r="AO353" i="45"/>
  <c r="AC353" i="45" s="1"/>
  <c r="AO453" i="45"/>
  <c r="AC453" i="45" s="1"/>
  <c r="AO565" i="45"/>
  <c r="AC565" i="45" s="1"/>
  <c r="AO445" i="45"/>
  <c r="AC445" i="45" s="1"/>
  <c r="AO542" i="45"/>
  <c r="AC542" i="45" s="1"/>
  <c r="AO563" i="45"/>
  <c r="AC563" i="45" s="1"/>
  <c r="AO402" i="45"/>
  <c r="AC402" i="45" s="1"/>
  <c r="AO520" i="45"/>
  <c r="AC520" i="45" s="1"/>
  <c r="AO416" i="45"/>
  <c r="AC416" i="45" s="1"/>
  <c r="AO382" i="45"/>
  <c r="AC382" i="45" s="1"/>
  <c r="AO555" i="45"/>
  <c r="AC555" i="45" s="1"/>
  <c r="AO587" i="45"/>
  <c r="AC587" i="45" s="1"/>
  <c r="AO438" i="45"/>
  <c r="AC438" i="45" s="1"/>
  <c r="AO540" i="45"/>
  <c r="AC540" i="45" s="1"/>
  <c r="AO479" i="45"/>
  <c r="AC479" i="45" s="1"/>
  <c r="AO368" i="45"/>
  <c r="AC368" i="45" s="1"/>
  <c r="AO518" i="45"/>
  <c r="AC518" i="45" s="1"/>
  <c r="AO364" i="45"/>
  <c r="AC364" i="45" s="1"/>
  <c r="AO473" i="45"/>
  <c r="AC473" i="45" s="1"/>
  <c r="AO590" i="45"/>
  <c r="AC590" i="45" s="1"/>
  <c r="AO538" i="45"/>
  <c r="AC538" i="45" s="1"/>
  <c r="AO515" i="45"/>
  <c r="AC515" i="45" s="1"/>
  <c r="AO509" i="45"/>
  <c r="AC509" i="45" s="1"/>
  <c r="AO511" i="45"/>
  <c r="AC511" i="45" s="1"/>
  <c r="AO426" i="45"/>
  <c r="AC426" i="45" s="1"/>
  <c r="AO396" i="45"/>
  <c r="AC396" i="45" s="1"/>
  <c r="AO507" i="45"/>
  <c r="AC507" i="45" s="1"/>
  <c r="AO391" i="45"/>
  <c r="AC391" i="45" s="1"/>
  <c r="AO424" i="45"/>
  <c r="AC424" i="45" s="1"/>
  <c r="AO534" i="45"/>
  <c r="AC534" i="45" s="1"/>
  <c r="AO412" i="45"/>
  <c r="AC412" i="45" s="1"/>
  <c r="AO544" i="45"/>
  <c r="AC544" i="45" s="1"/>
  <c r="AO501" i="45"/>
  <c r="AC501" i="45" s="1"/>
  <c r="AO463" i="45"/>
  <c r="AC463" i="45" s="1"/>
  <c r="AO436" i="45"/>
  <c r="AC436" i="45" s="1"/>
  <c r="AO560" i="45"/>
  <c r="AC560" i="45" s="1"/>
  <c r="AO460" i="45"/>
  <c r="AC460" i="45" s="1"/>
  <c r="AO585" i="45"/>
  <c r="AC585" i="45" s="1"/>
  <c r="AO428" i="45"/>
  <c r="AC428" i="45" s="1"/>
  <c r="AO532" i="45"/>
  <c r="AC532" i="45" s="1"/>
  <c r="AO581" i="45"/>
  <c r="AC581" i="45" s="1"/>
  <c r="AO469" i="45"/>
  <c r="AC469" i="45" s="1"/>
  <c r="AO356" i="45"/>
  <c r="AC356" i="45" s="1"/>
  <c r="AO513" i="45"/>
  <c r="AC513" i="45" s="1"/>
  <c r="AO447" i="45"/>
  <c r="AC447" i="45" s="1"/>
  <c r="AO335" i="45"/>
  <c r="AC335" i="45" s="1"/>
  <c r="AO134" i="45"/>
  <c r="AC134" i="45" s="1"/>
  <c r="AO179" i="45"/>
  <c r="AC179" i="45" s="1"/>
  <c r="X76" i="19"/>
  <c r="E884" i="35"/>
  <c r="AS76" i="19"/>
  <c r="E581" i="35"/>
  <c r="E1052" i="35"/>
  <c r="X70" i="19"/>
  <c r="AS70" i="19"/>
  <c r="X464" i="19"/>
  <c r="E255" i="35"/>
  <c r="AS464" i="19"/>
  <c r="E155" i="35"/>
  <c r="E556" i="35"/>
  <c r="AS274" i="19"/>
  <c r="X274" i="19"/>
  <c r="AS556" i="19"/>
  <c r="E299" i="35"/>
  <c r="X556" i="19"/>
  <c r="E86" i="35"/>
  <c r="E373" i="35"/>
  <c r="E880" i="35"/>
  <c r="E307" i="35"/>
  <c r="AS581" i="19"/>
  <c r="X581" i="19"/>
  <c r="E221" i="35"/>
  <c r="E583" i="35"/>
  <c r="E91" i="35"/>
  <c r="E351" i="35"/>
  <c r="AS472" i="19"/>
  <c r="E358" i="35"/>
  <c r="X472" i="19"/>
  <c r="E506" i="35"/>
  <c r="X567" i="19"/>
  <c r="AS567" i="19"/>
  <c r="E296" i="35"/>
  <c r="X359" i="19"/>
  <c r="E964" i="35"/>
  <c r="AS359" i="19"/>
  <c r="AS112" i="19"/>
  <c r="X112" i="19"/>
  <c r="E893" i="35"/>
  <c r="E65" i="35"/>
  <c r="AS162" i="19"/>
  <c r="X162" i="19"/>
  <c r="E690" i="35"/>
  <c r="X151" i="19"/>
  <c r="E907" i="35"/>
  <c r="AS151" i="19"/>
  <c r="E42" i="35"/>
  <c r="E976" i="35"/>
  <c r="E369" i="35"/>
  <c r="E491" i="35"/>
  <c r="X265" i="19"/>
  <c r="AS265" i="19"/>
  <c r="E323" i="35"/>
  <c r="E843" i="35"/>
  <c r="X300" i="19"/>
  <c r="AS300" i="19"/>
  <c r="E683" i="35"/>
  <c r="AS201" i="19"/>
  <c r="X201" i="19"/>
  <c r="AS600" i="19"/>
  <c r="X600" i="19"/>
  <c r="E149" i="35"/>
  <c r="E294" i="35"/>
  <c r="X546" i="19"/>
  <c r="E311" i="35"/>
  <c r="AS546" i="19"/>
  <c r="AS273" i="19"/>
  <c r="X273" i="19"/>
  <c r="E555" i="35"/>
  <c r="E187" i="35"/>
  <c r="E636" i="35"/>
  <c r="AS45" i="19"/>
  <c r="X45" i="19"/>
  <c r="E573" i="35"/>
  <c r="E805" i="35"/>
  <c r="E513" i="35"/>
  <c r="E987" i="35"/>
  <c r="X456" i="19"/>
  <c r="E246" i="35"/>
  <c r="AS456" i="19"/>
  <c r="AS173" i="19"/>
  <c r="X173" i="19"/>
  <c r="E827" i="35"/>
  <c r="X344" i="19"/>
  <c r="AS344" i="19"/>
  <c r="E944" i="35"/>
  <c r="E396" i="35"/>
  <c r="E543" i="35"/>
  <c r="AS589" i="19"/>
  <c r="E306" i="35"/>
  <c r="X589" i="19"/>
  <c r="E1058" i="35"/>
  <c r="AS373" i="19"/>
  <c r="X373" i="19"/>
  <c r="X439" i="19"/>
  <c r="E129" i="35"/>
  <c r="AS439" i="19"/>
  <c r="E196" i="35"/>
  <c r="AS536" i="19"/>
  <c r="X536" i="19"/>
  <c r="E278" i="35"/>
  <c r="E758" i="35"/>
  <c r="AS586" i="19"/>
  <c r="X586" i="19"/>
  <c r="E425" i="35"/>
  <c r="X28" i="19"/>
  <c r="AS28" i="19"/>
  <c r="E635" i="35"/>
  <c r="E921" i="35"/>
  <c r="AS129" i="19"/>
  <c r="X129" i="19"/>
  <c r="E439" i="35"/>
  <c r="E511" i="35"/>
  <c r="E546" i="35"/>
  <c r="X375" i="19"/>
  <c r="E1059" i="35"/>
  <c r="AS375" i="19"/>
  <c r="E985" i="35"/>
  <c r="E999" i="35"/>
  <c r="AS524" i="19"/>
  <c r="E90" i="35"/>
  <c r="X524" i="19"/>
  <c r="E109" i="35"/>
  <c r="X588" i="19"/>
  <c r="AS588" i="19"/>
  <c r="E168" i="35"/>
  <c r="AS488" i="19"/>
  <c r="X488" i="19"/>
  <c r="E517" i="35"/>
  <c r="X216" i="19"/>
  <c r="E622" i="35"/>
  <c r="AS216" i="19"/>
  <c r="E530" i="35"/>
  <c r="E36" i="35"/>
  <c r="E795" i="35"/>
  <c r="AS61" i="19"/>
  <c r="X61" i="19"/>
  <c r="E73" i="35"/>
  <c r="E972" i="35"/>
  <c r="E512" i="35"/>
  <c r="X454" i="19"/>
  <c r="AS454" i="19"/>
  <c r="E603" i="35"/>
  <c r="E68" i="35"/>
  <c r="X317" i="19"/>
  <c r="E658" i="35"/>
  <c r="AS317" i="19"/>
  <c r="E775" i="35"/>
  <c r="E411" i="35"/>
  <c r="E84" i="35"/>
  <c r="E5" i="35"/>
  <c r="X369" i="19"/>
  <c r="AS369" i="19"/>
  <c r="E376" i="35"/>
  <c r="E325" i="35"/>
  <c r="AS230" i="19"/>
  <c r="X230" i="19"/>
  <c r="E874" i="35"/>
  <c r="E334" i="35"/>
  <c r="E279" i="35"/>
  <c r="E1029" i="35"/>
  <c r="E728" i="35"/>
  <c r="X44" i="19"/>
  <c r="E630" i="35"/>
  <c r="AS44" i="19"/>
  <c r="AS421" i="19"/>
  <c r="X421" i="19"/>
  <c r="E1094" i="35"/>
  <c r="E55" i="35"/>
  <c r="E948" i="35"/>
  <c r="X348" i="19"/>
  <c r="AS348" i="19"/>
  <c r="E99" i="35"/>
  <c r="X551" i="19"/>
  <c r="AS551" i="19"/>
  <c r="E162" i="35"/>
  <c r="E1005" i="35"/>
  <c r="E675" i="35"/>
  <c r="X186" i="19"/>
  <c r="AS186" i="19"/>
  <c r="E58" i="35"/>
  <c r="E349" i="35"/>
  <c r="E770" i="35"/>
  <c r="E684" i="35"/>
  <c r="X199" i="19"/>
  <c r="AS199" i="19"/>
  <c r="E853" i="35"/>
  <c r="X282" i="19"/>
  <c r="AS282" i="19"/>
  <c r="E328" i="35"/>
  <c r="X380" i="19"/>
  <c r="AS380" i="19"/>
  <c r="E1068" i="35"/>
  <c r="X523" i="19"/>
  <c r="E93" i="35"/>
  <c r="AS523" i="19"/>
  <c r="AS470" i="19"/>
  <c r="X470" i="19"/>
  <c r="E253" i="35"/>
  <c r="X540" i="19"/>
  <c r="E98" i="35"/>
  <c r="AS540" i="19"/>
  <c r="E743" i="35"/>
  <c r="AS85" i="19"/>
  <c r="E1091" i="35"/>
  <c r="X85" i="19"/>
  <c r="AS286" i="19"/>
  <c r="E821" i="35"/>
  <c r="X286" i="19"/>
  <c r="E539" i="35"/>
  <c r="AS407" i="19"/>
  <c r="E966" i="35"/>
  <c r="X407" i="19"/>
  <c r="E329" i="35"/>
  <c r="E594" i="35"/>
  <c r="E470" i="35"/>
  <c r="X113" i="19"/>
  <c r="AS113" i="19"/>
  <c r="E894" i="35"/>
  <c r="E440" i="35"/>
  <c r="AS468" i="19"/>
  <c r="X468" i="19"/>
  <c r="E248" i="35"/>
  <c r="X35" i="19"/>
  <c r="E497" i="35"/>
  <c r="AS35" i="19"/>
  <c r="E403" i="35"/>
  <c r="E679" i="35"/>
  <c r="X196" i="19"/>
  <c r="AS196" i="19"/>
  <c r="X132" i="19"/>
  <c r="E914" i="35"/>
  <c r="AS132" i="19"/>
  <c r="E26" i="35"/>
  <c r="AS517" i="19"/>
  <c r="X517" i="19"/>
  <c r="E523" i="35"/>
  <c r="X143" i="19"/>
  <c r="AS143" i="19"/>
  <c r="E922" i="35"/>
  <c r="E284" i="35"/>
  <c r="E61" i="35"/>
  <c r="AS465" i="19"/>
  <c r="E250" i="35"/>
  <c r="X465" i="19"/>
  <c r="E554" i="35"/>
  <c r="X276" i="19"/>
  <c r="AS276" i="19"/>
  <c r="X57" i="19"/>
  <c r="AS57" i="19"/>
  <c r="E649" i="35"/>
  <c r="AS530" i="19"/>
  <c r="X530" i="19"/>
  <c r="E191" i="35"/>
  <c r="E277" i="35"/>
  <c r="E577" i="35"/>
  <c r="E702" i="35"/>
  <c r="E424" i="35"/>
  <c r="AS594" i="19"/>
  <c r="X594" i="19"/>
  <c r="X209" i="19"/>
  <c r="AS209" i="19"/>
  <c r="E628" i="35"/>
  <c r="E1012" i="35"/>
  <c r="X180" i="19"/>
  <c r="AS180" i="19"/>
  <c r="E18" i="35"/>
  <c r="X432" i="19"/>
  <c r="AS432" i="19"/>
  <c r="E578" i="35"/>
  <c r="AS408" i="19"/>
  <c r="X408" i="19"/>
  <c r="E849" i="35"/>
  <c r="E498" i="35"/>
  <c r="X36" i="19"/>
  <c r="AS36" i="19"/>
  <c r="AS527" i="19"/>
  <c r="X527" i="19"/>
  <c r="E106" i="35"/>
  <c r="E495" i="35"/>
  <c r="X342" i="19"/>
  <c r="E958" i="35"/>
  <c r="AS342" i="19"/>
  <c r="E561" i="35"/>
  <c r="E37" i="35"/>
  <c r="E1009" i="35"/>
  <c r="E178" i="35"/>
  <c r="AS486" i="19"/>
  <c r="E520" i="35"/>
  <c r="X486" i="19"/>
  <c r="X217" i="19"/>
  <c r="AS217" i="19"/>
  <c r="E623" i="35"/>
  <c r="E1047" i="35"/>
  <c r="E229" i="35"/>
  <c r="E822" i="35"/>
  <c r="AS287" i="19"/>
  <c r="X287" i="19"/>
  <c r="E371" i="35"/>
  <c r="E208" i="35"/>
  <c r="E706" i="35"/>
  <c r="X280" i="19"/>
  <c r="AS280" i="19"/>
  <c r="E563" i="35"/>
  <c r="E370" i="35"/>
  <c r="E180" i="35"/>
  <c r="AS245" i="19"/>
  <c r="E875" i="35"/>
  <c r="X245" i="19"/>
  <c r="E282" i="35"/>
  <c r="AS226" i="19"/>
  <c r="E549" i="35"/>
  <c r="X226" i="19"/>
  <c r="E346" i="35"/>
  <c r="E559" i="35"/>
  <c r="E477" i="35"/>
  <c r="E831" i="35"/>
  <c r="AS307" i="19"/>
  <c r="X307" i="19"/>
  <c r="E484" i="35"/>
  <c r="E940" i="35"/>
  <c r="X349" i="19"/>
  <c r="AS349" i="19"/>
  <c r="E66" i="35"/>
  <c r="E906" i="35"/>
  <c r="X115" i="19"/>
  <c r="AS115" i="19"/>
  <c r="E790" i="35"/>
  <c r="AS398" i="19"/>
  <c r="X398" i="19"/>
  <c r="E499" i="35"/>
  <c r="AS399" i="19"/>
  <c r="X399" i="19"/>
  <c r="E719" i="35"/>
  <c r="E732" i="35"/>
  <c r="E931" i="35"/>
  <c r="X140" i="19"/>
  <c r="AS140" i="19"/>
  <c r="E319" i="35"/>
  <c r="E309" i="35"/>
  <c r="AS568" i="19"/>
  <c r="X568" i="19"/>
  <c r="E785" i="35"/>
  <c r="E890" i="35"/>
  <c r="X110" i="19"/>
  <c r="AS110" i="19"/>
  <c r="E356" i="35"/>
  <c r="AS126" i="19"/>
  <c r="X126" i="19"/>
  <c r="E930" i="35"/>
  <c r="E43" i="35"/>
  <c r="E984" i="35"/>
  <c r="AS125" i="19"/>
  <c r="E923" i="35"/>
  <c r="X125" i="19"/>
  <c r="X580" i="19"/>
  <c r="E305" i="35"/>
  <c r="AS580" i="19"/>
  <c r="E572" i="35"/>
  <c r="E664" i="35"/>
  <c r="AS202" i="19"/>
  <c r="X202" i="19"/>
  <c r="E507" i="35"/>
  <c r="E798" i="35"/>
  <c r="AS64" i="19"/>
  <c r="X64" i="19"/>
  <c r="E357" i="35"/>
  <c r="E724" i="35"/>
  <c r="E53" i="35"/>
  <c r="E110" i="35"/>
  <c r="E687" i="35"/>
  <c r="X187" i="19"/>
  <c r="AS187" i="19"/>
  <c r="E40" i="35"/>
  <c r="AS267" i="19"/>
  <c r="X267" i="19"/>
  <c r="E324" i="35"/>
  <c r="E372" i="35"/>
  <c r="E345" i="35"/>
  <c r="E1054" i="35"/>
  <c r="X413" i="19"/>
  <c r="AS413" i="19"/>
  <c r="AS526" i="19"/>
  <c r="X526" i="19"/>
  <c r="E104" i="35"/>
  <c r="E585" i="35"/>
  <c r="X278" i="19"/>
  <c r="AS278" i="19"/>
  <c r="E704" i="35"/>
  <c r="X361" i="19"/>
  <c r="E1055" i="35"/>
  <c r="AS361" i="19"/>
  <c r="E71" i="35"/>
  <c r="X461" i="19"/>
  <c r="E258" i="35"/>
  <c r="AS461" i="19"/>
  <c r="AS60" i="19"/>
  <c r="X60" i="19"/>
  <c r="E794" i="35"/>
  <c r="E776" i="35"/>
  <c r="AS166" i="19"/>
  <c r="X166" i="19"/>
  <c r="E695" i="35"/>
  <c r="E722" i="35"/>
  <c r="AS579" i="19"/>
  <c r="E167" i="35"/>
  <c r="X579" i="19"/>
  <c r="E124" i="35"/>
  <c r="E195" i="35"/>
  <c r="X535" i="19"/>
  <c r="AS535" i="19"/>
  <c r="E23" i="35"/>
  <c r="AS563" i="19"/>
  <c r="X563" i="19"/>
  <c r="E94" i="35"/>
  <c r="X252" i="19"/>
  <c r="E855" i="35"/>
  <c r="AS252" i="19"/>
  <c r="E28" i="35"/>
  <c r="E1024" i="35"/>
  <c r="E779" i="35"/>
  <c r="E778" i="35"/>
  <c r="E397" i="35"/>
  <c r="E416" i="35"/>
  <c r="AS479" i="19"/>
  <c r="X479" i="19"/>
  <c r="E368" i="35"/>
  <c r="E723" i="35"/>
  <c r="AS235" i="19"/>
  <c r="E867" i="35"/>
  <c r="X235" i="19"/>
  <c r="E222" i="35"/>
  <c r="X444" i="19"/>
  <c r="E140" i="35"/>
  <c r="AS444" i="19"/>
  <c r="E592" i="35"/>
  <c r="E733" i="35"/>
  <c r="AS95" i="19"/>
  <c r="X95" i="19"/>
  <c r="E1076" i="35"/>
  <c r="X329" i="19"/>
  <c r="AS329" i="19"/>
  <c r="E939" i="35"/>
  <c r="AS30" i="19"/>
  <c r="X30" i="19"/>
  <c r="E644" i="35"/>
  <c r="X297" i="19"/>
  <c r="AS297" i="19"/>
  <c r="E819" i="35"/>
  <c r="E739" i="35"/>
  <c r="E1088" i="35"/>
  <c r="AS88" i="19"/>
  <c r="X88" i="19"/>
  <c r="E882" i="35"/>
  <c r="X250" i="19"/>
  <c r="AS250" i="19"/>
  <c r="AS336" i="19"/>
  <c r="E951" i="35"/>
  <c r="X336" i="19"/>
  <c r="AS510" i="19"/>
  <c r="X510" i="19"/>
  <c r="E20" i="35"/>
  <c r="E839" i="35"/>
  <c r="X312" i="19"/>
  <c r="AS312" i="19"/>
  <c r="E756" i="35"/>
  <c r="X515" i="19"/>
  <c r="E24" i="35"/>
  <c r="AS515" i="19"/>
  <c r="E493" i="35"/>
  <c r="E35" i="35"/>
  <c r="X502" i="19"/>
  <c r="E454" i="35"/>
  <c r="AS502" i="19"/>
  <c r="E15" i="35"/>
  <c r="X176" i="19"/>
  <c r="AS176" i="19"/>
  <c r="X81" i="19"/>
  <c r="AS81" i="19"/>
  <c r="E1082" i="35"/>
  <c r="AS596" i="19"/>
  <c r="X596" i="19"/>
  <c r="E144" i="35"/>
  <c r="E164" i="35"/>
  <c r="AS453" i="19"/>
  <c r="E602" i="35"/>
  <c r="X453" i="19"/>
  <c r="E564" i="35"/>
  <c r="AS67" i="19"/>
  <c r="E801" i="35"/>
  <c r="X67" i="19"/>
  <c r="E772" i="35"/>
  <c r="E52" i="35"/>
  <c r="E929" i="35"/>
  <c r="X141" i="19"/>
  <c r="AS141" i="19"/>
  <c r="E488" i="35"/>
  <c r="X77" i="19"/>
  <c r="AS77" i="19"/>
  <c r="E688" i="35"/>
  <c r="X164" i="19"/>
  <c r="E693" i="35"/>
  <c r="AS164" i="19"/>
  <c r="AS368" i="19"/>
  <c r="X368" i="19"/>
  <c r="E896" i="35"/>
  <c r="AS150" i="19"/>
  <c r="X150" i="19"/>
  <c r="E417" i="35"/>
  <c r="AS48" i="19"/>
  <c r="E970" i="35"/>
  <c r="X48" i="19"/>
  <c r="X214" i="19"/>
  <c r="E620" i="35"/>
  <c r="AS214" i="19"/>
  <c r="E763" i="35"/>
  <c r="X539" i="19"/>
  <c r="AS539" i="19"/>
  <c r="E96" i="35"/>
  <c r="E414" i="35"/>
  <c r="AS255" i="19"/>
  <c r="E1035" i="35"/>
  <c r="X255" i="19"/>
  <c r="E327" i="35"/>
  <c r="E897" i="35"/>
  <c r="AS118" i="19"/>
  <c r="X118" i="19"/>
  <c r="E268" i="35"/>
  <c r="AS271" i="19"/>
  <c r="X271" i="19"/>
  <c r="E937" i="35"/>
  <c r="E590" i="35"/>
  <c r="X121" i="19"/>
  <c r="AS121" i="19"/>
  <c r="E916" i="35"/>
  <c r="E267" i="35"/>
  <c r="E32" i="35"/>
  <c r="AO98" i="45"/>
  <c r="AC98" i="45" s="1"/>
  <c r="AO163" i="45"/>
  <c r="AC163" i="45" s="1"/>
  <c r="AO543" i="45"/>
  <c r="AC543" i="45" s="1"/>
  <c r="AO327" i="45"/>
  <c r="AC327" i="45" s="1"/>
  <c r="AO437" i="45"/>
  <c r="AC437" i="45" s="1"/>
  <c r="AO496" i="45"/>
  <c r="AC496" i="45" s="1"/>
  <c r="AO589" i="45"/>
  <c r="AC589" i="45" s="1"/>
  <c r="AO459" i="45"/>
  <c r="AC459" i="45" s="1"/>
  <c r="AO446" i="45"/>
  <c r="AC446" i="45" s="1"/>
  <c r="AO593" i="45"/>
  <c r="AC593" i="45" s="1"/>
  <c r="AO155" i="45"/>
  <c r="AC155" i="45" s="1"/>
  <c r="AO397" i="45"/>
  <c r="AC397" i="45" s="1"/>
  <c r="AO390" i="45"/>
  <c r="AC390" i="45" s="1"/>
  <c r="AO425" i="45"/>
  <c r="AC425" i="45" s="1"/>
  <c r="AO478" i="45"/>
  <c r="AC478" i="45" s="1"/>
  <c r="AO370" i="45"/>
  <c r="AC370" i="45" s="1"/>
  <c r="AO386" i="45"/>
  <c r="AC386" i="45" s="1"/>
  <c r="AO435" i="45"/>
  <c r="AC435" i="45" s="1"/>
  <c r="AO187" i="45"/>
  <c r="AC187" i="45" s="1"/>
  <c r="AO554" i="45"/>
  <c r="AC554" i="45" s="1"/>
  <c r="AO444" i="45"/>
  <c r="AC444" i="45" s="1"/>
  <c r="AO401" i="45"/>
  <c r="AC401" i="45" s="1"/>
  <c r="AO512" i="45"/>
  <c r="AC512" i="45" s="1"/>
  <c r="AO342" i="45"/>
  <c r="AC342" i="45" s="1"/>
  <c r="AO198" i="45"/>
  <c r="AC198" i="45" s="1"/>
  <c r="AO137" i="45"/>
  <c r="AC137" i="45" s="1"/>
  <c r="AO147" i="45"/>
  <c r="AC147" i="45" s="1"/>
  <c r="AS200" i="19"/>
  <c r="X200" i="19"/>
  <c r="E685" i="35"/>
  <c r="E176" i="35"/>
  <c r="E650" i="35"/>
  <c r="AS58" i="19"/>
  <c r="X58" i="19"/>
  <c r="X393" i="19"/>
  <c r="E811" i="35"/>
  <c r="AS393" i="19"/>
  <c r="X390" i="19"/>
  <c r="AS390" i="19"/>
  <c r="X576" i="19"/>
  <c r="AS576" i="19"/>
  <c r="E297" i="35"/>
  <c r="E718" i="35"/>
  <c r="E330" i="35"/>
  <c r="E200" i="35"/>
  <c r="AS553" i="19"/>
  <c r="X553" i="19"/>
  <c r="X520" i="19"/>
  <c r="AS520" i="19"/>
  <c r="E500" i="35"/>
  <c r="E428" i="35"/>
  <c r="E245" i="35"/>
  <c r="AS423" i="19"/>
  <c r="X423" i="19"/>
  <c r="E204" i="35"/>
  <c r="E806" i="35"/>
  <c r="E158" i="35"/>
  <c r="E713" i="35"/>
  <c r="X321" i="19"/>
  <c r="AS321" i="19"/>
  <c r="E450" i="35"/>
  <c r="E172" i="35"/>
  <c r="AS543" i="19"/>
  <c r="X543" i="19"/>
  <c r="AS424" i="19"/>
  <c r="X424" i="19"/>
  <c r="E17" i="35"/>
  <c r="X24" i="19"/>
  <c r="E631" i="35"/>
  <c r="AS24" i="19"/>
  <c r="E492" i="35"/>
  <c r="X256" i="19"/>
  <c r="AS256" i="19"/>
  <c r="E1043" i="35"/>
  <c r="E534" i="35"/>
  <c r="E565" i="35"/>
  <c r="E353" i="35"/>
  <c r="E438" i="35"/>
  <c r="E82" i="35"/>
  <c r="AS562" i="19"/>
  <c r="X562" i="19"/>
  <c r="E895" i="35"/>
  <c r="AS149" i="19"/>
  <c r="X149" i="19"/>
  <c r="X146" i="19"/>
  <c r="E888" i="35"/>
  <c r="AS146" i="19"/>
  <c r="E567" i="35"/>
  <c r="AS388" i="19"/>
  <c r="X388" i="19"/>
  <c r="E7" i="35"/>
  <c r="E337" i="35"/>
  <c r="E475" i="35"/>
  <c r="X152" i="19"/>
  <c r="E908" i="35"/>
  <c r="AS152" i="19"/>
  <c r="E115" i="35"/>
  <c r="E142" i="35"/>
  <c r="AS597" i="19"/>
  <c r="X597" i="19"/>
  <c r="E505" i="35"/>
  <c r="E720" i="35"/>
  <c r="E60" i="35"/>
  <c r="E1033" i="35"/>
  <c r="E595" i="35"/>
  <c r="AS96" i="19"/>
  <c r="X96" i="19"/>
  <c r="E1078" i="35"/>
  <c r="E63" i="35"/>
  <c r="AS379" i="19"/>
  <c r="X379" i="19"/>
  <c r="E588" i="35"/>
  <c r="E153" i="35"/>
  <c r="E959" i="35"/>
  <c r="AS341" i="19"/>
  <c r="X341" i="19"/>
  <c r="E463" i="35"/>
  <c r="AS457" i="19"/>
  <c r="E254" i="35"/>
  <c r="X457" i="19"/>
  <c r="E522" i="35"/>
  <c r="AS272" i="19"/>
  <c r="E938" i="35"/>
  <c r="X272" i="19"/>
  <c r="X604" i="19"/>
  <c r="E148" i="35"/>
  <c r="AS604" i="19"/>
  <c r="E377" i="35"/>
  <c r="E205" i="35"/>
  <c r="E355" i="35"/>
  <c r="E269" i="35"/>
  <c r="E157" i="35"/>
  <c r="AS442" i="19"/>
  <c r="X442" i="19"/>
  <c r="E128" i="35"/>
  <c r="E525" i="35"/>
  <c r="E576" i="35"/>
  <c r="AS529" i="19"/>
  <c r="X529" i="19"/>
  <c r="E190" i="35"/>
  <c r="E224" i="35"/>
  <c r="E449" i="35"/>
  <c r="AS330" i="19"/>
  <c r="X330" i="19"/>
  <c r="E953" i="35"/>
  <c r="E127" i="35"/>
  <c r="X32" i="19"/>
  <c r="AS32" i="19"/>
  <c r="E646" i="35"/>
  <c r="AS333" i="19"/>
  <c r="X333" i="19"/>
  <c r="E856" i="35"/>
  <c r="E88" i="35"/>
  <c r="E1001" i="35"/>
  <c r="X319" i="19"/>
  <c r="AS319" i="19"/>
  <c r="E716" i="35"/>
  <c r="E272" i="35"/>
  <c r="AS440" i="19"/>
  <c r="E131" i="35"/>
  <c r="X440" i="19"/>
  <c r="E746" i="35"/>
  <c r="E842" i="35"/>
  <c r="AS314" i="19"/>
  <c r="X314" i="19"/>
  <c r="E781" i="35"/>
  <c r="E420" i="35"/>
  <c r="E233" i="35"/>
  <c r="AS376" i="19"/>
  <c r="X376" i="19"/>
  <c r="E1060" i="35"/>
  <c r="E496" i="35"/>
  <c r="X371" i="19"/>
  <c r="AS371" i="19"/>
  <c r="E918" i="35"/>
  <c r="X124" i="19"/>
  <c r="AS124" i="19"/>
  <c r="E159" i="35"/>
  <c r="E996" i="35"/>
  <c r="E521" i="35"/>
  <c r="E660" i="35"/>
  <c r="AS343" i="19"/>
  <c r="X343" i="19"/>
  <c r="E957" i="35"/>
  <c r="E757" i="35"/>
  <c r="E316" i="35"/>
  <c r="X425" i="19"/>
  <c r="AS425" i="19"/>
  <c r="E116" i="35"/>
  <c r="AS148" i="19"/>
  <c r="X148" i="19"/>
  <c r="E892" i="35"/>
  <c r="E773" i="35"/>
  <c r="E877" i="35"/>
  <c r="E108" i="35"/>
  <c r="AS257" i="19"/>
  <c r="E1042" i="35"/>
  <c r="X257" i="19"/>
  <c r="E980" i="35"/>
  <c r="E1010" i="35"/>
  <c r="X155" i="19"/>
  <c r="AS155" i="19"/>
  <c r="E899" i="35"/>
  <c r="E137" i="35"/>
  <c r="X445" i="19"/>
  <c r="AS445" i="19"/>
  <c r="AS592" i="19"/>
  <c r="E340" i="35"/>
  <c r="X592" i="19"/>
  <c r="X324" i="19"/>
  <c r="AS324" i="19"/>
  <c r="E712" i="35"/>
  <c r="E566" i="35"/>
  <c r="E709" i="35"/>
  <c r="X289" i="19"/>
  <c r="AS289" i="19"/>
  <c r="E161" i="35"/>
  <c r="E1008" i="35"/>
  <c r="E261" i="35"/>
  <c r="E231" i="35"/>
  <c r="E955" i="35"/>
  <c r="X339" i="19"/>
  <c r="AS339" i="19"/>
  <c r="X366" i="19"/>
  <c r="AS366" i="19"/>
  <c r="E1063" i="35"/>
  <c r="E211" i="35"/>
  <c r="E457" i="35"/>
  <c r="AS522" i="19"/>
  <c r="X522" i="19"/>
  <c r="E92" i="35"/>
  <c r="E350" i="35"/>
  <c r="E286" i="35"/>
  <c r="E606" i="35"/>
  <c r="AS102" i="19"/>
  <c r="X102" i="19"/>
  <c r="E170" i="35"/>
  <c r="AS564" i="19"/>
  <c r="X564" i="19"/>
  <c r="X170" i="19"/>
  <c r="AS170" i="19"/>
  <c r="E824" i="35"/>
  <c r="E943" i="35"/>
  <c r="X353" i="19"/>
  <c r="AS353" i="19"/>
  <c r="AS334" i="19"/>
  <c r="E857" i="35"/>
  <c r="X334" i="19"/>
  <c r="AS358" i="19"/>
  <c r="E859" i="35"/>
  <c r="X358" i="19"/>
  <c r="E1062" i="35"/>
  <c r="X363" i="19"/>
  <c r="AS363" i="19"/>
  <c r="X211" i="19"/>
  <c r="AS211" i="19"/>
  <c r="E616" i="35"/>
  <c r="E946" i="35"/>
  <c r="E816" i="35"/>
  <c r="X420" i="19"/>
  <c r="AS420" i="19"/>
  <c r="X90" i="19"/>
  <c r="AS90" i="19"/>
  <c r="E1079" i="35"/>
  <c r="X158" i="19"/>
  <c r="E932" i="35"/>
  <c r="AS158" i="19"/>
  <c r="E210" i="35"/>
  <c r="E727" i="35"/>
  <c r="X550" i="19"/>
  <c r="AS550" i="19"/>
  <c r="E97" i="35"/>
  <c r="E408" i="35"/>
  <c r="E119" i="35"/>
  <c r="E978" i="35"/>
  <c r="E33" i="35"/>
  <c r="E586" i="35"/>
  <c r="AS207" i="19"/>
  <c r="X207" i="19"/>
  <c r="E682" i="35"/>
  <c r="X259" i="19"/>
  <c r="E1037" i="35"/>
  <c r="AS259" i="19"/>
  <c r="E38" i="35"/>
  <c r="X557" i="19"/>
  <c r="E312" i="35"/>
  <c r="AS557" i="19"/>
  <c r="E952" i="35"/>
  <c r="AS331" i="19"/>
  <c r="X331" i="19"/>
  <c r="X104" i="19"/>
  <c r="E609" i="35"/>
  <c r="AS104" i="19"/>
  <c r="AS412" i="19"/>
  <c r="E1053" i="35"/>
  <c r="X412" i="19"/>
  <c r="E774" i="35"/>
  <c r="E212" i="35"/>
  <c r="E225" i="35"/>
  <c r="E223" i="35"/>
  <c r="E313" i="35"/>
  <c r="X582" i="19"/>
  <c r="AS582" i="19"/>
  <c r="AS62" i="19"/>
  <c r="X62" i="19"/>
  <c r="E796" i="35"/>
  <c r="AS262" i="19"/>
  <c r="E1049" i="35"/>
  <c r="X262" i="19"/>
  <c r="E121" i="35"/>
  <c r="E16" i="35"/>
  <c r="AS426" i="19"/>
  <c r="X426" i="19"/>
  <c r="E59" i="35"/>
  <c r="AS509" i="19"/>
  <c r="X509" i="19"/>
  <c r="E19" i="35"/>
  <c r="E46" i="35"/>
  <c r="E275" i="35"/>
  <c r="E215" i="35"/>
  <c r="E1048" i="35"/>
  <c r="E342" i="35"/>
  <c r="X234" i="19"/>
  <c r="AS234" i="19"/>
  <c r="E871" i="35"/>
  <c r="E114" i="35"/>
  <c r="E418" i="35"/>
  <c r="X316" i="19"/>
  <c r="E657" i="35"/>
  <c r="AS316" i="19"/>
  <c r="X120" i="19"/>
  <c r="AS120" i="19"/>
  <c r="E915" i="35"/>
  <c r="X514" i="19"/>
  <c r="E25" i="35"/>
  <c r="AS514" i="19"/>
  <c r="E152" i="35"/>
  <c r="E998" i="35"/>
  <c r="X499" i="19"/>
  <c r="E453" i="35"/>
  <c r="AS499" i="19"/>
  <c r="E729" i="35"/>
  <c r="E472" i="35"/>
  <c r="E673" i="35"/>
  <c r="AS204" i="19"/>
  <c r="X204" i="19"/>
  <c r="E994" i="35"/>
  <c r="E751" i="35"/>
  <c r="E1023" i="35"/>
  <c r="E379" i="35"/>
  <c r="E847" i="35"/>
  <c r="X305" i="19"/>
  <c r="AS305" i="19"/>
  <c r="E833" i="35"/>
  <c r="E788" i="35"/>
  <c r="E863" i="35"/>
  <c r="X233" i="19"/>
  <c r="AS233" i="19"/>
  <c r="E1046" i="35"/>
  <c r="E202" i="35"/>
  <c r="E584" i="35"/>
  <c r="E404" i="35"/>
  <c r="E662" i="35"/>
  <c r="E30" i="35"/>
  <c r="E163" i="35"/>
  <c r="X485" i="19"/>
  <c r="E515" i="35"/>
  <c r="AS485" i="19"/>
  <c r="E464" i="35"/>
  <c r="E339" i="35"/>
  <c r="AS583" i="19"/>
  <c r="X583" i="19"/>
  <c r="E820" i="35"/>
  <c r="X285" i="19"/>
  <c r="AS285" i="19"/>
  <c r="E799" i="35"/>
  <c r="AS65" i="19"/>
  <c r="X65" i="19"/>
  <c r="E490" i="35"/>
  <c r="E680" i="35"/>
  <c r="AS183" i="19"/>
  <c r="X183" i="19"/>
  <c r="AS570" i="19"/>
  <c r="X570" i="19"/>
  <c r="E78" i="35"/>
  <c r="AS560" i="19"/>
  <c r="X560" i="19"/>
  <c r="E435" i="35"/>
  <c r="E384" i="35"/>
  <c r="E317" i="35"/>
  <c r="X590" i="19"/>
  <c r="E308" i="35"/>
  <c r="AS590" i="19"/>
  <c r="X208" i="19"/>
  <c r="AS208" i="19"/>
  <c r="E614" i="35"/>
  <c r="E750" i="35"/>
  <c r="E134" i="35"/>
  <c r="E762" i="35"/>
  <c r="AS137" i="19"/>
  <c r="E919" i="35"/>
  <c r="X137" i="19"/>
  <c r="E244" i="35"/>
  <c r="AS446" i="19"/>
  <c r="X446" i="19"/>
  <c r="E132" i="35"/>
  <c r="E240" i="35"/>
  <c r="E533" i="35"/>
  <c r="E783" i="35"/>
  <c r="X232" i="19"/>
  <c r="E862" i="35"/>
  <c r="AS232" i="19"/>
  <c r="AS367" i="19"/>
  <c r="X367" i="19"/>
  <c r="E1065" i="35"/>
  <c r="E331" i="35"/>
  <c r="E441" i="35"/>
  <c r="E967" i="35"/>
  <c r="X403" i="19"/>
  <c r="AS403" i="19"/>
  <c r="E608" i="35"/>
  <c r="X105" i="19"/>
  <c r="AS105" i="19"/>
  <c r="X46" i="19"/>
  <c r="AS46" i="19"/>
  <c r="E638" i="35"/>
  <c r="E924" i="35"/>
  <c r="X139" i="19"/>
  <c r="AS139" i="19"/>
  <c r="AS506" i="19"/>
  <c r="X506" i="19"/>
  <c r="E479" i="35"/>
  <c r="AS476" i="19"/>
  <c r="X476" i="19"/>
  <c r="E361" i="35"/>
  <c r="E388" i="35"/>
  <c r="E933" i="35"/>
  <c r="X161" i="19"/>
  <c r="AS161" i="19"/>
  <c r="E548" i="35"/>
  <c r="X401" i="19"/>
  <c r="AS401" i="19"/>
  <c r="E814" i="35"/>
  <c r="E668" i="35"/>
  <c r="X188" i="19"/>
  <c r="AS188" i="19"/>
  <c r="E67" i="35"/>
  <c r="E828" i="35"/>
  <c r="X301" i="19"/>
  <c r="AS301" i="19"/>
  <c r="E542" i="35"/>
  <c r="E430" i="35"/>
  <c r="E780" i="35"/>
  <c r="E382" i="35"/>
  <c r="E993" i="35"/>
  <c r="E179" i="35"/>
  <c r="E217" i="35"/>
  <c r="X383" i="19"/>
  <c r="E1072" i="35"/>
  <c r="AS383" i="19"/>
  <c r="E997" i="35"/>
  <c r="X215" i="19"/>
  <c r="AS215" i="19"/>
  <c r="E621" i="35"/>
  <c r="E348" i="35"/>
  <c r="E954" i="35"/>
  <c r="X332" i="19"/>
  <c r="AS332" i="19"/>
  <c r="E986" i="35"/>
  <c r="E755" i="35"/>
  <c r="E64" i="35"/>
  <c r="E1070" i="35"/>
  <c r="X410" i="19"/>
  <c r="AS410" i="19"/>
  <c r="X237" i="19"/>
  <c r="AS237" i="19"/>
  <c r="E868" i="35"/>
  <c r="E735" i="35"/>
  <c r="E705" i="35"/>
  <c r="X279" i="19"/>
  <c r="AS279" i="19"/>
  <c r="E807" i="35"/>
  <c r="E437" i="35"/>
  <c r="AS495" i="19"/>
  <c r="X495" i="19"/>
  <c r="AS477" i="19"/>
  <c r="E364" i="35"/>
  <c r="X477" i="19"/>
  <c r="E154" i="35"/>
  <c r="E442" i="35"/>
  <c r="E304" i="35"/>
  <c r="E826" i="35"/>
  <c r="X171" i="19"/>
  <c r="AS171" i="19"/>
  <c r="E1045" i="35"/>
  <c r="E300" i="35"/>
  <c r="E216" i="35"/>
  <c r="AS111" i="19"/>
  <c r="X111" i="19"/>
  <c r="E891" i="35"/>
  <c r="E531" i="35"/>
  <c r="X144" i="19"/>
  <c r="E927" i="35"/>
  <c r="AS144" i="19"/>
  <c r="E395" i="35"/>
  <c r="X160" i="19"/>
  <c r="E935" i="35"/>
  <c r="AS160" i="19"/>
  <c r="E766" i="35"/>
  <c r="E902" i="35"/>
  <c r="X117" i="19"/>
  <c r="AS117" i="19"/>
  <c r="E74" i="35"/>
  <c r="E731" i="35"/>
  <c r="E1028" i="35"/>
  <c r="X182" i="19"/>
  <c r="AS182" i="19"/>
  <c r="E676" i="35"/>
  <c r="AS185" i="19"/>
  <c r="X185" i="19"/>
  <c r="E686" i="35"/>
  <c r="X415" i="19"/>
  <c r="AS415" i="19"/>
  <c r="E689" i="35"/>
  <c r="AS558" i="19"/>
  <c r="E344" i="35"/>
  <c r="X558" i="19"/>
  <c r="AS406" i="19"/>
  <c r="E965" i="35"/>
  <c r="X406" i="19"/>
  <c r="E219" i="35"/>
  <c r="AS434" i="19"/>
  <c r="X434" i="19"/>
  <c r="E468" i="35"/>
  <c r="AS428" i="19"/>
  <c r="X428" i="19"/>
  <c r="E56" i="35"/>
  <c r="AS337" i="19"/>
  <c r="E950" i="35"/>
  <c r="X337" i="19"/>
  <c r="AO39" i="45"/>
  <c r="AC39" i="45" s="1"/>
  <c r="AO308" i="45"/>
  <c r="AC308" i="45" s="1"/>
  <c r="AO349" i="45"/>
  <c r="AC349" i="45" s="1"/>
  <c r="AO559" i="45"/>
  <c r="AC559" i="45" s="1"/>
  <c r="AO580" i="45"/>
  <c r="AC580" i="45" s="1"/>
  <c r="AO59" i="45"/>
  <c r="AC59" i="45" s="1"/>
  <c r="AO407" i="45"/>
  <c r="AC407" i="45" s="1"/>
  <c r="AO104" i="45"/>
  <c r="AC104" i="45" s="1"/>
  <c r="AO539" i="45"/>
  <c r="AC539" i="45" s="1"/>
  <c r="AO503" i="45"/>
  <c r="AC503" i="45" s="1"/>
  <c r="AO160" i="45"/>
  <c r="AC160" i="45" s="1"/>
  <c r="AO415" i="45"/>
  <c r="AC415" i="45" s="1"/>
  <c r="AO292" i="45"/>
  <c r="AC292" i="45" s="1"/>
  <c r="AO519" i="45"/>
  <c r="AC519" i="45" s="1"/>
  <c r="AO264" i="45"/>
  <c r="AC264" i="45" s="1"/>
  <c r="AO403" i="45"/>
  <c r="AC403" i="45" s="1"/>
  <c r="AO113" i="45"/>
  <c r="AC113" i="45" s="1"/>
  <c r="AO226" i="45"/>
  <c r="AC226" i="45" s="1"/>
  <c r="AO490" i="45"/>
  <c r="AC490" i="45" s="1"/>
  <c r="AO411" i="45"/>
  <c r="AC411" i="45" s="1"/>
  <c r="AO517" i="45"/>
  <c r="AC517" i="45" s="1"/>
  <c r="AO423" i="45"/>
  <c r="AC423" i="45" s="1"/>
  <c r="AO535" i="45"/>
  <c r="AC535" i="45" s="1"/>
  <c r="AO116" i="45"/>
  <c r="AC116" i="45" s="1"/>
  <c r="AO126" i="45"/>
  <c r="AC126" i="45" s="1"/>
  <c r="AO574" i="45"/>
  <c r="AC574" i="45" s="1"/>
  <c r="AO537" i="45"/>
  <c r="AC537" i="45" s="1"/>
  <c r="AO541" i="45"/>
  <c r="AC541" i="45" s="1"/>
  <c r="AO427" i="45"/>
  <c r="AC427" i="45" s="1"/>
  <c r="AO381" i="45"/>
  <c r="AC381" i="45" s="1"/>
  <c r="E760" i="35"/>
  <c r="AS545" i="19"/>
  <c r="X545" i="19"/>
  <c r="E298" i="35"/>
  <c r="E189" i="35"/>
  <c r="E183" i="35"/>
  <c r="E501" i="35"/>
  <c r="X417" i="19"/>
  <c r="E613" i="35"/>
  <c r="AS417" i="19"/>
  <c r="X394" i="19"/>
  <c r="AS394" i="19"/>
  <c r="E810" i="35"/>
  <c r="E1002" i="35"/>
  <c r="E460" i="35"/>
  <c r="X443" i="19"/>
  <c r="AS443" i="19"/>
  <c r="E135" i="35"/>
  <c r="E236" i="35"/>
  <c r="E589" i="35"/>
  <c r="E514" i="35"/>
  <c r="E597" i="35"/>
  <c r="E904" i="35"/>
  <c r="X154" i="19"/>
  <c r="AS154" i="19"/>
  <c r="AS378" i="19"/>
  <c r="X378" i="19"/>
  <c r="E1067" i="35"/>
  <c r="E448" i="35"/>
  <c r="E979" i="35"/>
  <c r="AS430" i="19"/>
  <c r="X430" i="19"/>
  <c r="E126" i="35"/>
  <c r="E580" i="35"/>
  <c r="E1074" i="35"/>
  <c r="X386" i="19"/>
  <c r="AS386" i="19"/>
  <c r="E214" i="35"/>
  <c r="E961" i="35"/>
  <c r="AS355" i="19"/>
  <c r="X355" i="19"/>
  <c r="E1006" i="35"/>
  <c r="E49" i="35"/>
  <c r="X584" i="19"/>
  <c r="AS584" i="19"/>
  <c r="E421" i="35"/>
  <c r="AS552" i="19"/>
  <c r="X552" i="19"/>
  <c r="E198" i="35"/>
  <c r="E734" i="35"/>
  <c r="AS318" i="19"/>
  <c r="X318" i="19"/>
  <c r="E714" i="35"/>
  <c r="AS404" i="19"/>
  <c r="X404" i="19"/>
  <c r="E968" i="35"/>
  <c r="E45" i="35"/>
  <c r="E326" i="35"/>
  <c r="AS449" i="19"/>
  <c r="E141" i="35"/>
  <c r="X449" i="19"/>
  <c r="E879" i="35"/>
  <c r="E1026" i="35"/>
  <c r="E220" i="35"/>
  <c r="E557" i="35"/>
  <c r="E293" i="35"/>
  <c r="E571" i="35"/>
  <c r="E516" i="35"/>
  <c r="AS483" i="19"/>
  <c r="X483" i="19"/>
  <c r="X463" i="19"/>
  <c r="AS463" i="19"/>
  <c r="E256" i="35"/>
  <c r="E482" i="35"/>
  <c r="AS436" i="19"/>
  <c r="X436" i="19"/>
  <c r="E387" i="35"/>
  <c r="E551" i="35"/>
  <c r="X225" i="19"/>
  <c r="AS225" i="19"/>
  <c r="E494" i="35"/>
  <c r="E782" i="35"/>
  <c r="E753" i="35"/>
  <c r="X585" i="19"/>
  <c r="E423" i="35"/>
  <c r="AS585" i="19"/>
  <c r="E850" i="35"/>
  <c r="AS326" i="19"/>
  <c r="X326" i="19"/>
  <c r="E151" i="35"/>
  <c r="E181" i="35"/>
  <c r="E462" i="35"/>
  <c r="E445" i="35"/>
  <c r="E486" i="35"/>
  <c r="E292" i="35"/>
  <c r="AS364" i="19"/>
  <c r="X364" i="19"/>
  <c r="E1061" i="35"/>
  <c r="E302" i="35"/>
  <c r="E446" i="35"/>
  <c r="E1015" i="35"/>
  <c r="E526" i="35"/>
  <c r="E401" i="35"/>
  <c r="E619" i="35"/>
  <c r="AS213" i="19"/>
  <c r="X213" i="19"/>
  <c r="X507" i="19"/>
  <c r="E480" i="35"/>
  <c r="AS507" i="19"/>
  <c r="AS322" i="19"/>
  <c r="E715" i="35"/>
  <c r="X322" i="19"/>
  <c r="E385" i="35"/>
  <c r="E765" i="35"/>
  <c r="E203" i="35"/>
  <c r="E699" i="35"/>
  <c r="E1051" i="35"/>
  <c r="AS134" i="19"/>
  <c r="E912" i="35"/>
  <c r="X134" i="19"/>
  <c r="E469" i="35"/>
  <c r="AS320" i="19"/>
  <c r="E703" i="35"/>
  <c r="X320" i="19"/>
  <c r="X534" i="19"/>
  <c r="AS534" i="19"/>
  <c r="E194" i="35"/>
  <c r="X414" i="19"/>
  <c r="E791" i="35"/>
  <c r="AS414" i="19"/>
  <c r="E977" i="35"/>
  <c r="E101" i="35"/>
  <c r="E247" i="35"/>
  <c r="AS460" i="19"/>
  <c r="X460" i="19"/>
  <c r="E509" i="35"/>
  <c r="E963" i="35"/>
  <c r="E288" i="35"/>
  <c r="E120" i="35"/>
  <c r="E787" i="35"/>
  <c r="E447" i="35"/>
  <c r="E596" i="35"/>
  <c r="E982" i="35"/>
  <c r="E829" i="35"/>
  <c r="AS302" i="19"/>
  <c r="X302" i="19"/>
  <c r="E544" i="35"/>
  <c r="X459" i="19"/>
  <c r="AS459" i="19"/>
  <c r="E249" i="35"/>
  <c r="E335" i="35"/>
  <c r="E118" i="35"/>
  <c r="E48" i="35"/>
  <c r="E1025" i="35"/>
  <c r="E54" i="35"/>
  <c r="E375" i="35"/>
  <c r="AS47" i="19"/>
  <c r="X47" i="19"/>
  <c r="E637" i="35"/>
  <c r="E362" i="35"/>
  <c r="E936" i="35"/>
  <c r="X175" i="19"/>
  <c r="AS175" i="19"/>
  <c r="E1085" i="35"/>
  <c r="X87" i="19"/>
  <c r="AS87" i="19"/>
  <c r="E604" i="35"/>
  <c r="AS249" i="19"/>
  <c r="E878" i="35"/>
  <c r="X249" i="19"/>
  <c r="E990" i="35"/>
  <c r="E744" i="35"/>
  <c r="E419" i="35"/>
  <c r="E717" i="35"/>
  <c r="E825" i="35"/>
  <c r="X174" i="19"/>
  <c r="AS174" i="19"/>
  <c r="AS338" i="19"/>
  <c r="E949" i="35"/>
  <c r="X338" i="19"/>
  <c r="X131" i="19"/>
  <c r="AS131" i="19"/>
  <c r="E911" i="35"/>
  <c r="E1081" i="35"/>
  <c r="X89" i="19"/>
  <c r="AS89" i="19"/>
  <c r="E547" i="35"/>
  <c r="E436" i="35"/>
  <c r="AS492" i="19"/>
  <c r="X492" i="19"/>
  <c r="E105" i="35"/>
  <c r="E133" i="35"/>
  <c r="AS451" i="19"/>
  <c r="X451" i="19"/>
  <c r="X244" i="19"/>
  <c r="AS244" i="19"/>
  <c r="E869" i="35"/>
  <c r="E1003" i="35"/>
  <c r="AS221" i="19"/>
  <c r="X221" i="19"/>
  <c r="E627" i="35"/>
  <c r="AS298" i="19"/>
  <c r="E840" i="35"/>
  <c r="X298" i="19"/>
  <c r="E558" i="35"/>
  <c r="E314" i="35"/>
  <c r="X418" i="19"/>
  <c r="AS418" i="19"/>
  <c r="E792" i="35"/>
  <c r="X511" i="19"/>
  <c r="E21" i="35"/>
  <c r="AS511" i="19"/>
  <c r="E858" i="35"/>
  <c r="X356" i="19"/>
  <c r="AS356" i="19"/>
  <c r="E768" i="35"/>
  <c r="X135" i="19"/>
  <c r="AS135" i="19"/>
  <c r="E910" i="35"/>
  <c r="E234" i="35"/>
  <c r="X299" i="19"/>
  <c r="AS299" i="19"/>
  <c r="E841" i="35"/>
  <c r="E405" i="35"/>
  <c r="E740" i="35"/>
  <c r="X325" i="19"/>
  <c r="AS325" i="19"/>
  <c r="E711" i="35"/>
  <c r="X101" i="19"/>
  <c r="AS101" i="19"/>
  <c r="E605" i="35"/>
  <c r="X566" i="19"/>
  <c r="E263" i="35"/>
  <c r="AS566" i="19"/>
  <c r="AS128" i="19"/>
  <c r="E925" i="35"/>
  <c r="X128" i="19"/>
  <c r="E587" i="35"/>
  <c r="X362" i="19"/>
  <c r="AS362" i="19"/>
  <c r="E1056" i="35"/>
  <c r="X224" i="19"/>
  <c r="E550" i="35"/>
  <c r="AS224" i="19"/>
  <c r="E941" i="35"/>
  <c r="X352" i="19"/>
  <c r="AS352" i="19"/>
  <c r="E207" i="35"/>
  <c r="E615" i="35"/>
  <c r="E218" i="35"/>
  <c r="E672" i="35"/>
  <c r="X205" i="19"/>
  <c r="AS205" i="19"/>
  <c r="X197" i="19"/>
  <c r="AS197" i="19"/>
  <c r="E678" i="35"/>
  <c r="X260" i="19"/>
  <c r="AS260" i="19"/>
  <c r="E1036" i="35"/>
  <c r="E913" i="35"/>
  <c r="X133" i="19"/>
  <c r="AS133" i="19"/>
  <c r="E394" i="35"/>
  <c r="E123" i="35"/>
  <c r="E431" i="35"/>
  <c r="AS491" i="19"/>
  <c r="X491" i="19"/>
  <c r="E270" i="35"/>
  <c r="X227" i="19"/>
  <c r="AS227" i="19"/>
  <c r="E552" i="35"/>
  <c r="E459" i="35"/>
  <c r="E568" i="35"/>
  <c r="AS275" i="19"/>
  <c r="E553" i="35"/>
  <c r="X275" i="19"/>
  <c r="X498" i="19"/>
  <c r="E455" i="35"/>
  <c r="AS498" i="19"/>
  <c r="E838" i="35"/>
  <c r="X311" i="19"/>
  <c r="AS311" i="19"/>
  <c r="AS448" i="19"/>
  <c r="E136" i="35"/>
  <c r="X448" i="19"/>
  <c r="X122" i="19"/>
  <c r="AS122" i="19"/>
  <c r="E917" i="35"/>
  <c r="AS475" i="19"/>
  <c r="X475" i="19"/>
  <c r="E359" i="35"/>
  <c r="E70" i="35"/>
  <c r="AS335" i="19"/>
  <c r="X335" i="19"/>
  <c r="E960" i="35"/>
  <c r="E444" i="35"/>
  <c r="E771" i="35"/>
  <c r="E72" i="35"/>
  <c r="AS473" i="19"/>
  <c r="E363" i="35"/>
  <c r="X473" i="19"/>
  <c r="X602" i="19"/>
  <c r="E143" i="35"/>
  <c r="AS602" i="19"/>
  <c r="E510" i="35"/>
  <c r="E283" i="35"/>
  <c r="E80" i="35"/>
  <c r="E730" i="35"/>
  <c r="E503" i="35"/>
  <c r="E1016" i="35"/>
  <c r="X210" i="19"/>
  <c r="AS210" i="19"/>
  <c r="E629" i="35"/>
  <c r="X108" i="19"/>
  <c r="AS108" i="19"/>
  <c r="E886" i="35"/>
  <c r="E582" i="35"/>
  <c r="E697" i="35"/>
  <c r="E540" i="35"/>
  <c r="E663" i="35"/>
  <c r="E366" i="35"/>
  <c r="AS474" i="19"/>
  <c r="X474" i="19"/>
  <c r="AS405" i="19"/>
  <c r="E969" i="35"/>
  <c r="X405" i="19"/>
  <c r="AS212" i="19"/>
  <c r="E617" i="35"/>
  <c r="X212" i="19"/>
  <c r="E285" i="35"/>
  <c r="X490" i="19"/>
  <c r="AS490" i="19"/>
  <c r="E432" i="35"/>
  <c r="E570" i="35"/>
  <c r="E920" i="35"/>
  <c r="X138" i="19"/>
  <c r="AS138" i="19"/>
  <c r="X480" i="19"/>
  <c r="AS480" i="19"/>
  <c r="E360" i="35"/>
  <c r="E900" i="35"/>
  <c r="X156" i="19"/>
  <c r="AS156" i="19"/>
  <c r="X218" i="19"/>
  <c r="AS218" i="19"/>
  <c r="E624" i="35"/>
  <c r="E1017" i="35"/>
  <c r="AS229" i="19"/>
  <c r="X229" i="19"/>
  <c r="E784" i="35"/>
  <c r="E883" i="35"/>
  <c r="X248" i="19"/>
  <c r="AS248" i="19"/>
  <c r="E741" i="35"/>
  <c r="AS127" i="19"/>
  <c r="X127" i="19"/>
  <c r="E928" i="35"/>
  <c r="E145" i="35"/>
  <c r="X598" i="19"/>
  <c r="AS598" i="19"/>
  <c r="E85" i="35"/>
  <c r="E569" i="35"/>
  <c r="X239" i="19"/>
  <c r="AS239" i="19"/>
  <c r="E873" i="35"/>
  <c r="X269" i="19"/>
  <c r="AS269" i="19"/>
  <c r="E562" i="35"/>
  <c r="E443" i="35"/>
  <c r="E905" i="35"/>
  <c r="X114" i="19"/>
  <c r="AS114" i="19"/>
  <c r="E809" i="35"/>
  <c r="AS83" i="19"/>
  <c r="X83" i="19"/>
  <c r="E1092" i="35"/>
  <c r="E989" i="35"/>
  <c r="E942" i="35"/>
  <c r="AS351" i="19"/>
  <c r="X351" i="19"/>
  <c r="E473" i="35"/>
  <c r="E166" i="35"/>
  <c r="E1030" i="35"/>
  <c r="E347" i="35"/>
  <c r="AS384" i="19"/>
  <c r="X384" i="19"/>
  <c r="E1071" i="35"/>
  <c r="E625" i="35"/>
  <c r="AS219" i="19"/>
  <c r="X219" i="19"/>
  <c r="E748" i="35"/>
  <c r="E252" i="35"/>
  <c r="E303" i="35"/>
  <c r="X306" i="19"/>
  <c r="AS306" i="19"/>
  <c r="E830" i="35"/>
  <c r="AS107" i="19"/>
  <c r="E611" i="35"/>
  <c r="X107" i="19"/>
  <c r="E378" i="35"/>
  <c r="X469" i="19"/>
  <c r="E259" i="35"/>
  <c r="AS469" i="19"/>
  <c r="E117" i="35"/>
  <c r="E487" i="35"/>
  <c r="E529" i="35"/>
  <c r="E872" i="35"/>
  <c r="X238" i="19"/>
  <c r="AS238" i="19"/>
  <c r="E102" i="35"/>
  <c r="AS22" i="19"/>
  <c r="AT21" i="19"/>
  <c r="X22" i="19"/>
  <c r="E647" i="35"/>
  <c r="E321" i="35"/>
  <c r="E290" i="35"/>
  <c r="E393" i="35"/>
  <c r="E593" i="35"/>
  <c r="E100" i="35"/>
  <c r="E138" i="35"/>
  <c r="E681" i="35"/>
  <c r="X184" i="19"/>
  <c r="AS184" i="19"/>
  <c r="E851" i="35"/>
  <c r="X416" i="19"/>
  <c r="AS416" i="19"/>
  <c r="E241" i="35"/>
  <c r="E44" i="35"/>
  <c r="X71" i="19"/>
  <c r="AS71" i="19"/>
  <c r="E885" i="35"/>
  <c r="E451" i="35"/>
  <c r="AS500" i="19"/>
  <c r="X500" i="19"/>
  <c r="AS73" i="19"/>
  <c r="E656" i="35"/>
  <c r="X73" i="19"/>
  <c r="E726" i="35"/>
  <c r="E737" i="35"/>
  <c r="E381" i="35"/>
  <c r="AS189" i="19"/>
  <c r="X189" i="19"/>
  <c r="E669" i="35"/>
  <c r="E508" i="35"/>
  <c r="E400" i="35"/>
  <c r="X191" i="19"/>
  <c r="AS191" i="19"/>
  <c r="E671" i="35"/>
  <c r="E598" i="35"/>
  <c r="E111" i="35"/>
  <c r="AS323" i="19"/>
  <c r="E710" i="35"/>
  <c r="X323" i="19"/>
  <c r="X198" i="19"/>
  <c r="E677" i="35"/>
  <c r="AS198" i="19"/>
  <c r="E391" i="35"/>
  <c r="E725" i="35"/>
  <c r="X493" i="19"/>
  <c r="E433" i="35"/>
  <c r="AS493" i="19"/>
  <c r="E112" i="35"/>
  <c r="E461" i="35"/>
  <c r="E793" i="35"/>
  <c r="AS59" i="19"/>
  <c r="X59" i="19"/>
  <c r="E295" i="35"/>
  <c r="E1050" i="35"/>
  <c r="E519" i="35"/>
  <c r="E528" i="35"/>
  <c r="E177" i="35"/>
  <c r="E289" i="35"/>
  <c r="AS575" i="19"/>
  <c r="X575" i="19"/>
  <c r="E264" i="35"/>
  <c r="E973" i="35"/>
  <c r="E971" i="35"/>
  <c r="X49" i="19"/>
  <c r="AS49" i="19"/>
  <c r="E1013" i="35"/>
  <c r="E276" i="35"/>
  <c r="E524" i="35"/>
  <c r="E532" i="35"/>
  <c r="X290" i="19"/>
  <c r="AS290" i="19"/>
  <c r="E707" i="35"/>
  <c r="E579" i="35"/>
  <c r="E398" i="35"/>
  <c r="E87" i="35"/>
  <c r="AO508" i="45"/>
  <c r="AC508" i="45" s="1"/>
  <c r="AO229" i="45"/>
  <c r="AC229" i="45" s="1"/>
  <c r="AO296" i="45"/>
  <c r="AC296" i="45" s="1"/>
  <c r="AO492" i="45"/>
  <c r="AC492" i="45" s="1"/>
  <c r="AO331" i="45"/>
  <c r="AC331" i="45" s="1"/>
  <c r="AO466" i="45"/>
  <c r="AC466" i="45" s="1"/>
  <c r="AO213" i="45"/>
  <c r="AC213" i="45" s="1"/>
  <c r="AO177" i="45"/>
  <c r="AC177" i="45" s="1"/>
  <c r="AO283" i="45"/>
  <c r="AC283" i="45" s="1"/>
  <c r="AO462" i="45"/>
  <c r="AC462" i="45" s="1"/>
  <c r="AO241" i="45"/>
  <c r="AC241" i="45" s="1"/>
  <c r="AO584" i="45"/>
  <c r="AC584" i="45" s="1"/>
  <c r="AO363" i="45"/>
  <c r="AC363" i="45" s="1"/>
  <c r="AO313" i="45"/>
  <c r="AC313" i="45" s="1"/>
  <c r="AO468" i="45"/>
  <c r="AC468" i="45" s="1"/>
  <c r="AO355" i="45"/>
  <c r="AC355" i="45" s="1"/>
  <c r="AO189" i="45"/>
  <c r="AC189" i="45" s="1"/>
  <c r="AO290" i="45"/>
  <c r="AC290" i="45" s="1"/>
  <c r="AO533" i="45"/>
  <c r="AC533" i="45" s="1"/>
  <c r="AO294" i="45"/>
  <c r="AC294" i="45" s="1"/>
  <c r="AO69" i="45"/>
  <c r="AC69" i="45" s="1"/>
  <c r="AO196" i="45"/>
  <c r="AC196" i="45" s="1"/>
  <c r="AO76" i="45"/>
  <c r="AC76" i="45" s="1"/>
  <c r="AO476" i="45"/>
  <c r="AC476" i="45" s="1"/>
  <c r="AO367" i="45"/>
  <c r="AC367" i="45" s="1"/>
  <c r="AO395" i="45"/>
  <c r="AC395" i="45" s="1"/>
  <c r="AO172" i="45"/>
  <c r="AC172" i="45" s="1"/>
  <c r="AO472" i="45"/>
  <c r="AC472" i="45" s="1"/>
  <c r="AO183" i="45"/>
  <c r="AC183" i="45" s="1"/>
  <c r="AO299" i="45"/>
  <c r="AC299" i="45" s="1"/>
  <c r="E1040" i="35"/>
  <c r="X503" i="19"/>
  <c r="E452" i="35"/>
  <c r="AS503" i="19"/>
  <c r="E193" i="35"/>
  <c r="AS532" i="19"/>
  <c r="X532" i="19"/>
  <c r="E274" i="35"/>
  <c r="E354" i="35"/>
  <c r="AS163" i="19"/>
  <c r="E691" i="35"/>
  <c r="X163" i="19"/>
  <c r="X549" i="19"/>
  <c r="AS549" i="19"/>
  <c r="E81" i="35"/>
  <c r="E209" i="35"/>
  <c r="E22" i="35"/>
  <c r="AS512" i="19"/>
  <c r="X512" i="19"/>
  <c r="E406" i="35"/>
  <c r="E1019" i="35"/>
  <c r="AS402" i="19"/>
  <c r="X402" i="19"/>
  <c r="E146" i="35"/>
  <c r="X603" i="19"/>
  <c r="AS603" i="19"/>
  <c r="E808" i="35"/>
  <c r="AS542" i="19"/>
  <c r="X542" i="19"/>
  <c r="E199" i="35"/>
  <c r="E574" i="35"/>
  <c r="E575" i="35"/>
  <c r="E338" i="35"/>
  <c r="AS261" i="19"/>
  <c r="X261" i="19"/>
  <c r="E1044" i="35"/>
  <c r="E281" i="35"/>
  <c r="E926" i="35"/>
  <c r="X142" i="19"/>
  <c r="AS142" i="19"/>
  <c r="E1041" i="35"/>
  <c r="E981" i="35"/>
  <c r="E287" i="35"/>
  <c r="E47" i="35"/>
  <c r="X577" i="19"/>
  <c r="AS577" i="19"/>
  <c r="E310" i="35"/>
  <c r="E139" i="35"/>
  <c r="X450" i="19"/>
  <c r="AS450" i="19"/>
  <c r="AS116" i="19"/>
  <c r="E901" i="35"/>
  <c r="X116" i="19"/>
  <c r="X574" i="19"/>
  <c r="AS574" i="19"/>
  <c r="E185" i="35"/>
  <c r="AS374" i="19"/>
  <c r="E1057" i="35"/>
  <c r="X374" i="19"/>
  <c r="AS516" i="19"/>
  <c r="X516" i="19"/>
  <c r="E27" i="35"/>
  <c r="E174" i="35"/>
  <c r="AS165" i="19"/>
  <c r="X165" i="19"/>
  <c r="E696" i="35"/>
  <c r="E413" i="35"/>
  <c r="E407" i="35"/>
  <c r="E1004" i="35"/>
  <c r="E752" i="35"/>
  <c r="E412" i="35"/>
  <c r="E601" i="35"/>
  <c r="E201" i="35"/>
  <c r="X119" i="19"/>
  <c r="E898" i="35"/>
  <c r="AS119" i="19"/>
  <c r="E478" i="35"/>
  <c r="X505" i="19"/>
  <c r="AS505" i="19"/>
  <c r="E175" i="35"/>
  <c r="AS354" i="19"/>
  <c r="E945" i="35"/>
  <c r="X354" i="19"/>
  <c r="E504" i="35"/>
  <c r="E333" i="35"/>
  <c r="E315" i="35"/>
  <c r="AS591" i="19"/>
  <c r="X591" i="19"/>
  <c r="E458" i="35"/>
  <c r="E1069" i="35"/>
  <c r="X381" i="19"/>
  <c r="AS381" i="19"/>
  <c r="E1083" i="35"/>
  <c r="AS93" i="19"/>
  <c r="X93" i="19"/>
  <c r="AS599" i="19"/>
  <c r="E147" i="35"/>
  <c r="X599" i="19"/>
  <c r="AS264" i="19"/>
  <c r="X264" i="19"/>
  <c r="E322" i="35"/>
  <c r="E485" i="35"/>
  <c r="E402" i="35"/>
  <c r="E228" i="35"/>
  <c r="E422" i="35"/>
  <c r="AS593" i="19"/>
  <c r="X593" i="19"/>
  <c r="X220" i="19"/>
  <c r="AS220" i="19"/>
  <c r="E626" i="35"/>
  <c r="E51" i="35"/>
  <c r="E764" i="35"/>
  <c r="E186" i="35"/>
  <c r="E273" i="35"/>
  <c r="E804" i="35"/>
  <c r="AS350" i="19"/>
  <c r="E1020" i="35"/>
  <c r="X350" i="19"/>
  <c r="AS159" i="19"/>
  <c r="E934" i="35"/>
  <c r="X159" i="19"/>
  <c r="E465" i="35"/>
  <c r="X291" i="19"/>
  <c r="AS291" i="19"/>
  <c r="E817" i="35"/>
  <c r="E399" i="35"/>
  <c r="E182" i="35"/>
  <c r="E392" i="35"/>
  <c r="E243" i="35"/>
  <c r="X385" i="19"/>
  <c r="AS385" i="19"/>
  <c r="E1073" i="35"/>
  <c r="E754" i="35"/>
  <c r="X466" i="19"/>
  <c r="E260" i="35"/>
  <c r="AS466" i="19"/>
  <c r="E57" i="35"/>
  <c r="E206" i="35"/>
  <c r="E69" i="35"/>
  <c r="X391" i="19"/>
  <c r="AS391" i="19"/>
  <c r="E789" i="35"/>
  <c r="AS370" i="19"/>
  <c r="X370" i="19"/>
  <c r="E777" i="35"/>
  <c r="E599" i="35"/>
  <c r="E291" i="35"/>
  <c r="E232" i="35"/>
  <c r="E747" i="35"/>
  <c r="X538" i="19"/>
  <c r="E79" i="35"/>
  <c r="AS538" i="19"/>
  <c r="AS130" i="19"/>
  <c r="E909" i="35"/>
  <c r="X130" i="19"/>
  <c r="E860" i="35"/>
  <c r="AS357" i="19"/>
  <c r="X357" i="19"/>
  <c r="E62" i="35"/>
  <c r="AS304" i="19"/>
  <c r="X304" i="19"/>
  <c r="E835" i="35"/>
  <c r="AS172" i="19"/>
  <c r="E823" i="35"/>
  <c r="X172" i="19"/>
  <c r="AS496" i="19"/>
  <c r="X496" i="19"/>
  <c r="E434" i="35"/>
  <c r="E192" i="35"/>
  <c r="AS531" i="19"/>
  <c r="X531" i="19"/>
  <c r="E1089" i="35"/>
  <c r="X84" i="19"/>
  <c r="AS84" i="19"/>
  <c r="AS395" i="19"/>
  <c r="X395" i="19"/>
  <c r="E812" i="35"/>
  <c r="E31" i="35"/>
  <c r="X389" i="19"/>
  <c r="AS389" i="19"/>
  <c r="E213" i="35"/>
  <c r="E881" i="35"/>
  <c r="E83" i="35"/>
  <c r="X571" i="19"/>
  <c r="AS571" i="19"/>
  <c r="X243" i="19"/>
  <c r="AS243" i="19"/>
  <c r="E866" i="35"/>
  <c r="E427" i="35"/>
  <c r="E537" i="35"/>
  <c r="E844" i="35"/>
  <c r="X74" i="19"/>
  <c r="AS74" i="19"/>
  <c r="E380" i="35"/>
  <c r="AS462" i="19"/>
  <c r="X462" i="19"/>
  <c r="E251" i="35"/>
  <c r="X86" i="19"/>
  <c r="E1084" i="35"/>
  <c r="AS86" i="19"/>
  <c r="E41" i="35"/>
  <c r="E745" i="35"/>
  <c r="E1000" i="35"/>
  <c r="E975" i="35"/>
  <c r="E301" i="35"/>
  <c r="AS409" i="19"/>
  <c r="E1093" i="35"/>
  <c r="X409" i="19"/>
  <c r="E471" i="35"/>
  <c r="E235" i="35"/>
  <c r="E845" i="35"/>
  <c r="AS75" i="19"/>
  <c r="X75" i="19"/>
  <c r="E341" i="35"/>
  <c r="E389" i="35"/>
  <c r="E173" i="35"/>
  <c r="AS554" i="19"/>
  <c r="X554" i="19"/>
  <c r="AS547" i="19"/>
  <c r="X547" i="19"/>
  <c r="E343" i="35"/>
  <c r="X396" i="19"/>
  <c r="E813" i="35"/>
  <c r="AS396" i="19"/>
  <c r="E1086" i="35"/>
  <c r="AS80" i="19"/>
  <c r="X80" i="19"/>
  <c r="AS281" i="19"/>
  <c r="E852" i="35"/>
  <c r="X281" i="19"/>
  <c r="E466" i="35"/>
  <c r="E1021" i="35"/>
  <c r="X99" i="19"/>
  <c r="AS99" i="19"/>
  <c r="E761" i="35"/>
  <c r="E988" i="35"/>
  <c r="E759" i="35"/>
  <c r="E1022" i="35"/>
  <c r="X484" i="19"/>
  <c r="E518" i="35"/>
  <c r="AS484" i="19"/>
  <c r="E1027" i="35"/>
  <c r="E815" i="35"/>
  <c r="X411" i="19"/>
  <c r="AS411" i="19"/>
  <c r="E694" i="35"/>
  <c r="X167" i="19"/>
  <c r="AS167" i="19"/>
  <c r="E786" i="35"/>
  <c r="E545" i="35"/>
  <c r="E75" i="35"/>
  <c r="AS97" i="19"/>
  <c r="X97" i="19"/>
  <c r="E1077" i="35"/>
  <c r="E352" i="35"/>
  <c r="E95" i="35"/>
  <c r="AS572" i="19"/>
  <c r="X572" i="19"/>
  <c r="AS192" i="19"/>
  <c r="E674" i="35"/>
  <c r="X192" i="19"/>
  <c r="AS565" i="19"/>
  <c r="E184" i="35"/>
  <c r="X565" i="19"/>
  <c r="E848" i="35"/>
  <c r="E560" i="35"/>
  <c r="E76" i="35"/>
  <c r="X458" i="19"/>
  <c r="E262" i="35"/>
  <c r="AS458" i="19"/>
  <c r="E797" i="35"/>
  <c r="AS63" i="19"/>
  <c r="X63" i="19"/>
  <c r="E1018" i="35"/>
  <c r="X178" i="19"/>
  <c r="AS178" i="19"/>
  <c r="E836" i="35"/>
  <c r="X309" i="19"/>
  <c r="AS309" i="19"/>
  <c r="X365" i="19"/>
  <c r="E1064" i="35"/>
  <c r="AS365" i="19"/>
  <c r="E238" i="35"/>
  <c r="E169" i="35"/>
  <c r="E769" i="35"/>
  <c r="E889" i="35"/>
  <c r="AS147" i="19"/>
  <c r="X147" i="19"/>
  <c r="E947" i="35"/>
  <c r="X345" i="19"/>
  <c r="AS345" i="19"/>
  <c r="E383" i="35"/>
  <c r="X195" i="19"/>
  <c r="AS195" i="19"/>
  <c r="E667" i="35"/>
  <c r="E150" i="35"/>
  <c r="E962" i="35"/>
  <c r="X347" i="19"/>
  <c r="AS347" i="19"/>
  <c r="X69" i="19"/>
  <c r="AS69" i="19"/>
  <c r="E803" i="35"/>
  <c r="E887" i="35"/>
  <c r="X109" i="19"/>
  <c r="AS109" i="19"/>
  <c r="E489" i="35"/>
  <c r="X106" i="19"/>
  <c r="E610" i="35"/>
  <c r="AS106" i="19"/>
  <c r="E974" i="35"/>
  <c r="E749" i="35"/>
  <c r="AS340" i="19"/>
  <c r="E956" i="35"/>
  <c r="X340" i="19"/>
  <c r="E239" i="35"/>
  <c r="E1007" i="35"/>
  <c r="E467" i="35"/>
  <c r="E130" i="35"/>
  <c r="X441" i="19"/>
  <c r="AS441" i="19"/>
  <c r="AS203" i="19"/>
  <c r="E665" i="35"/>
  <c r="X203" i="19"/>
  <c r="E230" i="35"/>
  <c r="AS66" i="19"/>
  <c r="X66" i="19"/>
  <c r="E800" i="35"/>
  <c r="E197" i="35"/>
  <c r="AS541" i="19"/>
  <c r="X541" i="19"/>
  <c r="E995" i="35"/>
  <c r="E536" i="35"/>
  <c r="AS194" i="19"/>
  <c r="X194" i="19"/>
  <c r="E666" i="35"/>
  <c r="E50" i="35"/>
  <c r="E226" i="35"/>
  <c r="E160" i="35"/>
  <c r="E854" i="35"/>
  <c r="X283" i="19"/>
  <c r="AS283" i="19"/>
  <c r="E113" i="35"/>
  <c r="AS544" i="19"/>
  <c r="X544" i="19"/>
  <c r="E265" i="35"/>
  <c r="E156" i="35"/>
  <c r="E701" i="35"/>
  <c r="E107" i="35"/>
  <c r="E670" i="35"/>
  <c r="X190" i="19"/>
  <c r="AS190" i="19"/>
  <c r="E165" i="35"/>
  <c r="E332" i="35"/>
  <c r="E39" i="35"/>
  <c r="E992" i="35"/>
  <c r="AS327" i="19"/>
  <c r="E612" i="35"/>
  <c r="X327" i="19"/>
  <c r="E237" i="35"/>
  <c r="X94" i="19"/>
  <c r="E1087" i="35"/>
  <c r="AS94" i="19"/>
  <c r="X79" i="19"/>
  <c r="E1090" i="35"/>
  <c r="AS79" i="19"/>
  <c r="X91" i="19"/>
  <c r="E1080" i="35"/>
  <c r="AS91" i="19"/>
  <c r="AS98" i="19"/>
  <c r="E1075" i="35"/>
  <c r="X98" i="19"/>
  <c r="X561" i="19"/>
  <c r="E77" i="35"/>
  <c r="AS561" i="19"/>
  <c r="E692" i="35"/>
  <c r="X168" i="19"/>
  <c r="AS168" i="19"/>
  <c r="E476" i="35"/>
  <c r="E834" i="35"/>
  <c r="X303" i="19"/>
  <c r="AS303" i="19"/>
  <c r="E374" i="35"/>
  <c r="E386" i="35"/>
  <c r="E661" i="35"/>
  <c r="E365" i="35"/>
  <c r="AS481" i="19"/>
  <c r="X481" i="19"/>
  <c r="E865" i="35"/>
  <c r="X242" i="19"/>
  <c r="AS242" i="19"/>
  <c r="AS519" i="19"/>
  <c r="X519" i="19"/>
  <c r="E502" i="35"/>
  <c r="E876" i="35"/>
  <c r="AS246" i="19"/>
  <c r="X246" i="19"/>
  <c r="AS310" i="19"/>
  <c r="E837" i="35"/>
  <c r="X310" i="19"/>
  <c r="X254" i="19"/>
  <c r="AS254" i="19"/>
  <c r="E1034" i="35"/>
  <c r="E983" i="35"/>
  <c r="AS25" i="19"/>
  <c r="X25" i="19"/>
  <c r="E632" i="35"/>
  <c r="AS50" i="19"/>
  <c r="E14" i="35"/>
  <c r="X50" i="19"/>
  <c r="E527" i="35"/>
  <c r="E367" i="35"/>
  <c r="E227" i="35"/>
  <c r="E864" i="35"/>
  <c r="X241" i="19"/>
  <c r="AS241" i="19"/>
  <c r="E89" i="35"/>
  <c r="AS308" i="19"/>
  <c r="E832" i="35"/>
  <c r="X308" i="19"/>
  <c r="E736" i="35"/>
  <c r="AS236" i="19"/>
  <c r="E870" i="35"/>
  <c r="X236" i="19"/>
  <c r="E742" i="35"/>
  <c r="E767" i="35"/>
  <c r="E409" i="35"/>
  <c r="E29" i="35"/>
  <c r="E607" i="35"/>
  <c r="AS103" i="19"/>
  <c r="X103" i="19"/>
  <c r="X51" i="19"/>
  <c r="E591" i="35"/>
  <c r="AS51" i="19"/>
  <c r="E242" i="35"/>
  <c r="E318" i="35"/>
  <c r="X288" i="19"/>
  <c r="AS288" i="19"/>
  <c r="E708" i="35"/>
  <c r="AS153" i="19"/>
  <c r="E903" i="35"/>
  <c r="X153" i="19"/>
  <c r="E257" i="35"/>
  <c r="X179" i="19"/>
  <c r="E1011" i="35"/>
  <c r="AS179" i="19"/>
  <c r="E320" i="35"/>
  <c r="E1039" i="35"/>
  <c r="E600" i="35"/>
  <c r="E336" i="35"/>
  <c r="E738" i="35"/>
  <c r="E474" i="35"/>
  <c r="X23" i="19"/>
  <c r="AS23" i="19"/>
  <c r="E648" i="35"/>
  <c r="E659" i="35"/>
  <c r="E429" i="35"/>
  <c r="E1031" i="35"/>
  <c r="E535" i="35"/>
  <c r="X292" i="19"/>
  <c r="E846" i="35"/>
  <c r="AS292" i="19"/>
  <c r="E415" i="35"/>
  <c r="E698" i="35"/>
  <c r="AS573" i="19"/>
  <c r="X573" i="19"/>
  <c r="E171" i="35"/>
  <c r="E541" i="35"/>
  <c r="E280" i="35"/>
  <c r="E426" i="35"/>
  <c r="E991" i="35"/>
  <c r="AS437" i="19"/>
  <c r="X437" i="19"/>
  <c r="E483" i="35"/>
  <c r="E700" i="35"/>
  <c r="E34" i="35"/>
  <c r="X222" i="19"/>
  <c r="AS222" i="19"/>
  <c r="E618" i="35"/>
  <c r="E390" i="35"/>
  <c r="E481" i="35"/>
  <c r="E188" i="35"/>
  <c r="E721" i="35"/>
  <c r="E538" i="35"/>
  <c r="AS555" i="19"/>
  <c r="X555" i="19"/>
  <c r="E266" i="35"/>
  <c r="E1014" i="35"/>
  <c r="AS68" i="19"/>
  <c r="X68" i="19"/>
  <c r="E802" i="35"/>
  <c r="E456" i="35"/>
  <c r="E1038" i="35"/>
  <c r="E122" i="35"/>
  <c r="AS296" i="19"/>
  <c r="X296" i="19"/>
  <c r="E818" i="35"/>
  <c r="E103" i="35"/>
  <c r="E410" i="35"/>
  <c r="E1032" i="35"/>
  <c r="AO510" i="45"/>
  <c r="AC510" i="45" s="1"/>
  <c r="AO358" i="45"/>
  <c r="AC358" i="45" s="1"/>
  <c r="AO201" i="45"/>
  <c r="AC201" i="45" s="1"/>
  <c r="AO582" i="45"/>
  <c r="AC582" i="45" s="1"/>
  <c r="AO506" i="45"/>
  <c r="AC506" i="45" s="1"/>
  <c r="AO352" i="45"/>
  <c r="AC352" i="45" s="1"/>
  <c r="AO500" i="45"/>
  <c r="AC500" i="45" s="1"/>
  <c r="AO591" i="45"/>
  <c r="AC591" i="45" s="1"/>
  <c r="AO545" i="45"/>
  <c r="AC545" i="45" s="1"/>
  <c r="AO285" i="45"/>
  <c r="AC285" i="45" s="1"/>
  <c r="AO323" i="45"/>
  <c r="AC323" i="45" s="1"/>
  <c r="AO452" i="45"/>
  <c r="AC452" i="45" s="1"/>
  <c r="AO209" i="45"/>
  <c r="AC209" i="45" s="1"/>
  <c r="AO55" i="45"/>
  <c r="AC55" i="45" s="1"/>
  <c r="AO564" i="45"/>
  <c r="AC564" i="45" s="1"/>
  <c r="AO562" i="45"/>
  <c r="AC562" i="45" s="1"/>
  <c r="AO586" i="45"/>
  <c r="AC586" i="45" s="1"/>
  <c r="AO531" i="45"/>
  <c r="AC531" i="45" s="1"/>
  <c r="AO175" i="45"/>
  <c r="AC175" i="45" s="1"/>
  <c r="AO514" i="45"/>
  <c r="AC514" i="45" s="1"/>
  <c r="AO185" i="45"/>
  <c r="AC185" i="45" s="1"/>
  <c r="AO413" i="45"/>
  <c r="AC413" i="45" s="1"/>
  <c r="AO548" i="45"/>
  <c r="AC548" i="45" s="1"/>
  <c r="AO340" i="45"/>
  <c r="AC340" i="45" s="1"/>
  <c r="AO53" i="45"/>
  <c r="AC53" i="45" s="1"/>
  <c r="AO346" i="45"/>
  <c r="AC346" i="45" s="1"/>
  <c r="Z2" i="45" l="1"/>
  <c r="H1101" i="35"/>
  <c r="F1101" i="35"/>
  <c r="I1101" i="35" s="1"/>
  <c r="H13" i="35"/>
  <c r="F13" i="35"/>
  <c r="I13" i="35" s="1"/>
  <c r="AO55" i="19"/>
  <c r="AC55" i="19" s="1"/>
  <c r="Y41" i="19"/>
  <c r="AS41" i="19"/>
  <c r="AR41" i="19" s="1"/>
  <c r="X41" i="19"/>
  <c r="E640" i="35"/>
  <c r="Y43" i="19"/>
  <c r="E655" i="35"/>
  <c r="X43" i="19"/>
  <c r="AS43" i="19"/>
  <c r="AR43" i="19" s="1"/>
  <c r="Y42" i="19"/>
  <c r="E641" i="35"/>
  <c r="AS42" i="19"/>
  <c r="AR42" i="19" s="1"/>
  <c r="X42" i="19"/>
  <c r="F1038" i="35"/>
  <c r="I1038" i="35" s="1"/>
  <c r="H1038" i="35"/>
  <c r="F541" i="35"/>
  <c r="I541" i="35" s="1"/>
  <c r="H541" i="35"/>
  <c r="AR292" i="19"/>
  <c r="F257" i="35"/>
  <c r="I257" i="35" s="1"/>
  <c r="H257" i="35"/>
  <c r="AO288" i="19"/>
  <c r="AC288" i="19" s="1"/>
  <c r="AR103" i="19"/>
  <c r="H736" i="35"/>
  <c r="F736" i="35"/>
  <c r="I736" i="35" s="1"/>
  <c r="AR241" i="19"/>
  <c r="H876" i="35"/>
  <c r="F876" i="35"/>
  <c r="I876" i="35" s="1"/>
  <c r="F1087" i="35"/>
  <c r="I1087" i="35" s="1"/>
  <c r="H1087" i="35"/>
  <c r="AR327" i="19"/>
  <c r="F670" i="35"/>
  <c r="I670" i="35" s="1"/>
  <c r="H670" i="35"/>
  <c r="F107" i="35"/>
  <c r="I107" i="35" s="1"/>
  <c r="H107" i="35"/>
  <c r="H701" i="35"/>
  <c r="F701" i="35"/>
  <c r="I701" i="35" s="1"/>
  <c r="H156" i="35"/>
  <c r="F156" i="35"/>
  <c r="I156" i="35" s="1"/>
  <c r="AR544" i="19"/>
  <c r="AR283" i="19"/>
  <c r="F666" i="35"/>
  <c r="I666" i="35" s="1"/>
  <c r="H666" i="35"/>
  <c r="AR541" i="19"/>
  <c r="F800" i="35"/>
  <c r="I800" i="35" s="1"/>
  <c r="H800" i="35"/>
  <c r="H665" i="35"/>
  <c r="F665" i="35"/>
  <c r="I665" i="35" s="1"/>
  <c r="AO441" i="19"/>
  <c r="AC441" i="19" s="1"/>
  <c r="H1007" i="35"/>
  <c r="F1007" i="35"/>
  <c r="I1007" i="35" s="1"/>
  <c r="F239" i="35"/>
  <c r="I239" i="35" s="1"/>
  <c r="H239" i="35"/>
  <c r="H956" i="35"/>
  <c r="F956" i="35"/>
  <c r="I956" i="35" s="1"/>
  <c r="F749" i="35"/>
  <c r="I749" i="35" s="1"/>
  <c r="H749" i="35"/>
  <c r="AR109" i="19"/>
  <c r="F962" i="35"/>
  <c r="I962" i="35" s="1"/>
  <c r="H962" i="35"/>
  <c r="H667" i="35"/>
  <c r="F667" i="35"/>
  <c r="I667" i="35" s="1"/>
  <c r="F947" i="35"/>
  <c r="I947" i="35" s="1"/>
  <c r="H947" i="35"/>
  <c r="AO147" i="19"/>
  <c r="AC147" i="19" s="1"/>
  <c r="H769" i="35"/>
  <c r="F769" i="35"/>
  <c r="I769" i="35" s="1"/>
  <c r="F169" i="35"/>
  <c r="I169" i="35" s="1"/>
  <c r="H169" i="35"/>
  <c r="AR365" i="19"/>
  <c r="AO309" i="19"/>
  <c r="AC309" i="19" s="1"/>
  <c r="H1018" i="35"/>
  <c r="F1018" i="35"/>
  <c r="I1018" i="35" s="1"/>
  <c r="AR63" i="19"/>
  <c r="F262" i="35"/>
  <c r="I262" i="35" s="1"/>
  <c r="H262" i="35"/>
  <c r="F184" i="35"/>
  <c r="I184" i="35" s="1"/>
  <c r="H184" i="35"/>
  <c r="AO572" i="19"/>
  <c r="AC572" i="19" s="1"/>
  <c r="F786" i="35"/>
  <c r="I786" i="35" s="1"/>
  <c r="H786" i="35"/>
  <c r="AR167" i="19"/>
  <c r="AR411" i="19"/>
  <c r="H518" i="35"/>
  <c r="F518" i="35"/>
  <c r="I518" i="35" s="1"/>
  <c r="H759" i="35"/>
  <c r="F759" i="35"/>
  <c r="I759" i="35" s="1"/>
  <c r="AR99" i="19"/>
  <c r="AR281" i="19"/>
  <c r="F1086" i="35"/>
  <c r="I1086" i="35" s="1"/>
  <c r="H1086" i="35"/>
  <c r="H813" i="35"/>
  <c r="F813" i="35"/>
  <c r="I813" i="35" s="1"/>
  <c r="AO547" i="19"/>
  <c r="AC547" i="19" s="1"/>
  <c r="AO554" i="19"/>
  <c r="AC554" i="19" s="1"/>
  <c r="F389" i="35"/>
  <c r="I389" i="35" s="1"/>
  <c r="H389" i="35"/>
  <c r="H341" i="35"/>
  <c r="F341" i="35"/>
  <c r="I341" i="35" s="1"/>
  <c r="AO75" i="19"/>
  <c r="AC75" i="19" s="1"/>
  <c r="F235" i="35"/>
  <c r="I235" i="35" s="1"/>
  <c r="H235" i="35"/>
  <c r="H1093" i="35"/>
  <c r="F1093" i="35"/>
  <c r="I1093" i="35" s="1"/>
  <c r="H745" i="35"/>
  <c r="F745" i="35"/>
  <c r="I745" i="35" s="1"/>
  <c r="AO74" i="19"/>
  <c r="AC74" i="19" s="1"/>
  <c r="AO243" i="19"/>
  <c r="AC243" i="19" s="1"/>
  <c r="AR571" i="19"/>
  <c r="F213" i="35"/>
  <c r="I213" i="35" s="1"/>
  <c r="H213" i="35"/>
  <c r="AO389" i="19"/>
  <c r="AC389" i="19" s="1"/>
  <c r="H31" i="35"/>
  <c r="F31" i="35"/>
  <c r="I31" i="35" s="1"/>
  <c r="AR395" i="19"/>
  <c r="AO84" i="19"/>
  <c r="AC84" i="19" s="1"/>
  <c r="AR531" i="19"/>
  <c r="AO172" i="19"/>
  <c r="AC172" i="19" s="1"/>
  <c r="F835" i="35"/>
  <c r="I835" i="35" s="1"/>
  <c r="H835" i="35"/>
  <c r="AO357" i="19"/>
  <c r="AC357" i="19" s="1"/>
  <c r="AR130" i="19"/>
  <c r="AR538" i="19"/>
  <c r="AO370" i="19"/>
  <c r="AC370" i="19" s="1"/>
  <c r="AO391" i="19"/>
  <c r="AC391" i="19" s="1"/>
  <c r="AR466" i="19"/>
  <c r="AO385" i="19"/>
  <c r="AC385" i="19" s="1"/>
  <c r="AR291" i="19"/>
  <c r="AO350" i="19"/>
  <c r="AC350" i="19" s="1"/>
  <c r="F804" i="35"/>
  <c r="I804" i="35" s="1"/>
  <c r="H804" i="35"/>
  <c r="F51" i="35"/>
  <c r="I51" i="35" s="1"/>
  <c r="H51" i="35"/>
  <c r="AR220" i="19"/>
  <c r="AO593" i="19"/>
  <c r="AC593" i="19" s="1"/>
  <c r="H228" i="35"/>
  <c r="F228" i="35"/>
  <c r="I228" i="35" s="1"/>
  <c r="H485" i="35"/>
  <c r="F485" i="35"/>
  <c r="I485" i="35" s="1"/>
  <c r="AO264" i="19"/>
  <c r="AC264" i="19" s="1"/>
  <c r="F147" i="35"/>
  <c r="I147" i="35" s="1"/>
  <c r="H147" i="35"/>
  <c r="AO93" i="19"/>
  <c r="AC93" i="19" s="1"/>
  <c r="AR381" i="19"/>
  <c r="H315" i="35"/>
  <c r="F315" i="35"/>
  <c r="I315" i="35" s="1"/>
  <c r="H175" i="35"/>
  <c r="F175" i="35"/>
  <c r="I175" i="35" s="1"/>
  <c r="F478" i="35"/>
  <c r="I478" i="35" s="1"/>
  <c r="H478" i="35"/>
  <c r="F601" i="35"/>
  <c r="I601" i="35" s="1"/>
  <c r="H601" i="35"/>
  <c r="H696" i="35"/>
  <c r="F696" i="35"/>
  <c r="I696" i="35" s="1"/>
  <c r="AO374" i="19"/>
  <c r="AC374" i="19" s="1"/>
  <c r="AR574" i="19"/>
  <c r="AR450" i="19"/>
  <c r="F287" i="35"/>
  <c r="I287" i="35" s="1"/>
  <c r="H287" i="35"/>
  <c r="F981" i="35"/>
  <c r="I981" i="35" s="1"/>
  <c r="H981" i="35"/>
  <c r="F926" i="35"/>
  <c r="I926" i="35" s="1"/>
  <c r="H926" i="35"/>
  <c r="F574" i="35"/>
  <c r="I574" i="35" s="1"/>
  <c r="H574" i="35"/>
  <c r="AR542" i="19"/>
  <c r="AR402" i="19"/>
  <c r="F406" i="35"/>
  <c r="I406" i="35" s="1"/>
  <c r="H406" i="35"/>
  <c r="AO163" i="19"/>
  <c r="AC163" i="19" s="1"/>
  <c r="H193" i="35"/>
  <c r="F193" i="35"/>
  <c r="I193" i="35" s="1"/>
  <c r="AO503" i="19"/>
  <c r="AC503" i="19" s="1"/>
  <c r="H579" i="35"/>
  <c r="F579" i="35"/>
  <c r="I579" i="35" s="1"/>
  <c r="AO290" i="19"/>
  <c r="AC290" i="19" s="1"/>
  <c r="H532" i="35"/>
  <c r="F532" i="35"/>
  <c r="I532" i="35" s="1"/>
  <c r="AO49" i="19"/>
  <c r="AC49" i="19" s="1"/>
  <c r="AR575" i="19"/>
  <c r="F295" i="35"/>
  <c r="I295" i="35" s="1"/>
  <c r="H295" i="35"/>
  <c r="AO59" i="19"/>
  <c r="AC59" i="19" s="1"/>
  <c r="AO493" i="19"/>
  <c r="AC493" i="19" s="1"/>
  <c r="H677" i="35"/>
  <c r="F677" i="35"/>
  <c r="I677" i="35" s="1"/>
  <c r="AO323" i="19"/>
  <c r="AC323" i="19" s="1"/>
  <c r="AR191" i="19"/>
  <c r="AR189" i="19"/>
  <c r="H381" i="35"/>
  <c r="F381" i="35"/>
  <c r="I381" i="35" s="1"/>
  <c r="H726" i="35"/>
  <c r="F726" i="35"/>
  <c r="I726" i="35" s="1"/>
  <c r="AR73" i="19"/>
  <c r="AR500" i="19"/>
  <c r="AR71" i="19"/>
  <c r="AO416" i="19"/>
  <c r="AC416" i="19" s="1"/>
  <c r="H102" i="35"/>
  <c r="F102" i="35"/>
  <c r="I102" i="35" s="1"/>
  <c r="F872" i="35"/>
  <c r="I872" i="35" s="1"/>
  <c r="H872" i="35"/>
  <c r="F487" i="35"/>
  <c r="I487" i="35" s="1"/>
  <c r="H487" i="35"/>
  <c r="H611" i="35"/>
  <c r="F611" i="35"/>
  <c r="I611" i="35" s="1"/>
  <c r="F830" i="35"/>
  <c r="I830" i="35" s="1"/>
  <c r="H830" i="35"/>
  <c r="F748" i="35"/>
  <c r="I748" i="35" s="1"/>
  <c r="H748" i="35"/>
  <c r="AR384" i="19"/>
  <c r="F942" i="35"/>
  <c r="I942" i="35" s="1"/>
  <c r="H942" i="35"/>
  <c r="F1092" i="35"/>
  <c r="I1092" i="35" s="1"/>
  <c r="H1092" i="35"/>
  <c r="H562" i="35"/>
  <c r="F562" i="35"/>
  <c r="I562" i="35" s="1"/>
  <c r="AO239" i="19"/>
  <c r="AC239" i="19" s="1"/>
  <c r="AR598" i="19"/>
  <c r="AR127" i="19"/>
  <c r="AO248" i="19"/>
  <c r="AC248" i="19" s="1"/>
  <c r="AO229" i="19"/>
  <c r="AC229" i="19" s="1"/>
  <c r="F624" i="35"/>
  <c r="I624" i="35" s="1"/>
  <c r="H624" i="35"/>
  <c r="E125" i="35"/>
  <c r="F125" i="35" s="1"/>
  <c r="H125" i="35" s="1"/>
  <c r="G125" i="35" s="1"/>
  <c r="J125" i="35" s="1"/>
  <c r="AO156" i="19"/>
  <c r="AC156" i="19" s="1"/>
  <c r="AO480" i="19"/>
  <c r="AC480" i="19" s="1"/>
  <c r="AR138" i="19"/>
  <c r="H617" i="35"/>
  <c r="F617" i="35"/>
  <c r="I617" i="35" s="1"/>
  <c r="AO405" i="19"/>
  <c r="AC405" i="19" s="1"/>
  <c r="AO474" i="19"/>
  <c r="AC474" i="19" s="1"/>
  <c r="H582" i="35"/>
  <c r="F582" i="35"/>
  <c r="I582" i="35" s="1"/>
  <c r="AR108" i="19"/>
  <c r="H629" i="35"/>
  <c r="F629" i="35"/>
  <c r="I629" i="35" s="1"/>
  <c r="H143" i="35"/>
  <c r="F143" i="35"/>
  <c r="I143" i="35" s="1"/>
  <c r="F771" i="35"/>
  <c r="I771" i="35" s="1"/>
  <c r="H771" i="35"/>
  <c r="F70" i="35"/>
  <c r="I70" i="35" s="1"/>
  <c r="H70" i="35"/>
  <c r="AR475" i="19"/>
  <c r="AR122" i="19"/>
  <c r="F136" i="35"/>
  <c r="I136" i="35" s="1"/>
  <c r="H136" i="35"/>
  <c r="AR311" i="19"/>
  <c r="F553" i="35"/>
  <c r="I553" i="35" s="1"/>
  <c r="H553" i="35"/>
  <c r="F568" i="35"/>
  <c r="I568" i="35" s="1"/>
  <c r="H568" i="35"/>
  <c r="AO227" i="19"/>
  <c r="AC227" i="19" s="1"/>
  <c r="F270" i="35"/>
  <c r="I270" i="35" s="1"/>
  <c r="H270" i="35"/>
  <c r="AR491" i="19"/>
  <c r="F1036" i="35"/>
  <c r="I1036" i="35" s="1"/>
  <c r="H1036" i="35"/>
  <c r="F678" i="35"/>
  <c r="I678" i="35" s="1"/>
  <c r="H678" i="35"/>
  <c r="H672" i="35"/>
  <c r="F672" i="35"/>
  <c r="I672" i="35" s="1"/>
  <c r="F615" i="35"/>
  <c r="I615" i="35" s="1"/>
  <c r="H615" i="35"/>
  <c r="F941" i="35"/>
  <c r="I941" i="35" s="1"/>
  <c r="H941" i="35"/>
  <c r="AR362" i="19"/>
  <c r="AR128" i="19"/>
  <c r="AO566" i="19"/>
  <c r="AC566" i="19" s="1"/>
  <c r="AO101" i="19"/>
  <c r="AC101" i="19" s="1"/>
  <c r="H711" i="35"/>
  <c r="F711" i="35"/>
  <c r="I711" i="35" s="1"/>
  <c r="AO299" i="19"/>
  <c r="AC299" i="19" s="1"/>
  <c r="H768" i="35"/>
  <c r="F768" i="35"/>
  <c r="I768" i="35" s="1"/>
  <c r="AR511" i="19"/>
  <c r="AR221" i="19"/>
  <c r="F1003" i="35"/>
  <c r="I1003" i="35" s="1"/>
  <c r="H1003" i="35"/>
  <c r="AO244" i="19"/>
  <c r="AC244" i="19" s="1"/>
  <c r="AO451" i="19"/>
  <c r="AC451" i="19" s="1"/>
  <c r="F436" i="35"/>
  <c r="I436" i="35" s="1"/>
  <c r="H436" i="35"/>
  <c r="AO89" i="19"/>
  <c r="AC89" i="19" s="1"/>
  <c r="AR338" i="19"/>
  <c r="F717" i="35"/>
  <c r="I717" i="35" s="1"/>
  <c r="H717" i="35"/>
  <c r="F604" i="35"/>
  <c r="I604" i="35" s="1"/>
  <c r="H604" i="35"/>
  <c r="F1085" i="35"/>
  <c r="I1085" i="35" s="1"/>
  <c r="AO175" i="19"/>
  <c r="AC175" i="19" s="1"/>
  <c r="AR47" i="19"/>
  <c r="H375" i="35"/>
  <c r="F375" i="35"/>
  <c r="I375" i="35" s="1"/>
  <c r="H249" i="35"/>
  <c r="F249" i="35"/>
  <c r="I249" i="35" s="1"/>
  <c r="H544" i="35"/>
  <c r="F544" i="35"/>
  <c r="I544" i="35" s="1"/>
  <c r="F288" i="35"/>
  <c r="I288" i="35" s="1"/>
  <c r="H288" i="35"/>
  <c r="AR460" i="19"/>
  <c r="AO414" i="19"/>
  <c r="AC414" i="19" s="1"/>
  <c r="AR534" i="19"/>
  <c r="H703" i="35"/>
  <c r="F703" i="35"/>
  <c r="I703" i="35" s="1"/>
  <c r="AR134" i="19"/>
  <c r="AR322" i="19"/>
  <c r="AO507" i="19"/>
  <c r="AC507" i="19" s="1"/>
  <c r="H619" i="35"/>
  <c r="F619" i="35"/>
  <c r="I619" i="35" s="1"/>
  <c r="F526" i="35"/>
  <c r="I526" i="35" s="1"/>
  <c r="H526" i="35"/>
  <c r="AR364" i="19"/>
  <c r="AR326" i="19"/>
  <c r="F782" i="35"/>
  <c r="I782" i="35" s="1"/>
  <c r="H782" i="35"/>
  <c r="H551" i="35"/>
  <c r="F551" i="35"/>
  <c r="I551" i="35" s="1"/>
  <c r="F482" i="35"/>
  <c r="I482" i="35" s="1"/>
  <c r="H482" i="35"/>
  <c r="AR463" i="19"/>
  <c r="AO483" i="19"/>
  <c r="AC483" i="19" s="1"/>
  <c r="F293" i="35"/>
  <c r="I293" i="35" s="1"/>
  <c r="H293" i="35"/>
  <c r="AO449" i="19"/>
  <c r="AC449" i="19" s="1"/>
  <c r="H45" i="35"/>
  <c r="F45" i="35"/>
  <c r="I45" i="35" s="1"/>
  <c r="AO552" i="19"/>
  <c r="AC552" i="19" s="1"/>
  <c r="AO584" i="19"/>
  <c r="AC584" i="19" s="1"/>
  <c r="F49" i="35"/>
  <c r="I49" i="35" s="1"/>
  <c r="H49" i="35"/>
  <c r="F1006" i="35"/>
  <c r="I1006" i="35" s="1"/>
  <c r="H1006" i="35"/>
  <c r="F126" i="35"/>
  <c r="I126" i="35" s="1"/>
  <c r="H126" i="35"/>
  <c r="AR378" i="19"/>
  <c r="AR154" i="19"/>
  <c r="H236" i="35"/>
  <c r="F236" i="35"/>
  <c r="I236" i="35" s="1"/>
  <c r="F135" i="35"/>
  <c r="I135" i="35" s="1"/>
  <c r="H135" i="35"/>
  <c r="H189" i="35"/>
  <c r="F189" i="35"/>
  <c r="I189" i="35" s="1"/>
  <c r="H298" i="35"/>
  <c r="F298" i="35"/>
  <c r="I298" i="35" s="1"/>
  <c r="H760" i="35"/>
  <c r="F760" i="35"/>
  <c r="I760" i="35" s="1"/>
  <c r="F950" i="35"/>
  <c r="I950" i="35" s="1"/>
  <c r="H950" i="35"/>
  <c r="AO428" i="19"/>
  <c r="AC428" i="19" s="1"/>
  <c r="F219" i="35"/>
  <c r="I219" i="35" s="1"/>
  <c r="H219" i="35"/>
  <c r="AO406" i="19"/>
  <c r="AC406" i="19" s="1"/>
  <c r="H344" i="35"/>
  <c r="F344" i="35"/>
  <c r="I344" i="35" s="1"/>
  <c r="H689" i="35"/>
  <c r="F689" i="35"/>
  <c r="I689" i="35" s="1"/>
  <c r="AR185" i="19"/>
  <c r="AR182" i="19"/>
  <c r="AO117" i="19"/>
  <c r="AC117" i="19" s="1"/>
  <c r="F766" i="35"/>
  <c r="I766" i="35" s="1"/>
  <c r="H766" i="35"/>
  <c r="AR160" i="19"/>
  <c r="F927" i="35"/>
  <c r="I927" i="35" s="1"/>
  <c r="H927" i="35"/>
  <c r="F891" i="35"/>
  <c r="I891" i="35" s="1"/>
  <c r="H891" i="35"/>
  <c r="AO171" i="19"/>
  <c r="AC171" i="19" s="1"/>
  <c r="F304" i="35"/>
  <c r="I304" i="35" s="1"/>
  <c r="H304" i="35"/>
  <c r="AO495" i="19"/>
  <c r="AC495" i="19" s="1"/>
  <c r="H807" i="35"/>
  <c r="F807" i="35"/>
  <c r="I807" i="35" s="1"/>
  <c r="AR279" i="19"/>
  <c r="H986" i="35"/>
  <c r="F986" i="35"/>
  <c r="I986" i="35" s="1"/>
  <c r="F954" i="35"/>
  <c r="I954" i="35" s="1"/>
  <c r="H954" i="35"/>
  <c r="H621" i="35"/>
  <c r="F621" i="35"/>
  <c r="I621" i="35" s="1"/>
  <c r="F1072" i="35"/>
  <c r="I1072" i="35" s="1"/>
  <c r="H1072" i="35"/>
  <c r="F780" i="35"/>
  <c r="I780" i="35" s="1"/>
  <c r="H780" i="35"/>
  <c r="H430" i="35"/>
  <c r="F430" i="35"/>
  <c r="I430" i="35" s="1"/>
  <c r="H542" i="35"/>
  <c r="F542" i="35"/>
  <c r="I542" i="35" s="1"/>
  <c r="H828" i="35"/>
  <c r="F828" i="35"/>
  <c r="I828" i="35" s="1"/>
  <c r="AR188" i="19"/>
  <c r="F548" i="35"/>
  <c r="I548" i="35" s="1"/>
  <c r="H548" i="35"/>
  <c r="AR476" i="19"/>
  <c r="AR506" i="19"/>
  <c r="F638" i="35"/>
  <c r="I638" i="35" s="1"/>
  <c r="H638" i="35"/>
  <c r="H608" i="35"/>
  <c r="F608" i="35"/>
  <c r="I608" i="35" s="1"/>
  <c r="AR367" i="19"/>
  <c r="F762" i="35"/>
  <c r="I762" i="35" s="1"/>
  <c r="H762" i="35"/>
  <c r="F750" i="35"/>
  <c r="I750" i="35" s="1"/>
  <c r="H750" i="35"/>
  <c r="F614" i="35"/>
  <c r="I614" i="35" s="1"/>
  <c r="H614" i="35"/>
  <c r="H384" i="35"/>
  <c r="F384" i="35"/>
  <c r="I384" i="35" s="1"/>
  <c r="AO560" i="19"/>
  <c r="AC560" i="19" s="1"/>
  <c r="AR570" i="19"/>
  <c r="AR183" i="19"/>
  <c r="F820" i="35"/>
  <c r="I820" i="35" s="1"/>
  <c r="H820" i="35"/>
  <c r="AO583" i="19"/>
  <c r="AC583" i="19" s="1"/>
  <c r="AR485" i="19"/>
  <c r="F163" i="35"/>
  <c r="I163" i="35" s="1"/>
  <c r="H163" i="35"/>
  <c r="H584" i="35"/>
  <c r="F584" i="35"/>
  <c r="I584" i="35" s="1"/>
  <c r="AR233" i="19"/>
  <c r="AR305" i="19"/>
  <c r="H847" i="35"/>
  <c r="F847" i="35"/>
  <c r="I847" i="35" s="1"/>
  <c r="H379" i="35"/>
  <c r="F379" i="35"/>
  <c r="I379" i="35" s="1"/>
  <c r="F1023" i="35"/>
  <c r="I1023" i="35" s="1"/>
  <c r="H1023" i="35"/>
  <c r="H453" i="35"/>
  <c r="F453" i="35"/>
  <c r="I453" i="35" s="1"/>
  <c r="H152" i="35"/>
  <c r="F152" i="35"/>
  <c r="I152" i="35" s="1"/>
  <c r="AO514" i="19"/>
  <c r="AC514" i="19" s="1"/>
  <c r="AR120" i="19"/>
  <c r="AR316" i="19"/>
  <c r="F871" i="35"/>
  <c r="I871" i="35" s="1"/>
  <c r="H871" i="35"/>
  <c r="F342" i="35"/>
  <c r="I342" i="35" s="1"/>
  <c r="H342" i="35"/>
  <c r="F1048" i="35"/>
  <c r="I1048" i="35" s="1"/>
  <c r="H1048" i="35"/>
  <c r="H46" i="35"/>
  <c r="F46" i="35"/>
  <c r="I46" i="35" s="1"/>
  <c r="AO509" i="19"/>
  <c r="AC509" i="19" s="1"/>
  <c r="AR426" i="19"/>
  <c r="AR262" i="19"/>
  <c r="AR62" i="19"/>
  <c r="AO582" i="19"/>
  <c r="AC582" i="19" s="1"/>
  <c r="F223" i="35"/>
  <c r="I223" i="35" s="1"/>
  <c r="H223" i="35"/>
  <c r="F212" i="35"/>
  <c r="I212" i="35" s="1"/>
  <c r="H212" i="35"/>
  <c r="AO104" i="19"/>
  <c r="AC104" i="19" s="1"/>
  <c r="AR331" i="19"/>
  <c r="F312" i="35"/>
  <c r="I312" i="35" s="1"/>
  <c r="H312" i="35"/>
  <c r="AO207" i="19"/>
  <c r="AC207" i="19" s="1"/>
  <c r="F586" i="35"/>
  <c r="I586" i="35" s="1"/>
  <c r="H586" i="35"/>
  <c r="F119" i="35"/>
  <c r="I119" i="35" s="1"/>
  <c r="H119" i="35"/>
  <c r="F97" i="35"/>
  <c r="I97" i="35" s="1"/>
  <c r="H97" i="35"/>
  <c r="F932" i="35"/>
  <c r="I932" i="35" s="1"/>
  <c r="H932" i="35"/>
  <c r="AO90" i="19"/>
  <c r="AC90" i="19" s="1"/>
  <c r="AO420" i="19"/>
  <c r="AC420" i="19" s="1"/>
  <c r="AR211" i="19"/>
  <c r="AR363" i="19"/>
  <c r="AR358" i="19"/>
  <c r="AR334" i="19"/>
  <c r="F824" i="35"/>
  <c r="I824" i="35" s="1"/>
  <c r="H824" i="35"/>
  <c r="AO564" i="19"/>
  <c r="AC564" i="19" s="1"/>
  <c r="AO102" i="19"/>
  <c r="AC102" i="19" s="1"/>
  <c r="AR522" i="19"/>
  <c r="F1063" i="35"/>
  <c r="I1063" i="35" s="1"/>
  <c r="H1063" i="35"/>
  <c r="H955" i="35"/>
  <c r="F955" i="35"/>
  <c r="I955" i="35" s="1"/>
  <c r="F1008" i="35"/>
  <c r="I1008" i="35" s="1"/>
  <c r="H1008" i="35"/>
  <c r="H709" i="35"/>
  <c r="F709" i="35"/>
  <c r="I709" i="35" s="1"/>
  <c r="F712" i="35"/>
  <c r="I712" i="35" s="1"/>
  <c r="H712" i="35"/>
  <c r="AO592" i="19"/>
  <c r="AC592" i="19" s="1"/>
  <c r="H899" i="35"/>
  <c r="F899" i="35"/>
  <c r="I899" i="35" s="1"/>
  <c r="H1010" i="35"/>
  <c r="F1010" i="35"/>
  <c r="I1010" i="35" s="1"/>
  <c r="AO257" i="19"/>
  <c r="AC257" i="19" s="1"/>
  <c r="AR425" i="19"/>
  <c r="H757" i="35"/>
  <c r="F757" i="35"/>
  <c r="I757" i="35" s="1"/>
  <c r="AR343" i="19"/>
  <c r="H996" i="35"/>
  <c r="F996" i="35"/>
  <c r="I996" i="35" s="1"/>
  <c r="AR124" i="19"/>
  <c r="F496" i="35"/>
  <c r="I496" i="35" s="1"/>
  <c r="H496" i="35"/>
  <c r="AO376" i="19"/>
  <c r="AC376" i="19" s="1"/>
  <c r="H842" i="35"/>
  <c r="F842" i="35"/>
  <c r="I842" i="35" s="1"/>
  <c r="F131" i="35"/>
  <c r="I131" i="35" s="1"/>
  <c r="H131" i="35"/>
  <c r="F716" i="35"/>
  <c r="I716" i="35" s="1"/>
  <c r="H716" i="35"/>
  <c r="AR333" i="19"/>
  <c r="AR32" i="19"/>
  <c r="AO330" i="19"/>
  <c r="AC330" i="19" s="1"/>
  <c r="H449" i="35"/>
  <c r="F449" i="35"/>
  <c r="I449" i="35" s="1"/>
  <c r="H224" i="35"/>
  <c r="F224" i="35"/>
  <c r="I224" i="35" s="1"/>
  <c r="AR529" i="19"/>
  <c r="H576" i="35"/>
  <c r="F576" i="35"/>
  <c r="I576" i="35" s="1"/>
  <c r="H128" i="35"/>
  <c r="F128" i="35"/>
  <c r="I128" i="35" s="1"/>
  <c r="F269" i="35"/>
  <c r="I269" i="35" s="1"/>
  <c r="H269" i="35"/>
  <c r="H205" i="35"/>
  <c r="F205" i="35"/>
  <c r="I205" i="35" s="1"/>
  <c r="AR604" i="19"/>
  <c r="AR272" i="19"/>
  <c r="H254" i="35"/>
  <c r="F254" i="35"/>
  <c r="I254" i="35" s="1"/>
  <c r="F463" i="35"/>
  <c r="I463" i="35" s="1"/>
  <c r="H463" i="35"/>
  <c r="F1078" i="35"/>
  <c r="I1078" i="35" s="1"/>
  <c r="H1078" i="35"/>
  <c r="H505" i="35"/>
  <c r="F505" i="35"/>
  <c r="I505" i="35" s="1"/>
  <c r="F142" i="35"/>
  <c r="I142" i="35" s="1"/>
  <c r="H142" i="35"/>
  <c r="H115" i="35"/>
  <c r="F115" i="35"/>
  <c r="I115" i="35" s="1"/>
  <c r="H908" i="35"/>
  <c r="F908" i="35"/>
  <c r="I908" i="35" s="1"/>
  <c r="F337" i="35"/>
  <c r="I337" i="35" s="1"/>
  <c r="H337" i="35"/>
  <c r="AO388" i="19"/>
  <c r="AC388" i="19" s="1"/>
  <c r="AR146" i="19"/>
  <c r="AR149" i="19"/>
  <c r="AR562" i="19"/>
  <c r="F438" i="35"/>
  <c r="I438" i="35" s="1"/>
  <c r="H438" i="35"/>
  <c r="F534" i="35"/>
  <c r="I534" i="35" s="1"/>
  <c r="H534" i="35"/>
  <c r="AO256" i="19"/>
  <c r="AC256" i="19" s="1"/>
  <c r="AR24" i="19"/>
  <c r="AR424" i="19"/>
  <c r="AR543" i="19"/>
  <c r="AR321" i="19"/>
  <c r="AR423" i="19"/>
  <c r="AR520" i="19"/>
  <c r="AO553" i="19"/>
  <c r="AC553" i="19" s="1"/>
  <c r="AR576" i="19"/>
  <c r="AR390" i="19"/>
  <c r="AR393" i="19"/>
  <c r="H590" i="35"/>
  <c r="F590" i="35"/>
  <c r="I590" i="35" s="1"/>
  <c r="AO118" i="19"/>
  <c r="AC118" i="19" s="1"/>
  <c r="H1035" i="35"/>
  <c r="F1035" i="35"/>
  <c r="I1035" i="35" s="1"/>
  <c r="F763" i="35"/>
  <c r="I763" i="35" s="1"/>
  <c r="H763" i="35"/>
  <c r="F620" i="35"/>
  <c r="I620" i="35" s="1"/>
  <c r="H620" i="35"/>
  <c r="AR150" i="19"/>
  <c r="E4" i="35"/>
  <c r="F4" i="35" s="1"/>
  <c r="H4" i="35" s="1"/>
  <c r="M8" i="35"/>
  <c r="W12" i="35" s="1"/>
  <c r="M6" i="35"/>
  <c r="AR164" i="19"/>
  <c r="AO77" i="19"/>
  <c r="AC77" i="19" s="1"/>
  <c r="H488" i="35"/>
  <c r="F488" i="35"/>
  <c r="I488" i="35" s="1"/>
  <c r="AR141" i="19"/>
  <c r="F801" i="35"/>
  <c r="I801" i="35" s="1"/>
  <c r="H801" i="35"/>
  <c r="AO453" i="19"/>
  <c r="AC453" i="19" s="1"/>
  <c r="F164" i="35"/>
  <c r="I164" i="35" s="1"/>
  <c r="H164" i="35"/>
  <c r="AO81" i="19"/>
  <c r="AC81" i="19" s="1"/>
  <c r="AR176" i="19"/>
  <c r="AR515" i="19"/>
  <c r="AO312" i="19"/>
  <c r="AC312" i="19" s="1"/>
  <c r="AO510" i="19"/>
  <c r="AC510" i="19" s="1"/>
  <c r="AO250" i="19"/>
  <c r="AC250" i="19" s="1"/>
  <c r="F1088" i="35"/>
  <c r="I1088" i="35" s="1"/>
  <c r="H819" i="35"/>
  <c r="F819" i="35"/>
  <c r="I819" i="35" s="1"/>
  <c r="AR30" i="19"/>
  <c r="AR329" i="19"/>
  <c r="AO444" i="19"/>
  <c r="AC444" i="19" s="1"/>
  <c r="H222" i="35"/>
  <c r="F222" i="35"/>
  <c r="I222" i="35" s="1"/>
  <c r="AO252" i="19"/>
  <c r="AC252" i="19" s="1"/>
  <c r="H23" i="35"/>
  <c r="F23" i="35"/>
  <c r="I23" i="35" s="1"/>
  <c r="AO535" i="19"/>
  <c r="AC535" i="19" s="1"/>
  <c r="H167" i="35"/>
  <c r="F167" i="35"/>
  <c r="I167" i="35" s="1"/>
  <c r="AO166" i="19"/>
  <c r="AC166" i="19" s="1"/>
  <c r="F258" i="35"/>
  <c r="I258" i="35" s="1"/>
  <c r="H258" i="35"/>
  <c r="AR278" i="19"/>
  <c r="AO526" i="19"/>
  <c r="AC526" i="19" s="1"/>
  <c r="H1054" i="35"/>
  <c r="F1054" i="35"/>
  <c r="I1054" i="35" s="1"/>
  <c r="H324" i="35"/>
  <c r="F324" i="35"/>
  <c r="I324" i="35" s="1"/>
  <c r="H110" i="35"/>
  <c r="F110" i="35"/>
  <c r="I110" i="35" s="1"/>
  <c r="F664" i="35"/>
  <c r="I664" i="35" s="1"/>
  <c r="H664" i="35"/>
  <c r="H572" i="35"/>
  <c r="F572" i="35"/>
  <c r="I572" i="35" s="1"/>
  <c r="H305" i="35"/>
  <c r="F305" i="35"/>
  <c r="I305" i="35" s="1"/>
  <c r="H43" i="35"/>
  <c r="F43" i="35"/>
  <c r="I43" i="35" s="1"/>
  <c r="H356" i="35"/>
  <c r="F356" i="35"/>
  <c r="I356" i="35" s="1"/>
  <c r="AO110" i="19"/>
  <c r="AC110" i="19" s="1"/>
  <c r="AR568" i="19"/>
  <c r="AO140" i="19"/>
  <c r="AC140" i="19" s="1"/>
  <c r="F719" i="35"/>
  <c r="I719" i="35" s="1"/>
  <c r="H719" i="35"/>
  <c r="AO398" i="19"/>
  <c r="AC398" i="19" s="1"/>
  <c r="AO115" i="19"/>
  <c r="AC115" i="19" s="1"/>
  <c r="AO349" i="19"/>
  <c r="AC349" i="19" s="1"/>
  <c r="AR307" i="19"/>
  <c r="F477" i="35"/>
  <c r="I477" i="35" s="1"/>
  <c r="H477" i="35"/>
  <c r="AO226" i="19"/>
  <c r="AC226" i="19" s="1"/>
  <c r="F282" i="35"/>
  <c r="I282" i="35" s="1"/>
  <c r="H282" i="35"/>
  <c r="F180" i="35"/>
  <c r="I180" i="35" s="1"/>
  <c r="H180" i="35"/>
  <c r="AR280" i="19"/>
  <c r="F208" i="35"/>
  <c r="I208" i="35" s="1"/>
  <c r="H208" i="35"/>
  <c r="H371" i="35"/>
  <c r="F371" i="35"/>
  <c r="I371" i="35" s="1"/>
  <c r="AO287" i="19"/>
  <c r="AC287" i="19" s="1"/>
  <c r="F229" i="35"/>
  <c r="I229" i="35" s="1"/>
  <c r="H229" i="35"/>
  <c r="AR217" i="19"/>
  <c r="H178" i="35"/>
  <c r="F178" i="35"/>
  <c r="I178" i="35" s="1"/>
  <c r="AR342" i="19"/>
  <c r="H495" i="35"/>
  <c r="F495" i="35"/>
  <c r="I495" i="35" s="1"/>
  <c r="AO36" i="19"/>
  <c r="AC36" i="19" s="1"/>
  <c r="H849" i="35"/>
  <c r="F849" i="35"/>
  <c r="I849" i="35" s="1"/>
  <c r="AO432" i="19"/>
  <c r="AC432" i="19" s="1"/>
  <c r="H628" i="35"/>
  <c r="F628" i="35"/>
  <c r="I628" i="35" s="1"/>
  <c r="AO594" i="19"/>
  <c r="AC594" i="19" s="1"/>
  <c r="F577" i="35"/>
  <c r="I577" i="35" s="1"/>
  <c r="H577" i="35"/>
  <c r="F277" i="35"/>
  <c r="I277" i="35" s="1"/>
  <c r="H277" i="35"/>
  <c r="AR530" i="19"/>
  <c r="AO57" i="19"/>
  <c r="AC57" i="19" s="1"/>
  <c r="AR276" i="19"/>
  <c r="AO143" i="19"/>
  <c r="AC143" i="19" s="1"/>
  <c r="F26" i="35"/>
  <c r="I26" i="35" s="1"/>
  <c r="H26" i="35"/>
  <c r="AR196" i="19"/>
  <c r="AR468" i="19"/>
  <c r="F440" i="35"/>
  <c r="I440" i="35" s="1"/>
  <c r="H440" i="35"/>
  <c r="AO113" i="19"/>
  <c r="AC113" i="19" s="1"/>
  <c r="F594" i="35"/>
  <c r="I594" i="35" s="1"/>
  <c r="H594" i="35"/>
  <c r="AO407" i="19"/>
  <c r="AC407" i="19" s="1"/>
  <c r="AO286" i="19"/>
  <c r="AC286" i="19" s="1"/>
  <c r="F1091" i="35"/>
  <c r="I1091" i="35" s="1"/>
  <c r="H1091" i="35"/>
  <c r="AO523" i="19"/>
  <c r="AC523" i="19" s="1"/>
  <c r="AO380" i="19"/>
  <c r="AC380" i="19" s="1"/>
  <c r="F853" i="35"/>
  <c r="I853" i="35" s="1"/>
  <c r="H853" i="35"/>
  <c r="AR199" i="19"/>
  <c r="H349" i="35"/>
  <c r="F349" i="35"/>
  <c r="I349" i="35" s="1"/>
  <c r="AR186" i="19"/>
  <c r="H162" i="35"/>
  <c r="F162" i="35"/>
  <c r="I162" i="35" s="1"/>
  <c r="AO551" i="19"/>
  <c r="AC551" i="19" s="1"/>
  <c r="H948" i="35"/>
  <c r="F948" i="35"/>
  <c r="I948" i="35" s="1"/>
  <c r="AR44" i="19"/>
  <c r="F334" i="35"/>
  <c r="I334" i="35" s="1"/>
  <c r="H334" i="35"/>
  <c r="F874" i="35"/>
  <c r="I874" i="35" s="1"/>
  <c r="H874" i="35"/>
  <c r="F325" i="35"/>
  <c r="I325" i="35" s="1"/>
  <c r="H325" i="35"/>
  <c r="H5" i="35"/>
  <c r="F5" i="35"/>
  <c r="I5" i="35" s="1"/>
  <c r="AR454" i="19"/>
  <c r="F512" i="35"/>
  <c r="I512" i="35" s="1"/>
  <c r="H512" i="35"/>
  <c r="H795" i="35"/>
  <c r="F795" i="35"/>
  <c r="I795" i="35" s="1"/>
  <c r="F36" i="35"/>
  <c r="I36" i="35" s="1"/>
  <c r="H36" i="35"/>
  <c r="H530" i="35"/>
  <c r="F530" i="35"/>
  <c r="I530" i="35" s="1"/>
  <c r="AO488" i="19"/>
  <c r="AC488" i="19" s="1"/>
  <c r="AR588" i="19"/>
  <c r="H109" i="35"/>
  <c r="F109" i="35"/>
  <c r="I109" i="35" s="1"/>
  <c r="H90" i="35"/>
  <c r="F90" i="35"/>
  <c r="I90" i="35" s="1"/>
  <c r="AR375" i="19"/>
  <c r="AO129" i="19"/>
  <c r="AC129" i="19" s="1"/>
  <c r="AO28" i="19"/>
  <c r="AC28" i="19" s="1"/>
  <c r="AR586" i="19"/>
  <c r="AO536" i="19"/>
  <c r="AC536" i="19" s="1"/>
  <c r="F129" i="35"/>
  <c r="I129" i="35" s="1"/>
  <c r="H129" i="35"/>
  <c r="AO373" i="19"/>
  <c r="AC373" i="19" s="1"/>
  <c r="AR589" i="19"/>
  <c r="AO344" i="19"/>
  <c r="AC344" i="19" s="1"/>
  <c r="AR456" i="19"/>
  <c r="F987" i="35"/>
  <c r="I987" i="35" s="1"/>
  <c r="H987" i="35"/>
  <c r="AO45" i="19"/>
  <c r="AC45" i="19" s="1"/>
  <c r="AO273" i="19"/>
  <c r="AC273" i="19" s="1"/>
  <c r="AO546" i="19"/>
  <c r="AC546" i="19" s="1"/>
  <c r="AO600" i="19"/>
  <c r="AC600" i="19" s="1"/>
  <c r="AR201" i="19"/>
  <c r="F323" i="35"/>
  <c r="I323" i="35" s="1"/>
  <c r="H323" i="35"/>
  <c r="H976" i="35"/>
  <c r="F976" i="35"/>
  <c r="I976" i="35" s="1"/>
  <c r="AO162" i="19"/>
  <c r="AC162" i="19" s="1"/>
  <c r="AO112" i="19"/>
  <c r="AC112" i="19" s="1"/>
  <c r="AO472" i="19"/>
  <c r="AC472" i="19" s="1"/>
  <c r="F583" i="35"/>
  <c r="I583" i="35" s="1"/>
  <c r="H583" i="35"/>
  <c r="AO581" i="19"/>
  <c r="AC581" i="19" s="1"/>
  <c r="F373" i="35"/>
  <c r="I373" i="35" s="1"/>
  <c r="H373" i="35"/>
  <c r="F86" i="35"/>
  <c r="I86" i="35" s="1"/>
  <c r="H86" i="35"/>
  <c r="H299" i="35"/>
  <c r="F299" i="35"/>
  <c r="I299" i="35" s="1"/>
  <c r="AO464" i="19"/>
  <c r="AC464" i="19" s="1"/>
  <c r="AR70" i="19"/>
  <c r="F991" i="35"/>
  <c r="I991" i="35" s="1"/>
  <c r="H991" i="35"/>
  <c r="H1031" i="35"/>
  <c r="F1031" i="35"/>
  <c r="I1031" i="35" s="1"/>
  <c r="AR179" i="19"/>
  <c r="H591" i="35"/>
  <c r="F591" i="35"/>
  <c r="I591" i="35" s="1"/>
  <c r="H832" i="35"/>
  <c r="F832" i="35"/>
  <c r="I832" i="35" s="1"/>
  <c r="F386" i="35"/>
  <c r="I386" i="35" s="1"/>
  <c r="H386" i="35"/>
  <c r="AR303" i="19"/>
  <c r="F39" i="35"/>
  <c r="I39" i="35" s="1"/>
  <c r="H39" i="35"/>
  <c r="H50" i="35"/>
  <c r="F50" i="35"/>
  <c r="I50" i="35" s="1"/>
  <c r="H103" i="35"/>
  <c r="F103" i="35"/>
  <c r="I103" i="35" s="1"/>
  <c r="H818" i="35"/>
  <c r="F818" i="35"/>
  <c r="I818" i="35" s="1"/>
  <c r="H122" i="35"/>
  <c r="F122" i="35"/>
  <c r="I122" i="35" s="1"/>
  <c r="H802" i="35"/>
  <c r="F802" i="35"/>
  <c r="I802" i="35" s="1"/>
  <c r="AR555" i="19"/>
  <c r="F721" i="35"/>
  <c r="I721" i="35" s="1"/>
  <c r="H721" i="35"/>
  <c r="F188" i="35"/>
  <c r="I188" i="35" s="1"/>
  <c r="H188" i="35"/>
  <c r="H618" i="35"/>
  <c r="F618" i="35"/>
  <c r="I618" i="35" s="1"/>
  <c r="H171" i="35"/>
  <c r="F171" i="35"/>
  <c r="I171" i="35" s="1"/>
  <c r="H846" i="35"/>
  <c r="F846" i="35"/>
  <c r="I846" i="35" s="1"/>
  <c r="H648" i="35"/>
  <c r="F648" i="35"/>
  <c r="I648" i="35" s="1"/>
  <c r="H320" i="35"/>
  <c r="F320" i="35"/>
  <c r="I320" i="35" s="1"/>
  <c r="H1011" i="35"/>
  <c r="F1011" i="35"/>
  <c r="I1011" i="35" s="1"/>
  <c r="AR153" i="19"/>
  <c r="AR288" i="19"/>
  <c r="F607" i="35"/>
  <c r="I607" i="35" s="1"/>
  <c r="H607" i="35"/>
  <c r="F742" i="35"/>
  <c r="I742" i="35" s="1"/>
  <c r="H742" i="35"/>
  <c r="H870" i="35"/>
  <c r="F870" i="35"/>
  <c r="I870" i="35" s="1"/>
  <c r="AR308" i="19"/>
  <c r="H367" i="35"/>
  <c r="F367" i="35"/>
  <c r="I367" i="35" s="1"/>
  <c r="H14" i="35"/>
  <c r="F14" i="35"/>
  <c r="I14" i="35" s="1"/>
  <c r="AO25" i="19"/>
  <c r="AC25" i="19" s="1"/>
  <c r="AR254" i="19"/>
  <c r="H837" i="35"/>
  <c r="F837" i="35"/>
  <c r="I837" i="35" s="1"/>
  <c r="AR519" i="19"/>
  <c r="AO242" i="19"/>
  <c r="AC242" i="19" s="1"/>
  <c r="F661" i="35"/>
  <c r="I661" i="35" s="1"/>
  <c r="H661" i="35"/>
  <c r="AO303" i="19"/>
  <c r="AC303" i="19" s="1"/>
  <c r="H692" i="35"/>
  <c r="F692" i="35"/>
  <c r="I692" i="35" s="1"/>
  <c r="AO561" i="19"/>
  <c r="AC561" i="19" s="1"/>
  <c r="AO98" i="19"/>
  <c r="AC98" i="19" s="1"/>
  <c r="AO91" i="19"/>
  <c r="AC91" i="19" s="1"/>
  <c r="H992" i="35"/>
  <c r="F992" i="35"/>
  <c r="I992" i="35" s="1"/>
  <c r="F332" i="35"/>
  <c r="I332" i="35" s="1"/>
  <c r="H332" i="35"/>
  <c r="F165" i="35"/>
  <c r="I165" i="35" s="1"/>
  <c r="H165" i="35"/>
  <c r="AO190" i="19"/>
  <c r="AC190" i="19" s="1"/>
  <c r="AO544" i="19"/>
  <c r="AC544" i="19" s="1"/>
  <c r="H160" i="35"/>
  <c r="F160" i="35"/>
  <c r="I160" i="35" s="1"/>
  <c r="AO194" i="19"/>
  <c r="AC194" i="19" s="1"/>
  <c r="AO541" i="19"/>
  <c r="AC541" i="19" s="1"/>
  <c r="AO66" i="19"/>
  <c r="AC66" i="19" s="1"/>
  <c r="F230" i="35"/>
  <c r="I230" i="35" s="1"/>
  <c r="H230" i="35"/>
  <c r="AR203" i="19"/>
  <c r="AR340" i="19"/>
  <c r="AO106" i="19"/>
  <c r="AC106" i="19" s="1"/>
  <c r="H803" i="35"/>
  <c r="F803" i="35"/>
  <c r="I803" i="35" s="1"/>
  <c r="AO347" i="19"/>
  <c r="AC347" i="19" s="1"/>
  <c r="AR195" i="19"/>
  <c r="H383" i="35"/>
  <c r="F383" i="35"/>
  <c r="I383" i="35" s="1"/>
  <c r="AO345" i="19"/>
  <c r="AC345" i="19" s="1"/>
  <c r="AR147" i="19"/>
  <c r="F238" i="35"/>
  <c r="I238" i="35" s="1"/>
  <c r="H238" i="35"/>
  <c r="H1064" i="35"/>
  <c r="F1064" i="35"/>
  <c r="I1064" i="35" s="1"/>
  <c r="AR309" i="19"/>
  <c r="AR178" i="19"/>
  <c r="F797" i="35"/>
  <c r="I797" i="35" s="1"/>
  <c r="AO458" i="19"/>
  <c r="AC458" i="19" s="1"/>
  <c r="H76" i="35"/>
  <c r="F76" i="35"/>
  <c r="I76" i="35" s="1"/>
  <c r="H560" i="35"/>
  <c r="F560" i="35"/>
  <c r="I560" i="35" s="1"/>
  <c r="F848" i="35"/>
  <c r="I848" i="35" s="1"/>
  <c r="H848" i="35"/>
  <c r="AR565" i="19"/>
  <c r="AO192" i="19"/>
  <c r="AC192" i="19" s="1"/>
  <c r="AR97" i="19"/>
  <c r="H75" i="35"/>
  <c r="F75" i="35"/>
  <c r="I75" i="35" s="1"/>
  <c r="H545" i="35"/>
  <c r="F545" i="35"/>
  <c r="I545" i="35" s="1"/>
  <c r="H1022" i="35"/>
  <c r="F1022" i="35"/>
  <c r="I1022" i="35" s="1"/>
  <c r="AO80" i="19"/>
  <c r="AC80" i="19" s="1"/>
  <c r="H343" i="35"/>
  <c r="F343" i="35"/>
  <c r="I343" i="35" s="1"/>
  <c r="AO409" i="19"/>
  <c r="AC409" i="19" s="1"/>
  <c r="H41" i="35"/>
  <c r="F41" i="35"/>
  <c r="I41" i="35" s="1"/>
  <c r="AO86" i="19"/>
  <c r="AC86" i="19" s="1"/>
  <c r="AR462" i="19"/>
  <c r="AR74" i="19"/>
  <c r="F537" i="35"/>
  <c r="I537" i="35" s="1"/>
  <c r="H537" i="35"/>
  <c r="AR243" i="19"/>
  <c r="AO571" i="19"/>
  <c r="AC571" i="19" s="1"/>
  <c r="F881" i="35"/>
  <c r="I881" i="35" s="1"/>
  <c r="H881" i="35"/>
  <c r="AR389" i="19"/>
  <c r="H812" i="35"/>
  <c r="F812" i="35"/>
  <c r="I812" i="35" s="1"/>
  <c r="F1089" i="35"/>
  <c r="I1089" i="35" s="1"/>
  <c r="H1089" i="35"/>
  <c r="F192" i="35"/>
  <c r="I192" i="35" s="1"/>
  <c r="H192" i="35"/>
  <c r="AO496" i="19"/>
  <c r="AC496" i="19" s="1"/>
  <c r="AO304" i="19"/>
  <c r="AC304" i="19" s="1"/>
  <c r="H62" i="35"/>
  <c r="F62" i="35"/>
  <c r="I62" i="35" s="1"/>
  <c r="H860" i="35"/>
  <c r="F860" i="35"/>
  <c r="I860" i="35" s="1"/>
  <c r="AO130" i="19"/>
  <c r="AC130" i="19" s="1"/>
  <c r="H79" i="35"/>
  <c r="F79" i="35"/>
  <c r="I79" i="35" s="1"/>
  <c r="F777" i="35"/>
  <c r="I777" i="35" s="1"/>
  <c r="H777" i="35"/>
  <c r="AR391" i="19"/>
  <c r="F206" i="35"/>
  <c r="I206" i="35" s="1"/>
  <c r="H206" i="35"/>
  <c r="AO466" i="19"/>
  <c r="AC466" i="19" s="1"/>
  <c r="H243" i="35"/>
  <c r="F243" i="35"/>
  <c r="I243" i="35" s="1"/>
  <c r="AO291" i="19"/>
  <c r="AC291" i="19" s="1"/>
  <c r="F934" i="35"/>
  <c r="I934" i="35" s="1"/>
  <c r="H934" i="35"/>
  <c r="H273" i="35"/>
  <c r="F273" i="35"/>
  <c r="I273" i="35" s="1"/>
  <c r="F186" i="35"/>
  <c r="I186" i="35" s="1"/>
  <c r="H186" i="35"/>
  <c r="F764" i="35"/>
  <c r="I764" i="35" s="1"/>
  <c r="H764" i="35"/>
  <c r="AR593" i="19"/>
  <c r="AR264" i="19"/>
  <c r="AO599" i="19"/>
  <c r="AC599" i="19" s="1"/>
  <c r="AR93" i="19"/>
  <c r="AO381" i="19"/>
  <c r="AC381" i="19" s="1"/>
  <c r="F458" i="35"/>
  <c r="I458" i="35" s="1"/>
  <c r="H458" i="35"/>
  <c r="AO591" i="19"/>
  <c r="AC591" i="19" s="1"/>
  <c r="F504" i="35"/>
  <c r="I504" i="35" s="1"/>
  <c r="H504" i="35"/>
  <c r="H945" i="35"/>
  <c r="F945" i="35"/>
  <c r="I945" i="35" s="1"/>
  <c r="AO505" i="19"/>
  <c r="AC505" i="19" s="1"/>
  <c r="AO119" i="19"/>
  <c r="AC119" i="19" s="1"/>
  <c r="F752" i="35"/>
  <c r="I752" i="35" s="1"/>
  <c r="H752" i="35"/>
  <c r="AO165" i="19"/>
  <c r="AC165" i="19" s="1"/>
  <c r="H174" i="35"/>
  <c r="F174" i="35"/>
  <c r="I174" i="35" s="1"/>
  <c r="AR516" i="19"/>
  <c r="F1057" i="35"/>
  <c r="I1057" i="35" s="1"/>
  <c r="H1057" i="35"/>
  <c r="AO574" i="19"/>
  <c r="AC574" i="19" s="1"/>
  <c r="H901" i="35"/>
  <c r="F901" i="35"/>
  <c r="I901" i="35" s="1"/>
  <c r="AO450" i="19"/>
  <c r="AC450" i="19" s="1"/>
  <c r="AO577" i="19"/>
  <c r="AC577" i="19" s="1"/>
  <c r="H47" i="35"/>
  <c r="F47" i="35"/>
  <c r="I47" i="35" s="1"/>
  <c r="H1041" i="35"/>
  <c r="F1041" i="35"/>
  <c r="I1041" i="35" s="1"/>
  <c r="AO142" i="19"/>
  <c r="AC142" i="19" s="1"/>
  <c r="AR261" i="19"/>
  <c r="AO542" i="19"/>
  <c r="AC542" i="19" s="1"/>
  <c r="H146" i="35"/>
  <c r="F146" i="35"/>
  <c r="I146" i="35" s="1"/>
  <c r="AO402" i="19"/>
  <c r="AC402" i="19" s="1"/>
  <c r="AR512" i="19"/>
  <c r="F81" i="35"/>
  <c r="I81" i="35" s="1"/>
  <c r="H81" i="35"/>
  <c r="AR163" i="19"/>
  <c r="E271" i="35"/>
  <c r="F271" i="35" s="1"/>
  <c r="H271" i="35" s="1"/>
  <c r="G271" i="35" s="1"/>
  <c r="J271" i="35" s="1"/>
  <c r="F354" i="35"/>
  <c r="I354" i="35" s="1"/>
  <c r="H354" i="35"/>
  <c r="H274" i="35"/>
  <c r="F274" i="35"/>
  <c r="I274" i="35" s="1"/>
  <c r="AR503" i="19"/>
  <c r="H1040" i="35"/>
  <c r="F1040" i="35"/>
  <c r="I1040" i="35" s="1"/>
  <c r="F87" i="35"/>
  <c r="I87" i="35" s="1"/>
  <c r="H87" i="35"/>
  <c r="H1013" i="35"/>
  <c r="F1013" i="35"/>
  <c r="I1013" i="35" s="1"/>
  <c r="F973" i="35"/>
  <c r="I973" i="35" s="1"/>
  <c r="H973" i="35"/>
  <c r="AO575" i="19"/>
  <c r="AC575" i="19" s="1"/>
  <c r="H519" i="35"/>
  <c r="F519" i="35"/>
  <c r="I519" i="35" s="1"/>
  <c r="H1050" i="35"/>
  <c r="F1050" i="35"/>
  <c r="I1050" i="35" s="1"/>
  <c r="F112" i="35"/>
  <c r="I112" i="35" s="1"/>
  <c r="H112" i="35"/>
  <c r="F433" i="35"/>
  <c r="I433" i="35" s="1"/>
  <c r="H433" i="35"/>
  <c r="F710" i="35"/>
  <c r="I710" i="35" s="1"/>
  <c r="H710" i="35"/>
  <c r="F111" i="35"/>
  <c r="I111" i="35" s="1"/>
  <c r="H111" i="35"/>
  <c r="H598" i="35"/>
  <c r="F598" i="35"/>
  <c r="I598" i="35" s="1"/>
  <c r="F508" i="35"/>
  <c r="I508" i="35" s="1"/>
  <c r="H508" i="35"/>
  <c r="H669" i="35"/>
  <c r="F669" i="35"/>
  <c r="I669" i="35" s="1"/>
  <c r="F451" i="35"/>
  <c r="I451" i="35" s="1"/>
  <c r="H451" i="35"/>
  <c r="AO71" i="19"/>
  <c r="AC71" i="19" s="1"/>
  <c r="H44" i="35"/>
  <c r="F44" i="35"/>
  <c r="I44" i="35" s="1"/>
  <c r="H241" i="35"/>
  <c r="F241" i="35"/>
  <c r="I241" i="35" s="1"/>
  <c r="H851" i="35"/>
  <c r="F851" i="35"/>
  <c r="I851" i="35" s="1"/>
  <c r="F681" i="35"/>
  <c r="I681" i="35" s="1"/>
  <c r="H681" i="35"/>
  <c r="H138" i="35"/>
  <c r="F138" i="35"/>
  <c r="I138" i="35" s="1"/>
  <c r="H393" i="35"/>
  <c r="F393" i="35"/>
  <c r="I393" i="35" s="1"/>
  <c r="H321" i="35"/>
  <c r="F321" i="35"/>
  <c r="I321" i="35" s="1"/>
  <c r="AO22" i="19"/>
  <c r="AC22" i="19" s="1"/>
  <c r="AA607" i="19"/>
  <c r="AB2" i="19"/>
  <c r="AR238" i="19"/>
  <c r="F117" i="35"/>
  <c r="I117" i="35" s="1"/>
  <c r="H117" i="35"/>
  <c r="AR469" i="19"/>
  <c r="AO107" i="19"/>
  <c r="AC107" i="19" s="1"/>
  <c r="AO306" i="19"/>
  <c r="AC306" i="19" s="1"/>
  <c r="AR219" i="19"/>
  <c r="AO384" i="19"/>
  <c r="AC384" i="19" s="1"/>
  <c r="F473" i="35"/>
  <c r="I473" i="35" s="1"/>
  <c r="H473" i="35"/>
  <c r="AO351" i="19"/>
  <c r="AC351" i="19" s="1"/>
  <c r="F905" i="35"/>
  <c r="I905" i="35" s="1"/>
  <c r="H905" i="35"/>
  <c r="F443" i="35"/>
  <c r="I443" i="35" s="1"/>
  <c r="H443" i="35"/>
  <c r="AR269" i="19"/>
  <c r="H873" i="35"/>
  <c r="F873" i="35"/>
  <c r="I873" i="35" s="1"/>
  <c r="F569" i="35"/>
  <c r="I569" i="35" s="1"/>
  <c r="H569" i="35"/>
  <c r="AO598" i="19"/>
  <c r="AC598" i="19" s="1"/>
  <c r="H928" i="35"/>
  <c r="F928" i="35"/>
  <c r="I928" i="35" s="1"/>
  <c r="F741" i="35"/>
  <c r="I741" i="35" s="1"/>
  <c r="H741" i="35"/>
  <c r="H784" i="35"/>
  <c r="F784" i="35"/>
  <c r="I784" i="35" s="1"/>
  <c r="E861" i="35"/>
  <c r="F861" i="35" s="1"/>
  <c r="H861" i="35" s="1"/>
  <c r="G861" i="35" s="1"/>
  <c r="J861" i="35" s="1"/>
  <c r="I861" i="35"/>
  <c r="F1017" i="35"/>
  <c r="I1017" i="35" s="1"/>
  <c r="H1017" i="35"/>
  <c r="AR218" i="19"/>
  <c r="AR156" i="19"/>
  <c r="H570" i="35"/>
  <c r="F570" i="35"/>
  <c r="I570" i="35" s="1"/>
  <c r="AO490" i="19"/>
  <c r="AC490" i="19" s="1"/>
  <c r="H285" i="35"/>
  <c r="F285" i="35"/>
  <c r="I285" i="35" s="1"/>
  <c r="AR212" i="19"/>
  <c r="F663" i="35"/>
  <c r="I663" i="35" s="1"/>
  <c r="H663" i="35"/>
  <c r="F540" i="35"/>
  <c r="I540" i="35" s="1"/>
  <c r="H540" i="35"/>
  <c r="AR210" i="19"/>
  <c r="H503" i="35"/>
  <c r="F503" i="35"/>
  <c r="I503" i="35" s="1"/>
  <c r="F730" i="35"/>
  <c r="I730" i="35" s="1"/>
  <c r="H730" i="35"/>
  <c r="H80" i="35"/>
  <c r="F80" i="35"/>
  <c r="I80" i="35" s="1"/>
  <c r="H363" i="35"/>
  <c r="F363" i="35"/>
  <c r="I363" i="35" s="1"/>
  <c r="AO335" i="19"/>
  <c r="AC335" i="19" s="1"/>
  <c r="H359" i="35"/>
  <c r="F359" i="35"/>
  <c r="I359" i="35" s="1"/>
  <c r="AR448" i="19"/>
  <c r="AO311" i="19"/>
  <c r="AC311" i="19" s="1"/>
  <c r="AR498" i="19"/>
  <c r="AR275" i="19"/>
  <c r="F552" i="35"/>
  <c r="I552" i="35" s="1"/>
  <c r="H552" i="35"/>
  <c r="H431" i="35"/>
  <c r="F431" i="35"/>
  <c r="I431" i="35" s="1"/>
  <c r="H913" i="35"/>
  <c r="F913" i="35"/>
  <c r="I913" i="35" s="1"/>
  <c r="AR260" i="19"/>
  <c r="AO197" i="19"/>
  <c r="AC197" i="19" s="1"/>
  <c r="AR205" i="19"/>
  <c r="F207" i="35"/>
  <c r="I207" i="35" s="1"/>
  <c r="H207" i="35"/>
  <c r="AO352" i="19"/>
  <c r="AC352" i="19" s="1"/>
  <c r="AO224" i="19"/>
  <c r="AC224" i="19" s="1"/>
  <c r="AO362" i="19"/>
  <c r="AC362" i="19" s="1"/>
  <c r="F587" i="35"/>
  <c r="I587" i="35" s="1"/>
  <c r="H587" i="35"/>
  <c r="AR101" i="19"/>
  <c r="AR325" i="19"/>
  <c r="AR299" i="19"/>
  <c r="H910" i="35"/>
  <c r="F910" i="35"/>
  <c r="I910" i="35" s="1"/>
  <c r="H858" i="35"/>
  <c r="F858" i="35"/>
  <c r="I858" i="35" s="1"/>
  <c r="AO511" i="19"/>
  <c r="AC511" i="19" s="1"/>
  <c r="AO418" i="19"/>
  <c r="AC418" i="19" s="1"/>
  <c r="H840" i="35"/>
  <c r="F840" i="35"/>
  <c r="I840" i="35" s="1"/>
  <c r="F627" i="35"/>
  <c r="I627" i="35" s="1"/>
  <c r="H627" i="35"/>
  <c r="AR244" i="19"/>
  <c r="AO492" i="19"/>
  <c r="AC492" i="19" s="1"/>
  <c r="AR89" i="19"/>
  <c r="H911" i="35"/>
  <c r="F911" i="35"/>
  <c r="I911" i="35" s="1"/>
  <c r="AO338" i="19"/>
  <c r="AC338" i="19" s="1"/>
  <c r="H825" i="35"/>
  <c r="F825" i="35"/>
  <c r="I825" i="35" s="1"/>
  <c r="H419" i="35"/>
  <c r="F419" i="35"/>
  <c r="I419" i="35" s="1"/>
  <c r="H878" i="35"/>
  <c r="F878" i="35"/>
  <c r="I878" i="35" s="1"/>
  <c r="AO87" i="19"/>
  <c r="AC87" i="19" s="1"/>
  <c r="H637" i="35"/>
  <c r="F637" i="35"/>
  <c r="I637" i="35" s="1"/>
  <c r="H1025" i="35"/>
  <c r="F1025" i="35"/>
  <c r="I1025" i="35" s="1"/>
  <c r="F48" i="35"/>
  <c r="I48" i="35" s="1"/>
  <c r="H48" i="35"/>
  <c r="AR459" i="19"/>
  <c r="AR302" i="19"/>
  <c r="H120" i="35"/>
  <c r="F120" i="35"/>
  <c r="I120" i="35" s="1"/>
  <c r="H247" i="35"/>
  <c r="F247" i="35"/>
  <c r="I247" i="35" s="1"/>
  <c r="H101" i="35"/>
  <c r="F101" i="35"/>
  <c r="I101" i="35" s="1"/>
  <c r="AR414" i="19"/>
  <c r="AO320" i="19"/>
  <c r="AC320" i="19" s="1"/>
  <c r="F203" i="35"/>
  <c r="I203" i="35" s="1"/>
  <c r="H203" i="35"/>
  <c r="F385" i="35"/>
  <c r="I385" i="35" s="1"/>
  <c r="H385" i="35"/>
  <c r="AO322" i="19"/>
  <c r="AC322" i="19" s="1"/>
  <c r="AO213" i="19"/>
  <c r="AC213" i="19" s="1"/>
  <c r="H1061" i="35"/>
  <c r="F1061" i="35"/>
  <c r="I1061" i="35" s="1"/>
  <c r="H292" i="35"/>
  <c r="F292" i="35"/>
  <c r="I292" i="35" s="1"/>
  <c r="F181" i="35"/>
  <c r="I181" i="35" s="1"/>
  <c r="H181" i="35"/>
  <c r="H850" i="35"/>
  <c r="F850" i="35"/>
  <c r="I850" i="35" s="1"/>
  <c r="AO585" i="19"/>
  <c r="AC585" i="19" s="1"/>
  <c r="AR225" i="19"/>
  <c r="AO436" i="19"/>
  <c r="AC436" i="19" s="1"/>
  <c r="AO463" i="19"/>
  <c r="AC463" i="19" s="1"/>
  <c r="F557" i="35"/>
  <c r="I557" i="35" s="1"/>
  <c r="H557" i="35"/>
  <c r="H1026" i="35"/>
  <c r="F1026" i="35"/>
  <c r="I1026" i="35" s="1"/>
  <c r="F326" i="35"/>
  <c r="I326" i="35" s="1"/>
  <c r="H326" i="35"/>
  <c r="AO404" i="19"/>
  <c r="AC404" i="19" s="1"/>
  <c r="AR318" i="19"/>
  <c r="H734" i="35"/>
  <c r="F734" i="35"/>
  <c r="I734" i="35" s="1"/>
  <c r="F198" i="35"/>
  <c r="I198" i="35" s="1"/>
  <c r="H198" i="35"/>
  <c r="H421" i="35"/>
  <c r="F421" i="35"/>
  <c r="I421" i="35" s="1"/>
  <c r="AR355" i="19"/>
  <c r="F1074" i="35"/>
  <c r="I1074" i="35" s="1"/>
  <c r="H1074" i="35"/>
  <c r="H979" i="35"/>
  <c r="F979" i="35"/>
  <c r="I979" i="35" s="1"/>
  <c r="F448" i="35"/>
  <c r="I448" i="35" s="1"/>
  <c r="H448" i="35"/>
  <c r="AO378" i="19"/>
  <c r="AC378" i="19" s="1"/>
  <c r="AR443" i="19"/>
  <c r="F810" i="35"/>
  <c r="I810" i="35" s="1"/>
  <c r="H810" i="35"/>
  <c r="AO417" i="19"/>
  <c r="AC417" i="19" s="1"/>
  <c r="H183" i="35"/>
  <c r="F183" i="35"/>
  <c r="I183" i="35" s="1"/>
  <c r="AO545" i="19"/>
  <c r="AC545" i="19" s="1"/>
  <c r="AR337" i="19"/>
  <c r="H468" i="35"/>
  <c r="F468" i="35"/>
  <c r="I468" i="35" s="1"/>
  <c r="AR406" i="19"/>
  <c r="AR558" i="19"/>
  <c r="AR415" i="19"/>
  <c r="AO185" i="19"/>
  <c r="AC185" i="19" s="1"/>
  <c r="H1028" i="35"/>
  <c r="F1028" i="35"/>
  <c r="I1028" i="35" s="1"/>
  <c r="H902" i="35"/>
  <c r="F902" i="35"/>
  <c r="I902" i="35" s="1"/>
  <c r="F935" i="35"/>
  <c r="I935" i="35" s="1"/>
  <c r="H935" i="35"/>
  <c r="H300" i="35"/>
  <c r="F300" i="35"/>
  <c r="I300" i="35" s="1"/>
  <c r="H1045" i="35"/>
  <c r="F1045" i="35"/>
  <c r="I1045" i="35" s="1"/>
  <c r="AR171" i="19"/>
  <c r="F364" i="35"/>
  <c r="I364" i="35" s="1"/>
  <c r="H364" i="35"/>
  <c r="AO237" i="19"/>
  <c r="AC237" i="19" s="1"/>
  <c r="H1070" i="35"/>
  <c r="F1070" i="35"/>
  <c r="I1070" i="35" s="1"/>
  <c r="F64" i="35"/>
  <c r="I64" i="35" s="1"/>
  <c r="H64" i="35"/>
  <c r="AO332" i="19"/>
  <c r="AC332" i="19" s="1"/>
  <c r="AO215" i="19"/>
  <c r="AC215" i="19" s="1"/>
  <c r="F217" i="35"/>
  <c r="I217" i="35" s="1"/>
  <c r="H217" i="35"/>
  <c r="AO301" i="19"/>
  <c r="AC301" i="19" s="1"/>
  <c r="F67" i="35"/>
  <c r="I67" i="35" s="1"/>
  <c r="H67" i="35"/>
  <c r="AO401" i="19"/>
  <c r="AC401" i="19" s="1"/>
  <c r="AO161" i="19"/>
  <c r="AC161" i="19" s="1"/>
  <c r="H361" i="35"/>
  <c r="F361" i="35"/>
  <c r="I361" i="35" s="1"/>
  <c r="AO506" i="19"/>
  <c r="AC506" i="19" s="1"/>
  <c r="F924" i="35"/>
  <c r="I924" i="35" s="1"/>
  <c r="H924" i="35"/>
  <c r="AO46" i="19"/>
  <c r="AC46" i="19" s="1"/>
  <c r="AO105" i="19"/>
  <c r="AC105" i="19" s="1"/>
  <c r="H967" i="35"/>
  <c r="F967" i="35"/>
  <c r="I967" i="35" s="1"/>
  <c r="H331" i="35"/>
  <c r="F331" i="35"/>
  <c r="I331" i="35" s="1"/>
  <c r="H1065" i="35"/>
  <c r="F1065" i="35"/>
  <c r="I1065" i="35" s="1"/>
  <c r="AO232" i="19"/>
  <c r="AC232" i="19" s="1"/>
  <c r="F783" i="35"/>
  <c r="I783" i="35" s="1"/>
  <c r="H783" i="35"/>
  <c r="F533" i="35"/>
  <c r="I533" i="35" s="1"/>
  <c r="H533" i="35"/>
  <c r="AR446" i="19"/>
  <c r="F919" i="35"/>
  <c r="I919" i="35" s="1"/>
  <c r="H919" i="35"/>
  <c r="AO208" i="19"/>
  <c r="AC208" i="19" s="1"/>
  <c r="AR590" i="19"/>
  <c r="H435" i="35"/>
  <c r="F435" i="35"/>
  <c r="I435" i="35" s="1"/>
  <c r="F78" i="35"/>
  <c r="I78" i="35" s="1"/>
  <c r="H78" i="35"/>
  <c r="F680" i="35"/>
  <c r="I680" i="35" s="1"/>
  <c r="H680" i="35"/>
  <c r="AR65" i="19"/>
  <c r="AR285" i="19"/>
  <c r="H339" i="35"/>
  <c r="F339" i="35"/>
  <c r="I339" i="35" s="1"/>
  <c r="F464" i="35"/>
  <c r="I464" i="35" s="1"/>
  <c r="H464" i="35"/>
  <c r="F515" i="35"/>
  <c r="I515" i="35" s="1"/>
  <c r="H515" i="35"/>
  <c r="F30" i="35"/>
  <c r="I30" i="35" s="1"/>
  <c r="H30" i="35"/>
  <c r="H662" i="35"/>
  <c r="F662" i="35"/>
  <c r="I662" i="35" s="1"/>
  <c r="H788" i="35"/>
  <c r="F788" i="35"/>
  <c r="I788" i="35" s="1"/>
  <c r="AO204" i="19"/>
  <c r="AC204" i="19" s="1"/>
  <c r="H472" i="35"/>
  <c r="F472" i="35"/>
  <c r="I472" i="35" s="1"/>
  <c r="AO499" i="19"/>
  <c r="AC499" i="19" s="1"/>
  <c r="AO120" i="19"/>
  <c r="AC120" i="19" s="1"/>
  <c r="H657" i="35"/>
  <c r="F657" i="35"/>
  <c r="I657" i="35" s="1"/>
  <c r="H418" i="35"/>
  <c r="F418" i="35"/>
  <c r="I418" i="35" s="1"/>
  <c r="AR234" i="19"/>
  <c r="H19" i="35"/>
  <c r="F19" i="35"/>
  <c r="I19" i="35" s="1"/>
  <c r="AO426" i="19"/>
  <c r="AC426" i="19" s="1"/>
  <c r="H121" i="35"/>
  <c r="F121" i="35"/>
  <c r="I121" i="35" s="1"/>
  <c r="AO62" i="19"/>
  <c r="AC62" i="19" s="1"/>
  <c r="F1053" i="35"/>
  <c r="I1053" i="35" s="1"/>
  <c r="H1053" i="35"/>
  <c r="AR104" i="19"/>
  <c r="H952" i="35"/>
  <c r="F952" i="35"/>
  <c r="I952" i="35" s="1"/>
  <c r="AO557" i="19"/>
  <c r="AC557" i="19" s="1"/>
  <c r="F38" i="35"/>
  <c r="I38" i="35" s="1"/>
  <c r="H38" i="35"/>
  <c r="AO259" i="19"/>
  <c r="AC259" i="19" s="1"/>
  <c r="AR207" i="19"/>
  <c r="F978" i="35"/>
  <c r="I978" i="35" s="1"/>
  <c r="H978" i="35"/>
  <c r="AR550" i="19"/>
  <c r="H727" i="35"/>
  <c r="F727" i="35"/>
  <c r="I727" i="35" s="1"/>
  <c r="F1079" i="35"/>
  <c r="I1079" i="35" s="1"/>
  <c r="AR420" i="19"/>
  <c r="AO211" i="19"/>
  <c r="AC211" i="19" s="1"/>
  <c r="AO334" i="19"/>
  <c r="AC334" i="19" s="1"/>
  <c r="H943" i="35"/>
  <c r="F943" i="35"/>
  <c r="I943" i="35" s="1"/>
  <c r="AO170" i="19"/>
  <c r="AC170" i="19" s="1"/>
  <c r="H606" i="35"/>
  <c r="F606" i="35"/>
  <c r="I606" i="35" s="1"/>
  <c r="F286" i="35"/>
  <c r="I286" i="35" s="1"/>
  <c r="H286" i="35"/>
  <c r="H350" i="35"/>
  <c r="F350" i="35"/>
  <c r="I350" i="35" s="1"/>
  <c r="AO522" i="19"/>
  <c r="AC522" i="19" s="1"/>
  <c r="F457" i="35"/>
  <c r="I457" i="35" s="1"/>
  <c r="H457" i="35"/>
  <c r="H211" i="35"/>
  <c r="F211" i="35"/>
  <c r="I211" i="35" s="1"/>
  <c r="AO366" i="19"/>
  <c r="AC366" i="19" s="1"/>
  <c r="AO339" i="19"/>
  <c r="AC339" i="19" s="1"/>
  <c r="H261" i="35"/>
  <c r="F261" i="35"/>
  <c r="I261" i="35" s="1"/>
  <c r="AO289" i="19"/>
  <c r="AC289" i="19" s="1"/>
  <c r="AR324" i="19"/>
  <c r="H137" i="35"/>
  <c r="F137" i="35"/>
  <c r="I137" i="35" s="1"/>
  <c r="AR155" i="19"/>
  <c r="AR257" i="19"/>
  <c r="F108" i="35"/>
  <c r="I108" i="35" s="1"/>
  <c r="H108" i="35"/>
  <c r="F877" i="35"/>
  <c r="I877" i="35" s="1"/>
  <c r="H877" i="35"/>
  <c r="AR148" i="19"/>
  <c r="F116" i="35"/>
  <c r="I116" i="35" s="1"/>
  <c r="H116" i="35"/>
  <c r="F957" i="35"/>
  <c r="I957" i="35" s="1"/>
  <c r="H957" i="35"/>
  <c r="F660" i="35"/>
  <c r="I660" i="35" s="1"/>
  <c r="H660" i="35"/>
  <c r="AR371" i="19"/>
  <c r="AR376" i="19"/>
  <c r="F233" i="35"/>
  <c r="I233" i="35" s="1"/>
  <c r="H233" i="35"/>
  <c r="AO314" i="19"/>
  <c r="AC314" i="19" s="1"/>
  <c r="AR440" i="19"/>
  <c r="AR319" i="19"/>
  <c r="AO333" i="19"/>
  <c r="AC333" i="19" s="1"/>
  <c r="F953" i="35"/>
  <c r="I953" i="35" s="1"/>
  <c r="H953" i="35"/>
  <c r="AO529" i="19"/>
  <c r="AC529" i="19" s="1"/>
  <c r="F148" i="35"/>
  <c r="I148" i="35" s="1"/>
  <c r="H148" i="35"/>
  <c r="AO272" i="19"/>
  <c r="AC272" i="19" s="1"/>
  <c r="AO457" i="19"/>
  <c r="AC457" i="19" s="1"/>
  <c r="AO341" i="19"/>
  <c r="AC341" i="19" s="1"/>
  <c r="AR379" i="19"/>
  <c r="H1033" i="35"/>
  <c r="F1033" i="35"/>
  <c r="I1033" i="35" s="1"/>
  <c r="H60" i="35"/>
  <c r="F60" i="35"/>
  <c r="I60" i="35" s="1"/>
  <c r="AO597" i="19"/>
  <c r="AC597" i="19" s="1"/>
  <c r="AR388" i="19"/>
  <c r="F567" i="35"/>
  <c r="I567" i="35" s="1"/>
  <c r="H567" i="35"/>
  <c r="H888" i="35"/>
  <c r="F888" i="35"/>
  <c r="I888" i="35" s="1"/>
  <c r="F895" i="35"/>
  <c r="I895" i="35" s="1"/>
  <c r="H895" i="35"/>
  <c r="AO562" i="19"/>
  <c r="AC562" i="19" s="1"/>
  <c r="F353" i="35"/>
  <c r="I353" i="35" s="1"/>
  <c r="H353" i="35"/>
  <c r="H565" i="35"/>
  <c r="F565" i="35"/>
  <c r="I565" i="35" s="1"/>
  <c r="H492" i="35"/>
  <c r="F492" i="35"/>
  <c r="I492" i="35" s="1"/>
  <c r="H631" i="35"/>
  <c r="F631" i="35"/>
  <c r="I631" i="35" s="1"/>
  <c r="F17" i="35"/>
  <c r="I17" i="35" s="1"/>
  <c r="H17" i="35"/>
  <c r="F172" i="35"/>
  <c r="I172" i="35" s="1"/>
  <c r="H172" i="35"/>
  <c r="F806" i="35"/>
  <c r="I806" i="35" s="1"/>
  <c r="H806" i="35"/>
  <c r="H245" i="35"/>
  <c r="F245" i="35"/>
  <c r="I245" i="35" s="1"/>
  <c r="AO520" i="19"/>
  <c r="AC520" i="19" s="1"/>
  <c r="AR553" i="19"/>
  <c r="F718" i="35"/>
  <c r="I718" i="35" s="1"/>
  <c r="H718" i="35"/>
  <c r="E8" i="35"/>
  <c r="F8" i="35" s="1"/>
  <c r="H8" i="35" s="1"/>
  <c r="G8" i="35" s="1"/>
  <c r="J8" i="35" s="1"/>
  <c r="I8" i="35"/>
  <c r="F811" i="35"/>
  <c r="I811" i="35" s="1"/>
  <c r="H811" i="35"/>
  <c r="AR58" i="19"/>
  <c r="AR200" i="19"/>
  <c r="F267" i="35"/>
  <c r="I267" i="35" s="1"/>
  <c r="H267" i="35"/>
  <c r="H916" i="35"/>
  <c r="F916" i="35"/>
  <c r="I916" i="35" s="1"/>
  <c r="AR271" i="19"/>
  <c r="H268" i="35"/>
  <c r="F268" i="35"/>
  <c r="I268" i="35" s="1"/>
  <c r="AO255" i="19"/>
  <c r="AC255" i="19" s="1"/>
  <c r="F414" i="35"/>
  <c r="I414" i="35" s="1"/>
  <c r="H414" i="35"/>
  <c r="AO539" i="19"/>
  <c r="AC539" i="19" s="1"/>
  <c r="H970" i="35"/>
  <c r="F970" i="35"/>
  <c r="I970" i="35" s="1"/>
  <c r="H896" i="35"/>
  <c r="F896" i="35"/>
  <c r="I896" i="35" s="1"/>
  <c r="AR368" i="19"/>
  <c r="AO164" i="19"/>
  <c r="AC164" i="19" s="1"/>
  <c r="F688" i="35"/>
  <c r="I688" i="35" s="1"/>
  <c r="H688" i="35"/>
  <c r="AR67" i="19"/>
  <c r="H564" i="35"/>
  <c r="F564" i="35"/>
  <c r="I564" i="35" s="1"/>
  <c r="AR596" i="19"/>
  <c r="AR81" i="19"/>
  <c r="AR502" i="19"/>
  <c r="AO515" i="19"/>
  <c r="AC515" i="19" s="1"/>
  <c r="F839" i="35"/>
  <c r="I839" i="35" s="1"/>
  <c r="H839" i="35"/>
  <c r="H951" i="35"/>
  <c r="F951" i="35"/>
  <c r="I951" i="35" s="1"/>
  <c r="AR250" i="19"/>
  <c r="AO88" i="19"/>
  <c r="AC88" i="19" s="1"/>
  <c r="AO297" i="19"/>
  <c r="AC297" i="19" s="1"/>
  <c r="AO30" i="19"/>
  <c r="AC30" i="19" s="1"/>
  <c r="AO95" i="19"/>
  <c r="AC95" i="19" s="1"/>
  <c r="H733" i="35"/>
  <c r="F733" i="35"/>
  <c r="I733" i="35" s="1"/>
  <c r="H592" i="35"/>
  <c r="F592" i="35"/>
  <c r="I592" i="35" s="1"/>
  <c r="AO235" i="19"/>
  <c r="AC235" i="19" s="1"/>
  <c r="AR479" i="19"/>
  <c r="H416" i="35"/>
  <c r="F416" i="35"/>
  <c r="I416" i="35" s="1"/>
  <c r="H397" i="35"/>
  <c r="F397" i="35"/>
  <c r="I397" i="35" s="1"/>
  <c r="H779" i="35"/>
  <c r="F779" i="35"/>
  <c r="I779" i="35" s="1"/>
  <c r="H28" i="35"/>
  <c r="F28" i="35"/>
  <c r="I28" i="35" s="1"/>
  <c r="AR252" i="19"/>
  <c r="AR563" i="19"/>
  <c r="AR535" i="19"/>
  <c r="AR579" i="19"/>
  <c r="F695" i="35"/>
  <c r="I695" i="35" s="1"/>
  <c r="H695" i="35"/>
  <c r="AR60" i="19"/>
  <c r="AO461" i="19"/>
  <c r="AC461" i="19" s="1"/>
  <c r="AO361" i="19"/>
  <c r="AC361" i="19" s="1"/>
  <c r="H104" i="35"/>
  <c r="F104" i="35"/>
  <c r="I104" i="35" s="1"/>
  <c r="AR413" i="19"/>
  <c r="H372" i="35"/>
  <c r="F372" i="35"/>
  <c r="I372" i="35" s="1"/>
  <c r="F687" i="35"/>
  <c r="I687" i="35" s="1"/>
  <c r="H687" i="35"/>
  <c r="AR64" i="19"/>
  <c r="H507" i="35"/>
  <c r="F507" i="35"/>
  <c r="I507" i="35" s="1"/>
  <c r="AO202" i="19"/>
  <c r="AC202" i="19" s="1"/>
  <c r="AO580" i="19"/>
  <c r="AC580" i="19" s="1"/>
  <c r="F923" i="35"/>
  <c r="I923" i="35" s="1"/>
  <c r="H923" i="35"/>
  <c r="AR126" i="19"/>
  <c r="AR110" i="19"/>
  <c r="H309" i="35"/>
  <c r="F309" i="35"/>
  <c r="I309" i="35" s="1"/>
  <c r="F319" i="35"/>
  <c r="I319" i="35" s="1"/>
  <c r="H319" i="35"/>
  <c r="AR140" i="19"/>
  <c r="AR399" i="19"/>
  <c r="H906" i="35"/>
  <c r="F906" i="35"/>
  <c r="I906" i="35" s="1"/>
  <c r="AR349" i="19"/>
  <c r="F831" i="35"/>
  <c r="I831" i="35" s="1"/>
  <c r="H831" i="35"/>
  <c r="H559" i="35"/>
  <c r="F559" i="35"/>
  <c r="I559" i="35" s="1"/>
  <c r="AR226" i="19"/>
  <c r="H875" i="35"/>
  <c r="F875" i="35"/>
  <c r="I875" i="35" s="1"/>
  <c r="H563" i="35"/>
  <c r="F563" i="35"/>
  <c r="I563" i="35" s="1"/>
  <c r="AO280" i="19"/>
  <c r="AC280" i="19" s="1"/>
  <c r="AR287" i="19"/>
  <c r="H520" i="35"/>
  <c r="F520" i="35"/>
  <c r="I520" i="35" s="1"/>
  <c r="H1009" i="35"/>
  <c r="F1009" i="35"/>
  <c r="I1009" i="35" s="1"/>
  <c r="F561" i="35"/>
  <c r="I561" i="35" s="1"/>
  <c r="H561" i="35"/>
  <c r="H958" i="35"/>
  <c r="F958" i="35"/>
  <c r="I958" i="35" s="1"/>
  <c r="AR527" i="19"/>
  <c r="H18" i="35"/>
  <c r="F18" i="35"/>
  <c r="I18" i="35" s="1"/>
  <c r="F1012" i="35"/>
  <c r="I1012" i="35" s="1"/>
  <c r="H1012" i="35"/>
  <c r="AR209" i="19"/>
  <c r="AO530" i="19"/>
  <c r="AC530" i="19" s="1"/>
  <c r="H250" i="35"/>
  <c r="F250" i="35"/>
  <c r="I250" i="35" s="1"/>
  <c r="AR143" i="19"/>
  <c r="AO517" i="19"/>
  <c r="AC517" i="19" s="1"/>
  <c r="AO132" i="19"/>
  <c r="AC132" i="19" s="1"/>
  <c r="AR35" i="19"/>
  <c r="AO468" i="19"/>
  <c r="AC468" i="19" s="1"/>
  <c r="H894" i="35"/>
  <c r="F894" i="35"/>
  <c r="I894" i="35" s="1"/>
  <c r="F470" i="35"/>
  <c r="I470" i="35" s="1"/>
  <c r="H470" i="35"/>
  <c r="H329" i="35"/>
  <c r="F329" i="35"/>
  <c r="I329" i="35" s="1"/>
  <c r="AR286" i="19"/>
  <c r="AO85" i="19"/>
  <c r="AC85" i="19" s="1"/>
  <c r="AO540" i="19"/>
  <c r="AC540" i="19" s="1"/>
  <c r="AR470" i="19"/>
  <c r="F93" i="35"/>
  <c r="I93" i="35" s="1"/>
  <c r="H93" i="35"/>
  <c r="F1068" i="35"/>
  <c r="I1068" i="35" s="1"/>
  <c r="H1068" i="35"/>
  <c r="F328" i="35"/>
  <c r="I328" i="35" s="1"/>
  <c r="H328" i="35"/>
  <c r="AO282" i="19"/>
  <c r="AC282" i="19" s="1"/>
  <c r="H770" i="35"/>
  <c r="F770" i="35"/>
  <c r="I770" i="35" s="1"/>
  <c r="F58" i="35"/>
  <c r="I58" i="35" s="1"/>
  <c r="H58" i="35"/>
  <c r="AR551" i="19"/>
  <c r="AO348" i="19"/>
  <c r="AC348" i="19" s="1"/>
  <c r="H55" i="35"/>
  <c r="F55" i="35"/>
  <c r="I55" i="35" s="1"/>
  <c r="AO421" i="19"/>
  <c r="AC421" i="19" s="1"/>
  <c r="H630" i="35"/>
  <c r="F630" i="35"/>
  <c r="I630" i="35" s="1"/>
  <c r="AO230" i="19"/>
  <c r="AC230" i="19" s="1"/>
  <c r="H376" i="35"/>
  <c r="F376" i="35"/>
  <c r="I376" i="35" s="1"/>
  <c r="AR369" i="19"/>
  <c r="F84" i="35"/>
  <c r="I84" i="35" s="1"/>
  <c r="H84" i="35"/>
  <c r="AO317" i="19"/>
  <c r="AC317" i="19" s="1"/>
  <c r="AO61" i="19"/>
  <c r="AC61" i="19" s="1"/>
  <c r="AR216" i="19"/>
  <c r="AR488" i="19"/>
  <c r="AO588" i="19"/>
  <c r="AC588" i="19" s="1"/>
  <c r="AR524" i="19"/>
  <c r="F985" i="35"/>
  <c r="I985" i="35" s="1"/>
  <c r="H985" i="35"/>
  <c r="AO375" i="19"/>
  <c r="AC375" i="19" s="1"/>
  <c r="AR129" i="19"/>
  <c r="F635" i="35"/>
  <c r="I635" i="35" s="1"/>
  <c r="H635" i="35"/>
  <c r="H425" i="35"/>
  <c r="F425" i="35"/>
  <c r="I425" i="35" s="1"/>
  <c r="F278" i="35"/>
  <c r="I278" i="35" s="1"/>
  <c r="H278" i="35"/>
  <c r="AR536" i="19"/>
  <c r="AO439" i="19"/>
  <c r="AC439" i="19" s="1"/>
  <c r="F543" i="35"/>
  <c r="I543" i="35" s="1"/>
  <c r="H543" i="35"/>
  <c r="F396" i="35"/>
  <c r="I396" i="35" s="1"/>
  <c r="H396" i="35"/>
  <c r="AO173" i="19"/>
  <c r="AC173" i="19" s="1"/>
  <c r="H246" i="35"/>
  <c r="F246" i="35"/>
  <c r="I246" i="35" s="1"/>
  <c r="H513" i="35"/>
  <c r="F513" i="35"/>
  <c r="I513" i="35" s="1"/>
  <c r="F573" i="35"/>
  <c r="I573" i="35" s="1"/>
  <c r="H573" i="35"/>
  <c r="F636" i="35"/>
  <c r="I636" i="35" s="1"/>
  <c r="H636" i="35"/>
  <c r="H187" i="35"/>
  <c r="F187" i="35"/>
  <c r="I187" i="35" s="1"/>
  <c r="AR546" i="19"/>
  <c r="H294" i="35"/>
  <c r="F294" i="35"/>
  <c r="I294" i="35" s="1"/>
  <c r="H149" i="35"/>
  <c r="F149" i="35"/>
  <c r="I149" i="35" s="1"/>
  <c r="F683" i="35"/>
  <c r="I683" i="35" s="1"/>
  <c r="H683" i="35"/>
  <c r="AO300" i="19"/>
  <c r="AC300" i="19" s="1"/>
  <c r="AO265" i="19"/>
  <c r="AC265" i="19" s="1"/>
  <c r="AO151" i="19"/>
  <c r="AC151" i="19" s="1"/>
  <c r="AR162" i="19"/>
  <c r="H893" i="35"/>
  <c r="F893" i="35"/>
  <c r="I893" i="35" s="1"/>
  <c r="AR359" i="19"/>
  <c r="H296" i="35"/>
  <c r="F296" i="35"/>
  <c r="I296" i="35" s="1"/>
  <c r="F506" i="35"/>
  <c r="I506" i="35" s="1"/>
  <c r="H506" i="35"/>
  <c r="F358" i="35"/>
  <c r="I358" i="35" s="1"/>
  <c r="H358" i="35"/>
  <c r="F221" i="35"/>
  <c r="I221" i="35" s="1"/>
  <c r="H221" i="35"/>
  <c r="AR581" i="19"/>
  <c r="AR556" i="19"/>
  <c r="AR274" i="19"/>
  <c r="F155" i="35"/>
  <c r="I155" i="35" s="1"/>
  <c r="H155" i="35"/>
  <c r="AR464" i="19"/>
  <c r="AO76" i="19"/>
  <c r="AC76" i="19" s="1"/>
  <c r="AR296" i="19"/>
  <c r="AO68" i="19"/>
  <c r="AC68" i="19" s="1"/>
  <c r="F483" i="35"/>
  <c r="I483" i="35" s="1"/>
  <c r="H483" i="35"/>
  <c r="AR573" i="19"/>
  <c r="H738" i="35"/>
  <c r="F738" i="35"/>
  <c r="I738" i="35" s="1"/>
  <c r="F318" i="35"/>
  <c r="I318" i="35" s="1"/>
  <c r="H318" i="35"/>
  <c r="F409" i="35"/>
  <c r="I409" i="35" s="1"/>
  <c r="H409" i="35"/>
  <c r="F1034" i="35"/>
  <c r="I1034" i="35" s="1"/>
  <c r="H77" i="35"/>
  <c r="F77" i="35"/>
  <c r="I77" i="35" s="1"/>
  <c r="H410" i="35"/>
  <c r="F410" i="35"/>
  <c r="I410" i="35" s="1"/>
  <c r="AO296" i="19"/>
  <c r="AC296" i="19" s="1"/>
  <c r="AO555" i="19"/>
  <c r="AC555" i="19" s="1"/>
  <c r="F481" i="35"/>
  <c r="I481" i="35" s="1"/>
  <c r="H481" i="35"/>
  <c r="AO222" i="19"/>
  <c r="AC222" i="19" s="1"/>
  <c r="H34" i="35"/>
  <c r="F34" i="35"/>
  <c r="I34" i="35" s="1"/>
  <c r="F700" i="35"/>
  <c r="I700" i="35" s="1"/>
  <c r="H700" i="35"/>
  <c r="AR437" i="19"/>
  <c r="AO573" i="19"/>
  <c r="AC573" i="19" s="1"/>
  <c r="F698" i="35"/>
  <c r="I698" i="35" s="1"/>
  <c r="H698" i="35"/>
  <c r="H415" i="35"/>
  <c r="F415" i="35"/>
  <c r="I415" i="35" s="1"/>
  <c r="AO292" i="19"/>
  <c r="AC292" i="19" s="1"/>
  <c r="H429" i="35"/>
  <c r="F429" i="35"/>
  <c r="I429" i="35" s="1"/>
  <c r="AR23" i="19"/>
  <c r="H474" i="35"/>
  <c r="F474" i="35"/>
  <c r="I474" i="35" s="1"/>
  <c r="H336" i="35"/>
  <c r="F336" i="35"/>
  <c r="I336" i="35" s="1"/>
  <c r="AR51" i="19"/>
  <c r="AO103" i="19"/>
  <c r="AC103" i="19" s="1"/>
  <c r="H767" i="35"/>
  <c r="F767" i="35"/>
  <c r="I767" i="35" s="1"/>
  <c r="AO236" i="19"/>
  <c r="AC236" i="19" s="1"/>
  <c r="AO308" i="19"/>
  <c r="AC308" i="19" s="1"/>
  <c r="H89" i="35"/>
  <c r="F89" i="35"/>
  <c r="I89" i="35" s="1"/>
  <c r="F864" i="35"/>
  <c r="I864" i="35" s="1"/>
  <c r="H864" i="35"/>
  <c r="F527" i="35"/>
  <c r="I527" i="35" s="1"/>
  <c r="H527" i="35"/>
  <c r="AR50" i="19"/>
  <c r="F632" i="35"/>
  <c r="I632" i="35" s="1"/>
  <c r="H632" i="35"/>
  <c r="F983" i="35"/>
  <c r="I983" i="35" s="1"/>
  <c r="H983" i="35"/>
  <c r="AO310" i="19"/>
  <c r="AC310" i="19" s="1"/>
  <c r="AO246" i="19"/>
  <c r="AC246" i="19" s="1"/>
  <c r="AO519" i="19"/>
  <c r="AC519" i="19" s="1"/>
  <c r="F865" i="35"/>
  <c r="I865" i="35" s="1"/>
  <c r="H865" i="35"/>
  <c r="AR481" i="19"/>
  <c r="AO168" i="19"/>
  <c r="AC168" i="19" s="1"/>
  <c r="F1075" i="35"/>
  <c r="I1075" i="35" s="1"/>
  <c r="AR91" i="19"/>
  <c r="AR79" i="19"/>
  <c r="AO94" i="19"/>
  <c r="AC94" i="19" s="1"/>
  <c r="F612" i="35"/>
  <c r="I612" i="35" s="1"/>
  <c r="H612" i="35"/>
  <c r="AR190" i="19"/>
  <c r="H265" i="35"/>
  <c r="F265" i="35"/>
  <c r="I265" i="35" s="1"/>
  <c r="AO283" i="19"/>
  <c r="AC283" i="19" s="1"/>
  <c r="F226" i="35"/>
  <c r="I226" i="35" s="1"/>
  <c r="H226" i="35"/>
  <c r="F995" i="35"/>
  <c r="I995" i="35" s="1"/>
  <c r="H995" i="35"/>
  <c r="H197" i="35"/>
  <c r="F197" i="35"/>
  <c r="I197" i="35" s="1"/>
  <c r="H130" i="35"/>
  <c r="F130" i="35"/>
  <c r="I130" i="35" s="1"/>
  <c r="AO340" i="19"/>
  <c r="AC340" i="19" s="1"/>
  <c r="AR106" i="19"/>
  <c r="H489" i="35"/>
  <c r="F489" i="35"/>
  <c r="I489" i="35" s="1"/>
  <c r="F887" i="35"/>
  <c r="I887" i="35" s="1"/>
  <c r="H887" i="35"/>
  <c r="AR69" i="19"/>
  <c r="AR347" i="19"/>
  <c r="H150" i="35"/>
  <c r="F150" i="35"/>
  <c r="I150" i="35" s="1"/>
  <c r="AR345" i="19"/>
  <c r="F889" i="35"/>
  <c r="I889" i="35" s="1"/>
  <c r="H889" i="35"/>
  <c r="AO63" i="19"/>
  <c r="AC63" i="19" s="1"/>
  <c r="AO565" i="19"/>
  <c r="AC565" i="19" s="1"/>
  <c r="H674" i="35"/>
  <c r="F674" i="35"/>
  <c r="I674" i="35" s="1"/>
  <c r="AR572" i="19"/>
  <c r="F352" i="35"/>
  <c r="I352" i="35" s="1"/>
  <c r="H352" i="35"/>
  <c r="AO97" i="19"/>
  <c r="AC97" i="19" s="1"/>
  <c r="H694" i="35"/>
  <c r="F694" i="35"/>
  <c r="I694" i="35" s="1"/>
  <c r="AO411" i="19"/>
  <c r="AC411" i="19" s="1"/>
  <c r="F1027" i="35"/>
  <c r="I1027" i="35" s="1"/>
  <c r="H1027" i="35"/>
  <c r="AR484" i="19"/>
  <c r="F1021" i="35"/>
  <c r="I1021" i="35" s="1"/>
  <c r="H1021" i="35"/>
  <c r="F852" i="35"/>
  <c r="I852" i="35" s="1"/>
  <c r="H852" i="35"/>
  <c r="AO396" i="19"/>
  <c r="AC396" i="19" s="1"/>
  <c r="AR554" i="19"/>
  <c r="AR75" i="19"/>
  <c r="F471" i="35"/>
  <c r="I471" i="35" s="1"/>
  <c r="H471" i="35"/>
  <c r="AR409" i="19"/>
  <c r="H301" i="35"/>
  <c r="F301" i="35"/>
  <c r="I301" i="35" s="1"/>
  <c r="F975" i="35"/>
  <c r="I975" i="35" s="1"/>
  <c r="H975" i="35"/>
  <c r="F1000" i="35"/>
  <c r="I1000" i="35" s="1"/>
  <c r="H1000" i="35"/>
  <c r="AR86" i="19"/>
  <c r="F251" i="35"/>
  <c r="I251" i="35" s="1"/>
  <c r="H251" i="35"/>
  <c r="H427" i="35"/>
  <c r="F427" i="35"/>
  <c r="I427" i="35" s="1"/>
  <c r="AO395" i="19"/>
  <c r="AC395" i="19" s="1"/>
  <c r="AR84" i="19"/>
  <c r="AO531" i="19"/>
  <c r="AC531" i="19" s="1"/>
  <c r="AR496" i="19"/>
  <c r="F823" i="35"/>
  <c r="I823" i="35" s="1"/>
  <c r="H823" i="35"/>
  <c r="F747" i="35"/>
  <c r="I747" i="35" s="1"/>
  <c r="H747" i="35"/>
  <c r="AR370" i="19"/>
  <c r="H69" i="35"/>
  <c r="F69" i="35"/>
  <c r="I69" i="35" s="1"/>
  <c r="H57" i="35"/>
  <c r="F57" i="35"/>
  <c r="I57" i="35" s="1"/>
  <c r="F260" i="35"/>
  <c r="I260" i="35" s="1"/>
  <c r="H260" i="35"/>
  <c r="H1073" i="35"/>
  <c r="F1073" i="35"/>
  <c r="I1073" i="35" s="1"/>
  <c r="H182" i="35"/>
  <c r="F182" i="35"/>
  <c r="I182" i="35" s="1"/>
  <c r="F399" i="35"/>
  <c r="I399" i="35" s="1"/>
  <c r="H399" i="35"/>
  <c r="H465" i="35"/>
  <c r="F465" i="35"/>
  <c r="I465" i="35" s="1"/>
  <c r="AR159" i="19"/>
  <c r="H1020" i="35"/>
  <c r="F1020" i="35"/>
  <c r="I1020" i="35" s="1"/>
  <c r="AO220" i="19"/>
  <c r="AC220" i="19" s="1"/>
  <c r="H422" i="35"/>
  <c r="F422" i="35"/>
  <c r="I422" i="35" s="1"/>
  <c r="H322" i="35"/>
  <c r="F322" i="35"/>
  <c r="I322" i="35" s="1"/>
  <c r="AR599" i="19"/>
  <c r="F1083" i="35"/>
  <c r="I1083" i="35" s="1"/>
  <c r="H1083" i="35"/>
  <c r="AO354" i="19"/>
  <c r="AC354" i="19" s="1"/>
  <c r="AR505" i="19"/>
  <c r="AR119" i="19"/>
  <c r="H201" i="35"/>
  <c r="F201" i="35"/>
  <c r="I201" i="35" s="1"/>
  <c r="H407" i="35"/>
  <c r="F407" i="35"/>
  <c r="I407" i="35" s="1"/>
  <c r="H413" i="35"/>
  <c r="F413" i="35"/>
  <c r="I413" i="35" s="1"/>
  <c r="H27" i="35"/>
  <c r="F27" i="35"/>
  <c r="I27" i="35" s="1"/>
  <c r="AR374" i="19"/>
  <c r="AR116" i="19"/>
  <c r="H310" i="35"/>
  <c r="F310" i="35"/>
  <c r="I310" i="35" s="1"/>
  <c r="AR142" i="19"/>
  <c r="AO261" i="19"/>
  <c r="AC261" i="19" s="1"/>
  <c r="H575" i="35"/>
  <c r="F575" i="35"/>
  <c r="I575" i="35" s="1"/>
  <c r="H199" i="35"/>
  <c r="F199" i="35"/>
  <c r="I199" i="35" s="1"/>
  <c r="AO603" i="19"/>
  <c r="AC603" i="19" s="1"/>
  <c r="H1019" i="35"/>
  <c r="F1019" i="35"/>
  <c r="I1019" i="35" s="1"/>
  <c r="H22" i="35"/>
  <c r="F22" i="35"/>
  <c r="I22" i="35" s="1"/>
  <c r="H209" i="35"/>
  <c r="F209" i="35"/>
  <c r="I209" i="35" s="1"/>
  <c r="AR549" i="19"/>
  <c r="AO532" i="19"/>
  <c r="AC532" i="19" s="1"/>
  <c r="H452" i="35"/>
  <c r="F452" i="35"/>
  <c r="I452" i="35" s="1"/>
  <c r="H398" i="35"/>
  <c r="F398" i="35"/>
  <c r="I398" i="35" s="1"/>
  <c r="F707" i="35"/>
  <c r="I707" i="35" s="1"/>
  <c r="H707" i="35"/>
  <c r="H524" i="35"/>
  <c r="F524" i="35"/>
  <c r="I524" i="35" s="1"/>
  <c r="F276" i="35"/>
  <c r="I276" i="35" s="1"/>
  <c r="H276" i="35"/>
  <c r="F971" i="35"/>
  <c r="I971" i="35" s="1"/>
  <c r="H971" i="35"/>
  <c r="H264" i="35"/>
  <c r="F264" i="35"/>
  <c r="I264" i="35" s="1"/>
  <c r="H289" i="35"/>
  <c r="F289" i="35"/>
  <c r="I289" i="35" s="1"/>
  <c r="AR59" i="19"/>
  <c r="F461" i="35"/>
  <c r="I461" i="35" s="1"/>
  <c r="H461" i="35"/>
  <c r="H725" i="35"/>
  <c r="F725" i="35"/>
  <c r="I725" i="35" s="1"/>
  <c r="AO198" i="19"/>
  <c r="AC198" i="19" s="1"/>
  <c r="AR323" i="19"/>
  <c r="F671" i="35"/>
  <c r="I671" i="35" s="1"/>
  <c r="H671" i="35"/>
  <c r="F400" i="35"/>
  <c r="I400" i="35" s="1"/>
  <c r="H400" i="35"/>
  <c r="H656" i="35"/>
  <c r="F656" i="35"/>
  <c r="I656" i="35" s="1"/>
  <c r="AO500" i="19"/>
  <c r="AC500" i="19" s="1"/>
  <c r="AR416" i="19"/>
  <c r="AO184" i="19"/>
  <c r="AC184" i="19" s="1"/>
  <c r="F593" i="35"/>
  <c r="I593" i="35" s="1"/>
  <c r="H593" i="35"/>
  <c r="H290" i="35"/>
  <c r="F290" i="35"/>
  <c r="I290" i="35" s="1"/>
  <c r="F647" i="35"/>
  <c r="I647" i="35" s="1"/>
  <c r="H647" i="35"/>
  <c r="AR22" i="19"/>
  <c r="AO238" i="19"/>
  <c r="AC238" i="19" s="1"/>
  <c r="AO469" i="19"/>
  <c r="AC469" i="19" s="1"/>
  <c r="H378" i="35"/>
  <c r="F378" i="35"/>
  <c r="I378" i="35" s="1"/>
  <c r="AR107" i="19"/>
  <c r="AR306" i="19"/>
  <c r="AO219" i="19"/>
  <c r="AC219" i="19" s="1"/>
  <c r="F1071" i="35"/>
  <c r="I1071" i="35" s="1"/>
  <c r="H1071" i="35"/>
  <c r="H347" i="35"/>
  <c r="F347" i="35"/>
  <c r="I347" i="35" s="1"/>
  <c r="F166" i="35"/>
  <c r="I166" i="35" s="1"/>
  <c r="H166" i="35"/>
  <c r="F989" i="35"/>
  <c r="I989" i="35" s="1"/>
  <c r="H989" i="35"/>
  <c r="AO83" i="19"/>
  <c r="AC83" i="19" s="1"/>
  <c r="AO114" i="19"/>
  <c r="AC114" i="19" s="1"/>
  <c r="AR239" i="19"/>
  <c r="H883" i="35"/>
  <c r="F883" i="35"/>
  <c r="I883" i="35" s="1"/>
  <c r="H360" i="35"/>
  <c r="F360" i="35"/>
  <c r="I360" i="35" s="1"/>
  <c r="H920" i="35"/>
  <c r="F920" i="35"/>
  <c r="I920" i="35" s="1"/>
  <c r="H432" i="35"/>
  <c r="F432" i="35"/>
  <c r="I432" i="35" s="1"/>
  <c r="AO212" i="19"/>
  <c r="AC212" i="19" s="1"/>
  <c r="F969" i="35"/>
  <c r="I969" i="35" s="1"/>
  <c r="H969" i="35"/>
  <c r="AR474" i="19"/>
  <c r="F697" i="35"/>
  <c r="I697" i="35" s="1"/>
  <c r="H697" i="35"/>
  <c r="F886" i="35"/>
  <c r="I886" i="35" s="1"/>
  <c r="H886" i="35"/>
  <c r="H1016" i="35"/>
  <c r="F1016" i="35"/>
  <c r="I1016" i="35" s="1"/>
  <c r="F283" i="35"/>
  <c r="I283" i="35" s="1"/>
  <c r="H283" i="35"/>
  <c r="H510" i="35"/>
  <c r="F510" i="35"/>
  <c r="I510" i="35" s="1"/>
  <c r="AR602" i="19"/>
  <c r="AR473" i="19"/>
  <c r="F444" i="35"/>
  <c r="I444" i="35" s="1"/>
  <c r="H444" i="35"/>
  <c r="AR335" i="19"/>
  <c r="AO475" i="19"/>
  <c r="AC475" i="19" s="1"/>
  <c r="AO122" i="19"/>
  <c r="AC122" i="19" s="1"/>
  <c r="AO448" i="19"/>
  <c r="AC448" i="19" s="1"/>
  <c r="AO498" i="19"/>
  <c r="AC498" i="19" s="1"/>
  <c r="H459" i="35"/>
  <c r="F459" i="35"/>
  <c r="I459" i="35" s="1"/>
  <c r="AR227" i="19"/>
  <c r="AO491" i="19"/>
  <c r="AC491" i="19" s="1"/>
  <c r="F123" i="35"/>
  <c r="I123" i="35" s="1"/>
  <c r="H123" i="35"/>
  <c r="F394" i="35"/>
  <c r="I394" i="35" s="1"/>
  <c r="H394" i="35"/>
  <c r="AO133" i="19"/>
  <c r="AC133" i="19" s="1"/>
  <c r="AR197" i="19"/>
  <c r="AR352" i="19"/>
  <c r="AR224" i="19"/>
  <c r="AO128" i="19"/>
  <c r="AC128" i="19" s="1"/>
  <c r="AR566" i="19"/>
  <c r="AO325" i="19"/>
  <c r="AC325" i="19" s="1"/>
  <c r="F740" i="35"/>
  <c r="I740" i="35" s="1"/>
  <c r="H740" i="35"/>
  <c r="H234" i="35"/>
  <c r="F234" i="35"/>
  <c r="I234" i="35" s="1"/>
  <c r="AO135" i="19"/>
  <c r="AC135" i="19" s="1"/>
  <c r="AO356" i="19"/>
  <c r="AC356" i="19" s="1"/>
  <c r="H21" i="35"/>
  <c r="F21" i="35"/>
  <c r="I21" i="35" s="1"/>
  <c r="H792" i="35"/>
  <c r="F792" i="35"/>
  <c r="I792" i="35" s="1"/>
  <c r="H558" i="35"/>
  <c r="F558" i="35"/>
  <c r="I558" i="35" s="1"/>
  <c r="AR298" i="19"/>
  <c r="AR451" i="19"/>
  <c r="F105" i="35"/>
  <c r="I105" i="35" s="1"/>
  <c r="H105" i="35"/>
  <c r="H547" i="35"/>
  <c r="F547" i="35"/>
  <c r="I547" i="35" s="1"/>
  <c r="AR131" i="19"/>
  <c r="AO174" i="19"/>
  <c r="AC174" i="19" s="1"/>
  <c r="H744" i="35"/>
  <c r="F744" i="35"/>
  <c r="I744" i="35" s="1"/>
  <c r="AO249" i="19"/>
  <c r="AC249" i="19" s="1"/>
  <c r="AR87" i="19"/>
  <c r="H936" i="35"/>
  <c r="F936" i="35"/>
  <c r="I936" i="35" s="1"/>
  <c r="AO47" i="19"/>
  <c r="AC47" i="19" s="1"/>
  <c r="AO302" i="19"/>
  <c r="AC302" i="19" s="1"/>
  <c r="H596" i="35"/>
  <c r="F596" i="35"/>
  <c r="I596" i="35" s="1"/>
  <c r="F447" i="35"/>
  <c r="I447" i="35" s="1"/>
  <c r="H447" i="35"/>
  <c r="H787" i="35"/>
  <c r="F787" i="35"/>
  <c r="I787" i="35" s="1"/>
  <c r="F963" i="35"/>
  <c r="I963" i="35" s="1"/>
  <c r="H963" i="35"/>
  <c r="F509" i="35"/>
  <c r="I509" i="35" s="1"/>
  <c r="H509" i="35"/>
  <c r="AO460" i="19"/>
  <c r="AC460" i="19" s="1"/>
  <c r="H977" i="35"/>
  <c r="F977" i="35"/>
  <c r="I977" i="35" s="1"/>
  <c r="F791" i="35"/>
  <c r="I791" i="35" s="1"/>
  <c r="H791" i="35"/>
  <c r="H194" i="35"/>
  <c r="F194" i="35"/>
  <c r="I194" i="35" s="1"/>
  <c r="AR320" i="19"/>
  <c r="F469" i="35"/>
  <c r="I469" i="35" s="1"/>
  <c r="H469" i="35"/>
  <c r="H912" i="35"/>
  <c r="F912" i="35"/>
  <c r="I912" i="35" s="1"/>
  <c r="F1051" i="35"/>
  <c r="I1051" i="35" s="1"/>
  <c r="H1051" i="35"/>
  <c r="H699" i="35"/>
  <c r="F699" i="35"/>
  <c r="I699" i="35" s="1"/>
  <c r="H765" i="35"/>
  <c r="F765" i="35"/>
  <c r="I765" i="35" s="1"/>
  <c r="AR507" i="19"/>
  <c r="H401" i="35"/>
  <c r="F401" i="35"/>
  <c r="I401" i="35" s="1"/>
  <c r="H302" i="35"/>
  <c r="F302" i="35"/>
  <c r="I302" i="35" s="1"/>
  <c r="H445" i="35"/>
  <c r="F445" i="35"/>
  <c r="I445" i="35" s="1"/>
  <c r="H462" i="35"/>
  <c r="F462" i="35"/>
  <c r="I462" i="35" s="1"/>
  <c r="F151" i="35"/>
  <c r="I151" i="35" s="1"/>
  <c r="H151" i="35"/>
  <c r="AR585" i="19"/>
  <c r="H753" i="35"/>
  <c r="F753" i="35"/>
  <c r="I753" i="35" s="1"/>
  <c r="H494" i="35"/>
  <c r="F494" i="35"/>
  <c r="I494" i="35" s="1"/>
  <c r="AO225" i="19"/>
  <c r="AC225" i="19" s="1"/>
  <c r="H387" i="35"/>
  <c r="F387" i="35"/>
  <c r="I387" i="35" s="1"/>
  <c r="AR483" i="19"/>
  <c r="H220" i="35"/>
  <c r="F220" i="35"/>
  <c r="I220" i="35" s="1"/>
  <c r="H879" i="35"/>
  <c r="F879" i="35"/>
  <c r="I879" i="35" s="1"/>
  <c r="F141" i="35"/>
  <c r="I141" i="35" s="1"/>
  <c r="H141" i="35"/>
  <c r="AR404" i="19"/>
  <c r="AO318" i="19"/>
  <c r="AC318" i="19" s="1"/>
  <c r="AR584" i="19"/>
  <c r="AO355" i="19"/>
  <c r="AC355" i="19" s="1"/>
  <c r="AO386" i="19"/>
  <c r="AC386" i="19" s="1"/>
  <c r="AO430" i="19"/>
  <c r="AC430" i="19" s="1"/>
  <c r="F1067" i="35"/>
  <c r="I1067" i="35" s="1"/>
  <c r="H1067" i="35"/>
  <c r="F904" i="35"/>
  <c r="I904" i="35" s="1"/>
  <c r="H904" i="35"/>
  <c r="AO443" i="19"/>
  <c r="AC443" i="19" s="1"/>
  <c r="F1002" i="35"/>
  <c r="I1002" i="35" s="1"/>
  <c r="H1002" i="35"/>
  <c r="AO394" i="19"/>
  <c r="AC394" i="19" s="1"/>
  <c r="AR417" i="19"/>
  <c r="AR428" i="19"/>
  <c r="AR434" i="19"/>
  <c r="AO558" i="19"/>
  <c r="AC558" i="19" s="1"/>
  <c r="AO415" i="19"/>
  <c r="AC415" i="19" s="1"/>
  <c r="F686" i="35"/>
  <c r="I686" i="35" s="1"/>
  <c r="H686" i="35"/>
  <c r="F676" i="35"/>
  <c r="I676" i="35" s="1"/>
  <c r="H676" i="35"/>
  <c r="AR117" i="19"/>
  <c r="AO144" i="19"/>
  <c r="AC144" i="19" s="1"/>
  <c r="AO111" i="19"/>
  <c r="AC111" i="19" s="1"/>
  <c r="F216" i="35"/>
  <c r="I216" i="35" s="1"/>
  <c r="H216" i="35"/>
  <c r="AR477" i="19"/>
  <c r="AR495" i="19"/>
  <c r="F705" i="35"/>
  <c r="I705" i="35" s="1"/>
  <c r="H705" i="35"/>
  <c r="H868" i="35"/>
  <c r="F868" i="35"/>
  <c r="I868" i="35" s="1"/>
  <c r="AO410" i="19"/>
  <c r="AC410" i="19" s="1"/>
  <c r="F755" i="35"/>
  <c r="I755" i="35" s="1"/>
  <c r="H755" i="35"/>
  <c r="AR332" i="19"/>
  <c r="AR215" i="19"/>
  <c r="AO383" i="19"/>
  <c r="AC383" i="19" s="1"/>
  <c r="F179" i="35"/>
  <c r="I179" i="35" s="1"/>
  <c r="H179" i="35"/>
  <c r="AR301" i="19"/>
  <c r="H668" i="35"/>
  <c r="F668" i="35"/>
  <c r="I668" i="35" s="1"/>
  <c r="F814" i="35"/>
  <c r="I814" i="35" s="1"/>
  <c r="H814" i="35"/>
  <c r="F933" i="35"/>
  <c r="I933" i="35" s="1"/>
  <c r="H933" i="35"/>
  <c r="AO476" i="19"/>
  <c r="AC476" i="19" s="1"/>
  <c r="F479" i="35"/>
  <c r="I479" i="35" s="1"/>
  <c r="H479" i="35"/>
  <c r="AO139" i="19"/>
  <c r="AC139" i="19" s="1"/>
  <c r="AR46" i="19"/>
  <c r="AR105" i="19"/>
  <c r="AO403" i="19"/>
  <c r="AC403" i="19" s="1"/>
  <c r="F441" i="35"/>
  <c r="I441" i="35" s="1"/>
  <c r="H441" i="35"/>
  <c r="AR232" i="19"/>
  <c r="H132" i="35"/>
  <c r="F132" i="35"/>
  <c r="I132" i="35" s="1"/>
  <c r="AO137" i="19"/>
  <c r="AC137" i="19" s="1"/>
  <c r="AR208" i="19"/>
  <c r="H308" i="35"/>
  <c r="F308" i="35"/>
  <c r="I308" i="35" s="1"/>
  <c r="H317" i="35"/>
  <c r="F317" i="35"/>
  <c r="I317" i="35" s="1"/>
  <c r="AO570" i="19"/>
  <c r="AC570" i="19" s="1"/>
  <c r="H490" i="35"/>
  <c r="F490" i="35"/>
  <c r="I490" i="35" s="1"/>
  <c r="AO65" i="19"/>
  <c r="AC65" i="19" s="1"/>
  <c r="AO485" i="19"/>
  <c r="AC485" i="19" s="1"/>
  <c r="H863" i="35"/>
  <c r="F863" i="35"/>
  <c r="I863" i="35" s="1"/>
  <c r="H833" i="35"/>
  <c r="F833" i="35"/>
  <c r="I833" i="35" s="1"/>
  <c r="F751" i="35"/>
  <c r="I751" i="35" s="1"/>
  <c r="H751" i="35"/>
  <c r="AR204" i="19"/>
  <c r="F998" i="35"/>
  <c r="I998" i="35" s="1"/>
  <c r="H998" i="35"/>
  <c r="AR514" i="19"/>
  <c r="F59" i="35"/>
  <c r="I59" i="35" s="1"/>
  <c r="H59" i="35"/>
  <c r="F16" i="35"/>
  <c r="I16" i="35" s="1"/>
  <c r="H16" i="35"/>
  <c r="H1049" i="35"/>
  <c r="F1049" i="35"/>
  <c r="I1049" i="35" s="1"/>
  <c r="F796" i="35"/>
  <c r="H796" i="35" s="1"/>
  <c r="H313" i="35"/>
  <c r="F313" i="35"/>
  <c r="I313" i="35" s="1"/>
  <c r="H774" i="35"/>
  <c r="F774" i="35"/>
  <c r="I774" i="35" s="1"/>
  <c r="AO412" i="19"/>
  <c r="AC412" i="19" s="1"/>
  <c r="F609" i="35"/>
  <c r="I609" i="35" s="1"/>
  <c r="H609" i="35"/>
  <c r="AO331" i="19"/>
  <c r="AC331" i="19" s="1"/>
  <c r="AR259" i="19"/>
  <c r="H682" i="35"/>
  <c r="F682" i="35"/>
  <c r="I682" i="35" s="1"/>
  <c r="H33" i="35"/>
  <c r="F33" i="35"/>
  <c r="I33" i="35" s="1"/>
  <c r="F408" i="35"/>
  <c r="I408" i="35" s="1"/>
  <c r="H408" i="35"/>
  <c r="AO550" i="19"/>
  <c r="AC550" i="19" s="1"/>
  <c r="AO158" i="19"/>
  <c r="AC158" i="19" s="1"/>
  <c r="AR90" i="19"/>
  <c r="H1062" i="35"/>
  <c r="F1062" i="35"/>
  <c r="I1062" i="35" s="1"/>
  <c r="H859" i="35"/>
  <c r="F859" i="35"/>
  <c r="I859" i="35" s="1"/>
  <c r="AO353" i="19"/>
  <c r="AC353" i="19" s="1"/>
  <c r="AR170" i="19"/>
  <c r="AR564" i="19"/>
  <c r="F92" i="35"/>
  <c r="I92" i="35" s="1"/>
  <c r="H92" i="35"/>
  <c r="AR366" i="19"/>
  <c r="AR339" i="19"/>
  <c r="F231" i="35"/>
  <c r="I231" i="35" s="1"/>
  <c r="H231" i="35"/>
  <c r="F161" i="35"/>
  <c r="I161" i="35" s="1"/>
  <c r="H161" i="35"/>
  <c r="AR289" i="19"/>
  <c r="H566" i="35"/>
  <c r="F566" i="35"/>
  <c r="I566" i="35" s="1"/>
  <c r="AO324" i="19"/>
  <c r="AC324" i="19" s="1"/>
  <c r="H340" i="35"/>
  <c r="F340" i="35"/>
  <c r="I340" i="35" s="1"/>
  <c r="AR445" i="19"/>
  <c r="H773" i="35"/>
  <c r="F773" i="35"/>
  <c r="I773" i="35" s="1"/>
  <c r="F892" i="35"/>
  <c r="I892" i="35" s="1"/>
  <c r="H892" i="35"/>
  <c r="F316" i="35"/>
  <c r="I316" i="35" s="1"/>
  <c r="H316" i="35"/>
  <c r="F521" i="35"/>
  <c r="I521" i="35" s="1"/>
  <c r="H521" i="35"/>
  <c r="AO124" i="19"/>
  <c r="AC124" i="19" s="1"/>
  <c r="F1060" i="35"/>
  <c r="I1060" i="35" s="1"/>
  <c r="H1060" i="35"/>
  <c r="H781" i="35"/>
  <c r="F781" i="35"/>
  <c r="I781" i="35" s="1"/>
  <c r="F746" i="35"/>
  <c r="I746" i="35" s="1"/>
  <c r="H746" i="35"/>
  <c r="AO440" i="19"/>
  <c r="AC440" i="19" s="1"/>
  <c r="H272" i="35"/>
  <c r="F272" i="35"/>
  <c r="I272" i="35" s="1"/>
  <c r="AO319" i="19"/>
  <c r="AC319" i="19" s="1"/>
  <c r="H88" i="35"/>
  <c r="F88" i="35"/>
  <c r="I88" i="35" s="1"/>
  <c r="F856" i="35"/>
  <c r="I856" i="35" s="1"/>
  <c r="H856" i="35"/>
  <c r="AO32" i="19"/>
  <c r="AC32" i="19" s="1"/>
  <c r="H127" i="35"/>
  <c r="F127" i="35"/>
  <c r="I127" i="35" s="1"/>
  <c r="F190" i="35"/>
  <c r="I190" i="35" s="1"/>
  <c r="H190" i="35"/>
  <c r="AR442" i="19"/>
  <c r="H355" i="35"/>
  <c r="F355" i="35"/>
  <c r="I355" i="35" s="1"/>
  <c r="H377" i="35"/>
  <c r="F377" i="35"/>
  <c r="I377" i="35" s="1"/>
  <c r="AR457" i="19"/>
  <c r="AR341" i="19"/>
  <c r="H153" i="35"/>
  <c r="F153" i="35"/>
  <c r="I153" i="35" s="1"/>
  <c r="H588" i="35"/>
  <c r="F588" i="35"/>
  <c r="I588" i="35" s="1"/>
  <c r="I1066" i="35"/>
  <c r="E1066" i="35"/>
  <c r="H63" i="35"/>
  <c r="F63" i="35"/>
  <c r="I63" i="35" s="1"/>
  <c r="AR96" i="19"/>
  <c r="H595" i="35"/>
  <c r="F595" i="35"/>
  <c r="I595" i="35" s="1"/>
  <c r="H720" i="35"/>
  <c r="F720" i="35"/>
  <c r="I720" i="35" s="1"/>
  <c r="AO152" i="19"/>
  <c r="AC152" i="19" s="1"/>
  <c r="H475" i="35"/>
  <c r="F475" i="35"/>
  <c r="I475" i="35" s="1"/>
  <c r="H7" i="35"/>
  <c r="F7" i="35"/>
  <c r="I7" i="35" s="1"/>
  <c r="AO149" i="19"/>
  <c r="AC149" i="19" s="1"/>
  <c r="H82" i="35"/>
  <c r="F82" i="35"/>
  <c r="I82" i="35" s="1"/>
  <c r="H1043" i="35"/>
  <c r="F1043" i="35"/>
  <c r="I1043" i="35" s="1"/>
  <c r="AO24" i="19"/>
  <c r="AC24" i="19" s="1"/>
  <c r="AO543" i="19"/>
  <c r="AC543" i="19" s="1"/>
  <c r="F713" i="35"/>
  <c r="I713" i="35" s="1"/>
  <c r="H713" i="35"/>
  <c r="AO423" i="19"/>
  <c r="AC423" i="19" s="1"/>
  <c r="H200" i="35"/>
  <c r="F200" i="35"/>
  <c r="I200" i="35" s="1"/>
  <c r="AO576" i="19"/>
  <c r="AC576" i="19" s="1"/>
  <c r="AO58" i="19"/>
  <c r="AC58" i="19" s="1"/>
  <c r="H685" i="35"/>
  <c r="F685" i="35"/>
  <c r="I685" i="35" s="1"/>
  <c r="F32" i="35"/>
  <c r="I32" i="35" s="1"/>
  <c r="H32" i="35"/>
  <c r="AO121" i="19"/>
  <c r="AC121" i="19" s="1"/>
  <c r="AO271" i="19"/>
  <c r="AC271" i="19" s="1"/>
  <c r="AR118" i="19"/>
  <c r="F327" i="35"/>
  <c r="I327" i="35" s="1"/>
  <c r="H327" i="35"/>
  <c r="AR255" i="19"/>
  <c r="H96" i="35"/>
  <c r="F96" i="35"/>
  <c r="I96" i="35" s="1"/>
  <c r="AO214" i="19"/>
  <c r="AC214" i="19" s="1"/>
  <c r="AR48" i="19"/>
  <c r="AO368" i="19"/>
  <c r="AC368" i="19" s="1"/>
  <c r="H693" i="35"/>
  <c r="F693" i="35"/>
  <c r="I693" i="35" s="1"/>
  <c r="AR77" i="19"/>
  <c r="H929" i="35"/>
  <c r="F929" i="35"/>
  <c r="I929" i="35" s="1"/>
  <c r="AO67" i="19"/>
  <c r="AC67" i="19" s="1"/>
  <c r="F602" i="35"/>
  <c r="I602" i="35" s="1"/>
  <c r="H602" i="35"/>
  <c r="F144" i="35"/>
  <c r="I144" i="35" s="1"/>
  <c r="H144" i="35"/>
  <c r="H15" i="35"/>
  <c r="F15" i="35"/>
  <c r="I15" i="35" s="1"/>
  <c r="H454" i="35"/>
  <c r="F454" i="35"/>
  <c r="I454" i="35" s="1"/>
  <c r="F35" i="35"/>
  <c r="I35" i="35" s="1"/>
  <c r="H35" i="35"/>
  <c r="F24" i="35"/>
  <c r="I24" i="35" s="1"/>
  <c r="H24" i="35"/>
  <c r="F756" i="35"/>
  <c r="I756" i="35" s="1"/>
  <c r="H756" i="35"/>
  <c r="AR312" i="19"/>
  <c r="AR510" i="19"/>
  <c r="AO336" i="19"/>
  <c r="AC336" i="19" s="1"/>
  <c r="H739" i="35"/>
  <c r="F739" i="35"/>
  <c r="I739" i="35" s="1"/>
  <c r="AR297" i="19"/>
  <c r="F644" i="35"/>
  <c r="I644" i="35" s="1"/>
  <c r="H644" i="35"/>
  <c r="H939" i="35"/>
  <c r="F939" i="35"/>
  <c r="I939" i="35" s="1"/>
  <c r="AR95" i="19"/>
  <c r="AR444" i="19"/>
  <c r="F867" i="35"/>
  <c r="I867" i="35" s="1"/>
  <c r="H867" i="35"/>
  <c r="H723" i="35"/>
  <c r="F723" i="35"/>
  <c r="I723" i="35" s="1"/>
  <c r="H368" i="35"/>
  <c r="F368" i="35"/>
  <c r="I368" i="35" s="1"/>
  <c r="F1024" i="35"/>
  <c r="I1024" i="35" s="1"/>
  <c r="H1024" i="35"/>
  <c r="H855" i="35"/>
  <c r="F855" i="35"/>
  <c r="I855" i="35" s="1"/>
  <c r="F94" i="35"/>
  <c r="I94" i="35" s="1"/>
  <c r="H94" i="35"/>
  <c r="H124" i="35"/>
  <c r="F124" i="35"/>
  <c r="I124" i="35" s="1"/>
  <c r="AO579" i="19"/>
  <c r="AC579" i="19" s="1"/>
  <c r="AO60" i="19"/>
  <c r="AC60" i="19" s="1"/>
  <c r="AR361" i="19"/>
  <c r="F704" i="35"/>
  <c r="I704" i="35" s="1"/>
  <c r="H704" i="35"/>
  <c r="AO413" i="19"/>
  <c r="AC413" i="19" s="1"/>
  <c r="H345" i="35"/>
  <c r="F345" i="35"/>
  <c r="I345" i="35" s="1"/>
  <c r="AO267" i="19"/>
  <c r="AC267" i="19" s="1"/>
  <c r="AO187" i="19"/>
  <c r="AC187" i="19" s="1"/>
  <c r="H53" i="35"/>
  <c r="F53" i="35"/>
  <c r="I53" i="35" s="1"/>
  <c r="F724" i="35"/>
  <c r="I724" i="35" s="1"/>
  <c r="H724" i="35"/>
  <c r="H357" i="35"/>
  <c r="F357" i="35"/>
  <c r="I357" i="35" s="1"/>
  <c r="F798" i="35"/>
  <c r="H798" i="35" s="1"/>
  <c r="AO125" i="19"/>
  <c r="AC125" i="19" s="1"/>
  <c r="AO126" i="19"/>
  <c r="AC126" i="19" s="1"/>
  <c r="H785" i="35"/>
  <c r="F785" i="35"/>
  <c r="I785" i="35" s="1"/>
  <c r="AO568" i="19"/>
  <c r="AC568" i="19" s="1"/>
  <c r="AO399" i="19"/>
  <c r="AC399" i="19" s="1"/>
  <c r="AR398" i="19"/>
  <c r="AR115" i="19"/>
  <c r="H484" i="35"/>
  <c r="F484" i="35"/>
  <c r="I484" i="35" s="1"/>
  <c r="AO307" i="19"/>
  <c r="AC307" i="19" s="1"/>
  <c r="F346" i="35"/>
  <c r="I346" i="35" s="1"/>
  <c r="H346" i="35"/>
  <c r="AO245" i="19"/>
  <c r="AC245" i="19" s="1"/>
  <c r="H370" i="35"/>
  <c r="F370" i="35"/>
  <c r="I370" i="35" s="1"/>
  <c r="F822" i="35"/>
  <c r="I822" i="35" s="1"/>
  <c r="H822" i="35"/>
  <c r="F1047" i="35"/>
  <c r="I1047" i="35" s="1"/>
  <c r="H1047" i="35"/>
  <c r="AO217" i="19"/>
  <c r="AC217" i="19" s="1"/>
  <c r="AR486" i="19"/>
  <c r="F106" i="35"/>
  <c r="I106" i="35" s="1"/>
  <c r="H106" i="35"/>
  <c r="H498" i="35"/>
  <c r="F498" i="35"/>
  <c r="I498" i="35" s="1"/>
  <c r="AO408" i="19"/>
  <c r="AC408" i="19" s="1"/>
  <c r="F578" i="35"/>
  <c r="I578" i="35" s="1"/>
  <c r="H578" i="35"/>
  <c r="AR432" i="19"/>
  <c r="AO180" i="19"/>
  <c r="AC180" i="19" s="1"/>
  <c r="AR594" i="19"/>
  <c r="H191" i="35"/>
  <c r="F191" i="35"/>
  <c r="I191" i="35" s="1"/>
  <c r="F649" i="35"/>
  <c r="I649" i="35" s="1"/>
  <c r="H649" i="35"/>
  <c r="H554" i="35"/>
  <c r="F554" i="35"/>
  <c r="I554" i="35" s="1"/>
  <c r="AR465" i="19"/>
  <c r="H61" i="35"/>
  <c r="F61" i="35"/>
  <c r="I61" i="35" s="1"/>
  <c r="AR132" i="19"/>
  <c r="F679" i="35"/>
  <c r="I679" i="35" s="1"/>
  <c r="H679" i="35"/>
  <c r="F403" i="35"/>
  <c r="I403" i="35" s="1"/>
  <c r="H403" i="35"/>
  <c r="AO35" i="19"/>
  <c r="AC35" i="19" s="1"/>
  <c r="H248" i="35"/>
  <c r="F248" i="35"/>
  <c r="I248" i="35" s="1"/>
  <c r="AR113" i="19"/>
  <c r="F966" i="35"/>
  <c r="I966" i="35" s="1"/>
  <c r="H966" i="35"/>
  <c r="H539" i="35"/>
  <c r="F539" i="35"/>
  <c r="I539" i="35" s="1"/>
  <c r="AR85" i="19"/>
  <c r="AR540" i="19"/>
  <c r="AO470" i="19"/>
  <c r="AC470" i="19" s="1"/>
  <c r="AR380" i="19"/>
  <c r="AR282" i="19"/>
  <c r="H684" i="35"/>
  <c r="F684" i="35"/>
  <c r="I684" i="35" s="1"/>
  <c r="H675" i="35"/>
  <c r="F675" i="35"/>
  <c r="I675" i="35" s="1"/>
  <c r="F1005" i="35"/>
  <c r="I1005" i="35" s="1"/>
  <c r="H1005" i="35"/>
  <c r="AR348" i="19"/>
  <c r="AR421" i="19"/>
  <c r="AO44" i="19"/>
  <c r="AC44" i="19" s="1"/>
  <c r="F728" i="35"/>
  <c r="I728" i="35" s="1"/>
  <c r="H728" i="35"/>
  <c r="F279" i="35"/>
  <c r="I279" i="35" s="1"/>
  <c r="H279" i="35"/>
  <c r="AR317" i="19"/>
  <c r="F68" i="35"/>
  <c r="I68" i="35" s="1"/>
  <c r="H68" i="35"/>
  <c r="AO454" i="19"/>
  <c r="AC454" i="19" s="1"/>
  <c r="F622" i="35"/>
  <c r="I622" i="35" s="1"/>
  <c r="H622" i="35"/>
  <c r="F517" i="35"/>
  <c r="I517" i="35" s="1"/>
  <c r="H517" i="35"/>
  <c r="AO524" i="19"/>
  <c r="AC524" i="19" s="1"/>
  <c r="F1059" i="35"/>
  <c r="I1059" i="35" s="1"/>
  <c r="H1059" i="35"/>
  <c r="F546" i="35"/>
  <c r="I546" i="35" s="1"/>
  <c r="H546" i="35"/>
  <c r="H921" i="35"/>
  <c r="F921" i="35"/>
  <c r="I921" i="35" s="1"/>
  <c r="AR28" i="19"/>
  <c r="AO586" i="19"/>
  <c r="AC586" i="19" s="1"/>
  <c r="F758" i="35"/>
  <c r="I758" i="35" s="1"/>
  <c r="H758" i="35"/>
  <c r="H196" i="35"/>
  <c r="F196" i="35"/>
  <c r="I196" i="35" s="1"/>
  <c r="AR373" i="19"/>
  <c r="F306" i="35"/>
  <c r="I306" i="35" s="1"/>
  <c r="H306" i="35"/>
  <c r="F944" i="35"/>
  <c r="I944" i="35" s="1"/>
  <c r="H944" i="35"/>
  <c r="AR173" i="19"/>
  <c r="AR273" i="19"/>
  <c r="H311" i="35"/>
  <c r="F311" i="35"/>
  <c r="I311" i="35" s="1"/>
  <c r="AO201" i="19"/>
  <c r="AC201" i="19" s="1"/>
  <c r="F843" i="35"/>
  <c r="I843" i="35" s="1"/>
  <c r="H843" i="35"/>
  <c r="AR265" i="19"/>
  <c r="F491" i="35"/>
  <c r="I491" i="35" s="1"/>
  <c r="H491" i="35"/>
  <c r="H369" i="35"/>
  <c r="F369" i="35"/>
  <c r="I369" i="35" s="1"/>
  <c r="H42" i="35"/>
  <c r="F42" i="35"/>
  <c r="I42" i="35" s="1"/>
  <c r="AR151" i="19"/>
  <c r="F690" i="35"/>
  <c r="I690" i="35" s="1"/>
  <c r="H690" i="35"/>
  <c r="H964" i="35"/>
  <c r="F964" i="35"/>
  <c r="I964" i="35" s="1"/>
  <c r="AR567" i="19"/>
  <c r="AR472" i="19"/>
  <c r="H351" i="35"/>
  <c r="F351" i="35"/>
  <c r="I351" i="35" s="1"/>
  <c r="F91" i="35"/>
  <c r="I91" i="35" s="1"/>
  <c r="H91" i="35"/>
  <c r="F307" i="35"/>
  <c r="I307" i="35" s="1"/>
  <c r="H307" i="35"/>
  <c r="H556" i="35"/>
  <c r="F556" i="35"/>
  <c r="I556" i="35" s="1"/>
  <c r="H255" i="35"/>
  <c r="F255" i="35"/>
  <c r="I255" i="35" s="1"/>
  <c r="H1052" i="35"/>
  <c r="F1052" i="35"/>
  <c r="I1052" i="35" s="1"/>
  <c r="H581" i="35"/>
  <c r="F581" i="35"/>
  <c r="I581" i="35" s="1"/>
  <c r="AR76" i="19"/>
  <c r="F538" i="35"/>
  <c r="I538" i="35" s="1"/>
  <c r="H538" i="35"/>
  <c r="H535" i="35"/>
  <c r="F535" i="35"/>
  <c r="I535" i="35" s="1"/>
  <c r="H903" i="35"/>
  <c r="F903" i="35"/>
  <c r="I903" i="35" s="1"/>
  <c r="F29" i="35"/>
  <c r="I29" i="35" s="1"/>
  <c r="H29" i="35"/>
  <c r="F227" i="35"/>
  <c r="I227" i="35" s="1"/>
  <c r="H227" i="35"/>
  <c r="AR25" i="19"/>
  <c r="AO481" i="19"/>
  <c r="AC481" i="19" s="1"/>
  <c r="H1090" i="35"/>
  <c r="F1090" i="35"/>
  <c r="I1090" i="35" s="1"/>
  <c r="H1032" i="35"/>
  <c r="F1032" i="35"/>
  <c r="I1032" i="35" s="1"/>
  <c r="F456" i="35"/>
  <c r="I456" i="35" s="1"/>
  <c r="H456" i="35"/>
  <c r="AR68" i="19"/>
  <c r="H1014" i="35"/>
  <c r="F1014" i="35"/>
  <c r="I1014" i="35" s="1"/>
  <c r="H266" i="35"/>
  <c r="F266" i="35"/>
  <c r="I266" i="35" s="1"/>
  <c r="H390" i="35"/>
  <c r="F390" i="35"/>
  <c r="I390" i="35" s="1"/>
  <c r="AR222" i="19"/>
  <c r="AO437" i="19"/>
  <c r="AC437" i="19" s="1"/>
  <c r="F426" i="35"/>
  <c r="I426" i="35" s="1"/>
  <c r="H426" i="35"/>
  <c r="F280" i="35"/>
  <c r="I280" i="35" s="1"/>
  <c r="H280" i="35"/>
  <c r="F659" i="35"/>
  <c r="I659" i="35" s="1"/>
  <c r="H659" i="35"/>
  <c r="AO23" i="19"/>
  <c r="AC23" i="19" s="1"/>
  <c r="F600" i="35"/>
  <c r="I600" i="35" s="1"/>
  <c r="H600" i="35"/>
  <c r="H1039" i="35"/>
  <c r="F1039" i="35"/>
  <c r="I1039" i="35" s="1"/>
  <c r="AO179" i="19"/>
  <c r="AC179" i="19" s="1"/>
  <c r="AO153" i="19"/>
  <c r="AC153" i="19" s="1"/>
  <c r="F708" i="35"/>
  <c r="I708" i="35" s="1"/>
  <c r="H708" i="35"/>
  <c r="H242" i="35"/>
  <c r="F242" i="35"/>
  <c r="I242" i="35" s="1"/>
  <c r="AO51" i="19"/>
  <c r="AC51" i="19" s="1"/>
  <c r="AR236" i="19"/>
  <c r="AO241" i="19"/>
  <c r="AC241" i="19" s="1"/>
  <c r="AO50" i="19"/>
  <c r="AC50" i="19" s="1"/>
  <c r="AO254" i="19"/>
  <c r="AC254" i="19" s="1"/>
  <c r="AR310" i="19"/>
  <c r="AR246" i="19"/>
  <c r="H502" i="35"/>
  <c r="F502" i="35"/>
  <c r="I502" i="35" s="1"/>
  <c r="AR242" i="19"/>
  <c r="F365" i="35"/>
  <c r="I365" i="35" s="1"/>
  <c r="H365" i="35"/>
  <c r="H374" i="35"/>
  <c r="F374" i="35"/>
  <c r="I374" i="35" s="1"/>
  <c r="H834" i="35"/>
  <c r="F834" i="35"/>
  <c r="I834" i="35" s="1"/>
  <c r="F476" i="35"/>
  <c r="I476" i="35" s="1"/>
  <c r="H476" i="35"/>
  <c r="AR168" i="19"/>
  <c r="AR561" i="19"/>
  <c r="AR98" i="19"/>
  <c r="F1080" i="35"/>
  <c r="I1080" i="35" s="1"/>
  <c r="H1080" i="35"/>
  <c r="AO79" i="19"/>
  <c r="AC79" i="19" s="1"/>
  <c r="AR94" i="19"/>
  <c r="F237" i="35"/>
  <c r="I237" i="35" s="1"/>
  <c r="H237" i="35"/>
  <c r="AO327" i="19"/>
  <c r="AC327" i="19" s="1"/>
  <c r="H113" i="35"/>
  <c r="F113" i="35"/>
  <c r="I113" i="35" s="1"/>
  <c r="H854" i="35"/>
  <c r="F854" i="35"/>
  <c r="I854" i="35" s="1"/>
  <c r="AR194" i="19"/>
  <c r="H536" i="35"/>
  <c r="F536" i="35"/>
  <c r="I536" i="35" s="1"/>
  <c r="AR66" i="19"/>
  <c r="AO203" i="19"/>
  <c r="AC203" i="19" s="1"/>
  <c r="AR441" i="19"/>
  <c r="H467" i="35"/>
  <c r="F467" i="35"/>
  <c r="I467" i="35" s="1"/>
  <c r="H974" i="35"/>
  <c r="F974" i="35"/>
  <c r="I974" i="35" s="1"/>
  <c r="F610" i="35"/>
  <c r="I610" i="35" s="1"/>
  <c r="H610" i="35"/>
  <c r="AO109" i="19"/>
  <c r="AC109" i="19" s="1"/>
  <c r="AO69" i="19"/>
  <c r="AC69" i="19" s="1"/>
  <c r="AO195" i="19"/>
  <c r="AC195" i="19" s="1"/>
  <c r="AO365" i="19"/>
  <c r="AC365" i="19" s="1"/>
  <c r="F836" i="35"/>
  <c r="I836" i="35" s="1"/>
  <c r="H836" i="35"/>
  <c r="AO178" i="19"/>
  <c r="AC178" i="19" s="1"/>
  <c r="AR458" i="19"/>
  <c r="AR192" i="19"/>
  <c r="H95" i="35"/>
  <c r="F95" i="35"/>
  <c r="I95" i="35" s="1"/>
  <c r="H1077" i="35"/>
  <c r="F1077" i="35"/>
  <c r="I1077" i="35" s="1"/>
  <c r="AO167" i="19"/>
  <c r="AC167" i="19" s="1"/>
  <c r="F815" i="35"/>
  <c r="I815" i="35" s="1"/>
  <c r="H815" i="35"/>
  <c r="AO484" i="19"/>
  <c r="AC484" i="19" s="1"/>
  <c r="F988" i="35"/>
  <c r="I988" i="35" s="1"/>
  <c r="H988" i="35"/>
  <c r="H761" i="35"/>
  <c r="F761" i="35"/>
  <c r="I761" i="35" s="1"/>
  <c r="AO99" i="19"/>
  <c r="AC99" i="19" s="1"/>
  <c r="F466" i="35"/>
  <c r="I466" i="35" s="1"/>
  <c r="H466" i="35"/>
  <c r="AO281" i="19"/>
  <c r="AC281" i="19" s="1"/>
  <c r="AR80" i="19"/>
  <c r="AR396" i="19"/>
  <c r="AR547" i="19"/>
  <c r="F173" i="35"/>
  <c r="I173" i="35" s="1"/>
  <c r="H173" i="35"/>
  <c r="H845" i="35"/>
  <c r="F845" i="35"/>
  <c r="I845" i="35" s="1"/>
  <c r="F1084" i="35"/>
  <c r="I1084" i="35" s="1"/>
  <c r="H1084" i="35"/>
  <c r="AO462" i="19"/>
  <c r="AC462" i="19" s="1"/>
  <c r="F380" i="35"/>
  <c r="I380" i="35" s="1"/>
  <c r="H380" i="35"/>
  <c r="H844" i="35"/>
  <c r="F844" i="35"/>
  <c r="I844" i="35" s="1"/>
  <c r="H866" i="35"/>
  <c r="F866" i="35"/>
  <c r="I866" i="35" s="1"/>
  <c r="H83" i="35"/>
  <c r="F83" i="35"/>
  <c r="I83" i="35" s="1"/>
  <c r="E6" i="35"/>
  <c r="F6" i="35" s="1"/>
  <c r="H6" i="35" s="1"/>
  <c r="G6" i="35" s="1"/>
  <c r="J6" i="35" s="1"/>
  <c r="I6" i="35"/>
  <c r="H434" i="35"/>
  <c r="F434" i="35"/>
  <c r="I434" i="35" s="1"/>
  <c r="AR172" i="19"/>
  <c r="AR304" i="19"/>
  <c r="AR357" i="19"/>
  <c r="F909" i="35"/>
  <c r="I909" i="35" s="1"/>
  <c r="H909" i="35"/>
  <c r="AO538" i="19"/>
  <c r="AC538" i="19" s="1"/>
  <c r="F232" i="35"/>
  <c r="I232" i="35" s="1"/>
  <c r="H232" i="35"/>
  <c r="H291" i="35"/>
  <c r="F291" i="35"/>
  <c r="I291" i="35" s="1"/>
  <c r="H599" i="35"/>
  <c r="F599" i="35"/>
  <c r="I599" i="35" s="1"/>
  <c r="F789" i="35"/>
  <c r="I789" i="35" s="1"/>
  <c r="H789" i="35"/>
  <c r="E9" i="35"/>
  <c r="F9" i="35" s="1"/>
  <c r="H9" i="35" s="1"/>
  <c r="G9" i="35" s="1"/>
  <c r="J9" i="35" s="1"/>
  <c r="I9" i="35"/>
  <c r="F754" i="35"/>
  <c r="I754" i="35" s="1"/>
  <c r="H754" i="35"/>
  <c r="AR385" i="19"/>
  <c r="H392" i="35"/>
  <c r="F392" i="35"/>
  <c r="I392" i="35" s="1"/>
  <c r="H817" i="35"/>
  <c r="F817" i="35"/>
  <c r="I817" i="35" s="1"/>
  <c r="AO159" i="19"/>
  <c r="AC159" i="19" s="1"/>
  <c r="AR350" i="19"/>
  <c r="H626" i="35"/>
  <c r="F626" i="35"/>
  <c r="I626" i="35" s="1"/>
  <c r="F402" i="35"/>
  <c r="I402" i="35" s="1"/>
  <c r="H402" i="35"/>
  <c r="F1069" i="35"/>
  <c r="I1069" i="35" s="1"/>
  <c r="H1069" i="35"/>
  <c r="AR591" i="19"/>
  <c r="H333" i="35"/>
  <c r="F333" i="35"/>
  <c r="I333" i="35" s="1"/>
  <c r="AR354" i="19"/>
  <c r="F898" i="35"/>
  <c r="I898" i="35" s="1"/>
  <c r="H898" i="35"/>
  <c r="F412" i="35"/>
  <c r="I412" i="35" s="1"/>
  <c r="H412" i="35"/>
  <c r="F1004" i="35"/>
  <c r="I1004" i="35" s="1"/>
  <c r="H1004" i="35"/>
  <c r="AR165" i="19"/>
  <c r="AO516" i="19"/>
  <c r="AC516" i="19" s="1"/>
  <c r="F185" i="35"/>
  <c r="I185" i="35" s="1"/>
  <c r="H185" i="35"/>
  <c r="AO116" i="19"/>
  <c r="AC116" i="19" s="1"/>
  <c r="F139" i="35"/>
  <c r="I139" i="35" s="1"/>
  <c r="H139" i="35"/>
  <c r="AR577" i="19"/>
  <c r="H281" i="35"/>
  <c r="F281" i="35"/>
  <c r="I281" i="35" s="1"/>
  <c r="F1044" i="35"/>
  <c r="I1044" i="35" s="1"/>
  <c r="H1044" i="35"/>
  <c r="F338" i="35"/>
  <c r="I338" i="35" s="1"/>
  <c r="H338" i="35"/>
  <c r="H808" i="35"/>
  <c r="F808" i="35"/>
  <c r="I808" i="35" s="1"/>
  <c r="AR603" i="19"/>
  <c r="AO512" i="19"/>
  <c r="AC512" i="19" s="1"/>
  <c r="AO549" i="19"/>
  <c r="AC549" i="19" s="1"/>
  <c r="F691" i="35"/>
  <c r="I691" i="35" s="1"/>
  <c r="H691" i="35"/>
  <c r="AR532" i="19"/>
  <c r="AR290" i="19"/>
  <c r="AR49" i="19"/>
  <c r="H177" i="35"/>
  <c r="F177" i="35"/>
  <c r="I177" i="35" s="1"/>
  <c r="F528" i="35"/>
  <c r="I528" i="35" s="1"/>
  <c r="H528" i="35"/>
  <c r="F793" i="35"/>
  <c r="I793" i="35" s="1"/>
  <c r="AR493" i="19"/>
  <c r="H391" i="35"/>
  <c r="F391" i="35"/>
  <c r="I391" i="35" s="1"/>
  <c r="AR198" i="19"/>
  <c r="AO191" i="19"/>
  <c r="AC191" i="19" s="1"/>
  <c r="AO189" i="19"/>
  <c r="AC189" i="19" s="1"/>
  <c r="H737" i="35"/>
  <c r="F737" i="35"/>
  <c r="I737" i="35" s="1"/>
  <c r="AO73" i="19"/>
  <c r="AC73" i="19" s="1"/>
  <c r="F885" i="35"/>
  <c r="I885" i="35" s="1"/>
  <c r="H885" i="35"/>
  <c r="AR184" i="19"/>
  <c r="H100" i="35"/>
  <c r="F100" i="35"/>
  <c r="I100" i="35" s="1"/>
  <c r="F529" i="35"/>
  <c r="I529" i="35" s="1"/>
  <c r="H529" i="35"/>
  <c r="H259" i="35"/>
  <c r="F259" i="35"/>
  <c r="I259" i="35" s="1"/>
  <c r="H303" i="35"/>
  <c r="F303" i="35"/>
  <c r="I303" i="35" s="1"/>
  <c r="H252" i="35"/>
  <c r="F252" i="35"/>
  <c r="I252" i="35" s="1"/>
  <c r="F625" i="35"/>
  <c r="I625" i="35" s="1"/>
  <c r="H625" i="35"/>
  <c r="F1030" i="35"/>
  <c r="I1030" i="35" s="1"/>
  <c r="H1030" i="35"/>
  <c r="AR351" i="19"/>
  <c r="AR83" i="19"/>
  <c r="H809" i="35"/>
  <c r="F809" i="35"/>
  <c r="I809" i="35" s="1"/>
  <c r="AR114" i="19"/>
  <c r="AO269" i="19"/>
  <c r="AC269" i="19" s="1"/>
  <c r="F85" i="35"/>
  <c r="I85" i="35" s="1"/>
  <c r="H85" i="35"/>
  <c r="H145" i="35"/>
  <c r="F145" i="35"/>
  <c r="I145" i="35" s="1"/>
  <c r="AO127" i="19"/>
  <c r="AC127" i="19" s="1"/>
  <c r="AR248" i="19"/>
  <c r="AR229" i="19"/>
  <c r="AO218" i="19"/>
  <c r="AC218" i="19" s="1"/>
  <c r="F900" i="35"/>
  <c r="I900" i="35" s="1"/>
  <c r="H900" i="35"/>
  <c r="AR480" i="19"/>
  <c r="AO138" i="19"/>
  <c r="AC138" i="19" s="1"/>
  <c r="AR490" i="19"/>
  <c r="AR405" i="19"/>
  <c r="H366" i="35"/>
  <c r="F366" i="35"/>
  <c r="I366" i="35" s="1"/>
  <c r="AO108" i="19"/>
  <c r="AC108" i="19" s="1"/>
  <c r="AO210" i="19"/>
  <c r="AC210" i="19" s="1"/>
  <c r="AO602" i="19"/>
  <c r="AC602" i="19" s="1"/>
  <c r="AO473" i="19"/>
  <c r="AC473" i="19" s="1"/>
  <c r="F72" i="35"/>
  <c r="I72" i="35" s="1"/>
  <c r="H72" i="35"/>
  <c r="F960" i="35"/>
  <c r="I960" i="35" s="1"/>
  <c r="H960" i="35"/>
  <c r="F917" i="35"/>
  <c r="I917" i="35" s="1"/>
  <c r="H917" i="35"/>
  <c r="H838" i="35"/>
  <c r="F838" i="35"/>
  <c r="I838" i="35" s="1"/>
  <c r="F455" i="35"/>
  <c r="I455" i="35" s="1"/>
  <c r="H455" i="35"/>
  <c r="AO275" i="19"/>
  <c r="AC275" i="19" s="1"/>
  <c r="AR133" i="19"/>
  <c r="AO260" i="19"/>
  <c r="AC260" i="19" s="1"/>
  <c r="AO205" i="19"/>
  <c r="AC205" i="19" s="1"/>
  <c r="H218" i="35"/>
  <c r="F218" i="35"/>
  <c r="I218" i="35" s="1"/>
  <c r="H550" i="35"/>
  <c r="F550" i="35"/>
  <c r="I550" i="35" s="1"/>
  <c r="H1056" i="35"/>
  <c r="F1056" i="35"/>
  <c r="I1056" i="35" s="1"/>
  <c r="H925" i="35"/>
  <c r="F925" i="35"/>
  <c r="I925" i="35" s="1"/>
  <c r="F263" i="35"/>
  <c r="I263" i="35" s="1"/>
  <c r="H263" i="35"/>
  <c r="H605" i="35"/>
  <c r="F605" i="35"/>
  <c r="I605" i="35" s="1"/>
  <c r="F405" i="35"/>
  <c r="I405" i="35" s="1"/>
  <c r="H405" i="35"/>
  <c r="F841" i="35"/>
  <c r="I841" i="35" s="1"/>
  <c r="H841" i="35"/>
  <c r="AR135" i="19"/>
  <c r="AR356" i="19"/>
  <c r="AR418" i="19"/>
  <c r="H314" i="35"/>
  <c r="F314" i="35"/>
  <c r="I314" i="35" s="1"/>
  <c r="AO298" i="19"/>
  <c r="AC298" i="19" s="1"/>
  <c r="AO221" i="19"/>
  <c r="AC221" i="19" s="1"/>
  <c r="H869" i="35"/>
  <c r="F869" i="35"/>
  <c r="I869" i="35" s="1"/>
  <c r="F133" i="35"/>
  <c r="I133" i="35" s="1"/>
  <c r="H133" i="35"/>
  <c r="AR492" i="19"/>
  <c r="H1081" i="35"/>
  <c r="F1081" i="35"/>
  <c r="I1081" i="35" s="1"/>
  <c r="AO131" i="19"/>
  <c r="AC131" i="19" s="1"/>
  <c r="H949" i="35"/>
  <c r="F949" i="35"/>
  <c r="I949" i="35" s="1"/>
  <c r="AR174" i="19"/>
  <c r="F990" i="35"/>
  <c r="I990" i="35" s="1"/>
  <c r="H990" i="35"/>
  <c r="AR249" i="19"/>
  <c r="AR175" i="19"/>
  <c r="H362" i="35"/>
  <c r="F362" i="35"/>
  <c r="I362" i="35" s="1"/>
  <c r="H54" i="35"/>
  <c r="F54" i="35"/>
  <c r="I54" i="35" s="1"/>
  <c r="H118" i="35"/>
  <c r="F118" i="35"/>
  <c r="I118" i="35" s="1"/>
  <c r="H335" i="35"/>
  <c r="F335" i="35"/>
  <c r="I335" i="35" s="1"/>
  <c r="AO459" i="19"/>
  <c r="AC459" i="19" s="1"/>
  <c r="F829" i="35"/>
  <c r="I829" i="35" s="1"/>
  <c r="H829" i="35"/>
  <c r="H982" i="35"/>
  <c r="F982" i="35"/>
  <c r="I982" i="35" s="1"/>
  <c r="AO534" i="19"/>
  <c r="AC534" i="19" s="1"/>
  <c r="AO134" i="19"/>
  <c r="AC134" i="19" s="1"/>
  <c r="H715" i="35"/>
  <c r="F715" i="35"/>
  <c r="I715" i="35" s="1"/>
  <c r="H480" i="35"/>
  <c r="F480" i="35"/>
  <c r="I480" i="35" s="1"/>
  <c r="AR213" i="19"/>
  <c r="F1015" i="35"/>
  <c r="I1015" i="35" s="1"/>
  <c r="H1015" i="35"/>
  <c r="F446" i="35"/>
  <c r="I446" i="35" s="1"/>
  <c r="H446" i="35"/>
  <c r="AO364" i="19"/>
  <c r="AC364" i="19" s="1"/>
  <c r="F486" i="35"/>
  <c r="I486" i="35" s="1"/>
  <c r="H486" i="35"/>
  <c r="AO326" i="19"/>
  <c r="AC326" i="19" s="1"/>
  <c r="H423" i="35"/>
  <c r="F423" i="35"/>
  <c r="I423" i="35" s="1"/>
  <c r="AR436" i="19"/>
  <c r="H256" i="35"/>
  <c r="F256" i="35"/>
  <c r="I256" i="35" s="1"/>
  <c r="H516" i="35"/>
  <c r="F516" i="35"/>
  <c r="I516" i="35" s="1"/>
  <c r="H571" i="35"/>
  <c r="F571" i="35"/>
  <c r="I571" i="35" s="1"/>
  <c r="AR449" i="19"/>
  <c r="H968" i="35"/>
  <c r="F968" i="35"/>
  <c r="I968" i="35" s="1"/>
  <c r="H714" i="35"/>
  <c r="F714" i="35"/>
  <c r="I714" i="35" s="1"/>
  <c r="AR552" i="19"/>
  <c r="H961" i="35"/>
  <c r="F961" i="35"/>
  <c r="I961" i="35" s="1"/>
  <c r="F214" i="35"/>
  <c r="I214" i="35" s="1"/>
  <c r="H214" i="35"/>
  <c r="AR386" i="19"/>
  <c r="H580" i="35"/>
  <c r="F580" i="35"/>
  <c r="I580" i="35" s="1"/>
  <c r="AR430" i="19"/>
  <c r="AO154" i="19"/>
  <c r="AC154" i="19" s="1"/>
  <c r="H597" i="35"/>
  <c r="F597" i="35"/>
  <c r="I597" i="35" s="1"/>
  <c r="F514" i="35"/>
  <c r="I514" i="35" s="1"/>
  <c r="H514" i="35"/>
  <c r="H589" i="35"/>
  <c r="F589" i="35"/>
  <c r="I589" i="35" s="1"/>
  <c r="H460" i="35"/>
  <c r="F460" i="35"/>
  <c r="I460" i="35" s="1"/>
  <c r="AR394" i="19"/>
  <c r="F613" i="35"/>
  <c r="I613" i="35" s="1"/>
  <c r="H613" i="35"/>
  <c r="H501" i="35"/>
  <c r="F501" i="35"/>
  <c r="I501" i="35" s="1"/>
  <c r="AR545" i="19"/>
  <c r="AO337" i="19"/>
  <c r="AC337" i="19" s="1"/>
  <c r="F56" i="35"/>
  <c r="I56" i="35" s="1"/>
  <c r="H56" i="35"/>
  <c r="AO434" i="19"/>
  <c r="AC434" i="19" s="1"/>
  <c r="H965" i="35"/>
  <c r="F965" i="35"/>
  <c r="I965" i="35" s="1"/>
  <c r="AO182" i="19"/>
  <c r="AC182" i="19" s="1"/>
  <c r="F731" i="35"/>
  <c r="I731" i="35" s="1"/>
  <c r="H731" i="35"/>
  <c r="H74" i="35"/>
  <c r="F74" i="35"/>
  <c r="I74" i="35" s="1"/>
  <c r="AO160" i="19"/>
  <c r="AC160" i="19" s="1"/>
  <c r="H395" i="35"/>
  <c r="F395" i="35"/>
  <c r="I395" i="35" s="1"/>
  <c r="AR144" i="19"/>
  <c r="H531" i="35"/>
  <c r="F531" i="35"/>
  <c r="I531" i="35" s="1"/>
  <c r="AR111" i="19"/>
  <c r="H826" i="35"/>
  <c r="F826" i="35"/>
  <c r="I826" i="35" s="1"/>
  <c r="H442" i="35"/>
  <c r="F442" i="35"/>
  <c r="I442" i="35" s="1"/>
  <c r="H154" i="35"/>
  <c r="F154" i="35"/>
  <c r="I154" i="35" s="1"/>
  <c r="AO477" i="19"/>
  <c r="AC477" i="19" s="1"/>
  <c r="H437" i="35"/>
  <c r="F437" i="35"/>
  <c r="I437" i="35" s="1"/>
  <c r="AO279" i="19"/>
  <c r="AC279" i="19" s="1"/>
  <c r="H735" i="35"/>
  <c r="F735" i="35"/>
  <c r="I735" i="35" s="1"/>
  <c r="AR237" i="19"/>
  <c r="AR410" i="19"/>
  <c r="F348" i="35"/>
  <c r="I348" i="35" s="1"/>
  <c r="H348" i="35"/>
  <c r="H997" i="35"/>
  <c r="F997" i="35"/>
  <c r="I997" i="35" s="1"/>
  <c r="AR383" i="19"/>
  <c r="H993" i="35"/>
  <c r="F993" i="35"/>
  <c r="I993" i="35" s="1"/>
  <c r="H382" i="35"/>
  <c r="F382" i="35"/>
  <c r="I382" i="35" s="1"/>
  <c r="AO188" i="19"/>
  <c r="AC188" i="19" s="1"/>
  <c r="AR401" i="19"/>
  <c r="AR161" i="19"/>
  <c r="H388" i="35"/>
  <c r="F388" i="35"/>
  <c r="I388" i="35" s="1"/>
  <c r="AR139" i="19"/>
  <c r="AR403" i="19"/>
  <c r="AO367" i="19"/>
  <c r="AC367" i="19" s="1"/>
  <c r="H862" i="35"/>
  <c r="F862" i="35"/>
  <c r="I862" i="35" s="1"/>
  <c r="F240" i="35"/>
  <c r="I240" i="35" s="1"/>
  <c r="H240" i="35"/>
  <c r="AO446" i="19"/>
  <c r="AC446" i="19" s="1"/>
  <c r="F244" i="35"/>
  <c r="I244" i="35" s="1"/>
  <c r="H244" i="35"/>
  <c r="AR137" i="19"/>
  <c r="H134" i="35"/>
  <c r="F134" i="35"/>
  <c r="I134" i="35" s="1"/>
  <c r="AO590" i="19"/>
  <c r="AC590" i="19" s="1"/>
  <c r="AR560" i="19"/>
  <c r="AO183" i="19"/>
  <c r="AC183" i="19" s="1"/>
  <c r="H799" i="35"/>
  <c r="F799" i="35"/>
  <c r="I799" i="35" s="1"/>
  <c r="AO285" i="19"/>
  <c r="AC285" i="19" s="1"/>
  <c r="AR583" i="19"/>
  <c r="F404" i="35"/>
  <c r="I404" i="35" s="1"/>
  <c r="H404" i="35"/>
  <c r="F202" i="35"/>
  <c r="I202" i="35" s="1"/>
  <c r="H202" i="35"/>
  <c r="H1046" i="35"/>
  <c r="F1046" i="35"/>
  <c r="I1046" i="35" s="1"/>
  <c r="AO233" i="19"/>
  <c r="AC233" i="19" s="1"/>
  <c r="AO305" i="19"/>
  <c r="AC305" i="19" s="1"/>
  <c r="H994" i="35"/>
  <c r="F994" i="35"/>
  <c r="I994" i="35" s="1"/>
  <c r="F673" i="35"/>
  <c r="I673" i="35" s="1"/>
  <c r="H673" i="35"/>
  <c r="H729" i="35"/>
  <c r="F729" i="35"/>
  <c r="I729" i="35" s="1"/>
  <c r="AR499" i="19"/>
  <c r="F25" i="35"/>
  <c r="I25" i="35" s="1"/>
  <c r="H25" i="35"/>
  <c r="F915" i="35"/>
  <c r="I915" i="35" s="1"/>
  <c r="H915" i="35"/>
  <c r="AO316" i="19"/>
  <c r="AC316" i="19" s="1"/>
  <c r="H114" i="35"/>
  <c r="F114" i="35"/>
  <c r="I114" i="35" s="1"/>
  <c r="AO234" i="19"/>
  <c r="AC234" i="19" s="1"/>
  <c r="F215" i="35"/>
  <c r="I215" i="35" s="1"/>
  <c r="H215" i="35"/>
  <c r="H275" i="35"/>
  <c r="F275" i="35"/>
  <c r="I275" i="35" s="1"/>
  <c r="AR509" i="19"/>
  <c r="AO262" i="19"/>
  <c r="AC262" i="19" s="1"/>
  <c r="AR582" i="19"/>
  <c r="F225" i="35"/>
  <c r="I225" i="35" s="1"/>
  <c r="H225" i="35"/>
  <c r="AR412" i="19"/>
  <c r="AR557" i="19"/>
  <c r="H1037" i="35"/>
  <c r="F1037" i="35"/>
  <c r="I1037" i="35" s="1"/>
  <c r="F210" i="35"/>
  <c r="I210" i="35" s="1"/>
  <c r="H210" i="35"/>
  <c r="AR158" i="19"/>
  <c r="H816" i="35"/>
  <c r="F816" i="35"/>
  <c r="I816" i="35" s="1"/>
  <c r="F946" i="35"/>
  <c r="I946" i="35" s="1"/>
  <c r="H946" i="35"/>
  <c r="F616" i="35"/>
  <c r="I616" i="35" s="1"/>
  <c r="H616" i="35"/>
  <c r="AO363" i="19"/>
  <c r="AC363" i="19" s="1"/>
  <c r="AO358" i="19"/>
  <c r="AC358" i="19" s="1"/>
  <c r="F857" i="35"/>
  <c r="I857" i="35" s="1"/>
  <c r="H857" i="35"/>
  <c r="AR353" i="19"/>
  <c r="F170" i="35"/>
  <c r="I170" i="35" s="1"/>
  <c r="H170" i="35"/>
  <c r="AR102" i="19"/>
  <c r="AR592" i="19"/>
  <c r="AO445" i="19"/>
  <c r="AC445" i="19" s="1"/>
  <c r="AO155" i="19"/>
  <c r="AC155" i="19" s="1"/>
  <c r="F980" i="35"/>
  <c r="I980" i="35" s="1"/>
  <c r="H980" i="35"/>
  <c r="F1042" i="35"/>
  <c r="I1042" i="35" s="1"/>
  <c r="H1042" i="35"/>
  <c r="AO148" i="19"/>
  <c r="AC148" i="19" s="1"/>
  <c r="AO425" i="19"/>
  <c r="AC425" i="19" s="1"/>
  <c r="AO343" i="19"/>
  <c r="AC343" i="19" s="1"/>
  <c r="F159" i="35"/>
  <c r="I159" i="35" s="1"/>
  <c r="H159" i="35"/>
  <c r="H918" i="35"/>
  <c r="F918" i="35"/>
  <c r="I918" i="35" s="1"/>
  <c r="AO371" i="19"/>
  <c r="AC371" i="19" s="1"/>
  <c r="F420" i="35"/>
  <c r="I420" i="35" s="1"/>
  <c r="H420" i="35"/>
  <c r="AR314" i="19"/>
  <c r="F1001" i="35"/>
  <c r="I1001" i="35" s="1"/>
  <c r="H1001" i="35"/>
  <c r="F646" i="35"/>
  <c r="I646" i="35" s="1"/>
  <c r="H646" i="35"/>
  <c r="AR330" i="19"/>
  <c r="F525" i="35"/>
  <c r="I525" i="35" s="1"/>
  <c r="H525" i="35"/>
  <c r="AO442" i="19"/>
  <c r="AC442" i="19" s="1"/>
  <c r="H157" i="35"/>
  <c r="F157" i="35"/>
  <c r="I157" i="35" s="1"/>
  <c r="AO604" i="19"/>
  <c r="AC604" i="19" s="1"/>
  <c r="F938" i="35"/>
  <c r="I938" i="35" s="1"/>
  <c r="H938" i="35"/>
  <c r="F522" i="35"/>
  <c r="I522" i="35" s="1"/>
  <c r="H522" i="35"/>
  <c r="F959" i="35"/>
  <c r="I959" i="35" s="1"/>
  <c r="H959" i="35"/>
  <c r="AO379" i="19"/>
  <c r="AC379" i="19" s="1"/>
  <c r="AO96" i="19"/>
  <c r="AC96" i="19" s="1"/>
  <c r="AR597" i="19"/>
  <c r="AR152" i="19"/>
  <c r="AO146" i="19"/>
  <c r="AC146" i="19" s="1"/>
  <c r="AR256" i="19"/>
  <c r="AO424" i="19"/>
  <c r="AC424" i="19" s="1"/>
  <c r="F450" i="35"/>
  <c r="I450" i="35" s="1"/>
  <c r="H450" i="35"/>
  <c r="AO321" i="19"/>
  <c r="AC321" i="19" s="1"/>
  <c r="F158" i="35"/>
  <c r="I158" i="35" s="1"/>
  <c r="H158" i="35"/>
  <c r="H204" i="35"/>
  <c r="F204" i="35"/>
  <c r="I204" i="35" s="1"/>
  <c r="F428" i="35"/>
  <c r="I428" i="35" s="1"/>
  <c r="H428" i="35"/>
  <c r="H500" i="35"/>
  <c r="F500" i="35"/>
  <c r="I500" i="35" s="1"/>
  <c r="F330" i="35"/>
  <c r="I330" i="35" s="1"/>
  <c r="H330" i="35"/>
  <c r="F297" i="35"/>
  <c r="I297" i="35" s="1"/>
  <c r="H297" i="35"/>
  <c r="AO390" i="19"/>
  <c r="AC390" i="19" s="1"/>
  <c r="AO393" i="19"/>
  <c r="AC393" i="19" s="1"/>
  <c r="F650" i="35"/>
  <c r="F176" i="35"/>
  <c r="I176" i="35" s="1"/>
  <c r="H176" i="35"/>
  <c r="AO200" i="19"/>
  <c r="AC200" i="19" s="1"/>
  <c r="AR121" i="19"/>
  <c r="H937" i="35"/>
  <c r="F937" i="35"/>
  <c r="I937" i="35" s="1"/>
  <c r="F897" i="35"/>
  <c r="I897" i="35" s="1"/>
  <c r="H897" i="35"/>
  <c r="AR539" i="19"/>
  <c r="AR214" i="19"/>
  <c r="AO48" i="19"/>
  <c r="AC48" i="19" s="1"/>
  <c r="H417" i="35"/>
  <c r="F417" i="35"/>
  <c r="I417" i="35" s="1"/>
  <c r="AO150" i="19"/>
  <c r="AC150" i="19" s="1"/>
  <c r="AO141" i="19"/>
  <c r="AC141" i="19" s="1"/>
  <c r="H52" i="35"/>
  <c r="F52" i="35"/>
  <c r="I52" i="35" s="1"/>
  <c r="H772" i="35"/>
  <c r="F772" i="35"/>
  <c r="I772" i="35" s="1"/>
  <c r="AR453" i="19"/>
  <c r="AO596" i="19"/>
  <c r="AC596" i="19" s="1"/>
  <c r="F1082" i="35"/>
  <c r="I1082" i="35" s="1"/>
  <c r="H1082" i="35"/>
  <c r="AO176" i="19"/>
  <c r="AC176" i="19" s="1"/>
  <c r="AO502" i="19"/>
  <c r="AC502" i="19" s="1"/>
  <c r="H493" i="35"/>
  <c r="F493" i="35"/>
  <c r="I493" i="35" s="1"/>
  <c r="H20" i="35"/>
  <c r="F20" i="35"/>
  <c r="I20" i="35" s="1"/>
  <c r="AR336" i="19"/>
  <c r="H882" i="35"/>
  <c r="F882" i="35"/>
  <c r="I882" i="35" s="1"/>
  <c r="AR88" i="19"/>
  <c r="AO329" i="19"/>
  <c r="AC329" i="19" s="1"/>
  <c r="H1076" i="35"/>
  <c r="F1076" i="35"/>
  <c r="I1076" i="35" s="1"/>
  <c r="H140" i="35"/>
  <c r="F140" i="35"/>
  <c r="I140" i="35" s="1"/>
  <c r="AR235" i="19"/>
  <c r="AO479" i="19"/>
  <c r="AC479" i="19" s="1"/>
  <c r="F778" i="35"/>
  <c r="I778" i="35" s="1"/>
  <c r="H778" i="35"/>
  <c r="AO563" i="19"/>
  <c r="AC563" i="19" s="1"/>
  <c r="H195" i="35"/>
  <c r="F195" i="35"/>
  <c r="I195" i="35" s="1"/>
  <c r="F722" i="35"/>
  <c r="I722" i="35" s="1"/>
  <c r="H722" i="35"/>
  <c r="AR166" i="19"/>
  <c r="H776" i="35"/>
  <c r="F776" i="35"/>
  <c r="I776" i="35" s="1"/>
  <c r="F794" i="35"/>
  <c r="I794" i="35" s="1"/>
  <c r="AR461" i="19"/>
  <c r="F71" i="35"/>
  <c r="I71" i="35" s="1"/>
  <c r="H71" i="35"/>
  <c r="H1055" i="35"/>
  <c r="F1055" i="35"/>
  <c r="I1055" i="35" s="1"/>
  <c r="AO278" i="19"/>
  <c r="AC278" i="19" s="1"/>
  <c r="H585" i="35"/>
  <c r="F585" i="35"/>
  <c r="I585" i="35" s="1"/>
  <c r="AR526" i="19"/>
  <c r="AR267" i="19"/>
  <c r="H40" i="35"/>
  <c r="F40" i="35"/>
  <c r="I40" i="35" s="1"/>
  <c r="AR187" i="19"/>
  <c r="AO64" i="19"/>
  <c r="AC64" i="19" s="1"/>
  <c r="AR202" i="19"/>
  <c r="AR580" i="19"/>
  <c r="AR125" i="19"/>
  <c r="F984" i="35"/>
  <c r="I984" i="35" s="1"/>
  <c r="H984" i="35"/>
  <c r="F930" i="35"/>
  <c r="I930" i="35" s="1"/>
  <c r="H930" i="35"/>
  <c r="F890" i="35"/>
  <c r="I890" i="35" s="1"/>
  <c r="H890" i="35"/>
  <c r="F931" i="35"/>
  <c r="I931" i="35" s="1"/>
  <c r="H931" i="35"/>
  <c r="H732" i="35"/>
  <c r="F732" i="35"/>
  <c r="I732" i="35" s="1"/>
  <c r="F499" i="35"/>
  <c r="I499" i="35" s="1"/>
  <c r="H499" i="35"/>
  <c r="H790" i="35"/>
  <c r="F790" i="35"/>
  <c r="I790" i="35" s="1"/>
  <c r="H66" i="35"/>
  <c r="F66" i="35"/>
  <c r="I66" i="35" s="1"/>
  <c r="H940" i="35"/>
  <c r="F940" i="35"/>
  <c r="I940" i="35" s="1"/>
  <c r="F549" i="35"/>
  <c r="I549" i="35" s="1"/>
  <c r="H549" i="35"/>
  <c r="AR245" i="19"/>
  <c r="H706" i="35"/>
  <c r="F706" i="35"/>
  <c r="I706" i="35" s="1"/>
  <c r="F623" i="35"/>
  <c r="I623" i="35" s="1"/>
  <c r="H623" i="35"/>
  <c r="AO486" i="19"/>
  <c r="AC486" i="19" s="1"/>
  <c r="F37" i="35"/>
  <c r="I37" i="35" s="1"/>
  <c r="H37" i="35"/>
  <c r="AO342" i="19"/>
  <c r="AC342" i="19" s="1"/>
  <c r="AO527" i="19"/>
  <c r="AC527" i="19" s="1"/>
  <c r="AR36" i="19"/>
  <c r="AR408" i="19"/>
  <c r="AR180" i="19"/>
  <c r="AO209" i="19"/>
  <c r="AC209" i="19" s="1"/>
  <c r="H424" i="35"/>
  <c r="F424" i="35"/>
  <c r="I424" i="35" s="1"/>
  <c r="F702" i="35"/>
  <c r="I702" i="35" s="1"/>
  <c r="H702" i="35"/>
  <c r="AR57" i="19"/>
  <c r="AO276" i="19"/>
  <c r="AC276" i="19" s="1"/>
  <c r="AO465" i="19"/>
  <c r="AC465" i="19" s="1"/>
  <c r="H284" i="35"/>
  <c r="F284" i="35"/>
  <c r="I284" i="35" s="1"/>
  <c r="F922" i="35"/>
  <c r="I922" i="35" s="1"/>
  <c r="H922" i="35"/>
  <c r="H523" i="35"/>
  <c r="F523" i="35"/>
  <c r="I523" i="35" s="1"/>
  <c r="AR517" i="19"/>
  <c r="F914" i="35"/>
  <c r="I914" i="35" s="1"/>
  <c r="H914" i="35"/>
  <c r="AO196" i="19"/>
  <c r="AC196" i="19" s="1"/>
  <c r="H497" i="35"/>
  <c r="F497" i="35"/>
  <c r="I497" i="35" s="1"/>
  <c r="AR407" i="19"/>
  <c r="F821" i="35"/>
  <c r="I821" i="35" s="1"/>
  <c r="H821" i="35"/>
  <c r="F743" i="35"/>
  <c r="I743" i="35" s="1"/>
  <c r="H743" i="35"/>
  <c r="F98" i="35"/>
  <c r="I98" i="35" s="1"/>
  <c r="H98" i="35"/>
  <c r="F253" i="35"/>
  <c r="I253" i="35" s="1"/>
  <c r="H253" i="35"/>
  <c r="AR523" i="19"/>
  <c r="AO199" i="19"/>
  <c r="AC199" i="19" s="1"/>
  <c r="AO186" i="19"/>
  <c r="AC186" i="19" s="1"/>
  <c r="H99" i="35"/>
  <c r="F99" i="35"/>
  <c r="I99" i="35" s="1"/>
  <c r="H1094" i="35"/>
  <c r="F1094" i="35"/>
  <c r="I1094" i="35" s="1"/>
  <c r="F1029" i="35"/>
  <c r="I1029" i="35" s="1"/>
  <c r="H1029" i="35"/>
  <c r="AR230" i="19"/>
  <c r="AO369" i="19"/>
  <c r="AC369" i="19" s="1"/>
  <c r="H411" i="35"/>
  <c r="F411" i="35"/>
  <c r="I411" i="35" s="1"/>
  <c r="H775" i="35"/>
  <c r="F775" i="35"/>
  <c r="I775" i="35" s="1"/>
  <c r="H658" i="35"/>
  <c r="F658" i="35"/>
  <c r="I658" i="35" s="1"/>
  <c r="F603" i="35"/>
  <c r="I603" i="35" s="1"/>
  <c r="H603" i="35"/>
  <c r="F972" i="35"/>
  <c r="I972" i="35" s="1"/>
  <c r="H972" i="35"/>
  <c r="F73" i="35"/>
  <c r="I73" i="35" s="1"/>
  <c r="H73" i="35"/>
  <c r="AR61" i="19"/>
  <c r="AO216" i="19"/>
  <c r="AC216" i="19" s="1"/>
  <c r="H168" i="35"/>
  <c r="F168" i="35"/>
  <c r="I168" i="35" s="1"/>
  <c r="F999" i="35"/>
  <c r="I999" i="35" s="1"/>
  <c r="H999" i="35"/>
  <c r="F511" i="35"/>
  <c r="I511" i="35" s="1"/>
  <c r="H511" i="35"/>
  <c r="F439" i="35"/>
  <c r="I439" i="35" s="1"/>
  <c r="H439" i="35"/>
  <c r="AR439" i="19"/>
  <c r="H1058" i="35"/>
  <c r="F1058" i="35"/>
  <c r="I1058" i="35" s="1"/>
  <c r="AO589" i="19"/>
  <c r="AC589" i="19" s="1"/>
  <c r="AR344" i="19"/>
  <c r="F827" i="35"/>
  <c r="I827" i="35" s="1"/>
  <c r="H827" i="35"/>
  <c r="AO456" i="19"/>
  <c r="AC456" i="19" s="1"/>
  <c r="F805" i="35"/>
  <c r="I805" i="35" s="1"/>
  <c r="H805" i="35"/>
  <c r="AR45" i="19"/>
  <c r="F555" i="35"/>
  <c r="I555" i="35" s="1"/>
  <c r="H555" i="35"/>
  <c r="AR600" i="19"/>
  <c r="AR300" i="19"/>
  <c r="F907" i="35"/>
  <c r="I907" i="35" s="1"/>
  <c r="H907" i="35"/>
  <c r="F65" i="35"/>
  <c r="I65" i="35" s="1"/>
  <c r="H65" i="35"/>
  <c r="AR112" i="19"/>
  <c r="AO359" i="19"/>
  <c r="AC359" i="19" s="1"/>
  <c r="AO567" i="19"/>
  <c r="AC567" i="19" s="1"/>
  <c r="H880" i="35"/>
  <c r="F880" i="35"/>
  <c r="I880" i="35" s="1"/>
  <c r="AO556" i="19"/>
  <c r="AC556" i="19" s="1"/>
  <c r="AO274" i="19"/>
  <c r="AC274" i="19" s="1"/>
  <c r="AO70" i="19"/>
  <c r="AC70" i="19" s="1"/>
  <c r="H884" i="35"/>
  <c r="F884" i="35"/>
  <c r="I884" i="35" s="1"/>
  <c r="I4" i="35" l="1"/>
  <c r="G1101" i="35"/>
  <c r="J1101" i="35" s="1"/>
  <c r="G13" i="35"/>
  <c r="J13" i="35" s="1"/>
  <c r="I271" i="35"/>
  <c r="H641" i="35"/>
  <c r="F641" i="35"/>
  <c r="I641" i="35" s="1"/>
  <c r="F640" i="35"/>
  <c r="I640" i="35" s="1"/>
  <c r="H640" i="35"/>
  <c r="AO42" i="19"/>
  <c r="AC42" i="19" s="1"/>
  <c r="H655" i="35"/>
  <c r="F655" i="35"/>
  <c r="I655" i="35" s="1"/>
  <c r="AO43" i="19"/>
  <c r="AC43" i="19" s="1"/>
  <c r="AO41" i="19"/>
  <c r="AC41" i="19" s="1"/>
  <c r="H797" i="35"/>
  <c r="H794" i="35"/>
  <c r="G794" i="35" s="1"/>
  <c r="J794" i="35" s="1"/>
  <c r="H793" i="35"/>
  <c r="H650" i="35"/>
  <c r="H1075" i="35"/>
  <c r="G1075" i="35" s="1"/>
  <c r="J1075" i="35" s="1"/>
  <c r="H1088" i="35"/>
  <c r="G1088" i="35" s="1"/>
  <c r="J1088" i="35" s="1"/>
  <c r="H1079" i="35"/>
  <c r="H1085" i="35"/>
  <c r="H1034" i="35"/>
  <c r="G1034" i="35" s="1"/>
  <c r="J1034" i="35" s="1"/>
  <c r="G203" i="35"/>
  <c r="J203" i="35" s="1"/>
  <c r="G116" i="35"/>
  <c r="J116" i="35" s="1"/>
  <c r="G106" i="35"/>
  <c r="J106" i="35" s="1"/>
  <c r="G814" i="35"/>
  <c r="J814" i="35" s="1"/>
  <c r="G51" i="35"/>
  <c r="J51" i="35" s="1"/>
  <c r="G73" i="35"/>
  <c r="J73" i="35" s="1"/>
  <c r="G312" i="35"/>
  <c r="J312" i="35" s="1"/>
  <c r="G176" i="35"/>
  <c r="J176" i="35" s="1"/>
  <c r="G215" i="35"/>
  <c r="J215" i="35" s="1"/>
  <c r="G731" i="35"/>
  <c r="J731" i="35" s="1"/>
  <c r="G514" i="35"/>
  <c r="J514" i="35" s="1"/>
  <c r="G113" i="35"/>
  <c r="J113" i="35" s="1"/>
  <c r="G390" i="35"/>
  <c r="J390" i="35" s="1"/>
  <c r="G42" i="35"/>
  <c r="J42" i="35" s="1"/>
  <c r="G921" i="35"/>
  <c r="J921" i="35" s="1"/>
  <c r="G357" i="35"/>
  <c r="J357" i="35" s="1"/>
  <c r="G739" i="35"/>
  <c r="J739" i="35" s="1"/>
  <c r="G929" i="35"/>
  <c r="J929" i="35" s="1"/>
  <c r="G88" i="35"/>
  <c r="J88" i="35" s="1"/>
  <c r="G863" i="35"/>
  <c r="J863" i="35" s="1"/>
  <c r="G317" i="35"/>
  <c r="J317" i="35" s="1"/>
  <c r="G699" i="35"/>
  <c r="J699" i="35" s="1"/>
  <c r="G432" i="35"/>
  <c r="J432" i="35" s="1"/>
  <c r="G725" i="35"/>
  <c r="J725" i="35" s="1"/>
  <c r="G1019" i="35"/>
  <c r="J1019" i="35" s="1"/>
  <c r="G932" i="35"/>
  <c r="J932" i="35" s="1"/>
  <c r="G586" i="35"/>
  <c r="J586" i="35" s="1"/>
  <c r="G427" i="35"/>
  <c r="J427" i="35" s="1"/>
  <c r="G197" i="35"/>
  <c r="J197" i="35" s="1"/>
  <c r="G265" i="35"/>
  <c r="J265" i="35" s="1"/>
  <c r="G296" i="35"/>
  <c r="J296" i="35" s="1"/>
  <c r="G630" i="35"/>
  <c r="J630" i="35" s="1"/>
  <c r="G916" i="35"/>
  <c r="J916" i="35" s="1"/>
  <c r="G565" i="35"/>
  <c r="J565" i="35" s="1"/>
  <c r="G211" i="35"/>
  <c r="J211" i="35" s="1"/>
  <c r="G361" i="35"/>
  <c r="J361" i="35" s="1"/>
  <c r="G235" i="35"/>
  <c r="J235" i="35" s="1"/>
  <c r="G107" i="35"/>
  <c r="J107" i="35" s="1"/>
  <c r="G342" i="35"/>
  <c r="J342" i="35" s="1"/>
  <c r="G750" i="35"/>
  <c r="J750" i="35" s="1"/>
  <c r="G766" i="35"/>
  <c r="J766" i="35" s="1"/>
  <c r="G482" i="35"/>
  <c r="J482" i="35" s="1"/>
  <c r="G379" i="35"/>
  <c r="J379" i="35" s="1"/>
  <c r="G582" i="35"/>
  <c r="J582" i="35" s="1"/>
  <c r="G253" i="35"/>
  <c r="J253" i="35" s="1"/>
  <c r="G931" i="35"/>
  <c r="J931" i="35" s="1"/>
  <c r="G930" i="35"/>
  <c r="J930" i="35" s="1"/>
  <c r="G71" i="35"/>
  <c r="J71" i="35" s="1"/>
  <c r="G617" i="35"/>
  <c r="J617" i="35" s="1"/>
  <c r="G341" i="35"/>
  <c r="J341" i="35" s="1"/>
  <c r="G667" i="35"/>
  <c r="J667" i="35" s="1"/>
  <c r="G956" i="35"/>
  <c r="J956" i="35" s="1"/>
  <c r="G165" i="35"/>
  <c r="J165" i="35" s="1"/>
  <c r="G742" i="35"/>
  <c r="J742" i="35" s="1"/>
  <c r="G991" i="35"/>
  <c r="J991" i="35" s="1"/>
  <c r="G805" i="35"/>
  <c r="J805" i="35" s="1"/>
  <c r="G743" i="35"/>
  <c r="J743" i="35" s="1"/>
  <c r="G1094" i="35"/>
  <c r="J1094" i="35" s="1"/>
  <c r="G424" i="35"/>
  <c r="J424" i="35" s="1"/>
  <c r="G772" i="35"/>
  <c r="J772" i="35" s="1"/>
  <c r="G204" i="35"/>
  <c r="J204" i="35" s="1"/>
  <c r="G460" i="35"/>
  <c r="J460" i="35" s="1"/>
  <c r="G54" i="35"/>
  <c r="J54" i="35" s="1"/>
  <c r="G925" i="35"/>
  <c r="J925" i="35" s="1"/>
  <c r="G218" i="35"/>
  <c r="J218" i="35" s="1"/>
  <c r="G1032" i="35"/>
  <c r="J1032" i="35" s="1"/>
  <c r="G684" i="35"/>
  <c r="J684" i="35" s="1"/>
  <c r="G370" i="35"/>
  <c r="J370" i="35" s="1"/>
  <c r="G53" i="35"/>
  <c r="J53" i="35" s="1"/>
  <c r="G368" i="35"/>
  <c r="J368" i="35" s="1"/>
  <c r="G153" i="35"/>
  <c r="J153" i="35" s="1"/>
  <c r="G355" i="35"/>
  <c r="J355" i="35" s="1"/>
  <c r="G781" i="35"/>
  <c r="J781" i="35" s="1"/>
  <c r="G302" i="35"/>
  <c r="J302" i="35" s="1"/>
  <c r="G912" i="35"/>
  <c r="J912" i="35" s="1"/>
  <c r="G234" i="35"/>
  <c r="J234" i="35" s="1"/>
  <c r="G415" i="35"/>
  <c r="J415" i="35" s="1"/>
  <c r="G329" i="35"/>
  <c r="J329" i="35" s="1"/>
  <c r="G906" i="35"/>
  <c r="J906" i="35" s="1"/>
  <c r="G779" i="35"/>
  <c r="J779" i="35" s="1"/>
  <c r="G564" i="35"/>
  <c r="J564" i="35" s="1"/>
  <c r="G137" i="35"/>
  <c r="J137" i="35" s="1"/>
  <c r="G727" i="35"/>
  <c r="J727" i="35" s="1"/>
  <c r="G331" i="35"/>
  <c r="J331" i="35" s="1"/>
  <c r="G902" i="35"/>
  <c r="J902" i="35" s="1"/>
  <c r="G120" i="35"/>
  <c r="J120" i="35" s="1"/>
  <c r="G431" i="35"/>
  <c r="J431" i="35" s="1"/>
  <c r="G851" i="35"/>
  <c r="J851" i="35" s="1"/>
  <c r="G598" i="35"/>
  <c r="J598" i="35" s="1"/>
  <c r="G1013" i="35"/>
  <c r="J1013" i="35" s="1"/>
  <c r="G273" i="35"/>
  <c r="J273" i="35" s="1"/>
  <c r="G545" i="35"/>
  <c r="J545" i="35" s="1"/>
  <c r="G1064" i="35"/>
  <c r="J1064" i="35" s="1"/>
  <c r="G171" i="35"/>
  <c r="J171" i="35" s="1"/>
  <c r="G832" i="35"/>
  <c r="J832" i="35" s="1"/>
  <c r="G795" i="35"/>
  <c r="J795" i="35" s="1"/>
  <c r="G585" i="35"/>
  <c r="J585" i="35" s="1"/>
  <c r="G157" i="35"/>
  <c r="J157" i="35" s="1"/>
  <c r="G437" i="35"/>
  <c r="J437" i="35" s="1"/>
  <c r="G501" i="35"/>
  <c r="J501" i="35" s="1"/>
  <c r="G714" i="35"/>
  <c r="J714" i="35" s="1"/>
  <c r="G480" i="35"/>
  <c r="J480" i="35" s="1"/>
  <c r="G335" i="35"/>
  <c r="J335" i="35" s="1"/>
  <c r="G1056" i="35"/>
  <c r="J1056" i="35" s="1"/>
  <c r="G838" i="35"/>
  <c r="J838" i="35" s="1"/>
  <c r="G817" i="35"/>
  <c r="J817" i="35" s="1"/>
  <c r="G1077" i="35"/>
  <c r="J1077" i="35" s="1"/>
  <c r="G536" i="35"/>
  <c r="J536" i="35" s="1"/>
  <c r="G834" i="35"/>
  <c r="J834" i="35" s="1"/>
  <c r="G255" i="35"/>
  <c r="J255" i="35" s="1"/>
  <c r="G351" i="35"/>
  <c r="J351" i="35" s="1"/>
  <c r="G311" i="35"/>
  <c r="J311" i="35" s="1"/>
  <c r="G959" i="35"/>
  <c r="J959" i="35" s="1"/>
  <c r="G525" i="35"/>
  <c r="J525" i="35" s="1"/>
  <c r="G1001" i="35"/>
  <c r="J1001" i="35" s="1"/>
  <c r="G170" i="35"/>
  <c r="J170" i="35" s="1"/>
  <c r="G251" i="35"/>
  <c r="J251" i="35" s="1"/>
  <c r="G880" i="35"/>
  <c r="J880" i="35" s="1"/>
  <c r="G869" i="35"/>
  <c r="J869" i="35" s="1"/>
  <c r="G314" i="35"/>
  <c r="J314" i="35" s="1"/>
  <c r="G366" i="35"/>
  <c r="J366" i="35" s="1"/>
  <c r="G737" i="35"/>
  <c r="J737" i="35" s="1"/>
  <c r="G599" i="35"/>
  <c r="J599" i="35" s="1"/>
  <c r="G266" i="35"/>
  <c r="J266" i="35" s="1"/>
  <c r="G581" i="35"/>
  <c r="J581" i="35" s="1"/>
  <c r="G964" i="35"/>
  <c r="J964" i="35" s="1"/>
  <c r="G196" i="35"/>
  <c r="J196" i="35" s="1"/>
  <c r="G61" i="35"/>
  <c r="J61" i="35" s="1"/>
  <c r="G124" i="35"/>
  <c r="J124" i="35" s="1"/>
  <c r="G7" i="35"/>
  <c r="J7" i="35" s="1"/>
  <c r="G682" i="35"/>
  <c r="J682" i="35" s="1"/>
  <c r="G668" i="35"/>
  <c r="J668" i="35" s="1"/>
  <c r="G920" i="35"/>
  <c r="J920" i="35" s="1"/>
  <c r="G656" i="35"/>
  <c r="J656" i="35" s="1"/>
  <c r="G398" i="35"/>
  <c r="J398" i="35" s="1"/>
  <c r="G209" i="35"/>
  <c r="J209" i="35" s="1"/>
  <c r="G310" i="35"/>
  <c r="J310" i="35" s="1"/>
  <c r="G1020" i="35"/>
  <c r="J1020" i="35" s="1"/>
  <c r="G489" i="35"/>
  <c r="J489" i="35" s="1"/>
  <c r="G893" i="35"/>
  <c r="J893" i="35" s="1"/>
  <c r="G425" i="35"/>
  <c r="J425" i="35" s="1"/>
  <c r="G167" i="35"/>
  <c r="J167" i="35" s="1"/>
  <c r="G210" i="35"/>
  <c r="J210" i="35" s="1"/>
  <c r="G498" i="35"/>
  <c r="J498" i="35" s="1"/>
  <c r="G855" i="35"/>
  <c r="J855" i="35" s="1"/>
  <c r="G494" i="35"/>
  <c r="J494" i="35" s="1"/>
  <c r="G765" i="35"/>
  <c r="J765" i="35" s="1"/>
  <c r="G547" i="35"/>
  <c r="J547" i="35" s="1"/>
  <c r="G201" i="35"/>
  <c r="J201" i="35" s="1"/>
  <c r="G294" i="35"/>
  <c r="J294" i="35" s="1"/>
  <c r="G115" i="35"/>
  <c r="J115" i="35" s="1"/>
  <c r="G576" i="35"/>
  <c r="J576" i="35" s="1"/>
  <c r="G408" i="35"/>
  <c r="J408" i="35" s="1"/>
  <c r="G226" i="35"/>
  <c r="J226" i="35" s="1"/>
  <c r="G957" i="35"/>
  <c r="J957" i="35" s="1"/>
  <c r="G443" i="35"/>
  <c r="J443" i="35" s="1"/>
  <c r="G344" i="35"/>
  <c r="J344" i="35" s="1"/>
  <c r="G670" i="35"/>
  <c r="J670" i="35" s="1"/>
  <c r="G984" i="35"/>
  <c r="J984" i="35" s="1"/>
  <c r="G56" i="35"/>
  <c r="J56" i="35" s="1"/>
  <c r="G365" i="35"/>
  <c r="J365" i="35" s="1"/>
  <c r="G747" i="35"/>
  <c r="J747" i="35" s="1"/>
  <c r="G632" i="35"/>
  <c r="J632" i="35" s="1"/>
  <c r="G64" i="35"/>
  <c r="J64" i="35" s="1"/>
  <c r="G207" i="35"/>
  <c r="J207" i="35" s="1"/>
  <c r="G229" i="35"/>
  <c r="J229" i="35" s="1"/>
  <c r="G824" i="35"/>
  <c r="J824" i="35" s="1"/>
  <c r="G1072" i="35"/>
  <c r="J1072" i="35" s="1"/>
  <c r="G436" i="35"/>
  <c r="J436" i="35" s="1"/>
  <c r="G553" i="35"/>
  <c r="J553" i="35" s="1"/>
  <c r="G184" i="35"/>
  <c r="J184" i="35" s="1"/>
  <c r="G1007" i="35"/>
  <c r="J1007" i="35" s="1"/>
  <c r="G881" i="35"/>
  <c r="J881" i="35" s="1"/>
  <c r="G277" i="35"/>
  <c r="J277" i="35" s="1"/>
  <c r="G164" i="35"/>
  <c r="J164" i="35" s="1"/>
  <c r="G463" i="35"/>
  <c r="J463" i="35" s="1"/>
  <c r="G163" i="35"/>
  <c r="J163" i="35" s="1"/>
  <c r="G542" i="35"/>
  <c r="J542" i="35" s="1"/>
  <c r="G45" i="35"/>
  <c r="J45" i="35" s="1"/>
  <c r="G293" i="35"/>
  <c r="J293" i="35" s="1"/>
  <c r="G771" i="35"/>
  <c r="J771" i="35" s="1"/>
  <c r="G102" i="35"/>
  <c r="J102" i="35" s="1"/>
  <c r="G677" i="35"/>
  <c r="J677" i="35" s="1"/>
  <c r="G193" i="35"/>
  <c r="J193" i="35" s="1"/>
  <c r="G175" i="35"/>
  <c r="J175" i="35" s="1"/>
  <c r="G500" i="35"/>
  <c r="J500" i="35" s="1"/>
  <c r="G138" i="35"/>
  <c r="J138" i="35" s="1"/>
  <c r="G860" i="35"/>
  <c r="J860" i="35" s="1"/>
  <c r="G618" i="35"/>
  <c r="J618" i="35" s="1"/>
  <c r="G818" i="35"/>
  <c r="J818" i="35" s="1"/>
  <c r="G530" i="35"/>
  <c r="J530" i="35" s="1"/>
  <c r="G505" i="35"/>
  <c r="J505" i="35" s="1"/>
  <c r="G918" i="35"/>
  <c r="J918" i="35" s="1"/>
  <c r="G686" i="35"/>
  <c r="J686" i="35" s="1"/>
  <c r="G267" i="35"/>
  <c r="J267" i="35" s="1"/>
  <c r="G353" i="35"/>
  <c r="J353" i="35" s="1"/>
  <c r="G706" i="35"/>
  <c r="J706" i="35" s="1"/>
  <c r="G776" i="35"/>
  <c r="J776" i="35" s="1"/>
  <c r="G763" i="35"/>
  <c r="J763" i="35" s="1"/>
  <c r="G717" i="35"/>
  <c r="J717" i="35" s="1"/>
  <c r="G615" i="35"/>
  <c r="J615" i="35" s="1"/>
  <c r="G568" i="35"/>
  <c r="J568" i="35" s="1"/>
  <c r="G66" i="35"/>
  <c r="J66" i="35" s="1"/>
  <c r="G605" i="35"/>
  <c r="J605" i="35" s="1"/>
  <c r="G46" i="35"/>
  <c r="J46" i="35" s="1"/>
  <c r="G152" i="35"/>
  <c r="J152" i="35" s="1"/>
  <c r="G384" i="35"/>
  <c r="J384" i="35" s="1"/>
  <c r="G236" i="35"/>
  <c r="J236" i="35" s="1"/>
  <c r="G375" i="35"/>
  <c r="J375" i="35" s="1"/>
  <c r="G143" i="35"/>
  <c r="J143" i="35" s="1"/>
  <c r="G726" i="35"/>
  <c r="J726" i="35" s="1"/>
  <c r="G541" i="35"/>
  <c r="J541" i="35" s="1"/>
  <c r="G752" i="35"/>
  <c r="J752" i="35" s="1"/>
  <c r="G186" i="35"/>
  <c r="J186" i="35" s="1"/>
  <c r="G537" i="35"/>
  <c r="J537" i="35" s="1"/>
  <c r="G238" i="35"/>
  <c r="J238" i="35" s="1"/>
  <c r="G188" i="35"/>
  <c r="J188" i="35" s="1"/>
  <c r="G386" i="35"/>
  <c r="J386" i="35" s="1"/>
  <c r="G373" i="35"/>
  <c r="J373" i="35" s="1"/>
  <c r="G716" i="35"/>
  <c r="J716" i="35" s="1"/>
  <c r="G729" i="35"/>
  <c r="J729" i="35" s="1"/>
  <c r="G862" i="35"/>
  <c r="J862" i="35" s="1"/>
  <c r="G531" i="35"/>
  <c r="J531" i="35" s="1"/>
  <c r="G256" i="35"/>
  <c r="J256" i="35" s="1"/>
  <c r="G423" i="35"/>
  <c r="J423" i="35" s="1"/>
  <c r="G362" i="35"/>
  <c r="J362" i="35" s="1"/>
  <c r="G1081" i="35"/>
  <c r="J1081" i="35" s="1"/>
  <c r="G303" i="35"/>
  <c r="J303" i="35" s="1"/>
  <c r="G259" i="35"/>
  <c r="J259" i="35" s="1"/>
  <c r="G100" i="35"/>
  <c r="J100" i="35" s="1"/>
  <c r="G391" i="35"/>
  <c r="J391" i="35" s="1"/>
  <c r="G333" i="35"/>
  <c r="J333" i="35" s="1"/>
  <c r="G626" i="35"/>
  <c r="J626" i="35" s="1"/>
  <c r="G83" i="35"/>
  <c r="J83" i="35" s="1"/>
  <c r="G974" i="35"/>
  <c r="J974" i="35" s="1"/>
  <c r="G554" i="35"/>
  <c r="J554" i="35" s="1"/>
  <c r="G191" i="35"/>
  <c r="J191" i="35" s="1"/>
  <c r="G484" i="35"/>
  <c r="J484" i="35" s="1"/>
  <c r="G96" i="35"/>
  <c r="J96" i="35" s="1"/>
  <c r="G1043" i="35"/>
  <c r="J1043" i="35" s="1"/>
  <c r="G720" i="35"/>
  <c r="J720" i="35" s="1"/>
  <c r="G595" i="35"/>
  <c r="J595" i="35" s="1"/>
  <c r="G377" i="35"/>
  <c r="J377" i="35" s="1"/>
  <c r="G773" i="35"/>
  <c r="J773" i="35" s="1"/>
  <c r="G566" i="35"/>
  <c r="J566" i="35" s="1"/>
  <c r="G172" i="35"/>
  <c r="J172" i="35" s="1"/>
  <c r="G680" i="35"/>
  <c r="J680" i="35" s="1"/>
  <c r="G533" i="35"/>
  <c r="J533" i="35" s="1"/>
  <c r="G557" i="35"/>
  <c r="J557" i="35" s="1"/>
  <c r="G730" i="35"/>
  <c r="J730" i="35" s="1"/>
  <c r="G638" i="35"/>
  <c r="J638" i="35" s="1"/>
  <c r="G411" i="35"/>
  <c r="J411" i="35" s="1"/>
  <c r="G523" i="35"/>
  <c r="J523" i="35" s="1"/>
  <c r="G40" i="35"/>
  <c r="J40" i="35" s="1"/>
  <c r="G195" i="35"/>
  <c r="J195" i="35" s="1"/>
  <c r="G225" i="35"/>
  <c r="J225" i="35" s="1"/>
  <c r="G404" i="35"/>
  <c r="J404" i="35" s="1"/>
  <c r="G735" i="35"/>
  <c r="J735" i="35" s="1"/>
  <c r="G395" i="35"/>
  <c r="J395" i="35" s="1"/>
  <c r="G214" i="35"/>
  <c r="J214" i="35" s="1"/>
  <c r="G968" i="35"/>
  <c r="J968" i="35" s="1"/>
  <c r="G715" i="35"/>
  <c r="J715" i="35" s="1"/>
  <c r="G982" i="35"/>
  <c r="J982" i="35" s="1"/>
  <c r="G118" i="35"/>
  <c r="J118" i="35" s="1"/>
  <c r="G949" i="35"/>
  <c r="J949" i="35" s="1"/>
  <c r="G841" i="35"/>
  <c r="J841" i="35" s="1"/>
  <c r="G145" i="35"/>
  <c r="J145" i="35" s="1"/>
  <c r="G809" i="35"/>
  <c r="J809" i="35" s="1"/>
  <c r="G555" i="35"/>
  <c r="J555" i="35" s="1"/>
  <c r="G972" i="35"/>
  <c r="J972" i="35" s="1"/>
  <c r="G99" i="35"/>
  <c r="J99" i="35" s="1"/>
  <c r="G497" i="35"/>
  <c r="J497" i="35" s="1"/>
  <c r="G790" i="35"/>
  <c r="J790" i="35" s="1"/>
  <c r="G882" i="35"/>
  <c r="J882" i="35" s="1"/>
  <c r="G52" i="35"/>
  <c r="J52" i="35" s="1"/>
  <c r="G417" i="35"/>
  <c r="J417" i="35" s="1"/>
  <c r="G420" i="35"/>
  <c r="J420" i="35" s="1"/>
  <c r="G159" i="35"/>
  <c r="J159" i="35" s="1"/>
  <c r="G816" i="35"/>
  <c r="J816" i="35" s="1"/>
  <c r="G202" i="35"/>
  <c r="J202" i="35" s="1"/>
  <c r="G240" i="35"/>
  <c r="J240" i="35" s="1"/>
  <c r="G1029" i="35"/>
  <c r="J1029" i="35" s="1"/>
  <c r="G98" i="35"/>
  <c r="J98" i="35" s="1"/>
  <c r="G922" i="35"/>
  <c r="J922" i="35" s="1"/>
  <c r="G722" i="35"/>
  <c r="J722" i="35" s="1"/>
  <c r="G450" i="35"/>
  <c r="J450" i="35" s="1"/>
  <c r="G85" i="35"/>
  <c r="J85" i="35" s="1"/>
  <c r="G281" i="35"/>
  <c r="J281" i="35" s="1"/>
  <c r="G392" i="35"/>
  <c r="J392" i="35" s="1"/>
  <c r="G291" i="35"/>
  <c r="J291" i="35" s="1"/>
  <c r="G866" i="35"/>
  <c r="J866" i="35" s="1"/>
  <c r="G95" i="35"/>
  <c r="J95" i="35" s="1"/>
  <c r="G467" i="35"/>
  <c r="J467" i="35" s="1"/>
  <c r="G502" i="35"/>
  <c r="J502" i="35" s="1"/>
  <c r="G242" i="35"/>
  <c r="J242" i="35" s="1"/>
  <c r="G708" i="35"/>
  <c r="J708" i="35" s="1"/>
  <c r="G1039" i="35"/>
  <c r="J1039" i="35" s="1"/>
  <c r="G280" i="35"/>
  <c r="J280" i="35" s="1"/>
  <c r="G1014" i="35"/>
  <c r="J1014" i="35" s="1"/>
  <c r="G1090" i="35"/>
  <c r="J1090" i="35" s="1"/>
  <c r="G1052" i="35"/>
  <c r="J1052" i="35" s="1"/>
  <c r="G556" i="35"/>
  <c r="J556" i="35" s="1"/>
  <c r="G369" i="35"/>
  <c r="J369" i="35" s="1"/>
  <c r="G843" i="35"/>
  <c r="J843" i="35" s="1"/>
  <c r="G539" i="35"/>
  <c r="J539" i="35" s="1"/>
  <c r="G248" i="35"/>
  <c r="J248" i="35" s="1"/>
  <c r="G798" i="35"/>
  <c r="J798" i="35" s="1"/>
  <c r="G724" i="35"/>
  <c r="J724" i="35" s="1"/>
  <c r="G345" i="35"/>
  <c r="J345" i="35" s="1"/>
  <c r="G15" i="35"/>
  <c r="J15" i="35" s="1"/>
  <c r="G685" i="35"/>
  <c r="J685" i="35" s="1"/>
  <c r="G63" i="35"/>
  <c r="J63" i="35" s="1"/>
  <c r="G127" i="35"/>
  <c r="J127" i="35" s="1"/>
  <c r="G856" i="35"/>
  <c r="J856" i="35" s="1"/>
  <c r="G272" i="35"/>
  <c r="J272" i="35" s="1"/>
  <c r="G746" i="35"/>
  <c r="J746" i="35" s="1"/>
  <c r="G92" i="35"/>
  <c r="J92" i="35" s="1"/>
  <c r="G859" i="35"/>
  <c r="J859" i="35" s="1"/>
  <c r="G313" i="35"/>
  <c r="J313" i="35" s="1"/>
  <c r="G833" i="35"/>
  <c r="J833" i="35" s="1"/>
  <c r="G220" i="35"/>
  <c r="J220" i="35" s="1"/>
  <c r="G445" i="35"/>
  <c r="J445" i="35" s="1"/>
  <c r="G401" i="35"/>
  <c r="J401" i="35" s="1"/>
  <c r="G194" i="35"/>
  <c r="J194" i="35" s="1"/>
  <c r="G977" i="35"/>
  <c r="J977" i="35" s="1"/>
  <c r="G787" i="35"/>
  <c r="J787" i="35" s="1"/>
  <c r="G596" i="35"/>
  <c r="J596" i="35" s="1"/>
  <c r="G936" i="35"/>
  <c r="J936" i="35" s="1"/>
  <c r="G744" i="35"/>
  <c r="J744" i="35" s="1"/>
  <c r="G792" i="35"/>
  <c r="J792" i="35" s="1"/>
  <c r="G1016" i="35"/>
  <c r="J1016" i="35" s="1"/>
  <c r="G360" i="35"/>
  <c r="J360" i="35" s="1"/>
  <c r="G347" i="35"/>
  <c r="J347" i="35" s="1"/>
  <c r="G264" i="35"/>
  <c r="J264" i="35" s="1"/>
  <c r="G524" i="35"/>
  <c r="J524" i="35" s="1"/>
  <c r="G22" i="35"/>
  <c r="J22" i="35" s="1"/>
  <c r="G407" i="35"/>
  <c r="J407" i="35" s="1"/>
  <c r="G1073" i="35"/>
  <c r="J1073" i="35" s="1"/>
  <c r="G57" i="35"/>
  <c r="J57" i="35" s="1"/>
  <c r="G674" i="35"/>
  <c r="J674" i="35" s="1"/>
  <c r="G150" i="35"/>
  <c r="J150" i="35" s="1"/>
  <c r="G89" i="35"/>
  <c r="J89" i="35" s="1"/>
  <c r="G767" i="35"/>
  <c r="J767" i="35" s="1"/>
  <c r="G429" i="35"/>
  <c r="J429" i="35" s="1"/>
  <c r="G410" i="35"/>
  <c r="J410" i="35" s="1"/>
  <c r="G77" i="35"/>
  <c r="J77" i="35" s="1"/>
  <c r="G513" i="35"/>
  <c r="J513" i="35" s="1"/>
  <c r="G55" i="35"/>
  <c r="J55" i="35" s="1"/>
  <c r="G520" i="35"/>
  <c r="J520" i="35" s="1"/>
  <c r="G28" i="35"/>
  <c r="J28" i="35" s="1"/>
  <c r="G416" i="35"/>
  <c r="J416" i="35" s="1"/>
  <c r="G592" i="35"/>
  <c r="J592" i="35" s="1"/>
  <c r="G970" i="35"/>
  <c r="J970" i="35" s="1"/>
  <c r="G268" i="35"/>
  <c r="J268" i="35" s="1"/>
  <c r="G492" i="35"/>
  <c r="J492" i="35" s="1"/>
  <c r="G60" i="35"/>
  <c r="J60" i="35" s="1"/>
  <c r="G943" i="35"/>
  <c r="J943" i="35" s="1"/>
  <c r="G657" i="35"/>
  <c r="J657" i="35" s="1"/>
  <c r="G339" i="35"/>
  <c r="J339" i="35" s="1"/>
  <c r="G292" i="35"/>
  <c r="J292" i="35" s="1"/>
  <c r="G825" i="35"/>
  <c r="J825" i="35" s="1"/>
  <c r="G412" i="35"/>
  <c r="J412" i="35" s="1"/>
  <c r="G1084" i="35"/>
  <c r="J1084" i="35" s="1"/>
  <c r="G307" i="35"/>
  <c r="J307" i="35" s="1"/>
  <c r="G491" i="35"/>
  <c r="J491" i="35" s="1"/>
  <c r="G622" i="35"/>
  <c r="J622" i="35" s="1"/>
  <c r="G144" i="35"/>
  <c r="J144" i="35" s="1"/>
  <c r="G316" i="35"/>
  <c r="J316" i="35" s="1"/>
  <c r="G1049" i="35"/>
  <c r="J1049" i="35" s="1"/>
  <c r="G308" i="35"/>
  <c r="J308" i="35" s="1"/>
  <c r="G132" i="35"/>
  <c r="J132" i="35" s="1"/>
  <c r="G387" i="35"/>
  <c r="J387" i="35" s="1"/>
  <c r="G753" i="35"/>
  <c r="J753" i="35" s="1"/>
  <c r="G459" i="35"/>
  <c r="J459" i="35" s="1"/>
  <c r="G444" i="35"/>
  <c r="J444" i="35" s="1"/>
  <c r="G969" i="35"/>
  <c r="J969" i="35" s="1"/>
  <c r="G883" i="35"/>
  <c r="J883" i="35" s="1"/>
  <c r="G1071" i="35"/>
  <c r="J1071" i="35" s="1"/>
  <c r="G378" i="35"/>
  <c r="J378" i="35" s="1"/>
  <c r="G971" i="35"/>
  <c r="J971" i="35" s="1"/>
  <c r="G575" i="35"/>
  <c r="J575" i="35" s="1"/>
  <c r="G465" i="35"/>
  <c r="J465" i="35" s="1"/>
  <c r="G260" i="35"/>
  <c r="J260" i="35" s="1"/>
  <c r="G69" i="35"/>
  <c r="J69" i="35" s="1"/>
  <c r="G301" i="35"/>
  <c r="J301" i="35" s="1"/>
  <c r="G852" i="35"/>
  <c r="J852" i="35" s="1"/>
  <c r="G864" i="35"/>
  <c r="J864" i="35" s="1"/>
  <c r="G474" i="35"/>
  <c r="J474" i="35" s="1"/>
  <c r="G738" i="35"/>
  <c r="J738" i="35" s="1"/>
  <c r="G187" i="35"/>
  <c r="J187" i="35" s="1"/>
  <c r="G376" i="35"/>
  <c r="J376" i="35" s="1"/>
  <c r="G18" i="35"/>
  <c r="J18" i="35" s="1"/>
  <c r="G563" i="35"/>
  <c r="J563" i="35" s="1"/>
  <c r="G559" i="35"/>
  <c r="J559" i="35" s="1"/>
  <c r="G372" i="35"/>
  <c r="J372" i="35" s="1"/>
  <c r="G951" i="35"/>
  <c r="J951" i="35" s="1"/>
  <c r="G1033" i="35"/>
  <c r="J1033" i="35" s="1"/>
  <c r="G472" i="35"/>
  <c r="J472" i="35" s="1"/>
  <c r="G788" i="35"/>
  <c r="J788" i="35" s="1"/>
  <c r="G1065" i="35"/>
  <c r="J1065" i="35" s="1"/>
  <c r="G610" i="35"/>
  <c r="J610" i="35" s="1"/>
  <c r="G546" i="35"/>
  <c r="J546" i="35" s="1"/>
  <c r="G649" i="35"/>
  <c r="J649" i="35" s="1"/>
  <c r="G756" i="35"/>
  <c r="J756" i="35" s="1"/>
  <c r="G693" i="35"/>
  <c r="J693" i="35" s="1"/>
  <c r="G1060" i="35"/>
  <c r="J1060" i="35" s="1"/>
  <c r="G231" i="35"/>
  <c r="J231" i="35" s="1"/>
  <c r="G975" i="35"/>
  <c r="J975" i="35" s="1"/>
  <c r="G889" i="35"/>
  <c r="J889" i="35" s="1"/>
  <c r="G527" i="35"/>
  <c r="J527" i="35" s="1"/>
  <c r="G636" i="35"/>
  <c r="J636" i="35" s="1"/>
  <c r="G309" i="35"/>
  <c r="J309" i="35" s="1"/>
  <c r="G104" i="35"/>
  <c r="J104" i="35" s="1"/>
  <c r="G397" i="35"/>
  <c r="J397" i="35" s="1"/>
  <c r="G733" i="35"/>
  <c r="J733" i="35" s="1"/>
  <c r="G877" i="35"/>
  <c r="J877" i="35" s="1"/>
  <c r="G1053" i="35"/>
  <c r="J1053" i="35" s="1"/>
  <c r="G967" i="35"/>
  <c r="J967" i="35" s="1"/>
  <c r="G1003" i="35"/>
  <c r="J1003" i="35" s="1"/>
  <c r="G913" i="35"/>
  <c r="J913" i="35" s="1"/>
  <c r="G80" i="35"/>
  <c r="J80" i="35" s="1"/>
  <c r="G503" i="35"/>
  <c r="J503" i="35" s="1"/>
  <c r="G146" i="35"/>
  <c r="J146" i="35" s="1"/>
  <c r="G1041" i="35"/>
  <c r="J1041" i="35" s="1"/>
  <c r="G243" i="35"/>
  <c r="J243" i="35" s="1"/>
  <c r="G41" i="35"/>
  <c r="J41" i="35" s="1"/>
  <c r="G560" i="35"/>
  <c r="J560" i="35" s="1"/>
  <c r="G692" i="35"/>
  <c r="J692" i="35" s="1"/>
  <c r="G976" i="35"/>
  <c r="J976" i="35" s="1"/>
  <c r="G628" i="35"/>
  <c r="J628" i="35" s="1"/>
  <c r="G849" i="35"/>
  <c r="J849" i="35" s="1"/>
  <c r="G356" i="35"/>
  <c r="J356" i="35" s="1"/>
  <c r="G324" i="35"/>
  <c r="J324" i="35" s="1"/>
  <c r="G1035" i="35"/>
  <c r="J1035" i="35" s="1"/>
  <c r="G254" i="35"/>
  <c r="J254" i="35" s="1"/>
  <c r="G128" i="35"/>
  <c r="J128" i="35" s="1"/>
  <c r="G449" i="35"/>
  <c r="J449" i="35" s="1"/>
  <c r="G899" i="35"/>
  <c r="J899" i="35" s="1"/>
  <c r="G119" i="35"/>
  <c r="J119" i="35" s="1"/>
  <c r="G608" i="35"/>
  <c r="J608" i="35" s="1"/>
  <c r="G807" i="35"/>
  <c r="J807" i="35" s="1"/>
  <c r="G891" i="35"/>
  <c r="J891" i="35" s="1"/>
  <c r="G760" i="35"/>
  <c r="J760" i="35" s="1"/>
  <c r="G189" i="35"/>
  <c r="J189" i="35" s="1"/>
  <c r="G135" i="35"/>
  <c r="J135" i="35" s="1"/>
  <c r="G1006" i="35"/>
  <c r="J1006" i="35" s="1"/>
  <c r="G249" i="35"/>
  <c r="J249" i="35" s="1"/>
  <c r="G941" i="35"/>
  <c r="J941" i="35" s="1"/>
  <c r="G678" i="35"/>
  <c r="J678" i="35" s="1"/>
  <c r="G270" i="35"/>
  <c r="J270" i="35" s="1"/>
  <c r="G611" i="35"/>
  <c r="J611" i="35" s="1"/>
  <c r="G981" i="35"/>
  <c r="J981" i="35" s="1"/>
  <c r="G315" i="35"/>
  <c r="J315" i="35" s="1"/>
  <c r="G485" i="35"/>
  <c r="J485" i="35" s="1"/>
  <c r="G31" i="35"/>
  <c r="J31" i="35" s="1"/>
  <c r="G213" i="35"/>
  <c r="J213" i="35" s="1"/>
  <c r="G389" i="35"/>
  <c r="J389" i="35" s="1"/>
  <c r="G518" i="35"/>
  <c r="J518" i="35" s="1"/>
  <c r="G1018" i="35"/>
  <c r="J1018" i="35" s="1"/>
  <c r="G947" i="35"/>
  <c r="J947" i="35" s="1"/>
  <c r="G749" i="35"/>
  <c r="J749" i="35" s="1"/>
  <c r="G239" i="35"/>
  <c r="J239" i="35" s="1"/>
  <c r="G800" i="35"/>
  <c r="J800" i="35" s="1"/>
  <c r="G1087" i="35"/>
  <c r="J1087" i="35" s="1"/>
  <c r="G637" i="35"/>
  <c r="J637" i="35" s="1"/>
  <c r="G419" i="35"/>
  <c r="J419" i="35" s="1"/>
  <c r="G911" i="35"/>
  <c r="J911" i="35" s="1"/>
  <c r="G858" i="35"/>
  <c r="J858" i="35" s="1"/>
  <c r="G570" i="35"/>
  <c r="J570" i="35" s="1"/>
  <c r="G784" i="35"/>
  <c r="J784" i="35" s="1"/>
  <c r="G1050" i="35"/>
  <c r="J1050" i="35" s="1"/>
  <c r="G47" i="35"/>
  <c r="J47" i="35" s="1"/>
  <c r="G901" i="35"/>
  <c r="J901" i="35" s="1"/>
  <c r="G945" i="35"/>
  <c r="J945" i="35" s="1"/>
  <c r="G1022" i="35"/>
  <c r="J1022" i="35" s="1"/>
  <c r="G75" i="35"/>
  <c r="J75" i="35" s="1"/>
  <c r="G383" i="35"/>
  <c r="J383" i="35" s="1"/>
  <c r="G992" i="35"/>
  <c r="J992" i="35" s="1"/>
  <c r="G14" i="35"/>
  <c r="J14" i="35" s="1"/>
  <c r="G320" i="35"/>
  <c r="J320" i="35" s="1"/>
  <c r="G103" i="35"/>
  <c r="J103" i="35" s="1"/>
  <c r="G50" i="35"/>
  <c r="J50" i="35" s="1"/>
  <c r="G109" i="35"/>
  <c r="J109" i="35" s="1"/>
  <c r="G5" i="35"/>
  <c r="J5" i="35" s="1"/>
  <c r="G162" i="35"/>
  <c r="J162" i="35" s="1"/>
  <c r="G349" i="35"/>
  <c r="J349" i="35" s="1"/>
  <c r="G495" i="35"/>
  <c r="J495" i="35" s="1"/>
  <c r="G371" i="35"/>
  <c r="J371" i="35" s="1"/>
  <c r="G572" i="35"/>
  <c r="J572" i="35" s="1"/>
  <c r="G110" i="35"/>
  <c r="J110" i="35" s="1"/>
  <c r="G23" i="35"/>
  <c r="J23" i="35" s="1"/>
  <c r="G908" i="35"/>
  <c r="J908" i="35" s="1"/>
  <c r="G205" i="35"/>
  <c r="J205" i="35" s="1"/>
  <c r="G406" i="35"/>
  <c r="J406" i="35" s="1"/>
  <c r="G926" i="35"/>
  <c r="J926" i="35" s="1"/>
  <c r="G1038" i="35"/>
  <c r="J1038" i="35" s="1"/>
  <c r="G1070" i="35"/>
  <c r="J1070" i="35" s="1"/>
  <c r="G1045" i="35"/>
  <c r="J1045" i="35" s="1"/>
  <c r="G979" i="35"/>
  <c r="J979" i="35" s="1"/>
  <c r="G1074" i="35"/>
  <c r="J1074" i="35" s="1"/>
  <c r="G421" i="35"/>
  <c r="J421" i="35" s="1"/>
  <c r="G734" i="35"/>
  <c r="J734" i="35" s="1"/>
  <c r="G850" i="35"/>
  <c r="J850" i="35" s="1"/>
  <c r="G1061" i="35"/>
  <c r="J1061" i="35" s="1"/>
  <c r="G247" i="35"/>
  <c r="J247" i="35" s="1"/>
  <c r="G1025" i="35"/>
  <c r="J1025" i="35" s="1"/>
  <c r="G878" i="35"/>
  <c r="J878" i="35" s="1"/>
  <c r="G910" i="35"/>
  <c r="J910" i="35" s="1"/>
  <c r="G359" i="35"/>
  <c r="J359" i="35" s="1"/>
  <c r="G241" i="35"/>
  <c r="J241" i="35" s="1"/>
  <c r="G112" i="35"/>
  <c r="J112" i="35" s="1"/>
  <c r="G1057" i="35"/>
  <c r="J1057" i="35" s="1"/>
  <c r="G62" i="35"/>
  <c r="J62" i="35" s="1"/>
  <c r="G76" i="35"/>
  <c r="J76" i="35" s="1"/>
  <c r="G797" i="35"/>
  <c r="J797" i="35" s="1"/>
  <c r="G367" i="35"/>
  <c r="J367" i="35" s="1"/>
  <c r="G870" i="35"/>
  <c r="J870" i="35" s="1"/>
  <c r="G648" i="35"/>
  <c r="J648" i="35" s="1"/>
  <c r="G1031" i="35"/>
  <c r="J1031" i="35" s="1"/>
  <c r="G325" i="35"/>
  <c r="J325" i="35" s="1"/>
  <c r="G334" i="35"/>
  <c r="J334" i="35" s="1"/>
  <c r="G43" i="35"/>
  <c r="J43" i="35" s="1"/>
  <c r="G664" i="35"/>
  <c r="J664" i="35" s="1"/>
  <c r="G1054" i="35"/>
  <c r="J1054" i="35" s="1"/>
  <c r="G222" i="35"/>
  <c r="J222" i="35" s="1"/>
  <c r="G488" i="35"/>
  <c r="J488" i="35" s="1"/>
  <c r="G224" i="35"/>
  <c r="J224" i="35" s="1"/>
  <c r="G996" i="35"/>
  <c r="J996" i="35" s="1"/>
  <c r="G757" i="35"/>
  <c r="J757" i="35" s="1"/>
  <c r="G1010" i="35"/>
  <c r="J1010" i="35" s="1"/>
  <c r="G709" i="35"/>
  <c r="J709" i="35" s="1"/>
  <c r="G1008" i="35"/>
  <c r="J1008" i="35" s="1"/>
  <c r="G1023" i="35"/>
  <c r="J1023" i="35" s="1"/>
  <c r="G551" i="35"/>
  <c r="J551" i="35" s="1"/>
  <c r="G604" i="35"/>
  <c r="J604" i="35" s="1"/>
  <c r="G768" i="35"/>
  <c r="J768" i="35" s="1"/>
  <c r="G1036" i="35"/>
  <c r="J1036" i="35" s="1"/>
  <c r="G136" i="35"/>
  <c r="J136" i="35" s="1"/>
  <c r="G70" i="35"/>
  <c r="J70" i="35" s="1"/>
  <c r="G629" i="35"/>
  <c r="J629" i="35" s="1"/>
  <c r="G624" i="35"/>
  <c r="J624" i="35" s="1"/>
  <c r="G562" i="35"/>
  <c r="J562" i="35" s="1"/>
  <c r="G872" i="35"/>
  <c r="J872" i="35" s="1"/>
  <c r="G381" i="35"/>
  <c r="J381" i="35" s="1"/>
  <c r="G574" i="35"/>
  <c r="J574" i="35" s="1"/>
  <c r="G478" i="35"/>
  <c r="J478" i="35" s="1"/>
  <c r="G736" i="35"/>
  <c r="J736" i="35" s="1"/>
  <c r="P2" i="19"/>
  <c r="P3" i="19" s="1"/>
  <c r="P4" i="19" s="1"/>
  <c r="P5" i="19" s="1"/>
  <c r="P6" i="19" s="1"/>
  <c r="P7" i="19" s="1"/>
  <c r="P8" i="19" s="1"/>
  <c r="P9" i="19" s="1"/>
  <c r="P10" i="19" s="1"/>
  <c r="P11" i="19" s="1"/>
  <c r="AB3" i="19" s="1"/>
  <c r="AH607" i="19"/>
  <c r="G321" i="35"/>
  <c r="J321" i="35" s="1"/>
  <c r="G393" i="35"/>
  <c r="J393" i="35" s="1"/>
  <c r="G681" i="35"/>
  <c r="J681" i="35" s="1"/>
  <c r="G44" i="35"/>
  <c r="J44" i="35" s="1"/>
  <c r="G451" i="35"/>
  <c r="J451" i="35" s="1"/>
  <c r="G669" i="35"/>
  <c r="J669" i="35" s="1"/>
  <c r="G111" i="35"/>
  <c r="J111" i="35" s="1"/>
  <c r="G519" i="35"/>
  <c r="J519" i="35" s="1"/>
  <c r="G1040" i="35"/>
  <c r="J1040" i="35" s="1"/>
  <c r="G274" i="35"/>
  <c r="J274" i="35" s="1"/>
  <c r="G81" i="35"/>
  <c r="J81" i="35" s="1"/>
  <c r="G174" i="35"/>
  <c r="J174" i="35" s="1"/>
  <c r="G777" i="35"/>
  <c r="J777" i="35" s="1"/>
  <c r="G79" i="35"/>
  <c r="J79" i="35" s="1"/>
  <c r="G1089" i="35"/>
  <c r="J1089" i="35" s="1"/>
  <c r="G812" i="35"/>
  <c r="J812" i="35" s="1"/>
  <c r="G343" i="35"/>
  <c r="J343" i="35" s="1"/>
  <c r="G803" i="35"/>
  <c r="J803" i="35" s="1"/>
  <c r="G230" i="35"/>
  <c r="J230" i="35" s="1"/>
  <c r="G160" i="35"/>
  <c r="J160" i="35" s="1"/>
  <c r="G661" i="35"/>
  <c r="J661" i="35" s="1"/>
  <c r="G837" i="35"/>
  <c r="J837" i="35" s="1"/>
  <c r="G1011" i="35"/>
  <c r="J1011" i="35" s="1"/>
  <c r="G846" i="35"/>
  <c r="J846" i="35" s="1"/>
  <c r="G802" i="35"/>
  <c r="J802" i="35" s="1"/>
  <c r="G122" i="35"/>
  <c r="J122" i="35" s="1"/>
  <c r="G39" i="35"/>
  <c r="J39" i="35" s="1"/>
  <c r="G591" i="35"/>
  <c r="J591" i="35" s="1"/>
  <c r="G299" i="35"/>
  <c r="J299" i="35" s="1"/>
  <c r="G129" i="35"/>
  <c r="J129" i="35" s="1"/>
  <c r="G90" i="35"/>
  <c r="J90" i="35" s="1"/>
  <c r="G512" i="35"/>
  <c r="J512" i="35" s="1"/>
  <c r="G948" i="35"/>
  <c r="J948" i="35" s="1"/>
  <c r="G178" i="35"/>
  <c r="J178" i="35" s="1"/>
  <c r="G282" i="35"/>
  <c r="J282" i="35" s="1"/>
  <c r="G719" i="35"/>
  <c r="J719" i="35" s="1"/>
  <c r="G305" i="35"/>
  <c r="J305" i="35" s="1"/>
  <c r="G819" i="35"/>
  <c r="J819" i="35" s="1"/>
  <c r="G801" i="35"/>
  <c r="J801" i="35" s="1"/>
  <c r="G590" i="35"/>
  <c r="J590" i="35" s="1"/>
  <c r="G842" i="35"/>
  <c r="J842" i="35" s="1"/>
  <c r="G955" i="35"/>
  <c r="J955" i="35" s="1"/>
  <c r="G212" i="35"/>
  <c r="J212" i="35" s="1"/>
  <c r="G820" i="35"/>
  <c r="J820" i="35" s="1"/>
  <c r="G614" i="35"/>
  <c r="J614" i="35" s="1"/>
  <c r="G762" i="35"/>
  <c r="J762" i="35" s="1"/>
  <c r="G548" i="35"/>
  <c r="J548" i="35" s="1"/>
  <c r="G828" i="35"/>
  <c r="J828" i="35" s="1"/>
  <c r="G430" i="35"/>
  <c r="J430" i="35" s="1"/>
  <c r="G621" i="35"/>
  <c r="J621" i="35" s="1"/>
  <c r="G954" i="35"/>
  <c r="J954" i="35" s="1"/>
  <c r="G304" i="35"/>
  <c r="J304" i="35" s="1"/>
  <c r="G927" i="35"/>
  <c r="J927" i="35" s="1"/>
  <c r="G950" i="35"/>
  <c r="J950" i="35" s="1"/>
  <c r="G782" i="35"/>
  <c r="J782" i="35" s="1"/>
  <c r="G619" i="35"/>
  <c r="J619" i="35" s="1"/>
  <c r="G703" i="35"/>
  <c r="J703" i="35" s="1"/>
  <c r="G288" i="35"/>
  <c r="J288" i="35" s="1"/>
  <c r="G1085" i="35"/>
  <c r="J1085" i="35" s="1"/>
  <c r="G672" i="35"/>
  <c r="J672" i="35" s="1"/>
  <c r="I125" i="35"/>
  <c r="G487" i="35"/>
  <c r="J487" i="35" s="1"/>
  <c r="G287" i="35"/>
  <c r="J287" i="35" s="1"/>
  <c r="G835" i="35"/>
  <c r="J835" i="35" s="1"/>
  <c r="G262" i="35"/>
  <c r="J262" i="35" s="1"/>
  <c r="G962" i="35"/>
  <c r="J962" i="35" s="1"/>
  <c r="G665" i="35"/>
  <c r="J665" i="35" s="1"/>
  <c r="G666" i="35"/>
  <c r="J666" i="35" s="1"/>
  <c r="G701" i="35"/>
  <c r="J701" i="35" s="1"/>
  <c r="G65" i="35"/>
  <c r="J65" i="35" s="1"/>
  <c r="G1058" i="35"/>
  <c r="J1058" i="35" s="1"/>
  <c r="G439" i="35"/>
  <c r="J439" i="35" s="1"/>
  <c r="G999" i="35"/>
  <c r="J999" i="35" s="1"/>
  <c r="G168" i="35"/>
  <c r="J168" i="35" s="1"/>
  <c r="G603" i="35"/>
  <c r="J603" i="35" s="1"/>
  <c r="G775" i="35"/>
  <c r="J775" i="35" s="1"/>
  <c r="G284" i="35"/>
  <c r="J284" i="35" s="1"/>
  <c r="G37" i="35"/>
  <c r="J37" i="35" s="1"/>
  <c r="G549" i="35"/>
  <c r="J549" i="35" s="1"/>
  <c r="G499" i="35"/>
  <c r="J499" i="35" s="1"/>
  <c r="G1055" i="35"/>
  <c r="J1055" i="35" s="1"/>
  <c r="G778" i="35"/>
  <c r="J778" i="35" s="1"/>
  <c r="G1076" i="35"/>
  <c r="J1076" i="35" s="1"/>
  <c r="G20" i="35"/>
  <c r="J20" i="35" s="1"/>
  <c r="G1082" i="35"/>
  <c r="J1082" i="35" s="1"/>
  <c r="G937" i="35"/>
  <c r="J937" i="35" s="1"/>
  <c r="G330" i="35"/>
  <c r="J330" i="35" s="1"/>
  <c r="G428" i="35"/>
  <c r="J428" i="35" s="1"/>
  <c r="G522" i="35"/>
  <c r="J522" i="35" s="1"/>
  <c r="G646" i="35"/>
  <c r="J646" i="35" s="1"/>
  <c r="G1042" i="35"/>
  <c r="J1042" i="35" s="1"/>
  <c r="G857" i="35"/>
  <c r="J857" i="35" s="1"/>
  <c r="G616" i="35"/>
  <c r="J616" i="35" s="1"/>
  <c r="G1037" i="35"/>
  <c r="J1037" i="35" s="1"/>
  <c r="G275" i="35"/>
  <c r="J275" i="35" s="1"/>
  <c r="G114" i="35"/>
  <c r="J114" i="35" s="1"/>
  <c r="G915" i="35"/>
  <c r="J915" i="35" s="1"/>
  <c r="G1046" i="35"/>
  <c r="J1046" i="35" s="1"/>
  <c r="G382" i="35"/>
  <c r="J382" i="35" s="1"/>
  <c r="G997" i="35"/>
  <c r="J997" i="35" s="1"/>
  <c r="G442" i="35"/>
  <c r="J442" i="35" s="1"/>
  <c r="G613" i="35"/>
  <c r="J613" i="35" s="1"/>
  <c r="G589" i="35"/>
  <c r="J589" i="35" s="1"/>
  <c r="G597" i="35"/>
  <c r="J597" i="35" s="1"/>
  <c r="G961" i="35"/>
  <c r="J961" i="35" s="1"/>
  <c r="G516" i="35"/>
  <c r="J516" i="35" s="1"/>
  <c r="G446" i="35"/>
  <c r="J446" i="35" s="1"/>
  <c r="G990" i="35"/>
  <c r="J990" i="35" s="1"/>
  <c r="G263" i="35"/>
  <c r="J263" i="35" s="1"/>
  <c r="G550" i="35"/>
  <c r="J550" i="35" s="1"/>
  <c r="G960" i="35"/>
  <c r="J960" i="35" s="1"/>
  <c r="G900" i="35"/>
  <c r="J900" i="35" s="1"/>
  <c r="G252" i="35"/>
  <c r="J252" i="35" s="1"/>
  <c r="G793" i="35"/>
  <c r="J793" i="35" s="1"/>
  <c r="G528" i="35"/>
  <c r="J528" i="35" s="1"/>
  <c r="G177" i="35"/>
  <c r="J177" i="35" s="1"/>
  <c r="G808" i="35"/>
  <c r="J808" i="35" s="1"/>
  <c r="G1044" i="35"/>
  <c r="J1044" i="35" s="1"/>
  <c r="G402" i="35"/>
  <c r="J402" i="35" s="1"/>
  <c r="G232" i="35"/>
  <c r="J232" i="35" s="1"/>
  <c r="G909" i="35"/>
  <c r="J909" i="35" s="1"/>
  <c r="G434" i="35"/>
  <c r="J434" i="35" s="1"/>
  <c r="G844" i="35"/>
  <c r="J844" i="35" s="1"/>
  <c r="G845" i="35"/>
  <c r="J845" i="35" s="1"/>
  <c r="G761" i="35"/>
  <c r="J761" i="35" s="1"/>
  <c r="G854" i="35"/>
  <c r="J854" i="35" s="1"/>
  <c r="G374" i="35"/>
  <c r="J374" i="35" s="1"/>
  <c r="G600" i="35"/>
  <c r="J600" i="35" s="1"/>
  <c r="G456" i="35"/>
  <c r="J456" i="35" s="1"/>
  <c r="G227" i="35"/>
  <c r="J227" i="35" s="1"/>
  <c r="G903" i="35"/>
  <c r="J903" i="35" s="1"/>
  <c r="G535" i="35"/>
  <c r="J535" i="35" s="1"/>
  <c r="G690" i="35"/>
  <c r="J690" i="35" s="1"/>
  <c r="G944" i="35"/>
  <c r="J944" i="35" s="1"/>
  <c r="G279" i="35"/>
  <c r="J279" i="35" s="1"/>
  <c r="G675" i="35"/>
  <c r="J675" i="35" s="1"/>
  <c r="G679" i="35"/>
  <c r="J679" i="35" s="1"/>
  <c r="G578" i="35"/>
  <c r="J578" i="35" s="1"/>
  <c r="G1047" i="35"/>
  <c r="J1047" i="35" s="1"/>
  <c r="G785" i="35"/>
  <c r="J785" i="35" s="1"/>
  <c r="G94" i="35"/>
  <c r="J94" i="35" s="1"/>
  <c r="G723" i="35"/>
  <c r="J723" i="35" s="1"/>
  <c r="G939" i="35"/>
  <c r="J939" i="35" s="1"/>
  <c r="G454" i="35"/>
  <c r="J454" i="35" s="1"/>
  <c r="G32" i="35"/>
  <c r="J32" i="35" s="1"/>
  <c r="G200" i="35"/>
  <c r="J200" i="35" s="1"/>
  <c r="G713" i="35"/>
  <c r="J713" i="35" s="1"/>
  <c r="G82" i="35"/>
  <c r="J82" i="35" s="1"/>
  <c r="G475" i="35"/>
  <c r="J475" i="35" s="1"/>
  <c r="G588" i="35"/>
  <c r="J588" i="35" s="1"/>
  <c r="G892" i="35"/>
  <c r="J892" i="35" s="1"/>
  <c r="G340" i="35"/>
  <c r="J340" i="35" s="1"/>
  <c r="G1062" i="35"/>
  <c r="J1062" i="35" s="1"/>
  <c r="G33" i="35"/>
  <c r="J33" i="35" s="1"/>
  <c r="G774" i="35"/>
  <c r="J774" i="35" s="1"/>
  <c r="G796" i="35"/>
  <c r="J796" i="35" s="1"/>
  <c r="G16" i="35"/>
  <c r="J16" i="35" s="1"/>
  <c r="G490" i="35"/>
  <c r="J490" i="35" s="1"/>
  <c r="G441" i="35"/>
  <c r="J441" i="35" s="1"/>
  <c r="G933" i="35"/>
  <c r="J933" i="35" s="1"/>
  <c r="G868" i="35"/>
  <c r="J868" i="35" s="1"/>
  <c r="G705" i="35"/>
  <c r="J705" i="35" s="1"/>
  <c r="G904" i="35"/>
  <c r="J904" i="35" s="1"/>
  <c r="G879" i="35"/>
  <c r="J879" i="35" s="1"/>
  <c r="G462" i="35"/>
  <c r="J462" i="35" s="1"/>
  <c r="G1051" i="35"/>
  <c r="J1051" i="35" s="1"/>
  <c r="G469" i="35"/>
  <c r="J469" i="35" s="1"/>
  <c r="G509" i="35"/>
  <c r="J509" i="35" s="1"/>
  <c r="G558" i="35"/>
  <c r="J558" i="35" s="1"/>
  <c r="G21" i="35"/>
  <c r="J21" i="35" s="1"/>
  <c r="G394" i="35"/>
  <c r="J394" i="35" s="1"/>
  <c r="G510" i="35"/>
  <c r="J510" i="35" s="1"/>
  <c r="G697" i="35"/>
  <c r="J697" i="35" s="1"/>
  <c r="G989" i="35"/>
  <c r="J989" i="35" s="1"/>
  <c r="G166" i="35"/>
  <c r="J166" i="35" s="1"/>
  <c r="AR21" i="19"/>
  <c r="G290" i="35"/>
  <c r="J290" i="35" s="1"/>
  <c r="G593" i="35"/>
  <c r="J593" i="35" s="1"/>
  <c r="G671" i="35"/>
  <c r="J671" i="35" s="1"/>
  <c r="G289" i="35"/>
  <c r="J289" i="35" s="1"/>
  <c r="G276" i="35"/>
  <c r="J276" i="35" s="1"/>
  <c r="G452" i="35"/>
  <c r="J452" i="35" s="1"/>
  <c r="G199" i="35"/>
  <c r="J199" i="35" s="1"/>
  <c r="G27" i="35"/>
  <c r="J27" i="35" s="1"/>
  <c r="G413" i="35"/>
  <c r="J413" i="35" s="1"/>
  <c r="G322" i="35"/>
  <c r="J322" i="35" s="1"/>
  <c r="G422" i="35"/>
  <c r="J422" i="35" s="1"/>
  <c r="G182" i="35"/>
  <c r="J182" i="35" s="1"/>
  <c r="G1021" i="35"/>
  <c r="J1021" i="35" s="1"/>
  <c r="G694" i="35"/>
  <c r="J694" i="35" s="1"/>
  <c r="G887" i="35"/>
  <c r="J887" i="35" s="1"/>
  <c r="G130" i="35"/>
  <c r="J130" i="35" s="1"/>
  <c r="G995" i="35"/>
  <c r="J995" i="35" s="1"/>
  <c r="G336" i="35"/>
  <c r="J336" i="35" s="1"/>
  <c r="G34" i="35"/>
  <c r="J34" i="35" s="1"/>
  <c r="G318" i="35"/>
  <c r="J318" i="35" s="1"/>
  <c r="G506" i="35"/>
  <c r="J506" i="35" s="1"/>
  <c r="G149" i="35"/>
  <c r="J149" i="35" s="1"/>
  <c r="G246" i="35"/>
  <c r="J246" i="35" s="1"/>
  <c r="G396" i="35"/>
  <c r="J396" i="35" s="1"/>
  <c r="G985" i="35"/>
  <c r="J985" i="35" s="1"/>
  <c r="G770" i="35"/>
  <c r="J770" i="35" s="1"/>
  <c r="G328" i="35"/>
  <c r="J328" i="35" s="1"/>
  <c r="G93" i="35"/>
  <c r="J93" i="35" s="1"/>
  <c r="G894" i="35"/>
  <c r="J894" i="35" s="1"/>
  <c r="G250" i="35"/>
  <c r="J250" i="35" s="1"/>
  <c r="G958" i="35"/>
  <c r="J958" i="35" s="1"/>
  <c r="G1009" i="35"/>
  <c r="J1009" i="35" s="1"/>
  <c r="G875" i="35"/>
  <c r="J875" i="35" s="1"/>
  <c r="G319" i="35"/>
  <c r="J319" i="35" s="1"/>
  <c r="G507" i="35"/>
  <c r="J507" i="35" s="1"/>
  <c r="G687" i="35"/>
  <c r="J687" i="35" s="1"/>
  <c r="G839" i="35"/>
  <c r="J839" i="35" s="1"/>
  <c r="G688" i="35"/>
  <c r="J688" i="35" s="1"/>
  <c r="G896" i="35"/>
  <c r="J896" i="35" s="1"/>
  <c r="G245" i="35"/>
  <c r="J245" i="35" s="1"/>
  <c r="G631" i="35"/>
  <c r="J631" i="35" s="1"/>
  <c r="G888" i="35"/>
  <c r="J888" i="35" s="1"/>
  <c r="G148" i="35"/>
  <c r="J148" i="35" s="1"/>
  <c r="G233" i="35"/>
  <c r="J233" i="35" s="1"/>
  <c r="G261" i="35"/>
  <c r="J261" i="35" s="1"/>
  <c r="G350" i="35"/>
  <c r="J350" i="35" s="1"/>
  <c r="G606" i="35"/>
  <c r="J606" i="35" s="1"/>
  <c r="G978" i="35"/>
  <c r="J978" i="35" s="1"/>
  <c r="G952" i="35"/>
  <c r="J952" i="35" s="1"/>
  <c r="G121" i="35"/>
  <c r="J121" i="35" s="1"/>
  <c r="G19" i="35"/>
  <c r="J19" i="35" s="1"/>
  <c r="G418" i="35"/>
  <c r="J418" i="35" s="1"/>
  <c r="G662" i="35"/>
  <c r="J662" i="35" s="1"/>
  <c r="G464" i="35"/>
  <c r="J464" i="35" s="1"/>
  <c r="G435" i="35"/>
  <c r="J435" i="35" s="1"/>
  <c r="G924" i="35"/>
  <c r="J924" i="35" s="1"/>
  <c r="G67" i="35"/>
  <c r="J67" i="35" s="1"/>
  <c r="G217" i="35"/>
  <c r="J217" i="35" s="1"/>
  <c r="G364" i="35"/>
  <c r="J364" i="35" s="1"/>
  <c r="G300" i="35"/>
  <c r="J300" i="35" s="1"/>
  <c r="G1028" i="35"/>
  <c r="J1028" i="35" s="1"/>
  <c r="G468" i="35"/>
  <c r="J468" i="35" s="1"/>
  <c r="G183" i="35"/>
  <c r="J183" i="35" s="1"/>
  <c r="G810" i="35"/>
  <c r="J810" i="35" s="1"/>
  <c r="G448" i="35"/>
  <c r="J448" i="35" s="1"/>
  <c r="G1026" i="35"/>
  <c r="J1026" i="35" s="1"/>
  <c r="G101" i="35"/>
  <c r="J101" i="35" s="1"/>
  <c r="G48" i="35"/>
  <c r="J48" i="35" s="1"/>
  <c r="G840" i="35"/>
  <c r="J840" i="35" s="1"/>
  <c r="G587" i="35"/>
  <c r="J587" i="35" s="1"/>
  <c r="G363" i="35"/>
  <c r="J363" i="35" s="1"/>
  <c r="G540" i="35"/>
  <c r="J540" i="35" s="1"/>
  <c r="G285" i="35"/>
  <c r="J285" i="35" s="1"/>
  <c r="G741" i="35"/>
  <c r="J741" i="35" s="1"/>
  <c r="G928" i="35"/>
  <c r="J928" i="35" s="1"/>
  <c r="G569" i="35"/>
  <c r="J569" i="35" s="1"/>
  <c r="G873" i="35"/>
  <c r="J873" i="35" s="1"/>
  <c r="G473" i="35"/>
  <c r="J473" i="35" s="1"/>
  <c r="AD607" i="19"/>
  <c r="G508" i="35"/>
  <c r="J508" i="35" s="1"/>
  <c r="G433" i="35"/>
  <c r="J433" i="35" s="1"/>
  <c r="G87" i="35"/>
  <c r="J87" i="35" s="1"/>
  <c r="G354" i="35"/>
  <c r="J354" i="35" s="1"/>
  <c r="G458" i="35"/>
  <c r="J458" i="35" s="1"/>
  <c r="G764" i="35"/>
  <c r="J764" i="35" s="1"/>
  <c r="G206" i="35"/>
  <c r="J206" i="35" s="1"/>
  <c r="G332" i="35"/>
  <c r="J332" i="35" s="1"/>
  <c r="G721" i="35"/>
  <c r="J721" i="35" s="1"/>
  <c r="G86" i="35"/>
  <c r="J86" i="35" s="1"/>
  <c r="G583" i="35"/>
  <c r="J583" i="35" s="1"/>
  <c r="G323" i="35"/>
  <c r="J323" i="35" s="1"/>
  <c r="G874" i="35"/>
  <c r="J874" i="35" s="1"/>
  <c r="G440" i="35"/>
  <c r="J440" i="35" s="1"/>
  <c r="G26" i="35"/>
  <c r="J26" i="35" s="1"/>
  <c r="G577" i="35"/>
  <c r="J577" i="35" s="1"/>
  <c r="AL38" i="35"/>
  <c r="AL33" i="35"/>
  <c r="AT38" i="35"/>
  <c r="AL34" i="35"/>
  <c r="AL39" i="35"/>
  <c r="AL27" i="35"/>
  <c r="AL31" i="35"/>
  <c r="AL26" i="35"/>
  <c r="AL29" i="35"/>
  <c r="AL32" i="35"/>
  <c r="AL30" i="35"/>
  <c r="X12" i="35"/>
  <c r="AL28" i="35"/>
  <c r="AL35" i="35"/>
  <c r="AL25" i="35"/>
  <c r="AL36" i="35"/>
  <c r="AL37" i="35"/>
  <c r="G620" i="35"/>
  <c r="J620" i="35" s="1"/>
  <c r="G438" i="35"/>
  <c r="J438" i="35" s="1"/>
  <c r="G131" i="35"/>
  <c r="J131" i="35" s="1"/>
  <c r="G712" i="35"/>
  <c r="J712" i="35" s="1"/>
  <c r="G1063" i="35"/>
  <c r="J1063" i="35" s="1"/>
  <c r="G97" i="35"/>
  <c r="J97" i="35" s="1"/>
  <c r="G223" i="35"/>
  <c r="J223" i="35" s="1"/>
  <c r="G1048" i="35"/>
  <c r="J1048" i="35" s="1"/>
  <c r="G871" i="35"/>
  <c r="J871" i="35" s="1"/>
  <c r="G780" i="35"/>
  <c r="J780" i="35" s="1"/>
  <c r="G219" i="35"/>
  <c r="J219" i="35" s="1"/>
  <c r="G126" i="35"/>
  <c r="J126" i="35" s="1"/>
  <c r="G49" i="35"/>
  <c r="J49" i="35" s="1"/>
  <c r="G526" i="35"/>
  <c r="J526" i="35" s="1"/>
  <c r="G1092" i="35"/>
  <c r="J1092" i="35" s="1"/>
  <c r="G942" i="35"/>
  <c r="J942" i="35" s="1"/>
  <c r="G830" i="35"/>
  <c r="J830" i="35" s="1"/>
  <c r="G295" i="35"/>
  <c r="J295" i="35" s="1"/>
  <c r="G133" i="35"/>
  <c r="J133" i="35" s="1"/>
  <c r="G405" i="35"/>
  <c r="J405" i="35" s="1"/>
  <c r="G72" i="35"/>
  <c r="J72" i="35" s="1"/>
  <c r="G1030" i="35"/>
  <c r="J1030" i="35" s="1"/>
  <c r="G529" i="35"/>
  <c r="J529" i="35" s="1"/>
  <c r="G691" i="35"/>
  <c r="J691" i="35" s="1"/>
  <c r="G338" i="35"/>
  <c r="J338" i="35" s="1"/>
  <c r="G185" i="35"/>
  <c r="J185" i="35" s="1"/>
  <c r="G1069" i="35"/>
  <c r="J1069" i="35" s="1"/>
  <c r="G754" i="35"/>
  <c r="J754" i="35" s="1"/>
  <c r="G988" i="35"/>
  <c r="J988" i="35" s="1"/>
  <c r="G815" i="35"/>
  <c r="J815" i="35" s="1"/>
  <c r="G237" i="35"/>
  <c r="J237" i="35" s="1"/>
  <c r="G1080" i="35"/>
  <c r="J1080" i="35" s="1"/>
  <c r="G426" i="35"/>
  <c r="J426" i="35" s="1"/>
  <c r="G29" i="35"/>
  <c r="J29" i="35" s="1"/>
  <c r="G1059" i="35"/>
  <c r="J1059" i="35" s="1"/>
  <c r="G517" i="35"/>
  <c r="J517" i="35" s="1"/>
  <c r="G68" i="35"/>
  <c r="J68" i="35" s="1"/>
  <c r="G728" i="35"/>
  <c r="J728" i="35" s="1"/>
  <c r="G1005" i="35"/>
  <c r="J1005" i="35" s="1"/>
  <c r="G346" i="35"/>
  <c r="J346" i="35" s="1"/>
  <c r="G867" i="35"/>
  <c r="J867" i="35" s="1"/>
  <c r="G644" i="35"/>
  <c r="J644" i="35" s="1"/>
  <c r="G24" i="35"/>
  <c r="J24" i="35" s="1"/>
  <c r="G35" i="35"/>
  <c r="J35" i="35" s="1"/>
  <c r="G602" i="35"/>
  <c r="J602" i="35" s="1"/>
  <c r="G327" i="35"/>
  <c r="J327" i="35" s="1"/>
  <c r="H1066" i="35"/>
  <c r="F1066" i="35"/>
  <c r="G190" i="35"/>
  <c r="J190" i="35" s="1"/>
  <c r="G161" i="35"/>
  <c r="J161" i="35" s="1"/>
  <c r="G479" i="35"/>
  <c r="J479" i="35" s="1"/>
  <c r="G216" i="35"/>
  <c r="J216" i="35" s="1"/>
  <c r="G676" i="35"/>
  <c r="J676" i="35" s="1"/>
  <c r="G1002" i="35"/>
  <c r="J1002" i="35" s="1"/>
  <c r="G141" i="35"/>
  <c r="J141" i="35" s="1"/>
  <c r="G151" i="35"/>
  <c r="J151" i="35" s="1"/>
  <c r="G283" i="35"/>
  <c r="J283" i="35" s="1"/>
  <c r="G647" i="35"/>
  <c r="J647" i="35" s="1"/>
  <c r="G400" i="35"/>
  <c r="J400" i="35" s="1"/>
  <c r="G461" i="35"/>
  <c r="J461" i="35" s="1"/>
  <c r="G707" i="35"/>
  <c r="J707" i="35" s="1"/>
  <c r="G399" i="35"/>
  <c r="J399" i="35" s="1"/>
  <c r="G823" i="35"/>
  <c r="J823" i="35" s="1"/>
  <c r="G1000" i="35"/>
  <c r="J1000" i="35" s="1"/>
  <c r="G352" i="35"/>
  <c r="J352" i="35" s="1"/>
  <c r="G612" i="35"/>
  <c r="J612" i="35" s="1"/>
  <c r="G865" i="35"/>
  <c r="J865" i="35" s="1"/>
  <c r="G983" i="35"/>
  <c r="J983" i="35" s="1"/>
  <c r="G698" i="35"/>
  <c r="J698" i="35" s="1"/>
  <c r="G700" i="35"/>
  <c r="J700" i="35" s="1"/>
  <c r="G155" i="35"/>
  <c r="J155" i="35" s="1"/>
  <c r="G683" i="35"/>
  <c r="J683" i="35" s="1"/>
  <c r="G573" i="35"/>
  <c r="J573" i="35" s="1"/>
  <c r="G84" i="35"/>
  <c r="J84" i="35" s="1"/>
  <c r="G470" i="35"/>
  <c r="J470" i="35" s="1"/>
  <c r="G561" i="35"/>
  <c r="J561" i="35" s="1"/>
  <c r="G923" i="35"/>
  <c r="J923" i="35" s="1"/>
  <c r="G695" i="35"/>
  <c r="J695" i="35" s="1"/>
  <c r="G414" i="35"/>
  <c r="J414" i="35" s="1"/>
  <c r="G811" i="35"/>
  <c r="J811" i="35" s="1"/>
  <c r="G718" i="35"/>
  <c r="J718" i="35" s="1"/>
  <c r="G806" i="35"/>
  <c r="J806" i="35" s="1"/>
  <c r="G17" i="35"/>
  <c r="J17" i="35" s="1"/>
  <c r="G895" i="35"/>
  <c r="J895" i="35" s="1"/>
  <c r="G567" i="35"/>
  <c r="J567" i="35" s="1"/>
  <c r="G660" i="35"/>
  <c r="J660" i="35" s="1"/>
  <c r="G108" i="35"/>
  <c r="J108" i="35" s="1"/>
  <c r="G286" i="35"/>
  <c r="J286" i="35" s="1"/>
  <c r="G1079" i="35"/>
  <c r="J1079" i="35" s="1"/>
  <c r="G30" i="35"/>
  <c r="J30" i="35" s="1"/>
  <c r="G78" i="35"/>
  <c r="J78" i="35" s="1"/>
  <c r="G919" i="35"/>
  <c r="J919" i="35" s="1"/>
  <c r="G783" i="35"/>
  <c r="J783" i="35" s="1"/>
  <c r="G935" i="35"/>
  <c r="J935" i="35" s="1"/>
  <c r="G326" i="35"/>
  <c r="J326" i="35" s="1"/>
  <c r="G385" i="35"/>
  <c r="J385" i="35" s="1"/>
  <c r="G627" i="35"/>
  <c r="J627" i="35" s="1"/>
  <c r="G905" i="35"/>
  <c r="J905" i="35" s="1"/>
  <c r="G117" i="35"/>
  <c r="J117" i="35" s="1"/>
  <c r="AJ607" i="19"/>
  <c r="AJ611" i="19" s="1"/>
  <c r="AI607" i="19"/>
  <c r="G710" i="35"/>
  <c r="J710" i="35" s="1"/>
  <c r="G973" i="35"/>
  <c r="J973" i="35" s="1"/>
  <c r="G504" i="35"/>
  <c r="J504" i="35" s="1"/>
  <c r="G934" i="35"/>
  <c r="J934" i="35" s="1"/>
  <c r="G192" i="35"/>
  <c r="J192" i="35" s="1"/>
  <c r="G848" i="35"/>
  <c r="J848" i="35" s="1"/>
  <c r="G607" i="35"/>
  <c r="J607" i="35" s="1"/>
  <c r="G987" i="35"/>
  <c r="J987" i="35" s="1"/>
  <c r="G36" i="35"/>
  <c r="J36" i="35" s="1"/>
  <c r="G853" i="35"/>
  <c r="J853" i="35" s="1"/>
  <c r="G1091" i="35"/>
  <c r="J1091" i="35" s="1"/>
  <c r="G594" i="35"/>
  <c r="J594" i="35" s="1"/>
  <c r="G208" i="35"/>
  <c r="J208" i="35" s="1"/>
  <c r="G180" i="35"/>
  <c r="J180" i="35" s="1"/>
  <c r="G477" i="35"/>
  <c r="J477" i="35" s="1"/>
  <c r="G258" i="35"/>
  <c r="J258" i="35" s="1"/>
  <c r="G4" i="35"/>
  <c r="J4" i="35" s="1"/>
  <c r="G534" i="35"/>
  <c r="J534" i="35" s="1"/>
  <c r="G337" i="35"/>
  <c r="J337" i="35" s="1"/>
  <c r="G142" i="35"/>
  <c r="J142" i="35" s="1"/>
  <c r="G1078" i="35"/>
  <c r="J1078" i="35" s="1"/>
  <c r="G269" i="35"/>
  <c r="J269" i="35" s="1"/>
  <c r="G496" i="35"/>
  <c r="J496" i="35" s="1"/>
  <c r="G532" i="35"/>
  <c r="J532" i="35" s="1"/>
  <c r="G1093" i="35"/>
  <c r="J1093" i="35" s="1"/>
  <c r="G813" i="35"/>
  <c r="J813" i="35" s="1"/>
  <c r="G769" i="35"/>
  <c r="J769" i="35" s="1"/>
  <c r="G156" i="35"/>
  <c r="J156" i="35" s="1"/>
  <c r="G257" i="35"/>
  <c r="J257" i="35" s="1"/>
  <c r="G884" i="35"/>
  <c r="J884" i="35" s="1"/>
  <c r="G907" i="35"/>
  <c r="J907" i="35" s="1"/>
  <c r="G827" i="35"/>
  <c r="J827" i="35" s="1"/>
  <c r="G511" i="35"/>
  <c r="J511" i="35" s="1"/>
  <c r="G658" i="35"/>
  <c r="J658" i="35" s="1"/>
  <c r="G821" i="35"/>
  <c r="J821" i="35" s="1"/>
  <c r="G914" i="35"/>
  <c r="J914" i="35" s="1"/>
  <c r="G702" i="35"/>
  <c r="J702" i="35" s="1"/>
  <c r="G623" i="35"/>
  <c r="J623" i="35" s="1"/>
  <c r="G940" i="35"/>
  <c r="J940" i="35" s="1"/>
  <c r="G732" i="35"/>
  <c r="J732" i="35" s="1"/>
  <c r="G890" i="35"/>
  <c r="J890" i="35" s="1"/>
  <c r="G140" i="35"/>
  <c r="J140" i="35" s="1"/>
  <c r="G493" i="35"/>
  <c r="J493" i="35" s="1"/>
  <c r="G897" i="35"/>
  <c r="J897" i="35" s="1"/>
  <c r="G650" i="35"/>
  <c r="J650" i="35" s="1"/>
  <c r="G297" i="35"/>
  <c r="J297" i="35" s="1"/>
  <c r="G158" i="35"/>
  <c r="J158" i="35" s="1"/>
  <c r="G938" i="35"/>
  <c r="J938" i="35" s="1"/>
  <c r="G980" i="35"/>
  <c r="J980" i="35" s="1"/>
  <c r="G946" i="35"/>
  <c r="J946" i="35" s="1"/>
  <c r="G25" i="35"/>
  <c r="J25" i="35" s="1"/>
  <c r="G673" i="35"/>
  <c r="J673" i="35" s="1"/>
  <c r="G994" i="35"/>
  <c r="J994" i="35" s="1"/>
  <c r="G799" i="35"/>
  <c r="J799" i="35" s="1"/>
  <c r="G134" i="35"/>
  <c r="J134" i="35" s="1"/>
  <c r="G244" i="35"/>
  <c r="J244" i="35" s="1"/>
  <c r="G388" i="35"/>
  <c r="J388" i="35" s="1"/>
  <c r="G993" i="35"/>
  <c r="J993" i="35" s="1"/>
  <c r="G348" i="35"/>
  <c r="J348" i="35" s="1"/>
  <c r="G154" i="35"/>
  <c r="J154" i="35" s="1"/>
  <c r="G826" i="35"/>
  <c r="J826" i="35" s="1"/>
  <c r="G74" i="35"/>
  <c r="J74" i="35" s="1"/>
  <c r="G965" i="35"/>
  <c r="J965" i="35" s="1"/>
  <c r="G580" i="35"/>
  <c r="J580" i="35" s="1"/>
  <c r="G571" i="35"/>
  <c r="J571" i="35" s="1"/>
  <c r="G486" i="35"/>
  <c r="J486" i="35" s="1"/>
  <c r="G1015" i="35"/>
  <c r="J1015" i="35" s="1"/>
  <c r="G829" i="35"/>
  <c r="J829" i="35" s="1"/>
  <c r="G455" i="35"/>
  <c r="J455" i="35" s="1"/>
  <c r="G917" i="35"/>
  <c r="J917" i="35" s="1"/>
  <c r="G625" i="35"/>
  <c r="J625" i="35" s="1"/>
  <c r="G885" i="35"/>
  <c r="J885" i="35" s="1"/>
  <c r="G139" i="35"/>
  <c r="J139" i="35" s="1"/>
  <c r="G1004" i="35"/>
  <c r="J1004" i="35" s="1"/>
  <c r="G898" i="35"/>
  <c r="J898" i="35" s="1"/>
  <c r="G789" i="35"/>
  <c r="J789" i="35" s="1"/>
  <c r="G380" i="35"/>
  <c r="J380" i="35" s="1"/>
  <c r="G173" i="35"/>
  <c r="J173" i="35" s="1"/>
  <c r="G466" i="35"/>
  <c r="J466" i="35" s="1"/>
  <c r="G836" i="35"/>
  <c r="J836" i="35" s="1"/>
  <c r="G476" i="35"/>
  <c r="J476" i="35" s="1"/>
  <c r="G659" i="35"/>
  <c r="J659" i="35" s="1"/>
  <c r="G538" i="35"/>
  <c r="J538" i="35" s="1"/>
  <c r="G91" i="35"/>
  <c r="J91" i="35" s="1"/>
  <c r="G306" i="35"/>
  <c r="J306" i="35" s="1"/>
  <c r="G758" i="35"/>
  <c r="J758" i="35" s="1"/>
  <c r="G966" i="35"/>
  <c r="J966" i="35" s="1"/>
  <c r="G403" i="35"/>
  <c r="J403" i="35" s="1"/>
  <c r="G822" i="35"/>
  <c r="J822" i="35" s="1"/>
  <c r="G704" i="35"/>
  <c r="J704" i="35" s="1"/>
  <c r="G1024" i="35"/>
  <c r="J1024" i="35" s="1"/>
  <c r="G521" i="35"/>
  <c r="J521" i="35" s="1"/>
  <c r="G609" i="35"/>
  <c r="J609" i="35" s="1"/>
  <c r="G59" i="35"/>
  <c r="J59" i="35" s="1"/>
  <c r="G998" i="35"/>
  <c r="J998" i="35" s="1"/>
  <c r="G751" i="35"/>
  <c r="J751" i="35" s="1"/>
  <c r="G179" i="35"/>
  <c r="J179" i="35" s="1"/>
  <c r="G755" i="35"/>
  <c r="J755" i="35" s="1"/>
  <c r="G1067" i="35"/>
  <c r="J1067" i="35" s="1"/>
  <c r="G791" i="35"/>
  <c r="J791" i="35" s="1"/>
  <c r="G963" i="35"/>
  <c r="J963" i="35" s="1"/>
  <c r="G447" i="35"/>
  <c r="J447" i="35" s="1"/>
  <c r="G105" i="35"/>
  <c r="J105" i="35" s="1"/>
  <c r="G740" i="35"/>
  <c r="J740" i="35" s="1"/>
  <c r="G123" i="35"/>
  <c r="J123" i="35" s="1"/>
  <c r="G886" i="35"/>
  <c r="J886" i="35" s="1"/>
  <c r="G1083" i="35"/>
  <c r="J1083" i="35" s="1"/>
  <c r="G471" i="35"/>
  <c r="J471" i="35" s="1"/>
  <c r="G1027" i="35"/>
  <c r="J1027" i="35" s="1"/>
  <c r="G481" i="35"/>
  <c r="J481" i="35" s="1"/>
  <c r="G409" i="35"/>
  <c r="J409" i="35" s="1"/>
  <c r="G483" i="35"/>
  <c r="J483" i="35" s="1"/>
  <c r="G221" i="35"/>
  <c r="J221" i="35" s="1"/>
  <c r="G358" i="35"/>
  <c r="J358" i="35" s="1"/>
  <c r="G543" i="35"/>
  <c r="J543" i="35" s="1"/>
  <c r="G278" i="35"/>
  <c r="J278" i="35" s="1"/>
  <c r="G635" i="35"/>
  <c r="J635" i="35" s="1"/>
  <c r="G58" i="35"/>
  <c r="J58" i="35" s="1"/>
  <c r="G1068" i="35"/>
  <c r="J1068" i="35" s="1"/>
  <c r="G1012" i="35"/>
  <c r="J1012" i="35" s="1"/>
  <c r="G831" i="35"/>
  <c r="J831" i="35" s="1"/>
  <c r="G953" i="35"/>
  <c r="J953" i="35" s="1"/>
  <c r="G457" i="35"/>
  <c r="J457" i="35" s="1"/>
  <c r="G38" i="35"/>
  <c r="J38" i="35" s="1"/>
  <c r="G515" i="35"/>
  <c r="J515" i="35" s="1"/>
  <c r="G198" i="35"/>
  <c r="J198" i="35" s="1"/>
  <c r="G181" i="35"/>
  <c r="J181" i="35" s="1"/>
  <c r="G552" i="35"/>
  <c r="J552" i="35" s="1"/>
  <c r="G663" i="35"/>
  <c r="J663" i="35" s="1"/>
  <c r="G1017" i="35"/>
  <c r="J1017" i="35" s="1"/>
  <c r="G453" i="35"/>
  <c r="J453" i="35" s="1"/>
  <c r="G847" i="35"/>
  <c r="J847" i="35" s="1"/>
  <c r="G584" i="35"/>
  <c r="J584" i="35" s="1"/>
  <c r="G986" i="35"/>
  <c r="J986" i="35" s="1"/>
  <c r="G689" i="35"/>
  <c r="J689" i="35" s="1"/>
  <c r="G298" i="35"/>
  <c r="J298" i="35" s="1"/>
  <c r="G544" i="35"/>
  <c r="J544" i="35" s="1"/>
  <c r="G711" i="35"/>
  <c r="J711" i="35" s="1"/>
  <c r="G748" i="35"/>
  <c r="J748" i="35" s="1"/>
  <c r="G579" i="35"/>
  <c r="J579" i="35" s="1"/>
  <c r="G696" i="35"/>
  <c r="J696" i="35" s="1"/>
  <c r="G601" i="35"/>
  <c r="J601" i="35" s="1"/>
  <c r="G147" i="35"/>
  <c r="J147" i="35" s="1"/>
  <c r="G228" i="35"/>
  <c r="J228" i="35" s="1"/>
  <c r="G804" i="35"/>
  <c r="J804" i="35" s="1"/>
  <c r="G745" i="35"/>
  <c r="J745" i="35" s="1"/>
  <c r="G1086" i="35"/>
  <c r="J1086" i="35" s="1"/>
  <c r="G759" i="35"/>
  <c r="J759" i="35" s="1"/>
  <c r="G786" i="35"/>
  <c r="J786" i="35" s="1"/>
  <c r="G169" i="35"/>
  <c r="J169" i="35" s="1"/>
  <c r="G876" i="35"/>
  <c r="J876" i="35" s="1"/>
  <c r="P12" i="19" l="1"/>
  <c r="AK607" i="19"/>
  <c r="AK611" i="19" s="1"/>
  <c r="AG607" i="19"/>
  <c r="AL607" i="19"/>
  <c r="AL611" i="19" s="1"/>
  <c r="G655" i="35"/>
  <c r="J655" i="35" s="1"/>
  <c r="G640" i="35"/>
  <c r="J640" i="35" s="1"/>
  <c r="G641" i="35"/>
  <c r="J641" i="35" s="1"/>
  <c r="P4" i="35"/>
  <c r="I650" i="35"/>
  <c r="I798" i="35"/>
  <c r="I796" i="35"/>
  <c r="AU38" i="35"/>
  <c r="AF607" i="19"/>
  <c r="AT438" i="19"/>
  <c r="AU438" i="19" s="1"/>
  <c r="AT27" i="19"/>
  <c r="AU27" i="19" s="1"/>
  <c r="AD27" i="19" s="1"/>
  <c r="AT521" i="19"/>
  <c r="AU521" i="19" s="1"/>
  <c r="AT467" i="19"/>
  <c r="AU467" i="19" s="1"/>
  <c r="AT433" i="19"/>
  <c r="AU433" i="19" s="1"/>
  <c r="AT181" i="19"/>
  <c r="AU181" i="19" s="1"/>
  <c r="AT387" i="19"/>
  <c r="AU387" i="19" s="1"/>
  <c r="AT100" i="19"/>
  <c r="AU100" i="19" s="1"/>
  <c r="AT587" i="19"/>
  <c r="AU587" i="19" s="1"/>
  <c r="AT487" i="19"/>
  <c r="AU487" i="19" s="1"/>
  <c r="AT52" i="19"/>
  <c r="AU52" i="19" s="1"/>
  <c r="AD52" i="19" s="1"/>
  <c r="AT240" i="19"/>
  <c r="AU240" i="19" s="1"/>
  <c r="AT270" i="19"/>
  <c r="AU270" i="19" s="1"/>
  <c r="AT489" i="19"/>
  <c r="AU489" i="19" s="1"/>
  <c r="AT435" i="19"/>
  <c r="AU435" i="19" s="1"/>
  <c r="AT427" i="19"/>
  <c r="AU427" i="19" s="1"/>
  <c r="AT253" i="19"/>
  <c r="AU253" i="19" s="1"/>
  <c r="AT123" i="19"/>
  <c r="AU123" i="19" s="1"/>
  <c r="AT533" i="19"/>
  <c r="AU533" i="19" s="1"/>
  <c r="AT26" i="19"/>
  <c r="AU26" i="19" s="1"/>
  <c r="AD26" i="19" s="1"/>
  <c r="AT268" i="19"/>
  <c r="AU268" i="19" s="1"/>
  <c r="AT397" i="19"/>
  <c r="AU397" i="19" s="1"/>
  <c r="AD397" i="19" s="1"/>
  <c r="AT38" i="19"/>
  <c r="AU38" i="19" s="1"/>
  <c r="AD38" i="19" s="1"/>
  <c r="AT34" i="19"/>
  <c r="AU34" i="19" s="1"/>
  <c r="AD34" i="19" s="1"/>
  <c r="AT251" i="19"/>
  <c r="AU251" i="19" s="1"/>
  <c r="AT55" i="19"/>
  <c r="AU55" i="19" s="1"/>
  <c r="AD55" i="19" s="1"/>
  <c r="AT42" i="19"/>
  <c r="AU42" i="19" s="1"/>
  <c r="AD42" i="19" s="1"/>
  <c r="AT223" i="19"/>
  <c r="AU223" i="19" s="1"/>
  <c r="AT157" i="19"/>
  <c r="AU157" i="19" s="1"/>
  <c r="AT82" i="19"/>
  <c r="AU82" i="19" s="1"/>
  <c r="AT277" i="19"/>
  <c r="AU277" i="19" s="1"/>
  <c r="AT43" i="19"/>
  <c r="AU43" i="19" s="1"/>
  <c r="AD43" i="19" s="1"/>
  <c r="AT482" i="19"/>
  <c r="AU482" i="19" s="1"/>
  <c r="AT548" i="19"/>
  <c r="AU548" i="19" s="1"/>
  <c r="AT206" i="19"/>
  <c r="AU206" i="19" s="1"/>
  <c r="AT295" i="19"/>
  <c r="AU295" i="19" s="1"/>
  <c r="AT455" i="19"/>
  <c r="AU455" i="19" s="1"/>
  <c r="AT471" i="19"/>
  <c r="AU471" i="19" s="1"/>
  <c r="AT78" i="19"/>
  <c r="AU78" i="19" s="1"/>
  <c r="AT136" i="19"/>
  <c r="AU136" i="19" s="1"/>
  <c r="AT72" i="19"/>
  <c r="AU72" i="19" s="1"/>
  <c r="AT497" i="19"/>
  <c r="AU497" i="19" s="1"/>
  <c r="AT29" i="19"/>
  <c r="AU29" i="19" s="1"/>
  <c r="AD29" i="19" s="1"/>
  <c r="AT37" i="19"/>
  <c r="AU37" i="19" s="1"/>
  <c r="AD37" i="19" s="1"/>
  <c r="AT40" i="19"/>
  <c r="AU40" i="19" s="1"/>
  <c r="AD40" i="19" s="1"/>
  <c r="AT478" i="19"/>
  <c r="AU478" i="19" s="1"/>
  <c r="AD478" i="19" s="1"/>
  <c r="AT494" i="19"/>
  <c r="AU494" i="19" s="1"/>
  <c r="AT39" i="19"/>
  <c r="AU39" i="19" s="1"/>
  <c r="AD39" i="19" s="1"/>
  <c r="AT145" i="19"/>
  <c r="AU145" i="19" s="1"/>
  <c r="AT41" i="19"/>
  <c r="AU41" i="19" s="1"/>
  <c r="AD41" i="19" s="1"/>
  <c r="AT422" i="19"/>
  <c r="AU422" i="19" s="1"/>
  <c r="AT429" i="19"/>
  <c r="AU429" i="19" s="1"/>
  <c r="AT231" i="19"/>
  <c r="AU231" i="19" s="1"/>
  <c r="AT263" i="19"/>
  <c r="AU263" i="19" s="1"/>
  <c r="AT247" i="19"/>
  <c r="AU247" i="19" s="1"/>
  <c r="AT508" i="19"/>
  <c r="AU508" i="19" s="1"/>
  <c r="AT372" i="19"/>
  <c r="AU372" i="19" s="1"/>
  <c r="AT315" i="19"/>
  <c r="AU315" i="19" s="1"/>
  <c r="AT313" i="19"/>
  <c r="AU313" i="19" s="1"/>
  <c r="AT169" i="19"/>
  <c r="AU169" i="19" s="1"/>
  <c r="AT513" i="19"/>
  <c r="AU513" i="19" s="1"/>
  <c r="AD513" i="19" s="1"/>
  <c r="AT601" i="19"/>
  <c r="AU601" i="19" s="1"/>
  <c r="AT92" i="19"/>
  <c r="AU92" i="19" s="1"/>
  <c r="AT525" i="19"/>
  <c r="AU525" i="19" s="1"/>
  <c r="AD525" i="19" s="1"/>
  <c r="AT346" i="19"/>
  <c r="AU346" i="19" s="1"/>
  <c r="AT360" i="19"/>
  <c r="AU360" i="19" s="1"/>
  <c r="AT328" i="19"/>
  <c r="AU328" i="19" s="1"/>
  <c r="AD328" i="19" s="1"/>
  <c r="AT400" i="19"/>
  <c r="AU400" i="19" s="1"/>
  <c r="AT377" i="19"/>
  <c r="AU377" i="19" s="1"/>
  <c r="AT578" i="19"/>
  <c r="AU578" i="19" s="1"/>
  <c r="AT501" i="19"/>
  <c r="AU501" i="19" s="1"/>
  <c r="AD501" i="19" s="1"/>
  <c r="AT193" i="19"/>
  <c r="AU193" i="19" s="1"/>
  <c r="AT595" i="19"/>
  <c r="AU595" i="19" s="1"/>
  <c r="AT56" i="19"/>
  <c r="AU56" i="19" s="1"/>
  <c r="AT54" i="19"/>
  <c r="AU54" i="19" s="1"/>
  <c r="AD54" i="19" s="1"/>
  <c r="AT447" i="19"/>
  <c r="AU447" i="19" s="1"/>
  <c r="AT569" i="19"/>
  <c r="AU569" i="19" s="1"/>
  <c r="AT284" i="19"/>
  <c r="AU284" i="19" s="1"/>
  <c r="AT177" i="19"/>
  <c r="AU177" i="19" s="1"/>
  <c r="AT504" i="19"/>
  <c r="AU504" i="19" s="1"/>
  <c r="AT266" i="19"/>
  <c r="AU266" i="19" s="1"/>
  <c r="AT419" i="19"/>
  <c r="AU419" i="19" s="1"/>
  <c r="AT537" i="19"/>
  <c r="AU537" i="19" s="1"/>
  <c r="AD537" i="19" s="1"/>
  <c r="AT228" i="19"/>
  <c r="AU228" i="19" s="1"/>
  <c r="AT431" i="19"/>
  <c r="AU431" i="19" s="1"/>
  <c r="AT452" i="19"/>
  <c r="AU452" i="19" s="1"/>
  <c r="AD452" i="19" s="1"/>
  <c r="AT392" i="19"/>
  <c r="AU392" i="19" s="1"/>
  <c r="AD392" i="19" s="1"/>
  <c r="AT53" i="19"/>
  <c r="AU53" i="19" s="1"/>
  <c r="AD53" i="19" s="1"/>
  <c r="AT518" i="19"/>
  <c r="AU518" i="19" s="1"/>
  <c r="AD518" i="19" s="1"/>
  <c r="AT33" i="19"/>
  <c r="AU33" i="19" s="1"/>
  <c r="AD33" i="19" s="1"/>
  <c r="AT258" i="19"/>
  <c r="AU258" i="19" s="1"/>
  <c r="AT382" i="19"/>
  <c r="AU382" i="19" s="1"/>
  <c r="AT559" i="19"/>
  <c r="AU559" i="19" s="1"/>
  <c r="AT528" i="19"/>
  <c r="AU528" i="19" s="1"/>
  <c r="AD528" i="19" s="1"/>
  <c r="AT31" i="19"/>
  <c r="AU31" i="19" s="1"/>
  <c r="AD31" i="19" s="1"/>
  <c r="AT292" i="19"/>
  <c r="AU292" i="19" s="1"/>
  <c r="AD292" i="19" s="1"/>
  <c r="AT544" i="19"/>
  <c r="AU544" i="19" s="1"/>
  <c r="AD544" i="19" s="1"/>
  <c r="AT541" i="19"/>
  <c r="AU541" i="19" s="1"/>
  <c r="AD541" i="19" s="1"/>
  <c r="AT411" i="19"/>
  <c r="AU411" i="19" s="1"/>
  <c r="AD411" i="19" s="1"/>
  <c r="AT99" i="19"/>
  <c r="AU99" i="19" s="1"/>
  <c r="AD99" i="19" s="1"/>
  <c r="AT571" i="19"/>
  <c r="AU571" i="19" s="1"/>
  <c r="AD571" i="19" s="1"/>
  <c r="AT220" i="19"/>
  <c r="AU220" i="19" s="1"/>
  <c r="AD220" i="19" s="1"/>
  <c r="AT189" i="19"/>
  <c r="AU189" i="19" s="1"/>
  <c r="AD189" i="19" s="1"/>
  <c r="AT73" i="19"/>
  <c r="AU73" i="19" s="1"/>
  <c r="AD73" i="19" s="1"/>
  <c r="AT71" i="19"/>
  <c r="AU71" i="19" s="1"/>
  <c r="AD71" i="19" s="1"/>
  <c r="AT127" i="19"/>
  <c r="AU127" i="19" s="1"/>
  <c r="AD127" i="19" s="1"/>
  <c r="AT122" i="19"/>
  <c r="AU122" i="19" s="1"/>
  <c r="AD122" i="19" s="1"/>
  <c r="AT311" i="19"/>
  <c r="AU311" i="19" s="1"/>
  <c r="AD311" i="19" s="1"/>
  <c r="AT362" i="19"/>
  <c r="AU362" i="19" s="1"/>
  <c r="AD362" i="19" s="1"/>
  <c r="AT47" i="19"/>
  <c r="AU47" i="19" s="1"/>
  <c r="AD47" i="19" s="1"/>
  <c r="AT279" i="19"/>
  <c r="AU279" i="19" s="1"/>
  <c r="AD279" i="19" s="1"/>
  <c r="AT476" i="19"/>
  <c r="AU476" i="19" s="1"/>
  <c r="AD476" i="19" s="1"/>
  <c r="AT570" i="19"/>
  <c r="AU570" i="19" s="1"/>
  <c r="AD570" i="19" s="1"/>
  <c r="AT120" i="19"/>
  <c r="AU120" i="19" s="1"/>
  <c r="AD120" i="19" s="1"/>
  <c r="AT211" i="19"/>
  <c r="AU211" i="19" s="1"/>
  <c r="AD211" i="19" s="1"/>
  <c r="AT358" i="19"/>
  <c r="AU358" i="19" s="1"/>
  <c r="AD358" i="19" s="1"/>
  <c r="AT32" i="19"/>
  <c r="AU32" i="19" s="1"/>
  <c r="AD32" i="19" s="1"/>
  <c r="AT604" i="19"/>
  <c r="AU604" i="19" s="1"/>
  <c r="AD604" i="19" s="1"/>
  <c r="AT146" i="19"/>
  <c r="AU146" i="19" s="1"/>
  <c r="AD146" i="19" s="1"/>
  <c r="AT562" i="19"/>
  <c r="AU562" i="19" s="1"/>
  <c r="AD562" i="19" s="1"/>
  <c r="AT424" i="19"/>
  <c r="AU424" i="19" s="1"/>
  <c r="AD424" i="19" s="1"/>
  <c r="AT321" i="19"/>
  <c r="AU321" i="19" s="1"/>
  <c r="AD321" i="19" s="1"/>
  <c r="AT141" i="19"/>
  <c r="AU141" i="19" s="1"/>
  <c r="AD141" i="19" s="1"/>
  <c r="AT329" i="19"/>
  <c r="AU329" i="19" s="1"/>
  <c r="AD329" i="19" s="1"/>
  <c r="AT196" i="19"/>
  <c r="AU196" i="19" s="1"/>
  <c r="AD196" i="19" s="1"/>
  <c r="AT468" i="19"/>
  <c r="AU468" i="19" s="1"/>
  <c r="AD468" i="19" s="1"/>
  <c r="AT44" i="19"/>
  <c r="AU44" i="19" s="1"/>
  <c r="AD44" i="19" s="1"/>
  <c r="AT588" i="19"/>
  <c r="AU588" i="19" s="1"/>
  <c r="AD588" i="19" s="1"/>
  <c r="AT586" i="19"/>
  <c r="AU586" i="19" s="1"/>
  <c r="AD586" i="19" s="1"/>
  <c r="AT589" i="19"/>
  <c r="AU589" i="19" s="1"/>
  <c r="AD589" i="19" s="1"/>
  <c r="AT201" i="19"/>
  <c r="AU201" i="19" s="1"/>
  <c r="AD201" i="19" s="1"/>
  <c r="AT147" i="19"/>
  <c r="AU147" i="19" s="1"/>
  <c r="AD147" i="19" s="1"/>
  <c r="AT309" i="19"/>
  <c r="AU309" i="19" s="1"/>
  <c r="AD309" i="19" s="1"/>
  <c r="AT462" i="19"/>
  <c r="AU462" i="19" s="1"/>
  <c r="AD462" i="19" s="1"/>
  <c r="AT389" i="19"/>
  <c r="AU389" i="19" s="1"/>
  <c r="AD389" i="19" s="1"/>
  <c r="AT264" i="19"/>
  <c r="AU264" i="19" s="1"/>
  <c r="AD264" i="19" s="1"/>
  <c r="AT318" i="19"/>
  <c r="AU318" i="19" s="1"/>
  <c r="AD318" i="19" s="1"/>
  <c r="AT558" i="19"/>
  <c r="AU558" i="19" s="1"/>
  <c r="AD558" i="19" s="1"/>
  <c r="AT234" i="19"/>
  <c r="AU234" i="19" s="1"/>
  <c r="AD234" i="19" s="1"/>
  <c r="AT376" i="19"/>
  <c r="AU376" i="19" s="1"/>
  <c r="AD376" i="19" s="1"/>
  <c r="AT379" i="19"/>
  <c r="AU379" i="19" s="1"/>
  <c r="AD379" i="19" s="1"/>
  <c r="AT67" i="19"/>
  <c r="AU67" i="19" s="1"/>
  <c r="AD67" i="19" s="1"/>
  <c r="AT252" i="19"/>
  <c r="AU252" i="19" s="1"/>
  <c r="AD252" i="19" s="1"/>
  <c r="AT579" i="19"/>
  <c r="AU579" i="19" s="1"/>
  <c r="AD579" i="19" s="1"/>
  <c r="AT140" i="19"/>
  <c r="AU140" i="19" s="1"/>
  <c r="AD140" i="19" s="1"/>
  <c r="AT287" i="19"/>
  <c r="AU287" i="19" s="1"/>
  <c r="AD287" i="19" s="1"/>
  <c r="AT527" i="19"/>
  <c r="AU527" i="19" s="1"/>
  <c r="AD527" i="19" s="1"/>
  <c r="AT470" i="19"/>
  <c r="AU470" i="19" s="1"/>
  <c r="AD470" i="19" s="1"/>
  <c r="AT488" i="19"/>
  <c r="AU488" i="19" s="1"/>
  <c r="AD488" i="19" s="1"/>
  <c r="AT91" i="19"/>
  <c r="AU91" i="19" s="1"/>
  <c r="AD91" i="19" s="1"/>
  <c r="AT69" i="19"/>
  <c r="AU69" i="19" s="1"/>
  <c r="AD69" i="19" s="1"/>
  <c r="AT345" i="19"/>
  <c r="AU345" i="19" s="1"/>
  <c r="AD345" i="19" s="1"/>
  <c r="AT554" i="19"/>
  <c r="AU554" i="19" s="1"/>
  <c r="AD554" i="19" s="1"/>
  <c r="AT116" i="19"/>
  <c r="AU116" i="19" s="1"/>
  <c r="AD116" i="19" s="1"/>
  <c r="AT549" i="19"/>
  <c r="AU549" i="19" s="1"/>
  <c r="AD549" i="19" s="1"/>
  <c r="AT239" i="19"/>
  <c r="AU239" i="19" s="1"/>
  <c r="AD239" i="19" s="1"/>
  <c r="AT227" i="19"/>
  <c r="AU227" i="19" s="1"/>
  <c r="AD227" i="19" s="1"/>
  <c r="AT131" i="19"/>
  <c r="AU131" i="19" s="1"/>
  <c r="AD131" i="19" s="1"/>
  <c r="AT320" i="19"/>
  <c r="AU320" i="19" s="1"/>
  <c r="AD320" i="19" s="1"/>
  <c r="AT332" i="19"/>
  <c r="AU332" i="19" s="1"/>
  <c r="AD332" i="19" s="1"/>
  <c r="AT301" i="19"/>
  <c r="AU301" i="19" s="1"/>
  <c r="AD301" i="19" s="1"/>
  <c r="AT105" i="19"/>
  <c r="AU105" i="19" s="1"/>
  <c r="AD105" i="19" s="1"/>
  <c r="AT514" i="19"/>
  <c r="AU514" i="19" s="1"/>
  <c r="AD514" i="19" s="1"/>
  <c r="AT564" i="19"/>
  <c r="AU564" i="19" s="1"/>
  <c r="AD564" i="19" s="1"/>
  <c r="AT77" i="19"/>
  <c r="AU77" i="19" s="1"/>
  <c r="AD77" i="19" s="1"/>
  <c r="AT510" i="19"/>
  <c r="AU510" i="19" s="1"/>
  <c r="AD510" i="19" s="1"/>
  <c r="AT444" i="19"/>
  <c r="AU444" i="19" s="1"/>
  <c r="AD444" i="19" s="1"/>
  <c r="AT115" i="19"/>
  <c r="AU115" i="19" s="1"/>
  <c r="AD115" i="19" s="1"/>
  <c r="AT432" i="19"/>
  <c r="AU432" i="19" s="1"/>
  <c r="AD432" i="19" s="1"/>
  <c r="AT132" i="19"/>
  <c r="AU132" i="19" s="1"/>
  <c r="AD132" i="19" s="1"/>
  <c r="AT113" i="19"/>
  <c r="AU113" i="19" s="1"/>
  <c r="AD113" i="19" s="1"/>
  <c r="AT85" i="19"/>
  <c r="AU85" i="19" s="1"/>
  <c r="AD85" i="19" s="1"/>
  <c r="AT540" i="19"/>
  <c r="AU540" i="19" s="1"/>
  <c r="AD540" i="19" s="1"/>
  <c r="AT421" i="19"/>
  <c r="AU421" i="19" s="1"/>
  <c r="AD421" i="19" s="1"/>
  <c r="AT273" i="19"/>
  <c r="AU273" i="19" s="1"/>
  <c r="AD273" i="19" s="1"/>
  <c r="AT151" i="19"/>
  <c r="AU151" i="19" s="1"/>
  <c r="AD151" i="19" s="1"/>
  <c r="AT472" i="19"/>
  <c r="AU472" i="19" s="1"/>
  <c r="AD472" i="19" s="1"/>
  <c r="AT25" i="19"/>
  <c r="AU25" i="19" s="1"/>
  <c r="AD25" i="19" s="1"/>
  <c r="AT68" i="19"/>
  <c r="AU68" i="19" s="1"/>
  <c r="AD68" i="19" s="1"/>
  <c r="AT246" i="19"/>
  <c r="AU246" i="19" s="1"/>
  <c r="AD246" i="19" s="1"/>
  <c r="AT242" i="19"/>
  <c r="AU242" i="19" s="1"/>
  <c r="AD242" i="19" s="1"/>
  <c r="AT561" i="19"/>
  <c r="AU561" i="19" s="1"/>
  <c r="AD561" i="19" s="1"/>
  <c r="AT192" i="19"/>
  <c r="AU192" i="19" s="1"/>
  <c r="AD192" i="19" s="1"/>
  <c r="AT304" i="19"/>
  <c r="AU304" i="19" s="1"/>
  <c r="AD304" i="19" s="1"/>
  <c r="AT357" i="19"/>
  <c r="AU357" i="19" s="1"/>
  <c r="AD357" i="19" s="1"/>
  <c r="AT354" i="19"/>
  <c r="AU354" i="19" s="1"/>
  <c r="AD354" i="19" s="1"/>
  <c r="AT165" i="19"/>
  <c r="AU165" i="19" s="1"/>
  <c r="AD165" i="19" s="1"/>
  <c r="AT532" i="19"/>
  <c r="AU532" i="19" s="1"/>
  <c r="AD532" i="19" s="1"/>
  <c r="AT49" i="19"/>
  <c r="AU49" i="19" s="1"/>
  <c r="AD49" i="19" s="1"/>
  <c r="AT493" i="19"/>
  <c r="AU493" i="19" s="1"/>
  <c r="AD493" i="19" s="1"/>
  <c r="AT184" i="19"/>
  <c r="AU184" i="19" s="1"/>
  <c r="AD184" i="19" s="1"/>
  <c r="AT480" i="19"/>
  <c r="AU480" i="19" s="1"/>
  <c r="AD480" i="19" s="1"/>
  <c r="AT405" i="19"/>
  <c r="AU405" i="19" s="1"/>
  <c r="AD405" i="19" s="1"/>
  <c r="AT133" i="19"/>
  <c r="AU133" i="19" s="1"/>
  <c r="AD133" i="19" s="1"/>
  <c r="AT135" i="19"/>
  <c r="AU135" i="19" s="1"/>
  <c r="AD135" i="19" s="1"/>
  <c r="AT418" i="19"/>
  <c r="AU418" i="19" s="1"/>
  <c r="AD418" i="19" s="1"/>
  <c r="AT213" i="19"/>
  <c r="AU213" i="19" s="1"/>
  <c r="AD213" i="19" s="1"/>
  <c r="AT552" i="19"/>
  <c r="AU552" i="19" s="1"/>
  <c r="AD552" i="19" s="1"/>
  <c r="AT430" i="19"/>
  <c r="AU430" i="19" s="1"/>
  <c r="AD430" i="19" s="1"/>
  <c r="AT394" i="19"/>
  <c r="AU394" i="19" s="1"/>
  <c r="AD394" i="19" s="1"/>
  <c r="AT410" i="19"/>
  <c r="AU410" i="19" s="1"/>
  <c r="AD410" i="19" s="1"/>
  <c r="AT499" i="19"/>
  <c r="AU499" i="19" s="1"/>
  <c r="AD499" i="19" s="1"/>
  <c r="AT509" i="19"/>
  <c r="AU509" i="19" s="1"/>
  <c r="AD509" i="19" s="1"/>
  <c r="AT582" i="19"/>
  <c r="AU582" i="19" s="1"/>
  <c r="AD582" i="19" s="1"/>
  <c r="AT557" i="19"/>
  <c r="AU557" i="19" s="1"/>
  <c r="AD557" i="19" s="1"/>
  <c r="AT353" i="19"/>
  <c r="AU353" i="19" s="1"/>
  <c r="AD353" i="19" s="1"/>
  <c r="AT152" i="19"/>
  <c r="AU152" i="19" s="1"/>
  <c r="AD152" i="19" s="1"/>
  <c r="AT166" i="19"/>
  <c r="AU166" i="19" s="1"/>
  <c r="AD166" i="19" s="1"/>
  <c r="AT580" i="19"/>
  <c r="AU580" i="19" s="1"/>
  <c r="AD580" i="19" s="1"/>
  <c r="AT439" i="19"/>
  <c r="AU439" i="19" s="1"/>
  <c r="AD439" i="19" s="1"/>
  <c r="AT600" i="19"/>
  <c r="AU600" i="19" s="1"/>
  <c r="AD600" i="19" s="1"/>
  <c r="AT408" i="19"/>
  <c r="AU408" i="19" s="1"/>
  <c r="AD408" i="19" s="1"/>
  <c r="AT180" i="19"/>
  <c r="AU180" i="19" s="1"/>
  <c r="AD180" i="19" s="1"/>
  <c r="AT57" i="19"/>
  <c r="AU57" i="19" s="1"/>
  <c r="AD57" i="19" s="1"/>
  <c r="AT139" i="19"/>
  <c r="AU139" i="19" s="1"/>
  <c r="AD139" i="19" s="1"/>
  <c r="AT560" i="19"/>
  <c r="AU560" i="19" s="1"/>
  <c r="AD560" i="19" s="1"/>
  <c r="AT158" i="19"/>
  <c r="AU158" i="19" s="1"/>
  <c r="AD158" i="19" s="1"/>
  <c r="AT330" i="19"/>
  <c r="AU330" i="19" s="1"/>
  <c r="AD330" i="19" s="1"/>
  <c r="AT125" i="19"/>
  <c r="AU125" i="19" s="1"/>
  <c r="AD125" i="19" s="1"/>
  <c r="AT245" i="19"/>
  <c r="AU245" i="19" s="1"/>
  <c r="AD245" i="19" s="1"/>
  <c r="AT103" i="19"/>
  <c r="AU103" i="19" s="1"/>
  <c r="AD103" i="19" s="1"/>
  <c r="AT241" i="19"/>
  <c r="AU241" i="19" s="1"/>
  <c r="AD241" i="19" s="1"/>
  <c r="AT283" i="19"/>
  <c r="AU283" i="19" s="1"/>
  <c r="AD283" i="19" s="1"/>
  <c r="AT109" i="19"/>
  <c r="AU109" i="19" s="1"/>
  <c r="AD109" i="19" s="1"/>
  <c r="AT63" i="19"/>
  <c r="AU63" i="19" s="1"/>
  <c r="AD63" i="19" s="1"/>
  <c r="AT395" i="19"/>
  <c r="AU395" i="19" s="1"/>
  <c r="AD395" i="19" s="1"/>
  <c r="AT538" i="19"/>
  <c r="AU538" i="19" s="1"/>
  <c r="AD538" i="19" s="1"/>
  <c r="AT291" i="19"/>
  <c r="AU291" i="19" s="1"/>
  <c r="AD291" i="19" s="1"/>
  <c r="AT574" i="19"/>
  <c r="AU574" i="19" s="1"/>
  <c r="AD574" i="19" s="1"/>
  <c r="AT191" i="19"/>
  <c r="AU191" i="19" s="1"/>
  <c r="AD191" i="19" s="1"/>
  <c r="AT108" i="19"/>
  <c r="AU108" i="19" s="1"/>
  <c r="AD108" i="19" s="1"/>
  <c r="AT128" i="19"/>
  <c r="AU128" i="19" s="1"/>
  <c r="AD128" i="19" s="1"/>
  <c r="AT511" i="19"/>
  <c r="AU511" i="19" s="1"/>
  <c r="AD511" i="19" s="1"/>
  <c r="AT460" i="19"/>
  <c r="AU460" i="19" s="1"/>
  <c r="AD460" i="19" s="1"/>
  <c r="AT364" i="19"/>
  <c r="AU364" i="19" s="1"/>
  <c r="AD364" i="19" s="1"/>
  <c r="AT326" i="19"/>
  <c r="AU326" i="19" s="1"/>
  <c r="AD326" i="19" s="1"/>
  <c r="AT378" i="19"/>
  <c r="AU378" i="19" s="1"/>
  <c r="AD378" i="19" s="1"/>
  <c r="AT182" i="19"/>
  <c r="AU182" i="19" s="1"/>
  <c r="AD182" i="19" s="1"/>
  <c r="AT188" i="19"/>
  <c r="AU188" i="19" s="1"/>
  <c r="AD188" i="19" s="1"/>
  <c r="AT62" i="19"/>
  <c r="AU62" i="19" s="1"/>
  <c r="AD62" i="19" s="1"/>
  <c r="AT425" i="19"/>
  <c r="AU425" i="19" s="1"/>
  <c r="AD425" i="19" s="1"/>
  <c r="AT343" i="19"/>
  <c r="AU343" i="19" s="1"/>
  <c r="AD343" i="19" s="1"/>
  <c r="AT529" i="19"/>
  <c r="AU529" i="19" s="1"/>
  <c r="AD529" i="19" s="1"/>
  <c r="AT423" i="19"/>
  <c r="AU423" i="19" s="1"/>
  <c r="AD423" i="19" s="1"/>
  <c r="AT390" i="19"/>
  <c r="AU390" i="19" s="1"/>
  <c r="AD390" i="19" s="1"/>
  <c r="AT164" i="19"/>
  <c r="AU164" i="19" s="1"/>
  <c r="AD164" i="19" s="1"/>
  <c r="AT176" i="19"/>
  <c r="AU176" i="19" s="1"/>
  <c r="AD176" i="19" s="1"/>
  <c r="AT454" i="19"/>
  <c r="AU454" i="19" s="1"/>
  <c r="AD454" i="19" s="1"/>
  <c r="AT555" i="19"/>
  <c r="AU555" i="19" s="1"/>
  <c r="AD555" i="19" s="1"/>
  <c r="AT153" i="19"/>
  <c r="AU153" i="19" s="1"/>
  <c r="AD153" i="19" s="1"/>
  <c r="AT203" i="19"/>
  <c r="AU203" i="19" s="1"/>
  <c r="AD203" i="19" s="1"/>
  <c r="AT195" i="19"/>
  <c r="AU195" i="19" s="1"/>
  <c r="AD195" i="19" s="1"/>
  <c r="AT391" i="19"/>
  <c r="AU391" i="19" s="1"/>
  <c r="AD391" i="19" s="1"/>
  <c r="AT93" i="19"/>
  <c r="AU93" i="19" s="1"/>
  <c r="AD93" i="19" s="1"/>
  <c r="AT512" i="19"/>
  <c r="AU512" i="19" s="1"/>
  <c r="AD512" i="19" s="1"/>
  <c r="AT219" i="19"/>
  <c r="AU219" i="19" s="1"/>
  <c r="AD219" i="19" s="1"/>
  <c r="AT269" i="19"/>
  <c r="AU269" i="19" s="1"/>
  <c r="AD269" i="19" s="1"/>
  <c r="AT212" i="19"/>
  <c r="AU212" i="19" s="1"/>
  <c r="AD212" i="19" s="1"/>
  <c r="AT275" i="19"/>
  <c r="AU275" i="19" s="1"/>
  <c r="AD275" i="19" s="1"/>
  <c r="AT101" i="19"/>
  <c r="AU101" i="19" s="1"/>
  <c r="AD101" i="19" s="1"/>
  <c r="AT459" i="19"/>
  <c r="AU459" i="19" s="1"/>
  <c r="AD459" i="19" s="1"/>
  <c r="AT302" i="19"/>
  <c r="AU302" i="19" s="1"/>
  <c r="AD302" i="19" s="1"/>
  <c r="AT337" i="19"/>
  <c r="AU337" i="19" s="1"/>
  <c r="AD337" i="19" s="1"/>
  <c r="AT446" i="19"/>
  <c r="AU446" i="19" s="1"/>
  <c r="AD446" i="19" s="1"/>
  <c r="AT285" i="19"/>
  <c r="AU285" i="19" s="1"/>
  <c r="AD285" i="19" s="1"/>
  <c r="AT104" i="19"/>
  <c r="AU104" i="19" s="1"/>
  <c r="AD104" i="19" s="1"/>
  <c r="AT148" i="19"/>
  <c r="AU148" i="19" s="1"/>
  <c r="AD148" i="19" s="1"/>
  <c r="AT371" i="19"/>
  <c r="AU371" i="19" s="1"/>
  <c r="AD371" i="19" s="1"/>
  <c r="AT440" i="19"/>
  <c r="AU440" i="19" s="1"/>
  <c r="AD440" i="19" s="1"/>
  <c r="AT553" i="19"/>
  <c r="AU553" i="19" s="1"/>
  <c r="AD553" i="19" s="1"/>
  <c r="AT200" i="19"/>
  <c r="AU200" i="19" s="1"/>
  <c r="AD200" i="19" s="1"/>
  <c r="AT368" i="19"/>
  <c r="AU368" i="19" s="1"/>
  <c r="AD368" i="19" s="1"/>
  <c r="AT81" i="19"/>
  <c r="AU81" i="19" s="1"/>
  <c r="AD81" i="19" s="1"/>
  <c r="AT60" i="19"/>
  <c r="AU60" i="19" s="1"/>
  <c r="AD60" i="19" s="1"/>
  <c r="AT64" i="19"/>
  <c r="AU64" i="19" s="1"/>
  <c r="AD64" i="19" s="1"/>
  <c r="AT126" i="19"/>
  <c r="AU126" i="19" s="1"/>
  <c r="AD126" i="19" s="1"/>
  <c r="AT110" i="19"/>
  <c r="AU110" i="19" s="1"/>
  <c r="AD110" i="19" s="1"/>
  <c r="AT226" i="19"/>
  <c r="AU226" i="19" s="1"/>
  <c r="AD226" i="19" s="1"/>
  <c r="AT286" i="19"/>
  <c r="AU286" i="19" s="1"/>
  <c r="AD286" i="19" s="1"/>
  <c r="AT524" i="19"/>
  <c r="AU524" i="19" s="1"/>
  <c r="AD524" i="19" s="1"/>
  <c r="AT556" i="19"/>
  <c r="AU556" i="19" s="1"/>
  <c r="AD556" i="19" s="1"/>
  <c r="AT573" i="19"/>
  <c r="AU573" i="19" s="1"/>
  <c r="AD573" i="19" s="1"/>
  <c r="AT50" i="19"/>
  <c r="AU50" i="19" s="1"/>
  <c r="AD50" i="19" s="1"/>
  <c r="AT86" i="19"/>
  <c r="AU86" i="19" s="1"/>
  <c r="AD86" i="19" s="1"/>
  <c r="AT505" i="19"/>
  <c r="AU505" i="19" s="1"/>
  <c r="AD505" i="19" s="1"/>
  <c r="AT107" i="19"/>
  <c r="AU107" i="19" s="1"/>
  <c r="AD107" i="19" s="1"/>
  <c r="AT474" i="19"/>
  <c r="AU474" i="19" s="1"/>
  <c r="AD474" i="19" s="1"/>
  <c r="AT602" i="19"/>
  <c r="AU602" i="19" s="1"/>
  <c r="AD602" i="19" s="1"/>
  <c r="AT352" i="19"/>
  <c r="AU352" i="19" s="1"/>
  <c r="AD352" i="19" s="1"/>
  <c r="AT298" i="19"/>
  <c r="AU298" i="19" s="1"/>
  <c r="AD298" i="19" s="1"/>
  <c r="AT483" i="19"/>
  <c r="AU483" i="19" s="1"/>
  <c r="AD483" i="19" s="1"/>
  <c r="AT404" i="19"/>
  <c r="AU404" i="19" s="1"/>
  <c r="AD404" i="19" s="1"/>
  <c r="AT495" i="19"/>
  <c r="AU495" i="19" s="1"/>
  <c r="AD495" i="19" s="1"/>
  <c r="AT204" i="19"/>
  <c r="AU204" i="19" s="1"/>
  <c r="AD204" i="19" s="1"/>
  <c r="AT339" i="19"/>
  <c r="AU339" i="19" s="1"/>
  <c r="AD339" i="19" s="1"/>
  <c r="AT445" i="19"/>
  <c r="AU445" i="19" s="1"/>
  <c r="AD445" i="19" s="1"/>
  <c r="AT312" i="19"/>
  <c r="AU312" i="19" s="1"/>
  <c r="AD312" i="19" s="1"/>
  <c r="AT95" i="19"/>
  <c r="AU95" i="19" s="1"/>
  <c r="AD95" i="19" s="1"/>
  <c r="AT594" i="19"/>
  <c r="AU594" i="19" s="1"/>
  <c r="AD594" i="19" s="1"/>
  <c r="AT380" i="19"/>
  <c r="AU380" i="19" s="1"/>
  <c r="AD380" i="19" s="1"/>
  <c r="AT173" i="19"/>
  <c r="AU173" i="19" s="1"/>
  <c r="AD173" i="19" s="1"/>
  <c r="AT265" i="19"/>
  <c r="AU265" i="19" s="1"/>
  <c r="AD265" i="19" s="1"/>
  <c r="AT458" i="19"/>
  <c r="AU458" i="19" s="1"/>
  <c r="AD458" i="19" s="1"/>
  <c r="AT80" i="19"/>
  <c r="AU80" i="19" s="1"/>
  <c r="AD80" i="19" s="1"/>
  <c r="AT350" i="19"/>
  <c r="AU350" i="19" s="1"/>
  <c r="AD350" i="19" s="1"/>
  <c r="AT603" i="19"/>
  <c r="AU603" i="19" s="1"/>
  <c r="AD603" i="19" s="1"/>
  <c r="AT351" i="19"/>
  <c r="AU351" i="19" s="1"/>
  <c r="AD351" i="19" s="1"/>
  <c r="AT249" i="19"/>
  <c r="AU249" i="19" s="1"/>
  <c r="AD249" i="19" s="1"/>
  <c r="AT175" i="19"/>
  <c r="AU175" i="19" s="1"/>
  <c r="AD175" i="19" s="1"/>
  <c r="AT383" i="19"/>
  <c r="AU383" i="19" s="1"/>
  <c r="AD383" i="19" s="1"/>
  <c r="AT102" i="19"/>
  <c r="AU102" i="19" s="1"/>
  <c r="AD102" i="19" s="1"/>
  <c r="AT539" i="19"/>
  <c r="AU539" i="19" s="1"/>
  <c r="AD539" i="19" s="1"/>
  <c r="AT235" i="19"/>
  <c r="AU235" i="19" s="1"/>
  <c r="AD235" i="19" s="1"/>
  <c r="AT523" i="19"/>
  <c r="AU523" i="19" s="1"/>
  <c r="AD523" i="19" s="1"/>
  <c r="AT230" i="19"/>
  <c r="AU230" i="19" s="1"/>
  <c r="AD230" i="19" s="1"/>
  <c r="AT112" i="19"/>
  <c r="AU112" i="19" s="1"/>
  <c r="AD112" i="19" s="1"/>
  <c r="AT256" i="19"/>
  <c r="AU256" i="19" s="1"/>
  <c r="AD256" i="19" s="1"/>
  <c r="AT453" i="19"/>
  <c r="AU453" i="19" s="1"/>
  <c r="AD453" i="19" s="1"/>
  <c r="AT365" i="19"/>
  <c r="AU365" i="19" s="1"/>
  <c r="AD365" i="19" s="1"/>
  <c r="AT167" i="19"/>
  <c r="AU167" i="19" s="1"/>
  <c r="AD167" i="19" s="1"/>
  <c r="AT281" i="19"/>
  <c r="AU281" i="19" s="1"/>
  <c r="AD281" i="19" s="1"/>
  <c r="AT531" i="19"/>
  <c r="AU531" i="19" s="1"/>
  <c r="AD531" i="19" s="1"/>
  <c r="AT466" i="19"/>
  <c r="AU466" i="19" s="1"/>
  <c r="AD466" i="19" s="1"/>
  <c r="AT381" i="19"/>
  <c r="AU381" i="19" s="1"/>
  <c r="AD381" i="19" s="1"/>
  <c r="AT575" i="19"/>
  <c r="AU575" i="19" s="1"/>
  <c r="AD575" i="19" s="1"/>
  <c r="AT500" i="19"/>
  <c r="AU500" i="19" s="1"/>
  <c r="AD500" i="19" s="1"/>
  <c r="AT384" i="19"/>
  <c r="AU384" i="19" s="1"/>
  <c r="AD384" i="19" s="1"/>
  <c r="AT598" i="19"/>
  <c r="AU598" i="19" s="1"/>
  <c r="AD598" i="19" s="1"/>
  <c r="AT475" i="19"/>
  <c r="AU475" i="19" s="1"/>
  <c r="AD475" i="19" s="1"/>
  <c r="AT338" i="19"/>
  <c r="AU338" i="19" s="1"/>
  <c r="AD338" i="19" s="1"/>
  <c r="AT534" i="19"/>
  <c r="AU534" i="19" s="1"/>
  <c r="AD534" i="19" s="1"/>
  <c r="AT134" i="19"/>
  <c r="AU134" i="19" s="1"/>
  <c r="AD134" i="19" s="1"/>
  <c r="AT322" i="19"/>
  <c r="AU322" i="19" s="1"/>
  <c r="AD322" i="19" s="1"/>
  <c r="AT160" i="19"/>
  <c r="AU160" i="19" s="1"/>
  <c r="AD160" i="19" s="1"/>
  <c r="AT506" i="19"/>
  <c r="AU506" i="19" s="1"/>
  <c r="AD506" i="19" s="1"/>
  <c r="AT367" i="19"/>
  <c r="AU367" i="19" s="1"/>
  <c r="AD367" i="19" s="1"/>
  <c r="AT183" i="19"/>
  <c r="AU183" i="19" s="1"/>
  <c r="AD183" i="19" s="1"/>
  <c r="AT485" i="19"/>
  <c r="AU485" i="19" s="1"/>
  <c r="AD485" i="19" s="1"/>
  <c r="AT233" i="19"/>
  <c r="AU233" i="19" s="1"/>
  <c r="AD233" i="19" s="1"/>
  <c r="AT316" i="19"/>
  <c r="AU316" i="19" s="1"/>
  <c r="AD316" i="19" s="1"/>
  <c r="AT426" i="19"/>
  <c r="AU426" i="19" s="1"/>
  <c r="AD426" i="19" s="1"/>
  <c r="AT363" i="19"/>
  <c r="AU363" i="19" s="1"/>
  <c r="AD363" i="19" s="1"/>
  <c r="AT334" i="19"/>
  <c r="AU334" i="19" s="1"/>
  <c r="AD334" i="19" s="1"/>
  <c r="AT522" i="19"/>
  <c r="AU522" i="19" s="1"/>
  <c r="AD522" i="19" s="1"/>
  <c r="AT333" i="19"/>
  <c r="AU333" i="19" s="1"/>
  <c r="AD333" i="19" s="1"/>
  <c r="AT272" i="19"/>
  <c r="AU272" i="19" s="1"/>
  <c r="AD272" i="19" s="1"/>
  <c r="AT149" i="19"/>
  <c r="AU149" i="19" s="1"/>
  <c r="AD149" i="19" s="1"/>
  <c r="AT24" i="19"/>
  <c r="AU24" i="19" s="1"/>
  <c r="AD24" i="19" s="1"/>
  <c r="AT543" i="19"/>
  <c r="AU543" i="19" s="1"/>
  <c r="AD543" i="19" s="1"/>
  <c r="AT520" i="19"/>
  <c r="AU520" i="19" s="1"/>
  <c r="AD520" i="19" s="1"/>
  <c r="AT30" i="19"/>
  <c r="AU30" i="19" s="1"/>
  <c r="AD30" i="19" s="1"/>
  <c r="AT278" i="19"/>
  <c r="AU278" i="19" s="1"/>
  <c r="AD278" i="19" s="1"/>
  <c r="AT217" i="19"/>
  <c r="AU217" i="19" s="1"/>
  <c r="AD217" i="19" s="1"/>
  <c r="AT530" i="19"/>
  <c r="AU530" i="19" s="1"/>
  <c r="AD530" i="19" s="1"/>
  <c r="AT375" i="19"/>
  <c r="AU375" i="19" s="1"/>
  <c r="AD375" i="19" s="1"/>
  <c r="AT179" i="19"/>
  <c r="AU179" i="19" s="1"/>
  <c r="AD179" i="19" s="1"/>
  <c r="AT303" i="19"/>
  <c r="AU303" i="19" s="1"/>
  <c r="AD303" i="19" s="1"/>
  <c r="AT308" i="19"/>
  <c r="AU308" i="19" s="1"/>
  <c r="AD308" i="19" s="1"/>
  <c r="AT254" i="19"/>
  <c r="AU254" i="19" s="1"/>
  <c r="AD254" i="19" s="1"/>
  <c r="AT519" i="19"/>
  <c r="AU519" i="19" s="1"/>
  <c r="AD519" i="19" s="1"/>
  <c r="AT340" i="19"/>
  <c r="AU340" i="19" s="1"/>
  <c r="AD340" i="19" s="1"/>
  <c r="AT178" i="19"/>
  <c r="AU178" i="19" s="1"/>
  <c r="AD178" i="19" s="1"/>
  <c r="AT74" i="19"/>
  <c r="AU74" i="19" s="1"/>
  <c r="AD74" i="19" s="1"/>
  <c r="AT516" i="19"/>
  <c r="AU516" i="19" s="1"/>
  <c r="AD516" i="19" s="1"/>
  <c r="AT261" i="19"/>
  <c r="AU261" i="19" s="1"/>
  <c r="AD261" i="19" s="1"/>
  <c r="AT163" i="19"/>
  <c r="AU163" i="19" s="1"/>
  <c r="AD163" i="19" s="1"/>
  <c r="AT503" i="19"/>
  <c r="AU503" i="19" s="1"/>
  <c r="AD503" i="19" s="1"/>
  <c r="AT218" i="19"/>
  <c r="AU218" i="19" s="1"/>
  <c r="AD218" i="19" s="1"/>
  <c r="AT448" i="19"/>
  <c r="AU448" i="19" s="1"/>
  <c r="AD448" i="19" s="1"/>
  <c r="AT260" i="19"/>
  <c r="AU260" i="19" s="1"/>
  <c r="AD260" i="19" s="1"/>
  <c r="AT299" i="19"/>
  <c r="AU299" i="19" s="1"/>
  <c r="AD299" i="19" s="1"/>
  <c r="AT244" i="19"/>
  <c r="AU244" i="19" s="1"/>
  <c r="AD244" i="19" s="1"/>
  <c r="AT355" i="19"/>
  <c r="AU355" i="19" s="1"/>
  <c r="AD355" i="19" s="1"/>
  <c r="AT443" i="19"/>
  <c r="AU443" i="19" s="1"/>
  <c r="AD443" i="19" s="1"/>
  <c r="AT406" i="19"/>
  <c r="AU406" i="19" s="1"/>
  <c r="AD406" i="19" s="1"/>
  <c r="AT415" i="19"/>
  <c r="AU415" i="19" s="1"/>
  <c r="AD415" i="19" s="1"/>
  <c r="AT207" i="19"/>
  <c r="AU207" i="19" s="1"/>
  <c r="AD207" i="19" s="1"/>
  <c r="AT550" i="19"/>
  <c r="AU550" i="19" s="1"/>
  <c r="AD550" i="19" s="1"/>
  <c r="AT324" i="19"/>
  <c r="AU324" i="19" s="1"/>
  <c r="AD324" i="19" s="1"/>
  <c r="AT155" i="19"/>
  <c r="AU155" i="19" s="1"/>
  <c r="AD155" i="19" s="1"/>
  <c r="AT250" i="19"/>
  <c r="AU250" i="19" s="1"/>
  <c r="AD250" i="19" s="1"/>
  <c r="AT479" i="19"/>
  <c r="AU479" i="19" s="1"/>
  <c r="AD479" i="19" s="1"/>
  <c r="AT563" i="19"/>
  <c r="AU563" i="19" s="1"/>
  <c r="AD563" i="19" s="1"/>
  <c r="AT535" i="19"/>
  <c r="AU535" i="19" s="1"/>
  <c r="AD535" i="19" s="1"/>
  <c r="AT349" i="19"/>
  <c r="AU349" i="19" s="1"/>
  <c r="AD349" i="19" s="1"/>
  <c r="AT209" i="19"/>
  <c r="AU209" i="19" s="1"/>
  <c r="AD209" i="19" s="1"/>
  <c r="AT551" i="19"/>
  <c r="AU551" i="19" s="1"/>
  <c r="AD551" i="19" s="1"/>
  <c r="AT216" i="19"/>
  <c r="AU216" i="19" s="1"/>
  <c r="AD216" i="19" s="1"/>
  <c r="AT129" i="19"/>
  <c r="AU129" i="19" s="1"/>
  <c r="AD129" i="19" s="1"/>
  <c r="AT536" i="19"/>
  <c r="AU536" i="19" s="1"/>
  <c r="AD536" i="19" s="1"/>
  <c r="AT359" i="19"/>
  <c r="AU359" i="19" s="1"/>
  <c r="AD359" i="19" s="1"/>
  <c r="AT581" i="19"/>
  <c r="AU581" i="19" s="1"/>
  <c r="AD581" i="19" s="1"/>
  <c r="AT23" i="19"/>
  <c r="AU23" i="19" s="1"/>
  <c r="AD23" i="19" s="1"/>
  <c r="AT51" i="19"/>
  <c r="AU51" i="19" s="1"/>
  <c r="AD51" i="19" s="1"/>
  <c r="AT79" i="19"/>
  <c r="AU79" i="19" s="1"/>
  <c r="AD79" i="19" s="1"/>
  <c r="AT190" i="19"/>
  <c r="AU190" i="19" s="1"/>
  <c r="AD190" i="19" s="1"/>
  <c r="AT106" i="19"/>
  <c r="AU106" i="19" s="1"/>
  <c r="AD106" i="19" s="1"/>
  <c r="AT347" i="19"/>
  <c r="AU347" i="19" s="1"/>
  <c r="AD347" i="19" s="1"/>
  <c r="AT484" i="19"/>
  <c r="AU484" i="19" s="1"/>
  <c r="AD484" i="19" s="1"/>
  <c r="AT84" i="19"/>
  <c r="AU84" i="19" s="1"/>
  <c r="AD84" i="19" s="1"/>
  <c r="AT370" i="19"/>
  <c r="AU370" i="19" s="1"/>
  <c r="AD370" i="19" s="1"/>
  <c r="AT159" i="19"/>
  <c r="AU159" i="19" s="1"/>
  <c r="AD159" i="19" s="1"/>
  <c r="AT599" i="19"/>
  <c r="AU599" i="19" s="1"/>
  <c r="AD599" i="19" s="1"/>
  <c r="AT374" i="19"/>
  <c r="AU374" i="19" s="1"/>
  <c r="AD374" i="19" s="1"/>
  <c r="AT142" i="19"/>
  <c r="AU142" i="19" s="1"/>
  <c r="AD142" i="19" s="1"/>
  <c r="AT323" i="19"/>
  <c r="AU323" i="19" s="1"/>
  <c r="AD323" i="19" s="1"/>
  <c r="AT335" i="19"/>
  <c r="AU335" i="19" s="1"/>
  <c r="AD335" i="19" s="1"/>
  <c r="AT566" i="19"/>
  <c r="AU566" i="19" s="1"/>
  <c r="AD566" i="19" s="1"/>
  <c r="AT451" i="19"/>
  <c r="AU451" i="19" s="1"/>
  <c r="AD451" i="19" s="1"/>
  <c r="AT507" i="19"/>
  <c r="AU507" i="19" s="1"/>
  <c r="AD507" i="19" s="1"/>
  <c r="AT584" i="19"/>
  <c r="AU584" i="19" s="1"/>
  <c r="AD584" i="19" s="1"/>
  <c r="AT428" i="19"/>
  <c r="AU428" i="19" s="1"/>
  <c r="AD428" i="19" s="1"/>
  <c r="AT46" i="19"/>
  <c r="AU46" i="19" s="1"/>
  <c r="AD46" i="19" s="1"/>
  <c r="AT232" i="19"/>
  <c r="AU232" i="19" s="1"/>
  <c r="AD232" i="19" s="1"/>
  <c r="AT208" i="19"/>
  <c r="AU208" i="19" s="1"/>
  <c r="AD208" i="19" s="1"/>
  <c r="AT90" i="19"/>
  <c r="AU90" i="19" s="1"/>
  <c r="AD90" i="19" s="1"/>
  <c r="AT170" i="19"/>
  <c r="AU170" i="19" s="1"/>
  <c r="AD170" i="19" s="1"/>
  <c r="AT442" i="19"/>
  <c r="AU442" i="19" s="1"/>
  <c r="AD442" i="19" s="1"/>
  <c r="AT96" i="19"/>
  <c r="AU96" i="19" s="1"/>
  <c r="AD96" i="19" s="1"/>
  <c r="AT361" i="19"/>
  <c r="AU361" i="19" s="1"/>
  <c r="AD361" i="19" s="1"/>
  <c r="AT398" i="19"/>
  <c r="AU398" i="19" s="1"/>
  <c r="AD398" i="19" s="1"/>
  <c r="AT282" i="19"/>
  <c r="AU282" i="19" s="1"/>
  <c r="AD282" i="19" s="1"/>
  <c r="AT373" i="19"/>
  <c r="AU373" i="19" s="1"/>
  <c r="AD373" i="19" s="1"/>
  <c r="AT567" i="19"/>
  <c r="AU567" i="19" s="1"/>
  <c r="AD567" i="19" s="1"/>
  <c r="AT76" i="19"/>
  <c r="AU76" i="19" s="1"/>
  <c r="AD76" i="19" s="1"/>
  <c r="AT222" i="19"/>
  <c r="AU222" i="19" s="1"/>
  <c r="AD222" i="19" s="1"/>
  <c r="AT310" i="19"/>
  <c r="AU310" i="19" s="1"/>
  <c r="AD310" i="19" s="1"/>
  <c r="AT168" i="19"/>
  <c r="AU168" i="19" s="1"/>
  <c r="AD168" i="19" s="1"/>
  <c r="AT94" i="19"/>
  <c r="AU94" i="19" s="1"/>
  <c r="AD94" i="19" s="1"/>
  <c r="AT194" i="19"/>
  <c r="AU194" i="19" s="1"/>
  <c r="AD194" i="19" s="1"/>
  <c r="AT441" i="19"/>
  <c r="AU441" i="19" s="1"/>
  <c r="AD441" i="19" s="1"/>
  <c r="AT547" i="19"/>
  <c r="AU547" i="19" s="1"/>
  <c r="AD547" i="19" s="1"/>
  <c r="AT172" i="19"/>
  <c r="AU172" i="19" s="1"/>
  <c r="AD172" i="19" s="1"/>
  <c r="AT577" i="19"/>
  <c r="AU577" i="19" s="1"/>
  <c r="AD577" i="19" s="1"/>
  <c r="AT290" i="19"/>
  <c r="AU290" i="19" s="1"/>
  <c r="AD290" i="19" s="1"/>
  <c r="AT229" i="19"/>
  <c r="AU229" i="19" s="1"/>
  <c r="AD229" i="19" s="1"/>
  <c r="AT490" i="19"/>
  <c r="AU490" i="19" s="1"/>
  <c r="AD490" i="19" s="1"/>
  <c r="AT356" i="19"/>
  <c r="AU356" i="19" s="1"/>
  <c r="AD356" i="19" s="1"/>
  <c r="AT492" i="19"/>
  <c r="AU492" i="19" s="1"/>
  <c r="AD492" i="19" s="1"/>
  <c r="AT436" i="19"/>
  <c r="AU436" i="19" s="1"/>
  <c r="AD436" i="19" s="1"/>
  <c r="AT545" i="19"/>
  <c r="AU545" i="19" s="1"/>
  <c r="AD545" i="19" s="1"/>
  <c r="AT144" i="19"/>
  <c r="AU144" i="19" s="1"/>
  <c r="AD144" i="19" s="1"/>
  <c r="AT237" i="19"/>
  <c r="AU237" i="19" s="1"/>
  <c r="AD237" i="19" s="1"/>
  <c r="AT401" i="19"/>
  <c r="AU401" i="19" s="1"/>
  <c r="AD401" i="19" s="1"/>
  <c r="AT161" i="19"/>
  <c r="AU161" i="19" s="1"/>
  <c r="AD161" i="19" s="1"/>
  <c r="AT403" i="19"/>
  <c r="AU403" i="19" s="1"/>
  <c r="AD403" i="19" s="1"/>
  <c r="AT583" i="19"/>
  <c r="AU583" i="19" s="1"/>
  <c r="AD583" i="19" s="1"/>
  <c r="AT412" i="19"/>
  <c r="AU412" i="19" s="1"/>
  <c r="AD412" i="19" s="1"/>
  <c r="AT314" i="19"/>
  <c r="AU314" i="19" s="1"/>
  <c r="AD314" i="19" s="1"/>
  <c r="AT597" i="19"/>
  <c r="AU597" i="19" s="1"/>
  <c r="AD597" i="19" s="1"/>
  <c r="AT336" i="19"/>
  <c r="AU336" i="19" s="1"/>
  <c r="AD336" i="19" s="1"/>
  <c r="AT88" i="19"/>
  <c r="AU88" i="19" s="1"/>
  <c r="AD88" i="19" s="1"/>
  <c r="AT461" i="19"/>
  <c r="AU461" i="19" s="1"/>
  <c r="AD461" i="19" s="1"/>
  <c r="AT267" i="19"/>
  <c r="AU267" i="19" s="1"/>
  <c r="AD267" i="19" s="1"/>
  <c r="AT187" i="19"/>
  <c r="AU187" i="19" s="1"/>
  <c r="AD187" i="19" s="1"/>
  <c r="AT202" i="19"/>
  <c r="AU202" i="19" s="1"/>
  <c r="AD202" i="19" s="1"/>
  <c r="AT36" i="19"/>
  <c r="AU36" i="19" s="1"/>
  <c r="AD36" i="19" s="1"/>
  <c r="AT517" i="19"/>
  <c r="AU517" i="19" s="1"/>
  <c r="AD517" i="19" s="1"/>
  <c r="AT344" i="19"/>
  <c r="AU344" i="19" s="1"/>
  <c r="AD344" i="19" s="1"/>
  <c r="AT300" i="19"/>
  <c r="AU300" i="19" s="1"/>
  <c r="AD300" i="19" s="1"/>
  <c r="AT174" i="19"/>
  <c r="AU174" i="19" s="1"/>
  <c r="AD174" i="19" s="1"/>
  <c r="AT449" i="19"/>
  <c r="AU449" i="19" s="1"/>
  <c r="AD449" i="19" s="1"/>
  <c r="AT386" i="19"/>
  <c r="AU386" i="19" s="1"/>
  <c r="AD386" i="19" s="1"/>
  <c r="AT111" i="19"/>
  <c r="AU111" i="19" s="1"/>
  <c r="AD111" i="19" s="1"/>
  <c r="AT137" i="19"/>
  <c r="AU137" i="19" s="1"/>
  <c r="AD137" i="19" s="1"/>
  <c r="AT121" i="19"/>
  <c r="AU121" i="19" s="1"/>
  <c r="AD121" i="19" s="1"/>
  <c r="AT214" i="19"/>
  <c r="AU214" i="19" s="1"/>
  <c r="AD214" i="19" s="1"/>
  <c r="AT45" i="19"/>
  <c r="AU45" i="19" s="1"/>
  <c r="AD45" i="19" s="1"/>
  <c r="AT327" i="19"/>
  <c r="AU327" i="19" s="1"/>
  <c r="AD327" i="19" s="1"/>
  <c r="AT130" i="19"/>
  <c r="AU130" i="19" s="1"/>
  <c r="AD130" i="19" s="1"/>
  <c r="AT450" i="19"/>
  <c r="AU450" i="19" s="1"/>
  <c r="AD450" i="19" s="1"/>
  <c r="AT542" i="19"/>
  <c r="AU542" i="19" s="1"/>
  <c r="AD542" i="19" s="1"/>
  <c r="AT402" i="19"/>
  <c r="AU402" i="19" s="1"/>
  <c r="AD402" i="19" s="1"/>
  <c r="AT138" i="19"/>
  <c r="AU138" i="19" s="1"/>
  <c r="AD138" i="19" s="1"/>
  <c r="AT491" i="19"/>
  <c r="AU491" i="19" s="1"/>
  <c r="AD491" i="19" s="1"/>
  <c r="AT221" i="19"/>
  <c r="AU221" i="19" s="1"/>
  <c r="AD221" i="19" s="1"/>
  <c r="AT463" i="19"/>
  <c r="AU463" i="19" s="1"/>
  <c r="AD463" i="19" s="1"/>
  <c r="AT154" i="19"/>
  <c r="AU154" i="19" s="1"/>
  <c r="AD154" i="19" s="1"/>
  <c r="AT185" i="19"/>
  <c r="AU185" i="19" s="1"/>
  <c r="AD185" i="19" s="1"/>
  <c r="AT305" i="19"/>
  <c r="AU305" i="19" s="1"/>
  <c r="AD305" i="19" s="1"/>
  <c r="AT262" i="19"/>
  <c r="AU262" i="19" s="1"/>
  <c r="AD262" i="19" s="1"/>
  <c r="AT331" i="19"/>
  <c r="AU331" i="19" s="1"/>
  <c r="AD331" i="19" s="1"/>
  <c r="AT124" i="19"/>
  <c r="AU124" i="19" s="1"/>
  <c r="AD124" i="19" s="1"/>
  <c r="AT576" i="19"/>
  <c r="AU576" i="19" s="1"/>
  <c r="AD576" i="19" s="1"/>
  <c r="AT393" i="19"/>
  <c r="AU393" i="19" s="1"/>
  <c r="AD393" i="19" s="1"/>
  <c r="AT150" i="19"/>
  <c r="AU150" i="19" s="1"/>
  <c r="AD150" i="19" s="1"/>
  <c r="AT515" i="19"/>
  <c r="AU515" i="19" s="1"/>
  <c r="AD515" i="19" s="1"/>
  <c r="AT568" i="19"/>
  <c r="AU568" i="19" s="1"/>
  <c r="AD568" i="19" s="1"/>
  <c r="AT307" i="19"/>
  <c r="AU307" i="19" s="1"/>
  <c r="AD307" i="19" s="1"/>
  <c r="AT280" i="19"/>
  <c r="AU280" i="19" s="1"/>
  <c r="AD280" i="19" s="1"/>
  <c r="AT342" i="19"/>
  <c r="AU342" i="19" s="1"/>
  <c r="AD342" i="19" s="1"/>
  <c r="AT276" i="19"/>
  <c r="AU276" i="19" s="1"/>
  <c r="AD276" i="19" s="1"/>
  <c r="AT199" i="19"/>
  <c r="AU199" i="19" s="1"/>
  <c r="AD199" i="19" s="1"/>
  <c r="AT186" i="19"/>
  <c r="AU186" i="19" s="1"/>
  <c r="AD186" i="19" s="1"/>
  <c r="AT456" i="19"/>
  <c r="AU456" i="19" s="1"/>
  <c r="AD456" i="19" s="1"/>
  <c r="AT70" i="19"/>
  <c r="AU70" i="19" s="1"/>
  <c r="AD70" i="19" s="1"/>
  <c r="AT288" i="19"/>
  <c r="AU288" i="19" s="1"/>
  <c r="AD288" i="19" s="1"/>
  <c r="AT565" i="19"/>
  <c r="AU565" i="19" s="1"/>
  <c r="AD565" i="19" s="1"/>
  <c r="AT97" i="19"/>
  <c r="AU97" i="19" s="1"/>
  <c r="AD97" i="19" s="1"/>
  <c r="AT243" i="19"/>
  <c r="AU243" i="19" s="1"/>
  <c r="AD243" i="19" s="1"/>
  <c r="AT593" i="19"/>
  <c r="AU593" i="19" s="1"/>
  <c r="AD593" i="19" s="1"/>
  <c r="AT238" i="19"/>
  <c r="AU238" i="19" s="1"/>
  <c r="AD238" i="19" s="1"/>
  <c r="AT469" i="19"/>
  <c r="AU469" i="19" s="1"/>
  <c r="AD469" i="19" s="1"/>
  <c r="AT156" i="19"/>
  <c r="AU156" i="19" s="1"/>
  <c r="AD156" i="19" s="1"/>
  <c r="AT210" i="19"/>
  <c r="AU210" i="19" s="1"/>
  <c r="AD210" i="19" s="1"/>
  <c r="AT498" i="19"/>
  <c r="AU498" i="19" s="1"/>
  <c r="AD498" i="19" s="1"/>
  <c r="AT205" i="19"/>
  <c r="AU205" i="19" s="1"/>
  <c r="AD205" i="19" s="1"/>
  <c r="AT325" i="19"/>
  <c r="AU325" i="19" s="1"/>
  <c r="AD325" i="19" s="1"/>
  <c r="AT89" i="19"/>
  <c r="AU89" i="19" s="1"/>
  <c r="AD89" i="19" s="1"/>
  <c r="AT414" i="19"/>
  <c r="AU414" i="19" s="1"/>
  <c r="AD414" i="19" s="1"/>
  <c r="AT225" i="19"/>
  <c r="AU225" i="19" s="1"/>
  <c r="AD225" i="19" s="1"/>
  <c r="AT171" i="19"/>
  <c r="AU171" i="19" s="1"/>
  <c r="AD171" i="19" s="1"/>
  <c r="AT590" i="19"/>
  <c r="AU590" i="19" s="1"/>
  <c r="AD590" i="19" s="1"/>
  <c r="AT65" i="19"/>
  <c r="AU65" i="19" s="1"/>
  <c r="AD65" i="19" s="1"/>
  <c r="AT420" i="19"/>
  <c r="AU420" i="19" s="1"/>
  <c r="AD420" i="19" s="1"/>
  <c r="AT257" i="19"/>
  <c r="AU257" i="19" s="1"/>
  <c r="AD257" i="19" s="1"/>
  <c r="AT319" i="19"/>
  <c r="AU319" i="19" s="1"/>
  <c r="AD319" i="19" s="1"/>
  <c r="AT388" i="19"/>
  <c r="AU388" i="19" s="1"/>
  <c r="AD388" i="19" s="1"/>
  <c r="AT58" i="19"/>
  <c r="AU58" i="19" s="1"/>
  <c r="AD58" i="19" s="1"/>
  <c r="AT271" i="19"/>
  <c r="AU271" i="19" s="1"/>
  <c r="AD271" i="19" s="1"/>
  <c r="AT596" i="19"/>
  <c r="AU596" i="19" s="1"/>
  <c r="AD596" i="19" s="1"/>
  <c r="AT502" i="19"/>
  <c r="AU502" i="19" s="1"/>
  <c r="AD502" i="19" s="1"/>
  <c r="AT413" i="19"/>
  <c r="AU413" i="19" s="1"/>
  <c r="AD413" i="19" s="1"/>
  <c r="AT399" i="19"/>
  <c r="AU399" i="19" s="1"/>
  <c r="AD399" i="19" s="1"/>
  <c r="AT143" i="19"/>
  <c r="AU143" i="19" s="1"/>
  <c r="AD143" i="19" s="1"/>
  <c r="AT35" i="19"/>
  <c r="AU35" i="19" s="1"/>
  <c r="AD35" i="19" s="1"/>
  <c r="AT369" i="19"/>
  <c r="AU369" i="19" s="1"/>
  <c r="AD369" i="19" s="1"/>
  <c r="AT546" i="19"/>
  <c r="AU546" i="19" s="1"/>
  <c r="AD546" i="19" s="1"/>
  <c r="AT162" i="19"/>
  <c r="AU162" i="19" s="1"/>
  <c r="AD162" i="19" s="1"/>
  <c r="AT274" i="19"/>
  <c r="AU274" i="19" s="1"/>
  <c r="AD274" i="19" s="1"/>
  <c r="AT464" i="19"/>
  <c r="AU464" i="19" s="1"/>
  <c r="AD464" i="19" s="1"/>
  <c r="AT296" i="19"/>
  <c r="AU296" i="19" s="1"/>
  <c r="AD296" i="19" s="1"/>
  <c r="AT437" i="19"/>
  <c r="AU437" i="19" s="1"/>
  <c r="AD437" i="19" s="1"/>
  <c r="AT481" i="19"/>
  <c r="AU481" i="19" s="1"/>
  <c r="AD481" i="19" s="1"/>
  <c r="AT572" i="19"/>
  <c r="AU572" i="19" s="1"/>
  <c r="AD572" i="19" s="1"/>
  <c r="AT75" i="19"/>
  <c r="AU75" i="19" s="1"/>
  <c r="AD75" i="19" s="1"/>
  <c r="AT409" i="19"/>
  <c r="AU409" i="19" s="1"/>
  <c r="AD409" i="19" s="1"/>
  <c r="AT496" i="19"/>
  <c r="AU496" i="19" s="1"/>
  <c r="AD496" i="19" s="1"/>
  <c r="AT119" i="19"/>
  <c r="AU119" i="19" s="1"/>
  <c r="AD119" i="19" s="1"/>
  <c r="AT59" i="19"/>
  <c r="AU59" i="19" s="1"/>
  <c r="AD59" i="19" s="1"/>
  <c r="AT416" i="19"/>
  <c r="AU416" i="19" s="1"/>
  <c r="AD416" i="19" s="1"/>
  <c r="AT22" i="19"/>
  <c r="AU22" i="19" s="1"/>
  <c r="AD22" i="19" s="1"/>
  <c r="AT306" i="19"/>
  <c r="AU306" i="19" s="1"/>
  <c r="AD306" i="19" s="1"/>
  <c r="AT473" i="19"/>
  <c r="AU473" i="19" s="1"/>
  <c r="AD473" i="19" s="1"/>
  <c r="AT197" i="19"/>
  <c r="AU197" i="19" s="1"/>
  <c r="AD197" i="19" s="1"/>
  <c r="AT224" i="19"/>
  <c r="AU224" i="19" s="1"/>
  <c r="AD224" i="19" s="1"/>
  <c r="AT87" i="19"/>
  <c r="AU87" i="19" s="1"/>
  <c r="AD87" i="19" s="1"/>
  <c r="AT585" i="19"/>
  <c r="AU585" i="19" s="1"/>
  <c r="AD585" i="19" s="1"/>
  <c r="AT417" i="19"/>
  <c r="AU417" i="19" s="1"/>
  <c r="AD417" i="19" s="1"/>
  <c r="AT434" i="19"/>
  <c r="AU434" i="19" s="1"/>
  <c r="AD434" i="19" s="1"/>
  <c r="AT117" i="19"/>
  <c r="AU117" i="19" s="1"/>
  <c r="AD117" i="19" s="1"/>
  <c r="AT477" i="19"/>
  <c r="AU477" i="19" s="1"/>
  <c r="AD477" i="19" s="1"/>
  <c r="AT215" i="19"/>
  <c r="AU215" i="19" s="1"/>
  <c r="AD215" i="19" s="1"/>
  <c r="AT259" i="19"/>
  <c r="AU259" i="19" s="1"/>
  <c r="AD259" i="19" s="1"/>
  <c r="AT366" i="19"/>
  <c r="AU366" i="19" s="1"/>
  <c r="AD366" i="19" s="1"/>
  <c r="AT289" i="19"/>
  <c r="AU289" i="19" s="1"/>
  <c r="AD289" i="19" s="1"/>
  <c r="AT457" i="19"/>
  <c r="AU457" i="19" s="1"/>
  <c r="AD457" i="19" s="1"/>
  <c r="AT341" i="19"/>
  <c r="AU341" i="19" s="1"/>
  <c r="AD341" i="19" s="1"/>
  <c r="AT118" i="19"/>
  <c r="AU118" i="19" s="1"/>
  <c r="AD118" i="19" s="1"/>
  <c r="AT255" i="19"/>
  <c r="AU255" i="19" s="1"/>
  <c r="AD255" i="19" s="1"/>
  <c r="AT48" i="19"/>
  <c r="AU48" i="19" s="1"/>
  <c r="AD48" i="19" s="1"/>
  <c r="AT297" i="19"/>
  <c r="AU297" i="19" s="1"/>
  <c r="AD297" i="19" s="1"/>
  <c r="AT486" i="19"/>
  <c r="AU486" i="19" s="1"/>
  <c r="AD486" i="19" s="1"/>
  <c r="AT465" i="19"/>
  <c r="AU465" i="19" s="1"/>
  <c r="AD465" i="19" s="1"/>
  <c r="AT348" i="19"/>
  <c r="AU348" i="19" s="1"/>
  <c r="AD348" i="19" s="1"/>
  <c r="AT317" i="19"/>
  <c r="AU317" i="19" s="1"/>
  <c r="AD317" i="19" s="1"/>
  <c r="AT28" i="19"/>
  <c r="AU28" i="19" s="1"/>
  <c r="AD28" i="19" s="1"/>
  <c r="AT236" i="19"/>
  <c r="AU236" i="19" s="1"/>
  <c r="AD236" i="19" s="1"/>
  <c r="AD168" i="45" s="1"/>
  <c r="AT98" i="19"/>
  <c r="AU98" i="19" s="1"/>
  <c r="AD98" i="19" s="1"/>
  <c r="AT66" i="19"/>
  <c r="AU66" i="19" s="1"/>
  <c r="AD66" i="19" s="1"/>
  <c r="AT396" i="19"/>
  <c r="AU396" i="19" s="1"/>
  <c r="AD396" i="19" s="1"/>
  <c r="AT385" i="19"/>
  <c r="AU385" i="19" s="1"/>
  <c r="AD385" i="19" s="1"/>
  <c r="AT591" i="19"/>
  <c r="AU591" i="19" s="1"/>
  <c r="AD591" i="19" s="1"/>
  <c r="AT198" i="19"/>
  <c r="AU198" i="19" s="1"/>
  <c r="AD198" i="19" s="1"/>
  <c r="AT83" i="19"/>
  <c r="AU83" i="19" s="1"/>
  <c r="AD83" i="19" s="1"/>
  <c r="AT114" i="19"/>
  <c r="AU114" i="19" s="1"/>
  <c r="AD114" i="19" s="1"/>
  <c r="AT248" i="19"/>
  <c r="AU248" i="19" s="1"/>
  <c r="AD248" i="19" s="1"/>
  <c r="AT592" i="19"/>
  <c r="AU592" i="19" s="1"/>
  <c r="AD592" i="19" s="1"/>
  <c r="AT526" i="19"/>
  <c r="AU526" i="19" s="1"/>
  <c r="AD526" i="19" s="1"/>
  <c r="AT407" i="19"/>
  <c r="AU407" i="19" s="1"/>
  <c r="AD407" i="19" s="1"/>
  <c r="AT61" i="19"/>
  <c r="AU61" i="19" s="1"/>
  <c r="AD61" i="19" s="1"/>
  <c r="G1066" i="35"/>
  <c r="J1066" i="35" s="1"/>
  <c r="AD25" i="45" l="1"/>
  <c r="AD24" i="45"/>
  <c r="AD22" i="45"/>
  <c r="AD261" i="45"/>
  <c r="AD128" i="45"/>
  <c r="AK128" i="45" s="1"/>
  <c r="AM607" i="19"/>
  <c r="AD183" i="45"/>
  <c r="AH183" i="45" s="1"/>
  <c r="AD30" i="45"/>
  <c r="AJ30" i="45" s="1"/>
  <c r="AD96" i="45"/>
  <c r="AK96" i="45" s="1"/>
  <c r="AD28" i="45"/>
  <c r="AD23" i="45"/>
  <c r="AH23" i="45" s="1"/>
  <c r="AD50" i="45"/>
  <c r="AL50" i="45" s="1"/>
  <c r="AD26" i="45"/>
  <c r="AK26" i="45" s="1"/>
  <c r="AD181" i="45"/>
  <c r="AH181" i="45" s="1"/>
  <c r="AD93" i="45"/>
  <c r="AK93" i="45" s="1"/>
  <c r="AD42" i="45"/>
  <c r="AI42" i="45" s="1"/>
  <c r="AM611" i="19"/>
  <c r="AD331" i="45"/>
  <c r="AJ331" i="45" s="1"/>
  <c r="AD73" i="45"/>
  <c r="AI73" i="45" s="1"/>
  <c r="AD353" i="45"/>
  <c r="AI353" i="45" s="1"/>
  <c r="AD74" i="45"/>
  <c r="AH74" i="45" s="1"/>
  <c r="AD209" i="45"/>
  <c r="AL209" i="45" s="1"/>
  <c r="AD321" i="45"/>
  <c r="AJ321" i="45" s="1"/>
  <c r="N4" i="35"/>
  <c r="O4" i="35" s="1"/>
  <c r="O5" i="35" s="1"/>
  <c r="Q4" i="35" s="1"/>
  <c r="AD89" i="45"/>
  <c r="AI89" i="45" s="1"/>
  <c r="AD52" i="45"/>
  <c r="AK52" i="45" s="1"/>
  <c r="AD197" i="45"/>
  <c r="AK197" i="45" s="1"/>
  <c r="AD59" i="45"/>
  <c r="AJ59" i="45" s="1"/>
  <c r="AD103" i="45"/>
  <c r="AL103" i="45" s="1"/>
  <c r="AD271" i="45"/>
  <c r="AI271" i="45" s="1"/>
  <c r="AD548" i="45"/>
  <c r="AI548" i="45" s="1"/>
  <c r="AD151" i="45"/>
  <c r="AJ151" i="45" s="1"/>
  <c r="AD339" i="45"/>
  <c r="AH339" i="45" s="1"/>
  <c r="AD119" i="45"/>
  <c r="AK119" i="45" s="1"/>
  <c r="AD163" i="45"/>
  <c r="AJ163" i="45" s="1"/>
  <c r="AD572" i="45"/>
  <c r="AI572" i="45" s="1"/>
  <c r="AD142" i="45"/>
  <c r="AI142" i="45" s="1"/>
  <c r="AD44" i="45"/>
  <c r="AH44" i="45" s="1"/>
  <c r="AD287" i="45"/>
  <c r="AI287" i="45" s="1"/>
  <c r="AD349" i="45"/>
  <c r="AI349" i="45" s="1"/>
  <c r="AD415" i="45"/>
  <c r="AL415" i="45" s="1"/>
  <c r="AD313" i="45"/>
  <c r="AK313" i="45" s="1"/>
  <c r="M4" i="35"/>
  <c r="U12" i="35" s="1"/>
  <c r="AD302" i="45"/>
  <c r="AL302" i="45" s="1"/>
  <c r="AD184" i="45"/>
  <c r="AK184" i="45" s="1"/>
  <c r="AD311" i="45"/>
  <c r="AL311" i="45" s="1"/>
  <c r="AD403" i="45"/>
  <c r="AL403" i="45" s="1"/>
  <c r="AD92" i="45"/>
  <c r="AK92" i="45" s="1"/>
  <c r="AD105" i="45"/>
  <c r="AJ105" i="45" s="1"/>
  <c r="AD230" i="45"/>
  <c r="AJ230" i="45" s="1"/>
  <c r="AD77" i="45"/>
  <c r="AK77" i="45" s="1"/>
  <c r="AD34" i="45"/>
  <c r="AH34" i="45" s="1"/>
  <c r="AD549" i="45"/>
  <c r="AL549" i="45" s="1"/>
  <c r="AD110" i="45"/>
  <c r="AL110" i="45" s="1"/>
  <c r="AD176" i="45"/>
  <c r="AJ176" i="45" s="1"/>
  <c r="AD63" i="45"/>
  <c r="AL63" i="45" s="1"/>
  <c r="AD46" i="45"/>
  <c r="AL46" i="45" s="1"/>
  <c r="AD161" i="45"/>
  <c r="AJ161" i="45" s="1"/>
  <c r="AD70" i="45"/>
  <c r="AL70" i="45" s="1"/>
  <c r="AD69" i="45"/>
  <c r="AI69" i="45" s="1"/>
  <c r="AD515" i="45"/>
  <c r="AJ515" i="45" s="1"/>
  <c r="AD155" i="45"/>
  <c r="AH155" i="45" s="1"/>
  <c r="AD212" i="45"/>
  <c r="AL212" i="45" s="1"/>
  <c r="AD125" i="45"/>
  <c r="AI125" i="45" s="1"/>
  <c r="AD337" i="45"/>
  <c r="AI337" i="45" s="1"/>
  <c r="AD587" i="45"/>
  <c r="AL587" i="45" s="1"/>
  <c r="AD172" i="45"/>
  <c r="AJ172" i="45" s="1"/>
  <c r="AD284" i="45"/>
  <c r="AI284" i="45" s="1"/>
  <c r="AD356" i="45"/>
  <c r="AL356" i="45" s="1"/>
  <c r="AD104" i="45"/>
  <c r="AK104" i="45" s="1"/>
  <c r="AD501" i="45"/>
  <c r="AI501" i="45" s="1"/>
  <c r="AD267" i="45"/>
  <c r="AJ267" i="45" s="1"/>
  <c r="AD164" i="45"/>
  <c r="AJ164" i="45" s="1"/>
  <c r="AD291" i="45"/>
  <c r="AL291" i="45" s="1"/>
  <c r="AD401" i="45"/>
  <c r="AI401" i="45" s="1"/>
  <c r="AD190" i="45"/>
  <c r="AL190" i="45" s="1"/>
  <c r="AD576" i="45"/>
  <c r="AH576" i="45" s="1"/>
  <c r="AD185" i="45"/>
  <c r="AH185" i="45" s="1"/>
  <c r="AD180" i="45"/>
  <c r="AJ180" i="45" s="1"/>
  <c r="AD604" i="45"/>
  <c r="AJ604" i="45" s="1"/>
  <c r="AD555" i="45"/>
  <c r="AK555" i="45" s="1"/>
  <c r="AD350" i="45"/>
  <c r="AL350" i="45" s="1"/>
  <c r="AD391" i="45"/>
  <c r="AK391" i="45" s="1"/>
  <c r="AD179" i="45"/>
  <c r="AI179" i="45" s="1"/>
  <c r="AD85" i="45"/>
  <c r="AI85" i="45" s="1"/>
  <c r="AD500" i="45"/>
  <c r="AL500" i="45" s="1"/>
  <c r="AD217" i="45"/>
  <c r="AJ217" i="45" s="1"/>
  <c r="AD340" i="45"/>
  <c r="AH340" i="45" s="1"/>
  <c r="AD352" i="45"/>
  <c r="AJ352" i="45" s="1"/>
  <c r="AD370" i="45"/>
  <c r="AJ370" i="45" s="1"/>
  <c r="AD286" i="45"/>
  <c r="AI286" i="45" s="1"/>
  <c r="AD83" i="45"/>
  <c r="AH83" i="45" s="1"/>
  <c r="AD90" i="45"/>
  <c r="AI90" i="45" s="1"/>
  <c r="AD91" i="45"/>
  <c r="AL91" i="45" s="1"/>
  <c r="AD198" i="45"/>
  <c r="AH198" i="45" s="1"/>
  <c r="AD53" i="45"/>
  <c r="AK53" i="45" s="1"/>
  <c r="AD76" i="45"/>
  <c r="AD196" i="45"/>
  <c r="AJ196" i="45" s="1"/>
  <c r="AD327" i="45"/>
  <c r="AK327" i="45" s="1"/>
  <c r="AD87" i="45"/>
  <c r="AK87" i="45" s="1"/>
  <c r="AD78" i="45"/>
  <c r="AL78" i="45" s="1"/>
  <c r="AD88" i="45"/>
  <c r="AL88" i="45" s="1"/>
  <c r="AD80" i="45"/>
  <c r="AL80" i="45" s="1"/>
  <c r="AD94" i="45"/>
  <c r="AI94" i="45" s="1"/>
  <c r="AD413" i="45"/>
  <c r="AI413" i="45" s="1"/>
  <c r="AD425" i="45"/>
  <c r="AK425" i="45" s="1"/>
  <c r="AD72" i="45"/>
  <c r="AL72" i="45" s="1"/>
  <c r="AD61" i="45"/>
  <c r="AK61" i="45" s="1"/>
  <c r="AD492" i="45"/>
  <c r="AJ492" i="45" s="1"/>
  <c r="AD84" i="45"/>
  <c r="AK84" i="45" s="1"/>
  <c r="AD100" i="45"/>
  <c r="AL100" i="45" s="1"/>
  <c r="AD317" i="45"/>
  <c r="AK317" i="45" s="1"/>
  <c r="AD565" i="45"/>
  <c r="AI565" i="45" s="1"/>
  <c r="AD210" i="45"/>
  <c r="AI210" i="45" s="1"/>
  <c r="AD134" i="45"/>
  <c r="AH134" i="45" s="1"/>
  <c r="AD82" i="45"/>
  <c r="AH82" i="45" s="1"/>
  <c r="AD362" i="45"/>
  <c r="AJ362" i="45" s="1"/>
  <c r="AD97" i="45"/>
  <c r="AL97" i="45" s="1"/>
  <c r="AD98" i="45"/>
  <c r="AD199" i="45"/>
  <c r="AI199" i="45" s="1"/>
  <c r="AD174" i="45"/>
  <c r="AL174" i="45" s="1"/>
  <c r="AD175" i="45"/>
  <c r="AD135" i="45"/>
  <c r="AL135" i="45" s="1"/>
  <c r="AD137" i="45"/>
  <c r="AD423" i="45"/>
  <c r="AJ423" i="45" s="1"/>
  <c r="AD214" i="45"/>
  <c r="AK214" i="45" s="1"/>
  <c r="AD194" i="45"/>
  <c r="AK194" i="45" s="1"/>
  <c r="AD107" i="45"/>
  <c r="AH107" i="45" s="1"/>
  <c r="AD346" i="45"/>
  <c r="AH346" i="45" s="1"/>
  <c r="AD122" i="45"/>
  <c r="AL122" i="45" s="1"/>
  <c r="AD342" i="45"/>
  <c r="AK342" i="45" s="1"/>
  <c r="AD318" i="45"/>
  <c r="AL318" i="45" s="1"/>
  <c r="AD111" i="45"/>
  <c r="AK111" i="45" s="1"/>
  <c r="AD113" i="45"/>
  <c r="AD171" i="45"/>
  <c r="AH171" i="45" s="1"/>
  <c r="AD112" i="45"/>
  <c r="AJ112" i="45" s="1"/>
  <c r="AD453" i="45"/>
  <c r="AK453" i="45" s="1"/>
  <c r="AD206" i="45"/>
  <c r="AK206" i="45" s="1"/>
  <c r="AD591" i="45"/>
  <c r="AK591" i="45" s="1"/>
  <c r="AD165" i="45"/>
  <c r="AH165" i="45" s="1"/>
  <c r="AD117" i="45"/>
  <c r="AK117" i="45" s="1"/>
  <c r="AD124" i="45"/>
  <c r="AL124" i="45" s="1"/>
  <c r="AD126" i="45"/>
  <c r="AD543" i="45"/>
  <c r="AL543" i="45" s="1"/>
  <c r="AD201" i="45"/>
  <c r="AH201" i="45" s="1"/>
  <c r="AD101" i="45"/>
  <c r="AK101" i="45" s="1"/>
  <c r="AD478" i="45"/>
  <c r="AK478" i="45" s="1"/>
  <c r="AD280" i="45"/>
  <c r="AL280" i="45" s="1"/>
  <c r="AD188" i="45"/>
  <c r="AH188" i="45" s="1"/>
  <c r="AD189" i="45"/>
  <c r="AD127" i="45"/>
  <c r="AK127" i="45" s="1"/>
  <c r="AD290" i="45"/>
  <c r="AK290" i="45" s="1"/>
  <c r="AD408" i="45"/>
  <c r="AL408" i="45" s="1"/>
  <c r="AD130" i="45"/>
  <c r="AJ130" i="45" s="1"/>
  <c r="AD347" i="45"/>
  <c r="AH347" i="45" s="1"/>
  <c r="AD308" i="45"/>
  <c r="AI308" i="45" s="1"/>
  <c r="AD121" i="45"/>
  <c r="AI121" i="45" s="1"/>
  <c r="AD294" i="45"/>
  <c r="AJ294" i="45" s="1"/>
  <c r="AD592" i="45"/>
  <c r="AH592" i="45" s="1"/>
  <c r="AD166" i="45"/>
  <c r="AL166" i="45" s="1"/>
  <c r="AD186" i="45"/>
  <c r="AJ186" i="45" s="1"/>
  <c r="AD187" i="45"/>
  <c r="AD277" i="45"/>
  <c r="AK277" i="45" s="1"/>
  <c r="AD158" i="45"/>
  <c r="AH158" i="45" s="1"/>
  <c r="AD160" i="45"/>
  <c r="AD276" i="45"/>
  <c r="AL276" i="45" s="1"/>
  <c r="AD169" i="45"/>
  <c r="AL169" i="45" s="1"/>
  <c r="AD229" i="45"/>
  <c r="AH229" i="45" s="1"/>
  <c r="AD120" i="45"/>
  <c r="AH120" i="45" s="1"/>
  <c r="AD182" i="45"/>
  <c r="AL182" i="45" s="1"/>
  <c r="AD162" i="45"/>
  <c r="AH162" i="45" s="1"/>
  <c r="AD540" i="45"/>
  <c r="AH540" i="45" s="1"/>
  <c r="AD497" i="45"/>
  <c r="AI497" i="45" s="1"/>
  <c r="AD114" i="45"/>
  <c r="AI114" i="45" s="1"/>
  <c r="AD116" i="45"/>
  <c r="AK349" i="45"/>
  <c r="AJ183" i="45"/>
  <c r="AI183" i="45"/>
  <c r="AL183" i="45"/>
  <c r="AK183" i="45"/>
  <c r="AI331" i="45"/>
  <c r="AJ353" i="45"/>
  <c r="AK353" i="45"/>
  <c r="AL163" i="45"/>
  <c r="AH163" i="45"/>
  <c r="AK163" i="45"/>
  <c r="AI163" i="45"/>
  <c r="AH209" i="45"/>
  <c r="AI391" i="45"/>
  <c r="AK230" i="45"/>
  <c r="AJ181" i="45"/>
  <c r="AK176" i="45"/>
  <c r="AL176" i="45"/>
  <c r="AK63" i="45"/>
  <c r="AH28" i="45"/>
  <c r="AK28" i="45"/>
  <c r="AJ28" i="45"/>
  <c r="AI28" i="45"/>
  <c r="AL28" i="45"/>
  <c r="AL23" i="45"/>
  <c r="AK23" i="45"/>
  <c r="AI23" i="45"/>
  <c r="AJ23" i="45"/>
  <c r="AH92" i="45"/>
  <c r="AI168" i="45"/>
  <c r="AK168" i="45"/>
  <c r="AJ168" i="45"/>
  <c r="AL168" i="45"/>
  <c r="AH168" i="45"/>
  <c r="AK302" i="45"/>
  <c r="AK44" i="45"/>
  <c r="AJ42" i="45"/>
  <c r="AJ70" i="45"/>
  <c r="AH70" i="45"/>
  <c r="AJ25" i="45"/>
  <c r="AI25" i="45"/>
  <c r="AK25" i="45"/>
  <c r="AL25" i="45"/>
  <c r="AH25" i="45"/>
  <c r="AH24" i="45"/>
  <c r="AJ24" i="45"/>
  <c r="AL24" i="45"/>
  <c r="AK24" i="45"/>
  <c r="AI24" i="45"/>
  <c r="AL548" i="45"/>
  <c r="AJ197" i="45"/>
  <c r="AJ287" i="45"/>
  <c r="AL287" i="45"/>
  <c r="AH287" i="45"/>
  <c r="AK287" i="45"/>
  <c r="AJ93" i="45"/>
  <c r="AI93" i="45"/>
  <c r="AL93" i="45"/>
  <c r="AK151" i="45"/>
  <c r="AH311" i="45"/>
  <c r="AI212" i="45"/>
  <c r="AI161" i="45"/>
  <c r="AL271" i="45"/>
  <c r="AL261" i="45"/>
  <c r="AH261" i="45"/>
  <c r="AK261" i="45"/>
  <c r="AJ261" i="45"/>
  <c r="AI261" i="45"/>
  <c r="AL321" i="45"/>
  <c r="AL339" i="45"/>
  <c r="AJ572" i="45"/>
  <c r="AK403" i="45"/>
  <c r="AJ403" i="45"/>
  <c r="AI403" i="45"/>
  <c r="AH403" i="45"/>
  <c r="AK73" i="45"/>
  <c r="AJ73" i="45"/>
  <c r="AL73" i="45"/>
  <c r="AH73" i="45"/>
  <c r="AK50" i="45"/>
  <c r="AJ77" i="45"/>
  <c r="AI77" i="45"/>
  <c r="AL77" i="45"/>
  <c r="AL52" i="45"/>
  <c r="AI52" i="45"/>
  <c r="AK30" i="45"/>
  <c r="AK34" i="45"/>
  <c r="AD523" i="45"/>
  <c r="AD481" i="45"/>
  <c r="AD204" i="45"/>
  <c r="AD554" i="45"/>
  <c r="AD580" i="45"/>
  <c r="AD264" i="45"/>
  <c r="AD218" i="45"/>
  <c r="AD333" i="45"/>
  <c r="AD519" i="45"/>
  <c r="AD275" i="45"/>
  <c r="AD232" i="45"/>
  <c r="AD335" i="45"/>
  <c r="AD223" i="45"/>
  <c r="AD244" i="45"/>
  <c r="AD520" i="45"/>
  <c r="AD250" i="45"/>
  <c r="AD514" i="45"/>
  <c r="AD225" i="45"/>
  <c r="AD226" i="45"/>
  <c r="AD207" i="45"/>
  <c r="AD205" i="45"/>
  <c r="AD533" i="45"/>
  <c r="AD525" i="45"/>
  <c r="AD274" i="45"/>
  <c r="AD255" i="45"/>
  <c r="AD545" i="45"/>
  <c r="AD594" i="45"/>
  <c r="AD285" i="45"/>
  <c r="AD504" i="45"/>
  <c r="AD213" i="45"/>
  <c r="AD220" i="45"/>
  <c r="AD537" i="45"/>
  <c r="AD269" i="45"/>
  <c r="AD508" i="45"/>
  <c r="AD216" i="45"/>
  <c r="AD562" i="45"/>
  <c r="AD379" i="45"/>
  <c r="AD355" i="45"/>
  <c r="AD378" i="45"/>
  <c r="AD526" i="45"/>
  <c r="AD305" i="45"/>
  <c r="AD354" i="45"/>
  <c r="AD357" i="45"/>
  <c r="AD443" i="45"/>
  <c r="AD40" i="45"/>
  <c r="AD388" i="45"/>
  <c r="AD521" i="45"/>
  <c r="AD118" i="45"/>
  <c r="AD29" i="45"/>
  <c r="AD361" i="45"/>
  <c r="AD490" i="45"/>
  <c r="AD496" i="45"/>
  <c r="AD380" i="45"/>
  <c r="AD420" i="45"/>
  <c r="AD433" i="45"/>
  <c r="AD601" i="45"/>
  <c r="AD502" i="45"/>
  <c r="AD503" i="45"/>
  <c r="AD581" i="45"/>
  <c r="AD582" i="45"/>
  <c r="AD530" i="45"/>
  <c r="AD531" i="45"/>
  <c r="AD573" i="45"/>
  <c r="AD574" i="45"/>
  <c r="AD550" i="45"/>
  <c r="AD363" i="45"/>
  <c r="AD468" i="45"/>
  <c r="AD374" i="45"/>
  <c r="AD509" i="45"/>
  <c r="AD510" i="45"/>
  <c r="AD450" i="45"/>
  <c r="AD529" i="45"/>
  <c r="AD505" i="45"/>
  <c r="AD506" i="45"/>
  <c r="AD557" i="45"/>
  <c r="AD377" i="45"/>
  <c r="AD538" i="45"/>
  <c r="AD539" i="45"/>
  <c r="AD366" i="45"/>
  <c r="AD367" i="45"/>
  <c r="AD563" i="45"/>
  <c r="AD564" i="45"/>
  <c r="AD571" i="45"/>
  <c r="AD365" i="45"/>
  <c r="AD569" i="45"/>
  <c r="AD511" i="45"/>
  <c r="AD512" i="45"/>
  <c r="AD338" i="45"/>
  <c r="AD472" i="45"/>
  <c r="AD431" i="45"/>
  <c r="AD534" i="45"/>
  <c r="AD535" i="45"/>
  <c r="AD516" i="45"/>
  <c r="AD517" i="45"/>
  <c r="AD583" i="45"/>
  <c r="AD584" i="45"/>
  <c r="AD558" i="45"/>
  <c r="AD559" i="45"/>
  <c r="AD360" i="45"/>
  <c r="AD458" i="45"/>
  <c r="AD459" i="45"/>
  <c r="AD528" i="45"/>
  <c r="AD466" i="45"/>
  <c r="AD396" i="45"/>
  <c r="AD397" i="45"/>
  <c r="AD588" i="45"/>
  <c r="AD589" i="45"/>
  <c r="AD522" i="45"/>
  <c r="AD451" i="45"/>
  <c r="AD452" i="45"/>
  <c r="AD477" i="45"/>
  <c r="AD32" i="45"/>
  <c r="AD109" i="45"/>
  <c r="AD428" i="45"/>
  <c r="AD336" i="45"/>
  <c r="AD279" i="45"/>
  <c r="AD484" i="45"/>
  <c r="AD307" i="45"/>
  <c r="AD371" i="45"/>
  <c r="AD268" i="45"/>
  <c r="AD409" i="45"/>
  <c r="AD303" i="45"/>
  <c r="AD159" i="45"/>
  <c r="AD154" i="45"/>
  <c r="AD256" i="45"/>
  <c r="AD297" i="45"/>
  <c r="AD167" i="45"/>
  <c r="AD236" i="45"/>
  <c r="AD157" i="45"/>
  <c r="AD252" i="45"/>
  <c r="AD298" i="45"/>
  <c r="AD593" i="45"/>
  <c r="AD219" i="45"/>
  <c r="AD320" i="45"/>
  <c r="AD436" i="45"/>
  <c r="AD597" i="45"/>
  <c r="AD143" i="45"/>
  <c r="AD238" i="45"/>
  <c r="AD385" i="45"/>
  <c r="AD546" i="45"/>
  <c r="AD262" i="45"/>
  <c r="AD222" i="45"/>
  <c r="AD364" i="45"/>
  <c r="AD292" i="45"/>
  <c r="AD265" i="45"/>
  <c r="AD384" i="45"/>
  <c r="AD133" i="45"/>
  <c r="AD228" i="45"/>
  <c r="AD395" i="45"/>
  <c r="AD556" i="45"/>
  <c r="AD296" i="45"/>
  <c r="AD67" i="45"/>
  <c r="AD202" i="45"/>
  <c r="AD221" i="45"/>
  <c r="AD322" i="45"/>
  <c r="AD432" i="45"/>
  <c r="AD332" i="45"/>
  <c r="AD465" i="45"/>
  <c r="AD411" i="45"/>
  <c r="AD405" i="45"/>
  <c r="AD566" i="45"/>
  <c r="AD233" i="45"/>
  <c r="AD372" i="45"/>
  <c r="AD215" i="45"/>
  <c r="AD316" i="45"/>
  <c r="AD266" i="45"/>
  <c r="AD393" i="45"/>
  <c r="AD471" i="45"/>
  <c r="AD341" i="45"/>
  <c r="AD474" i="45"/>
  <c r="AD48" i="45"/>
  <c r="AD71" i="45"/>
  <c r="AD211" i="45"/>
  <c r="AD383" i="45"/>
  <c r="AD544" i="45"/>
  <c r="AD416" i="45"/>
  <c r="AD577" i="45"/>
  <c r="AD43" i="45"/>
  <c r="AD60" i="45"/>
  <c r="AD386" i="45"/>
  <c r="AD547" i="45"/>
  <c r="AD140" i="45"/>
  <c r="AD235" i="45"/>
  <c r="AD434" i="45"/>
  <c r="AD595" i="45"/>
  <c r="AD586" i="45"/>
  <c r="AD600" i="45"/>
  <c r="AD241" i="45"/>
  <c r="AD343" i="45"/>
  <c r="AD263" i="45"/>
  <c r="AD382" i="45"/>
  <c r="AD387" i="45"/>
  <c r="AD147" i="45"/>
  <c r="AD242" i="45"/>
  <c r="AD446" i="45"/>
  <c r="AD527" i="45"/>
  <c r="AD203" i="45"/>
  <c r="AD304" i="45"/>
  <c r="AD460" i="45"/>
  <c r="AD249" i="45"/>
  <c r="AD351" i="45"/>
  <c r="AD414" i="45"/>
  <c r="AD575" i="45"/>
  <c r="AD295" i="45"/>
  <c r="AD422" i="45"/>
  <c r="AD495" i="45"/>
  <c r="AD491" i="45"/>
  <c r="AD489" i="45"/>
  <c r="AD464" i="45"/>
  <c r="AD483" i="45"/>
  <c r="AD375" i="45"/>
  <c r="AD536" i="45"/>
  <c r="AD129" i="45"/>
  <c r="AD177" i="45"/>
  <c r="AD272" i="45"/>
  <c r="AD329" i="45"/>
  <c r="AD254" i="45"/>
  <c r="AD359" i="45"/>
  <c r="AD131" i="45"/>
  <c r="AD282" i="45"/>
  <c r="AD243" i="45"/>
  <c r="AD345" i="45"/>
  <c r="AD45" i="45"/>
  <c r="AD62" i="45"/>
  <c r="AD239" i="45"/>
  <c r="AD486" i="45"/>
  <c r="AD152" i="45"/>
  <c r="AD247" i="45"/>
  <c r="AD326" i="45"/>
  <c r="AD191" i="45"/>
  <c r="AD270" i="45"/>
  <c r="AD65" i="45"/>
  <c r="AD552" i="45"/>
  <c r="AD400" i="45"/>
  <c r="AD561" i="45"/>
  <c r="AD33" i="45"/>
  <c r="AD38" i="45"/>
  <c r="M5" i="35"/>
  <c r="U13" i="35" s="1"/>
  <c r="AD314" i="45"/>
  <c r="AD421" i="45"/>
  <c r="AD470" i="45"/>
  <c r="AD47" i="45"/>
  <c r="AD64" i="45"/>
  <c r="AD178" i="45"/>
  <c r="AD273" i="45"/>
  <c r="AD480" i="45"/>
  <c r="AD319" i="45"/>
  <c r="AD449" i="45"/>
  <c r="AD306" i="45"/>
  <c r="AD39" i="45"/>
  <c r="AD115" i="45"/>
  <c r="AD441" i="45"/>
  <c r="AD602" i="45"/>
  <c r="AD392" i="45"/>
  <c r="AD553" i="45"/>
  <c r="AD418" i="45"/>
  <c r="AD579" i="45"/>
  <c r="AD283" i="45"/>
  <c r="AD404" i="45"/>
  <c r="AD429" i="45"/>
  <c r="AD590" i="45"/>
  <c r="AD513" i="45"/>
  <c r="AD398" i="45"/>
  <c r="AD148" i="45"/>
  <c r="AD406" i="45"/>
  <c r="AD567" i="45"/>
  <c r="AD55" i="45"/>
  <c r="AD81" i="45"/>
  <c r="AD146" i="45"/>
  <c r="AD394" i="45"/>
  <c r="AD328" i="45"/>
  <c r="AD461" i="45"/>
  <c r="AD462" i="45"/>
  <c r="AD402" i="45"/>
  <c r="AD170" i="45"/>
  <c r="AD499" i="45"/>
  <c r="AD141" i="45"/>
  <c r="AD278" i="45"/>
  <c r="AD132" i="45"/>
  <c r="AD227" i="45"/>
  <c r="AD253" i="45"/>
  <c r="AD603" i="45"/>
  <c r="AD153" i="45"/>
  <c r="AD248" i="45"/>
  <c r="AD309" i="45"/>
  <c r="AD439" i="45"/>
  <c r="AD123" i="45"/>
  <c r="AD208" i="45"/>
  <c r="AD381" i="45"/>
  <c r="AD542" i="45"/>
  <c r="AD435" i="45"/>
  <c r="AD417" i="45"/>
  <c r="AD578" i="45"/>
  <c r="AD57" i="45"/>
  <c r="AD99" i="45"/>
  <c r="AD41" i="45"/>
  <c r="AD58" i="45"/>
  <c r="AD469" i="45"/>
  <c r="AD437" i="45"/>
  <c r="AD598" i="45"/>
  <c r="AD106" i="45"/>
  <c r="AD257" i="45"/>
  <c r="AD79" i="45"/>
  <c r="AD149" i="45"/>
  <c r="AD75" i="45"/>
  <c r="AD144" i="45"/>
  <c r="AD95" i="45"/>
  <c r="AD246" i="45"/>
  <c r="AD368" i="45"/>
  <c r="AD487" i="45"/>
  <c r="AD348" i="45"/>
  <c r="AD485" i="45"/>
  <c r="AD301" i="45"/>
  <c r="AD430" i="45"/>
  <c r="AD330" i="45"/>
  <c r="AD200" i="45"/>
  <c r="AD300" i="45"/>
  <c r="AD494" i="45"/>
  <c r="AD108" i="45"/>
  <c r="AD259" i="45"/>
  <c r="AD488" i="45"/>
  <c r="AD570" i="45"/>
  <c r="AD51" i="45"/>
  <c r="AD68" i="45"/>
  <c r="AD407" i="45"/>
  <c r="AD568" i="45"/>
  <c r="AD358" i="45"/>
  <c r="AD498" i="45"/>
  <c r="AD473" i="45"/>
  <c r="AD532" i="45"/>
  <c r="AD399" i="45"/>
  <c r="AD560" i="45"/>
  <c r="AD344" i="45"/>
  <c r="AD299" i="45"/>
  <c r="AD426" i="45"/>
  <c r="AD136" i="45"/>
  <c r="AD231" i="45"/>
  <c r="AD455" i="45"/>
  <c r="AD463" i="45"/>
  <c r="AD369" i="45"/>
  <c r="AD518" i="45"/>
  <c r="AD31" i="45"/>
  <c r="AD36" i="45"/>
  <c r="AD479" i="45"/>
  <c r="AD258" i="45"/>
  <c r="AD37" i="45"/>
  <c r="AD54" i="45"/>
  <c r="AD289" i="45"/>
  <c r="AD412" i="45"/>
  <c r="AD281" i="45"/>
  <c r="AD334" i="45"/>
  <c r="AD467" i="45"/>
  <c r="AD49" i="45"/>
  <c r="AD66" i="45"/>
  <c r="AD224" i="45"/>
  <c r="AD325" i="45"/>
  <c r="AD315" i="45"/>
  <c r="AD445" i="45"/>
  <c r="AD454" i="45"/>
  <c r="AD410" i="45"/>
  <c r="AD373" i="45"/>
  <c r="AD524" i="45"/>
  <c r="AD260" i="45"/>
  <c r="AD376" i="45"/>
  <c r="AD193" i="45"/>
  <c r="AD156" i="45"/>
  <c r="AD251" i="45"/>
  <c r="AD323" i="45"/>
  <c r="AD456" i="45"/>
  <c r="AD507" i="45"/>
  <c r="AD596" i="45"/>
  <c r="AD493" i="45"/>
  <c r="AD438" i="45"/>
  <c r="AD599" i="45"/>
  <c r="AD234" i="45"/>
  <c r="AD312" i="45"/>
  <c r="AD442" i="45"/>
  <c r="AD86" i="45"/>
  <c r="AD237" i="45"/>
  <c r="AD145" i="45"/>
  <c r="AD240" i="45"/>
  <c r="AD424" i="45"/>
  <c r="AD585" i="45"/>
  <c r="AD192" i="45"/>
  <c r="AD288" i="45"/>
  <c r="AD310" i="45"/>
  <c r="AD440" i="45"/>
  <c r="AD138" i="45"/>
  <c r="AD427" i="45"/>
  <c r="AD195" i="45"/>
  <c r="AD293" i="45"/>
  <c r="AD35" i="45"/>
  <c r="AD102" i="45"/>
  <c r="AD457" i="45"/>
  <c r="AD56" i="45"/>
  <c r="AD173" i="45"/>
  <c r="AD419" i="45"/>
  <c r="AD447" i="45"/>
  <c r="AD475" i="45"/>
  <c r="AD476" i="45"/>
  <c r="AD390" i="45"/>
  <c r="AD551" i="45"/>
  <c r="AD150" i="45"/>
  <c r="AD245" i="45"/>
  <c r="AD482" i="45"/>
  <c r="AD448" i="45"/>
  <c r="AD139" i="45"/>
  <c r="AD324" i="45"/>
  <c r="AD541" i="45"/>
  <c r="AD444" i="45"/>
  <c r="AD389" i="45"/>
  <c r="AD27" i="45"/>
  <c r="AJ212" i="45" l="1"/>
  <c r="AK70" i="45"/>
  <c r="AH176" i="45"/>
  <c r="AI176" i="45"/>
  <c r="AK212" i="45"/>
  <c r="AH77" i="45"/>
  <c r="AH212" i="45"/>
  <c r="AH93" i="45"/>
  <c r="AI70" i="45"/>
  <c r="AJ26" i="45"/>
  <c r="AH184" i="45"/>
  <c r="AI415" i="45"/>
  <c r="AH128" i="45"/>
  <c r="AL34" i="45"/>
  <c r="AH30" i="45"/>
  <c r="AI50" i="45"/>
  <c r="AH151" i="45"/>
  <c r="AH42" i="45"/>
  <c r="AI63" i="45"/>
  <c r="AH353" i="45"/>
  <c r="AH349" i="45"/>
  <c r="AI30" i="45"/>
  <c r="AL30" i="45"/>
  <c r="AH50" i="45"/>
  <c r="AK572" i="45"/>
  <c r="AL151" i="45"/>
  <c r="AL42" i="45"/>
  <c r="AH302" i="45"/>
  <c r="AL353" i="45"/>
  <c r="AL349" i="45"/>
  <c r="AJ50" i="45"/>
  <c r="AL572" i="45"/>
  <c r="AI151" i="45"/>
  <c r="AK42" i="45"/>
  <c r="AI302" i="45"/>
  <c r="AJ92" i="45"/>
  <c r="AJ63" i="45"/>
  <c r="AJ349" i="45"/>
  <c r="AH59" i="45"/>
  <c r="AJ103" i="45"/>
  <c r="AI128" i="45"/>
  <c r="AL128" i="45"/>
  <c r="AL74" i="45"/>
  <c r="AK142" i="45"/>
  <c r="AJ89" i="45"/>
  <c r="AI103" i="45"/>
  <c r="AJ128" i="45"/>
  <c r="AJ142" i="45"/>
  <c r="AH96" i="45"/>
  <c r="AJ34" i="45"/>
  <c r="AI34" i="45"/>
  <c r="AH572" i="45"/>
  <c r="AJ302" i="45"/>
  <c r="AI92" i="45"/>
  <c r="AL92" i="45"/>
  <c r="AM92" i="45" s="1"/>
  <c r="AH63" i="45"/>
  <c r="AH164" i="45"/>
  <c r="AJ155" i="45"/>
  <c r="AH69" i="45"/>
  <c r="AJ52" i="45"/>
  <c r="AM52" i="45" s="1"/>
  <c r="AI119" i="45"/>
  <c r="AK271" i="45"/>
  <c r="AJ271" i="45"/>
  <c r="AH161" i="45"/>
  <c r="AK181" i="45"/>
  <c r="AL181" i="45"/>
  <c r="AI209" i="45"/>
  <c r="AH331" i="45"/>
  <c r="AK331" i="45"/>
  <c r="AK155" i="45"/>
  <c r="AH52" i="45"/>
  <c r="AH271" i="45"/>
  <c r="AK161" i="45"/>
  <c r="AL161" i="45"/>
  <c r="AI181" i="45"/>
  <c r="AH230" i="45"/>
  <c r="AK209" i="45"/>
  <c r="AJ209" i="45"/>
  <c r="AL331" i="45"/>
  <c r="AJ313" i="45"/>
  <c r="AJ119" i="45"/>
  <c r="AI110" i="45"/>
  <c r="AL155" i="45"/>
  <c r="AH604" i="45"/>
  <c r="AH26" i="45"/>
  <c r="AH142" i="45"/>
  <c r="AI339" i="45"/>
  <c r="AI96" i="45"/>
  <c r="AL96" i="45"/>
  <c r="AJ415" i="45"/>
  <c r="AH89" i="45"/>
  <c r="AK89" i="45"/>
  <c r="AK103" i="45"/>
  <c r="AL184" i="45"/>
  <c r="AI74" i="45"/>
  <c r="AI26" i="45"/>
  <c r="AL26" i="45"/>
  <c r="AL142" i="45"/>
  <c r="AJ339" i="45"/>
  <c r="AK339" i="45"/>
  <c r="AJ96" i="45"/>
  <c r="AM96" i="45" s="1"/>
  <c r="AH415" i="45"/>
  <c r="AK415" i="45"/>
  <c r="AL89" i="45"/>
  <c r="AH103" i="45"/>
  <c r="AJ184" i="45"/>
  <c r="AI184" i="45"/>
  <c r="AK74" i="45"/>
  <c r="AJ74" i="45"/>
  <c r="AH549" i="45"/>
  <c r="AI105" i="45"/>
  <c r="AH46" i="45"/>
  <c r="AK515" i="45"/>
  <c r="AL604" i="45"/>
  <c r="AK110" i="45"/>
  <c r="AJ110" i="45"/>
  <c r="AL230" i="45"/>
  <c r="AM230" i="45" s="1"/>
  <c r="AI59" i="45"/>
  <c r="AL59" i="45"/>
  <c r="AH110" i="45"/>
  <c r="AJ190" i="45"/>
  <c r="AI230" i="45"/>
  <c r="AL515" i="45"/>
  <c r="AK59" i="45"/>
  <c r="AI604" i="45"/>
  <c r="AH515" i="45"/>
  <c r="AL69" i="45"/>
  <c r="AJ587" i="45"/>
  <c r="AL164" i="45"/>
  <c r="AK190" i="45"/>
  <c r="AH356" i="45"/>
  <c r="AK587" i="45"/>
  <c r="AI164" i="45"/>
  <c r="AJ356" i="45"/>
  <c r="AI190" i="45"/>
  <c r="AL391" i="45"/>
  <c r="AH53" i="45"/>
  <c r="AH119" i="45"/>
  <c r="AK321" i="45"/>
  <c r="AI311" i="45"/>
  <c r="AH197" i="45"/>
  <c r="AK548" i="45"/>
  <c r="AJ548" i="45"/>
  <c r="AL44" i="45"/>
  <c r="AH105" i="45"/>
  <c r="AK105" i="45"/>
  <c r="AI46" i="45"/>
  <c r="AJ46" i="45"/>
  <c r="AH313" i="45"/>
  <c r="AJ549" i="45"/>
  <c r="AI549" i="45"/>
  <c r="AK69" i="45"/>
  <c r="AL119" i="45"/>
  <c r="AH321" i="45"/>
  <c r="AI321" i="45"/>
  <c r="AK311" i="45"/>
  <c r="AJ311" i="45"/>
  <c r="AI197" i="45"/>
  <c r="AL197" i="45"/>
  <c r="AH548" i="45"/>
  <c r="AJ44" i="45"/>
  <c r="AL105" i="45"/>
  <c r="AK46" i="45"/>
  <c r="AI313" i="45"/>
  <c r="AK549" i="45"/>
  <c r="AJ69" i="45"/>
  <c r="AI44" i="45"/>
  <c r="AL313" i="45"/>
  <c r="AL555" i="45"/>
  <c r="AI346" i="45"/>
  <c r="AI53" i="45"/>
  <c r="AL53" i="45"/>
  <c r="AK543" i="45"/>
  <c r="AI356" i="45"/>
  <c r="AJ53" i="45"/>
  <c r="AI155" i="45"/>
  <c r="AH555" i="45"/>
  <c r="AL346" i="45"/>
  <c r="AI174" i="45"/>
  <c r="AH174" i="45"/>
  <c r="AH401" i="45"/>
  <c r="AL401" i="45"/>
  <c r="AJ174" i="45"/>
  <c r="AH543" i="45"/>
  <c r="AL413" i="45"/>
  <c r="AK401" i="45"/>
  <c r="AI543" i="45"/>
  <c r="AK174" i="45"/>
  <c r="AJ543" i="45"/>
  <c r="AJ401" i="45"/>
  <c r="AK114" i="45"/>
  <c r="AL114" i="45"/>
  <c r="AJ114" i="45"/>
  <c r="AR38" i="35"/>
  <c r="V12" i="35"/>
  <c r="AJ25" i="35" s="1"/>
  <c r="AL337" i="45"/>
  <c r="AI515" i="45"/>
  <c r="AK164" i="45"/>
  <c r="AH190" i="45"/>
  <c r="AK356" i="45"/>
  <c r="AJ125" i="45"/>
  <c r="AH125" i="45"/>
  <c r="AL125" i="45"/>
  <c r="AH172" i="45"/>
  <c r="AK125" i="45"/>
  <c r="AJ501" i="45"/>
  <c r="AI172" i="45"/>
  <c r="AL172" i="45"/>
  <c r="AK284" i="45"/>
  <c r="AH492" i="45"/>
  <c r="AH284" i="45"/>
  <c r="AK82" i="45"/>
  <c r="AK565" i="45"/>
  <c r="AI104" i="45"/>
  <c r="AH104" i="45"/>
  <c r="AH180" i="45"/>
  <c r="AK180" i="45"/>
  <c r="AL284" i="45"/>
  <c r="AL267" i="45"/>
  <c r="AI180" i="45"/>
  <c r="AL206" i="45"/>
  <c r="AL104" i="45"/>
  <c r="AI291" i="45"/>
  <c r="AK501" i="45"/>
  <c r="AJ104" i="45"/>
  <c r="AH425" i="45"/>
  <c r="AH501" i="45"/>
  <c r="AI182" i="45"/>
  <c r="AH186" i="45"/>
  <c r="AH80" i="45"/>
  <c r="AH87" i="45"/>
  <c r="AL576" i="45"/>
  <c r="AJ337" i="45"/>
  <c r="AI169" i="45"/>
  <c r="AK186" i="45"/>
  <c r="AI500" i="45"/>
  <c r="AH267" i="45"/>
  <c r="AK500" i="45"/>
  <c r="AI408" i="45"/>
  <c r="AL94" i="45"/>
  <c r="AL107" i="45"/>
  <c r="AK280" i="45"/>
  <c r="AI280" i="45"/>
  <c r="AI267" i="45"/>
  <c r="AJ286" i="45"/>
  <c r="AL180" i="45"/>
  <c r="AK337" i="45"/>
  <c r="AH127" i="45"/>
  <c r="AJ284" i="45"/>
  <c r="AK267" i="45"/>
  <c r="AH337" i="45"/>
  <c r="AJ124" i="45"/>
  <c r="AK291" i="45"/>
  <c r="AJ291" i="45"/>
  <c r="AH84" i="45"/>
  <c r="AL117" i="45"/>
  <c r="AH500" i="45"/>
  <c r="AI576" i="45"/>
  <c r="AH291" i="45"/>
  <c r="AK90" i="45"/>
  <c r="AK352" i="45"/>
  <c r="AH565" i="45"/>
  <c r="AL501" i="45"/>
  <c r="AI120" i="45"/>
  <c r="AK492" i="45"/>
  <c r="AJ280" i="45"/>
  <c r="AJ80" i="45"/>
  <c r="AJ500" i="45"/>
  <c r="AJ107" i="45"/>
  <c r="AK370" i="45"/>
  <c r="AH352" i="45"/>
  <c r="AJ565" i="45"/>
  <c r="AK172" i="45"/>
  <c r="AJ121" i="45"/>
  <c r="AL188" i="45"/>
  <c r="AK107" i="45"/>
  <c r="AK97" i="45"/>
  <c r="AJ210" i="45"/>
  <c r="AL101" i="45"/>
  <c r="AI107" i="45"/>
  <c r="AH317" i="45"/>
  <c r="AL134" i="45"/>
  <c r="AJ408" i="45"/>
  <c r="AH121" i="45"/>
  <c r="AJ188" i="45"/>
  <c r="AI206" i="45"/>
  <c r="AI101" i="45"/>
  <c r="AK408" i="45"/>
  <c r="AK121" i="45"/>
  <c r="AI188" i="45"/>
  <c r="AK124" i="45"/>
  <c r="AL82" i="45"/>
  <c r="AL120" i="45"/>
  <c r="AL121" i="45"/>
  <c r="AI492" i="45"/>
  <c r="AL492" i="45"/>
  <c r="AK188" i="45"/>
  <c r="AH280" i="45"/>
  <c r="AJ206" i="45"/>
  <c r="AJ101" i="45"/>
  <c r="AI87" i="45"/>
  <c r="AH124" i="45"/>
  <c r="AL158" i="45"/>
  <c r="AJ91" i="45"/>
  <c r="AL352" i="45"/>
  <c r="AL565" i="45"/>
  <c r="AH408" i="45"/>
  <c r="AL201" i="45"/>
  <c r="AH587" i="45"/>
  <c r="AK362" i="45"/>
  <c r="AL347" i="45"/>
  <c r="AJ94" i="45"/>
  <c r="AH206" i="45"/>
  <c r="AH101" i="45"/>
  <c r="AI124" i="45"/>
  <c r="AI91" i="45"/>
  <c r="AI352" i="45"/>
  <c r="AI587" i="45"/>
  <c r="AH97" i="45"/>
  <c r="AJ82" i="45"/>
  <c r="AM82" i="45" s="1"/>
  <c r="AJ120" i="45"/>
  <c r="AL61" i="45"/>
  <c r="AK604" i="45"/>
  <c r="AH111" i="45"/>
  <c r="AH277" i="45"/>
  <c r="AL478" i="45"/>
  <c r="AJ88" i="45"/>
  <c r="AK165" i="45"/>
  <c r="AK576" i="45"/>
  <c r="AJ576" i="45"/>
  <c r="AL90" i="45"/>
  <c r="AK83" i="45"/>
  <c r="AJ317" i="45"/>
  <c r="AL229" i="45"/>
  <c r="AJ391" i="45"/>
  <c r="AM391" i="45" s="1"/>
  <c r="AJ555" i="45"/>
  <c r="AI555" i="45"/>
  <c r="AI97" i="45"/>
  <c r="AK120" i="45"/>
  <c r="AJ61" i="45"/>
  <c r="AK413" i="45"/>
  <c r="AK94" i="45"/>
  <c r="AK112" i="45"/>
  <c r="AH88" i="45"/>
  <c r="AJ87" i="45"/>
  <c r="AJ90" i="45"/>
  <c r="AL83" i="45"/>
  <c r="AH423" i="45"/>
  <c r="AH135" i="45"/>
  <c r="AI317" i="45"/>
  <c r="AH391" i="45"/>
  <c r="AJ134" i="45"/>
  <c r="AI277" i="45"/>
  <c r="AL277" i="45"/>
  <c r="AK497" i="45"/>
  <c r="AJ201" i="45"/>
  <c r="AI201" i="45"/>
  <c r="AJ346" i="45"/>
  <c r="AJ277" i="45"/>
  <c r="AL497" i="45"/>
  <c r="AL592" i="45"/>
  <c r="AJ290" i="45"/>
  <c r="AJ453" i="45"/>
  <c r="AK201" i="45"/>
  <c r="AK346" i="45"/>
  <c r="AJ308" i="45"/>
  <c r="AL162" i="45"/>
  <c r="AI350" i="45"/>
  <c r="AJ199" i="45"/>
  <c r="AJ194" i="45"/>
  <c r="AI229" i="45"/>
  <c r="AK308" i="45"/>
  <c r="AI453" i="45"/>
  <c r="AH327" i="45"/>
  <c r="AH342" i="45"/>
  <c r="AH114" i="45"/>
  <c r="AI82" i="45"/>
  <c r="AK162" i="45"/>
  <c r="AK217" i="45"/>
  <c r="AJ350" i="45"/>
  <c r="AH413" i="45"/>
  <c r="AI478" i="45"/>
  <c r="AK80" i="45"/>
  <c r="AL87" i="45"/>
  <c r="AL165" i="45"/>
  <c r="AH90" i="45"/>
  <c r="AI122" i="45"/>
  <c r="AL214" i="45"/>
  <c r="AK423" i="45"/>
  <c r="AJ135" i="45"/>
  <c r="AK229" i="45"/>
  <c r="AK592" i="45"/>
  <c r="AL308" i="45"/>
  <c r="AL290" i="45"/>
  <c r="AK179" i="45"/>
  <c r="AK196" i="45"/>
  <c r="AI198" i="45"/>
  <c r="AH350" i="45"/>
  <c r="AJ162" i="45"/>
  <c r="AJ100" i="45"/>
  <c r="AK72" i="45"/>
  <c r="AK350" i="45"/>
  <c r="AJ413" i="45"/>
  <c r="AK199" i="45"/>
  <c r="AI80" i="45"/>
  <c r="AI78" i="45"/>
  <c r="AJ117" i="45"/>
  <c r="AL194" i="45"/>
  <c r="AI135" i="45"/>
  <c r="AJ592" i="45"/>
  <c r="AH453" i="45"/>
  <c r="AJ342" i="45"/>
  <c r="AJ85" i="45"/>
  <c r="AI185" i="45"/>
  <c r="AJ97" i="45"/>
  <c r="AH362" i="45"/>
  <c r="AI162" i="45"/>
  <c r="AH210" i="45"/>
  <c r="AK210" i="45"/>
  <c r="AH217" i="45"/>
  <c r="AI84" i="45"/>
  <c r="AL84" i="45"/>
  <c r="AH130" i="45"/>
  <c r="AI61" i="45"/>
  <c r="AL425" i="45"/>
  <c r="AH94" i="45"/>
  <c r="AL591" i="45"/>
  <c r="AI318" i="45"/>
  <c r="AK88" i="45"/>
  <c r="AI117" i="45"/>
  <c r="AJ276" i="45"/>
  <c r="AK91" i="45"/>
  <c r="AJ83" i="45"/>
  <c r="AI83" i="45"/>
  <c r="AI194" i="45"/>
  <c r="AH85" i="45"/>
  <c r="AK85" i="45"/>
  <c r="AH370" i="45"/>
  <c r="AL423" i="45"/>
  <c r="AK135" i="45"/>
  <c r="AL317" i="45"/>
  <c r="AH497" i="45"/>
  <c r="AJ229" i="45"/>
  <c r="AI592" i="45"/>
  <c r="AH308" i="45"/>
  <c r="AI290" i="45"/>
  <c r="AL453" i="45"/>
  <c r="AI342" i="45"/>
  <c r="AL342" i="45"/>
  <c r="AK134" i="45"/>
  <c r="AI134" i="45"/>
  <c r="AH179" i="45"/>
  <c r="AJ179" i="45"/>
  <c r="AI196" i="45"/>
  <c r="AH196" i="45"/>
  <c r="AK185" i="45"/>
  <c r="AI362" i="45"/>
  <c r="AL362" i="45"/>
  <c r="AL210" i="45"/>
  <c r="AI217" i="45"/>
  <c r="AL217" i="45"/>
  <c r="AJ84" i="45"/>
  <c r="AJ425" i="45"/>
  <c r="AI425" i="45"/>
  <c r="AI276" i="45"/>
  <c r="AH91" i="45"/>
  <c r="AL85" i="45"/>
  <c r="AI370" i="45"/>
  <c r="AL370" i="45"/>
  <c r="AI423" i="45"/>
  <c r="AL179" i="45"/>
  <c r="AL196" i="45"/>
  <c r="AJ185" i="45"/>
  <c r="AI166" i="45"/>
  <c r="AH61" i="45"/>
  <c r="AL171" i="45"/>
  <c r="AI88" i="45"/>
  <c r="AH117" i="45"/>
  <c r="AH194" i="45"/>
  <c r="AJ497" i="45"/>
  <c r="AK294" i="45"/>
  <c r="AH290" i="45"/>
  <c r="AL185" i="45"/>
  <c r="AI340" i="45"/>
  <c r="AJ182" i="45"/>
  <c r="AK182" i="45"/>
  <c r="AJ169" i="45"/>
  <c r="AK100" i="45"/>
  <c r="AL186" i="45"/>
  <c r="AI347" i="45"/>
  <c r="AL127" i="45"/>
  <c r="AJ72" i="45"/>
  <c r="AH112" i="45"/>
  <c r="AL111" i="45"/>
  <c r="AH199" i="45"/>
  <c r="AH478" i="45"/>
  <c r="AK78" i="45"/>
  <c r="AJ78" i="45"/>
  <c r="AI165" i="45"/>
  <c r="AM23" i="45"/>
  <c r="AK122" i="45"/>
  <c r="AJ122" i="45"/>
  <c r="AH286" i="45"/>
  <c r="AK286" i="45"/>
  <c r="AI214" i="45"/>
  <c r="AJ340" i="45"/>
  <c r="AI327" i="45"/>
  <c r="AL198" i="45"/>
  <c r="AH182" i="45"/>
  <c r="AH169" i="45"/>
  <c r="AH100" i="45"/>
  <c r="AI186" i="45"/>
  <c r="AJ347" i="45"/>
  <c r="AK347" i="45"/>
  <c r="AJ127" i="45"/>
  <c r="AI127" i="45"/>
  <c r="AH72" i="45"/>
  <c r="AI112" i="45"/>
  <c r="AL112" i="45"/>
  <c r="AJ111" i="45"/>
  <c r="AI111" i="45"/>
  <c r="AL199" i="45"/>
  <c r="AJ478" i="45"/>
  <c r="AH78" i="45"/>
  <c r="AJ165" i="45"/>
  <c r="AH122" i="45"/>
  <c r="AL286" i="45"/>
  <c r="AJ214" i="45"/>
  <c r="AK340" i="45"/>
  <c r="AJ327" i="45"/>
  <c r="AK198" i="45"/>
  <c r="AJ198" i="45"/>
  <c r="AL340" i="45"/>
  <c r="AK169" i="45"/>
  <c r="AI100" i="45"/>
  <c r="AI72" i="45"/>
  <c r="AH214" i="45"/>
  <c r="AI540" i="45"/>
  <c r="AL327" i="45"/>
  <c r="AJ166" i="45"/>
  <c r="AK166" i="45"/>
  <c r="AL130" i="45"/>
  <c r="AI591" i="45"/>
  <c r="AI171" i="45"/>
  <c r="AJ171" i="45"/>
  <c r="AJ318" i="45"/>
  <c r="AK276" i="45"/>
  <c r="AI158" i="45"/>
  <c r="AJ540" i="45"/>
  <c r="AH294" i="45"/>
  <c r="AH166" i="45"/>
  <c r="AI130" i="45"/>
  <c r="AJ591" i="45"/>
  <c r="AK171" i="45"/>
  <c r="AH318" i="45"/>
  <c r="AH276" i="45"/>
  <c r="AJ158" i="45"/>
  <c r="AK158" i="45"/>
  <c r="AL540" i="45"/>
  <c r="AK540" i="45"/>
  <c r="AI294" i="45"/>
  <c r="AL294" i="45"/>
  <c r="AK130" i="45"/>
  <c r="AH591" i="45"/>
  <c r="AK318" i="45"/>
  <c r="AK98" i="45"/>
  <c r="AJ98" i="45"/>
  <c r="AL98" i="45"/>
  <c r="AI98" i="45"/>
  <c r="AH98" i="45"/>
  <c r="AL76" i="45"/>
  <c r="AK76" i="45"/>
  <c r="AH76" i="45"/>
  <c r="AJ76" i="45"/>
  <c r="AI76" i="45"/>
  <c r="AL137" i="45"/>
  <c r="AH137" i="45"/>
  <c r="AK137" i="45"/>
  <c r="AI137" i="45"/>
  <c r="AJ137" i="45"/>
  <c r="AJ187" i="45"/>
  <c r="AI187" i="45"/>
  <c r="AL187" i="45"/>
  <c r="AK187" i="45"/>
  <c r="AH187" i="45"/>
  <c r="AJ113" i="45"/>
  <c r="AL113" i="45"/>
  <c r="AI113" i="45"/>
  <c r="AH113" i="45"/>
  <c r="AK113" i="45"/>
  <c r="AI160" i="45"/>
  <c r="AL160" i="45"/>
  <c r="AK160" i="45"/>
  <c r="AH160" i="45"/>
  <c r="AJ160" i="45"/>
  <c r="AI116" i="45"/>
  <c r="AJ116" i="45"/>
  <c r="AL116" i="45"/>
  <c r="AH116" i="45"/>
  <c r="AK116" i="45"/>
  <c r="AI189" i="45"/>
  <c r="AL189" i="45"/>
  <c r="AK189" i="45"/>
  <c r="AH189" i="45"/>
  <c r="AJ189" i="45"/>
  <c r="AL126" i="45"/>
  <c r="AH126" i="45"/>
  <c r="AJ126" i="45"/>
  <c r="AK126" i="45"/>
  <c r="AI126" i="45"/>
  <c r="AL175" i="45"/>
  <c r="AH175" i="45"/>
  <c r="AK175" i="45"/>
  <c r="AI175" i="45"/>
  <c r="AJ175" i="45"/>
  <c r="AM349" i="45"/>
  <c r="AB39" i="35"/>
  <c r="AB40" i="35" s="1"/>
  <c r="AB41" i="35" s="1"/>
  <c r="AB42" i="35" s="1"/>
  <c r="AB43" i="35" s="1"/>
  <c r="AB44" i="35" s="1"/>
  <c r="AM163" i="45"/>
  <c r="AM70" i="45"/>
  <c r="AM42" i="45"/>
  <c r="AJ299" i="45"/>
  <c r="AI299" i="45"/>
  <c r="AL299" i="45"/>
  <c r="AH299" i="45"/>
  <c r="AK299" i="45"/>
  <c r="AI402" i="45"/>
  <c r="AL402" i="45"/>
  <c r="AH402" i="45"/>
  <c r="AK402" i="45"/>
  <c r="AJ402" i="45"/>
  <c r="AI55" i="45"/>
  <c r="AL55" i="45"/>
  <c r="AH55" i="45"/>
  <c r="AK55" i="45"/>
  <c r="AJ55" i="45"/>
  <c r="AI590" i="45"/>
  <c r="AL590" i="45"/>
  <c r="AH590" i="45"/>
  <c r="AK590" i="45"/>
  <c r="AJ590" i="45"/>
  <c r="AJ536" i="45"/>
  <c r="AI536" i="45"/>
  <c r="AL536" i="45"/>
  <c r="AH536" i="45"/>
  <c r="AK536" i="45"/>
  <c r="AJ575" i="45"/>
  <c r="AI575" i="45"/>
  <c r="AL575" i="45"/>
  <c r="AH575" i="45"/>
  <c r="AK575" i="45"/>
  <c r="AK382" i="45"/>
  <c r="AJ382" i="45"/>
  <c r="AI382" i="45"/>
  <c r="AL382" i="45"/>
  <c r="AH382" i="45"/>
  <c r="AL436" i="45"/>
  <c r="AH436" i="45"/>
  <c r="AK436" i="45"/>
  <c r="AJ436" i="45"/>
  <c r="AI436" i="45"/>
  <c r="AJ371" i="45"/>
  <c r="AI371" i="45"/>
  <c r="AL371" i="45"/>
  <c r="AH371" i="45"/>
  <c r="AK371" i="45"/>
  <c r="AI563" i="45"/>
  <c r="AL563" i="45"/>
  <c r="AH563" i="45"/>
  <c r="AK563" i="45"/>
  <c r="AJ563" i="45"/>
  <c r="AJ509" i="45"/>
  <c r="AI509" i="45"/>
  <c r="AL509" i="45"/>
  <c r="AH509" i="45"/>
  <c r="AK509" i="45"/>
  <c r="AJ504" i="45"/>
  <c r="AI504" i="45"/>
  <c r="AL504" i="45"/>
  <c r="AH504" i="45"/>
  <c r="AK504" i="45"/>
  <c r="AI520" i="45"/>
  <c r="AL520" i="45"/>
  <c r="AH520" i="45"/>
  <c r="AK520" i="45"/>
  <c r="AJ520" i="45"/>
  <c r="AK335" i="45"/>
  <c r="AJ335" i="45"/>
  <c r="AI335" i="45"/>
  <c r="AH335" i="45"/>
  <c r="AL335" i="45"/>
  <c r="AM183" i="45"/>
  <c r="AL585" i="45"/>
  <c r="AH585" i="45"/>
  <c r="AK585" i="45"/>
  <c r="AJ585" i="45"/>
  <c r="AI585" i="45"/>
  <c r="AL493" i="45"/>
  <c r="AH493" i="45"/>
  <c r="AK493" i="45"/>
  <c r="AJ493" i="45"/>
  <c r="AI493" i="45"/>
  <c r="AI507" i="45"/>
  <c r="AL507" i="45"/>
  <c r="AH507" i="45"/>
  <c r="AK507" i="45"/>
  <c r="AJ507" i="45"/>
  <c r="AL445" i="45"/>
  <c r="AH445" i="45"/>
  <c r="AK445" i="45"/>
  <c r="AJ445" i="45"/>
  <c r="AI445" i="45"/>
  <c r="AK479" i="45"/>
  <c r="AJ479" i="45"/>
  <c r="AI479" i="45"/>
  <c r="AL479" i="45"/>
  <c r="AH479" i="45"/>
  <c r="AL518" i="45"/>
  <c r="AH518" i="45"/>
  <c r="AK518" i="45"/>
  <c r="AJ518" i="45"/>
  <c r="AI518" i="45"/>
  <c r="AI532" i="45"/>
  <c r="AL532" i="45"/>
  <c r="AH532" i="45"/>
  <c r="AK532" i="45"/>
  <c r="AJ532" i="45"/>
  <c r="AL398" i="45"/>
  <c r="AH398" i="45"/>
  <c r="AK398" i="45"/>
  <c r="AJ398" i="45"/>
  <c r="AI398" i="45"/>
  <c r="AJ359" i="45"/>
  <c r="AI359" i="45"/>
  <c r="AL359" i="45"/>
  <c r="AH359" i="45"/>
  <c r="AK359" i="45"/>
  <c r="AK491" i="45"/>
  <c r="AJ491" i="45"/>
  <c r="AI491" i="45"/>
  <c r="AL491" i="45"/>
  <c r="AH491" i="45"/>
  <c r="AJ414" i="45"/>
  <c r="AI414" i="45"/>
  <c r="AL414" i="45"/>
  <c r="AH414" i="45"/>
  <c r="AK414" i="45"/>
  <c r="AJ460" i="45"/>
  <c r="AI460" i="45"/>
  <c r="AL460" i="45"/>
  <c r="AH460" i="45"/>
  <c r="AK460" i="45"/>
  <c r="AJ147" i="45"/>
  <c r="AI147" i="45"/>
  <c r="AL147" i="45"/>
  <c r="AH147" i="45"/>
  <c r="AK147" i="45"/>
  <c r="AK416" i="45"/>
  <c r="AJ416" i="45"/>
  <c r="AI416" i="45"/>
  <c r="AH416" i="45"/>
  <c r="AL416" i="45"/>
  <c r="AL477" i="45"/>
  <c r="AH477" i="45"/>
  <c r="AK477" i="45"/>
  <c r="AJ477" i="45"/>
  <c r="AI477" i="45"/>
  <c r="AK583" i="45"/>
  <c r="AJ583" i="45"/>
  <c r="AI583" i="45"/>
  <c r="AH583" i="45"/>
  <c r="AL583" i="45"/>
  <c r="AJ511" i="45"/>
  <c r="AI511" i="45"/>
  <c r="AL511" i="45"/>
  <c r="AH511" i="45"/>
  <c r="AK511" i="45"/>
  <c r="AK581" i="45"/>
  <c r="AJ581" i="45"/>
  <c r="AI581" i="45"/>
  <c r="AH581" i="45"/>
  <c r="AL581" i="45"/>
  <c r="AK285" i="45"/>
  <c r="AJ285" i="45"/>
  <c r="AI285" i="45"/>
  <c r="AL285" i="45"/>
  <c r="AH285" i="45"/>
  <c r="AL447" i="45"/>
  <c r="AH447" i="45"/>
  <c r="AK447" i="45"/>
  <c r="AJ447" i="45"/>
  <c r="AI447" i="45"/>
  <c r="AK424" i="45"/>
  <c r="AJ424" i="45"/>
  <c r="AI424" i="45"/>
  <c r="AL424" i="45"/>
  <c r="AH424" i="45"/>
  <c r="AJ412" i="45"/>
  <c r="AI412" i="45"/>
  <c r="AL412" i="45"/>
  <c r="AH412" i="45"/>
  <c r="AK412" i="45"/>
  <c r="AJ560" i="45"/>
  <c r="AI560" i="45"/>
  <c r="AL560" i="45"/>
  <c r="AH560" i="45"/>
  <c r="AK560" i="45"/>
  <c r="AK368" i="45"/>
  <c r="AJ368" i="45"/>
  <c r="AI368" i="45"/>
  <c r="AL368" i="45"/>
  <c r="AH368" i="45"/>
  <c r="AJ469" i="45"/>
  <c r="AI469" i="45"/>
  <c r="AL469" i="45"/>
  <c r="AH469" i="45"/>
  <c r="AK469" i="45"/>
  <c r="AJ404" i="45"/>
  <c r="AI404" i="45"/>
  <c r="AL404" i="45"/>
  <c r="AH404" i="45"/>
  <c r="AK404" i="45"/>
  <c r="AI177" i="45"/>
  <c r="AL177" i="45"/>
  <c r="AH177" i="45"/>
  <c r="AK177" i="45"/>
  <c r="AJ177" i="45"/>
  <c r="AL544" i="45"/>
  <c r="AH544" i="45"/>
  <c r="AK544" i="45"/>
  <c r="AJ544" i="45"/>
  <c r="AI544" i="45"/>
  <c r="AI296" i="45"/>
  <c r="AL296" i="45"/>
  <c r="AH296" i="45"/>
  <c r="AK296" i="45"/>
  <c r="AJ296" i="45"/>
  <c r="AL292" i="45"/>
  <c r="AH292" i="45"/>
  <c r="AK292" i="45"/>
  <c r="AJ292" i="45"/>
  <c r="AI292" i="45"/>
  <c r="AK364" i="45"/>
  <c r="AJ364" i="45"/>
  <c r="AI364" i="45"/>
  <c r="AL364" i="45"/>
  <c r="AH364" i="45"/>
  <c r="AL428" i="45"/>
  <c r="AH428" i="45"/>
  <c r="AK428" i="45"/>
  <c r="AJ428" i="45"/>
  <c r="AI428" i="45"/>
  <c r="AL396" i="45"/>
  <c r="AH396" i="45"/>
  <c r="AK396" i="45"/>
  <c r="AJ396" i="45"/>
  <c r="AI396" i="45"/>
  <c r="AJ538" i="45"/>
  <c r="AI538" i="45"/>
  <c r="AL538" i="45"/>
  <c r="AH538" i="45"/>
  <c r="AK538" i="45"/>
  <c r="AK213" i="45"/>
  <c r="AJ213" i="45"/>
  <c r="AI213" i="45"/>
  <c r="AH213" i="45"/>
  <c r="AL213" i="45"/>
  <c r="AJ594" i="45"/>
  <c r="AI594" i="45"/>
  <c r="AL594" i="45"/>
  <c r="AH594" i="45"/>
  <c r="AK594" i="45"/>
  <c r="AJ264" i="45"/>
  <c r="AI264" i="45"/>
  <c r="AL264" i="45"/>
  <c r="AH264" i="45"/>
  <c r="AK264" i="45"/>
  <c r="AM209" i="45"/>
  <c r="AM353" i="45"/>
  <c r="AM313" i="45"/>
  <c r="AK438" i="45"/>
  <c r="AJ438" i="45"/>
  <c r="AI438" i="45"/>
  <c r="AL438" i="45"/>
  <c r="AH438" i="45"/>
  <c r="AK323" i="45"/>
  <c r="AJ323" i="45"/>
  <c r="AI323" i="45"/>
  <c r="AH323" i="45"/>
  <c r="AL323" i="45"/>
  <c r="AI467" i="45"/>
  <c r="AL467" i="45"/>
  <c r="AH467" i="45"/>
  <c r="AK467" i="45"/>
  <c r="AJ467" i="45"/>
  <c r="AI463" i="45"/>
  <c r="AL463" i="45"/>
  <c r="AH463" i="45"/>
  <c r="AK463" i="45"/>
  <c r="AJ463" i="45"/>
  <c r="AK426" i="45"/>
  <c r="AJ426" i="45"/>
  <c r="AI426" i="45"/>
  <c r="AH426" i="45"/>
  <c r="AL426" i="45"/>
  <c r="AK473" i="45"/>
  <c r="AJ473" i="45"/>
  <c r="AI473" i="45"/>
  <c r="AL473" i="45"/>
  <c r="AH473" i="45"/>
  <c r="AK542" i="45"/>
  <c r="AJ542" i="45"/>
  <c r="AI542" i="45"/>
  <c r="AL542" i="45"/>
  <c r="AH542" i="45"/>
  <c r="AK513" i="45"/>
  <c r="AJ513" i="45"/>
  <c r="AI513" i="45"/>
  <c r="AL513" i="45"/>
  <c r="AH513" i="45"/>
  <c r="AK283" i="45"/>
  <c r="AJ283" i="45"/>
  <c r="AI283" i="45"/>
  <c r="AL283" i="45"/>
  <c r="AH283" i="45"/>
  <c r="AL39" i="45"/>
  <c r="AH39" i="45"/>
  <c r="AK39" i="45"/>
  <c r="AJ39" i="45"/>
  <c r="AI39" i="45"/>
  <c r="AK387" i="45"/>
  <c r="AJ387" i="45"/>
  <c r="AI387" i="45"/>
  <c r="AL387" i="45"/>
  <c r="AH387" i="45"/>
  <c r="AI241" i="45"/>
  <c r="AL241" i="45"/>
  <c r="AH241" i="45"/>
  <c r="AK241" i="45"/>
  <c r="AJ241" i="45"/>
  <c r="AL546" i="45"/>
  <c r="AH546" i="45"/>
  <c r="AK546" i="45"/>
  <c r="AJ546" i="45"/>
  <c r="AI546" i="45"/>
  <c r="AI534" i="45"/>
  <c r="AL534" i="45"/>
  <c r="AH534" i="45"/>
  <c r="AK534" i="45"/>
  <c r="AJ534" i="45"/>
  <c r="AK226" i="45"/>
  <c r="AJ226" i="45"/>
  <c r="AI226" i="45"/>
  <c r="AH226" i="45"/>
  <c r="AL226" i="45"/>
  <c r="AM77" i="45"/>
  <c r="AM339" i="45"/>
  <c r="AM161" i="45"/>
  <c r="AM93" i="45"/>
  <c r="AM105" i="45"/>
  <c r="AM261" i="45"/>
  <c r="AK427" i="45"/>
  <c r="AJ427" i="45"/>
  <c r="AI427" i="45"/>
  <c r="AL427" i="45"/>
  <c r="AH427" i="45"/>
  <c r="AJ596" i="45"/>
  <c r="AI596" i="45"/>
  <c r="AL596" i="45"/>
  <c r="AH596" i="45"/>
  <c r="AK596" i="45"/>
  <c r="AK399" i="45"/>
  <c r="AJ399" i="45"/>
  <c r="AI399" i="45"/>
  <c r="AL399" i="45"/>
  <c r="AH399" i="45"/>
  <c r="AI51" i="45"/>
  <c r="AK51" i="45"/>
  <c r="AL51" i="45"/>
  <c r="AH51" i="45"/>
  <c r="AJ51" i="45"/>
  <c r="AJ494" i="45"/>
  <c r="AI494" i="45"/>
  <c r="AL494" i="45"/>
  <c r="AK494" i="45"/>
  <c r="AH494" i="45"/>
  <c r="AL149" i="45"/>
  <c r="AK149" i="45"/>
  <c r="AJ149" i="45"/>
  <c r="AI149" i="45"/>
  <c r="AH149" i="45"/>
  <c r="AJ58" i="45"/>
  <c r="AL58" i="45"/>
  <c r="AH58" i="45"/>
  <c r="AI58" i="45"/>
  <c r="AK58" i="45"/>
  <c r="AK439" i="45"/>
  <c r="AJ439" i="45"/>
  <c r="AI439" i="45"/>
  <c r="AL439" i="45"/>
  <c r="AH439" i="45"/>
  <c r="AK81" i="45"/>
  <c r="AJ81" i="45"/>
  <c r="AI81" i="45"/>
  <c r="AL81" i="45"/>
  <c r="AH81" i="45"/>
  <c r="AJ392" i="45"/>
  <c r="AI392" i="45"/>
  <c r="AL392" i="45"/>
  <c r="AH392" i="45"/>
  <c r="AK392" i="45"/>
  <c r="AK178" i="45"/>
  <c r="AI178" i="45"/>
  <c r="AL178" i="45"/>
  <c r="AH178" i="45"/>
  <c r="AJ178" i="45"/>
  <c r="AJ314" i="45"/>
  <c r="AL314" i="45"/>
  <c r="AK314" i="45"/>
  <c r="AI314" i="45"/>
  <c r="AH314" i="45"/>
  <c r="AJ62" i="45"/>
  <c r="AL62" i="45"/>
  <c r="AH62" i="45"/>
  <c r="AK62" i="45"/>
  <c r="AI62" i="45"/>
  <c r="AK282" i="45"/>
  <c r="AJ282" i="45"/>
  <c r="AI282" i="45"/>
  <c r="AL282" i="45"/>
  <c r="AH282" i="45"/>
  <c r="AI483" i="45"/>
  <c r="AL483" i="45"/>
  <c r="AH483" i="45"/>
  <c r="AK483" i="45"/>
  <c r="AJ483" i="45"/>
  <c r="AI495" i="45"/>
  <c r="AL495" i="45"/>
  <c r="AH495" i="45"/>
  <c r="AK495" i="45"/>
  <c r="AJ495" i="45"/>
  <c r="AL249" i="45"/>
  <c r="AH249" i="45"/>
  <c r="AK249" i="45"/>
  <c r="AJ249" i="45"/>
  <c r="AI249" i="45"/>
  <c r="AL446" i="45"/>
  <c r="AH446" i="45"/>
  <c r="AK446" i="45"/>
  <c r="AJ446" i="45"/>
  <c r="AI446" i="45"/>
  <c r="AL140" i="45"/>
  <c r="AH140" i="45"/>
  <c r="AK140" i="45"/>
  <c r="AJ140" i="45"/>
  <c r="AI140" i="45"/>
  <c r="AL474" i="45"/>
  <c r="AH474" i="45"/>
  <c r="AK474" i="45"/>
  <c r="AJ474" i="45"/>
  <c r="AI474" i="45"/>
  <c r="AJ215" i="45"/>
  <c r="AI215" i="45"/>
  <c r="AL215" i="45"/>
  <c r="AH215" i="45"/>
  <c r="AK215" i="45"/>
  <c r="AI405" i="45"/>
  <c r="AL405" i="45"/>
  <c r="AH405" i="45"/>
  <c r="AK405" i="45"/>
  <c r="AJ405" i="45"/>
  <c r="AI465" i="45"/>
  <c r="AL465" i="45"/>
  <c r="AH465" i="45"/>
  <c r="AK465" i="45"/>
  <c r="AJ465" i="45"/>
  <c r="AK202" i="45"/>
  <c r="AJ202" i="45"/>
  <c r="AI202" i="45"/>
  <c r="AL202" i="45"/>
  <c r="AH202" i="45"/>
  <c r="AI597" i="45"/>
  <c r="AL597" i="45"/>
  <c r="AH597" i="45"/>
  <c r="AK597" i="45"/>
  <c r="AJ597" i="45"/>
  <c r="AI252" i="45"/>
  <c r="AL252" i="45"/>
  <c r="AH252" i="45"/>
  <c r="AK252" i="45"/>
  <c r="AJ252" i="45"/>
  <c r="AK154" i="45"/>
  <c r="AI154" i="45"/>
  <c r="AL154" i="45"/>
  <c r="AH154" i="45"/>
  <c r="AJ154" i="45"/>
  <c r="AI268" i="45"/>
  <c r="AL268" i="45"/>
  <c r="AH268" i="45"/>
  <c r="AK268" i="45"/>
  <c r="AJ268" i="45"/>
  <c r="AK109" i="45"/>
  <c r="AJ109" i="45"/>
  <c r="AI109" i="45"/>
  <c r="AL109" i="45"/>
  <c r="AH109" i="45"/>
  <c r="AK451" i="45"/>
  <c r="AJ451" i="45"/>
  <c r="AI451" i="45"/>
  <c r="AL451" i="45"/>
  <c r="AH451" i="45"/>
  <c r="AJ360" i="45"/>
  <c r="AI360" i="45"/>
  <c r="AL360" i="45"/>
  <c r="AH360" i="45"/>
  <c r="AK360" i="45"/>
  <c r="AJ564" i="45"/>
  <c r="AI564" i="45"/>
  <c r="AL564" i="45"/>
  <c r="AH564" i="45"/>
  <c r="AK564" i="45"/>
  <c r="AL366" i="45"/>
  <c r="AH366" i="45"/>
  <c r="AK366" i="45"/>
  <c r="AJ366" i="45"/>
  <c r="AI366" i="45"/>
  <c r="AI377" i="45"/>
  <c r="AL377" i="45"/>
  <c r="AH377" i="45"/>
  <c r="AK377" i="45"/>
  <c r="AJ377" i="45"/>
  <c r="AJ506" i="45"/>
  <c r="AI506" i="45"/>
  <c r="AL506" i="45"/>
  <c r="AK506" i="45"/>
  <c r="AH506" i="45"/>
  <c r="AI529" i="45"/>
  <c r="AK529" i="45"/>
  <c r="AJ529" i="45"/>
  <c r="AL529" i="45"/>
  <c r="AH529" i="45"/>
  <c r="AL510" i="45"/>
  <c r="AH510" i="45"/>
  <c r="AJ510" i="45"/>
  <c r="AI510" i="45"/>
  <c r="AK510" i="45"/>
  <c r="AJ468" i="45"/>
  <c r="AI468" i="45"/>
  <c r="AL468" i="45"/>
  <c r="AH468" i="45"/>
  <c r="AK468" i="45"/>
  <c r="AI573" i="45"/>
  <c r="AL573" i="45"/>
  <c r="AH573" i="45"/>
  <c r="AK573" i="45"/>
  <c r="AJ573" i="45"/>
  <c r="AJ118" i="45"/>
  <c r="AI118" i="45"/>
  <c r="AL118" i="45"/>
  <c r="AH118" i="45"/>
  <c r="AK118" i="45"/>
  <c r="AK40" i="45"/>
  <c r="AJ40" i="45"/>
  <c r="AL40" i="45"/>
  <c r="AI40" i="45"/>
  <c r="AH40" i="45"/>
  <c r="AL562" i="45"/>
  <c r="AH562" i="45"/>
  <c r="AK562" i="45"/>
  <c r="AJ562" i="45"/>
  <c r="AI562" i="45"/>
  <c r="AI537" i="45"/>
  <c r="AL537" i="45"/>
  <c r="AK537" i="45"/>
  <c r="AJ537" i="45"/>
  <c r="AH537" i="45"/>
  <c r="AI545" i="45"/>
  <c r="AL545" i="45"/>
  <c r="AH545" i="45"/>
  <c r="AK545" i="45"/>
  <c r="AJ545" i="45"/>
  <c r="AK250" i="45"/>
  <c r="AJ250" i="45"/>
  <c r="AI250" i="45"/>
  <c r="AL250" i="45"/>
  <c r="AH250" i="45"/>
  <c r="AJ223" i="45"/>
  <c r="AI223" i="45"/>
  <c r="AL223" i="45"/>
  <c r="AH223" i="45"/>
  <c r="AK223" i="45"/>
  <c r="AK519" i="45"/>
  <c r="AI519" i="45"/>
  <c r="AL519" i="45"/>
  <c r="AH519" i="45"/>
  <c r="AJ519" i="45"/>
  <c r="AJ580" i="45"/>
  <c r="AI580" i="45"/>
  <c r="AL580" i="45"/>
  <c r="AH580" i="45"/>
  <c r="AK580" i="45"/>
  <c r="AK523" i="45"/>
  <c r="AI523" i="45"/>
  <c r="AL523" i="45"/>
  <c r="AH523" i="45"/>
  <c r="AJ523" i="45"/>
  <c r="AM28" i="45"/>
  <c r="AM63" i="45"/>
  <c r="AM176" i="45"/>
  <c r="AK551" i="45"/>
  <c r="AJ551" i="45"/>
  <c r="AI551" i="45"/>
  <c r="AL551" i="45"/>
  <c r="AH551" i="45"/>
  <c r="AI35" i="45"/>
  <c r="AK35" i="45"/>
  <c r="AH35" i="45"/>
  <c r="AJ35" i="45"/>
  <c r="AL35" i="45"/>
  <c r="AL442" i="45"/>
  <c r="AH442" i="45"/>
  <c r="AK442" i="45"/>
  <c r="AJ442" i="45"/>
  <c r="AI442" i="45"/>
  <c r="AI325" i="45"/>
  <c r="AK325" i="45"/>
  <c r="AJ325" i="45"/>
  <c r="AL325" i="45"/>
  <c r="AH325" i="45"/>
  <c r="AJ36" i="45"/>
  <c r="AH36" i="45"/>
  <c r="AI36" i="45"/>
  <c r="AL36" i="45"/>
  <c r="AK36" i="45"/>
  <c r="AL488" i="45"/>
  <c r="AH488" i="45"/>
  <c r="AK488" i="45"/>
  <c r="AI488" i="45"/>
  <c r="AJ488" i="45"/>
  <c r="AL430" i="45"/>
  <c r="AH430" i="45"/>
  <c r="AK430" i="45"/>
  <c r="AJ430" i="45"/>
  <c r="AI430" i="45"/>
  <c r="AK246" i="45"/>
  <c r="AJ246" i="45"/>
  <c r="AI246" i="45"/>
  <c r="AL246" i="45"/>
  <c r="AH246" i="45"/>
  <c r="AL598" i="45"/>
  <c r="AH598" i="45"/>
  <c r="AK598" i="45"/>
  <c r="AJ598" i="45"/>
  <c r="AI598" i="45"/>
  <c r="AL578" i="45"/>
  <c r="AH578" i="45"/>
  <c r="AK578" i="45"/>
  <c r="AJ578" i="45"/>
  <c r="AI578" i="45"/>
  <c r="AI603" i="45"/>
  <c r="AL603" i="45"/>
  <c r="AK603" i="45"/>
  <c r="AJ603" i="45"/>
  <c r="AH603" i="45"/>
  <c r="AK278" i="45"/>
  <c r="AJ278" i="45"/>
  <c r="AI278" i="45"/>
  <c r="AL278" i="45"/>
  <c r="AH278" i="45"/>
  <c r="AI461" i="45"/>
  <c r="AL461" i="45"/>
  <c r="AH461" i="45"/>
  <c r="AK461" i="45"/>
  <c r="AJ461" i="45"/>
  <c r="AL148" i="45"/>
  <c r="AH148" i="45"/>
  <c r="AK148" i="45"/>
  <c r="AJ148" i="45"/>
  <c r="AI148" i="45"/>
  <c r="AK319" i="45"/>
  <c r="AI319" i="45"/>
  <c r="AL319" i="45"/>
  <c r="AH319" i="45"/>
  <c r="AJ319" i="45"/>
  <c r="AL470" i="45"/>
  <c r="AH470" i="45"/>
  <c r="AK470" i="45"/>
  <c r="AJ470" i="45"/>
  <c r="AI470" i="45"/>
  <c r="AK33" i="45"/>
  <c r="AI33" i="45"/>
  <c r="AL33" i="45"/>
  <c r="AH33" i="45"/>
  <c r="AJ33" i="45"/>
  <c r="AJ552" i="45"/>
  <c r="AI552" i="45"/>
  <c r="AL552" i="45"/>
  <c r="AH552" i="45"/>
  <c r="AK552" i="45"/>
  <c r="AK129" i="45"/>
  <c r="AJ129" i="45"/>
  <c r="AI129" i="45"/>
  <c r="AL129" i="45"/>
  <c r="AH129" i="45"/>
  <c r="AK489" i="45"/>
  <c r="AJ489" i="45"/>
  <c r="AH489" i="45"/>
  <c r="AL489" i="45"/>
  <c r="AI489" i="45"/>
  <c r="AJ203" i="45"/>
  <c r="AI203" i="45"/>
  <c r="AL203" i="45"/>
  <c r="AH203" i="45"/>
  <c r="AK203" i="45"/>
  <c r="AL586" i="45"/>
  <c r="AH586" i="45"/>
  <c r="AK586" i="45"/>
  <c r="AJ586" i="45"/>
  <c r="AI586" i="45"/>
  <c r="AI43" i="45"/>
  <c r="AH43" i="45"/>
  <c r="AL43" i="45"/>
  <c r="AK43" i="45"/>
  <c r="AJ43" i="45"/>
  <c r="AK383" i="45"/>
  <c r="AJ383" i="45"/>
  <c r="AI383" i="45"/>
  <c r="AL383" i="45"/>
  <c r="AH383" i="45"/>
  <c r="AJ556" i="45"/>
  <c r="AI556" i="45"/>
  <c r="AL556" i="45"/>
  <c r="AH556" i="45"/>
  <c r="AK556" i="45"/>
  <c r="AJ384" i="45"/>
  <c r="AI384" i="45"/>
  <c r="AL384" i="45"/>
  <c r="AH384" i="45"/>
  <c r="AK384" i="45"/>
  <c r="AI236" i="45"/>
  <c r="AL236" i="45"/>
  <c r="AH236" i="45"/>
  <c r="AK236" i="45"/>
  <c r="AJ236" i="45"/>
  <c r="AL484" i="45"/>
  <c r="AH484" i="45"/>
  <c r="AK484" i="45"/>
  <c r="AJ484" i="45"/>
  <c r="AI484" i="45"/>
  <c r="AJ444" i="45"/>
  <c r="AI444" i="45"/>
  <c r="AL444" i="45"/>
  <c r="AH444" i="45"/>
  <c r="AK444" i="45"/>
  <c r="AI139" i="45"/>
  <c r="AL139" i="45"/>
  <c r="AH139" i="45"/>
  <c r="AK139" i="45"/>
  <c r="AJ139" i="45"/>
  <c r="AJ482" i="45"/>
  <c r="AI482" i="45"/>
  <c r="AL482" i="45"/>
  <c r="AK482" i="45"/>
  <c r="AH482" i="45"/>
  <c r="AL390" i="45"/>
  <c r="AH390" i="45"/>
  <c r="AK390" i="45"/>
  <c r="AJ390" i="45"/>
  <c r="AI390" i="45"/>
  <c r="AK475" i="45"/>
  <c r="AJ475" i="45"/>
  <c r="AI475" i="45"/>
  <c r="AL475" i="45"/>
  <c r="AH475" i="45"/>
  <c r="AK419" i="45"/>
  <c r="AJ419" i="45"/>
  <c r="AI419" i="45"/>
  <c r="AL419" i="45"/>
  <c r="AH419" i="45"/>
  <c r="AL293" i="45"/>
  <c r="AH293" i="45"/>
  <c r="AK293" i="45"/>
  <c r="AJ293" i="45"/>
  <c r="AI293" i="45"/>
  <c r="AJ138" i="45"/>
  <c r="AI138" i="45"/>
  <c r="AL138" i="45"/>
  <c r="AH138" i="45"/>
  <c r="AK138" i="45"/>
  <c r="AI192" i="45"/>
  <c r="AL192" i="45"/>
  <c r="AH192" i="45"/>
  <c r="AK192" i="45"/>
  <c r="AJ192" i="45"/>
  <c r="AK145" i="45"/>
  <c r="AJ145" i="45"/>
  <c r="AI145" i="45"/>
  <c r="AL145" i="45"/>
  <c r="AH145" i="45"/>
  <c r="AI312" i="45"/>
  <c r="AL312" i="45"/>
  <c r="AH312" i="45"/>
  <c r="AK312" i="45"/>
  <c r="AJ312" i="45"/>
  <c r="AJ251" i="45"/>
  <c r="AI251" i="45"/>
  <c r="AL251" i="45"/>
  <c r="AH251" i="45"/>
  <c r="AK251" i="45"/>
  <c r="AI260" i="45"/>
  <c r="AL260" i="45"/>
  <c r="AH260" i="45"/>
  <c r="AK260" i="45"/>
  <c r="AJ260" i="45"/>
  <c r="AI373" i="45"/>
  <c r="AL373" i="45"/>
  <c r="AH373" i="45"/>
  <c r="AK373" i="45"/>
  <c r="AJ373" i="45"/>
  <c r="AL454" i="45"/>
  <c r="AH454" i="45"/>
  <c r="AK454" i="45"/>
  <c r="AJ454" i="45"/>
  <c r="AI454" i="45"/>
  <c r="AI224" i="45"/>
  <c r="AL224" i="45"/>
  <c r="AH224" i="45"/>
  <c r="AK224" i="45"/>
  <c r="AJ224" i="45"/>
  <c r="AL334" i="45"/>
  <c r="AH334" i="45"/>
  <c r="AJ334" i="45"/>
  <c r="AI334" i="45"/>
  <c r="AK334" i="45"/>
  <c r="AJ54" i="45"/>
  <c r="AL54" i="45"/>
  <c r="AH54" i="45"/>
  <c r="AI54" i="45"/>
  <c r="AK54" i="45"/>
  <c r="AI31" i="45"/>
  <c r="AL31" i="45"/>
  <c r="AK31" i="45"/>
  <c r="AH31" i="45"/>
  <c r="AJ31" i="45"/>
  <c r="AK455" i="45"/>
  <c r="AJ455" i="45"/>
  <c r="AI455" i="45"/>
  <c r="AL455" i="45"/>
  <c r="AH455" i="45"/>
  <c r="AJ498" i="45"/>
  <c r="AI498" i="45"/>
  <c r="AK498" i="45"/>
  <c r="AH498" i="45"/>
  <c r="AL498" i="45"/>
  <c r="AJ568" i="45"/>
  <c r="AI568" i="45"/>
  <c r="AL568" i="45"/>
  <c r="AH568" i="45"/>
  <c r="AK568" i="45"/>
  <c r="AJ259" i="45"/>
  <c r="AI259" i="45"/>
  <c r="AL259" i="45"/>
  <c r="AH259" i="45"/>
  <c r="AK259" i="45"/>
  <c r="AI300" i="45"/>
  <c r="AL300" i="45"/>
  <c r="AH300" i="45"/>
  <c r="AK300" i="45"/>
  <c r="AJ300" i="45"/>
  <c r="AL301" i="45"/>
  <c r="AH301" i="45"/>
  <c r="AK301" i="45"/>
  <c r="AJ301" i="45"/>
  <c r="AI301" i="45"/>
  <c r="AI487" i="45"/>
  <c r="AL487" i="45"/>
  <c r="AH487" i="45"/>
  <c r="AJ487" i="45"/>
  <c r="AK487" i="45"/>
  <c r="AI95" i="45"/>
  <c r="AL95" i="45"/>
  <c r="AH95" i="45"/>
  <c r="AK95" i="45"/>
  <c r="AJ95" i="45"/>
  <c r="AI79" i="45"/>
  <c r="AL79" i="45"/>
  <c r="AH79" i="45"/>
  <c r="AK79" i="45"/>
  <c r="AJ79" i="45"/>
  <c r="AI437" i="45"/>
  <c r="AL437" i="45"/>
  <c r="AH437" i="45"/>
  <c r="AK437" i="45"/>
  <c r="AJ437" i="45"/>
  <c r="AI41" i="45"/>
  <c r="AK41" i="45"/>
  <c r="AJ41" i="45"/>
  <c r="AL41" i="45"/>
  <c r="AH41" i="45"/>
  <c r="AI417" i="45"/>
  <c r="AL417" i="45"/>
  <c r="AH417" i="45"/>
  <c r="AK417" i="45"/>
  <c r="AJ417" i="45"/>
  <c r="AI381" i="45"/>
  <c r="AL381" i="45"/>
  <c r="AH381" i="45"/>
  <c r="AK381" i="45"/>
  <c r="AJ381" i="45"/>
  <c r="AL309" i="45"/>
  <c r="AH309" i="45"/>
  <c r="AK309" i="45"/>
  <c r="AJ309" i="45"/>
  <c r="AI309" i="45"/>
  <c r="AL253" i="45"/>
  <c r="AH253" i="45"/>
  <c r="AK253" i="45"/>
  <c r="AJ253" i="45"/>
  <c r="AI253" i="45"/>
  <c r="AK141" i="45"/>
  <c r="AJ141" i="45"/>
  <c r="AI141" i="45"/>
  <c r="AL141" i="45"/>
  <c r="AH141" i="45"/>
  <c r="AJ328" i="45"/>
  <c r="AL328" i="45"/>
  <c r="AH328" i="45"/>
  <c r="AK328" i="45"/>
  <c r="AI328" i="45"/>
  <c r="AK579" i="45"/>
  <c r="AJ579" i="45"/>
  <c r="AI579" i="45"/>
  <c r="AL579" i="45"/>
  <c r="AH579" i="45"/>
  <c r="AL602" i="45"/>
  <c r="AH602" i="45"/>
  <c r="AK602" i="45"/>
  <c r="AJ602" i="45"/>
  <c r="AI602" i="45"/>
  <c r="AL64" i="45"/>
  <c r="AH64" i="45"/>
  <c r="AK64" i="45"/>
  <c r="AJ64" i="45"/>
  <c r="AI64" i="45"/>
  <c r="AI561" i="45"/>
  <c r="AL561" i="45"/>
  <c r="AH561" i="45"/>
  <c r="AK561" i="45"/>
  <c r="AJ561" i="45"/>
  <c r="AK65" i="45"/>
  <c r="AJ65" i="45"/>
  <c r="AI65" i="45"/>
  <c r="AL65" i="45"/>
  <c r="AH65" i="45"/>
  <c r="AL326" i="45"/>
  <c r="AH326" i="45"/>
  <c r="AJ326" i="45"/>
  <c r="AI326" i="45"/>
  <c r="AK326" i="45"/>
  <c r="AJ45" i="45"/>
  <c r="AI45" i="45"/>
  <c r="AK45" i="45"/>
  <c r="AL45" i="45"/>
  <c r="AH45" i="45"/>
  <c r="AI131" i="45"/>
  <c r="AL131" i="45"/>
  <c r="AH131" i="45"/>
  <c r="AK131" i="45"/>
  <c r="AJ131" i="45"/>
  <c r="AI329" i="45"/>
  <c r="AK329" i="45"/>
  <c r="AJ329" i="45"/>
  <c r="AL329" i="45"/>
  <c r="AH329" i="45"/>
  <c r="AL422" i="45"/>
  <c r="AH422" i="45"/>
  <c r="AK422" i="45"/>
  <c r="AJ422" i="45"/>
  <c r="AI422" i="45"/>
  <c r="AK242" i="45"/>
  <c r="AJ242" i="45"/>
  <c r="AI242" i="45"/>
  <c r="AL242" i="45"/>
  <c r="AH242" i="45"/>
  <c r="AK595" i="45"/>
  <c r="AJ595" i="45"/>
  <c r="AI595" i="45"/>
  <c r="AL595" i="45"/>
  <c r="AH595" i="45"/>
  <c r="AK547" i="45"/>
  <c r="AJ547" i="45"/>
  <c r="AI547" i="45"/>
  <c r="AL547" i="45"/>
  <c r="AH547" i="45"/>
  <c r="AI577" i="45"/>
  <c r="AL577" i="45"/>
  <c r="AH577" i="45"/>
  <c r="AK577" i="45"/>
  <c r="AJ577" i="45"/>
  <c r="AJ211" i="45"/>
  <c r="AI211" i="45"/>
  <c r="AL211" i="45"/>
  <c r="AH211" i="45"/>
  <c r="AK211" i="45"/>
  <c r="AI341" i="45"/>
  <c r="AK341" i="45"/>
  <c r="AJ341" i="45"/>
  <c r="AL341" i="45"/>
  <c r="AH341" i="45"/>
  <c r="AI393" i="45"/>
  <c r="AL393" i="45"/>
  <c r="AH393" i="45"/>
  <c r="AK393" i="45"/>
  <c r="AJ393" i="45"/>
  <c r="AJ332" i="45"/>
  <c r="AL332" i="45"/>
  <c r="AH332" i="45"/>
  <c r="AK332" i="45"/>
  <c r="AI332" i="45"/>
  <c r="AJ432" i="45"/>
  <c r="AI432" i="45"/>
  <c r="AL432" i="45"/>
  <c r="AH432" i="45"/>
  <c r="AK432" i="45"/>
  <c r="AI67" i="45"/>
  <c r="AL67" i="45"/>
  <c r="AK67" i="45"/>
  <c r="AH67" i="45"/>
  <c r="AJ67" i="45"/>
  <c r="AK395" i="45"/>
  <c r="AJ395" i="45"/>
  <c r="AI395" i="45"/>
  <c r="AL395" i="45"/>
  <c r="AH395" i="45"/>
  <c r="AL265" i="45"/>
  <c r="AH265" i="45"/>
  <c r="AK265" i="45"/>
  <c r="AJ265" i="45"/>
  <c r="AI265" i="45"/>
  <c r="AK222" i="45"/>
  <c r="AJ222" i="45"/>
  <c r="AI222" i="45"/>
  <c r="AL222" i="45"/>
  <c r="AH222" i="45"/>
  <c r="AI385" i="45"/>
  <c r="AL385" i="45"/>
  <c r="AH385" i="45"/>
  <c r="AK385" i="45"/>
  <c r="AJ385" i="45"/>
  <c r="AI593" i="45"/>
  <c r="AL593" i="45"/>
  <c r="AH593" i="45"/>
  <c r="AK593" i="45"/>
  <c r="AJ593" i="45"/>
  <c r="AL157" i="45"/>
  <c r="AH157" i="45"/>
  <c r="AJ157" i="45"/>
  <c r="AI157" i="45"/>
  <c r="AK157" i="45"/>
  <c r="AJ167" i="45"/>
  <c r="AL167" i="45"/>
  <c r="AH167" i="45"/>
  <c r="AK167" i="45"/>
  <c r="AI167" i="45"/>
  <c r="AJ159" i="45"/>
  <c r="AL159" i="45"/>
  <c r="AH159" i="45"/>
  <c r="AK159" i="45"/>
  <c r="AI159" i="45"/>
  <c r="AJ279" i="45"/>
  <c r="AI279" i="45"/>
  <c r="AL279" i="45"/>
  <c r="AH279" i="45"/>
  <c r="AK279" i="45"/>
  <c r="AL32" i="45"/>
  <c r="AK32" i="45"/>
  <c r="AJ32" i="45"/>
  <c r="AI32" i="45"/>
  <c r="AH32" i="45"/>
  <c r="AI589" i="45"/>
  <c r="AL589" i="45"/>
  <c r="AH589" i="45"/>
  <c r="AK589" i="45"/>
  <c r="AJ589" i="45"/>
  <c r="AJ528" i="45"/>
  <c r="AL528" i="45"/>
  <c r="AH528" i="45"/>
  <c r="AK528" i="45"/>
  <c r="AI528" i="45"/>
  <c r="AK559" i="45"/>
  <c r="AJ559" i="45"/>
  <c r="AI559" i="45"/>
  <c r="AL559" i="45"/>
  <c r="AH559" i="45"/>
  <c r="AJ584" i="45"/>
  <c r="AI584" i="45"/>
  <c r="AL584" i="45"/>
  <c r="AH584" i="45"/>
  <c r="AK584" i="45"/>
  <c r="AI517" i="45"/>
  <c r="AK517" i="45"/>
  <c r="AJ517" i="45"/>
  <c r="AH517" i="45"/>
  <c r="AL517" i="45"/>
  <c r="AK431" i="45"/>
  <c r="AJ431" i="45"/>
  <c r="AI431" i="45"/>
  <c r="AL431" i="45"/>
  <c r="AH431" i="45"/>
  <c r="AJ512" i="45"/>
  <c r="AL512" i="45"/>
  <c r="AH512" i="45"/>
  <c r="AK512" i="45"/>
  <c r="AI512" i="45"/>
  <c r="AK505" i="45"/>
  <c r="AJ505" i="45"/>
  <c r="AL505" i="45"/>
  <c r="AI505" i="45"/>
  <c r="AH505" i="45"/>
  <c r="AK531" i="45"/>
  <c r="AI531" i="45"/>
  <c r="AL531" i="45"/>
  <c r="AH531" i="45"/>
  <c r="AJ531" i="45"/>
  <c r="AL582" i="45"/>
  <c r="AH582" i="45"/>
  <c r="AK582" i="45"/>
  <c r="AJ582" i="45"/>
  <c r="AI582" i="45"/>
  <c r="AI503" i="45"/>
  <c r="AL503" i="45"/>
  <c r="AH503" i="45"/>
  <c r="AK503" i="45"/>
  <c r="AJ503" i="45"/>
  <c r="AJ380" i="45"/>
  <c r="AI380" i="45"/>
  <c r="AL380" i="45"/>
  <c r="AH380" i="45"/>
  <c r="AK380" i="45"/>
  <c r="AI361" i="45"/>
  <c r="AL361" i="45"/>
  <c r="AH361" i="45"/>
  <c r="AK361" i="45"/>
  <c r="AJ361" i="45"/>
  <c r="AK443" i="45"/>
  <c r="AJ443" i="45"/>
  <c r="AI443" i="45"/>
  <c r="AL443" i="45"/>
  <c r="AH443" i="45"/>
  <c r="AL305" i="45"/>
  <c r="AH305" i="45"/>
  <c r="AK305" i="45"/>
  <c r="AJ305" i="45"/>
  <c r="AI305" i="45"/>
  <c r="AK355" i="45"/>
  <c r="AJ355" i="45"/>
  <c r="AI355" i="45"/>
  <c r="AL355" i="45"/>
  <c r="AH355" i="45"/>
  <c r="AI216" i="45"/>
  <c r="AL216" i="45"/>
  <c r="AH216" i="45"/>
  <c r="AK216" i="45"/>
  <c r="AJ216" i="45"/>
  <c r="AJ255" i="45"/>
  <c r="AI255" i="45"/>
  <c r="AL255" i="45"/>
  <c r="AH255" i="45"/>
  <c r="AK255" i="45"/>
  <c r="AI533" i="45"/>
  <c r="AK533" i="45"/>
  <c r="AJ533" i="45"/>
  <c r="AL533" i="45"/>
  <c r="AH533" i="45"/>
  <c r="AL225" i="45"/>
  <c r="AH225" i="45"/>
  <c r="AK225" i="45"/>
  <c r="AJ225" i="45"/>
  <c r="AI225" i="45"/>
  <c r="AL554" i="45"/>
  <c r="AH554" i="45"/>
  <c r="AK554" i="45"/>
  <c r="AJ554" i="45"/>
  <c r="AI554" i="45"/>
  <c r="AM321" i="45"/>
  <c r="AM206" i="45"/>
  <c r="AM287" i="45"/>
  <c r="AM168" i="45"/>
  <c r="AM46" i="45"/>
  <c r="AM181" i="45"/>
  <c r="AJ324" i="45"/>
  <c r="AL324" i="45"/>
  <c r="AH324" i="45"/>
  <c r="AK324" i="45"/>
  <c r="AI324" i="45"/>
  <c r="AI457" i="45"/>
  <c r="AL457" i="45"/>
  <c r="AH457" i="45"/>
  <c r="AK457" i="45"/>
  <c r="AJ457" i="45"/>
  <c r="AI240" i="45"/>
  <c r="AL240" i="45"/>
  <c r="AH240" i="45"/>
  <c r="AK240" i="45"/>
  <c r="AJ240" i="45"/>
  <c r="AK258" i="45"/>
  <c r="AJ258" i="45"/>
  <c r="AI258" i="45"/>
  <c r="AL258" i="45"/>
  <c r="AH258" i="45"/>
  <c r="AL245" i="45"/>
  <c r="AH245" i="45"/>
  <c r="AK245" i="45"/>
  <c r="AJ245" i="45"/>
  <c r="AI245" i="45"/>
  <c r="AJ440" i="45"/>
  <c r="AI440" i="45"/>
  <c r="AL440" i="45"/>
  <c r="AH440" i="45"/>
  <c r="AK440" i="45"/>
  <c r="AK234" i="45"/>
  <c r="AJ234" i="45"/>
  <c r="AI234" i="45"/>
  <c r="AL234" i="45"/>
  <c r="AH234" i="45"/>
  <c r="AL281" i="45"/>
  <c r="AH281" i="45"/>
  <c r="AK281" i="45"/>
  <c r="AJ281" i="45"/>
  <c r="AI281" i="45"/>
  <c r="AJ231" i="45"/>
  <c r="AI231" i="45"/>
  <c r="AL231" i="45"/>
  <c r="AH231" i="45"/>
  <c r="AK231" i="45"/>
  <c r="AL358" i="45"/>
  <c r="AH358" i="45"/>
  <c r="AK358" i="45"/>
  <c r="AJ358" i="45"/>
  <c r="AI358" i="45"/>
  <c r="AL570" i="45"/>
  <c r="AH570" i="45"/>
  <c r="AK570" i="45"/>
  <c r="AJ570" i="45"/>
  <c r="AI570" i="45"/>
  <c r="AI200" i="45"/>
  <c r="AL200" i="45"/>
  <c r="AH200" i="45"/>
  <c r="AK200" i="45"/>
  <c r="AJ200" i="45"/>
  <c r="AL144" i="45"/>
  <c r="AH144" i="45"/>
  <c r="AK144" i="45"/>
  <c r="AJ144" i="45"/>
  <c r="AI144" i="45"/>
  <c r="AI248" i="45"/>
  <c r="AL248" i="45"/>
  <c r="AH248" i="45"/>
  <c r="AK248" i="45"/>
  <c r="AJ248" i="45"/>
  <c r="AJ227" i="45"/>
  <c r="AI227" i="45"/>
  <c r="AL227" i="45"/>
  <c r="AH227" i="45"/>
  <c r="AK227" i="45"/>
  <c r="AI499" i="45"/>
  <c r="AL499" i="45"/>
  <c r="AH499" i="45"/>
  <c r="AJ499" i="45"/>
  <c r="AK499" i="45"/>
  <c r="AL394" i="45"/>
  <c r="AH394" i="45"/>
  <c r="AK394" i="45"/>
  <c r="AJ394" i="45"/>
  <c r="AI394" i="45"/>
  <c r="AL418" i="45"/>
  <c r="AH418" i="45"/>
  <c r="AK418" i="45"/>
  <c r="AJ418" i="45"/>
  <c r="AI418" i="45"/>
  <c r="AK306" i="45"/>
  <c r="AJ306" i="45"/>
  <c r="AI306" i="45"/>
  <c r="AL306" i="45"/>
  <c r="AH306" i="45"/>
  <c r="AL480" i="45"/>
  <c r="AH480" i="45"/>
  <c r="AK480" i="45"/>
  <c r="AI480" i="45"/>
  <c r="AJ480" i="45"/>
  <c r="AI421" i="45"/>
  <c r="AL421" i="45"/>
  <c r="AH421" i="45"/>
  <c r="AK421" i="45"/>
  <c r="AJ421" i="45"/>
  <c r="AK270" i="45"/>
  <c r="AJ270" i="45"/>
  <c r="AI270" i="45"/>
  <c r="AL270" i="45"/>
  <c r="AH270" i="45"/>
  <c r="AJ486" i="45"/>
  <c r="AI486" i="45"/>
  <c r="AK486" i="45"/>
  <c r="AH486" i="45"/>
  <c r="AL486" i="45"/>
  <c r="AI272" i="45"/>
  <c r="AL272" i="45"/>
  <c r="AH272" i="45"/>
  <c r="AK272" i="45"/>
  <c r="AJ272" i="45"/>
  <c r="AJ464" i="45"/>
  <c r="AI464" i="45"/>
  <c r="AL464" i="45"/>
  <c r="AH464" i="45"/>
  <c r="AK464" i="45"/>
  <c r="AK527" i="45"/>
  <c r="AI527" i="45"/>
  <c r="AL527" i="45"/>
  <c r="AH527" i="45"/>
  <c r="AJ527" i="45"/>
  <c r="AJ600" i="45"/>
  <c r="AI600" i="45"/>
  <c r="AL600" i="45"/>
  <c r="AH600" i="45"/>
  <c r="AK600" i="45"/>
  <c r="AJ372" i="45"/>
  <c r="AI372" i="45"/>
  <c r="AL372" i="45"/>
  <c r="AH372" i="45"/>
  <c r="AK372" i="45"/>
  <c r="AL233" i="45"/>
  <c r="AH233" i="45"/>
  <c r="AK233" i="45"/>
  <c r="AJ233" i="45"/>
  <c r="AI233" i="45"/>
  <c r="AL322" i="45"/>
  <c r="AH322" i="45"/>
  <c r="AJ322" i="45"/>
  <c r="AI322" i="45"/>
  <c r="AK322" i="45"/>
  <c r="AI228" i="45"/>
  <c r="AL228" i="45"/>
  <c r="AH228" i="45"/>
  <c r="AK228" i="45"/>
  <c r="AJ228" i="45"/>
  <c r="AK238" i="45"/>
  <c r="AJ238" i="45"/>
  <c r="AI238" i="45"/>
  <c r="AL238" i="45"/>
  <c r="AH238" i="45"/>
  <c r="AJ320" i="45"/>
  <c r="AL320" i="45"/>
  <c r="AH320" i="45"/>
  <c r="AK320" i="45"/>
  <c r="AI320" i="45"/>
  <c r="AL297" i="45"/>
  <c r="AH297" i="45"/>
  <c r="AK297" i="45"/>
  <c r="AJ297" i="45"/>
  <c r="AI297" i="45"/>
  <c r="AJ303" i="45"/>
  <c r="AI303" i="45"/>
  <c r="AL303" i="45"/>
  <c r="AH303" i="45"/>
  <c r="AK303" i="45"/>
  <c r="AJ336" i="45"/>
  <c r="AL336" i="45"/>
  <c r="AH336" i="45"/>
  <c r="AK336" i="45"/>
  <c r="AI336" i="45"/>
  <c r="AL522" i="45"/>
  <c r="AH522" i="45"/>
  <c r="AJ522" i="45"/>
  <c r="AI522" i="45"/>
  <c r="AK522" i="45"/>
  <c r="AJ588" i="45"/>
  <c r="AI588" i="45"/>
  <c r="AL588" i="45"/>
  <c r="AH588" i="45"/>
  <c r="AK588" i="45"/>
  <c r="AI397" i="45"/>
  <c r="AL397" i="45"/>
  <c r="AH397" i="45"/>
  <c r="AK397" i="45"/>
  <c r="AJ397" i="45"/>
  <c r="AL466" i="45"/>
  <c r="AH466" i="45"/>
  <c r="AK466" i="45"/>
  <c r="AJ466" i="45"/>
  <c r="AI466" i="45"/>
  <c r="AK459" i="45"/>
  <c r="AJ459" i="45"/>
  <c r="AI459" i="45"/>
  <c r="AL459" i="45"/>
  <c r="AH459" i="45"/>
  <c r="AL558" i="45"/>
  <c r="AH558" i="45"/>
  <c r="AK558" i="45"/>
  <c r="AJ558" i="45"/>
  <c r="AI558" i="45"/>
  <c r="AJ516" i="45"/>
  <c r="AL516" i="45"/>
  <c r="AH516" i="45"/>
  <c r="AK516" i="45"/>
  <c r="AI516" i="45"/>
  <c r="AJ472" i="45"/>
  <c r="AI472" i="45"/>
  <c r="AL472" i="45"/>
  <c r="AH472" i="45"/>
  <c r="AK472" i="45"/>
  <c r="AK571" i="45"/>
  <c r="AJ571" i="45"/>
  <c r="AI571" i="45"/>
  <c r="AL571" i="45"/>
  <c r="AH571" i="45"/>
  <c r="AK539" i="45"/>
  <c r="AJ539" i="45"/>
  <c r="AI539" i="45"/>
  <c r="AL539" i="45"/>
  <c r="AH539" i="45"/>
  <c r="AL374" i="45"/>
  <c r="AH374" i="45"/>
  <c r="AK374" i="45"/>
  <c r="AJ374" i="45"/>
  <c r="AI374" i="45"/>
  <c r="AL550" i="45"/>
  <c r="AH550" i="45"/>
  <c r="AK550" i="45"/>
  <c r="AJ550" i="45"/>
  <c r="AI550" i="45"/>
  <c r="AL530" i="45"/>
  <c r="AH530" i="45"/>
  <c r="AJ530" i="45"/>
  <c r="AI530" i="45"/>
  <c r="AK530" i="45"/>
  <c r="AJ502" i="45"/>
  <c r="AI502" i="45"/>
  <c r="AH502" i="45"/>
  <c r="AL502" i="45"/>
  <c r="AK502" i="45"/>
  <c r="AI601" i="45"/>
  <c r="AL601" i="45"/>
  <c r="AH601" i="45"/>
  <c r="AK601" i="45"/>
  <c r="AJ601" i="45"/>
  <c r="AJ420" i="45"/>
  <c r="AI420" i="45"/>
  <c r="AL420" i="45"/>
  <c r="AH420" i="45"/>
  <c r="AK420" i="45"/>
  <c r="AL496" i="45"/>
  <c r="AH496" i="45"/>
  <c r="AK496" i="45"/>
  <c r="AJ496" i="45"/>
  <c r="AI496" i="45"/>
  <c r="AK29" i="45"/>
  <c r="AI29" i="45"/>
  <c r="AJ29" i="45"/>
  <c r="AL29" i="45"/>
  <c r="AH29" i="45"/>
  <c r="AI521" i="45"/>
  <c r="AK521" i="45"/>
  <c r="AJ521" i="45"/>
  <c r="AL521" i="45"/>
  <c r="AH521" i="45"/>
  <c r="AL354" i="45"/>
  <c r="AH354" i="45"/>
  <c r="AJ354" i="45"/>
  <c r="AI354" i="45"/>
  <c r="AK354" i="45"/>
  <c r="AL526" i="45"/>
  <c r="AH526" i="45"/>
  <c r="AJ526" i="45"/>
  <c r="AI526" i="45"/>
  <c r="AK526" i="45"/>
  <c r="AK379" i="45"/>
  <c r="AJ379" i="45"/>
  <c r="AI379" i="45"/>
  <c r="AL379" i="45"/>
  <c r="AH379" i="45"/>
  <c r="AJ508" i="45"/>
  <c r="AL508" i="45"/>
  <c r="AH508" i="45"/>
  <c r="AK508" i="45"/>
  <c r="AI508" i="45"/>
  <c r="AI220" i="45"/>
  <c r="AL220" i="45"/>
  <c r="AH220" i="45"/>
  <c r="AK220" i="45"/>
  <c r="AJ220" i="45"/>
  <c r="AK274" i="45"/>
  <c r="AJ274" i="45"/>
  <c r="AI274" i="45"/>
  <c r="AL274" i="45"/>
  <c r="AH274" i="45"/>
  <c r="AL205" i="45"/>
  <c r="AH205" i="45"/>
  <c r="AK205" i="45"/>
  <c r="AJ205" i="45"/>
  <c r="AI205" i="45"/>
  <c r="AJ207" i="45"/>
  <c r="AI207" i="45"/>
  <c r="AL207" i="45"/>
  <c r="AH207" i="45"/>
  <c r="AK207" i="45"/>
  <c r="AI244" i="45"/>
  <c r="AL244" i="45"/>
  <c r="AH244" i="45"/>
  <c r="AK244" i="45"/>
  <c r="AJ244" i="45"/>
  <c r="AI232" i="45"/>
  <c r="AL232" i="45"/>
  <c r="AH232" i="45"/>
  <c r="AK232" i="45"/>
  <c r="AJ232" i="45"/>
  <c r="AK218" i="45"/>
  <c r="AJ218" i="45"/>
  <c r="AI218" i="45"/>
  <c r="AL218" i="45"/>
  <c r="AH218" i="45"/>
  <c r="AI204" i="45"/>
  <c r="AL204" i="45"/>
  <c r="AH204" i="45"/>
  <c r="AK204" i="45"/>
  <c r="AJ204" i="45"/>
  <c r="AM114" i="45"/>
  <c r="AM413" i="45"/>
  <c r="AM271" i="45"/>
  <c r="AM591" i="45"/>
  <c r="AM212" i="45"/>
  <c r="AM401" i="45"/>
  <c r="AM197" i="45"/>
  <c r="AM415" i="45"/>
  <c r="AM543" i="45"/>
  <c r="AM117" i="45"/>
  <c r="AM184" i="45"/>
  <c r="AM128" i="45"/>
  <c r="AM110" i="45"/>
  <c r="AI288" i="45"/>
  <c r="AL288" i="45"/>
  <c r="AH288" i="45"/>
  <c r="AK288" i="45"/>
  <c r="AJ288" i="45"/>
  <c r="AJ376" i="45"/>
  <c r="AI376" i="45"/>
  <c r="AL376" i="45"/>
  <c r="AH376" i="45"/>
  <c r="AK376" i="45"/>
  <c r="AL289" i="45"/>
  <c r="AH289" i="45"/>
  <c r="AK289" i="45"/>
  <c r="AJ289" i="45"/>
  <c r="AI289" i="45"/>
  <c r="AL173" i="45"/>
  <c r="AH173" i="45"/>
  <c r="AJ173" i="45"/>
  <c r="AI173" i="45"/>
  <c r="AK173" i="45"/>
  <c r="AJ195" i="45"/>
  <c r="AI195" i="45"/>
  <c r="AL195" i="45"/>
  <c r="AH195" i="45"/>
  <c r="AK195" i="45"/>
  <c r="AL237" i="45"/>
  <c r="AH237" i="45"/>
  <c r="AK237" i="45"/>
  <c r="AJ237" i="45"/>
  <c r="AI237" i="45"/>
  <c r="AI156" i="45"/>
  <c r="AK156" i="45"/>
  <c r="AJ156" i="45"/>
  <c r="AL156" i="45"/>
  <c r="AH156" i="45"/>
  <c r="AJ66" i="45"/>
  <c r="AI66" i="45"/>
  <c r="AL66" i="45"/>
  <c r="AH66" i="45"/>
  <c r="AK66" i="45"/>
  <c r="AI37" i="45"/>
  <c r="AK37" i="45"/>
  <c r="AL37" i="45"/>
  <c r="AH37" i="45"/>
  <c r="AJ37" i="45"/>
  <c r="AJ344" i="45"/>
  <c r="AL344" i="45"/>
  <c r="AH344" i="45"/>
  <c r="AK344" i="45"/>
  <c r="AI344" i="45"/>
  <c r="AK407" i="45"/>
  <c r="AJ407" i="45"/>
  <c r="AI407" i="45"/>
  <c r="AL407" i="45"/>
  <c r="AH407" i="45"/>
  <c r="AL108" i="45"/>
  <c r="AH108" i="45"/>
  <c r="AK108" i="45"/>
  <c r="AJ108" i="45"/>
  <c r="AI108" i="45"/>
  <c r="AK485" i="45"/>
  <c r="AJ485" i="45"/>
  <c r="AL485" i="45"/>
  <c r="AI485" i="45"/>
  <c r="AH485" i="45"/>
  <c r="AL257" i="45"/>
  <c r="AH257" i="45"/>
  <c r="AK257" i="45"/>
  <c r="AJ257" i="45"/>
  <c r="AI257" i="45"/>
  <c r="AI99" i="45"/>
  <c r="AL99" i="45"/>
  <c r="AH99" i="45"/>
  <c r="AK99" i="45"/>
  <c r="AJ99" i="45"/>
  <c r="AI208" i="45"/>
  <c r="AL208" i="45"/>
  <c r="AH208" i="45"/>
  <c r="AK208" i="45"/>
  <c r="AJ208" i="45"/>
  <c r="AK567" i="45"/>
  <c r="AJ567" i="45"/>
  <c r="AI567" i="45"/>
  <c r="AL567" i="45"/>
  <c r="AH567" i="45"/>
  <c r="AI429" i="45"/>
  <c r="AL429" i="45"/>
  <c r="AH429" i="45"/>
  <c r="AK429" i="45"/>
  <c r="AJ429" i="45"/>
  <c r="AI441" i="45"/>
  <c r="AL441" i="45"/>
  <c r="AH441" i="45"/>
  <c r="AK441" i="45"/>
  <c r="AJ441" i="45"/>
  <c r="AI47" i="45"/>
  <c r="AL47" i="45"/>
  <c r="AK47" i="45"/>
  <c r="AH47" i="45"/>
  <c r="AJ47" i="45"/>
  <c r="AJ400" i="45"/>
  <c r="AI400" i="45"/>
  <c r="AL400" i="45"/>
  <c r="AH400" i="45"/>
  <c r="AK400" i="45"/>
  <c r="AJ247" i="45"/>
  <c r="AI247" i="45"/>
  <c r="AL247" i="45"/>
  <c r="AH247" i="45"/>
  <c r="AK247" i="45"/>
  <c r="AI345" i="45"/>
  <c r="AK345" i="45"/>
  <c r="AJ345" i="45"/>
  <c r="AL345" i="45"/>
  <c r="AH345" i="45"/>
  <c r="AK375" i="45"/>
  <c r="AJ375" i="45"/>
  <c r="AI375" i="45"/>
  <c r="AL375" i="45"/>
  <c r="AH375" i="45"/>
  <c r="AJ295" i="45"/>
  <c r="AI295" i="45"/>
  <c r="AL295" i="45"/>
  <c r="AH295" i="45"/>
  <c r="AK295" i="45"/>
  <c r="AJ263" i="45"/>
  <c r="AI263" i="45"/>
  <c r="AL263" i="45"/>
  <c r="AH263" i="45"/>
  <c r="AK263" i="45"/>
  <c r="AL434" i="45"/>
  <c r="AH434" i="45"/>
  <c r="AK434" i="45"/>
  <c r="AJ434" i="45"/>
  <c r="AI434" i="45"/>
  <c r="AL386" i="45"/>
  <c r="AH386" i="45"/>
  <c r="AK386" i="45"/>
  <c r="AJ386" i="45"/>
  <c r="AI386" i="45"/>
  <c r="AI71" i="45"/>
  <c r="AH71" i="45"/>
  <c r="AK71" i="45"/>
  <c r="AJ71" i="45"/>
  <c r="AL71" i="45"/>
  <c r="AK266" i="45"/>
  <c r="AJ266" i="45"/>
  <c r="AI266" i="45"/>
  <c r="AL266" i="45"/>
  <c r="AH266" i="45"/>
  <c r="AH27" i="45"/>
  <c r="AL27" i="45"/>
  <c r="AK27" i="45"/>
  <c r="AI27" i="45"/>
  <c r="AJ27" i="45"/>
  <c r="AI389" i="45"/>
  <c r="AL389" i="45"/>
  <c r="AH389" i="45"/>
  <c r="AK389" i="45"/>
  <c r="AJ389" i="45"/>
  <c r="AI541" i="45"/>
  <c r="AL541" i="45"/>
  <c r="AH541" i="45"/>
  <c r="AK541" i="45"/>
  <c r="AJ541" i="45"/>
  <c r="AJ448" i="45"/>
  <c r="AI448" i="45"/>
  <c r="AL448" i="45"/>
  <c r="AH448" i="45"/>
  <c r="AK448" i="45"/>
  <c r="AK150" i="45"/>
  <c r="AI150" i="45"/>
  <c r="AL150" i="45"/>
  <c r="AH150" i="45"/>
  <c r="AJ150" i="45"/>
  <c r="AJ476" i="45"/>
  <c r="AI476" i="45"/>
  <c r="AL476" i="45"/>
  <c r="AH476" i="45"/>
  <c r="AK476" i="45"/>
  <c r="AL56" i="45"/>
  <c r="AH56" i="45"/>
  <c r="AK56" i="45"/>
  <c r="AJ56" i="45"/>
  <c r="AI56" i="45"/>
  <c r="AJ102" i="45"/>
  <c r="AI102" i="45"/>
  <c r="AL102" i="45"/>
  <c r="AH102" i="45"/>
  <c r="AK102" i="45"/>
  <c r="AK310" i="45"/>
  <c r="AJ310" i="45"/>
  <c r="AI310" i="45"/>
  <c r="AL310" i="45"/>
  <c r="AH310" i="45"/>
  <c r="AJ86" i="45"/>
  <c r="AI86" i="45"/>
  <c r="AL86" i="45"/>
  <c r="AH86" i="45"/>
  <c r="AK86" i="45"/>
  <c r="AK599" i="45"/>
  <c r="AJ599" i="45"/>
  <c r="AI599" i="45"/>
  <c r="AL599" i="45"/>
  <c r="AH599" i="45"/>
  <c r="AJ456" i="45"/>
  <c r="AI456" i="45"/>
  <c r="AL456" i="45"/>
  <c r="AH456" i="45"/>
  <c r="AK456" i="45"/>
  <c r="AL193" i="45"/>
  <c r="AH193" i="45"/>
  <c r="AK193" i="45"/>
  <c r="AJ193" i="45"/>
  <c r="AI193" i="45"/>
  <c r="AJ524" i="45"/>
  <c r="AL524" i="45"/>
  <c r="AH524" i="45"/>
  <c r="AK524" i="45"/>
  <c r="AI524" i="45"/>
  <c r="AL410" i="45"/>
  <c r="AH410" i="45"/>
  <c r="AK410" i="45"/>
  <c r="AJ410" i="45"/>
  <c r="AI410" i="45"/>
  <c r="AK315" i="45"/>
  <c r="AI315" i="45"/>
  <c r="AL315" i="45"/>
  <c r="AH315" i="45"/>
  <c r="AJ315" i="45"/>
  <c r="AK49" i="45"/>
  <c r="AI49" i="45"/>
  <c r="AJ49" i="45"/>
  <c r="AL49" i="45"/>
  <c r="AH49" i="45"/>
  <c r="AI369" i="45"/>
  <c r="AL369" i="45"/>
  <c r="AH369" i="45"/>
  <c r="AK369" i="45"/>
  <c r="AJ369" i="45"/>
  <c r="AL136" i="45"/>
  <c r="AH136" i="45"/>
  <c r="AK136" i="45"/>
  <c r="AJ136" i="45"/>
  <c r="AI136" i="45"/>
  <c r="AL68" i="45"/>
  <c r="AH68" i="45"/>
  <c r="AJ68" i="45"/>
  <c r="AK68" i="45"/>
  <c r="AI68" i="45"/>
  <c r="AL330" i="45"/>
  <c r="AH330" i="45"/>
  <c r="AJ330" i="45"/>
  <c r="AI330" i="45"/>
  <c r="AK330" i="45"/>
  <c r="AJ348" i="45"/>
  <c r="AL348" i="45"/>
  <c r="AH348" i="45"/>
  <c r="AK348" i="45"/>
  <c r="AI348" i="45"/>
  <c r="AI75" i="45"/>
  <c r="AL75" i="45"/>
  <c r="AH75" i="45"/>
  <c r="AK75" i="45"/>
  <c r="AJ75" i="45"/>
  <c r="AJ106" i="45"/>
  <c r="AI106" i="45"/>
  <c r="AL106" i="45"/>
  <c r="AH106" i="45"/>
  <c r="AK106" i="45"/>
  <c r="AK57" i="45"/>
  <c r="AJ57" i="45"/>
  <c r="AI57" i="45"/>
  <c r="AL57" i="45"/>
  <c r="AH57" i="45"/>
  <c r="AK435" i="45"/>
  <c r="AJ435" i="45"/>
  <c r="AI435" i="45"/>
  <c r="AL435" i="45"/>
  <c r="AH435" i="45"/>
  <c r="AI123" i="45"/>
  <c r="AL123" i="45"/>
  <c r="AH123" i="45"/>
  <c r="AK123" i="45"/>
  <c r="AJ123" i="45"/>
  <c r="AL153" i="45"/>
  <c r="AH153" i="45"/>
  <c r="AJ153" i="45"/>
  <c r="AI153" i="45"/>
  <c r="AK153" i="45"/>
  <c r="AL132" i="45"/>
  <c r="AH132" i="45"/>
  <c r="AK132" i="45"/>
  <c r="AJ132" i="45"/>
  <c r="AI132" i="45"/>
  <c r="AK170" i="45"/>
  <c r="AI170" i="45"/>
  <c r="AL170" i="45"/>
  <c r="AH170" i="45"/>
  <c r="AJ170" i="45"/>
  <c r="AL462" i="45"/>
  <c r="AH462" i="45"/>
  <c r="AK462" i="45"/>
  <c r="AJ462" i="45"/>
  <c r="AI462" i="45"/>
  <c r="AJ146" i="45"/>
  <c r="AI146" i="45"/>
  <c r="AL146" i="45"/>
  <c r="AH146" i="45"/>
  <c r="AK146" i="45"/>
  <c r="AL406" i="45"/>
  <c r="AH406" i="45"/>
  <c r="AK406" i="45"/>
  <c r="AJ406" i="45"/>
  <c r="AI406" i="45"/>
  <c r="AI553" i="45"/>
  <c r="AL553" i="45"/>
  <c r="AH553" i="45"/>
  <c r="AK553" i="45"/>
  <c r="AJ553" i="45"/>
  <c r="AI115" i="45"/>
  <c r="AL115" i="45"/>
  <c r="AH115" i="45"/>
  <c r="AK115" i="45"/>
  <c r="AJ115" i="45"/>
  <c r="AI449" i="45"/>
  <c r="AL449" i="45"/>
  <c r="AH449" i="45"/>
  <c r="AK449" i="45"/>
  <c r="AJ449" i="45"/>
  <c r="AL273" i="45"/>
  <c r="AH273" i="45"/>
  <c r="AK273" i="45"/>
  <c r="AJ273" i="45"/>
  <c r="AI273" i="45"/>
  <c r="AI38" i="45"/>
  <c r="AL38" i="45"/>
  <c r="AH38" i="45"/>
  <c r="AJ38" i="45"/>
  <c r="AK38" i="45"/>
  <c r="AJ191" i="45"/>
  <c r="AI191" i="45"/>
  <c r="AL191" i="45"/>
  <c r="AH191" i="45"/>
  <c r="AK191" i="45"/>
  <c r="AI152" i="45"/>
  <c r="AK152" i="45"/>
  <c r="AJ152" i="45"/>
  <c r="AL152" i="45"/>
  <c r="AH152" i="45"/>
  <c r="AJ239" i="45"/>
  <c r="AI239" i="45"/>
  <c r="AL239" i="45"/>
  <c r="AH239" i="45"/>
  <c r="AK239" i="45"/>
  <c r="AJ243" i="45"/>
  <c r="AI243" i="45"/>
  <c r="AL243" i="45"/>
  <c r="AH243" i="45"/>
  <c r="AK243" i="45"/>
  <c r="AK254" i="45"/>
  <c r="AJ254" i="45"/>
  <c r="AI254" i="45"/>
  <c r="AL254" i="45"/>
  <c r="AH254" i="45"/>
  <c r="AK351" i="45"/>
  <c r="AI351" i="45"/>
  <c r="AL351" i="45"/>
  <c r="AH351" i="45"/>
  <c r="AJ351" i="45"/>
  <c r="AI304" i="45"/>
  <c r="AL304" i="45"/>
  <c r="AH304" i="45"/>
  <c r="AK304" i="45"/>
  <c r="AJ304" i="45"/>
  <c r="AK343" i="45"/>
  <c r="AI343" i="45"/>
  <c r="AL343" i="45"/>
  <c r="AH343" i="45"/>
  <c r="AJ343" i="45"/>
  <c r="AJ235" i="45"/>
  <c r="AI235" i="45"/>
  <c r="AL235" i="45"/>
  <c r="AH235" i="45"/>
  <c r="AK235" i="45"/>
  <c r="AL60" i="45"/>
  <c r="AH60" i="45"/>
  <c r="AJ60" i="45"/>
  <c r="AI60" i="45"/>
  <c r="AK60" i="45"/>
  <c r="AL48" i="45"/>
  <c r="AH48" i="45"/>
  <c r="AJ48" i="45"/>
  <c r="AK48" i="45"/>
  <c r="AI48" i="45"/>
  <c r="AK471" i="45"/>
  <c r="AJ471" i="45"/>
  <c r="AI471" i="45"/>
  <c r="AL471" i="45"/>
  <c r="AH471" i="45"/>
  <c r="AJ316" i="45"/>
  <c r="AL316" i="45"/>
  <c r="AH316" i="45"/>
  <c r="AK316" i="45"/>
  <c r="AI316" i="45"/>
  <c r="AL566" i="45"/>
  <c r="AH566" i="45"/>
  <c r="AK566" i="45"/>
  <c r="AJ566" i="45"/>
  <c r="AI566" i="45"/>
  <c r="AK411" i="45"/>
  <c r="AJ411" i="45"/>
  <c r="AI411" i="45"/>
  <c r="AL411" i="45"/>
  <c r="AH411" i="45"/>
  <c r="AL221" i="45"/>
  <c r="AH221" i="45"/>
  <c r="AK221" i="45"/>
  <c r="AJ221" i="45"/>
  <c r="AI221" i="45"/>
  <c r="AK133" i="45"/>
  <c r="AJ133" i="45"/>
  <c r="AI133" i="45"/>
  <c r="AL133" i="45"/>
  <c r="AH133" i="45"/>
  <c r="AK262" i="45"/>
  <c r="AJ262" i="45"/>
  <c r="AI262" i="45"/>
  <c r="AL262" i="45"/>
  <c r="AH262" i="45"/>
  <c r="AI143" i="45"/>
  <c r="AL143" i="45"/>
  <c r="AH143" i="45"/>
  <c r="AK143" i="45"/>
  <c r="AJ143" i="45"/>
  <c r="AJ219" i="45"/>
  <c r="AI219" i="45"/>
  <c r="AL219" i="45"/>
  <c r="AH219" i="45"/>
  <c r="AK219" i="45"/>
  <c r="AK298" i="45"/>
  <c r="AJ298" i="45"/>
  <c r="AI298" i="45"/>
  <c r="AL298" i="45"/>
  <c r="AH298" i="45"/>
  <c r="AI256" i="45"/>
  <c r="AL256" i="45"/>
  <c r="AH256" i="45"/>
  <c r="AK256" i="45"/>
  <c r="AJ256" i="45"/>
  <c r="AI409" i="45"/>
  <c r="AL409" i="45"/>
  <c r="AH409" i="45"/>
  <c r="AK409" i="45"/>
  <c r="AJ409" i="45"/>
  <c r="AJ307" i="45"/>
  <c r="AI307" i="45"/>
  <c r="AL307" i="45"/>
  <c r="AH307" i="45"/>
  <c r="AK307" i="45"/>
  <c r="AJ452" i="45"/>
  <c r="AI452" i="45"/>
  <c r="AL452" i="45"/>
  <c r="AH452" i="45"/>
  <c r="AK452" i="45"/>
  <c r="AL458" i="45"/>
  <c r="AH458" i="45"/>
  <c r="AK458" i="45"/>
  <c r="AJ458" i="45"/>
  <c r="AI458" i="45"/>
  <c r="AK535" i="45"/>
  <c r="AI535" i="45"/>
  <c r="AL535" i="45"/>
  <c r="AH535" i="45"/>
  <c r="AJ535" i="45"/>
  <c r="AL338" i="45"/>
  <c r="AH338" i="45"/>
  <c r="AJ338" i="45"/>
  <c r="AI338" i="45"/>
  <c r="AK338" i="45"/>
  <c r="AI569" i="45"/>
  <c r="AL569" i="45"/>
  <c r="AH569" i="45"/>
  <c r="AK569" i="45"/>
  <c r="AJ569" i="45"/>
  <c r="AI365" i="45"/>
  <c r="AL365" i="45"/>
  <c r="AH365" i="45"/>
  <c r="AK365" i="45"/>
  <c r="AJ365" i="45"/>
  <c r="AK367" i="45"/>
  <c r="AJ367" i="45"/>
  <c r="AI367" i="45"/>
  <c r="AL367" i="45"/>
  <c r="AH367" i="45"/>
  <c r="AI557" i="45"/>
  <c r="AL557" i="45"/>
  <c r="AH557" i="45"/>
  <c r="AK557" i="45"/>
  <c r="AJ557" i="45"/>
  <c r="AL450" i="45"/>
  <c r="AH450" i="45"/>
  <c r="AK450" i="45"/>
  <c r="AJ450" i="45"/>
  <c r="AI450" i="45"/>
  <c r="AK363" i="45"/>
  <c r="AJ363" i="45"/>
  <c r="AI363" i="45"/>
  <c r="AL363" i="45"/>
  <c r="AH363" i="45"/>
  <c r="AL574" i="45"/>
  <c r="AH574" i="45"/>
  <c r="AK574" i="45"/>
  <c r="AJ574" i="45"/>
  <c r="AI574" i="45"/>
  <c r="AI433" i="45"/>
  <c r="AL433" i="45"/>
  <c r="AH433" i="45"/>
  <c r="AK433" i="45"/>
  <c r="AJ433" i="45"/>
  <c r="AJ490" i="45"/>
  <c r="AI490" i="45"/>
  <c r="AL490" i="45"/>
  <c r="AK490" i="45"/>
  <c r="AH490" i="45"/>
  <c r="AJ388" i="45"/>
  <c r="AI388" i="45"/>
  <c r="AL388" i="45"/>
  <c r="AH388" i="45"/>
  <c r="AK388" i="45"/>
  <c r="AI357" i="45"/>
  <c r="AL357" i="45"/>
  <c r="AH357" i="45"/>
  <c r="AK357" i="45"/>
  <c r="AJ357" i="45"/>
  <c r="AL378" i="45"/>
  <c r="AH378" i="45"/>
  <c r="AK378" i="45"/>
  <c r="AJ378" i="45"/>
  <c r="AI378" i="45"/>
  <c r="AL269" i="45"/>
  <c r="AH269" i="45"/>
  <c r="AK269" i="45"/>
  <c r="AJ269" i="45"/>
  <c r="AI269" i="45"/>
  <c r="AI525" i="45"/>
  <c r="AK525" i="45"/>
  <c r="AJ525" i="45"/>
  <c r="AH525" i="45"/>
  <c r="AL525" i="45"/>
  <c r="AL514" i="45"/>
  <c r="AH514" i="45"/>
  <c r="AJ514" i="45"/>
  <c r="AI514" i="45"/>
  <c r="AK514" i="45"/>
  <c r="AJ275" i="45"/>
  <c r="AI275" i="45"/>
  <c r="AL275" i="45"/>
  <c r="AH275" i="45"/>
  <c r="AK275" i="45"/>
  <c r="AI333" i="45"/>
  <c r="AK333" i="45"/>
  <c r="AJ333" i="45"/>
  <c r="AH333" i="45"/>
  <c r="AL333" i="45"/>
  <c r="AK481" i="45"/>
  <c r="AJ481" i="45"/>
  <c r="AH481" i="45"/>
  <c r="AL481" i="45"/>
  <c r="AI481" i="45"/>
  <c r="AM34" i="45"/>
  <c r="AM30" i="45"/>
  <c r="AM362" i="45"/>
  <c r="AM50" i="45"/>
  <c r="AM73" i="45"/>
  <c r="AM403" i="45"/>
  <c r="AM572" i="45"/>
  <c r="AM151" i="45"/>
  <c r="AM548" i="45"/>
  <c r="AM24" i="45"/>
  <c r="AM25" i="45"/>
  <c r="AM302" i="45"/>
  <c r="AD2" i="45"/>
  <c r="P2" i="45"/>
  <c r="P3" i="45" s="1"/>
  <c r="P4" i="45" s="1"/>
  <c r="P5" i="45" s="1"/>
  <c r="P6" i="45" s="1"/>
  <c r="P7" i="45" s="1"/>
  <c r="P8" i="45" s="1"/>
  <c r="P9" i="45" s="1"/>
  <c r="P10" i="45" s="1"/>
  <c r="P11" i="45" s="1"/>
  <c r="P12" i="45" s="1"/>
  <c r="P13" i="45" s="1"/>
  <c r="P14" i="45" s="1"/>
  <c r="P15" i="45" s="1"/>
  <c r="D19" i="45" s="1"/>
  <c r="B19" i="45" s="1"/>
  <c r="AO22" i="45"/>
  <c r="AC22" i="45" s="1"/>
  <c r="M7" i="35"/>
  <c r="W13" i="35" s="1"/>
  <c r="T24" i="35"/>
  <c r="V13" i="35"/>
  <c r="AK25" i="35" s="1"/>
  <c r="AR39" i="35"/>
  <c r="AM155" i="45" l="1"/>
  <c r="AM69" i="45"/>
  <c r="AM88" i="45"/>
  <c r="AM26" i="45"/>
  <c r="AM311" i="45"/>
  <c r="AM83" i="45"/>
  <c r="AM142" i="45"/>
  <c r="AM103" i="45"/>
  <c r="AM331" i="45"/>
  <c r="AM119" i="45"/>
  <c r="AM555" i="45"/>
  <c r="AM356" i="45"/>
  <c r="AM587" i="45"/>
  <c r="AM89" i="45"/>
  <c r="AM549" i="45"/>
  <c r="AM44" i="45"/>
  <c r="AM190" i="45"/>
  <c r="AM199" i="45"/>
  <c r="AM164" i="45"/>
  <c r="AM74" i="45"/>
  <c r="AM111" i="45"/>
  <c r="AM294" i="45"/>
  <c r="AM515" i="45"/>
  <c r="AM340" i="45"/>
  <c r="AM78" i="45"/>
  <c r="AM346" i="45"/>
  <c r="AM370" i="45"/>
  <c r="AM604" i="45"/>
  <c r="AM53" i="45"/>
  <c r="AM59" i="45"/>
  <c r="AM267" i="45"/>
  <c r="AM97" i="45"/>
  <c r="AM72" i="45"/>
  <c r="AM130" i="45"/>
  <c r="AM592" i="45"/>
  <c r="AM84" i="45"/>
  <c r="AM210" i="45"/>
  <c r="AM174" i="45"/>
  <c r="AM423" i="45"/>
  <c r="AM166" i="45"/>
  <c r="AM127" i="45"/>
  <c r="AM169" i="45"/>
  <c r="AM350" i="45"/>
  <c r="AM112" i="45"/>
  <c r="AM125" i="45"/>
  <c r="AM194" i="45"/>
  <c r="AM453" i="45"/>
  <c r="AM317" i="45"/>
  <c r="AM352" i="45"/>
  <c r="AM478" i="45"/>
  <c r="AM134" i="45"/>
  <c r="AM101" i="45"/>
  <c r="AM188" i="45"/>
  <c r="AM217" i="45"/>
  <c r="AM286" i="45"/>
  <c r="AM91" i="45"/>
  <c r="AM90" i="45"/>
  <c r="AM337" i="45"/>
  <c r="AM565" i="45"/>
  <c r="AM284" i="45"/>
  <c r="AM185" i="45"/>
  <c r="AJ27" i="35"/>
  <c r="AJ32" i="35"/>
  <c r="AJ30" i="35"/>
  <c r="AJ35" i="35"/>
  <c r="AJ39" i="35"/>
  <c r="AJ28" i="35"/>
  <c r="AS38" i="35" s="1"/>
  <c r="AJ36" i="35"/>
  <c r="AJ37" i="35"/>
  <c r="AJ38" i="35"/>
  <c r="AJ26" i="35"/>
  <c r="AJ33" i="35"/>
  <c r="AJ29" i="35"/>
  <c r="AJ34" i="35"/>
  <c r="AJ31" i="35"/>
  <c r="AM104" i="45"/>
  <c r="AM61" i="45"/>
  <c r="AM158" i="45"/>
  <c r="AM120" i="45"/>
  <c r="AM122" i="45"/>
  <c r="AM201" i="45"/>
  <c r="AM107" i="45"/>
  <c r="AM291" i="45"/>
  <c r="AM171" i="45"/>
  <c r="AM135" i="45"/>
  <c r="AM347" i="45"/>
  <c r="AM87" i="45"/>
  <c r="AM576" i="45"/>
  <c r="AM172" i="45"/>
  <c r="AM290" i="45"/>
  <c r="AM80" i="45"/>
  <c r="AM124" i="45"/>
  <c r="AM501" i="45"/>
  <c r="AM318" i="45"/>
  <c r="AM165" i="45"/>
  <c r="AM100" i="45"/>
  <c r="AM182" i="45"/>
  <c r="AM162" i="45"/>
  <c r="AM121" i="45"/>
  <c r="AM408" i="45"/>
  <c r="AM180" i="45"/>
  <c r="AM85" i="45"/>
  <c r="AM214" i="45"/>
  <c r="AM277" i="45"/>
  <c r="AM94" i="45"/>
  <c r="AM492" i="45"/>
  <c r="AM280" i="45"/>
  <c r="AM500" i="45"/>
  <c r="AM186" i="45"/>
  <c r="AM497" i="45"/>
  <c r="AM196" i="45"/>
  <c r="AM540" i="45"/>
  <c r="AM327" i="45"/>
  <c r="AM229" i="45"/>
  <c r="AM342" i="45"/>
  <c r="AM308" i="45"/>
  <c r="AM276" i="45"/>
  <c r="AM425" i="45"/>
  <c r="AM198" i="45"/>
  <c r="AM179" i="45"/>
  <c r="AM175" i="45"/>
  <c r="AM98" i="45"/>
  <c r="AM76" i="45"/>
  <c r="AM126" i="45"/>
  <c r="AM189" i="45"/>
  <c r="AM116" i="45"/>
  <c r="AM137" i="45"/>
  <c r="AM113" i="45"/>
  <c r="AM160" i="45"/>
  <c r="AM187" i="45"/>
  <c r="AC44" i="35"/>
  <c r="AS27" i="35" s="1"/>
  <c r="AM463" i="45"/>
  <c r="AM428" i="45"/>
  <c r="AM513" i="45"/>
  <c r="AM538" i="45"/>
  <c r="AM241" i="45"/>
  <c r="AM438" i="45"/>
  <c r="AM285" i="45"/>
  <c r="AM264" i="45"/>
  <c r="AM594" i="45"/>
  <c r="AM563" i="45"/>
  <c r="AM507" i="45"/>
  <c r="AM546" i="45"/>
  <c r="AM511" i="45"/>
  <c r="AM147" i="45"/>
  <c r="AM518" i="45"/>
  <c r="AM283" i="45"/>
  <c r="AM398" i="45"/>
  <c r="AM412" i="45"/>
  <c r="AM479" i="45"/>
  <c r="AM509" i="45"/>
  <c r="AM299" i="45"/>
  <c r="AM534" i="45"/>
  <c r="AM436" i="45"/>
  <c r="AM382" i="45"/>
  <c r="AM536" i="45"/>
  <c r="AM143" i="45"/>
  <c r="AM386" i="45"/>
  <c r="AM153" i="45"/>
  <c r="AM266" i="45"/>
  <c r="AM47" i="45"/>
  <c r="AM237" i="45"/>
  <c r="AM595" i="45"/>
  <c r="AM454" i="45"/>
  <c r="AM373" i="45"/>
  <c r="AM293" i="45"/>
  <c r="AM390" i="45"/>
  <c r="AM449" i="45"/>
  <c r="AM541" i="45"/>
  <c r="AM441" i="45"/>
  <c r="AM208" i="45"/>
  <c r="AM131" i="45"/>
  <c r="AM260" i="45"/>
  <c r="AM236" i="45"/>
  <c r="AM466" i="45"/>
  <c r="AM334" i="45"/>
  <c r="AM410" i="45"/>
  <c r="AM257" i="45"/>
  <c r="AM65" i="45"/>
  <c r="AM419" i="45"/>
  <c r="AM566" i="45"/>
  <c r="AM192" i="45"/>
  <c r="AM409" i="45"/>
  <c r="AM218" i="45"/>
  <c r="AM216" i="45"/>
  <c r="AM597" i="45"/>
  <c r="AM226" i="45"/>
  <c r="AM39" i="45"/>
  <c r="AM55" i="45"/>
  <c r="AM564" i="45"/>
  <c r="AM542" i="45"/>
  <c r="AM426" i="45"/>
  <c r="AM296" i="45"/>
  <c r="AM544" i="45"/>
  <c r="AM414" i="45"/>
  <c r="AM445" i="45"/>
  <c r="AM585" i="45"/>
  <c r="AM575" i="45"/>
  <c r="AM324" i="45"/>
  <c r="AM380" i="45"/>
  <c r="AM582" i="45"/>
  <c r="AM431" i="45"/>
  <c r="AM584" i="45"/>
  <c r="AM559" i="45"/>
  <c r="AM528" i="45"/>
  <c r="AM32" i="45"/>
  <c r="AM309" i="45"/>
  <c r="AM417" i="45"/>
  <c r="AM95" i="45"/>
  <c r="AM484" i="45"/>
  <c r="AM461" i="45"/>
  <c r="AM430" i="45"/>
  <c r="AM250" i="45"/>
  <c r="AM562" i="45"/>
  <c r="AM573" i="45"/>
  <c r="AM377" i="45"/>
  <c r="AM366" i="45"/>
  <c r="AM451" i="45"/>
  <c r="AM252" i="45"/>
  <c r="AM465" i="45"/>
  <c r="AM446" i="45"/>
  <c r="AM483" i="45"/>
  <c r="AM314" i="45"/>
  <c r="AM323" i="45"/>
  <c r="AM396" i="45"/>
  <c r="AM364" i="45"/>
  <c r="AM177" i="45"/>
  <c r="AM469" i="45"/>
  <c r="AM368" i="45"/>
  <c r="AM560" i="45"/>
  <c r="AM424" i="45"/>
  <c r="AM583" i="45"/>
  <c r="AM477" i="45"/>
  <c r="AM416" i="45"/>
  <c r="AM460" i="45"/>
  <c r="AM491" i="45"/>
  <c r="AM493" i="45"/>
  <c r="AM371" i="45"/>
  <c r="AM365" i="45"/>
  <c r="AM351" i="45"/>
  <c r="AM273" i="45"/>
  <c r="AM115" i="45"/>
  <c r="AM406" i="45"/>
  <c r="AM132" i="45"/>
  <c r="AM123" i="45"/>
  <c r="AM369" i="45"/>
  <c r="AM429" i="45"/>
  <c r="AM289" i="45"/>
  <c r="AM496" i="45"/>
  <c r="AM601" i="45"/>
  <c r="AM233" i="45"/>
  <c r="AM248" i="45"/>
  <c r="AM200" i="45"/>
  <c r="AM358" i="45"/>
  <c r="AM305" i="45"/>
  <c r="AM531" i="45"/>
  <c r="AM265" i="45"/>
  <c r="AM577" i="45"/>
  <c r="AM561" i="45"/>
  <c r="AM253" i="45"/>
  <c r="AM381" i="45"/>
  <c r="AM79" i="45"/>
  <c r="AM487" i="45"/>
  <c r="AM300" i="45"/>
  <c r="AM470" i="45"/>
  <c r="AM202" i="45"/>
  <c r="AM140" i="45"/>
  <c r="AM387" i="45"/>
  <c r="AM473" i="45"/>
  <c r="AM467" i="45"/>
  <c r="AM213" i="45"/>
  <c r="AM292" i="45"/>
  <c r="AM404" i="45"/>
  <c r="AM447" i="45"/>
  <c r="AM581" i="45"/>
  <c r="AM359" i="45"/>
  <c r="AM532" i="45"/>
  <c r="AM335" i="45"/>
  <c r="AM520" i="45"/>
  <c r="AM504" i="45"/>
  <c r="AM590" i="45"/>
  <c r="AM402" i="45"/>
  <c r="AM173" i="45"/>
  <c r="AM139" i="45"/>
  <c r="AM43" i="45"/>
  <c r="AM586" i="45"/>
  <c r="AM535" i="45"/>
  <c r="AM383" i="45"/>
  <c r="AM440" i="45"/>
  <c r="AM355" i="45"/>
  <c r="AM159" i="45"/>
  <c r="AM157" i="45"/>
  <c r="AM393" i="45"/>
  <c r="AM312" i="45"/>
  <c r="AM215" i="45"/>
  <c r="AM389" i="45"/>
  <c r="AM434" i="45"/>
  <c r="AM99" i="45"/>
  <c r="AM288" i="45"/>
  <c r="AM499" i="45"/>
  <c r="AM245" i="45"/>
  <c r="AM517" i="45"/>
  <c r="AM178" i="45"/>
  <c r="AM372" i="45"/>
  <c r="AM227" i="45"/>
  <c r="AM231" i="45"/>
  <c r="AM301" i="45"/>
  <c r="AM455" i="45"/>
  <c r="AM388" i="45"/>
  <c r="AM574" i="45"/>
  <c r="AM338" i="45"/>
  <c r="AM48" i="45"/>
  <c r="AM235" i="45"/>
  <c r="AM304" i="45"/>
  <c r="AM191" i="45"/>
  <c r="AM348" i="45"/>
  <c r="AM71" i="45"/>
  <c r="AM344" i="45"/>
  <c r="AM502" i="45"/>
  <c r="AM336" i="45"/>
  <c r="AM228" i="45"/>
  <c r="AM527" i="45"/>
  <c r="AM270" i="45"/>
  <c r="AM306" i="45"/>
  <c r="AM394" i="45"/>
  <c r="AM570" i="45"/>
  <c r="AM258" i="45"/>
  <c r="AM533" i="45"/>
  <c r="AM385" i="45"/>
  <c r="AM602" i="45"/>
  <c r="AM41" i="45"/>
  <c r="AM437" i="45"/>
  <c r="AM598" i="45"/>
  <c r="AM282" i="45"/>
  <c r="AM149" i="45"/>
  <c r="AM269" i="45"/>
  <c r="AM363" i="45"/>
  <c r="AM450" i="45"/>
  <c r="AM462" i="45"/>
  <c r="AM330" i="45"/>
  <c r="AM37" i="45"/>
  <c r="AM204" i="45"/>
  <c r="AM205" i="45"/>
  <c r="AM220" i="45"/>
  <c r="AM354" i="45"/>
  <c r="AM558" i="45"/>
  <c r="AM397" i="45"/>
  <c r="AM457" i="45"/>
  <c r="AM554" i="45"/>
  <c r="AM552" i="45"/>
  <c r="AM148" i="45"/>
  <c r="AM278" i="45"/>
  <c r="AM578" i="45"/>
  <c r="AM246" i="45"/>
  <c r="AM442" i="45"/>
  <c r="AM551" i="45"/>
  <c r="AM223" i="45"/>
  <c r="AM118" i="45"/>
  <c r="AM468" i="45"/>
  <c r="AM510" i="45"/>
  <c r="AM405" i="45"/>
  <c r="AM474" i="45"/>
  <c r="AM399" i="45"/>
  <c r="AM505" i="45"/>
  <c r="AM589" i="45"/>
  <c r="AM395" i="45"/>
  <c r="AM432" i="45"/>
  <c r="AM45" i="45"/>
  <c r="AM259" i="45"/>
  <c r="AM319" i="45"/>
  <c r="AM523" i="45"/>
  <c r="AM580" i="45"/>
  <c r="AM519" i="45"/>
  <c r="AM40" i="45"/>
  <c r="AM268" i="45"/>
  <c r="AM392" i="45"/>
  <c r="AM58" i="45"/>
  <c r="AM367" i="45"/>
  <c r="AM458" i="45"/>
  <c r="AM298" i="45"/>
  <c r="AM133" i="45"/>
  <c r="AM316" i="45"/>
  <c r="AM343" i="45"/>
  <c r="AM152" i="45"/>
  <c r="AM57" i="45"/>
  <c r="AM456" i="45"/>
  <c r="AM599" i="45"/>
  <c r="AM476" i="45"/>
  <c r="AM295" i="45"/>
  <c r="AM400" i="45"/>
  <c r="AM485" i="45"/>
  <c r="AM156" i="45"/>
  <c r="AM244" i="45"/>
  <c r="AM521" i="45"/>
  <c r="AM29" i="45"/>
  <c r="AM530" i="45"/>
  <c r="AM459" i="45"/>
  <c r="AM320" i="45"/>
  <c r="AM464" i="45"/>
  <c r="AM480" i="45"/>
  <c r="AM418" i="45"/>
  <c r="AM281" i="45"/>
  <c r="AM234" i="45"/>
  <c r="AM361" i="45"/>
  <c r="AM503" i="45"/>
  <c r="AM512" i="45"/>
  <c r="AM167" i="45"/>
  <c r="AM593" i="45"/>
  <c r="AM547" i="45"/>
  <c r="AM326" i="45"/>
  <c r="AM579" i="45"/>
  <c r="AM328" i="45"/>
  <c r="AM251" i="45"/>
  <c r="AM145" i="45"/>
  <c r="AM138" i="45"/>
  <c r="AM444" i="45"/>
  <c r="AM506" i="45"/>
  <c r="AM109" i="45"/>
  <c r="AM249" i="45"/>
  <c r="AM62" i="45"/>
  <c r="AM81" i="45"/>
  <c r="AM494" i="45"/>
  <c r="AM596" i="45"/>
  <c r="AM481" i="45"/>
  <c r="AM275" i="45"/>
  <c r="AM514" i="45"/>
  <c r="AM525" i="45"/>
  <c r="AM490" i="45"/>
  <c r="AM433" i="45"/>
  <c r="AM557" i="45"/>
  <c r="AM569" i="45"/>
  <c r="AM307" i="45"/>
  <c r="AM256" i="45"/>
  <c r="AM219" i="45"/>
  <c r="AM262" i="45"/>
  <c r="AM221" i="45"/>
  <c r="AM411" i="45"/>
  <c r="AM471" i="45"/>
  <c r="AM60" i="45"/>
  <c r="AM254" i="45"/>
  <c r="AM239" i="45"/>
  <c r="AM38" i="45"/>
  <c r="AM553" i="45"/>
  <c r="AM146" i="45"/>
  <c r="AM170" i="45"/>
  <c r="AM435" i="45"/>
  <c r="AM106" i="45"/>
  <c r="AM68" i="45"/>
  <c r="AM136" i="45"/>
  <c r="AM49" i="45"/>
  <c r="AM193" i="45"/>
  <c r="AM86" i="45"/>
  <c r="AM56" i="45"/>
  <c r="AM27" i="45"/>
  <c r="AM263" i="45"/>
  <c r="AM375" i="45"/>
  <c r="AM247" i="45"/>
  <c r="AM567" i="45"/>
  <c r="AM108" i="45"/>
  <c r="AM66" i="45"/>
  <c r="AM376" i="45"/>
  <c r="AM232" i="45"/>
  <c r="AM207" i="45"/>
  <c r="AM274" i="45"/>
  <c r="AM508" i="45"/>
  <c r="AM526" i="45"/>
  <c r="AM420" i="45"/>
  <c r="AM550" i="45"/>
  <c r="AM374" i="45"/>
  <c r="AM539" i="45"/>
  <c r="AM516" i="45"/>
  <c r="AM588" i="45"/>
  <c r="AM297" i="45"/>
  <c r="AM238" i="45"/>
  <c r="AM272" i="45"/>
  <c r="AM421" i="45"/>
  <c r="AM144" i="45"/>
  <c r="AM240" i="45"/>
  <c r="AM225" i="45"/>
  <c r="AM211" i="45"/>
  <c r="AM242" i="45"/>
  <c r="AM422" i="45"/>
  <c r="AM141" i="45"/>
  <c r="AM498" i="45"/>
  <c r="AM556" i="45"/>
  <c r="AM129" i="45"/>
  <c r="AM33" i="45"/>
  <c r="AM603" i="45"/>
  <c r="AM325" i="45"/>
  <c r="AM537" i="45"/>
  <c r="AM529" i="45"/>
  <c r="AM51" i="45"/>
  <c r="AM427" i="45"/>
  <c r="AM333" i="45"/>
  <c r="AM378" i="45"/>
  <c r="AM357" i="45"/>
  <c r="AM452" i="45"/>
  <c r="AM243" i="45"/>
  <c r="AM75" i="45"/>
  <c r="AM315" i="45"/>
  <c r="AM524" i="45"/>
  <c r="AM310" i="45"/>
  <c r="AM102" i="45"/>
  <c r="AM150" i="45"/>
  <c r="AM448" i="45"/>
  <c r="AM345" i="45"/>
  <c r="AM407" i="45"/>
  <c r="AM195" i="45"/>
  <c r="AM379" i="45"/>
  <c r="AM571" i="45"/>
  <c r="AM472" i="45"/>
  <c r="AM522" i="45"/>
  <c r="AM303" i="45"/>
  <c r="AM322" i="45"/>
  <c r="AM600" i="45"/>
  <c r="AM486" i="45"/>
  <c r="AM255" i="45"/>
  <c r="AM443" i="45"/>
  <c r="AM279" i="45"/>
  <c r="AM222" i="45"/>
  <c r="AM67" i="45"/>
  <c r="AM332" i="45"/>
  <c r="AM341" i="45"/>
  <c r="AM329" i="45"/>
  <c r="AM64" i="45"/>
  <c r="AM568" i="45"/>
  <c r="AM31" i="45"/>
  <c r="AM54" i="45"/>
  <c r="AM224" i="45"/>
  <c r="AM475" i="45"/>
  <c r="AM482" i="45"/>
  <c r="AM384" i="45"/>
  <c r="AM203" i="45"/>
  <c r="AM489" i="45"/>
  <c r="AM488" i="45"/>
  <c r="AM36" i="45"/>
  <c r="AM35" i="45"/>
  <c r="AM545" i="45"/>
  <c r="AM360" i="45"/>
  <c r="AM154" i="45"/>
  <c r="AM495" i="45"/>
  <c r="AM439" i="45"/>
  <c r="Z3" i="45"/>
  <c r="G58" i="45"/>
  <c r="AE58" i="45" s="1"/>
  <c r="AF58" i="45" s="1"/>
  <c r="G237" i="45"/>
  <c r="AE237" i="45" s="1"/>
  <c r="AF237" i="45" s="1"/>
  <c r="G166" i="45"/>
  <c r="AE166" i="45" s="1"/>
  <c r="AF166" i="45" s="1"/>
  <c r="G95" i="45"/>
  <c r="AE95" i="45" s="1"/>
  <c r="AF95" i="45" s="1"/>
  <c r="G518" i="45"/>
  <c r="AE518" i="45" s="1"/>
  <c r="AF518" i="45" s="1"/>
  <c r="G238" i="45"/>
  <c r="AE238" i="45" s="1"/>
  <c r="AF238" i="45" s="1"/>
  <c r="G376" i="45"/>
  <c r="AE376" i="45" s="1"/>
  <c r="AF376" i="45" s="1"/>
  <c r="G322" i="45"/>
  <c r="AE322" i="45" s="1"/>
  <c r="AF322" i="45" s="1"/>
  <c r="G525" i="45"/>
  <c r="AE525" i="45" s="1"/>
  <c r="AF525" i="45" s="1"/>
  <c r="G339" i="45"/>
  <c r="AE339" i="45" s="1"/>
  <c r="AF339" i="45" s="1"/>
  <c r="G246" i="45"/>
  <c r="AE246" i="45" s="1"/>
  <c r="AF246" i="45" s="1"/>
  <c r="G92" i="45"/>
  <c r="AE92" i="45" s="1"/>
  <c r="AF92" i="45" s="1"/>
  <c r="G191" i="45"/>
  <c r="AE191" i="45" s="1"/>
  <c r="AF191" i="45" s="1"/>
  <c r="G244" i="45"/>
  <c r="AE244" i="45" s="1"/>
  <c r="AF244" i="45" s="1"/>
  <c r="G115" i="45"/>
  <c r="AE115" i="45" s="1"/>
  <c r="AF115" i="45" s="1"/>
  <c r="G393" i="45"/>
  <c r="AE393" i="45" s="1"/>
  <c r="AF393" i="45" s="1"/>
  <c r="G188" i="45"/>
  <c r="AE188" i="45" s="1"/>
  <c r="AF188" i="45" s="1"/>
  <c r="G522" i="45"/>
  <c r="AE522" i="45" s="1"/>
  <c r="AF522" i="45" s="1"/>
  <c r="G504" i="45"/>
  <c r="AE504" i="45" s="1"/>
  <c r="AF504" i="45" s="1"/>
  <c r="G207" i="45"/>
  <c r="AE207" i="45" s="1"/>
  <c r="AF207" i="45" s="1"/>
  <c r="G269" i="45"/>
  <c r="AE269" i="45" s="1"/>
  <c r="AF269" i="45" s="1"/>
  <c r="G315" i="45"/>
  <c r="AE315" i="45" s="1"/>
  <c r="AF315" i="45" s="1"/>
  <c r="G350" i="45"/>
  <c r="AE350" i="45" s="1"/>
  <c r="AF350" i="45" s="1"/>
  <c r="G29" i="45"/>
  <c r="AE29" i="45" s="1"/>
  <c r="AF29" i="45" s="1"/>
  <c r="G57" i="45"/>
  <c r="AE57" i="45" s="1"/>
  <c r="AF57" i="45" s="1"/>
  <c r="G158" i="45"/>
  <c r="AE158" i="45" s="1"/>
  <c r="AF158" i="45" s="1"/>
  <c r="G599" i="45"/>
  <c r="AE599" i="45" s="1"/>
  <c r="AF599" i="45" s="1"/>
  <c r="G219" i="45"/>
  <c r="AE219" i="45" s="1"/>
  <c r="AF219" i="45" s="1"/>
  <c r="G186" i="45"/>
  <c r="AE186" i="45" s="1"/>
  <c r="AF186" i="45" s="1"/>
  <c r="G216" i="45"/>
  <c r="AE216" i="45" s="1"/>
  <c r="AF216" i="45" s="1"/>
  <c r="G530" i="45"/>
  <c r="AE530" i="45" s="1"/>
  <c r="AF530" i="45" s="1"/>
  <c r="G168" i="45"/>
  <c r="AE168" i="45" s="1"/>
  <c r="AF168" i="45" s="1"/>
  <c r="G578" i="45"/>
  <c r="AE578" i="45" s="1"/>
  <c r="AF578" i="45" s="1"/>
  <c r="G165" i="45"/>
  <c r="AE165" i="45" s="1"/>
  <c r="AF165" i="45" s="1"/>
  <c r="G208" i="45"/>
  <c r="AE208" i="45" s="1"/>
  <c r="AF208" i="45" s="1"/>
  <c r="G23" i="45"/>
  <c r="AE23" i="45" s="1"/>
  <c r="AF23" i="45" s="1"/>
  <c r="G571" i="45"/>
  <c r="AE571" i="45" s="1"/>
  <c r="AF571" i="45" s="1"/>
  <c r="G167" i="45"/>
  <c r="AE167" i="45" s="1"/>
  <c r="AF167" i="45" s="1"/>
  <c r="G579" i="45"/>
  <c r="AE579" i="45" s="1"/>
  <c r="AF579" i="45" s="1"/>
  <c r="G329" i="45"/>
  <c r="AE329" i="45" s="1"/>
  <c r="AF329" i="45" s="1"/>
  <c r="G572" i="45"/>
  <c r="AE572" i="45" s="1"/>
  <c r="AF572" i="45" s="1"/>
  <c r="G33" i="45"/>
  <c r="AE33" i="45" s="1"/>
  <c r="AF33" i="45" s="1"/>
  <c r="G268" i="45"/>
  <c r="AE268" i="45" s="1"/>
  <c r="AF268" i="45" s="1"/>
  <c r="G211" i="45"/>
  <c r="AE211" i="45" s="1"/>
  <c r="AF211" i="45" s="1"/>
  <c r="G259" i="45"/>
  <c r="AE259" i="45" s="1"/>
  <c r="AF259" i="45" s="1"/>
  <c r="G38" i="45"/>
  <c r="AE38" i="45" s="1"/>
  <c r="AF38" i="45" s="1"/>
  <c r="G534" i="45"/>
  <c r="AE534" i="45" s="1"/>
  <c r="AF534" i="45" s="1"/>
  <c r="G495" i="45"/>
  <c r="AE495" i="45" s="1"/>
  <c r="AF495" i="45" s="1"/>
  <c r="G596" i="45"/>
  <c r="AE596" i="45" s="1"/>
  <c r="AF596" i="45" s="1"/>
  <c r="G88" i="45"/>
  <c r="AE88" i="45" s="1"/>
  <c r="AF88" i="45" s="1"/>
  <c r="G494" i="45"/>
  <c r="AE494" i="45" s="1"/>
  <c r="AF494" i="45" s="1"/>
  <c r="G440" i="45"/>
  <c r="AE440" i="45" s="1"/>
  <c r="AF440" i="45" s="1"/>
  <c r="G451" i="45"/>
  <c r="AE451" i="45" s="1"/>
  <c r="AF451" i="45" s="1"/>
  <c r="G61" i="45"/>
  <c r="AE61" i="45" s="1"/>
  <c r="AF61" i="45" s="1"/>
  <c r="G372" i="45"/>
  <c r="AE372" i="45" s="1"/>
  <c r="AF372" i="45" s="1"/>
  <c r="G52" i="45"/>
  <c r="AE52" i="45" s="1"/>
  <c r="AF52" i="45" s="1"/>
  <c r="G159" i="45"/>
  <c r="AE159" i="45" s="1"/>
  <c r="AF159" i="45" s="1"/>
  <c r="G40" i="45"/>
  <c r="AE40" i="45" s="1"/>
  <c r="AF40" i="45" s="1"/>
  <c r="G463" i="45"/>
  <c r="AE463" i="45" s="1"/>
  <c r="AF463" i="45" s="1"/>
  <c r="G233" i="45"/>
  <c r="AE233" i="45" s="1"/>
  <c r="AF233" i="45" s="1"/>
  <c r="G307" i="45"/>
  <c r="AE307" i="45" s="1"/>
  <c r="AF307" i="45" s="1"/>
  <c r="G399" i="45"/>
  <c r="AE399" i="45" s="1"/>
  <c r="AF399" i="45" s="1"/>
  <c r="G83" i="45"/>
  <c r="AE83" i="45" s="1"/>
  <c r="AF83" i="45" s="1"/>
  <c r="G231" i="45"/>
  <c r="AE231" i="45" s="1"/>
  <c r="AF231" i="45" s="1"/>
  <c r="G245" i="45"/>
  <c r="AE245" i="45" s="1"/>
  <c r="AF245" i="45" s="1"/>
  <c r="G502" i="45"/>
  <c r="AE502" i="45" s="1"/>
  <c r="AF502" i="45" s="1"/>
  <c r="G71" i="45"/>
  <c r="AE71" i="45" s="1"/>
  <c r="AF71" i="45" s="1"/>
  <c r="G47" i="45"/>
  <c r="AE47" i="45" s="1"/>
  <c r="AF47" i="45" s="1"/>
  <c r="G499" i="45"/>
  <c r="AE499" i="45" s="1"/>
  <c r="AF499" i="45" s="1"/>
  <c r="G174" i="45"/>
  <c r="AE174" i="45" s="1"/>
  <c r="AF174" i="45" s="1"/>
  <c r="G184" i="45"/>
  <c r="AE184" i="45" s="1"/>
  <c r="AF184" i="45" s="1"/>
  <c r="G107" i="45"/>
  <c r="AE107" i="45" s="1"/>
  <c r="AF107" i="45" s="1"/>
  <c r="G573" i="45"/>
  <c r="AE573" i="45" s="1"/>
  <c r="AF573" i="45" s="1"/>
  <c r="G398" i="45"/>
  <c r="AE398" i="45" s="1"/>
  <c r="AF398" i="45" s="1"/>
  <c r="G84" i="45"/>
  <c r="AE84" i="45" s="1"/>
  <c r="AF84" i="45" s="1"/>
  <c r="G261" i="45"/>
  <c r="AE261" i="45" s="1"/>
  <c r="AF261" i="45" s="1"/>
  <c r="G263" i="45"/>
  <c r="AE263" i="45" s="1"/>
  <c r="AF263" i="45" s="1"/>
  <c r="G48" i="45"/>
  <c r="AE48" i="45" s="1"/>
  <c r="AF48" i="45" s="1"/>
  <c r="G590" i="45"/>
  <c r="AE590" i="45" s="1"/>
  <c r="AF590" i="45" s="1"/>
  <c r="G124" i="45"/>
  <c r="AE124" i="45" s="1"/>
  <c r="AF124" i="45" s="1"/>
  <c r="G497" i="45"/>
  <c r="AE497" i="45" s="1"/>
  <c r="AF497" i="45" s="1"/>
  <c r="G63" i="45"/>
  <c r="AE63" i="45" s="1"/>
  <c r="AF63" i="45" s="1"/>
  <c r="G316" i="45"/>
  <c r="AE316" i="45" s="1"/>
  <c r="AF316" i="45" s="1"/>
  <c r="G64" i="45"/>
  <c r="AE64" i="45" s="1"/>
  <c r="AF64" i="45" s="1"/>
  <c r="G550" i="45"/>
  <c r="AE550" i="45" s="1"/>
  <c r="AF550" i="45" s="1"/>
  <c r="G262" i="45"/>
  <c r="AE262" i="45" s="1"/>
  <c r="AF262" i="45" s="1"/>
  <c r="G54" i="45"/>
  <c r="AE54" i="45" s="1"/>
  <c r="AF54" i="45" s="1"/>
  <c r="G202" i="45"/>
  <c r="AE202" i="45" s="1"/>
  <c r="AF202" i="45" s="1"/>
  <c r="G199" i="45"/>
  <c r="AE199" i="45" s="1"/>
  <c r="AF199" i="45" s="1"/>
  <c r="G388" i="45"/>
  <c r="AE388" i="45" s="1"/>
  <c r="AF388" i="45" s="1"/>
  <c r="G442" i="45"/>
  <c r="AE442" i="45" s="1"/>
  <c r="AF442" i="45" s="1"/>
  <c r="G396" i="45"/>
  <c r="AE396" i="45" s="1"/>
  <c r="AF396" i="45" s="1"/>
  <c r="G154" i="45"/>
  <c r="AE154" i="45" s="1"/>
  <c r="AF154" i="45" s="1"/>
  <c r="G218" i="45"/>
  <c r="AE218" i="45" s="1"/>
  <c r="AF218" i="45" s="1"/>
  <c r="G371" i="45"/>
  <c r="AE371" i="45" s="1"/>
  <c r="AF371" i="45" s="1"/>
  <c r="G600" i="45"/>
  <c r="AE600" i="45" s="1"/>
  <c r="AF600" i="45" s="1"/>
  <c r="G577" i="45"/>
  <c r="AE577" i="45" s="1"/>
  <c r="AF577" i="45" s="1"/>
  <c r="G215" i="45"/>
  <c r="AE215" i="45" s="1"/>
  <c r="AF215" i="45" s="1"/>
  <c r="G332" i="45"/>
  <c r="AE332" i="45" s="1"/>
  <c r="AF332" i="45" s="1"/>
  <c r="G232" i="45"/>
  <c r="AE232" i="45" s="1"/>
  <c r="AF232" i="45" s="1"/>
  <c r="G286" i="45"/>
  <c r="AE286" i="45" s="1"/>
  <c r="AF286" i="45" s="1"/>
  <c r="G181" i="45"/>
  <c r="AE181" i="45" s="1"/>
  <c r="AF181" i="45" s="1"/>
  <c r="G32" i="45"/>
  <c r="AE32" i="45" s="1"/>
  <c r="AF32" i="45" s="1"/>
  <c r="G247" i="45"/>
  <c r="AE247" i="45" s="1"/>
  <c r="AF247" i="45" s="1"/>
  <c r="G428" i="45"/>
  <c r="AE428" i="45" s="1"/>
  <c r="AF428" i="45" s="1"/>
  <c r="G279" i="45"/>
  <c r="AE279" i="45" s="1"/>
  <c r="AF279" i="45" s="1"/>
  <c r="G359" i="45"/>
  <c r="AE359" i="45" s="1"/>
  <c r="AF359" i="45" s="1"/>
  <c r="G400" i="45"/>
  <c r="AE400" i="45" s="1"/>
  <c r="AF400" i="45" s="1"/>
  <c r="G491" i="45"/>
  <c r="AE491" i="45" s="1"/>
  <c r="AF491" i="45" s="1"/>
  <c r="G224" i="45"/>
  <c r="AE224" i="45" s="1"/>
  <c r="AF224" i="45" s="1"/>
  <c r="G419" i="45"/>
  <c r="AE419" i="45" s="1"/>
  <c r="AF419" i="45" s="1"/>
  <c r="G242" i="45"/>
  <c r="AE242" i="45" s="1"/>
  <c r="AF242" i="45" s="1"/>
  <c r="G118" i="45"/>
  <c r="AE118" i="45" s="1"/>
  <c r="AF118" i="45" s="1"/>
  <c r="G438" i="45"/>
  <c r="AE438" i="45" s="1"/>
  <c r="AF438" i="45" s="1"/>
  <c r="G426" i="45"/>
  <c r="AE426" i="45" s="1"/>
  <c r="AF426" i="45" s="1"/>
  <c r="G392" i="45"/>
  <c r="AE392" i="45" s="1"/>
  <c r="AF392" i="45" s="1"/>
  <c r="G44" i="45"/>
  <c r="AE44" i="45" s="1"/>
  <c r="AF44" i="45" s="1"/>
  <c r="G375" i="45"/>
  <c r="AE375" i="45" s="1"/>
  <c r="AF375" i="45" s="1"/>
  <c r="G557" i="45"/>
  <c r="AE557" i="45" s="1"/>
  <c r="AF557" i="45" s="1"/>
  <c r="G489" i="45"/>
  <c r="AE489" i="45" s="1"/>
  <c r="AF489" i="45" s="1"/>
  <c r="G31" i="45"/>
  <c r="AE31" i="45" s="1"/>
  <c r="AF31" i="45" s="1"/>
  <c r="G82" i="45"/>
  <c r="AE82" i="45" s="1"/>
  <c r="AF82" i="45" s="1"/>
  <c r="G249" i="45"/>
  <c r="AE249" i="45" s="1"/>
  <c r="AF249" i="45" s="1"/>
  <c r="G62" i="45"/>
  <c r="AE62" i="45" s="1"/>
  <c r="AF62" i="45" s="1"/>
  <c r="G431" i="45"/>
  <c r="AE431" i="45" s="1"/>
  <c r="AF431" i="45" s="1"/>
  <c r="G109" i="45"/>
  <c r="AE109" i="45" s="1"/>
  <c r="AF109" i="45" s="1"/>
  <c r="G73" i="45"/>
  <c r="AE73" i="45" s="1"/>
  <c r="AF73" i="45" s="1"/>
  <c r="G314" i="45"/>
  <c r="AE314" i="45" s="1"/>
  <c r="AF314" i="45" s="1"/>
  <c r="G288" i="45"/>
  <c r="AE288" i="45" s="1"/>
  <c r="AF288" i="45" s="1"/>
  <c r="G129" i="45"/>
  <c r="AE129" i="45" s="1"/>
  <c r="AF129" i="45" s="1"/>
  <c r="G239" i="45"/>
  <c r="AE239" i="45" s="1"/>
  <c r="AF239" i="45" s="1"/>
  <c r="G284" i="45"/>
  <c r="AE284" i="45" s="1"/>
  <c r="AF284" i="45" s="1"/>
  <c r="G324" i="45"/>
  <c r="AE324" i="45" s="1"/>
  <c r="AF324" i="45" s="1"/>
  <c r="G410" i="45"/>
  <c r="AE410" i="45" s="1"/>
  <c r="AF410" i="45" s="1"/>
  <c r="G142" i="45"/>
  <c r="AE142" i="45" s="1"/>
  <c r="AF142" i="45" s="1"/>
  <c r="G561" i="45"/>
  <c r="AE561" i="45" s="1"/>
  <c r="AF561" i="45" s="1"/>
  <c r="G99" i="45"/>
  <c r="AE99" i="45" s="1"/>
  <c r="AF99" i="45" s="1"/>
  <c r="G576" i="45"/>
  <c r="AE576" i="45" s="1"/>
  <c r="AF576" i="45" s="1"/>
  <c r="G414" i="45"/>
  <c r="AE414" i="45" s="1"/>
  <c r="AF414" i="45" s="1"/>
  <c r="G89" i="45"/>
  <c r="AE89" i="45" s="1"/>
  <c r="AF89" i="45" s="1"/>
  <c r="G482" i="45"/>
  <c r="AE482" i="45" s="1"/>
  <c r="AF482" i="45" s="1"/>
  <c r="G277" i="45"/>
  <c r="AE277" i="45" s="1"/>
  <c r="AF277" i="45" s="1"/>
  <c r="G568" i="45"/>
  <c r="AE568" i="45" s="1"/>
  <c r="AF568" i="45" s="1"/>
  <c r="G319" i="45"/>
  <c r="AE319" i="45" s="1"/>
  <c r="AF319" i="45" s="1"/>
  <c r="G455" i="45"/>
  <c r="AE455" i="45" s="1"/>
  <c r="AF455" i="45" s="1"/>
  <c r="G117" i="45"/>
  <c r="AE117" i="45" s="1"/>
  <c r="AF117" i="45" s="1"/>
  <c r="G235" i="45"/>
  <c r="AE235" i="45" s="1"/>
  <c r="AF235" i="45" s="1"/>
  <c r="G65" i="45"/>
  <c r="AE65" i="45" s="1"/>
  <c r="AF65" i="45" s="1"/>
  <c r="G162" i="45"/>
  <c r="AE162" i="45" s="1"/>
  <c r="AF162" i="45" s="1"/>
  <c r="G94" i="45"/>
  <c r="AE94" i="45" s="1"/>
  <c r="AF94" i="45" s="1"/>
  <c r="G354" i="45"/>
  <c r="AE354" i="45" s="1"/>
  <c r="AF354" i="45" s="1"/>
  <c r="G123" i="45"/>
  <c r="AE123" i="45" s="1"/>
  <c r="AF123" i="45" s="1"/>
  <c r="G25" i="45"/>
  <c r="AE25" i="45" s="1"/>
  <c r="AF25" i="45" s="1"/>
  <c r="G281" i="45"/>
  <c r="AE281" i="45" s="1"/>
  <c r="AF281" i="45" s="1"/>
  <c r="G365" i="45"/>
  <c r="AE365" i="45" s="1"/>
  <c r="AF365" i="45" s="1"/>
  <c r="G416" i="45"/>
  <c r="AE416" i="45" s="1"/>
  <c r="AF416" i="45" s="1"/>
  <c r="G558" i="45"/>
  <c r="AE558" i="45" s="1"/>
  <c r="AF558" i="45" s="1"/>
  <c r="G102" i="45"/>
  <c r="AE102" i="45" s="1"/>
  <c r="AF102" i="45" s="1"/>
  <c r="G551" i="45"/>
  <c r="AE551" i="45" s="1"/>
  <c r="AF551" i="45" s="1"/>
  <c r="G441" i="45"/>
  <c r="AE441" i="45" s="1"/>
  <c r="AF441" i="45" s="1"/>
  <c r="G276" i="45"/>
  <c r="AE276" i="45" s="1"/>
  <c r="AF276" i="45" s="1"/>
  <c r="G443" i="45"/>
  <c r="AE443" i="45" s="1"/>
  <c r="AF443" i="45" s="1"/>
  <c r="G72" i="45"/>
  <c r="AE72" i="45" s="1"/>
  <c r="AF72" i="45" s="1"/>
  <c r="G598" i="45"/>
  <c r="AE598" i="45" s="1"/>
  <c r="AF598" i="45" s="1"/>
  <c r="G379" i="45"/>
  <c r="AE379" i="45" s="1"/>
  <c r="AF379" i="45" s="1"/>
  <c r="G310" i="45"/>
  <c r="AE310" i="45" s="1"/>
  <c r="AF310" i="45" s="1"/>
  <c r="G56" i="45"/>
  <c r="AE56" i="45" s="1"/>
  <c r="AF56" i="45" s="1"/>
  <c r="G144" i="45"/>
  <c r="AE144" i="45" s="1"/>
  <c r="AF144" i="45" s="1"/>
  <c r="G432" i="45"/>
  <c r="AE432" i="45" s="1"/>
  <c r="AF432" i="45" s="1"/>
  <c r="G326" i="45"/>
  <c r="AE326" i="45" s="1"/>
  <c r="AF326" i="45" s="1"/>
  <c r="G448" i="45"/>
  <c r="AE448" i="45" s="1"/>
  <c r="AF448" i="45" s="1"/>
  <c r="G74" i="45"/>
  <c r="AE74" i="45" s="1"/>
  <c r="AF74" i="45" s="1"/>
  <c r="G254" i="45"/>
  <c r="AE254" i="45" s="1"/>
  <c r="AF254" i="45" s="1"/>
  <c r="G587" i="45"/>
  <c r="AE587" i="45" s="1"/>
  <c r="AF587" i="45" s="1"/>
  <c r="G305" i="45"/>
  <c r="AE305" i="45" s="1"/>
  <c r="AF305" i="45" s="1"/>
  <c r="G112" i="45"/>
  <c r="AE112" i="45" s="1"/>
  <c r="AF112" i="45" s="1"/>
  <c r="G236" i="45"/>
  <c r="AE236" i="45" s="1"/>
  <c r="AF236" i="45" s="1"/>
  <c r="G176" i="45"/>
  <c r="AE176" i="45" s="1"/>
  <c r="AF176" i="45" s="1"/>
  <c r="G404" i="45"/>
  <c r="AE404" i="45" s="1"/>
  <c r="AF404" i="45" s="1"/>
  <c r="G521" i="45"/>
  <c r="AE521" i="45" s="1"/>
  <c r="AF521" i="45" s="1"/>
  <c r="G77" i="45"/>
  <c r="AE77" i="45" s="1"/>
  <c r="AF77" i="45" s="1"/>
  <c r="G373" i="45"/>
  <c r="AE373" i="45" s="1"/>
  <c r="AF373" i="45" s="1"/>
  <c r="G394" i="45"/>
  <c r="AE394" i="45" s="1"/>
  <c r="AF394" i="45" s="1"/>
  <c r="G406" i="45"/>
  <c r="AE406" i="45" s="1"/>
  <c r="AF406" i="45" s="1"/>
  <c r="G471" i="45"/>
  <c r="AE471" i="45" s="1"/>
  <c r="AF471" i="45" s="1"/>
  <c r="G101" i="45"/>
  <c r="AE101" i="45" s="1"/>
  <c r="AF101" i="45" s="1"/>
  <c r="G97" i="45"/>
  <c r="AE97" i="45" s="1"/>
  <c r="AF97" i="45" s="1"/>
  <c r="G30" i="45"/>
  <c r="AE30" i="45" s="1"/>
  <c r="AF30" i="45" s="1"/>
  <c r="G556" i="45"/>
  <c r="AE556" i="45" s="1"/>
  <c r="AF556" i="45" s="1"/>
  <c r="G552" i="45"/>
  <c r="AE552" i="45" s="1"/>
  <c r="AF552" i="45" s="1"/>
  <c r="G501" i="45"/>
  <c r="AE501" i="45" s="1"/>
  <c r="AF501" i="45" s="1"/>
  <c r="G458" i="45"/>
  <c r="AE458" i="45" s="1"/>
  <c r="AF458" i="45" s="1"/>
  <c r="G87" i="45"/>
  <c r="AE87" i="45" s="1"/>
  <c r="AF87" i="45" s="1"/>
  <c r="G28" i="45"/>
  <c r="AE28" i="45" s="1"/>
  <c r="AF28" i="45" s="1"/>
  <c r="G120" i="45"/>
  <c r="AE120" i="45" s="1"/>
  <c r="AF120" i="45" s="1"/>
  <c r="G139" i="45"/>
  <c r="AE139" i="45" s="1"/>
  <c r="AF139" i="45" s="1"/>
  <c r="G27" i="45"/>
  <c r="AE27" i="45" s="1"/>
  <c r="AF27" i="45" s="1"/>
  <c r="G164" i="45"/>
  <c r="AE164" i="45" s="1"/>
  <c r="AF164" i="45" s="1"/>
  <c r="G523" i="45"/>
  <c r="AE523" i="45" s="1"/>
  <c r="AF523" i="45" s="1"/>
  <c r="G141" i="45"/>
  <c r="AE141" i="45" s="1"/>
  <c r="AF141" i="45" s="1"/>
  <c r="G206" i="45"/>
  <c r="AE206" i="45" s="1"/>
  <c r="AF206" i="45" s="1"/>
  <c r="G282" i="45"/>
  <c r="AE282" i="45" s="1"/>
  <c r="AF282" i="45" s="1"/>
  <c r="G317" i="45"/>
  <c r="AE317" i="45" s="1"/>
  <c r="AF317" i="45" s="1"/>
  <c r="G151" i="45"/>
  <c r="AE151" i="45" s="1"/>
  <c r="AF151" i="45" s="1"/>
  <c r="G330" i="45"/>
  <c r="AE330" i="45" s="1"/>
  <c r="AF330" i="45" s="1"/>
  <c r="G318" i="45"/>
  <c r="AE318" i="45" s="1"/>
  <c r="AF318" i="45" s="1"/>
  <c r="G467" i="45"/>
  <c r="AE467" i="45" s="1"/>
  <c r="AF467" i="45" s="1"/>
  <c r="G127" i="45"/>
  <c r="AE127" i="45" s="1"/>
  <c r="AF127" i="45" s="1"/>
  <c r="G258" i="45"/>
  <c r="AE258" i="45" s="1"/>
  <c r="AF258" i="45" s="1"/>
  <c r="G565" i="45"/>
  <c r="AE565" i="45" s="1"/>
  <c r="AF565" i="45" s="1"/>
  <c r="G51" i="45"/>
  <c r="AE51" i="45" s="1"/>
  <c r="AF51" i="45" s="1"/>
  <c r="G420" i="45"/>
  <c r="AE420" i="45" s="1"/>
  <c r="AF420" i="45" s="1"/>
  <c r="G81" i="45"/>
  <c r="AE81" i="45" s="1"/>
  <c r="AF81" i="45" s="1"/>
  <c r="G433" i="45"/>
  <c r="AE433" i="45" s="1"/>
  <c r="AF433" i="45" s="1"/>
  <c r="G161" i="45"/>
  <c r="AE161" i="45" s="1"/>
  <c r="AF161" i="45" s="1"/>
  <c r="G256" i="45"/>
  <c r="AE256" i="45" s="1"/>
  <c r="AF256" i="45" s="1"/>
  <c r="G348" i="45"/>
  <c r="AE348" i="45" s="1"/>
  <c r="AF348" i="45" s="1"/>
  <c r="G588" i="45"/>
  <c r="AE588" i="45" s="1"/>
  <c r="AF588" i="45" s="1"/>
  <c r="G153" i="45"/>
  <c r="AE153" i="45" s="1"/>
  <c r="AF153" i="45" s="1"/>
  <c r="G483" i="45"/>
  <c r="AE483" i="45" s="1"/>
  <c r="AF483" i="45" s="1"/>
  <c r="G45" i="45"/>
  <c r="AE45" i="45" s="1"/>
  <c r="AF45" i="45" s="1"/>
  <c r="G204" i="45"/>
  <c r="AE204" i="45" s="1"/>
  <c r="AF204" i="45" s="1"/>
  <c r="G418" i="45"/>
  <c r="AE418" i="45" s="1"/>
  <c r="AF418" i="45" s="1"/>
  <c r="G228" i="45"/>
  <c r="AE228" i="45" s="1"/>
  <c r="AF228" i="45" s="1"/>
  <c r="G42" i="45"/>
  <c r="AE42" i="45" s="1"/>
  <c r="AF42" i="45" s="1"/>
  <c r="G546" i="45"/>
  <c r="AE546" i="45" s="1"/>
  <c r="AF546" i="45" s="1"/>
  <c r="G257" i="45"/>
  <c r="AE257" i="45" s="1"/>
  <c r="AF257" i="45" s="1"/>
  <c r="G389" i="45"/>
  <c r="AE389" i="45" s="1"/>
  <c r="AF389" i="45" s="1"/>
  <c r="G333" i="45"/>
  <c r="AE333" i="45" s="1"/>
  <c r="AF333" i="45" s="1"/>
  <c r="G140" i="45"/>
  <c r="AE140" i="45" s="1"/>
  <c r="AF140" i="45" s="1"/>
  <c r="G70" i="45"/>
  <c r="AE70" i="45" s="1"/>
  <c r="AF70" i="45" s="1"/>
  <c r="G293" i="45"/>
  <c r="AE293" i="45" s="1"/>
  <c r="AF293" i="45" s="1"/>
  <c r="G273" i="45"/>
  <c r="AE273" i="45" s="1"/>
  <c r="AF273" i="45" s="1"/>
  <c r="G197" i="45"/>
  <c r="AE197" i="45" s="1"/>
  <c r="AF197" i="45" s="1"/>
  <c r="G274" i="45"/>
  <c r="AE274" i="45" s="1"/>
  <c r="AF274" i="45" s="1"/>
  <c r="G567" i="45"/>
  <c r="AE567" i="45" s="1"/>
  <c r="AF567" i="45" s="1"/>
  <c r="G192" i="45"/>
  <c r="AE192" i="45" s="1"/>
  <c r="AF192" i="45" s="1"/>
  <c r="G251" i="45"/>
  <c r="AE251" i="45" s="1"/>
  <c r="AF251" i="45" s="1"/>
  <c r="G412" i="45"/>
  <c r="AE412" i="45" s="1"/>
  <c r="AF412" i="45" s="1"/>
  <c r="G581" i="45"/>
  <c r="AE581" i="45" s="1"/>
  <c r="AF581" i="45" s="1"/>
  <c r="G439" i="45"/>
  <c r="AE439" i="45" s="1"/>
  <c r="AF439" i="45" s="1"/>
  <c r="G291" i="45"/>
  <c r="AE291" i="45" s="1"/>
  <c r="AF291" i="45" s="1"/>
  <c r="G469" i="45"/>
  <c r="AE469" i="45" s="1"/>
  <c r="AF469" i="45" s="1"/>
  <c r="G336" i="45"/>
  <c r="AE336" i="45" s="1"/>
  <c r="AF336" i="45" s="1"/>
  <c r="G421" i="45"/>
  <c r="AE421" i="45" s="1"/>
  <c r="AF421" i="45" s="1"/>
  <c r="G320" i="45"/>
  <c r="AE320" i="45" s="1"/>
  <c r="AF320" i="45" s="1"/>
  <c r="G34" i="45"/>
  <c r="AE34" i="45" s="1"/>
  <c r="AF34" i="45" s="1"/>
  <c r="G289" i="45"/>
  <c r="AE289" i="45" s="1"/>
  <c r="AF289" i="45" s="1"/>
  <c r="G481" i="45"/>
  <c r="AE481" i="45" s="1"/>
  <c r="AF481" i="45" s="1"/>
  <c r="G473" i="45"/>
  <c r="AE473" i="45" s="1"/>
  <c r="AF473" i="45" s="1"/>
  <c r="G450" i="45"/>
  <c r="AE450" i="45" s="1"/>
  <c r="AF450" i="45" s="1"/>
  <c r="G343" i="45"/>
  <c r="AE343" i="45" s="1"/>
  <c r="AF343" i="45" s="1"/>
  <c r="G35" i="45"/>
  <c r="AE35" i="45" s="1"/>
  <c r="AF35" i="45" s="1"/>
  <c r="G287" i="45"/>
  <c r="AE287" i="45" s="1"/>
  <c r="AF287" i="45" s="1"/>
  <c r="G475" i="45"/>
  <c r="AE475" i="45" s="1"/>
  <c r="AF475" i="45" s="1"/>
  <c r="G321" i="45"/>
  <c r="AE321" i="45" s="1"/>
  <c r="AF321" i="45" s="1"/>
  <c r="G132" i="45"/>
  <c r="AE132" i="45" s="1"/>
  <c r="AF132" i="45" s="1"/>
  <c r="G170" i="45"/>
  <c r="AE170" i="45" s="1"/>
  <c r="AF170" i="45" s="1"/>
  <c r="G513" i="45"/>
  <c r="AE513" i="45" s="1"/>
  <c r="AF513" i="45" s="1"/>
  <c r="G111" i="45"/>
  <c r="AE111" i="45" s="1"/>
  <c r="AF111" i="45" s="1"/>
  <c r="G78" i="45"/>
  <c r="AE78" i="45" s="1"/>
  <c r="AF78" i="45" s="1"/>
  <c r="G488" i="45"/>
  <c r="AE488" i="45" s="1"/>
  <c r="AF488" i="45" s="1"/>
  <c r="G301" i="45"/>
  <c r="AE301" i="45" s="1"/>
  <c r="AF301" i="45" s="1"/>
  <c r="G477" i="45"/>
  <c r="AE477" i="45" s="1"/>
  <c r="AF477" i="45" s="1"/>
  <c r="G445" i="45"/>
  <c r="AE445" i="45" s="1"/>
  <c r="AF445" i="45" s="1"/>
  <c r="G374" i="45"/>
  <c r="AE374" i="45" s="1"/>
  <c r="AF374" i="45" s="1"/>
  <c r="G604" i="45"/>
  <c r="AE604" i="45" s="1"/>
  <c r="AF604" i="45" s="1"/>
  <c r="G402" i="45"/>
  <c r="AE402" i="45" s="1"/>
  <c r="AF402" i="45" s="1"/>
  <c r="G190" i="45"/>
  <c r="AE190" i="45" s="1"/>
  <c r="AF190" i="45" s="1"/>
  <c r="G234" i="45"/>
  <c r="AE234" i="45" s="1"/>
  <c r="AF234" i="45" s="1"/>
  <c r="G470" i="45"/>
  <c r="AE470" i="45" s="1"/>
  <c r="AF470" i="45" s="1"/>
  <c r="G460" i="45"/>
  <c r="AE460" i="45" s="1"/>
  <c r="AF460" i="45" s="1"/>
  <c r="G203" i="45"/>
  <c r="AE203" i="45" s="1"/>
  <c r="AF203" i="45" s="1"/>
  <c r="G194" i="45"/>
  <c r="AE194" i="45" s="1"/>
  <c r="AF194" i="45" s="1"/>
  <c r="G366" i="45"/>
  <c r="AE366" i="45" s="1"/>
  <c r="AF366" i="45" s="1"/>
  <c r="G592" i="45"/>
  <c r="AE592" i="45" s="1"/>
  <c r="AF592" i="45" s="1"/>
  <c r="G520" i="45"/>
  <c r="AE520" i="45" s="1"/>
  <c r="AF520" i="45" s="1"/>
  <c r="G594" i="45"/>
  <c r="AE594" i="45" s="1"/>
  <c r="AF594" i="45" s="1"/>
  <c r="G152" i="45"/>
  <c r="AE152" i="45" s="1"/>
  <c r="AF152" i="45" s="1"/>
  <c r="G200" i="45"/>
  <c r="AE200" i="45" s="1"/>
  <c r="AF200" i="45" s="1"/>
  <c r="G68" i="45"/>
  <c r="AE68" i="45" s="1"/>
  <c r="AF68" i="45" s="1"/>
  <c r="G542" i="45"/>
  <c r="AE542" i="45" s="1"/>
  <c r="AF542" i="45" s="1"/>
  <c r="G536" i="45"/>
  <c r="AE536" i="45" s="1"/>
  <c r="AF536" i="45" s="1"/>
  <c r="G67" i="45"/>
  <c r="AE67" i="45" s="1"/>
  <c r="AF67" i="45" s="1"/>
  <c r="G464" i="45"/>
  <c r="AE464" i="45" s="1"/>
  <c r="AF464" i="45" s="1"/>
  <c r="G377" i="45"/>
  <c r="AE377" i="45" s="1"/>
  <c r="AF377" i="45" s="1"/>
  <c r="G391" i="45"/>
  <c r="AE391" i="45" s="1"/>
  <c r="AF391" i="45" s="1"/>
  <c r="G303" i="45"/>
  <c r="AE303" i="45" s="1"/>
  <c r="AF303" i="45" s="1"/>
  <c r="G43" i="45"/>
  <c r="AE43" i="45" s="1"/>
  <c r="AF43" i="45" s="1"/>
  <c r="G37" i="45"/>
  <c r="AE37" i="45" s="1"/>
  <c r="AF37" i="45" s="1"/>
  <c r="G360" i="45"/>
  <c r="AE360" i="45" s="1"/>
  <c r="AF360" i="45" s="1"/>
  <c r="G538" i="45"/>
  <c r="AE538" i="45" s="1"/>
  <c r="AF538" i="45" s="1"/>
  <c r="G602" i="45"/>
  <c r="AE602" i="45" s="1"/>
  <c r="AF602" i="45" s="1"/>
  <c r="G100" i="45"/>
  <c r="AE100" i="45" s="1"/>
  <c r="AF100" i="45" s="1"/>
  <c r="G583" i="45"/>
  <c r="AE583" i="45" s="1"/>
  <c r="AF583" i="45" s="1"/>
  <c r="G369" i="45"/>
  <c r="AE369" i="45" s="1"/>
  <c r="AF369" i="45" s="1"/>
  <c r="G46" i="45"/>
  <c r="AE46" i="45" s="1"/>
  <c r="AF46" i="45" s="1"/>
  <c r="G364" i="45"/>
  <c r="AE364" i="45" s="1"/>
  <c r="AF364" i="45" s="1"/>
  <c r="G357" i="45"/>
  <c r="AE357" i="45" s="1"/>
  <c r="AF357" i="45" s="1"/>
  <c r="G407" i="45"/>
  <c r="AE407" i="45" s="1"/>
  <c r="AF407" i="45" s="1"/>
  <c r="G517" i="45"/>
  <c r="AE517" i="45" s="1"/>
  <c r="AF517" i="45" s="1"/>
  <c r="G39" i="45"/>
  <c r="AE39" i="45" s="1"/>
  <c r="AF39" i="45" s="1"/>
  <c r="G331" i="45"/>
  <c r="AE331" i="45" s="1"/>
  <c r="AF331" i="45" s="1"/>
  <c r="G584" i="45"/>
  <c r="AE584" i="45" s="1"/>
  <c r="AF584" i="45" s="1"/>
  <c r="G24" i="45"/>
  <c r="AE24" i="45" s="1"/>
  <c r="AF24" i="45" s="1"/>
  <c r="G382" i="45"/>
  <c r="AE382" i="45" s="1"/>
  <c r="AF382" i="45" s="1"/>
  <c r="G485" i="45"/>
  <c r="AE485" i="45" s="1"/>
  <c r="AF485" i="45" s="1"/>
  <c r="G453" i="45"/>
  <c r="AE453" i="45" s="1"/>
  <c r="AF453" i="45" s="1"/>
  <c r="G409" i="45"/>
  <c r="AE409" i="45" s="1"/>
  <c r="AF409" i="45" s="1"/>
  <c r="G227" i="45"/>
  <c r="AE227" i="45" s="1"/>
  <c r="AF227" i="45" s="1"/>
  <c r="G434" i="45"/>
  <c r="AE434" i="45" s="1"/>
  <c r="AF434" i="45" s="1"/>
  <c r="G505" i="45"/>
  <c r="AE505" i="45" s="1"/>
  <c r="AF505" i="45" s="1"/>
  <c r="G312" i="45"/>
  <c r="AE312" i="45" s="1"/>
  <c r="AF312" i="45" s="1"/>
  <c r="G103" i="45"/>
  <c r="AE103" i="45" s="1"/>
  <c r="AF103" i="45" s="1"/>
  <c r="G454" i="45"/>
  <c r="AE454" i="45" s="1"/>
  <c r="AF454" i="45" s="1"/>
  <c r="G128" i="45"/>
  <c r="AE128" i="45" s="1"/>
  <c r="AF128" i="45" s="1"/>
  <c r="G255" i="45"/>
  <c r="AE255" i="45" s="1"/>
  <c r="AF255" i="45" s="1"/>
  <c r="G585" i="45"/>
  <c r="AE585" i="45" s="1"/>
  <c r="AF585" i="45" s="1"/>
  <c r="G540" i="45"/>
  <c r="AE540" i="45" s="1"/>
  <c r="AF540" i="45" s="1"/>
  <c r="G417" i="45"/>
  <c r="AE417" i="45" s="1"/>
  <c r="AF417" i="45" s="1"/>
  <c r="G595" i="45"/>
  <c r="AE595" i="45" s="1"/>
  <c r="AF595" i="45" s="1"/>
  <c r="G384" i="45"/>
  <c r="AE384" i="45" s="1"/>
  <c r="AF384" i="45" s="1"/>
  <c r="G138" i="45"/>
  <c r="AE138" i="45" s="1"/>
  <c r="AF138" i="45" s="1"/>
  <c r="G383" i="45"/>
  <c r="AE383" i="45" s="1"/>
  <c r="AF383" i="45" s="1"/>
  <c r="G597" i="45"/>
  <c r="AE597" i="45" s="1"/>
  <c r="AF597" i="45" s="1"/>
  <c r="G461" i="45"/>
  <c r="AE461" i="45" s="1"/>
  <c r="AF461" i="45" s="1"/>
  <c r="G265" i="45"/>
  <c r="AE265" i="45" s="1"/>
  <c r="AF265" i="45" s="1"/>
  <c r="G122" i="45"/>
  <c r="AE122" i="45" s="1"/>
  <c r="AF122" i="45" s="1"/>
  <c r="G507" i="45"/>
  <c r="AE507" i="45" s="1"/>
  <c r="AF507" i="45" s="1"/>
  <c r="G334" i="45"/>
  <c r="AE334" i="45" s="1"/>
  <c r="AF334" i="45" s="1"/>
  <c r="G544" i="45"/>
  <c r="AE544" i="45" s="1"/>
  <c r="AF544" i="45" s="1"/>
  <c r="G474" i="45"/>
  <c r="AE474" i="45" s="1"/>
  <c r="AF474" i="45" s="1"/>
  <c r="G252" i="45"/>
  <c r="AE252" i="45" s="1"/>
  <c r="AF252" i="45" s="1"/>
  <c r="G146" i="45"/>
  <c r="AE146" i="45" s="1"/>
  <c r="AF146" i="45" s="1"/>
  <c r="G555" i="45"/>
  <c r="AE555" i="45" s="1"/>
  <c r="AF555" i="45" s="1"/>
  <c r="G527" i="45"/>
  <c r="AE527" i="45" s="1"/>
  <c r="AF527" i="45" s="1"/>
  <c r="G49" i="45"/>
  <c r="AE49" i="45" s="1"/>
  <c r="AF49" i="45" s="1"/>
  <c r="G306" i="45"/>
  <c r="AE306" i="45" s="1"/>
  <c r="AF306" i="45" s="1"/>
  <c r="G169" i="45"/>
  <c r="AE169" i="45" s="1"/>
  <c r="AF169" i="45" s="1"/>
  <c r="G271" i="45"/>
  <c r="AE271" i="45" s="1"/>
  <c r="AF271" i="45" s="1"/>
  <c r="G90" i="45"/>
  <c r="AE90" i="45" s="1"/>
  <c r="AF90" i="45" s="1"/>
  <c r="G182" i="45"/>
  <c r="AE182" i="45" s="1"/>
  <c r="AF182" i="45" s="1"/>
  <c r="G79" i="45"/>
  <c r="AE79" i="45" s="1"/>
  <c r="AF79" i="45" s="1"/>
  <c r="G148" i="45"/>
  <c r="AE148" i="45" s="1"/>
  <c r="AF148" i="45" s="1"/>
  <c r="G311" i="45"/>
  <c r="AE311" i="45" s="1"/>
  <c r="AF311" i="45" s="1"/>
  <c r="G563" i="45"/>
  <c r="AE563" i="45" s="1"/>
  <c r="AF563" i="45" s="1"/>
  <c r="G493" i="45"/>
  <c r="AE493" i="45" s="1"/>
  <c r="AF493" i="45" s="1"/>
  <c r="G515" i="45"/>
  <c r="AE515" i="45" s="1"/>
  <c r="AF515" i="45" s="1"/>
  <c r="G280" i="45"/>
  <c r="AE280" i="45" s="1"/>
  <c r="AF280" i="45" s="1"/>
  <c r="G429" i="45"/>
  <c r="AE429" i="45" s="1"/>
  <c r="AF429" i="45" s="1"/>
  <c r="G149" i="45"/>
  <c r="AE149" i="45" s="1"/>
  <c r="AF149" i="45" s="1"/>
  <c r="G119" i="45"/>
  <c r="AE119" i="45" s="1"/>
  <c r="AF119" i="45" s="1"/>
  <c r="G250" i="45"/>
  <c r="AE250" i="45" s="1"/>
  <c r="AF250" i="45" s="1"/>
  <c r="G205" i="45"/>
  <c r="AE205" i="45" s="1"/>
  <c r="AF205" i="45" s="1"/>
  <c r="G36" i="45"/>
  <c r="AE36" i="45" s="1"/>
  <c r="AF36" i="45" s="1"/>
  <c r="G275" i="45"/>
  <c r="AE275" i="45" s="1"/>
  <c r="AF275" i="45" s="1"/>
  <c r="G105" i="45"/>
  <c r="AE105" i="45" s="1"/>
  <c r="AF105" i="45" s="1"/>
  <c r="G532" i="45"/>
  <c r="AE532" i="45" s="1"/>
  <c r="AF532" i="45" s="1"/>
  <c r="G325" i="45"/>
  <c r="AE325" i="45" s="1"/>
  <c r="AF325" i="45" s="1"/>
  <c r="G353" i="45"/>
  <c r="AE353" i="45" s="1"/>
  <c r="AF353" i="45" s="1"/>
  <c r="G214" i="45"/>
  <c r="AE214" i="45" s="1"/>
  <c r="AF214" i="45" s="1"/>
  <c r="G193" i="45"/>
  <c r="AE193" i="45" s="1"/>
  <c r="AF193" i="45" s="1"/>
  <c r="G22" i="45"/>
  <c r="G516" i="45"/>
  <c r="AE516" i="45" s="1"/>
  <c r="AF516" i="45" s="1"/>
  <c r="G487" i="45"/>
  <c r="AE487" i="45" s="1"/>
  <c r="AF487" i="45" s="1"/>
  <c r="G212" i="45"/>
  <c r="AE212" i="45" s="1"/>
  <c r="AF212" i="45" s="1"/>
  <c r="G328" i="45"/>
  <c r="AE328" i="45" s="1"/>
  <c r="AF328" i="45" s="1"/>
  <c r="G560" i="45"/>
  <c r="AE560" i="45" s="1"/>
  <c r="AF560" i="45" s="1"/>
  <c r="G603" i="45"/>
  <c r="AE603" i="45" s="1"/>
  <c r="AF603" i="45" s="1"/>
  <c r="G424" i="45"/>
  <c r="AE424" i="45" s="1"/>
  <c r="AF424" i="45" s="1"/>
  <c r="G272" i="45"/>
  <c r="AE272" i="45" s="1"/>
  <c r="AF272" i="45" s="1"/>
  <c r="G80" i="45"/>
  <c r="AE80" i="45" s="1"/>
  <c r="AF80" i="45" s="1"/>
  <c r="G66" i="45"/>
  <c r="AE66" i="45" s="1"/>
  <c r="AF66" i="45" s="1"/>
  <c r="G304" i="45"/>
  <c r="AE304" i="45" s="1"/>
  <c r="AF304" i="45" s="1"/>
  <c r="G253" i="45"/>
  <c r="AE253" i="45" s="1"/>
  <c r="AF253" i="45" s="1"/>
  <c r="G479" i="45"/>
  <c r="AE479" i="45" s="1"/>
  <c r="AF479" i="45" s="1"/>
  <c r="G422" i="45"/>
  <c r="AE422" i="45" s="1"/>
  <c r="AF422" i="45" s="1"/>
  <c r="G529" i="45"/>
  <c r="AE529" i="45" s="1"/>
  <c r="AF529" i="45" s="1"/>
  <c r="G570" i="45"/>
  <c r="AE570" i="45" s="1"/>
  <c r="AF570" i="45" s="1"/>
  <c r="G240" i="45"/>
  <c r="AE240" i="45" s="1"/>
  <c r="AF240" i="45" s="1"/>
  <c r="G230" i="45"/>
  <c r="AE230" i="45" s="1"/>
  <c r="AF230" i="45" s="1"/>
  <c r="G131" i="45"/>
  <c r="AE131" i="45" s="1"/>
  <c r="AF131" i="45" s="1"/>
  <c r="G150" i="45"/>
  <c r="AE150" i="45" s="1"/>
  <c r="AF150" i="45" s="1"/>
  <c r="G125" i="45"/>
  <c r="AE125" i="45" s="1"/>
  <c r="AF125" i="45" s="1"/>
  <c r="G110" i="45"/>
  <c r="AE110" i="45" s="1"/>
  <c r="AF110" i="45" s="1"/>
  <c r="G93" i="45"/>
  <c r="AE93" i="45" s="1"/>
  <c r="AF93" i="45" s="1"/>
  <c r="G405" i="45"/>
  <c r="AE405" i="45" s="1"/>
  <c r="AF405" i="45" s="1"/>
  <c r="G509" i="45"/>
  <c r="AE509" i="45" s="1"/>
  <c r="AF509" i="45" s="1"/>
  <c r="G248" i="45"/>
  <c r="AE248" i="45" s="1"/>
  <c r="AF248" i="45" s="1"/>
  <c r="G135" i="45"/>
  <c r="AE135" i="45" s="1"/>
  <c r="AF135" i="45" s="1"/>
  <c r="G356" i="45"/>
  <c r="AE356" i="45" s="1"/>
  <c r="AF356" i="45" s="1"/>
  <c r="G243" i="45"/>
  <c r="AE243" i="45" s="1"/>
  <c r="AF243" i="45" s="1"/>
  <c r="G601" i="45"/>
  <c r="AE601" i="45" s="1"/>
  <c r="AF601" i="45" s="1"/>
  <c r="G528" i="45"/>
  <c r="AE528" i="45" s="1"/>
  <c r="AF528" i="45" s="1"/>
  <c r="G362" i="45"/>
  <c r="AE362" i="45" s="1"/>
  <c r="AF362" i="45" s="1"/>
  <c r="G136" i="45"/>
  <c r="AE136" i="45" s="1"/>
  <c r="AF136" i="45" s="1"/>
  <c r="G465" i="45"/>
  <c r="AE465" i="45" s="1"/>
  <c r="AF465" i="45" s="1"/>
  <c r="G75" i="45"/>
  <c r="AE75" i="45" s="1"/>
  <c r="AF75" i="45" s="1"/>
  <c r="G361" i="45"/>
  <c r="AE361" i="45" s="1"/>
  <c r="AF361" i="45" s="1"/>
  <c r="G524" i="45"/>
  <c r="AE524" i="45" s="1"/>
  <c r="AF524" i="45" s="1"/>
  <c r="G143" i="45"/>
  <c r="AE143" i="45" s="1"/>
  <c r="AF143" i="45" s="1"/>
  <c r="G270" i="45"/>
  <c r="AE270" i="45" s="1"/>
  <c r="AF270" i="45" s="1"/>
  <c r="G456" i="45"/>
  <c r="AE456" i="45" s="1"/>
  <c r="AF456" i="45" s="1"/>
  <c r="G486" i="45"/>
  <c r="AE486" i="45" s="1"/>
  <c r="AF486" i="45" s="1"/>
  <c r="G41" i="45"/>
  <c r="AE41" i="45" s="1"/>
  <c r="AF41" i="45" s="1"/>
  <c r="G195" i="45"/>
  <c r="AE195" i="45" s="1"/>
  <c r="AF195" i="45" s="1"/>
  <c r="G526" i="45"/>
  <c r="AE526" i="45" s="1"/>
  <c r="AF526" i="45" s="1"/>
  <c r="G297" i="45"/>
  <c r="AE297" i="45" s="1"/>
  <c r="AF297" i="45" s="1"/>
  <c r="G180" i="45"/>
  <c r="AE180" i="45" s="1"/>
  <c r="AF180" i="45" s="1"/>
  <c r="G378" i="45"/>
  <c r="AE378" i="45" s="1"/>
  <c r="AF378" i="45" s="1"/>
  <c r="G178" i="45"/>
  <c r="AE178" i="45" s="1"/>
  <c r="AF178" i="45" s="1"/>
  <c r="G569" i="45"/>
  <c r="AE569" i="45" s="1"/>
  <c r="AF569" i="45" s="1"/>
  <c r="G210" i="45"/>
  <c r="AE210" i="45" s="1"/>
  <c r="AF210" i="45" s="1"/>
  <c r="G157" i="45"/>
  <c r="AE157" i="45" s="1"/>
  <c r="AF157" i="45" s="1"/>
  <c r="G114" i="45"/>
  <c r="AE114" i="45" s="1"/>
  <c r="AF114" i="45" s="1"/>
  <c r="G380" i="45"/>
  <c r="AE380" i="45" s="1"/>
  <c r="AF380" i="45" s="1"/>
  <c r="G221" i="45"/>
  <c r="AE221" i="45" s="1"/>
  <c r="AF221" i="45" s="1"/>
  <c r="G449" i="45"/>
  <c r="AE449" i="45" s="1"/>
  <c r="AF449" i="45" s="1"/>
  <c r="G133" i="45"/>
  <c r="AE133" i="45" s="1"/>
  <c r="AF133" i="45" s="1"/>
  <c r="G173" i="45"/>
  <c r="AE173" i="45" s="1"/>
  <c r="AF173" i="45" s="1"/>
  <c r="G121" i="45"/>
  <c r="AE121" i="45" s="1"/>
  <c r="AF121" i="45" s="1"/>
  <c r="G345" i="45"/>
  <c r="AE345" i="45" s="1"/>
  <c r="AF345" i="45" s="1"/>
  <c r="G547" i="45"/>
  <c r="AE547" i="45" s="1"/>
  <c r="AF547" i="45" s="1"/>
  <c r="G484" i="45"/>
  <c r="AE484" i="45" s="1"/>
  <c r="AF484" i="45" s="1"/>
  <c r="G430" i="45"/>
  <c r="AE430" i="45" s="1"/>
  <c r="AF430" i="45" s="1"/>
  <c r="G26" i="45"/>
  <c r="AE26" i="45" s="1"/>
  <c r="AF26" i="45" s="1"/>
  <c r="G145" i="45"/>
  <c r="AE145" i="45" s="1"/>
  <c r="AF145" i="45" s="1"/>
  <c r="G130" i="45"/>
  <c r="AE130" i="45" s="1"/>
  <c r="AF130" i="45" s="1"/>
  <c r="G387" i="45"/>
  <c r="AE387" i="45" s="1"/>
  <c r="AF387" i="45" s="1"/>
  <c r="G498" i="45"/>
  <c r="AE498" i="45" s="1"/>
  <c r="AF498" i="45" s="1"/>
  <c r="G86" i="45"/>
  <c r="AE86" i="45" s="1"/>
  <c r="AF86" i="45" s="1"/>
  <c r="G222" i="45"/>
  <c r="AE222" i="45" s="1"/>
  <c r="AF222" i="45" s="1"/>
  <c r="G480" i="45"/>
  <c r="AE480" i="45" s="1"/>
  <c r="AF480" i="45" s="1"/>
  <c r="G575" i="45"/>
  <c r="AE575" i="45" s="1"/>
  <c r="AF575" i="45" s="1"/>
  <c r="G278" i="45"/>
  <c r="AE278" i="45" s="1"/>
  <c r="AF278" i="45" s="1"/>
  <c r="G408" i="45"/>
  <c r="AE408" i="45" s="1"/>
  <c r="AF408" i="45" s="1"/>
  <c r="G220" i="45"/>
  <c r="AE220" i="45" s="1"/>
  <c r="AF220" i="45" s="1"/>
  <c r="G309" i="45"/>
  <c r="AE309" i="45" s="1"/>
  <c r="AF309" i="45" s="1"/>
  <c r="G549" i="45"/>
  <c r="AE549" i="45" s="1"/>
  <c r="AF549" i="45" s="1"/>
  <c r="G457" i="45"/>
  <c r="AE457" i="45" s="1"/>
  <c r="AF457" i="45" s="1"/>
  <c r="G50" i="45"/>
  <c r="AE50" i="45" s="1"/>
  <c r="AF50" i="45" s="1"/>
  <c r="G447" i="45"/>
  <c r="AE447" i="45" s="1"/>
  <c r="AF447" i="45" s="1"/>
  <c r="G298" i="45"/>
  <c r="AE298" i="45" s="1"/>
  <c r="AF298" i="45" s="1"/>
  <c r="G436" i="45"/>
  <c r="AE436" i="45" s="1"/>
  <c r="AF436" i="45" s="1"/>
  <c r="G368" i="45"/>
  <c r="AE368" i="45" s="1"/>
  <c r="AF368" i="45" s="1"/>
  <c r="G85" i="45"/>
  <c r="AE85" i="45" s="1"/>
  <c r="AF85" i="45" s="1"/>
  <c r="G171" i="45"/>
  <c r="AE171" i="45" s="1"/>
  <c r="AF171" i="45" s="1"/>
  <c r="G553" i="45"/>
  <c r="AE553" i="45" s="1"/>
  <c r="AF553" i="45" s="1"/>
  <c r="G267" i="45"/>
  <c r="AE267" i="45" s="1"/>
  <c r="AF267" i="45" s="1"/>
  <c r="G96" i="45"/>
  <c r="AE96" i="45" s="1"/>
  <c r="AF96" i="45" s="1"/>
  <c r="G260" i="45"/>
  <c r="AE260" i="45" s="1"/>
  <c r="AF260" i="45" s="1"/>
  <c r="G106" i="45"/>
  <c r="AE106" i="45" s="1"/>
  <c r="AF106" i="45" s="1"/>
  <c r="G108" i="45"/>
  <c r="AE108" i="45" s="1"/>
  <c r="AF108" i="45" s="1"/>
  <c r="G566" i="45"/>
  <c r="AE566" i="45" s="1"/>
  <c r="AF566" i="45" s="1"/>
  <c r="G347" i="45"/>
  <c r="AE347" i="45" s="1"/>
  <c r="AF347" i="45" s="1"/>
  <c r="G300" i="45"/>
  <c r="AE300" i="45" s="1"/>
  <c r="AF300" i="45" s="1"/>
  <c r="G223" i="45"/>
  <c r="AE223" i="45" s="1"/>
  <c r="AF223" i="45" s="1"/>
  <c r="G156" i="45"/>
  <c r="AE156" i="45" s="1"/>
  <c r="AF156" i="45" s="1"/>
  <c r="G352" i="45"/>
  <c r="AE352" i="45" s="1"/>
  <c r="AF352" i="45" s="1"/>
  <c r="G490" i="45"/>
  <c r="AE490" i="45" s="1"/>
  <c r="AF490" i="45" s="1"/>
  <c r="G535" i="45"/>
  <c r="AE535" i="45" s="1"/>
  <c r="AF535" i="45" s="1"/>
  <c r="G308" i="45"/>
  <c r="AE308" i="45" s="1"/>
  <c r="AF308" i="45" s="1"/>
  <c r="G425" i="45"/>
  <c r="AE425" i="45" s="1"/>
  <c r="AF425" i="45" s="1"/>
  <c r="G580" i="45"/>
  <c r="AE580" i="45" s="1"/>
  <c r="AF580" i="45" s="1"/>
  <c r="G294" i="45"/>
  <c r="AE294" i="45" s="1"/>
  <c r="AF294" i="45" s="1"/>
  <c r="G53" i="45"/>
  <c r="AE53" i="45" s="1"/>
  <c r="AF53" i="45" s="1"/>
  <c r="G335" i="45"/>
  <c r="AE335" i="45" s="1"/>
  <c r="AF335" i="45" s="1"/>
  <c r="G285" i="45"/>
  <c r="AE285" i="45" s="1"/>
  <c r="AF285" i="45" s="1"/>
  <c r="G342" i="45"/>
  <c r="AE342" i="45" s="1"/>
  <c r="AF342" i="45" s="1"/>
  <c r="G363" i="45"/>
  <c r="AE363" i="45" s="1"/>
  <c r="AF363" i="45" s="1"/>
  <c r="G137" i="45"/>
  <c r="AE137" i="45" s="1"/>
  <c r="AF137" i="45" s="1"/>
  <c r="G381" i="45"/>
  <c r="AE381" i="45" s="1"/>
  <c r="AF381" i="45" s="1"/>
  <c r="G91" i="45"/>
  <c r="AE91" i="45" s="1"/>
  <c r="AF91" i="45" s="1"/>
  <c r="G341" i="45"/>
  <c r="AE341" i="45" s="1"/>
  <c r="AF341" i="45" s="1"/>
  <c r="G295" i="45"/>
  <c r="AE295" i="45" s="1"/>
  <c r="AF295" i="45" s="1"/>
  <c r="G302" i="45"/>
  <c r="AE302" i="45" s="1"/>
  <c r="AF302" i="45" s="1"/>
  <c r="G351" i="45"/>
  <c r="AE351" i="45" s="1"/>
  <c r="AF351" i="45" s="1"/>
  <c r="G492" i="45"/>
  <c r="AE492" i="45" s="1"/>
  <c r="AF492" i="45" s="1"/>
  <c r="G213" i="45"/>
  <c r="AE213" i="45" s="1"/>
  <c r="AF213" i="45" s="1"/>
  <c r="G537" i="45"/>
  <c r="AE537" i="45" s="1"/>
  <c r="AF537" i="45" s="1"/>
  <c r="G543" i="45"/>
  <c r="AE543" i="45" s="1"/>
  <c r="AF543" i="45" s="1"/>
  <c r="G313" i="45"/>
  <c r="AE313" i="45" s="1"/>
  <c r="AF313" i="45" s="1"/>
  <c r="G403" i="45"/>
  <c r="AE403" i="45" s="1"/>
  <c r="AF403" i="45" s="1"/>
  <c r="G355" i="45"/>
  <c r="AE355" i="45" s="1"/>
  <c r="AF355" i="45" s="1"/>
  <c r="G459" i="45"/>
  <c r="AE459" i="45" s="1"/>
  <c r="AF459" i="45" s="1"/>
  <c r="G226" i="45"/>
  <c r="AE226" i="45" s="1"/>
  <c r="AF226" i="45" s="1"/>
  <c r="G503" i="45"/>
  <c r="AE503" i="45" s="1"/>
  <c r="AF503" i="45" s="1"/>
  <c r="G217" i="45"/>
  <c r="AE217" i="45" s="1"/>
  <c r="AF217" i="45" s="1"/>
  <c r="G385" i="45"/>
  <c r="AE385" i="45" s="1"/>
  <c r="AF385" i="45" s="1"/>
  <c r="G60" i="45"/>
  <c r="AE60" i="45" s="1"/>
  <c r="AF60" i="45" s="1"/>
  <c r="G511" i="45"/>
  <c r="AE511" i="45" s="1"/>
  <c r="AF511" i="45" s="1"/>
  <c r="G338" i="45"/>
  <c r="AE338" i="45" s="1"/>
  <c r="AF338" i="45" s="1"/>
  <c r="G327" i="45"/>
  <c r="AE327" i="45" s="1"/>
  <c r="AF327" i="45" s="1"/>
  <c r="G512" i="45"/>
  <c r="AE512" i="45" s="1"/>
  <c r="AF512" i="45" s="1"/>
  <c r="G98" i="45"/>
  <c r="AE98" i="45" s="1"/>
  <c r="AF98" i="45" s="1"/>
  <c r="G591" i="45"/>
  <c r="AE591" i="45" s="1"/>
  <c r="AF591" i="45" s="1"/>
  <c r="G401" i="45"/>
  <c r="AE401" i="45" s="1"/>
  <c r="AF401" i="45" s="1"/>
  <c r="G340" i="45"/>
  <c r="AE340" i="45" s="1"/>
  <c r="AF340" i="45" s="1"/>
  <c r="G147" i="45"/>
  <c r="AE147" i="45" s="1"/>
  <c r="AF147" i="45" s="1"/>
  <c r="G562" i="45"/>
  <c r="AE562" i="45" s="1"/>
  <c r="AF562" i="45" s="1"/>
  <c r="G196" i="45"/>
  <c r="AE196" i="45" s="1"/>
  <c r="AF196" i="45" s="1"/>
  <c r="G574" i="45"/>
  <c r="AE574" i="45" s="1"/>
  <c r="AF574" i="45" s="1"/>
  <c r="G266" i="45"/>
  <c r="AE266" i="45" s="1"/>
  <c r="AF266" i="45" s="1"/>
  <c r="G225" i="45"/>
  <c r="AE225" i="45" s="1"/>
  <c r="AF225" i="45" s="1"/>
  <c r="G337" i="45"/>
  <c r="AE337" i="45" s="1"/>
  <c r="AF337" i="45" s="1"/>
  <c r="G344" i="45"/>
  <c r="AE344" i="45" s="1"/>
  <c r="AF344" i="45" s="1"/>
  <c r="G468" i="45"/>
  <c r="AE468" i="45" s="1"/>
  <c r="AF468" i="45" s="1"/>
  <c r="G582" i="45"/>
  <c r="AE582" i="45" s="1"/>
  <c r="AF582" i="45" s="1"/>
  <c r="G496" i="45"/>
  <c r="AE496" i="45" s="1"/>
  <c r="AF496" i="45" s="1"/>
  <c r="G462" i="45"/>
  <c r="AE462" i="45" s="1"/>
  <c r="AF462" i="45" s="1"/>
  <c r="G533" i="45"/>
  <c r="AE533" i="45" s="1"/>
  <c r="AF533" i="45" s="1"/>
  <c r="G346" i="45"/>
  <c r="AE346" i="45" s="1"/>
  <c r="AF346" i="45" s="1"/>
  <c r="G201" i="45"/>
  <c r="AE201" i="45" s="1"/>
  <c r="AF201" i="45" s="1"/>
  <c r="G264" i="45"/>
  <c r="AE264" i="45" s="1"/>
  <c r="AF264" i="45" s="1"/>
  <c r="G185" i="45"/>
  <c r="AE185" i="45" s="1"/>
  <c r="AF185" i="45" s="1"/>
  <c r="G514" i="45"/>
  <c r="AE514" i="45" s="1"/>
  <c r="AF514" i="45" s="1"/>
  <c r="G183" i="45"/>
  <c r="AE183" i="45" s="1"/>
  <c r="AF183" i="45" s="1"/>
  <c r="G160" i="45"/>
  <c r="AE160" i="45" s="1"/>
  <c r="AF160" i="45" s="1"/>
  <c r="G427" i="45"/>
  <c r="AE427" i="45" s="1"/>
  <c r="AF427" i="45" s="1"/>
  <c r="G452" i="45"/>
  <c r="AE452" i="45" s="1"/>
  <c r="AF452" i="45" s="1"/>
  <c r="G299" i="45"/>
  <c r="AE299" i="45" s="1"/>
  <c r="AF299" i="45" s="1"/>
  <c r="G506" i="45"/>
  <c r="AE506" i="45" s="1"/>
  <c r="AF506" i="45" s="1"/>
  <c r="G386" i="45"/>
  <c r="AE386" i="45" s="1"/>
  <c r="AF386" i="45" s="1"/>
  <c r="G586" i="45"/>
  <c r="AE586" i="45" s="1"/>
  <c r="AF586" i="45" s="1"/>
  <c r="G189" i="45"/>
  <c r="AE189" i="45" s="1"/>
  <c r="AF189" i="45" s="1"/>
  <c r="G508" i="45"/>
  <c r="AE508" i="45" s="1"/>
  <c r="AF508" i="45" s="1"/>
  <c r="G323" i="45"/>
  <c r="AE323" i="45" s="1"/>
  <c r="AF323" i="45" s="1"/>
  <c r="G76" i="45"/>
  <c r="AE76" i="45" s="1"/>
  <c r="AF76" i="45" s="1"/>
  <c r="G134" i="45"/>
  <c r="AE134" i="45" s="1"/>
  <c r="AF134" i="45" s="1"/>
  <c r="G415" i="45"/>
  <c r="AE415" i="45" s="1"/>
  <c r="AF415" i="45" s="1"/>
  <c r="G539" i="45"/>
  <c r="AE539" i="45" s="1"/>
  <c r="AF539" i="45" s="1"/>
  <c r="G390" i="45"/>
  <c r="AE390" i="45" s="1"/>
  <c r="AF390" i="45" s="1"/>
  <c r="G187" i="45"/>
  <c r="AE187" i="45" s="1"/>
  <c r="AF187" i="45" s="1"/>
  <c r="G349" i="45"/>
  <c r="AE349" i="45" s="1"/>
  <c r="AF349" i="45" s="1"/>
  <c r="G541" i="45"/>
  <c r="AE541" i="45" s="1"/>
  <c r="AF541" i="45" s="1"/>
  <c r="G296" i="45"/>
  <c r="AE296" i="45" s="1"/>
  <c r="AF296" i="45" s="1"/>
  <c r="G545" i="45"/>
  <c r="AE545" i="45" s="1"/>
  <c r="AF545" i="45" s="1"/>
  <c r="G593" i="45"/>
  <c r="AE593" i="45" s="1"/>
  <c r="AF593" i="45" s="1"/>
  <c r="G292" i="45"/>
  <c r="AE292" i="45" s="1"/>
  <c r="AF292" i="45" s="1"/>
  <c r="G548" i="45"/>
  <c r="AE548" i="45" s="1"/>
  <c r="AF548" i="45" s="1"/>
  <c r="G444" i="45"/>
  <c r="AE444" i="45" s="1"/>
  <c r="AF444" i="45" s="1"/>
  <c r="G172" i="45"/>
  <c r="AE172" i="45" s="1"/>
  <c r="AF172" i="45" s="1"/>
  <c r="G367" i="45"/>
  <c r="AE367" i="45" s="1"/>
  <c r="AF367" i="45" s="1"/>
  <c r="G290" i="45"/>
  <c r="AE290" i="45" s="1"/>
  <c r="AF290" i="45" s="1"/>
  <c r="G437" i="45"/>
  <c r="AE437" i="45" s="1"/>
  <c r="AF437" i="45" s="1"/>
  <c r="G370" i="45"/>
  <c r="AE370" i="45" s="1"/>
  <c r="AF370" i="45" s="1"/>
  <c r="G478" i="45"/>
  <c r="AE478" i="45" s="1"/>
  <c r="AF478" i="45" s="1"/>
  <c r="G413" i="45"/>
  <c r="AE413" i="45" s="1"/>
  <c r="AF413" i="45" s="1"/>
  <c r="G229" i="45"/>
  <c r="AE229" i="45" s="1"/>
  <c r="AF229" i="45" s="1"/>
  <c r="G283" i="45"/>
  <c r="AE283" i="45" s="1"/>
  <c r="AF283" i="45" s="1"/>
  <c r="G466" i="45"/>
  <c r="AE466" i="45" s="1"/>
  <c r="AF466" i="45" s="1"/>
  <c r="G531" i="45"/>
  <c r="AE531" i="45" s="1"/>
  <c r="AF531" i="45" s="1"/>
  <c r="G358" i="45"/>
  <c r="AE358" i="45" s="1"/>
  <c r="AF358" i="45" s="1"/>
  <c r="G69" i="45"/>
  <c r="AE69" i="45" s="1"/>
  <c r="AF69" i="45" s="1"/>
  <c r="G198" i="45"/>
  <c r="AE198" i="45" s="1"/>
  <c r="AF198" i="45" s="1"/>
  <c r="G179" i="45"/>
  <c r="AE179" i="45" s="1"/>
  <c r="AF179" i="45" s="1"/>
  <c r="G589" i="45"/>
  <c r="AE589" i="45" s="1"/>
  <c r="AF589" i="45" s="1"/>
  <c r="G241" i="45"/>
  <c r="AE241" i="45" s="1"/>
  <c r="AF241" i="45" s="1"/>
  <c r="G163" i="45"/>
  <c r="AE163" i="45" s="1"/>
  <c r="AF163" i="45" s="1"/>
  <c r="G476" i="45"/>
  <c r="AE476" i="45" s="1"/>
  <c r="AF476" i="45" s="1"/>
  <c r="G395" i="45"/>
  <c r="AE395" i="45" s="1"/>
  <c r="AF395" i="45" s="1"/>
  <c r="G559" i="45"/>
  <c r="AE559" i="45" s="1"/>
  <c r="AF559" i="45" s="1"/>
  <c r="G177" i="45"/>
  <c r="AE177" i="45" s="1"/>
  <c r="AF177" i="45" s="1"/>
  <c r="G104" i="45"/>
  <c r="AE104" i="45" s="1"/>
  <c r="AF104" i="45" s="1"/>
  <c r="G155" i="45"/>
  <c r="AE155" i="45" s="1"/>
  <c r="AF155" i="45" s="1"/>
  <c r="G113" i="45"/>
  <c r="AE113" i="45" s="1"/>
  <c r="AF113" i="45" s="1"/>
  <c r="G59" i="45"/>
  <c r="AE59" i="45" s="1"/>
  <c r="AF59" i="45" s="1"/>
  <c r="G510" i="45"/>
  <c r="AE510" i="45" s="1"/>
  <c r="AF510" i="45" s="1"/>
  <c r="G55" i="45"/>
  <c r="AE55" i="45" s="1"/>
  <c r="AF55" i="45" s="1"/>
  <c r="G423" i="45"/>
  <c r="AE423" i="45" s="1"/>
  <c r="AF423" i="45" s="1"/>
  <c r="G209" i="45"/>
  <c r="AE209" i="45" s="1"/>
  <c r="AF209" i="45" s="1"/>
  <c r="G126" i="45"/>
  <c r="AE126" i="45" s="1"/>
  <c r="AF126" i="45" s="1"/>
  <c r="G500" i="45"/>
  <c r="AE500" i="45" s="1"/>
  <c r="AF500" i="45" s="1"/>
  <c r="G175" i="45"/>
  <c r="AE175" i="45" s="1"/>
  <c r="AF175" i="45" s="1"/>
  <c r="G446" i="45"/>
  <c r="AE446" i="45" s="1"/>
  <c r="AF446" i="45" s="1"/>
  <c r="G435" i="45"/>
  <c r="AE435" i="45" s="1"/>
  <c r="AF435" i="45" s="1"/>
  <c r="G554" i="45"/>
  <c r="AE554" i="45" s="1"/>
  <c r="AF554" i="45" s="1"/>
  <c r="G472" i="45"/>
  <c r="AE472" i="45" s="1"/>
  <c r="AF472" i="45" s="1"/>
  <c r="G397" i="45"/>
  <c r="AE397" i="45" s="1"/>
  <c r="AF397" i="45" s="1"/>
  <c r="G116" i="45"/>
  <c r="AE116" i="45" s="1"/>
  <c r="AF116" i="45" s="1"/>
  <c r="G519" i="45"/>
  <c r="AE519" i="45" s="1"/>
  <c r="AF519" i="45" s="1"/>
  <c r="G411" i="45"/>
  <c r="AE411" i="45" s="1"/>
  <c r="AF411" i="45" s="1"/>
  <c r="G564" i="45"/>
  <c r="AE564" i="45" s="1"/>
  <c r="AF564" i="45" s="1"/>
  <c r="AK28" i="35"/>
  <c r="AK35" i="35"/>
  <c r="AK31" i="35"/>
  <c r="AK38" i="35"/>
  <c r="AK30" i="35"/>
  <c r="AK33" i="35"/>
  <c r="AK39" i="35"/>
  <c r="AK29" i="35"/>
  <c r="AK37" i="35"/>
  <c r="AK34" i="35"/>
  <c r="AK27" i="35"/>
  <c r="AK26" i="35"/>
  <c r="AK36" i="35"/>
  <c r="AK32" i="35"/>
  <c r="AM30" i="35"/>
  <c r="AM27" i="35"/>
  <c r="AM38" i="35"/>
  <c r="AM37" i="35"/>
  <c r="AM34" i="35"/>
  <c r="X13" i="35"/>
  <c r="AM39" i="35"/>
  <c r="AM35" i="35"/>
  <c r="AM36" i="35"/>
  <c r="AM33" i="35"/>
  <c r="AM25" i="35"/>
  <c r="AM32" i="35"/>
  <c r="AM28" i="35"/>
  <c r="AM29" i="35"/>
  <c r="AM31" i="35"/>
  <c r="AM26" i="35"/>
  <c r="AT39" i="35"/>
  <c r="AS39" i="35" l="1"/>
  <c r="AU39" i="35"/>
  <c r="H22" i="45"/>
  <c r="H55" i="45"/>
  <c r="AG55" i="45" s="1"/>
  <c r="H113" i="45"/>
  <c r="AG113" i="45" s="1"/>
  <c r="H198" i="45"/>
  <c r="AG198" i="45" s="1"/>
  <c r="H413" i="45"/>
  <c r="AG413" i="45" s="1"/>
  <c r="H415" i="45"/>
  <c r="AG415" i="45" s="1"/>
  <c r="H346" i="45"/>
  <c r="AG346" i="45" s="1"/>
  <c r="H116" i="45"/>
  <c r="AG116" i="45" s="1"/>
  <c r="H435" i="45"/>
  <c r="AG435" i="45" s="1"/>
  <c r="H126" i="45"/>
  <c r="AG126" i="45" s="1"/>
  <c r="H510" i="45"/>
  <c r="AG510" i="45" s="1"/>
  <c r="H59" i="45"/>
  <c r="AG59" i="45" s="1"/>
  <c r="H559" i="45"/>
  <c r="AG559" i="45" s="1"/>
  <c r="H163" i="45"/>
  <c r="AG163" i="45" s="1"/>
  <c r="H241" i="45"/>
  <c r="AG241" i="45" s="1"/>
  <c r="H358" i="45"/>
  <c r="AG358" i="45" s="1"/>
  <c r="H478" i="45"/>
  <c r="AG478" i="45" s="1"/>
  <c r="H290" i="45"/>
  <c r="AG290" i="45" s="1"/>
  <c r="H593" i="45"/>
  <c r="AG593" i="45" s="1"/>
  <c r="H541" i="45"/>
  <c r="AG541" i="45" s="1"/>
  <c r="H187" i="45"/>
  <c r="AG187" i="45" s="1"/>
  <c r="H323" i="45"/>
  <c r="AG323" i="45" s="1"/>
  <c r="H427" i="45"/>
  <c r="AG427" i="45" s="1"/>
  <c r="H264" i="45"/>
  <c r="AG264" i="45" s="1"/>
  <c r="H462" i="45"/>
  <c r="AG462" i="45" s="1"/>
  <c r="H225" i="45"/>
  <c r="AG225" i="45" s="1"/>
  <c r="H574" i="45"/>
  <c r="AG574" i="45" s="1"/>
  <c r="H147" i="45"/>
  <c r="AG147" i="45" s="1"/>
  <c r="H512" i="45"/>
  <c r="AG512" i="45" s="1"/>
  <c r="H385" i="45"/>
  <c r="AG385" i="45" s="1"/>
  <c r="H492" i="45"/>
  <c r="AG492" i="45" s="1"/>
  <c r="H91" i="45"/>
  <c r="AG91" i="45" s="1"/>
  <c r="H137" i="45"/>
  <c r="AG137" i="45" s="1"/>
  <c r="H335" i="45"/>
  <c r="AG335" i="45" s="1"/>
  <c r="H580" i="45"/>
  <c r="AG580" i="45" s="1"/>
  <c r="H223" i="45"/>
  <c r="AG223" i="45" s="1"/>
  <c r="H96" i="45"/>
  <c r="AG96" i="45" s="1"/>
  <c r="H85" i="45"/>
  <c r="AG85" i="45" s="1"/>
  <c r="H298" i="45"/>
  <c r="AG298" i="45" s="1"/>
  <c r="H549" i="45"/>
  <c r="AG549" i="45" s="1"/>
  <c r="H278" i="45"/>
  <c r="AG278" i="45" s="1"/>
  <c r="H86" i="45"/>
  <c r="AG86" i="45" s="1"/>
  <c r="H145" i="45"/>
  <c r="AG145" i="45" s="1"/>
  <c r="H547" i="45"/>
  <c r="AG547" i="45" s="1"/>
  <c r="H133" i="45"/>
  <c r="AG133" i="45" s="1"/>
  <c r="H569" i="45"/>
  <c r="AG569" i="45" s="1"/>
  <c r="H297" i="45"/>
  <c r="AG297" i="45" s="1"/>
  <c r="H486" i="45"/>
  <c r="AG486" i="45" s="1"/>
  <c r="H143" i="45"/>
  <c r="AG143" i="45" s="1"/>
  <c r="H465" i="45"/>
  <c r="AG465" i="45" s="1"/>
  <c r="H601" i="45"/>
  <c r="AG601" i="45" s="1"/>
  <c r="H248" i="45"/>
  <c r="AG248" i="45" s="1"/>
  <c r="H110" i="45"/>
  <c r="AG110" i="45" s="1"/>
  <c r="H230" i="45"/>
  <c r="AG230" i="45" s="1"/>
  <c r="H422" i="45"/>
  <c r="AG422" i="45" s="1"/>
  <c r="H66" i="45"/>
  <c r="AG66" i="45" s="1"/>
  <c r="H424" i="45"/>
  <c r="AG424" i="45" s="1"/>
  <c r="H212" i="45"/>
  <c r="AG212" i="45" s="1"/>
  <c r="H193" i="45"/>
  <c r="AG193" i="45" s="1"/>
  <c r="H275" i="45"/>
  <c r="AG275" i="45" s="1"/>
  <c r="H280" i="45"/>
  <c r="AG280" i="45" s="1"/>
  <c r="H311" i="45"/>
  <c r="AG311" i="45" s="1"/>
  <c r="H90" i="45"/>
  <c r="AG90" i="45" s="1"/>
  <c r="H49" i="45"/>
  <c r="AG49" i="45" s="1"/>
  <c r="H252" i="45"/>
  <c r="AG252" i="45" s="1"/>
  <c r="H507" i="45"/>
  <c r="AG507" i="45" s="1"/>
  <c r="H597" i="45"/>
  <c r="AG597" i="45" s="1"/>
  <c r="H595" i="45"/>
  <c r="AG595" i="45" s="1"/>
  <c r="H434" i="45"/>
  <c r="AG434" i="45" s="1"/>
  <c r="H485" i="45"/>
  <c r="AG485" i="45" s="1"/>
  <c r="H584" i="45"/>
  <c r="AG584" i="45" s="1"/>
  <c r="H331" i="45"/>
  <c r="AG331" i="45" s="1"/>
  <c r="H517" i="45"/>
  <c r="AG517" i="45" s="1"/>
  <c r="H407" i="45"/>
  <c r="AG407" i="45" s="1"/>
  <c r="H364" i="45"/>
  <c r="AG364" i="45" s="1"/>
  <c r="H369" i="45"/>
  <c r="AG369" i="45" s="1"/>
  <c r="H538" i="45"/>
  <c r="AG538" i="45" s="1"/>
  <c r="H303" i="45"/>
  <c r="AG303" i="45" s="1"/>
  <c r="H67" i="45"/>
  <c r="AG67" i="45" s="1"/>
  <c r="H200" i="45"/>
  <c r="AG200" i="45" s="1"/>
  <c r="H592" i="45"/>
  <c r="AG592" i="45" s="1"/>
  <c r="H460" i="45"/>
  <c r="AG460" i="45" s="1"/>
  <c r="H402" i="45"/>
  <c r="AG402" i="45" s="1"/>
  <c r="H477" i="45"/>
  <c r="AG477" i="45" s="1"/>
  <c r="H111" i="45"/>
  <c r="AG111" i="45" s="1"/>
  <c r="H321" i="45"/>
  <c r="AG321" i="45" s="1"/>
  <c r="H343" i="45"/>
  <c r="AG343" i="45" s="1"/>
  <c r="H289" i="45"/>
  <c r="AG289" i="45" s="1"/>
  <c r="H336" i="45"/>
  <c r="AG336" i="45" s="1"/>
  <c r="H581" i="45"/>
  <c r="AG581" i="45" s="1"/>
  <c r="H567" i="45"/>
  <c r="AG567" i="45" s="1"/>
  <c r="H293" i="45"/>
  <c r="AG293" i="45" s="1"/>
  <c r="H389" i="45"/>
  <c r="AG389" i="45" s="1"/>
  <c r="H228" i="45"/>
  <c r="AG228" i="45" s="1"/>
  <c r="H483" i="45"/>
  <c r="AG483" i="45" s="1"/>
  <c r="H348" i="45"/>
  <c r="AG348" i="45" s="1"/>
  <c r="H81" i="45"/>
  <c r="AG81" i="45" s="1"/>
  <c r="H258" i="45"/>
  <c r="AG258" i="45" s="1"/>
  <c r="H330" i="45"/>
  <c r="AG330" i="45" s="1"/>
  <c r="H282" i="45"/>
  <c r="AG282" i="45" s="1"/>
  <c r="H164" i="45"/>
  <c r="AG164" i="45" s="1"/>
  <c r="H28" i="45"/>
  <c r="AG28" i="45" s="1"/>
  <c r="H501" i="45"/>
  <c r="AG501" i="45" s="1"/>
  <c r="H97" i="45"/>
  <c r="AG97" i="45" s="1"/>
  <c r="H394" i="45"/>
  <c r="AG394" i="45" s="1"/>
  <c r="H404" i="45"/>
  <c r="AG404" i="45" s="1"/>
  <c r="H112" i="45"/>
  <c r="AG112" i="45" s="1"/>
  <c r="H74" i="45"/>
  <c r="AG74" i="45" s="1"/>
  <c r="H326" i="45"/>
  <c r="AG326" i="45" s="1"/>
  <c r="H310" i="45"/>
  <c r="AG310" i="45" s="1"/>
  <c r="H443" i="45"/>
  <c r="AG443" i="45" s="1"/>
  <c r="H102" i="45"/>
  <c r="AG102" i="45" s="1"/>
  <c r="H281" i="45"/>
  <c r="AG281" i="45" s="1"/>
  <c r="H94" i="45"/>
  <c r="AG94" i="45" s="1"/>
  <c r="H568" i="45"/>
  <c r="AG568" i="45" s="1"/>
  <c r="H414" i="45"/>
  <c r="AG414" i="45" s="1"/>
  <c r="H142" i="45"/>
  <c r="AG142" i="45" s="1"/>
  <c r="H239" i="45"/>
  <c r="AG239" i="45" s="1"/>
  <c r="H73" i="45"/>
  <c r="AG73" i="45" s="1"/>
  <c r="H249" i="45"/>
  <c r="AG249" i="45" s="1"/>
  <c r="H557" i="45"/>
  <c r="AG557" i="45" s="1"/>
  <c r="H426" i="45"/>
  <c r="AG426" i="45" s="1"/>
  <c r="H419" i="45"/>
  <c r="AG419" i="45" s="1"/>
  <c r="H359" i="45"/>
  <c r="AG359" i="45" s="1"/>
  <c r="H32" i="45"/>
  <c r="AG32" i="45" s="1"/>
  <c r="H332" i="45"/>
  <c r="AG332" i="45" s="1"/>
  <c r="H371" i="45"/>
  <c r="AG371" i="45" s="1"/>
  <c r="H442" i="45"/>
  <c r="AG442" i="45" s="1"/>
  <c r="H54" i="45"/>
  <c r="AG54" i="45" s="1"/>
  <c r="H316" i="45"/>
  <c r="AG316" i="45" s="1"/>
  <c r="H590" i="45"/>
  <c r="AG590" i="45" s="1"/>
  <c r="H84" i="45"/>
  <c r="AG84" i="45" s="1"/>
  <c r="H184" i="45"/>
  <c r="AG184" i="45" s="1"/>
  <c r="H71" i="45"/>
  <c r="AG71" i="45" s="1"/>
  <c r="H83" i="45"/>
  <c r="AG83" i="45" s="1"/>
  <c r="H463" i="45"/>
  <c r="AG463" i="45" s="1"/>
  <c r="H372" i="45"/>
  <c r="AG372" i="45" s="1"/>
  <c r="H494" i="45"/>
  <c r="AG494" i="45" s="1"/>
  <c r="H534" i="45"/>
  <c r="AG534" i="45" s="1"/>
  <c r="H211" i="45"/>
  <c r="AG211" i="45" s="1"/>
  <c r="H571" i="45"/>
  <c r="AG571" i="45" s="1"/>
  <c r="H578" i="45"/>
  <c r="AG578" i="45" s="1"/>
  <c r="H186" i="45"/>
  <c r="AG186" i="45" s="1"/>
  <c r="H57" i="45"/>
  <c r="AG57" i="45" s="1"/>
  <c r="H315" i="45"/>
  <c r="AG315" i="45" s="1"/>
  <c r="H522" i="45"/>
  <c r="AG522" i="45" s="1"/>
  <c r="H244" i="45"/>
  <c r="AG244" i="45" s="1"/>
  <c r="H339" i="45"/>
  <c r="AG339" i="45" s="1"/>
  <c r="H376" i="45"/>
  <c r="AG376" i="45" s="1"/>
  <c r="H166" i="45"/>
  <c r="AG166" i="45" s="1"/>
  <c r="H217" i="45"/>
  <c r="AG217" i="45" s="1"/>
  <c r="H459" i="45"/>
  <c r="AG459" i="45" s="1"/>
  <c r="H313" i="45"/>
  <c r="AG313" i="45" s="1"/>
  <c r="H537" i="45"/>
  <c r="AG537" i="45" s="1"/>
  <c r="H302" i="45"/>
  <c r="AG302" i="45" s="1"/>
  <c r="H381" i="45"/>
  <c r="AG381" i="45" s="1"/>
  <c r="H342" i="45"/>
  <c r="AG342" i="45" s="1"/>
  <c r="H352" i="45"/>
  <c r="AG352" i="45" s="1"/>
  <c r="H300" i="45"/>
  <c r="AG300" i="45" s="1"/>
  <c r="H108" i="45"/>
  <c r="AG108" i="45" s="1"/>
  <c r="H267" i="45"/>
  <c r="AG267" i="45" s="1"/>
  <c r="H447" i="45"/>
  <c r="AG447" i="45" s="1"/>
  <c r="H309" i="45"/>
  <c r="AG309" i="45" s="1"/>
  <c r="H575" i="45"/>
  <c r="AG575" i="45" s="1"/>
  <c r="H498" i="45"/>
  <c r="AG498" i="45" s="1"/>
  <c r="H26" i="45"/>
  <c r="AG26" i="45" s="1"/>
  <c r="H345" i="45"/>
  <c r="AG345" i="45" s="1"/>
  <c r="H449" i="45"/>
  <c r="AG449" i="45" s="1"/>
  <c r="H114" i="45"/>
  <c r="AG114" i="45" s="1"/>
  <c r="H178" i="45"/>
  <c r="AG178" i="45" s="1"/>
  <c r="H526" i="45"/>
  <c r="AG526" i="45" s="1"/>
  <c r="H456" i="45"/>
  <c r="AG456" i="45" s="1"/>
  <c r="H524" i="45"/>
  <c r="AG524" i="45" s="1"/>
  <c r="H136" i="45"/>
  <c r="AG136" i="45" s="1"/>
  <c r="H243" i="45"/>
  <c r="AG243" i="45" s="1"/>
  <c r="H509" i="45"/>
  <c r="AG509" i="45" s="1"/>
  <c r="H125" i="45"/>
  <c r="AG125" i="45" s="1"/>
  <c r="H240" i="45"/>
  <c r="AG240" i="45" s="1"/>
  <c r="H479" i="45"/>
  <c r="AG479" i="45" s="1"/>
  <c r="H603" i="45"/>
  <c r="AG603" i="45" s="1"/>
  <c r="H487" i="45"/>
  <c r="AG487" i="45" s="1"/>
  <c r="H214" i="45"/>
  <c r="AG214" i="45" s="1"/>
  <c r="H325" i="45"/>
  <c r="AG325" i="45" s="1"/>
  <c r="H36" i="45"/>
  <c r="AG36" i="45" s="1"/>
  <c r="H119" i="45"/>
  <c r="AG119" i="45" s="1"/>
  <c r="H515" i="45"/>
  <c r="AG515" i="45" s="1"/>
  <c r="H148" i="45"/>
  <c r="AG148" i="45" s="1"/>
  <c r="H271" i="45"/>
  <c r="AG271" i="45" s="1"/>
  <c r="H527" i="45"/>
  <c r="AG527" i="45" s="1"/>
  <c r="H474" i="45"/>
  <c r="AG474" i="45" s="1"/>
  <c r="H122" i="45"/>
  <c r="AG122" i="45" s="1"/>
  <c r="H383" i="45"/>
  <c r="AG383" i="45" s="1"/>
  <c r="H417" i="45"/>
  <c r="AG417" i="45" s="1"/>
  <c r="H255" i="45"/>
  <c r="AG255" i="45" s="1"/>
  <c r="H103" i="45"/>
  <c r="AG103" i="45" s="1"/>
  <c r="H227" i="45"/>
  <c r="AG227" i="45" s="1"/>
  <c r="H382" i="45"/>
  <c r="AG382" i="45" s="1"/>
  <c r="H583" i="45"/>
  <c r="AG583" i="45" s="1"/>
  <c r="H360" i="45"/>
  <c r="AG360" i="45" s="1"/>
  <c r="H391" i="45"/>
  <c r="AG391" i="45" s="1"/>
  <c r="H536" i="45"/>
  <c r="AG536" i="45" s="1"/>
  <c r="H152" i="45"/>
  <c r="AG152" i="45" s="1"/>
  <c r="H366" i="45"/>
  <c r="AG366" i="45" s="1"/>
  <c r="H470" i="45"/>
  <c r="AG470" i="45" s="1"/>
  <c r="H604" i="45"/>
  <c r="AG604" i="45" s="1"/>
  <c r="H301" i="45"/>
  <c r="AG301" i="45" s="1"/>
  <c r="H513" i="45"/>
  <c r="AG513" i="45" s="1"/>
  <c r="H475" i="45"/>
  <c r="AG475" i="45" s="1"/>
  <c r="H450" i="45"/>
  <c r="AG450" i="45" s="1"/>
  <c r="H34" i="45"/>
  <c r="AG34" i="45" s="1"/>
  <c r="H469" i="45"/>
  <c r="AG469" i="45" s="1"/>
  <c r="H412" i="45"/>
  <c r="AG412" i="45" s="1"/>
  <c r="H274" i="45"/>
  <c r="AG274" i="45" s="1"/>
  <c r="H70" i="45"/>
  <c r="AG70" i="45" s="1"/>
  <c r="H257" i="45"/>
  <c r="AG257" i="45" s="1"/>
  <c r="H418" i="45"/>
  <c r="AG418" i="45" s="1"/>
  <c r="H256" i="45"/>
  <c r="AG256" i="45" s="1"/>
  <c r="H420" i="45"/>
  <c r="AG420" i="45" s="1"/>
  <c r="H127" i="45"/>
  <c r="AG127" i="45" s="1"/>
  <c r="H206" i="45"/>
  <c r="AG206" i="45" s="1"/>
  <c r="H27" i="45"/>
  <c r="AG27" i="45" s="1"/>
  <c r="H87" i="45"/>
  <c r="AG87" i="45" s="1"/>
  <c r="H552" i="45"/>
  <c r="AG552" i="45" s="1"/>
  <c r="H101" i="45"/>
  <c r="AG101" i="45" s="1"/>
  <c r="H373" i="45"/>
  <c r="AG373" i="45" s="1"/>
  <c r="H176" i="45"/>
  <c r="AG176" i="45" s="1"/>
  <c r="H305" i="45"/>
  <c r="AG305" i="45" s="1"/>
  <c r="H432" i="45"/>
  <c r="AG432" i="45" s="1"/>
  <c r="H379" i="45"/>
  <c r="AG379" i="45" s="1"/>
  <c r="H276" i="45"/>
  <c r="AG276" i="45" s="1"/>
  <c r="H558" i="45"/>
  <c r="AG558" i="45" s="1"/>
  <c r="H25" i="45"/>
  <c r="AG25" i="45" s="1"/>
  <c r="H162" i="45"/>
  <c r="AG162" i="45" s="1"/>
  <c r="H117" i="45"/>
  <c r="AG117" i="45" s="1"/>
  <c r="H277" i="45"/>
  <c r="AG277" i="45" s="1"/>
  <c r="H576" i="45"/>
  <c r="AG576" i="45" s="1"/>
  <c r="H410" i="45"/>
  <c r="AG410" i="45" s="1"/>
  <c r="H129" i="45"/>
  <c r="AG129" i="45" s="1"/>
  <c r="H109" i="45"/>
  <c r="AG109" i="45" s="1"/>
  <c r="H82" i="45"/>
  <c r="AG82" i="45" s="1"/>
  <c r="H375" i="45"/>
  <c r="AG375" i="45" s="1"/>
  <c r="H438" i="45"/>
  <c r="AG438" i="45" s="1"/>
  <c r="H224" i="45"/>
  <c r="AG224" i="45" s="1"/>
  <c r="H279" i="45"/>
  <c r="AG279" i="45" s="1"/>
  <c r="H181" i="45"/>
  <c r="AG181" i="45" s="1"/>
  <c r="H215" i="45"/>
  <c r="AG215" i="45" s="1"/>
  <c r="H218" i="45"/>
  <c r="AG218" i="45" s="1"/>
  <c r="H388" i="45"/>
  <c r="AG388" i="45" s="1"/>
  <c r="H262" i="45"/>
  <c r="AG262" i="45" s="1"/>
  <c r="H63" i="45"/>
  <c r="AG63" i="45" s="1"/>
  <c r="H48" i="45"/>
  <c r="AG48" i="45" s="1"/>
  <c r="H398" i="45"/>
  <c r="AG398" i="45" s="1"/>
  <c r="H174" i="45"/>
  <c r="AG174" i="45" s="1"/>
  <c r="H502" i="45"/>
  <c r="AG502" i="45" s="1"/>
  <c r="H399" i="45"/>
  <c r="AG399" i="45" s="1"/>
  <c r="H40" i="45"/>
  <c r="AG40" i="45" s="1"/>
  <c r="H61" i="45"/>
  <c r="AG61" i="45" s="1"/>
  <c r="H88" i="45"/>
  <c r="AG88" i="45" s="1"/>
  <c r="H38" i="45"/>
  <c r="AG38" i="45" s="1"/>
  <c r="H268" i="45"/>
  <c r="AG268" i="45" s="1"/>
  <c r="H329" i="45"/>
  <c r="AG329" i="45" s="1"/>
  <c r="H23" i="45"/>
  <c r="AG23" i="45" s="1"/>
  <c r="H168" i="45"/>
  <c r="AG168" i="45" s="1"/>
  <c r="H219" i="45"/>
  <c r="AG219" i="45" s="1"/>
  <c r="H29" i="45"/>
  <c r="AG29" i="45" s="1"/>
  <c r="H269" i="45"/>
  <c r="AG269" i="45" s="1"/>
  <c r="H188" i="45"/>
  <c r="AG188" i="45" s="1"/>
  <c r="H191" i="45"/>
  <c r="AG191" i="45" s="1"/>
  <c r="H525" i="45"/>
  <c r="AG525" i="45" s="1"/>
  <c r="H238" i="45"/>
  <c r="AG238" i="45" s="1"/>
  <c r="H237" i="45"/>
  <c r="AG237" i="45" s="1"/>
  <c r="H104" i="45"/>
  <c r="AG104" i="45" s="1"/>
  <c r="H476" i="45"/>
  <c r="AG476" i="45" s="1"/>
  <c r="H589" i="45"/>
  <c r="AG589" i="45" s="1"/>
  <c r="H437" i="45"/>
  <c r="AG437" i="45" s="1"/>
  <c r="H134" i="45"/>
  <c r="AG134" i="45" s="1"/>
  <c r="H586" i="45"/>
  <c r="AG586" i="45" s="1"/>
  <c r="H160" i="45"/>
  <c r="AG160" i="45" s="1"/>
  <c r="H201" i="45"/>
  <c r="AG201" i="45" s="1"/>
  <c r="H266" i="45"/>
  <c r="AG266" i="45" s="1"/>
  <c r="H562" i="45"/>
  <c r="AG562" i="45" s="1"/>
  <c r="H175" i="45"/>
  <c r="AG175" i="45" s="1"/>
  <c r="H500" i="45"/>
  <c r="AG500" i="45" s="1"/>
  <c r="H69" i="45"/>
  <c r="AG69" i="45" s="1"/>
  <c r="H466" i="45"/>
  <c r="AG466" i="45" s="1"/>
  <c r="H283" i="45"/>
  <c r="AG283" i="45" s="1"/>
  <c r="H367" i="45"/>
  <c r="AG367" i="45" s="1"/>
  <c r="H172" i="45"/>
  <c r="AG172" i="45" s="1"/>
  <c r="H444" i="45"/>
  <c r="AG444" i="45" s="1"/>
  <c r="H292" i="45"/>
  <c r="AG292" i="45" s="1"/>
  <c r="H545" i="45"/>
  <c r="AG545" i="45" s="1"/>
  <c r="H390" i="45"/>
  <c r="AG390" i="45" s="1"/>
  <c r="H76" i="45"/>
  <c r="AG76" i="45" s="1"/>
  <c r="H508" i="45"/>
  <c r="AG508" i="45" s="1"/>
  <c r="H189" i="45"/>
  <c r="AG189" i="45" s="1"/>
  <c r="H506" i="45"/>
  <c r="AG506" i="45" s="1"/>
  <c r="H299" i="45"/>
  <c r="AG299" i="45" s="1"/>
  <c r="H496" i="45"/>
  <c r="AG496" i="45" s="1"/>
  <c r="H196" i="45"/>
  <c r="AG196" i="45" s="1"/>
  <c r="H340" i="45"/>
  <c r="AG340" i="45" s="1"/>
  <c r="H98" i="45"/>
  <c r="AG98" i="45" s="1"/>
  <c r="H327" i="45"/>
  <c r="AG327" i="45" s="1"/>
  <c r="H511" i="45"/>
  <c r="AG511" i="45" s="1"/>
  <c r="H503" i="45"/>
  <c r="AG503" i="45" s="1"/>
  <c r="H355" i="45"/>
  <c r="AG355" i="45" s="1"/>
  <c r="H403" i="45"/>
  <c r="AG403" i="45" s="1"/>
  <c r="H543" i="45"/>
  <c r="AG543" i="45" s="1"/>
  <c r="H351" i="45"/>
  <c r="AG351" i="45" s="1"/>
  <c r="H295" i="45"/>
  <c r="AG295" i="45" s="1"/>
  <c r="H285" i="45"/>
  <c r="AG285" i="45" s="1"/>
  <c r="H294" i="45"/>
  <c r="AG294" i="45" s="1"/>
  <c r="H308" i="45"/>
  <c r="AG308" i="45" s="1"/>
  <c r="H535" i="45"/>
  <c r="AG535" i="45" s="1"/>
  <c r="H106" i="45"/>
  <c r="AG106" i="45" s="1"/>
  <c r="H553" i="45"/>
  <c r="AG553" i="45" s="1"/>
  <c r="H368" i="45"/>
  <c r="AG368" i="45" s="1"/>
  <c r="H50" i="45"/>
  <c r="AG50" i="45" s="1"/>
  <c r="H220" i="45"/>
  <c r="AG220" i="45" s="1"/>
  <c r="H480" i="45"/>
  <c r="AG480" i="45" s="1"/>
  <c r="H387" i="45"/>
  <c r="AG387" i="45" s="1"/>
  <c r="H430" i="45"/>
  <c r="AG430" i="45" s="1"/>
  <c r="H121" i="45"/>
  <c r="AG121" i="45" s="1"/>
  <c r="H221" i="45"/>
  <c r="AG221" i="45" s="1"/>
  <c r="H157" i="45"/>
  <c r="AG157" i="45" s="1"/>
  <c r="H378" i="45"/>
  <c r="AG378" i="45" s="1"/>
  <c r="H195" i="45"/>
  <c r="AG195" i="45" s="1"/>
  <c r="H270" i="45"/>
  <c r="AG270" i="45" s="1"/>
  <c r="H361" i="45"/>
  <c r="AG361" i="45" s="1"/>
  <c r="H362" i="45"/>
  <c r="AG362" i="45" s="1"/>
  <c r="H356" i="45"/>
  <c r="AG356" i="45" s="1"/>
  <c r="H405" i="45"/>
  <c r="AG405" i="45" s="1"/>
  <c r="H150" i="45"/>
  <c r="AG150" i="45" s="1"/>
  <c r="H570" i="45"/>
  <c r="AG570" i="45" s="1"/>
  <c r="H253" i="45"/>
  <c r="AG253" i="45" s="1"/>
  <c r="H80" i="45"/>
  <c r="AG80" i="45" s="1"/>
  <c r="H560" i="45"/>
  <c r="AG560" i="45" s="1"/>
  <c r="H516" i="45"/>
  <c r="AG516" i="45" s="1"/>
  <c r="H353" i="45"/>
  <c r="AG353" i="45" s="1"/>
  <c r="H532" i="45"/>
  <c r="AG532" i="45" s="1"/>
  <c r="H205" i="45"/>
  <c r="AG205" i="45" s="1"/>
  <c r="H149" i="45"/>
  <c r="AG149" i="45" s="1"/>
  <c r="H493" i="45"/>
  <c r="AG493" i="45" s="1"/>
  <c r="H79" i="45"/>
  <c r="AG79" i="45" s="1"/>
  <c r="H169" i="45"/>
  <c r="AG169" i="45" s="1"/>
  <c r="H555" i="45"/>
  <c r="AG555" i="45" s="1"/>
  <c r="H544" i="45"/>
  <c r="AG544" i="45" s="1"/>
  <c r="H265" i="45"/>
  <c r="AG265" i="45" s="1"/>
  <c r="H138" i="45"/>
  <c r="AG138" i="45" s="1"/>
  <c r="H540" i="45"/>
  <c r="AG540" i="45" s="1"/>
  <c r="H128" i="45"/>
  <c r="AG128" i="45" s="1"/>
  <c r="H312" i="45"/>
  <c r="AG312" i="45" s="1"/>
  <c r="H409" i="45"/>
  <c r="AG409" i="45" s="1"/>
  <c r="H24" i="45"/>
  <c r="AG24" i="45" s="1"/>
  <c r="H100" i="45"/>
  <c r="AG100" i="45" s="1"/>
  <c r="H37" i="45"/>
  <c r="AG37" i="45" s="1"/>
  <c r="H377" i="45"/>
  <c r="AG377" i="45" s="1"/>
  <c r="H542" i="45"/>
  <c r="AG542" i="45" s="1"/>
  <c r="H594" i="45"/>
  <c r="AG594" i="45" s="1"/>
  <c r="H194" i="45"/>
  <c r="AG194" i="45" s="1"/>
  <c r="H234" i="45"/>
  <c r="AG234" i="45" s="1"/>
  <c r="H374" i="45"/>
  <c r="AG374" i="45" s="1"/>
  <c r="H488" i="45"/>
  <c r="AG488" i="45" s="1"/>
  <c r="H170" i="45"/>
  <c r="AG170" i="45" s="1"/>
  <c r="H287" i="45"/>
  <c r="AG287" i="45" s="1"/>
  <c r="H473" i="45"/>
  <c r="AG473" i="45" s="1"/>
  <c r="H320" i="45"/>
  <c r="AG320" i="45" s="1"/>
  <c r="H291" i="45"/>
  <c r="AG291" i="45" s="1"/>
  <c r="H251" i="45"/>
  <c r="AG251" i="45" s="1"/>
  <c r="H197" i="45"/>
  <c r="AG197" i="45" s="1"/>
  <c r="H140" i="45"/>
  <c r="AG140" i="45" s="1"/>
  <c r="H546" i="45"/>
  <c r="AG546" i="45" s="1"/>
  <c r="H204" i="45"/>
  <c r="AG204" i="45" s="1"/>
  <c r="H153" i="45"/>
  <c r="AG153" i="45" s="1"/>
  <c r="H161" i="45"/>
  <c r="AG161" i="45" s="1"/>
  <c r="H51" i="45"/>
  <c r="AG51" i="45" s="1"/>
  <c r="H467" i="45"/>
  <c r="AG467" i="45" s="1"/>
  <c r="H151" i="45"/>
  <c r="AG151" i="45" s="1"/>
  <c r="H141" i="45"/>
  <c r="AG141" i="45" s="1"/>
  <c r="H139" i="45"/>
  <c r="AG139" i="45" s="1"/>
  <c r="H556" i="45"/>
  <c r="AG556" i="45" s="1"/>
  <c r="H471" i="45"/>
  <c r="AG471" i="45" s="1"/>
  <c r="H77" i="45"/>
  <c r="AG77" i="45" s="1"/>
  <c r="H587" i="45"/>
  <c r="AG587" i="45" s="1"/>
  <c r="H144" i="45"/>
  <c r="AG144" i="45" s="1"/>
  <c r="H598" i="45"/>
  <c r="AG598" i="45" s="1"/>
  <c r="H441" i="45"/>
  <c r="AG441" i="45" s="1"/>
  <c r="H416" i="45"/>
  <c r="AG416" i="45" s="1"/>
  <c r="H123" i="45"/>
  <c r="AG123" i="45" s="1"/>
  <c r="H65" i="45"/>
  <c r="AG65" i="45" s="1"/>
  <c r="H455" i="45"/>
  <c r="AG455" i="45" s="1"/>
  <c r="H482" i="45"/>
  <c r="AG482" i="45" s="1"/>
  <c r="H99" i="45"/>
  <c r="AG99" i="45" s="1"/>
  <c r="H324" i="45"/>
  <c r="AG324" i="45" s="1"/>
  <c r="H288" i="45"/>
  <c r="AG288" i="45" s="1"/>
  <c r="H431" i="45"/>
  <c r="AG431" i="45" s="1"/>
  <c r="H31" i="45"/>
  <c r="AG31" i="45" s="1"/>
  <c r="H44" i="45"/>
  <c r="AG44" i="45" s="1"/>
  <c r="H118" i="45"/>
  <c r="AG118" i="45" s="1"/>
  <c r="H491" i="45"/>
  <c r="AG491" i="45" s="1"/>
  <c r="H428" i="45"/>
  <c r="AG428" i="45" s="1"/>
  <c r="H286" i="45"/>
  <c r="AG286" i="45" s="1"/>
  <c r="H577" i="45"/>
  <c r="AG577" i="45" s="1"/>
  <c r="H154" i="45"/>
  <c r="AG154" i="45" s="1"/>
  <c r="H199" i="45"/>
  <c r="AG199" i="45" s="1"/>
  <c r="H550" i="45"/>
  <c r="AG550" i="45" s="1"/>
  <c r="H497" i="45"/>
  <c r="AG497" i="45" s="1"/>
  <c r="H263" i="45"/>
  <c r="AG263" i="45" s="1"/>
  <c r="H573" i="45"/>
  <c r="AG573" i="45" s="1"/>
  <c r="H499" i="45"/>
  <c r="AG499" i="45" s="1"/>
  <c r="H245" i="45"/>
  <c r="AG245" i="45" s="1"/>
  <c r="H307" i="45"/>
  <c r="AG307" i="45" s="1"/>
  <c r="H159" i="45"/>
  <c r="AG159" i="45" s="1"/>
  <c r="H451" i="45"/>
  <c r="AG451" i="45" s="1"/>
  <c r="H596" i="45"/>
  <c r="AG596" i="45" s="1"/>
  <c r="H33" i="45"/>
  <c r="AG33" i="45" s="1"/>
  <c r="H579" i="45"/>
  <c r="AG579" i="45" s="1"/>
  <c r="H208" i="45"/>
  <c r="AG208" i="45" s="1"/>
  <c r="H530" i="45"/>
  <c r="AG530" i="45" s="1"/>
  <c r="H599" i="45"/>
  <c r="AG599" i="45" s="1"/>
  <c r="H350" i="45"/>
  <c r="AG350" i="45" s="1"/>
  <c r="H207" i="45"/>
  <c r="AG207" i="45" s="1"/>
  <c r="H393" i="45"/>
  <c r="AG393" i="45" s="1"/>
  <c r="H92" i="45"/>
  <c r="AG92" i="45" s="1"/>
  <c r="H322" i="45"/>
  <c r="AG322" i="45" s="1"/>
  <c r="H518" i="45"/>
  <c r="AG518" i="45" s="1"/>
  <c r="H58" i="45"/>
  <c r="AG58" i="45" s="1"/>
  <c r="H397" i="45"/>
  <c r="AG397" i="45" s="1"/>
  <c r="H472" i="45"/>
  <c r="AG472" i="45" s="1"/>
  <c r="H229" i="45"/>
  <c r="AG229" i="45" s="1"/>
  <c r="H296" i="45"/>
  <c r="AG296" i="45" s="1"/>
  <c r="H386" i="45"/>
  <c r="AG386" i="45" s="1"/>
  <c r="H452" i="45"/>
  <c r="AG452" i="45" s="1"/>
  <c r="H514" i="45"/>
  <c r="AG514" i="45" s="1"/>
  <c r="H411" i="45"/>
  <c r="AG411" i="45" s="1"/>
  <c r="H446" i="45"/>
  <c r="AG446" i="45" s="1"/>
  <c r="H155" i="45"/>
  <c r="AG155" i="45" s="1"/>
  <c r="H177" i="45"/>
  <c r="AG177" i="45" s="1"/>
  <c r="H395" i="45"/>
  <c r="AG395" i="45" s="1"/>
  <c r="H564" i="45"/>
  <c r="AG564" i="45" s="1"/>
  <c r="H519" i="45"/>
  <c r="AG519" i="45" s="1"/>
  <c r="H554" i="45"/>
  <c r="AG554" i="45" s="1"/>
  <c r="H209" i="45"/>
  <c r="AG209" i="45" s="1"/>
  <c r="H423" i="45"/>
  <c r="AG423" i="45" s="1"/>
  <c r="H179" i="45"/>
  <c r="AG179" i="45" s="1"/>
  <c r="H531" i="45"/>
  <c r="AG531" i="45" s="1"/>
  <c r="H370" i="45"/>
  <c r="AG370" i="45" s="1"/>
  <c r="H548" i="45"/>
  <c r="AG548" i="45" s="1"/>
  <c r="H349" i="45"/>
  <c r="AG349" i="45" s="1"/>
  <c r="H539" i="45"/>
  <c r="AG539" i="45" s="1"/>
  <c r="H183" i="45"/>
  <c r="AG183" i="45" s="1"/>
  <c r="H185" i="45"/>
  <c r="AG185" i="45" s="1"/>
  <c r="H533" i="45"/>
  <c r="AG533" i="45" s="1"/>
  <c r="H582" i="45"/>
  <c r="AG582" i="45" s="1"/>
  <c r="H468" i="45"/>
  <c r="AG468" i="45" s="1"/>
  <c r="H344" i="45"/>
  <c r="AG344" i="45" s="1"/>
  <c r="H337" i="45"/>
  <c r="AG337" i="45" s="1"/>
  <c r="H401" i="45"/>
  <c r="AG401" i="45" s="1"/>
  <c r="H591" i="45"/>
  <c r="AG591" i="45" s="1"/>
  <c r="H338" i="45"/>
  <c r="AG338" i="45" s="1"/>
  <c r="H60" i="45"/>
  <c r="AG60" i="45" s="1"/>
  <c r="H226" i="45"/>
  <c r="AG226" i="45" s="1"/>
  <c r="H213" i="45"/>
  <c r="AG213" i="45" s="1"/>
  <c r="H341" i="45"/>
  <c r="AG341" i="45" s="1"/>
  <c r="H363" i="45"/>
  <c r="AG363" i="45" s="1"/>
  <c r="H53" i="45"/>
  <c r="AG53" i="45" s="1"/>
  <c r="H425" i="45"/>
  <c r="AG425" i="45" s="1"/>
  <c r="H490" i="45"/>
  <c r="AG490" i="45" s="1"/>
  <c r="H156" i="45"/>
  <c r="AG156" i="45" s="1"/>
  <c r="H347" i="45"/>
  <c r="AG347" i="45" s="1"/>
  <c r="H566" i="45"/>
  <c r="AG566" i="45" s="1"/>
  <c r="H260" i="45"/>
  <c r="AG260" i="45" s="1"/>
  <c r="H171" i="45"/>
  <c r="AG171" i="45" s="1"/>
  <c r="H436" i="45"/>
  <c r="AG436" i="45" s="1"/>
  <c r="H457" i="45"/>
  <c r="AG457" i="45" s="1"/>
  <c r="H408" i="45"/>
  <c r="AG408" i="45" s="1"/>
  <c r="H222" i="45"/>
  <c r="AG222" i="45" s="1"/>
  <c r="H130" i="45"/>
  <c r="AG130" i="45" s="1"/>
  <c r="H484" i="45"/>
  <c r="AG484" i="45" s="1"/>
  <c r="H173" i="45"/>
  <c r="AG173" i="45" s="1"/>
  <c r="H380" i="45"/>
  <c r="AG380" i="45" s="1"/>
  <c r="H210" i="45"/>
  <c r="AG210" i="45" s="1"/>
  <c r="H180" i="45"/>
  <c r="AG180" i="45" s="1"/>
  <c r="H41" i="45"/>
  <c r="AG41" i="45" s="1"/>
  <c r="H75" i="45"/>
  <c r="AG75" i="45" s="1"/>
  <c r="H528" i="45"/>
  <c r="AG528" i="45" s="1"/>
  <c r="H135" i="45"/>
  <c r="AG135" i="45" s="1"/>
  <c r="H93" i="45"/>
  <c r="AG93" i="45" s="1"/>
  <c r="H131" i="45"/>
  <c r="AG131" i="45" s="1"/>
  <c r="H529" i="45"/>
  <c r="AG529" i="45" s="1"/>
  <c r="H304" i="45"/>
  <c r="AG304" i="45" s="1"/>
  <c r="H272" i="45"/>
  <c r="AG272" i="45" s="1"/>
  <c r="H328" i="45"/>
  <c r="AG328" i="45" s="1"/>
  <c r="H105" i="45"/>
  <c r="AG105" i="45" s="1"/>
  <c r="H250" i="45"/>
  <c r="AG250" i="45" s="1"/>
  <c r="H429" i="45"/>
  <c r="AG429" i="45" s="1"/>
  <c r="H563" i="45"/>
  <c r="AG563" i="45" s="1"/>
  <c r="H182" i="45"/>
  <c r="AG182" i="45" s="1"/>
  <c r="H306" i="45"/>
  <c r="AG306" i="45" s="1"/>
  <c r="H146" i="45"/>
  <c r="AG146" i="45" s="1"/>
  <c r="H334" i="45"/>
  <c r="AG334" i="45" s="1"/>
  <c r="H461" i="45"/>
  <c r="AG461" i="45" s="1"/>
  <c r="H384" i="45"/>
  <c r="AG384" i="45" s="1"/>
  <c r="H585" i="45"/>
  <c r="AG585" i="45" s="1"/>
  <c r="H454" i="45"/>
  <c r="AG454" i="45" s="1"/>
  <c r="H505" i="45"/>
  <c r="AG505" i="45" s="1"/>
  <c r="H453" i="45"/>
  <c r="AG453" i="45" s="1"/>
  <c r="H39" i="45"/>
  <c r="AG39" i="45" s="1"/>
  <c r="H357" i="45"/>
  <c r="AG357" i="45" s="1"/>
  <c r="H46" i="45"/>
  <c r="AG46" i="45" s="1"/>
  <c r="H602" i="45"/>
  <c r="AG602" i="45" s="1"/>
  <c r="H43" i="45"/>
  <c r="AG43" i="45" s="1"/>
  <c r="H464" i="45"/>
  <c r="AG464" i="45" s="1"/>
  <c r="H68" i="45"/>
  <c r="AG68" i="45" s="1"/>
  <c r="H520" i="45"/>
  <c r="AG520" i="45" s="1"/>
  <c r="H203" i="45"/>
  <c r="AG203" i="45" s="1"/>
  <c r="H190" i="45"/>
  <c r="AG190" i="45" s="1"/>
  <c r="H445" i="45"/>
  <c r="AG445" i="45" s="1"/>
  <c r="H78" i="45"/>
  <c r="AG78" i="45" s="1"/>
  <c r="H132" i="45"/>
  <c r="AG132" i="45" s="1"/>
  <c r="H35" i="45"/>
  <c r="AG35" i="45" s="1"/>
  <c r="H481" i="45"/>
  <c r="AG481" i="45" s="1"/>
  <c r="H421" i="45"/>
  <c r="AG421" i="45" s="1"/>
  <c r="H439" i="45"/>
  <c r="AG439" i="45" s="1"/>
  <c r="H192" i="45"/>
  <c r="AG192" i="45" s="1"/>
  <c r="H273" i="45"/>
  <c r="AG273" i="45" s="1"/>
  <c r="H333" i="45"/>
  <c r="AG333" i="45" s="1"/>
  <c r="H42" i="45"/>
  <c r="AG42" i="45" s="1"/>
  <c r="H45" i="45"/>
  <c r="AG45" i="45" s="1"/>
  <c r="H588" i="45"/>
  <c r="AG588" i="45" s="1"/>
  <c r="H433" i="45"/>
  <c r="AG433" i="45" s="1"/>
  <c r="H565" i="45"/>
  <c r="AG565" i="45" s="1"/>
  <c r="H318" i="45"/>
  <c r="AG318" i="45" s="1"/>
  <c r="H317" i="45"/>
  <c r="AG317" i="45" s="1"/>
  <c r="H523" i="45"/>
  <c r="AG523" i="45" s="1"/>
  <c r="H120" i="45"/>
  <c r="AG120" i="45" s="1"/>
  <c r="H458" i="45"/>
  <c r="AG458" i="45" s="1"/>
  <c r="H30" i="45"/>
  <c r="AG30" i="45" s="1"/>
  <c r="H406" i="45"/>
  <c r="AG406" i="45" s="1"/>
  <c r="H521" i="45"/>
  <c r="AG521" i="45" s="1"/>
  <c r="H236" i="45"/>
  <c r="AG236" i="45" s="1"/>
  <c r="H254" i="45"/>
  <c r="AG254" i="45" s="1"/>
  <c r="H448" i="45"/>
  <c r="AG448" i="45" s="1"/>
  <c r="H56" i="45"/>
  <c r="AG56" i="45" s="1"/>
  <c r="H72" i="45"/>
  <c r="AG72" i="45" s="1"/>
  <c r="H551" i="45"/>
  <c r="AG551" i="45" s="1"/>
  <c r="H365" i="45"/>
  <c r="AG365" i="45" s="1"/>
  <c r="H354" i="45"/>
  <c r="AG354" i="45" s="1"/>
  <c r="H235" i="45"/>
  <c r="AG235" i="45" s="1"/>
  <c r="H319" i="45"/>
  <c r="AG319" i="45" s="1"/>
  <c r="H89" i="45"/>
  <c r="AG89" i="45" s="1"/>
  <c r="H561" i="45"/>
  <c r="AG561" i="45" s="1"/>
  <c r="H284" i="45"/>
  <c r="AG284" i="45" s="1"/>
  <c r="H314" i="45"/>
  <c r="AG314" i="45" s="1"/>
  <c r="H62" i="45"/>
  <c r="AG62" i="45" s="1"/>
  <c r="H489" i="45"/>
  <c r="AG489" i="45" s="1"/>
  <c r="H392" i="45"/>
  <c r="AG392" i="45" s="1"/>
  <c r="H242" i="45"/>
  <c r="AG242" i="45" s="1"/>
  <c r="H400" i="45"/>
  <c r="AG400" i="45" s="1"/>
  <c r="H247" i="45"/>
  <c r="AG247" i="45" s="1"/>
  <c r="H232" i="45"/>
  <c r="AG232" i="45" s="1"/>
  <c r="H600" i="45"/>
  <c r="AG600" i="45" s="1"/>
  <c r="H396" i="45"/>
  <c r="AG396" i="45" s="1"/>
  <c r="H202" i="45"/>
  <c r="AG202" i="45" s="1"/>
  <c r="H64" i="45"/>
  <c r="AG64" i="45" s="1"/>
  <c r="H124" i="45"/>
  <c r="AG124" i="45" s="1"/>
  <c r="H261" i="45"/>
  <c r="AG261" i="45" s="1"/>
  <c r="H107" i="45"/>
  <c r="AG107" i="45" s="1"/>
  <c r="H47" i="45"/>
  <c r="AG47" i="45" s="1"/>
  <c r="H231" i="45"/>
  <c r="AG231" i="45" s="1"/>
  <c r="H233" i="45"/>
  <c r="AG233" i="45" s="1"/>
  <c r="H52" i="45"/>
  <c r="AG52" i="45" s="1"/>
  <c r="H440" i="45"/>
  <c r="AG440" i="45" s="1"/>
  <c r="H495" i="45"/>
  <c r="AG495" i="45" s="1"/>
  <c r="H259" i="45"/>
  <c r="AG259" i="45" s="1"/>
  <c r="H572" i="45"/>
  <c r="AG572" i="45" s="1"/>
  <c r="H167" i="45"/>
  <c r="AG167" i="45" s="1"/>
  <c r="H165" i="45"/>
  <c r="AG165" i="45" s="1"/>
  <c r="H216" i="45"/>
  <c r="AG216" i="45" s="1"/>
  <c r="H158" i="45"/>
  <c r="AG158" i="45" s="1"/>
  <c r="H504" i="45"/>
  <c r="AG504" i="45" s="1"/>
  <c r="H115" i="45"/>
  <c r="AG115" i="45" s="1"/>
  <c r="H246" i="45"/>
  <c r="AG246" i="45" s="1"/>
  <c r="H95" i="45"/>
  <c r="AG95" i="45" s="1"/>
  <c r="V18" i="35"/>
  <c r="V19" i="35"/>
  <c r="X19" i="35"/>
  <c r="X18" i="35"/>
  <c r="AG22" i="45"/>
  <c r="AE22" i="45"/>
  <c r="AE3" i="45" s="1"/>
  <c r="AJ22" i="45"/>
  <c r="AK22" i="45"/>
  <c r="AK3" i="45" s="1"/>
  <c r="AR22" i="35" s="1"/>
  <c r="AL22" i="45"/>
  <c r="AL3" i="45" s="1"/>
  <c r="AH22" i="45"/>
  <c r="AH3" i="45" s="1"/>
  <c r="AI22" i="45"/>
  <c r="AI3" i="45" s="1"/>
  <c r="AG3" i="45" l="1"/>
  <c r="AM22" i="45"/>
  <c r="AM3" i="45" s="1"/>
  <c r="AL7" i="45"/>
  <c r="AS22" i="35"/>
  <c r="AJ3" i="45"/>
  <c r="AK7" i="45"/>
  <c r="AF22" i="45"/>
  <c r="AF3" i="45" s="1"/>
  <c r="AQ22" i="35" l="1"/>
  <c r="AR26" i="35" s="1"/>
  <c r="AJ7" i="45"/>
  <c r="AM7" i="45" s="1"/>
  <c r="AS25" i="35"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Jan Bilík</author>
  </authors>
  <commentList>
    <comment ref="Z3" authorId="0" shapeId="0" xr:uid="{4F8757E7-0046-4CCC-8397-5FAE9FBC2B8C}">
      <text>
        <r>
          <rPr>
            <b/>
            <sz val="9"/>
            <color indexed="81"/>
            <rFont val="Tahoma"/>
            <family val="2"/>
            <charset val="238"/>
          </rPr>
          <t>Jan Bilík:</t>
        </r>
        <r>
          <rPr>
            <sz val="9"/>
            <color indexed="81"/>
            <rFont val="Tahoma"/>
            <family val="2"/>
            <charset val="238"/>
          </rPr>
          <t xml:space="preserve">
Výpočet slevy</t>
        </r>
      </text>
    </comment>
    <comment ref="V4" authorId="0" shapeId="0" xr:uid="{0249B7FD-DF1B-418E-ACE3-6A8AF4F4D91F}">
      <text>
        <r>
          <rPr>
            <b/>
            <sz val="9"/>
            <color indexed="81"/>
            <rFont val="Tahoma"/>
            <family val="2"/>
            <charset val="238"/>
          </rPr>
          <t>Jan Bilík:</t>
        </r>
        <r>
          <rPr>
            <sz val="9"/>
            <color indexed="81"/>
            <rFont val="Tahoma"/>
            <family val="2"/>
            <charset val="238"/>
          </rPr>
          <t xml:space="preserve">
Dodělat překlady!</t>
        </r>
      </text>
    </comment>
    <comment ref="Z6" authorId="0" shapeId="0" xr:uid="{7FD853F1-920B-4F14-A1F2-2B134BF9182C}">
      <text>
        <r>
          <rPr>
            <b/>
            <sz val="9"/>
            <color indexed="81"/>
            <rFont val="Tahoma"/>
            <family val="2"/>
            <charset val="238"/>
          </rPr>
          <t>Jan Bilík:</t>
        </r>
        <r>
          <rPr>
            <sz val="9"/>
            <color indexed="81"/>
            <rFont val="Tahoma"/>
            <family val="2"/>
            <charset val="238"/>
          </rPr>
          <t xml:space="preserve">
Palety / VK</t>
        </r>
      </text>
    </comment>
    <comment ref="Z7" authorId="0" shapeId="0" xr:uid="{11AB8400-5A0C-4707-B6B7-396F93B0184D}">
      <text>
        <r>
          <rPr>
            <b/>
            <sz val="9"/>
            <color indexed="81"/>
            <rFont val="Tahoma"/>
            <family val="2"/>
            <charset val="238"/>
          </rPr>
          <t>Jan Bilík:</t>
        </r>
        <r>
          <rPr>
            <sz val="9"/>
            <color indexed="81"/>
            <rFont val="Tahoma"/>
            <family val="2"/>
            <charset val="238"/>
          </rPr>
          <t xml:space="preserve">
Volba jazyka</t>
        </r>
      </text>
    </comment>
    <comment ref="P12" authorId="0" shapeId="0" xr:uid="{40CC80C6-9AFB-40A8-8259-156DEE0DBBBC}">
      <text>
        <r>
          <rPr>
            <b/>
            <sz val="9"/>
            <color indexed="81"/>
            <rFont val="Tahoma"/>
            <family val="2"/>
            <charset val="238"/>
          </rPr>
          <t>Jan Bilík:</t>
        </r>
        <r>
          <rPr>
            <sz val="9"/>
            <color indexed="81"/>
            <rFont val="Tahoma"/>
            <family val="2"/>
            <charset val="238"/>
          </rPr>
          <t xml:space="preserve">
Výsledná množstevní sleva</t>
        </r>
      </text>
    </comment>
    <comment ref="P15" authorId="0" shapeId="0" xr:uid="{213FD048-AF5E-4BD0-944F-EEF6BFC3639D}">
      <text>
        <r>
          <rPr>
            <b/>
            <sz val="9"/>
            <color indexed="81"/>
            <rFont val="Tahoma"/>
            <family val="2"/>
            <charset val="238"/>
          </rPr>
          <t>Jan Bilík:</t>
        </r>
        <r>
          <rPr>
            <sz val="9"/>
            <color indexed="81"/>
            <rFont val="Tahoma"/>
            <family val="2"/>
            <charset val="238"/>
          </rPr>
          <t xml:space="preserve">
Výsledná množstevní sleva</t>
        </r>
      </text>
    </comment>
    <comment ref="R19" authorId="0" shapeId="0" xr:uid="{F8608034-0CE8-40A1-BC5B-B52A57D49E50}">
      <text>
        <r>
          <rPr>
            <sz val="9"/>
            <color indexed="81"/>
            <rFont val="Tahoma"/>
            <family val="2"/>
            <charset val="238"/>
          </rPr>
          <t>Datum zobrazuje, jak aktuální je informace ve sloupci  AB "Skladová dostupnost".</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Jan Bilík</author>
  </authors>
  <commentList>
    <comment ref="D104" authorId="0" shapeId="0" xr:uid="{6CD7AA4F-9F7E-4D21-A867-CBCD8911B8E5}">
      <text>
        <r>
          <rPr>
            <sz val="9"/>
            <color indexed="81"/>
            <rFont val="Tahoma"/>
            <family val="2"/>
            <charset val="238"/>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Jan Bilík</author>
  </authors>
  <commentList>
    <comment ref="AB3" authorId="0" shapeId="0" xr:uid="{210BB595-D894-422C-A98E-B14C85C59A5F}">
      <text>
        <r>
          <rPr>
            <b/>
            <sz val="9"/>
            <color indexed="81"/>
            <rFont val="Tahoma"/>
            <family val="2"/>
            <charset val="238"/>
          </rPr>
          <t>Jan Bilík:</t>
        </r>
        <r>
          <rPr>
            <sz val="9"/>
            <color indexed="81"/>
            <rFont val="Tahoma"/>
            <family val="2"/>
            <charset val="238"/>
          </rPr>
          <t xml:space="preserve">
Výpočet slevy</t>
        </r>
      </text>
    </comment>
    <comment ref="V4" authorId="0" shapeId="0" xr:uid="{CD212F1A-C963-4EB0-B169-B93134238833}">
      <text>
        <r>
          <rPr>
            <b/>
            <sz val="9"/>
            <color indexed="81"/>
            <rFont val="Tahoma"/>
            <family val="2"/>
            <charset val="238"/>
          </rPr>
          <t>Jan Bilík:</t>
        </r>
        <r>
          <rPr>
            <sz val="9"/>
            <color indexed="81"/>
            <rFont val="Tahoma"/>
            <family val="2"/>
            <charset val="238"/>
          </rPr>
          <t xml:space="preserve">
Dodělat překlady!</t>
        </r>
      </text>
    </comment>
    <comment ref="AB6" authorId="0" shapeId="0" xr:uid="{BA62F81E-5206-43CF-A3A1-2CDC7EB09203}">
      <text>
        <r>
          <rPr>
            <b/>
            <sz val="9"/>
            <color indexed="81"/>
            <rFont val="Tahoma"/>
            <family val="2"/>
            <charset val="238"/>
          </rPr>
          <t>Jan Bilík:</t>
        </r>
        <r>
          <rPr>
            <sz val="9"/>
            <color indexed="81"/>
            <rFont val="Tahoma"/>
            <family val="2"/>
            <charset val="238"/>
          </rPr>
          <t xml:space="preserve">
Palety / VK</t>
        </r>
      </text>
    </comment>
    <comment ref="AB7" authorId="0" shapeId="0" xr:uid="{4F7F030C-C497-4269-850F-CB58FB945EF4}">
      <text>
        <r>
          <rPr>
            <b/>
            <sz val="9"/>
            <color indexed="81"/>
            <rFont val="Tahoma"/>
            <family val="2"/>
            <charset val="238"/>
          </rPr>
          <t>Jan Bilík:</t>
        </r>
        <r>
          <rPr>
            <sz val="9"/>
            <color indexed="81"/>
            <rFont val="Tahoma"/>
            <family val="2"/>
            <charset val="238"/>
          </rPr>
          <t xml:space="preserve">
Volba jazyka</t>
        </r>
      </text>
    </comment>
    <comment ref="P12" authorId="0" shapeId="0" xr:uid="{49EE81CC-86A9-472F-816A-70F3559BC664}">
      <text>
        <r>
          <rPr>
            <b/>
            <sz val="9"/>
            <color indexed="81"/>
            <rFont val="Tahoma"/>
            <family val="2"/>
            <charset val="238"/>
          </rPr>
          <t>Jan Bilík:</t>
        </r>
        <r>
          <rPr>
            <sz val="9"/>
            <color indexed="81"/>
            <rFont val="Tahoma"/>
            <family val="2"/>
            <charset val="238"/>
          </rPr>
          <t xml:space="preserve">
Výsledná množstevní sleva</t>
        </r>
      </text>
    </comment>
    <comment ref="R19" authorId="0" shapeId="0" xr:uid="{338F811F-8E9D-482C-B083-1FFE1C8D1FA3}">
      <text>
        <r>
          <rPr>
            <sz val="9"/>
            <color indexed="81"/>
            <rFont val="Tahoma"/>
            <family val="2"/>
            <charset val="238"/>
          </rPr>
          <t>Datum zobrazuje, jak aktuální je informace ve sloupci  AB "Skladová dostupnost".</t>
        </r>
      </text>
    </comment>
    <comment ref="F218" authorId="0" shapeId="0" xr:uid="{345EE178-834A-4FE3-90DB-91646A92A24C}">
      <text>
        <r>
          <rPr>
            <sz val="9"/>
            <color indexed="81"/>
            <rFont val="Tahoma"/>
            <family val="2"/>
            <charset val="238"/>
          </rPr>
          <t xml:space="preserve">
</t>
        </r>
      </text>
    </comment>
    <comment ref="F225" authorId="0" shapeId="0" xr:uid="{950ED669-3DCB-44CD-92DB-A8C666D2778B}">
      <text>
        <r>
          <rPr>
            <sz val="9"/>
            <color indexed="81"/>
            <rFont val="Tahoma"/>
            <family val="2"/>
            <charset val="238"/>
          </rPr>
          <t xml:space="preserve">
</t>
        </r>
      </text>
    </comment>
    <comment ref="F226" authorId="0" shapeId="0" xr:uid="{705A7367-1619-4BB4-99CE-C463D52AEC9A}">
      <text>
        <r>
          <rPr>
            <sz val="9"/>
            <color indexed="81"/>
            <rFont val="Tahoma"/>
            <family val="2"/>
            <charset val="238"/>
          </rPr>
          <t xml:space="preserve">
</t>
        </r>
      </text>
    </comment>
    <comment ref="F227" authorId="0" shapeId="0" xr:uid="{9AD8191D-03F4-47DA-B4B3-58A3C4A3100E}">
      <text>
        <r>
          <rPr>
            <sz val="9"/>
            <color indexed="81"/>
            <rFont val="Tahoma"/>
            <family val="2"/>
            <charset val="238"/>
          </rPr>
          <t xml:space="preserve">
</t>
        </r>
      </text>
    </comment>
    <comment ref="F228" authorId="0" shapeId="0" xr:uid="{7BAE0825-AAE9-4692-AA44-D2CADF805AB1}">
      <text>
        <r>
          <rPr>
            <sz val="9"/>
            <color indexed="81"/>
            <rFont val="Tahoma"/>
            <family val="2"/>
            <charset val="238"/>
          </rPr>
          <t xml:space="preserve">
</t>
        </r>
      </text>
    </comment>
    <comment ref="F229" authorId="0" shapeId="0" xr:uid="{2D314007-9ABB-487A-AD07-5BFF7872A83C}">
      <text>
        <r>
          <rPr>
            <sz val="9"/>
            <color indexed="81"/>
            <rFont val="Tahoma"/>
            <family val="2"/>
            <charset val="238"/>
          </rPr>
          <t xml:space="preserve">
</t>
        </r>
      </text>
    </comment>
    <comment ref="F230" authorId="0" shapeId="0" xr:uid="{90FA6AFF-7031-4B6C-A6B4-127AA116AC51}">
      <text>
        <r>
          <rPr>
            <sz val="9"/>
            <color indexed="81"/>
            <rFont val="Tahoma"/>
            <family val="2"/>
            <charset val="238"/>
          </rPr>
          <t xml:space="preserve">
</t>
        </r>
      </text>
    </comment>
    <comment ref="F231" authorId="0" shapeId="0" xr:uid="{AD160D03-8B47-4E44-BA3F-161324C99444}">
      <text>
        <r>
          <rPr>
            <sz val="9"/>
            <color indexed="81"/>
            <rFont val="Tahoma"/>
            <family val="2"/>
            <charset val="238"/>
          </rPr>
          <t xml:space="preserve">
</t>
        </r>
      </text>
    </comment>
    <comment ref="F232" authorId="0" shapeId="0" xr:uid="{B4B2EFC2-EC90-4C35-975A-BC94CEDBC4CE}">
      <text>
        <r>
          <rPr>
            <sz val="9"/>
            <color indexed="81"/>
            <rFont val="Tahoma"/>
            <family val="2"/>
            <charset val="238"/>
          </rPr>
          <t xml:space="preserve">
</t>
        </r>
      </text>
    </comment>
    <comment ref="F233" authorId="0" shapeId="0" xr:uid="{1C2D3B6E-DA06-472D-8BB3-9E76E871ABA2}">
      <text>
        <r>
          <rPr>
            <sz val="9"/>
            <color indexed="81"/>
            <rFont val="Tahoma"/>
            <family val="2"/>
            <charset val="238"/>
          </rPr>
          <t xml:space="preserve">
</t>
        </r>
      </text>
    </comment>
    <comment ref="F234" authorId="0" shapeId="0" xr:uid="{DD977E1E-B1B6-4A1E-B814-AFBE70909668}">
      <text>
        <r>
          <rPr>
            <sz val="9"/>
            <color indexed="81"/>
            <rFont val="Tahoma"/>
            <family val="2"/>
            <charset val="238"/>
          </rPr>
          <t xml:space="preserve">
</t>
        </r>
      </text>
    </comment>
    <comment ref="F235" authorId="0" shapeId="0" xr:uid="{44C2EB6E-3D54-41C0-9D74-4654670245A9}">
      <text>
        <r>
          <rPr>
            <sz val="9"/>
            <color indexed="81"/>
            <rFont val="Tahoma"/>
            <family val="2"/>
            <charset val="238"/>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Jan Bilík</author>
  </authors>
  <commentList>
    <comment ref="B1" authorId="0" shapeId="0" xr:uid="{2BA3572D-20F7-4F36-B8DC-600699D78222}">
      <text>
        <r>
          <rPr>
            <b/>
            <sz val="9"/>
            <color indexed="81"/>
            <rFont val="Tahoma"/>
            <family val="2"/>
            <charset val="238"/>
          </rPr>
          <t>Jan Bilík:</t>
        </r>
        <r>
          <rPr>
            <sz val="9"/>
            <color indexed="81"/>
            <rFont val="Tahoma"/>
            <family val="2"/>
            <charset val="238"/>
          </rPr>
          <t xml:space="preserve">
mezery před kategorie</t>
        </r>
      </text>
    </comment>
    <comment ref="C1" authorId="0" shapeId="0" xr:uid="{A8FF0424-83AD-4BBD-A38E-4A8B38BD4EEF}">
      <text>
        <r>
          <rPr>
            <b/>
            <sz val="9"/>
            <color indexed="81"/>
            <rFont val="Tahoma"/>
            <family val="2"/>
            <charset val="238"/>
          </rPr>
          <t>Jan Bilík:</t>
        </r>
        <r>
          <rPr>
            <sz val="9"/>
            <color indexed="81"/>
            <rFont val="Tahoma"/>
            <family val="2"/>
            <charset val="238"/>
          </rPr>
          <t xml:space="preserve">
mezery před velkou kat. </t>
        </r>
        <r>
          <rPr>
            <b/>
            <sz val="9"/>
            <color indexed="81"/>
            <rFont val="Tahoma"/>
            <family val="2"/>
            <charset val="238"/>
          </rPr>
          <t xml:space="preserve">(Profesionální pyrotechnika a Dummies)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Jan Bilík</author>
  </authors>
  <commentList>
    <comment ref="Z5" authorId="0" shapeId="0" xr:uid="{B3EAFB57-D66F-4CE6-90C6-C6A60306A62B}">
      <text>
        <r>
          <rPr>
            <b/>
            <sz val="9"/>
            <color indexed="81"/>
            <rFont val="Tahoma"/>
            <family val="2"/>
            <charset val="238"/>
          </rPr>
          <t>Jan Bilík:</t>
        </r>
        <r>
          <rPr>
            <sz val="9"/>
            <color indexed="81"/>
            <rFont val="Tahoma"/>
            <family val="2"/>
            <charset val="238"/>
          </rPr>
          <t xml:space="preserve">
Vzorec pro úpravu textu: 1 velké, ostatní malé písmena</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Jan Bilík</author>
  </authors>
  <commentList>
    <comment ref="D2" authorId="0" shapeId="0" xr:uid="{5ABD2632-A58C-4A67-B174-26D64B8810D1}">
      <text>
        <r>
          <rPr>
            <b/>
            <sz val="9"/>
            <color indexed="81"/>
            <rFont val="Tahoma"/>
            <family val="2"/>
            <charset val="238"/>
          </rPr>
          <t>Jan Bilík:</t>
        </r>
        <r>
          <rPr>
            <sz val="9"/>
            <color indexed="81"/>
            <rFont val="Tahoma"/>
            <family val="2"/>
            <charset val="238"/>
          </rPr>
          <t xml:space="preserve">
směnný kurz pro zlote</t>
        </r>
      </text>
    </comment>
    <comment ref="A80" authorId="0" shapeId="0" xr:uid="{836BC1B9-C821-4A78-BB43-73DE95229B71}">
      <text>
        <r>
          <rPr>
            <b/>
            <sz val="9"/>
            <color indexed="81"/>
            <rFont val="Tahoma"/>
            <family val="2"/>
            <charset val="238"/>
          </rPr>
          <t>Jan Bilík:</t>
        </r>
        <r>
          <rPr>
            <sz val="9"/>
            <color indexed="81"/>
            <rFont val="Tahoma"/>
            <family val="2"/>
            <charset val="238"/>
          </rPr>
          <t xml:space="preserve">
Hlavička</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Jan Bilík</author>
  </authors>
  <commentList>
    <comment ref="AI21" authorId="0" shapeId="0" xr:uid="{B1ED9326-21EF-43B3-B6C1-D9A052E84F02}">
      <text>
        <r>
          <rPr>
            <b/>
            <sz val="9"/>
            <color indexed="81"/>
            <rFont val="Tahoma"/>
            <family val="2"/>
            <charset val="238"/>
          </rPr>
          <t>Jan Bilík:</t>
        </r>
        <r>
          <rPr>
            <sz val="9"/>
            <color indexed="81"/>
            <rFont val="Tahoma"/>
            <family val="2"/>
            <charset val="238"/>
          </rPr>
          <t xml:space="preserve">
1 = 100% výkon
0,8 = 80% atd…
Ovlivní to výpočet časů</t>
        </r>
      </text>
    </comment>
    <comment ref="AB44" authorId="0" shapeId="0" xr:uid="{FF745A6F-DD1D-4286-80FA-58758FC51154}">
      <text>
        <r>
          <rPr>
            <b/>
            <sz val="9"/>
            <color indexed="81"/>
            <rFont val="Tahoma"/>
            <family val="2"/>
            <charset val="238"/>
          </rPr>
          <t>Jan Bilík:</t>
        </r>
        <r>
          <rPr>
            <sz val="9"/>
            <color indexed="81"/>
            <rFont val="Tahoma"/>
            <family val="2"/>
            <charset val="238"/>
          </rPr>
          <t xml:space="preserve">
Cena za paletu</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Jan Bilík</author>
  </authors>
  <commentList>
    <comment ref="F125" authorId="0" shapeId="0" xr:uid="{CA5ABE1A-C3D2-4700-B690-C38084EE54D4}">
      <text>
        <r>
          <rPr>
            <b/>
            <sz val="9"/>
            <color indexed="81"/>
            <rFont val="Tahoma"/>
            <family val="2"/>
            <charset val="238"/>
          </rPr>
          <t>Jan Bilík:</t>
        </r>
        <r>
          <rPr>
            <sz val="9"/>
            <color indexed="81"/>
            <rFont val="Tahoma"/>
            <family val="2"/>
            <charset val="238"/>
          </rPr>
          <t xml:space="preserve">
</t>
        </r>
      </text>
    </comment>
    <comment ref="F126" authorId="0" shapeId="0" xr:uid="{93E9E466-9CC5-42BC-9C2E-A278704B86D2}">
      <text>
        <r>
          <rPr>
            <b/>
            <sz val="9"/>
            <color indexed="81"/>
            <rFont val="Tahoma"/>
            <family val="2"/>
            <charset val="238"/>
          </rPr>
          <t>Jan Bilík:</t>
        </r>
        <r>
          <rPr>
            <sz val="9"/>
            <color indexed="81"/>
            <rFont val="Tahoma"/>
            <family val="2"/>
            <charset val="238"/>
          </rPr>
          <t xml:space="preserve">
</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name="Připojení" type="4" refreshedVersion="8" refreshOnLoad="1" saveData="1">
    <webPr sourceData="1" parsePre="1" consecutive="1" xl2000="1" url="https://www.kb.cz/cs/kurzovni-listek/detail-kurzu?curr=eur"/>
  </connection>
</connections>
</file>

<file path=xl/sharedStrings.xml><?xml version="1.0" encoding="utf-8"?>
<sst xmlns="http://schemas.openxmlformats.org/spreadsheetml/2006/main" count="31750" uniqueCount="13952">
  <si>
    <t xml:space="preserve">                                       IČO: 26848643      DIČ: CZ26848643     www.klasektrading.cz</t>
  </si>
  <si>
    <t xml:space="preserve">Catalog </t>
  </si>
  <si>
    <t>Product name</t>
  </si>
  <si>
    <t>CBM</t>
  </si>
  <si>
    <t>NEQ/ NEC</t>
  </si>
  <si>
    <t>Language</t>
  </si>
  <si>
    <t>Duration</t>
  </si>
  <si>
    <t>Video</t>
  </si>
  <si>
    <t>Descriptiong of effect</t>
  </si>
  <si>
    <t>Popis efektu</t>
  </si>
  <si>
    <t>Beschreibung effekte</t>
  </si>
  <si>
    <t>1.1 G</t>
  </si>
  <si>
    <t>1.3 G</t>
  </si>
  <si>
    <t>1.4 G</t>
  </si>
  <si>
    <t>total</t>
  </si>
  <si>
    <t>pokud položka není skladem</t>
  </si>
  <si>
    <t>number</t>
  </si>
  <si>
    <t>v Německu</t>
  </si>
  <si>
    <t>CZ</t>
  </si>
  <si>
    <t>SK</t>
  </si>
  <si>
    <t>DP1R</t>
  </si>
  <si>
    <t>Rotáček</t>
  </si>
  <si>
    <t>25/20/6</t>
  </si>
  <si>
    <t>F1</t>
  </si>
  <si>
    <t/>
  </si>
  <si>
    <t>1.4G</t>
  </si>
  <si>
    <t>rotating red/green/yellow-ground effect</t>
  </si>
  <si>
    <t>rotující červeno/zeleno/žlutý efekt-přízemní efekt</t>
  </si>
  <si>
    <t>Rotierender rot-grün-gelber Effekt - Bodeneffekt</t>
  </si>
  <si>
    <t>DP1R(1)</t>
  </si>
  <si>
    <t>DP1VR</t>
  </si>
  <si>
    <t>Velký Rotáček</t>
  </si>
  <si>
    <t>25/20/4</t>
  </si>
  <si>
    <t>big rotating red/green/yellow-ground effect</t>
  </si>
  <si>
    <t>velký rotující červeno/zeleno/žlutý efekt-přízemní efekt</t>
  </si>
  <si>
    <t>Größe rotierender rot-grün-gelber Effekt - Bodeneffekt</t>
  </si>
  <si>
    <t>DP1T</t>
  </si>
  <si>
    <t>Tazmánia</t>
  </si>
  <si>
    <t>big rotating tube red+crackling-ground effect</t>
  </si>
  <si>
    <t>rotující červeno-práskající efekt - přízemní efekt</t>
  </si>
  <si>
    <t>Rotierender roter knallender Effekt - Bodeneffekt</t>
  </si>
  <si>
    <t>DP1T SK</t>
  </si>
  <si>
    <t>DP1Z20</t>
  </si>
  <si>
    <t>4/20/12</t>
  </si>
  <si>
    <t>CZ,SK,PL,LT,DE</t>
  </si>
  <si>
    <t>F2</t>
  </si>
  <si>
    <t>DP1VC</t>
  </si>
  <si>
    <t>gold flying bee</t>
  </si>
  <si>
    <t>zlatá létající včela</t>
  </si>
  <si>
    <t>Goldene fliegende Biene</t>
  </si>
  <si>
    <t>DP1VC SK</t>
  </si>
  <si>
    <t>LM4O</t>
  </si>
  <si>
    <t>Obří motýl</t>
  </si>
  <si>
    <t>36/4</t>
  </si>
  <si>
    <t>red tail to red wave w.crackling</t>
  </si>
  <si>
    <t>červená stopa s červenou vlnou a práskajícím středem</t>
  </si>
  <si>
    <t>Rote Spur mit der roten Welle und mit der knallenden Mitte</t>
  </si>
  <si>
    <t>LM3T</t>
  </si>
  <si>
    <t>Turbo čmelík</t>
  </si>
  <si>
    <t>36/3</t>
  </si>
  <si>
    <t>silver rotating tail to white strobe w.red pearl</t>
  </si>
  <si>
    <t>stříbrná rotující stopa +červené perly s bílým blikajícím středem</t>
  </si>
  <si>
    <t>Silberne rotierende Spur + rote Perlen mit der weißen blinkenden Mitte</t>
  </si>
  <si>
    <t>LM2V</t>
  </si>
  <si>
    <t>Vampír</t>
  </si>
  <si>
    <t>60/6</t>
  </si>
  <si>
    <t>silver rotating tail  to crackling</t>
  </si>
  <si>
    <t>stříbrná rotující stopa s práskajícími hvězdami</t>
  </si>
  <si>
    <t>Silberne rotierende Spur mit knallenden Sternen</t>
  </si>
  <si>
    <t>LM2C</t>
  </si>
  <si>
    <t>Čmelák</t>
  </si>
  <si>
    <t>green rotating tail to green strobe</t>
  </si>
  <si>
    <t>zelená rotující stopa se zelenými blikajícími hvězdami</t>
  </si>
  <si>
    <t>Grüne rotierende Spur mit grünen blinkenden Sternen</t>
  </si>
  <si>
    <t>LM1O</t>
  </si>
  <si>
    <t>Ohnivý motýl</t>
  </si>
  <si>
    <t>120/10</t>
  </si>
  <si>
    <t>silver rotating tail</t>
  </si>
  <si>
    <t>stříbrná rotující stopa</t>
  </si>
  <si>
    <t>Silberne rotierende Spur</t>
  </si>
  <si>
    <t>DP1M</t>
  </si>
  <si>
    <t>Meteorit</t>
  </si>
  <si>
    <t>10/40/12</t>
  </si>
  <si>
    <t>crackling granules</t>
  </si>
  <si>
    <t>práskající barevné granule</t>
  </si>
  <si>
    <t>Knallende Farbkerne</t>
  </si>
  <si>
    <t>DP1CB</t>
  </si>
  <si>
    <t xml:space="preserve">Crazy Ball </t>
  </si>
  <si>
    <t>4/48/6</t>
  </si>
  <si>
    <t>crackling ball 1g, diameter 23mm</t>
  </si>
  <si>
    <t>práskající balónky 1g, průměr 23mm</t>
  </si>
  <si>
    <t>Knallende Ballone 1 g, Durchmesser 23mm</t>
  </si>
  <si>
    <t>DP1CB(1)</t>
  </si>
  <si>
    <t>EB15</t>
  </si>
  <si>
    <t>40/3</t>
  </si>
  <si>
    <t>crackling ball 15g, diameter 38mm</t>
  </si>
  <si>
    <t>práskající balónky 15g, průměr 38mm</t>
  </si>
  <si>
    <t>Knallende Ballone 15 g, Durchmesser 38mm</t>
  </si>
  <si>
    <t>DP1P</t>
  </si>
  <si>
    <t>whistling tube</t>
  </si>
  <si>
    <t>pískající trubička</t>
  </si>
  <si>
    <t>Pfeifendes Röhrchen</t>
  </si>
  <si>
    <t>DP1P(1)</t>
  </si>
  <si>
    <t>DP1BP</t>
  </si>
  <si>
    <t>banging strings</t>
  </si>
  <si>
    <t>bouchající provázky</t>
  </si>
  <si>
    <t>Knallende Schnuren</t>
  </si>
  <si>
    <t>DP1BP(1)</t>
  </si>
  <si>
    <t>10/20/10</t>
  </si>
  <si>
    <t>color fountain with crackling stars</t>
  </si>
  <si>
    <t>barevná fontána s práskajícími hvězdami</t>
  </si>
  <si>
    <t>Farbfontäne mit knallenden Sternen</t>
  </si>
  <si>
    <t>DP1FR</t>
  </si>
  <si>
    <t>S12S</t>
  </si>
  <si>
    <t>small white strobo</t>
  </si>
  <si>
    <t>malý bílý stroboskop</t>
  </si>
  <si>
    <t>Kleines weißes Stroboskop</t>
  </si>
  <si>
    <t>S12S(1)</t>
  </si>
  <si>
    <t>SK,PL</t>
  </si>
  <si>
    <t>color throwdowns (diameter 9mm)</t>
  </si>
  <si>
    <t xml:space="preserve">barevné bouchací kuličky(průměr 9mm) </t>
  </si>
  <si>
    <t xml:space="preserve">Farbige Knallkugeln (Durchmesser 9 mm) </t>
  </si>
  <si>
    <t>BK1P</t>
  </si>
  <si>
    <t>Pekelné bouchací kuličky</t>
  </si>
  <si>
    <t>6/50/50</t>
  </si>
  <si>
    <t>BK1P(1)</t>
  </si>
  <si>
    <t>BK2V</t>
  </si>
  <si>
    <t>6/50/20</t>
  </si>
  <si>
    <t>BK2V(1)</t>
  </si>
  <si>
    <t>1/1</t>
  </si>
  <si>
    <t>F3</t>
  </si>
  <si>
    <t>1.3G</t>
  </si>
  <si>
    <t>DS1</t>
  </si>
  <si>
    <t>40/1</t>
  </si>
  <si>
    <t>sada obsahuje: DP1FD- 1x,DP1FR-1x,DP1BP- 3x,BK1B-1x,BK1P-1x,DP1CB-1x,DP1B-1x,DP1R-2x, S12S-1x</t>
  </si>
  <si>
    <t>Der Satz enthält: DP1FD- 1x,DP1FR-1x,DP1BP- 3x,BK1B-1x,BK1P-1x,DP1CB-1x,DP1B-1x,DP1R-2x, S12S-1x</t>
  </si>
  <si>
    <t>RB1</t>
  </si>
  <si>
    <t>sada obsahuje: 4 rakety,DP1BP-2x,DP1B-1x,S12S-1x,P1-1x,BK1B-1x,DP1R-1x,DP1VC-1x,DP1CB-1x,K01M-1x,R4420B- 2x</t>
  </si>
  <si>
    <t>Der Satz enthält: 4 raketen,DP1BP-2x,DP1B-1x,S12S-1x,P1-1x,BK1B-1x,DP1R-1x,DP1VC-1x,DP1CB-1x,K01M-1x,R4420B- 2x</t>
  </si>
  <si>
    <t>RB1(1)</t>
  </si>
  <si>
    <t>80/3</t>
  </si>
  <si>
    <t>VP70E</t>
  </si>
  <si>
    <t xml:space="preserve">Zlaté vánoční prskavky 70cm(exclusive) </t>
  </si>
  <si>
    <t>72/8</t>
  </si>
  <si>
    <t>golden sparklers, lenght 70cm, lenght of sparkling material 55cm, diameter sparkler mass 4,5mm</t>
  </si>
  <si>
    <t>Goldene Wunderkerzen, Länge 70cm, Länge der platzenden Masse 55 cm, Durchmesser der platzenden Masse 4,5 mm</t>
  </si>
  <si>
    <t>VP40E</t>
  </si>
  <si>
    <t xml:space="preserve">Zlaté vánoční prskavky 40cm(exclusive) </t>
  </si>
  <si>
    <t>10/10/10</t>
  </si>
  <si>
    <t>CZ,SK,PL,DE,LT,EN,LV,EST</t>
  </si>
  <si>
    <t>CZ,SK,PL,DE,LT</t>
  </si>
  <si>
    <t>golden sparklers, lenght 40cm, lenght of sparkling material 32,5cm, diameter sparkler mass 3,7mm</t>
  </si>
  <si>
    <t>zlaté prskavky,  délka 40cm, délka prskací hmoty 32,5cm, průměr prskací hmoty 3,7mm</t>
  </si>
  <si>
    <t>Goldene Wunderkerzen, Länge 40cm, Länge der platzenden Masse 32,5 cm, Durchmesser der platzenden Masse 3,7 mm</t>
  </si>
  <si>
    <t>VP28E</t>
  </si>
  <si>
    <t xml:space="preserve">Zlaté vánoční prskavky 28cm(exclusive) </t>
  </si>
  <si>
    <t>CZ,SK,DE</t>
  </si>
  <si>
    <t>golden sparklers, lenght 28cm, lenght of sparkling material 20,5cm, diameter sparkler mass 3mm</t>
  </si>
  <si>
    <t>zlaté prskavky,  délka 28cm, délka prskací hmoty 20,5cm, průměr prskací hmoty  3mm</t>
  </si>
  <si>
    <t>Goldene Wunderkerzen, Länge 28cm, Länge der platzenden Masse 20,5 cm, Durchmesser der platzenden Masse 3 mm</t>
  </si>
  <si>
    <t>VP90</t>
  </si>
  <si>
    <t>Prskavky 90cm</t>
  </si>
  <si>
    <t>golden sparklers, lenght 90cm, lenght of sparkling material 61cm, diameter sparkler mass 4,8mm</t>
  </si>
  <si>
    <t>zlaté prskavky, délka 90cm, délka prskací hmoty 61cm,  průměr prskací hmoty 4,8mm</t>
  </si>
  <si>
    <t>Goldene Wunderkerzen, Länge 90cm, Länge der platzenden Masse 61 cm, Durchmesser der platzenden Masse 4,8 mm</t>
  </si>
  <si>
    <t>VP90/9</t>
  </si>
  <si>
    <t>VP70</t>
  </si>
  <si>
    <t>Prskavky 70cm</t>
  </si>
  <si>
    <t>72/4</t>
  </si>
  <si>
    <t>golden sparklers, lenght 70cm, lenght of sparkling material 45cm, diameter sparkler mass 4,5mm</t>
  </si>
  <si>
    <t>zlaté prskavky,  délka 70cm, délka prskací hmoty 45cm, průměr prskací hmoty 4,5mm</t>
  </si>
  <si>
    <t>Goldene Wunderkerzen, Länge 70cm, Länge der platzenden Masse 45cm, Durchmesser der platzenden Masse 4,5 mm</t>
  </si>
  <si>
    <t>VP40</t>
  </si>
  <si>
    <t>Prskavky 40cm</t>
  </si>
  <si>
    <t>golden sparklers, lenght 40cm, lenght of sparkling material 26cm, diameter sparkler mass 3,7mm</t>
  </si>
  <si>
    <t>zlaté prskavky,  délka 40cm, délka prskací hmoty 26cm, průměr prskací hmoty 3,7mm</t>
  </si>
  <si>
    <t>Goldene Wunderkerzen, Länge 40cm, Länge der platzenden Masse 26 cm, Durchmesser der platzenden Masse 3,7 mm</t>
  </si>
  <si>
    <t>VP40/20</t>
  </si>
  <si>
    <t>10/10/20</t>
  </si>
  <si>
    <t>VP28</t>
  </si>
  <si>
    <t>Prskavky 28cm</t>
  </si>
  <si>
    <t>golden sparklers, lenght 28cm, lenght of sparkling material 17cm, diameter sparkler mass 3mm</t>
  </si>
  <si>
    <t>zlaté prskavky,  délka 28cm, délka prskací hmoty 17cm, průměr prskací hmoty 3mm</t>
  </si>
  <si>
    <t>Goldene Wunderkerzen, Länge 28cm, Länge der platzenden Masse 17 cm, Durchmesser der platzenden Masse 3 mm</t>
  </si>
  <si>
    <t>VP16A</t>
  </si>
  <si>
    <t>Prskavky 16cm</t>
  </si>
  <si>
    <t>40/15/10</t>
  </si>
  <si>
    <t>golden sparklers, lenght 16cm, lenght of sparkling material 8,5cm, diameter sparkler mass 2,5mm</t>
  </si>
  <si>
    <t>zlaté prskavky,  délka 16cm, délka prskací hmoty 8,5cm, průměr prskací hmoty 2,5mm</t>
  </si>
  <si>
    <t>Goldene Wunderkerzen, Länge 16cm, Länge der platzenden Masse 8,5 cm, Durchmesser der platzenden Masse 2,5 mm</t>
  </si>
  <si>
    <t>VP16A(1)</t>
  </si>
  <si>
    <t>VP28N</t>
  </si>
  <si>
    <t>Neon sparklers 28cm</t>
  </si>
  <si>
    <t>100/20</t>
  </si>
  <si>
    <t>VP40N</t>
  </si>
  <si>
    <t>Neon sparklers 40cm</t>
  </si>
  <si>
    <t>50/8</t>
  </si>
  <si>
    <t>neon sparklers(red,yelow,green,blue), lenght 40cm, lenght of sparkling material 26cm, diameter sparkler mass 3,7mm</t>
  </si>
  <si>
    <t>neonové prskavky(červená,žlutá,zelelná,modrá),  délka 40cm, délka prskací hmoty 26cm, průměr prskací hmoty 3,7mm</t>
  </si>
  <si>
    <t>Neon Wunderkerzen(rot, gelb, grün, blau), Länge 40cm, Länge der platzenden Masse 26cm, Durchmesser der platzenden Masse 3,7mm</t>
  </si>
  <si>
    <t>VP40P</t>
  </si>
  <si>
    <t>crackling golden sparklers, lenght 40cm, lenght of sparkling material 26cm, diameter sparkler mass 3,7mm</t>
  </si>
  <si>
    <t>práskající zlaté prskavky,  délka 40cm, délka prskací hmoty 26cm, průměr prskací hmoty 3,7mm</t>
  </si>
  <si>
    <t>Knallende Goldene Wunderkerzen, Länge 40cm, Länge der platzenden Masse 26 cm, Durchmesser der platzenden Masse 3,7 mm</t>
  </si>
  <si>
    <t>VP12T1</t>
  </si>
  <si>
    <t>Prskavka ve tvaru čísla 1</t>
  </si>
  <si>
    <t>6/25</t>
  </si>
  <si>
    <t>CZ,SK,PL</t>
  </si>
  <si>
    <t>golden sparkler in the shape of the number 1</t>
  </si>
  <si>
    <t>zlatá prskavka ve tvaru čísla 1</t>
  </si>
  <si>
    <t>Goldene Wunderkerze in Form der Nummer 1</t>
  </si>
  <si>
    <t>VP12TS</t>
  </si>
  <si>
    <t>Prskavka ve tvaru srdce</t>
  </si>
  <si>
    <t>golden sparkler in the shape of the heart</t>
  </si>
  <si>
    <t>zlatá prskavka ve tvaru srdce</t>
  </si>
  <si>
    <t>Goldene Wunderkerze in Form der Herz</t>
  </si>
  <si>
    <t>VP12TH</t>
  </si>
  <si>
    <t>Prskavka ve tvaru hvězdy</t>
  </si>
  <si>
    <t>golden sparkler in the shape of the star</t>
  </si>
  <si>
    <t>zlatá prskavka ve tvaru hvězdy</t>
  </si>
  <si>
    <t>Goldene Wunderkerze in Form der Stern</t>
  </si>
  <si>
    <t>VP12MIX</t>
  </si>
  <si>
    <t>Prskavky(mix tvarů)</t>
  </si>
  <si>
    <t>12/10</t>
  </si>
  <si>
    <t>golden sparkler(mix of numbers 0-9,heart,star)</t>
  </si>
  <si>
    <t>zlatá prskavka(mix čísel 0-9, srdce, hvězda)</t>
  </si>
  <si>
    <t>Goldene Wunderkerze(mix aus Zahlen 0-9,Herz,Stern)</t>
  </si>
  <si>
    <t>D1D</t>
  </si>
  <si>
    <t>Dýmovničky</t>
  </si>
  <si>
    <t>20/12/6</t>
  </si>
  <si>
    <t>T1</t>
  </si>
  <si>
    <t>round color smoke(red,green,yellow,blue,white,pink)</t>
  </si>
  <si>
    <t>barevné kulaté dýmovnice(červená,zelená,žlutá,modrá,bílá,fialová)</t>
  </si>
  <si>
    <t>Farbige runde Rauchröhren (rot, grün, gelb, blau, weiß, lila)</t>
  </si>
  <si>
    <t>D2C</t>
  </si>
  <si>
    <t>Čmoudík</t>
  </si>
  <si>
    <t>smoke tube(blue,red,yellow,green)</t>
  </si>
  <si>
    <t>dýmovnice(tuba)-modrá,červená,žlutá,zelená</t>
  </si>
  <si>
    <t>Rauchröhren (Tube) - blau, rot, gelb, grün</t>
  </si>
  <si>
    <t>D2CN</t>
  </si>
  <si>
    <t>Čmoudík new colour</t>
  </si>
  <si>
    <t>smoke tube(orange,violet,white,black)</t>
  </si>
  <si>
    <t>dýmovnice(tuba)-oranžová,fialová,bílá,černá</t>
  </si>
  <si>
    <t>smoke tube(orange,lila,weiß,schwarz)</t>
  </si>
  <si>
    <t>RDG1B</t>
  </si>
  <si>
    <t>RDG1-bílá</t>
  </si>
  <si>
    <t>50/1</t>
  </si>
  <si>
    <t>P1</t>
  </si>
  <si>
    <t>smoke tube- white color</t>
  </si>
  <si>
    <t>dýmovnice(tuba)-bílá barva</t>
  </si>
  <si>
    <t>Rauchröhre (Tube) - weiße Farbe</t>
  </si>
  <si>
    <t>RDG1B(1)</t>
  </si>
  <si>
    <t>RDG1C</t>
  </si>
  <si>
    <t>RDG1-červená</t>
  </si>
  <si>
    <t>smoke tube- red color</t>
  </si>
  <si>
    <t>dýmovnice(tuba) červená barva</t>
  </si>
  <si>
    <t>Rauchröhre (Tube) - rote Farbe</t>
  </si>
  <si>
    <t>RDG1C(1)</t>
  </si>
  <si>
    <t>RDG1M</t>
  </si>
  <si>
    <t>RDG1-modrá</t>
  </si>
  <si>
    <t>smoke tube- blue color</t>
  </si>
  <si>
    <t>dýmovnice(tuba) modrá barva</t>
  </si>
  <si>
    <t>Rauchröhre (Tube) - blaue Farbe</t>
  </si>
  <si>
    <t>RDG1M(1)</t>
  </si>
  <si>
    <t>RDG1ZL</t>
  </si>
  <si>
    <t>RDG1- žlutá</t>
  </si>
  <si>
    <t>smoke tube- yellow color</t>
  </si>
  <si>
    <t>dýmovnice(tuba)-žlutá barva</t>
  </si>
  <si>
    <t>Rauchröhre (Tube) - gelbe Farbe</t>
  </si>
  <si>
    <t>RDG1ZL(1)</t>
  </si>
  <si>
    <t>RDG1ZE</t>
  </si>
  <si>
    <t>RDG1-zelená</t>
  </si>
  <si>
    <t>smoke tube- green color</t>
  </si>
  <si>
    <t>dýmovnice(tuba)-zelená barva</t>
  </si>
  <si>
    <t>Rauchröhre (Tube) - grüne Farbe</t>
  </si>
  <si>
    <t>RDG1ZE(1)</t>
  </si>
  <si>
    <t>RDG1O</t>
  </si>
  <si>
    <t>RDG1-oranžová</t>
  </si>
  <si>
    <t>smoke tube- orange color</t>
  </si>
  <si>
    <t>dýmovnice(tuba)-oranžová barva</t>
  </si>
  <si>
    <t>Rauchröhre (Tube) - orange Farbe</t>
  </si>
  <si>
    <t>RDG1O(1)</t>
  </si>
  <si>
    <t>RDG2B</t>
  </si>
  <si>
    <t>RDG2-bílá</t>
  </si>
  <si>
    <t>smoke tube(smoke from two sides)-white color</t>
  </si>
  <si>
    <t>dýmovnice(tuba dýmící ze dvou stran)-bílá barva</t>
  </si>
  <si>
    <t>Rauchröhre (rauchende Tube von zwei Seiten) - weiße Farbe</t>
  </si>
  <si>
    <t>RDG2C</t>
  </si>
  <si>
    <t>RDG2-červená</t>
  </si>
  <si>
    <t>smoke tube(smoke from two sides)-red color</t>
  </si>
  <si>
    <t>dýmovnice(tuba dýmící ze dvou stran)-červená barva</t>
  </si>
  <si>
    <t>Rauchröhre (rauchende Tube von zwei Seiten) - rote Farbe</t>
  </si>
  <si>
    <t>RDG2M</t>
  </si>
  <si>
    <t>RDG2-modrá</t>
  </si>
  <si>
    <t>smoke tube(smoke from two sides)-blue color</t>
  </si>
  <si>
    <t>dýmovnice(tuba dýmící ze dvou stran)-modrá barva</t>
  </si>
  <si>
    <t>Rauchröhre (rauchende Tube von zwei Seiten) - blaue Farbe</t>
  </si>
  <si>
    <t>20/5</t>
  </si>
  <si>
    <t>smoke tube with pulling initiate system - white color</t>
  </si>
  <si>
    <t>dýmovnice(tuba) s trhací pojistkou-bílá barva</t>
  </si>
  <si>
    <t>Rauchröhre (Tube) Zuginitiatorsystem - weiße Farbe</t>
  </si>
  <si>
    <t>smoke tube with pulling initiate system - red color</t>
  </si>
  <si>
    <t>dýmovnice(tuba) s trhací pojistkou-červená barva</t>
  </si>
  <si>
    <t>Rauchröhre (Tube) Zuginitiatorsystem - rote Farbe</t>
  </si>
  <si>
    <t>smoke tube with pulling initiate system - blue color</t>
  </si>
  <si>
    <t>dýmovnice(tuba) s trhací pojistkou-modrá barva</t>
  </si>
  <si>
    <t>Rauchröhre (Tube) Zuginitiatorsystem - blaue Farbe</t>
  </si>
  <si>
    <t>smoke tube with pulling initiate system - yelow color</t>
  </si>
  <si>
    <t>dýmovnice(tuba) s trhací pojistkou-žlutá barva</t>
  </si>
  <si>
    <t>Rauchröhre (Tube) Zuginitiatorsystem - gelbe Farbe</t>
  </si>
  <si>
    <t>smoke tube with pulling initiate system - green color</t>
  </si>
  <si>
    <t>dýmovnice(tuba) s trhací pojistkou-zelená barva</t>
  </si>
  <si>
    <t>Rauchröhre (Tube) Zuginitiatorsystem -  grüne Farbe</t>
  </si>
  <si>
    <t>smoke tube with pulling initiate system - orange color</t>
  </si>
  <si>
    <t>dýmovnice(tuba) s trhací pojistkou-oranžová barva</t>
  </si>
  <si>
    <t>Rauchröhre (Tube) Zuginitiatorsystem - orange Farbe</t>
  </si>
  <si>
    <t>smoke tube with pulling initiate system - black color</t>
  </si>
  <si>
    <t>dýmovnice(tuba) s trhací pojistkou-černá barva</t>
  </si>
  <si>
    <t>Rauchröhre (Tube) Zuginitiatorsystem - schwarze Farbe</t>
  </si>
  <si>
    <t>smoke tube(smoke from two sides) with pulling initiate system - white color</t>
  </si>
  <si>
    <t>dýmovnice(tuba dýmící ze dvou stran) s trhací pojistkou-bílá barva</t>
  </si>
  <si>
    <t>Rauchröhre (rauchende Tube von zwei Seiten) Zuginitiatorsystem - weiße Farbe</t>
  </si>
  <si>
    <t>smoke tube(smoke from two sides) with pulling initiate system - red color</t>
  </si>
  <si>
    <t>dýmovnice(tuba dýmící ze dvou stran) s trhací pojistkou-červená barva</t>
  </si>
  <si>
    <t>Rauchröhre (rauchende Tube von zwei Seiten) Zuginitiatorsystem - rote Farbe</t>
  </si>
  <si>
    <t>smoke tube(smoke from two sides) with pulling initiate system - blue color</t>
  </si>
  <si>
    <t>dýmovnice(tuba dýmící ze dvou stran) s trhací pojistkou-modrá barva</t>
  </si>
  <si>
    <t>Rauchröhre (rauchende Tube von zwei Seiten) Zuginitiatorsystem - blaue Farbe</t>
  </si>
  <si>
    <t>smoke tube(smoke from two sides) with pulling initiate system - yelow color</t>
  </si>
  <si>
    <t>dýmovnice(tuba dýmící ze dvou stran) s trhací pojistkou-žlutá barva</t>
  </si>
  <si>
    <t>Rauchröhre (rauchende Tube von zwei Seiten) Zuginitiatorsystem - gelbe Farbe</t>
  </si>
  <si>
    <t>smoke tube(smoke from two sides) with pulling initiate system - green color</t>
  </si>
  <si>
    <t>Rauchröhre (rauchende Tube von zwei Seiten) Zuginitiatorsystem -  grüne Farbe</t>
  </si>
  <si>
    <t>smoke tube(smoke from two sides) with pulling initiate system - orange color</t>
  </si>
  <si>
    <t>dýmovnice(tuba dýmící ze dvou stran) s trhací pojistkou-oranžová barva</t>
  </si>
  <si>
    <t>Rauchröhre (rauchende Tube von zwei Seiten) Zuginitiatorsystem - orange Farbe</t>
  </si>
  <si>
    <t>smoke tube(smoke from two sides) with pulling initiate system - black color</t>
  </si>
  <si>
    <t>dýmovnice(tuba dýmící ze dvou stran) s trhací pojistkou-černá barva</t>
  </si>
  <si>
    <t>Rauchröhre (rauchende Tube von zwei Seiten) Zuginitiatorsystem - schwarze Farbe</t>
  </si>
  <si>
    <t>hand held smoke with pulling initiate system - yelow color</t>
  </si>
  <si>
    <t>ruční dýmová pochodeň s trhací pojistkou-žlutá barva</t>
  </si>
  <si>
    <t>Handrauchfackel mit Zuginitiatorsystem - gelbe Farbe</t>
  </si>
  <si>
    <t>hand held smoke with pulling initiate system - green color</t>
  </si>
  <si>
    <t>ruční dýmová pochodeň s trhací pojistkou-zelená barva</t>
  </si>
  <si>
    <t>Handrauchfackel mit Zuginitiatorsystem -  grüne Farbe</t>
  </si>
  <si>
    <t>hand held smoke with pulling initiate system - orange color</t>
  </si>
  <si>
    <t>ruční dýmová pochodeň s trhací pojistkou-oranžová barva</t>
  </si>
  <si>
    <t>Handrauchfackel mit Zuginitiatorsystem - orange Farbe</t>
  </si>
  <si>
    <t>hand held smoke with pulling initiate system - black color</t>
  </si>
  <si>
    <t>ruční dýmová pochodeň s trhací pojistkou-černá barva</t>
  </si>
  <si>
    <t>Handrauchfackel mit Zuginitiatorsystem - schwarze Farbe</t>
  </si>
  <si>
    <t>RDG1B-P</t>
  </si>
  <si>
    <t>smoke tube with lever ignitor-white color</t>
  </si>
  <si>
    <t>dýmovnice s pákovou roznětkou-bílá barva</t>
  </si>
  <si>
    <t>Rauchröhre mit der Hebel-Zündkapsel - weiße Farbe</t>
  </si>
  <si>
    <t>RDG1B-P(1)</t>
  </si>
  <si>
    <t>RDG1C-P</t>
  </si>
  <si>
    <t>smoke tube with lever ignitor- red color</t>
  </si>
  <si>
    <t>dýmovnice s pákovou roznětkou-červená barva</t>
  </si>
  <si>
    <t>Rauchröhre mit der Hebel-Zündkapsel - rote Farbe</t>
  </si>
  <si>
    <t>RDG1M-P</t>
  </si>
  <si>
    <t>smoke tube with lever ignitor- blue color</t>
  </si>
  <si>
    <t>dýmovnice s pákovou roznětkou-modrá barva</t>
  </si>
  <si>
    <t>Rauchröhre mit der Hebel-Zündkapsel - blaue Farbe</t>
  </si>
  <si>
    <t>RDG1M-P(1)</t>
  </si>
  <si>
    <t>RDG1ZL-P</t>
  </si>
  <si>
    <t>smoke tube with lever ignitor- yellow color</t>
  </si>
  <si>
    <t>dýmovnice s pákovou roznětkou-žlutá barva</t>
  </si>
  <si>
    <t>Rauchröhre mit der Hebel-Zündkapsel - gelbe Farbe</t>
  </si>
  <si>
    <t>RDG1ZL-P(1)</t>
  </si>
  <si>
    <t>RDG1ZE-P</t>
  </si>
  <si>
    <t>smoke tube with lever ignitor- green color</t>
  </si>
  <si>
    <t>dýmovnice s pákovou roznětkou-zelená barva</t>
  </si>
  <si>
    <t>Rauchröhre mit der Hebel-Zündkapsel - grüne Farbe</t>
  </si>
  <si>
    <t>RDG1ZE-P(1)</t>
  </si>
  <si>
    <t>RDG1O-P</t>
  </si>
  <si>
    <t>smoke tube with lever ignitor- orange color</t>
  </si>
  <si>
    <t>dýmovnice s pákovou roznětkou-oranžová barva</t>
  </si>
  <si>
    <t>Rauchröhre mit der Hebel-Zündkapsel - orange Farbe</t>
  </si>
  <si>
    <t>RDG1O-P(1)</t>
  </si>
  <si>
    <t>24/6</t>
  </si>
  <si>
    <t>F1M</t>
  </si>
  <si>
    <t>Fontánový mix</t>
  </si>
  <si>
    <t xml:space="preserve">fountain mix, packing including 2 pieces F1U and 2 pieces F1K, </t>
  </si>
  <si>
    <t>fontánový mix, balení obsahuje po 2ks F1U,F1K</t>
  </si>
  <si>
    <t>Fontänen-Mix, Verpackung enthält je 2 Stk. F1U, F1K</t>
  </si>
  <si>
    <t>F2M</t>
  </si>
  <si>
    <t>50/4</t>
  </si>
  <si>
    <t>CZ,SK,PL,LT,DE,DK,EN</t>
  </si>
  <si>
    <t>fountain mix, packing including 2 pieces F2DF and 2 pieces F2DD</t>
  </si>
  <si>
    <t>fontánový mix, balení obsahuje po 2ks F2DF,F2DD</t>
  </si>
  <si>
    <t>Fontänen-Mix, Verpackung enthält je 2 Stk. F2DF,F2DD</t>
  </si>
  <si>
    <t>F4V</t>
  </si>
  <si>
    <t>20/4</t>
  </si>
  <si>
    <t>color star,crackling star,whistling comet</t>
  </si>
  <si>
    <t>barevná hvězdy, práskající hvězdy a pískající komety</t>
  </si>
  <si>
    <t>Farbige Sterne, knallende Sterne und pfeifende Kometen</t>
  </si>
  <si>
    <t>F6K</t>
  </si>
  <si>
    <t>King fountain</t>
  </si>
  <si>
    <t>12/1</t>
  </si>
  <si>
    <t>6 different color effects</t>
  </si>
  <si>
    <t>6 různobarevných efektů</t>
  </si>
  <si>
    <t>6 verschiedenfarbige Effekte</t>
  </si>
  <si>
    <t>9/4</t>
  </si>
  <si>
    <t>4 different color effects</t>
  </si>
  <si>
    <t>4 různobarevné efekty</t>
  </si>
  <si>
    <t>4 verschiedenfarbige Effekte</t>
  </si>
  <si>
    <t>F8B</t>
  </si>
  <si>
    <t>Barevné fontány</t>
  </si>
  <si>
    <t>50/5</t>
  </si>
  <si>
    <t>color effects+crackling stars</t>
  </si>
  <si>
    <t>barevný efekt+práskající hvězdy</t>
  </si>
  <si>
    <t>Farbeffekt + knallende Sterne</t>
  </si>
  <si>
    <t>F9P</t>
  </si>
  <si>
    <t>multi-effects</t>
  </si>
  <si>
    <t xml:space="preserve">multiefektní </t>
  </si>
  <si>
    <t>Multieffekt-Fontäne</t>
  </si>
  <si>
    <t>36/6</t>
  </si>
  <si>
    <t>F11M</t>
  </si>
  <si>
    <t xml:space="preserve">Monsters fountain </t>
  </si>
  <si>
    <t>24/1</t>
  </si>
  <si>
    <t>F14R</t>
  </si>
  <si>
    <t>Rotate fountain</t>
  </si>
  <si>
    <t>8/1</t>
  </si>
  <si>
    <t>rotate fountain</t>
  </si>
  <si>
    <t>Rotierender Fountain</t>
  </si>
  <si>
    <t>F100C</t>
  </si>
  <si>
    <t>20/6</t>
  </si>
  <si>
    <t xml:space="preserve">barevné hvězdy, 4m výška efektu, </t>
  </si>
  <si>
    <t xml:space="preserve">Farbsterne, 4 m Effekthöhe, </t>
  </si>
  <si>
    <t>F100DC</t>
  </si>
  <si>
    <t>F250SS</t>
  </si>
  <si>
    <t>25/2</t>
  </si>
  <si>
    <t>silver stars,  4m effect height</t>
  </si>
  <si>
    <t xml:space="preserve">stříbrné hvězdy, 4m výška efektu, </t>
  </si>
  <si>
    <t>Silbersterne, 4 m Effekthöhe,</t>
  </si>
  <si>
    <t>F250SC</t>
  </si>
  <si>
    <t>silver crackling stars, 4m effect height</t>
  </si>
  <si>
    <t xml:space="preserve">stříbrné práskající hvězdy, 4m výška efektu, </t>
  </si>
  <si>
    <t xml:space="preserve">Knallende Silbersterne, 4 m Effekthöhe, </t>
  </si>
  <si>
    <t>F250C</t>
  </si>
  <si>
    <t>color stars, 4m effect height</t>
  </si>
  <si>
    <t>F500SIG</t>
  </si>
  <si>
    <t xml:space="preserve">Signature range vulkán 500g </t>
  </si>
  <si>
    <t>15/2</t>
  </si>
  <si>
    <t>crackling+red,green,blue star,5m effect height</t>
  </si>
  <si>
    <t xml:space="preserve">práskajíci hvězdy+barevné hvězdy, 5m výška efektu, </t>
  </si>
  <si>
    <t xml:space="preserve">starrende Sterne+bunte Sterne, 5 m Effekthöhe, </t>
  </si>
  <si>
    <t>F500SC</t>
  </si>
  <si>
    <t>silver crackling stars, 5m effect height</t>
  </si>
  <si>
    <t xml:space="preserve">stříbrné práskající hvězdy, 5m výška efektu, </t>
  </si>
  <si>
    <t xml:space="preserve">Knallende Silbersterne, 5 m Effekthöhe, </t>
  </si>
  <si>
    <t>F500SS</t>
  </si>
  <si>
    <t>silver stars, 5m effect height</t>
  </si>
  <si>
    <t xml:space="preserve">stříbrné hvězdy, 5m výška efektu, </t>
  </si>
  <si>
    <t>Silbersterne, 5 m Effekthöhe,</t>
  </si>
  <si>
    <t>F500C</t>
  </si>
  <si>
    <t>color stars, 5m effect height</t>
  </si>
  <si>
    <t xml:space="preserve">barevné hvězdy, 5m výška efektu, </t>
  </si>
  <si>
    <t xml:space="preserve">Farbsterne, 5 m Effekthöhe, </t>
  </si>
  <si>
    <t>F1000SC</t>
  </si>
  <si>
    <t>silver crackling stars,  6m effect height</t>
  </si>
  <si>
    <t>stříbrné práskající hvězdy, 6m výška efektu</t>
  </si>
  <si>
    <t xml:space="preserve">Knallende Silbersterne, 6 m Effekthöhe, </t>
  </si>
  <si>
    <t>F1000SS</t>
  </si>
  <si>
    <t>silver stars,  6m effect height</t>
  </si>
  <si>
    <t xml:space="preserve">stříbrné hvězdy, 6m výška efektu, </t>
  </si>
  <si>
    <t>Silbersterne, 6 m Effekthöhe,</t>
  </si>
  <si>
    <t>F1000C</t>
  </si>
  <si>
    <t>color stars, 6m effect height</t>
  </si>
  <si>
    <t xml:space="preserve">barevné hvězdy, 6m výška efektu, </t>
  </si>
  <si>
    <t xml:space="preserve">Farbsterne, 6 m Effekthöhe, </t>
  </si>
  <si>
    <t>F1500SS</t>
  </si>
  <si>
    <t>silver stars, 7m effect height</t>
  </si>
  <si>
    <t>Silbersterne, 7 m Effekthöhe,</t>
  </si>
  <si>
    <t>F1500C</t>
  </si>
  <si>
    <t>color stars, 7m effect height</t>
  </si>
  <si>
    <t xml:space="preserve">barevné hvězdy, 7m výška efektu, </t>
  </si>
  <si>
    <t xml:space="preserve">Farbsterne, 7 m Effekthöhe, </t>
  </si>
  <si>
    <t>F3N</t>
  </si>
  <si>
    <t xml:space="preserve">indoor fountain, burning and whirling candle + playing the Happy birthday song </t>
  </si>
  <si>
    <t>interierová fontána, hořící a točící se svíčky+současně hraje písničku Happy birthay</t>
  </si>
  <si>
    <t>Interieur-Fontäne, brennende und sich drehende Kerzen+gleichzeitig wird das Lied Happy birthay gespielt</t>
  </si>
  <si>
    <t>DF10CM</t>
  </si>
  <si>
    <t>Dortová fontána 10cm</t>
  </si>
  <si>
    <t>100/6</t>
  </si>
  <si>
    <t>silver stars(cold fire), lenght 10cm, hygienic certificate!</t>
  </si>
  <si>
    <t>stříbrné hvězdy(studený oheň), délka 10cm, potravinářský atest!</t>
  </si>
  <si>
    <t>Silberne Sterne (kaltes Feuer), Länge 10 cm, Lebensmittelattest!</t>
  </si>
  <si>
    <t>DF20CM</t>
  </si>
  <si>
    <t>Dortová fontána 20cm</t>
  </si>
  <si>
    <t>50/6</t>
  </si>
  <si>
    <t>silver stars(cold fire), lenght 20cm, hygienic certificate! Silver paper for single pc</t>
  </si>
  <si>
    <t>stříbrné hvězdy(studený oheň), délka 20cm, potravinářský atest!stříbrný papír pro 1ks</t>
  </si>
  <si>
    <t>Silberne Sterne (kaltes Feuer), Länge 20 cm, Lebensmittelattest! Silbernes Papier für 1 Stk.</t>
  </si>
  <si>
    <t>silver stars(cold fire), lenght 20cm, hygienic certificate! Golden paper for single pc</t>
  </si>
  <si>
    <t>stříbrné hvězdy(studený oheň), délka 20cm, potravinářský atest!zlatý papír pro 1ks</t>
  </si>
  <si>
    <t>DF30CM</t>
  </si>
  <si>
    <t>Dortová fontána 30cm</t>
  </si>
  <si>
    <t>silver stars(cold fire), lenght 30cm, hygienic certificate! Golden paper for single pc</t>
  </si>
  <si>
    <t>stříbrné hvězdy(studený oheň), délka 30cm, potravinářský atest!zlatý papír pro 1ks</t>
  </si>
  <si>
    <t>Silberne Sterne (kaltes Feuer), Länge 30 cm, Lebensmittelattest! Golden Papier für 1 Stk.</t>
  </si>
  <si>
    <t>DF12CM</t>
  </si>
  <si>
    <t>silver stars(cold fire), lenght 12cm, hygienic certificate! Golden paper for single pc</t>
  </si>
  <si>
    <t>stříbrné hvězdy(studený oheň), délka 12cm, potravinářský atest!zlatý papír pro 1ks</t>
  </si>
  <si>
    <t>Silberne Sterne (kaltes Feuer), Länge 12 cm, Lebensmittelattest! Golden Papier für 1 Stk.</t>
  </si>
  <si>
    <t>DF20CM1Z</t>
  </si>
  <si>
    <t>Silberne Sterne (kaltes Feuer), Länge 20 cm, Lebensmittelattest! Golden Papier für 1 Stk.</t>
  </si>
  <si>
    <t>DF20CM1S</t>
  </si>
  <si>
    <t>DF12CM0</t>
  </si>
  <si>
    <t>silver stars(cold fire), lenght 12cm, hygienic certificate! Packing contains number 0</t>
  </si>
  <si>
    <t>stříbrné hvězdy(studený oheň), délka 12cm, potravinářský atest! Balení obsahuje číslo 0</t>
  </si>
  <si>
    <t>DF12CM1</t>
  </si>
  <si>
    <t>silver stars(cold fire), lenght 12cm, hygienic certificate! Packing contains number 1</t>
  </si>
  <si>
    <t>stříbrné hvězdy(studený oheň), délka 12cm, potravinářský atest! Balení obsahuje číslo 1</t>
  </si>
  <si>
    <t>DF12CM2</t>
  </si>
  <si>
    <t>silver stars(cold fire), lenght 12cm, hygienic certificate! Packing contains number 2</t>
  </si>
  <si>
    <t>stříbrné hvězdy(studený oheň), délka 12cm, potravinářský atest! Balení obsahuje číslo 2</t>
  </si>
  <si>
    <t>DF12CM3</t>
  </si>
  <si>
    <t>silver stars(cold fire), lenght 12cm, hygienic certificate! Packing contains number 3</t>
  </si>
  <si>
    <t>stříbrné hvězdy(studený oheň), délka 12cm, potravinářský atest! Balení obsahuje číslo 3</t>
  </si>
  <si>
    <t>DF12CM4</t>
  </si>
  <si>
    <t>silver stars(cold fire), lenght 12cm, hygienic certificate! Packing contains number 4</t>
  </si>
  <si>
    <t>stříbrné hvězdy(studený oheň), délka 12cm, potravinářský atest! Balení obsahuje číslo 4</t>
  </si>
  <si>
    <t>DF12CM5</t>
  </si>
  <si>
    <t>silver stars(cold fire), lenght 12cm, hygienic certificate! Packing contains number 5</t>
  </si>
  <si>
    <t>stříbrné hvězdy(studený oheň), délka 12cm, potravinářský atest! Balení obsahuje číslo 5</t>
  </si>
  <si>
    <t>DF12CM6</t>
  </si>
  <si>
    <t>silver stars(cold fire), lenght 12cm, hygienic certificate! Packing contains number 6</t>
  </si>
  <si>
    <t>DF12CM7</t>
  </si>
  <si>
    <t>silver stars(cold fire), lenght 12cm, hygienic certificate! Packing contains number 7</t>
  </si>
  <si>
    <t>stříbrné hvězdy(studený oheň), délka 12cm, potravinářský atest! Balení obsahuje číslo 7</t>
  </si>
  <si>
    <t>DF12CM8</t>
  </si>
  <si>
    <t>silver stars(cold fire), lenght 12cm, hygienic certificate! Packing contains number 8</t>
  </si>
  <si>
    <t>stříbrné hvězdy(studený oheň), délka 12cm, potravinářský atest! Balení obsahuje číslo 8</t>
  </si>
  <si>
    <t>DF12CM9</t>
  </si>
  <si>
    <t>silver stars(cold fire), lenght 12cm, hygienic certificate! Packing contains number 9</t>
  </si>
  <si>
    <t>stříbrné hvězdy(studený oheň), délka 12cm, potravinářský atest! Balení obsahuje číslo 9</t>
  </si>
  <si>
    <t>DF12CM0-9</t>
  </si>
  <si>
    <t>silver stars(cold fire), lenght 12cm, hygienic certificate! Packing contains mix number 0-9</t>
  </si>
  <si>
    <t>stříbrné hvězdy(studený oheň), délka 12cm, potravinářský atest! Balení obsahuje mix čísel 0-9</t>
  </si>
  <si>
    <t>CON40P</t>
  </si>
  <si>
    <t>lenght 40cm,shining color papers</t>
  </si>
  <si>
    <t>40cm délka,lesklé barevné papírky</t>
  </si>
  <si>
    <t>40 cm Länge, glänzende farbige Papierstücke</t>
  </si>
  <si>
    <t>CON40S</t>
  </si>
  <si>
    <t>lenght 40cm,silver hearts + rose leaves</t>
  </si>
  <si>
    <t>40cm délka,stříbrné srdíčka+lístky růže</t>
  </si>
  <si>
    <t>40 cm Länge, silberne Herzen + Rosenblättchen</t>
  </si>
  <si>
    <t>CON40F</t>
  </si>
  <si>
    <t>lenght 40cm,EUR banknotes</t>
  </si>
  <si>
    <t>40cm délka,eurové bankovky</t>
  </si>
  <si>
    <t>40 cm Länge, Euro-Banknoten</t>
  </si>
  <si>
    <t>CON80P</t>
  </si>
  <si>
    <t>36/1</t>
  </si>
  <si>
    <t>lenght 80cm,shining color papers</t>
  </si>
  <si>
    <t>80cm délka,lesklé barevné papírky</t>
  </si>
  <si>
    <t>80 cm Länge, glänzende farbige Papierstücke</t>
  </si>
  <si>
    <t>lenght 80cm,shining golden papers</t>
  </si>
  <si>
    <t>80cm délka,lesklé zlaté papírky</t>
  </si>
  <si>
    <t>80 cm Länge, glänzende goldene Papierstücke</t>
  </si>
  <si>
    <t>CON80F</t>
  </si>
  <si>
    <t>lenght 80cm,EUR banknotes</t>
  </si>
  <si>
    <t>80cm délka,eurové bankovky</t>
  </si>
  <si>
    <t>80 cm Länge, Euro-Banknoten</t>
  </si>
  <si>
    <t>R4420B</t>
  </si>
  <si>
    <t>Color balls 20ran</t>
  </si>
  <si>
    <t>24/12</t>
  </si>
  <si>
    <t xml:space="preserve">20sh color tail, 44cm lenght </t>
  </si>
  <si>
    <t>20ran barevné světlice, 44cm délka</t>
  </si>
  <si>
    <t>20 schuss farbige Leuchtgeschosse, 44 cm Länge</t>
  </si>
  <si>
    <t>36/12</t>
  </si>
  <si>
    <t>Color balls 40ran</t>
  </si>
  <si>
    <t>40ran barevné světlice, 70cm délka</t>
  </si>
  <si>
    <t>40 schuss farbige Leuchtgeschosse, 70 cm Länge</t>
  </si>
  <si>
    <t>R5410B</t>
  </si>
  <si>
    <t>Římská svíce 10ran</t>
  </si>
  <si>
    <t>40/4</t>
  </si>
  <si>
    <t xml:space="preserve">10sh color tail, 54cm lenght </t>
  </si>
  <si>
    <t>10ran barevné světlice, 54cm délka</t>
  </si>
  <si>
    <t>10 schuss farbige Leuchtgeschosse, 54 cm Länge</t>
  </si>
  <si>
    <t>R5420K</t>
  </si>
  <si>
    <t>Práskající komety</t>
  </si>
  <si>
    <t>15/12</t>
  </si>
  <si>
    <t>20sh crackling comets, 54cm lenght</t>
  </si>
  <si>
    <t>20ran práskající komety, 54cm délka</t>
  </si>
  <si>
    <t>20 schuss knallende Kometen, 54 cm Länge</t>
  </si>
  <si>
    <t>R7020K</t>
  </si>
  <si>
    <t>20sh crackling comets, 70cm lenght</t>
  </si>
  <si>
    <t>20ran práskající komety, 70cm délka</t>
  </si>
  <si>
    <t>20 schuss knallende Kometen, 70 cm Länge</t>
  </si>
  <si>
    <t>R6020B</t>
  </si>
  <si>
    <t>Římská svíce 20ran</t>
  </si>
  <si>
    <t>15/10</t>
  </si>
  <si>
    <t>20sh color tail, 60cm lenght</t>
  </si>
  <si>
    <t>20ran barevné světlice, 60cm délka</t>
  </si>
  <si>
    <t>20 schuss farbige Leuchtgeschosse, 60 cm Länge</t>
  </si>
  <si>
    <t>25/6</t>
  </si>
  <si>
    <t>10sh color tail + 10sh crackling comet, 65cm lenght</t>
  </si>
  <si>
    <t>10ran barevné světlice+10 ran práskající komety, 65cm délka</t>
  </si>
  <si>
    <t>10 schuss farbige Leuchtgeschosse + 10 schuss knallende kometen, 65 cm Länge</t>
  </si>
  <si>
    <t>R6520BK/2</t>
  </si>
  <si>
    <t>Nad Tatrou sa blýska</t>
  </si>
  <si>
    <t>30/6</t>
  </si>
  <si>
    <t>R6020M</t>
  </si>
  <si>
    <t>Mix římských svící 20ran</t>
  </si>
  <si>
    <t>Mixed package contains 20sh Roman candles, length 60cm (including of R5420K-2pc, R6020B, R6520BK, R7020BK-2pc)</t>
  </si>
  <si>
    <t>mix 20ran řím. svící (R5420K-2ks,R6020B,R6520BK,R7020BK-2ks), délka 60cm</t>
  </si>
  <si>
    <t>Mix 20 schuss römische Kerzen (R5420K-2stk,R6020B,R6520BK,R7020BK-2stk), 60cm Länge</t>
  </si>
  <si>
    <t>R7020M</t>
  </si>
  <si>
    <t>CZ,SK,PL,LT</t>
  </si>
  <si>
    <t>Mixed package contains 20sh Roman candles, lenght 70cm(including 3pc of R7020K, R6020B, R6520BK,R7020BK)</t>
  </si>
  <si>
    <t>mix 20ran řím. svící (po 3ks-R7020K,R6020B,R6520BK,R7020BK), délka 70cm</t>
  </si>
  <si>
    <t>Mix 20 schuss römische Kerzen (3stk-R7020K,R6020B,R6520BK,R7020BK), 70cm Länge</t>
  </si>
  <si>
    <t>R7040B</t>
  </si>
  <si>
    <t>40sh color tail, 70cm lenght</t>
  </si>
  <si>
    <t>12/12</t>
  </si>
  <si>
    <t>24/4</t>
  </si>
  <si>
    <t>CZ,SK</t>
  </si>
  <si>
    <t>R5808D</t>
  </si>
  <si>
    <t>8sh silver tail+titanium salute with crackling, 58cm lenght</t>
  </si>
  <si>
    <t>8ran stříbrná stop+titanová detonace s práskajícími hvězdami, 58cm délka</t>
  </si>
  <si>
    <t>8 schuss Silber spur+titanische Detonation mit staubenden Sternen, 58 cm Länge</t>
  </si>
  <si>
    <t>R6008E</t>
  </si>
  <si>
    <t>8sh 3 different color effects, 60cm lenght</t>
  </si>
  <si>
    <t>8ran, 3 různé efekty střídající se po každé ráně, 60cm délka</t>
  </si>
  <si>
    <t>8 schuss, 3 verschiedene Effekte, welche nach jedem Schuss wechseln, 60 cm Länge</t>
  </si>
  <si>
    <t>R6008M</t>
  </si>
  <si>
    <t>Mixed package contains 8sh roman candle including: R5808D, R6008E, R6008K,R7508E</t>
  </si>
  <si>
    <t>Mix 8 schuss römische Kerzenpo (1stk R5808D, R6008E, R6008K,R7508E), 60cm Länge</t>
  </si>
  <si>
    <t>R7508E</t>
  </si>
  <si>
    <t>8sh 3 diferrent color effects, 75cm lenght</t>
  </si>
  <si>
    <t>8ran, 3 různé efekty střídající se po každé ráně, 75cm délka</t>
  </si>
  <si>
    <t>8 schuss, 3 verschiedene Effekte, welche nach jedem Schuss wechseln, 75cm Länge</t>
  </si>
  <si>
    <t>R7538S</t>
  </si>
  <si>
    <t>CZ,SK,PL,LT,EN</t>
  </si>
  <si>
    <t>8sh,4 different color effects,75cm lenght</t>
  </si>
  <si>
    <t>8 ran,4 různobarevné efekty,75cm délka</t>
  </si>
  <si>
    <t>8 schuss, 4 verschiedenfarbige, 75cm Länge</t>
  </si>
  <si>
    <t>R7538E</t>
  </si>
  <si>
    <t>R7538I</t>
  </si>
  <si>
    <t>8sh,brocade tail+brocade crown,75cm lenght</t>
  </si>
  <si>
    <t>8ran brokátová stopa+brokátová koruna,75cm délka</t>
  </si>
  <si>
    <t>8 schuss Brokatspur+Brokatkrone, 75cm Länge</t>
  </si>
  <si>
    <t>R100M</t>
  </si>
  <si>
    <t xml:space="preserve">Minomet </t>
  </si>
  <si>
    <t>roman candle 91sh, 4 different colors</t>
  </si>
  <si>
    <t>římská svíce 91ran, 4 různobarevné efekty</t>
  </si>
  <si>
    <t>91 Schuss Römische Kerze, 4 verschiedenfarbige Effekte</t>
  </si>
  <si>
    <t>SS20D</t>
  </si>
  <si>
    <t>Dumbum single shot 20mm</t>
  </si>
  <si>
    <t>30/10</t>
  </si>
  <si>
    <t>silver mine to red tail to titanium salute</t>
  </si>
  <si>
    <t>stříbrný výmet+červená stopa a titanová detonace</t>
  </si>
  <si>
    <t>silberne Treibladung+rote Spur und titanische Detonation</t>
  </si>
  <si>
    <t>SS20DI14</t>
  </si>
  <si>
    <t>SS25P</t>
  </si>
  <si>
    <t>2 different colour parachute</t>
  </si>
  <si>
    <t>barevné světlo na padáčku(2ks)</t>
  </si>
  <si>
    <t>Farbiges Licht auf dem Paddel (2 Stück)</t>
  </si>
  <si>
    <t>SS30SIGF2</t>
  </si>
  <si>
    <t>Signature range single shot F2</t>
  </si>
  <si>
    <t>30/4</t>
  </si>
  <si>
    <t>SS30NO</t>
  </si>
  <si>
    <t>4 different color effects-no noise</t>
  </si>
  <si>
    <t>4 různobarevné efekty-bez hluku</t>
  </si>
  <si>
    <t>4 verschiedenfarbige Effekte-ohne Lärm</t>
  </si>
  <si>
    <t>SS30D</t>
  </si>
  <si>
    <t>SS30A</t>
  </si>
  <si>
    <t xml:space="preserve"> </t>
  </si>
  <si>
    <t>SS37K</t>
  </si>
  <si>
    <t>SS50K</t>
  </si>
  <si>
    <t>FM50A</t>
  </si>
  <si>
    <t xml:space="preserve">whistling+fountain+mine </t>
  </si>
  <si>
    <t>pískot+fontána+mina</t>
  </si>
  <si>
    <t>Pfeifen+Fontäne+Mine</t>
  </si>
  <si>
    <t>S2MM</t>
  </si>
  <si>
    <t>12/6</t>
  </si>
  <si>
    <t>F4</t>
  </si>
  <si>
    <t>6 different effects, diametr 50mm(top quality)</t>
  </si>
  <si>
    <t>6 verschiedenfarbige Effekte, Durchmesser 50 mm(Top Qualität)</t>
  </si>
  <si>
    <t>Big King</t>
  </si>
  <si>
    <t>K0203</t>
  </si>
  <si>
    <t>50/100</t>
  </si>
  <si>
    <t>scatcher petard, sound power 116dB from 8m</t>
  </si>
  <si>
    <t>škrtací petarda velká, síla výbuchu 116dB z 8m</t>
  </si>
  <si>
    <t>Großer Reibkopfknaller, Explosionskraft 116dB von 8m</t>
  </si>
  <si>
    <t>sound power 114dB from 8m</t>
  </si>
  <si>
    <t>síla výbuchu 114dB z 8m</t>
  </si>
  <si>
    <t>Explosionskraft 114dB von 8m</t>
  </si>
  <si>
    <t>P1D</t>
  </si>
  <si>
    <t>P2D</t>
  </si>
  <si>
    <t>sound power 117dB from 8m</t>
  </si>
  <si>
    <t>síla výbuchu 117dB z 8m</t>
  </si>
  <si>
    <t>Explosionskraft 117dB von 8m</t>
  </si>
  <si>
    <t>P2DB</t>
  </si>
  <si>
    <t>K0203K</t>
  </si>
  <si>
    <t>sound power 119dB from 8m</t>
  </si>
  <si>
    <t>síla výbuchu 119dB z 8m</t>
  </si>
  <si>
    <t>Explosionskraft 119dB von 8m</t>
  </si>
  <si>
    <t>P05D</t>
  </si>
  <si>
    <t>CZ,SK,LT</t>
  </si>
  <si>
    <t>sound power 120dB form 8m, made in Europe, plastic seal</t>
  </si>
  <si>
    <t>síla výbuchu 120dB z 8m, vyrobeno v Evropě, plastová ucpávka</t>
  </si>
  <si>
    <t>PB120D</t>
  </si>
  <si>
    <t>Dumbum black edition 120db</t>
  </si>
  <si>
    <t>50/20</t>
  </si>
  <si>
    <t xml:space="preserve">sound power 120dB from 8m(black powder) </t>
  </si>
  <si>
    <t xml:space="preserve">Explosionskraft 120dB von 8m(schwarz powder) </t>
  </si>
  <si>
    <t>P066D20</t>
  </si>
  <si>
    <t>sound power 120dB form 15m, made in Europe, plastic seal</t>
  </si>
  <si>
    <t>síla výbuchu 120dB z 15m, vyrobeno v Evropě, plastová ucpávka</t>
  </si>
  <si>
    <t>Explosionskraft 120dB von 15m, lHergestellt in Europa,Plastikdichtung</t>
  </si>
  <si>
    <t>P10D20</t>
  </si>
  <si>
    <t>sound power 120dB from 15m</t>
  </si>
  <si>
    <t>síla výbuchu 120dB z 15m</t>
  </si>
  <si>
    <t>Explosionskraft 120dB von 15m</t>
  </si>
  <si>
    <t>P4A(1)</t>
  </si>
  <si>
    <t>P4B</t>
  </si>
  <si>
    <t>60/20</t>
  </si>
  <si>
    <t>P5DU13</t>
  </si>
  <si>
    <t>sound power 120dB from 15m with green light on the start</t>
  </si>
  <si>
    <t>síla výbuchu 120dB z 15m se zeleným světlem na začátku</t>
  </si>
  <si>
    <t>Explosionskraft 120dB von 15m mit grünes Licht</t>
  </si>
  <si>
    <t>P5DU</t>
  </si>
  <si>
    <t>P5A13</t>
  </si>
  <si>
    <t>Bomb</t>
  </si>
  <si>
    <t>P5D13</t>
  </si>
  <si>
    <t>Viper 1</t>
  </si>
  <si>
    <t>P6AE</t>
  </si>
  <si>
    <t>5g zábleskové slože, 130dB z 15m, vyrobeno v Evropě, plastová ucpávka</t>
  </si>
  <si>
    <t>T2</t>
  </si>
  <si>
    <t>P30D</t>
  </si>
  <si>
    <t>30g flash powder,sound power 142dB from 15m, made in Europe</t>
  </si>
  <si>
    <t>30g zábleskové slože, 142dB z 15m, vyrobeno v Evropě</t>
  </si>
  <si>
    <t>30g Blitzsatz, 142dB von 15m, Hergestellt in Europa</t>
  </si>
  <si>
    <t>P50D</t>
  </si>
  <si>
    <t>50g flash powder, sound power 159dB from 15m, made in Europe</t>
  </si>
  <si>
    <t>50g zábleskové slože, 159dB z 15m, vyrobeno v Evropě</t>
  </si>
  <si>
    <t>50g Blitzsatz, 159dB von 15m, Hergestellt in Europa</t>
  </si>
  <si>
    <t>P60V</t>
  </si>
  <si>
    <t>60g flash powder, sound power 160dB from 15m, made in Europe</t>
  </si>
  <si>
    <t>60g zábleskové slože, 160dB z 15m, vyrobeno v Evropě</t>
  </si>
  <si>
    <t>60g Blitzsatz, 160dB von 15m, Hergestellt in Europa</t>
  </si>
  <si>
    <t>K20K</t>
  </si>
  <si>
    <t>K60K</t>
  </si>
  <si>
    <t>K01M</t>
  </si>
  <si>
    <t>70sh,lenght 16cm,celebration crackers from small petards</t>
  </si>
  <si>
    <t>70 schuss, Länge 16cm, Teppich besteht aus kleinen Knallkörpern</t>
  </si>
  <si>
    <t>K200R</t>
  </si>
  <si>
    <t>200sh,lenght 62cm,celebration crackers from middle petards</t>
  </si>
  <si>
    <t>200ran,délka 62cm,bouchající koberec ze středních petard</t>
  </si>
  <si>
    <t>200 schuss, Länge 62cm, Knallteppich aus mittleren Knallkörpern</t>
  </si>
  <si>
    <t>K500R</t>
  </si>
  <si>
    <t>500sh,lenght 155cm,celebration crackers from middle petards</t>
  </si>
  <si>
    <t>500ran,délka 155cm,bouchající koberec ze středních petard</t>
  </si>
  <si>
    <t>500 schuss, Länge 155cm, Knallteppich aus großen Knallkörpern</t>
  </si>
  <si>
    <t>K1000R</t>
  </si>
  <si>
    <t>16/1</t>
  </si>
  <si>
    <t>1000sh,lenght 310cm,celebration crackers from middle petards</t>
  </si>
  <si>
    <t>1000ran,délka 310cm,bouchající koberec ze středních petard</t>
  </si>
  <si>
    <t>1000 schuss, Länge 310cm, Knallteppich aus großen Knallkörpern</t>
  </si>
  <si>
    <t>3/1</t>
  </si>
  <si>
    <t>1750sh small crackers+200sh midle crackers+19sh big crackers,lenght 5,25m</t>
  </si>
  <si>
    <t>1750ran malé petardy+200ran střední petardy+19 ran velké petardy,délka 5,25m</t>
  </si>
  <si>
    <t>1750 schuss kleine Knallkörper + 200schuss midlle Knallkörper+ 19schuss große Knallkörper, 5,25m Länge</t>
  </si>
  <si>
    <t>K1969R</t>
  </si>
  <si>
    <t>K10M</t>
  </si>
  <si>
    <t>3500sh small crackers+400sh midle crackers+19sh big crackers,lenght 10,5m</t>
  </si>
  <si>
    <t>3500ran malé petardy+400ran střední petardy+19 ran velké petardy,délka 10,5m</t>
  </si>
  <si>
    <t>3500 schuss kleine Knallkörper + 400schuss midlle Knallkörper+ 19schuss große Knallkörper,10,5m Länge</t>
  </si>
  <si>
    <t>5 different color effects</t>
  </si>
  <si>
    <t>5 různobarevných efektů</t>
  </si>
  <si>
    <t>5 verschiedenfarbige Effekte</t>
  </si>
  <si>
    <t>RS1</t>
  </si>
  <si>
    <t>20/12/12</t>
  </si>
  <si>
    <t>whistling+salute</t>
  </si>
  <si>
    <t>pískající raketa s explozí</t>
  </si>
  <si>
    <t>Pfeifende Rakete mit der Explosion</t>
  </si>
  <si>
    <t>RS6P</t>
  </si>
  <si>
    <t>Padáčková raketa</t>
  </si>
  <si>
    <t>small size parachute rocket</t>
  </si>
  <si>
    <t>Fallschirmrakete</t>
  </si>
  <si>
    <t>RS6O</t>
  </si>
  <si>
    <t>whistling tail + color star</t>
  </si>
  <si>
    <t>pískající stopa+barevné světlice</t>
  </si>
  <si>
    <t>Pfeifende spur + farbige Leuchtgeschosse</t>
  </si>
  <si>
    <t>RS6S</t>
  </si>
  <si>
    <t>Scream rocket-mini</t>
  </si>
  <si>
    <t>whistling tail to silver glitter</t>
  </si>
  <si>
    <t>pískající stopa+stříbrné blikající hvězdy</t>
  </si>
  <si>
    <t>Pfeifende spur + silberne blinkende Sterne</t>
  </si>
  <si>
    <t>R12T1</t>
  </si>
  <si>
    <t>Tomahawk rocket 1</t>
  </si>
  <si>
    <t>42cm height of rocket, color stars</t>
  </si>
  <si>
    <t>42cm výška,barevné světlice</t>
  </si>
  <si>
    <t>42 cm Höhe, farbige Leuchtgeschosse</t>
  </si>
  <si>
    <t>RS6XS</t>
  </si>
  <si>
    <t>18/6</t>
  </si>
  <si>
    <t xml:space="preserve">whistling tail to titanium salute with crackling </t>
  </si>
  <si>
    <t>velká pískající raketa s explozí a práskajícími hvězdami</t>
  </si>
  <si>
    <t>große pfeifende Rakete+titanium salute mit crackling</t>
  </si>
  <si>
    <t>RS6NO14</t>
  </si>
  <si>
    <t>No Sound rocket</t>
  </si>
  <si>
    <t>6 different colour effects-no noise</t>
  </si>
  <si>
    <t>6 různobarevných efektů-bez hluku</t>
  </si>
  <si>
    <t>6 verschiedenfarbige Effekte-ohne Lärm</t>
  </si>
  <si>
    <t>RS4H14</t>
  </si>
  <si>
    <t>RS7MD14</t>
  </si>
  <si>
    <t>7 different color effects</t>
  </si>
  <si>
    <t>7 různobarevných efektů</t>
  </si>
  <si>
    <t xml:space="preserve">7 verschiedenfarbige Effekte </t>
  </si>
  <si>
    <t>RS7T14</t>
  </si>
  <si>
    <t>9 different color effects</t>
  </si>
  <si>
    <t>9 různobarevných efektů</t>
  </si>
  <si>
    <t xml:space="preserve">9 verschiedenfarbige Effekte </t>
  </si>
  <si>
    <t>RS9T14</t>
  </si>
  <si>
    <t>RS9P14</t>
  </si>
  <si>
    <t>12 different color effects</t>
  </si>
  <si>
    <t>12 různobarevných efektů</t>
  </si>
  <si>
    <t xml:space="preserve">12 verschiedenfarbige Effekte </t>
  </si>
  <si>
    <t>11 different color effects</t>
  </si>
  <si>
    <t>11 různobarevných efektů</t>
  </si>
  <si>
    <t xml:space="preserve">11 verschiedenfarbige Effekte </t>
  </si>
  <si>
    <t>18 different color effects</t>
  </si>
  <si>
    <t>18 různobarevných efektů</t>
  </si>
  <si>
    <t xml:space="preserve">18 verschiedenfarbige Effekte </t>
  </si>
  <si>
    <t>33 different color effects</t>
  </si>
  <si>
    <t>33 různobarevných efektů</t>
  </si>
  <si>
    <t xml:space="preserve">33 verschiedenfarbige Effekte </t>
  </si>
  <si>
    <t>24/5</t>
  </si>
  <si>
    <t>RSSF2</t>
  </si>
  <si>
    <t>5 různobarevné efekty</t>
  </si>
  <si>
    <t>RS4D</t>
  </si>
  <si>
    <t>silver tail to titanium salute with crackling(5g flash powder)</t>
  </si>
  <si>
    <t>stříbrná stopa s titanovou detonací a práskajícími hvězdami(5g zábleskové slože)</t>
  </si>
  <si>
    <t>silberne spur mit der titanischen detonation+crackling (5g flash sprengsatz)</t>
  </si>
  <si>
    <t>RS11H</t>
  </si>
  <si>
    <t>SP3C</t>
  </si>
  <si>
    <t>RS18T</t>
  </si>
  <si>
    <t>RS18S</t>
  </si>
  <si>
    <t>RS33R</t>
  </si>
  <si>
    <t>RSS100</t>
  </si>
  <si>
    <t>R170B</t>
  </si>
  <si>
    <t>170cm height, top quality chrome rocket, 2 different color effects</t>
  </si>
  <si>
    <t>170cm Höhe, chromraketen der höchsten qualität, 2 verschiedenfarbige Effekte</t>
  </si>
  <si>
    <t>RSSF3</t>
  </si>
  <si>
    <t>S90S</t>
  </si>
  <si>
    <t>Stroboskop bílý 90sec</t>
  </si>
  <si>
    <t>36/5</t>
  </si>
  <si>
    <t>white strobo</t>
  </si>
  <si>
    <t>bílý stroboskop</t>
  </si>
  <si>
    <t>weißes Stroboskop</t>
  </si>
  <si>
    <t>S60S</t>
  </si>
  <si>
    <t>Stroboskop bílý 60sec</t>
  </si>
  <si>
    <t>S60SC</t>
  </si>
  <si>
    <t>red strobo+smoke</t>
  </si>
  <si>
    <t>silné červené blikající světlo+bílá dýmovnice</t>
  </si>
  <si>
    <t>Starkes rotes Blinklicht + weiße Rauchröhre</t>
  </si>
  <si>
    <t>red torch+white smoke</t>
  </si>
  <si>
    <t>pochodeň červené světlo+ bílý dým</t>
  </si>
  <si>
    <t>Fackel rotes Licht + weißer Rauch</t>
  </si>
  <si>
    <t xml:space="preserve">Fotbalová pochodeň zelená+dým </t>
  </si>
  <si>
    <t>green torch+white smoke</t>
  </si>
  <si>
    <t>pochodeň zelenéné světlo+ bílý dým</t>
  </si>
  <si>
    <t>Fackel grünes Licht + weißer Rauch</t>
  </si>
  <si>
    <t xml:space="preserve">Fotbalová pochodeň žlutá+dým </t>
  </si>
  <si>
    <t>yellow torch+white smoke</t>
  </si>
  <si>
    <t>Fackel gelbes Licht + weißer Rauch</t>
  </si>
  <si>
    <t>P40C25</t>
  </si>
  <si>
    <t xml:space="preserve">Fotbalová pochodeň červená+dým </t>
  </si>
  <si>
    <t>P40Z25</t>
  </si>
  <si>
    <t>P40ZL25</t>
  </si>
  <si>
    <t>RP2</t>
  </si>
  <si>
    <t>red torch</t>
  </si>
  <si>
    <t>červená pochodeň</t>
  </si>
  <si>
    <t>Rote Fackel</t>
  </si>
  <si>
    <t>T-shirt Dumbum, 180g</t>
  </si>
  <si>
    <t>tričko Dumbum, gramáž 180g</t>
  </si>
  <si>
    <t>Trikot Dumbum, gewicht 180g</t>
  </si>
  <si>
    <t>TD1L</t>
  </si>
  <si>
    <t>TD1XL</t>
  </si>
  <si>
    <t>TIDC1M</t>
  </si>
  <si>
    <t>TIDC1L</t>
  </si>
  <si>
    <t>TIDC1XL</t>
  </si>
  <si>
    <t>TIDC1XXL</t>
  </si>
  <si>
    <t>TIDB1M</t>
  </si>
  <si>
    <t>TIDB1L</t>
  </si>
  <si>
    <t>TIDB1XXL</t>
  </si>
  <si>
    <t>TPD1M</t>
  </si>
  <si>
    <t>T-shirt POLO Dumbum, 225g</t>
  </si>
  <si>
    <t>polo triko Dumbum, gramáž 225g</t>
  </si>
  <si>
    <t>Polo-Trikot Dumbum, gewicht 225g</t>
  </si>
  <si>
    <t>TPD1L</t>
  </si>
  <si>
    <t>Dumbum polo tričko L</t>
  </si>
  <si>
    <t>TPD1XL</t>
  </si>
  <si>
    <t>Dumbum polo tričko XL</t>
  </si>
  <si>
    <t>BD1L</t>
  </si>
  <si>
    <t>Dumbum bunda fleece L</t>
  </si>
  <si>
    <t>fleece-coat Dumbum, 600g</t>
  </si>
  <si>
    <t>bunda fleece Dumbum, gramáž 600g</t>
  </si>
  <si>
    <t>Jacke fleece Dumbum, Gewicht 600g</t>
  </si>
  <si>
    <t>BD1XL</t>
  </si>
  <si>
    <t>BD1XXL</t>
  </si>
  <si>
    <t>Dumbum bunda fleece XXL</t>
  </si>
  <si>
    <t>KD1</t>
  </si>
  <si>
    <t>baseball cap Dumbum</t>
  </si>
  <si>
    <t>kšiltovka Dumbum</t>
  </si>
  <si>
    <t>Schirmmütze Dumbum</t>
  </si>
  <si>
    <t>CD1</t>
  </si>
  <si>
    <t>winter hat Dumbum, Beanie</t>
  </si>
  <si>
    <t>zimní čepice Dumbum</t>
  </si>
  <si>
    <t>Wintermütze Dumbum</t>
  </si>
  <si>
    <t>N1</t>
  </si>
  <si>
    <t>Dumbum explosive drink</t>
  </si>
  <si>
    <t>energy drink 250ml, made in EU</t>
  </si>
  <si>
    <t>energetický nápoj 250ml, vyrobeno v EU</t>
  </si>
  <si>
    <t>Energiegetränk 250ml, made in EU</t>
  </si>
  <si>
    <t>SAMD02</t>
  </si>
  <si>
    <t>champagne Dumbum(Bohemia sekt)- 0,2l, made in Czech republic</t>
  </si>
  <si>
    <t>šampaňské Dumbum(Bohemia sekt)- 0,2l</t>
  </si>
  <si>
    <t>Champagner Dumbum(Bohemia sekt)- 0,2l, made in Czech republic</t>
  </si>
  <si>
    <t>RUD1</t>
  </si>
  <si>
    <t>roll-up Dumbum, size 200x85cm</t>
  </si>
  <si>
    <t>rozměr 200x85cm(Roll up Dumbum)- samostatně stojící</t>
  </si>
  <si>
    <t>Abmessungen 200 x 85cm (Roll up Dumbum) - alleinstehend</t>
  </si>
  <si>
    <t>RUN1</t>
  </si>
  <si>
    <t>Vysunovací reklama No sound fireworks</t>
  </si>
  <si>
    <t>roll-up No sound fireworks, size 200x85cm</t>
  </si>
  <si>
    <t>rozměr 200x85cm(Roll up No sound fireworks)- samostatně stojící</t>
  </si>
  <si>
    <t>Abmessungen 200 x 85cm (Roll up No sound fireworks) - alleinstehend</t>
  </si>
  <si>
    <t>RUSIG1</t>
  </si>
  <si>
    <t>roll-up Signature range , size 200x85cm</t>
  </si>
  <si>
    <t>rozměr 200x85cm(Roll up Signature range )- samostatně stojící</t>
  </si>
  <si>
    <t>Abmessungen 200 x 85cm (Roll up Signature range ) - alleinstehend</t>
  </si>
  <si>
    <t>RT1CZE</t>
  </si>
  <si>
    <t>display Stand A1, size 84x60cm, for outside use</t>
  </si>
  <si>
    <t>rozměr 84x60cm- samostatně stojící venkovní reklama</t>
  </si>
  <si>
    <t>Abmessungen 84x60cm - alleinstehende Freiluftwerbung</t>
  </si>
  <si>
    <t>RT1SK</t>
  </si>
  <si>
    <t>PL1CZE</t>
  </si>
  <si>
    <t>poster, size 84x60cm, vertical</t>
  </si>
  <si>
    <t>rozměr 84x60cm(na výšku)</t>
  </si>
  <si>
    <t>Abmessungen 84x60cm, auf höhe</t>
  </si>
  <si>
    <t>PL2CZE</t>
  </si>
  <si>
    <t>poster, size 98x68cm, width</t>
  </si>
  <si>
    <t>rozměr 98x68cm(na šířku)</t>
  </si>
  <si>
    <t>Abmessungen 84x60cm, auf breite</t>
  </si>
  <si>
    <t>PL1SVK</t>
  </si>
  <si>
    <t>PL2SVK</t>
  </si>
  <si>
    <t>PL1DU</t>
  </si>
  <si>
    <t>Plakát Dumbum</t>
  </si>
  <si>
    <t>poster Dumbum, size 84x60cm, vertical</t>
  </si>
  <si>
    <t>ZD1</t>
  </si>
  <si>
    <t>Zapalovač Dumbum s turboplamenem</t>
  </si>
  <si>
    <t>1/20</t>
  </si>
  <si>
    <t>turboflame lighter Dumbum</t>
  </si>
  <si>
    <t>zapalovač s turboplamenem Dumbum</t>
  </si>
  <si>
    <t>Feuerzeug mit der Turboflamme Dumbum</t>
  </si>
  <si>
    <t>UZD2</t>
  </si>
  <si>
    <t>USB Zapalovač Dumbum</t>
  </si>
  <si>
    <t>USB Lighter Dumbum</t>
  </si>
  <si>
    <t>USB Feuerzeug Dumbum</t>
  </si>
  <si>
    <t>ND1</t>
  </si>
  <si>
    <t>Samolepka Dumbum</t>
  </si>
  <si>
    <t>sticker Dumbum, size 17x15cm</t>
  </si>
  <si>
    <t>samolepka Dumbum rozměr 17x15cm</t>
  </si>
  <si>
    <t>Aufkleber Dumbum Abmessungen 17x15cm</t>
  </si>
  <si>
    <t>Taška Klásek</t>
  </si>
  <si>
    <t>shopping bag Klásek/Dumbum, size 50x40cm</t>
  </si>
  <si>
    <t>nákupní taška Klásek/Dumbum, rozměr 50x40cm</t>
  </si>
  <si>
    <t>Einkaufstasche Klásek/Dumbum, Abmessungen 50x40cm</t>
  </si>
  <si>
    <t>Taška Dumbum</t>
  </si>
  <si>
    <t>shopping bag Dumbum, size 45x34cm</t>
  </si>
  <si>
    <t>nákupní taška Dumbum, rozměr 45x34cm</t>
  </si>
  <si>
    <t>Einkaufstasche Dumbum, Abmessungen 45x34cm</t>
  </si>
  <si>
    <t>HD1</t>
  </si>
  <si>
    <t>Keramický hrnek Dumbum</t>
  </si>
  <si>
    <t>ceramic mug Dumbum</t>
  </si>
  <si>
    <t>keramický hrnek Dumbum</t>
  </si>
  <si>
    <t>Keramik-Becher Dumbum</t>
  </si>
  <si>
    <t>PPMD1</t>
  </si>
  <si>
    <t>Podložka pod myš Dumbum</t>
  </si>
  <si>
    <t>mouse pad Dumbum</t>
  </si>
  <si>
    <t>podložka pod myš Dumbum</t>
  </si>
  <si>
    <t>Mousepad Dumbum</t>
  </si>
  <si>
    <t>DD1</t>
  </si>
  <si>
    <t>Deštník Dumbum</t>
  </si>
  <si>
    <t>umbrella Dumbum</t>
  </si>
  <si>
    <t>deštník Dumbum</t>
  </si>
  <si>
    <t>Regenschirm Dumbum</t>
  </si>
  <si>
    <t>SD2</t>
  </si>
  <si>
    <t>car parfume Dumbum, with the aroma of Invictus</t>
  </si>
  <si>
    <t>Auto Parfüm Dumbum, mit dem Aroma von Invictus</t>
  </si>
  <si>
    <t>OZ4</t>
  </si>
  <si>
    <t>Odpalovací zařízení Professionál</t>
  </si>
  <si>
    <t>firing machine with 4 positions, remote control, 4pcs electric ignitors</t>
  </si>
  <si>
    <t>odpalovací zařízení na dálkový odpal(4 pozice)+ dálkový ovladač+4ks el.palníku</t>
  </si>
  <si>
    <t>Abfeuereinrichtung für die Fernabfeuerung (4 Positionen) + Fernbediengerät + 4 Stk. Elektrische Zünder</t>
  </si>
  <si>
    <t>ZS5M</t>
  </si>
  <si>
    <t>package contains 5m of 2mm green fuse</t>
  </si>
  <si>
    <t>2mm zelená zápalná šnůra, baleno po 5m</t>
  </si>
  <si>
    <t>2 mm grüne Yündschnur, je 5m verpackt</t>
  </si>
  <si>
    <t>4/1</t>
  </si>
  <si>
    <t>10 different color effects</t>
  </si>
  <si>
    <t>9 verschiedenfarbige Effekte</t>
  </si>
  <si>
    <t>6/1</t>
  </si>
  <si>
    <t>2/1</t>
  </si>
  <si>
    <t>C2508R</t>
  </si>
  <si>
    <t xml:space="preserve">silver whistling tail to salute </t>
  </si>
  <si>
    <t>stříbrné pískající komety s explozí</t>
  </si>
  <si>
    <t>Silberne pfeifende Kometen mit der Explosion</t>
  </si>
  <si>
    <t>C10008R</t>
  </si>
  <si>
    <t>60/1</t>
  </si>
  <si>
    <t>silver whistling tail to salute</t>
  </si>
  <si>
    <t>C30008R</t>
  </si>
  <si>
    <t>C100008R</t>
  </si>
  <si>
    <t>Edwin</t>
  </si>
  <si>
    <t>C1614E14</t>
  </si>
  <si>
    <t>C10014A</t>
  </si>
  <si>
    <t>10 různobarevných efektů</t>
  </si>
  <si>
    <t>10 verschiedenfarbige Effekte</t>
  </si>
  <si>
    <t>C920L</t>
  </si>
  <si>
    <t>Lumpík</t>
  </si>
  <si>
    <t>3 different color effects</t>
  </si>
  <si>
    <t>3 různobarevné efekty</t>
  </si>
  <si>
    <t>3 verschiedenfarbige Effekte</t>
  </si>
  <si>
    <t>C920M</t>
  </si>
  <si>
    <t>Major</t>
  </si>
  <si>
    <t>C1620DU</t>
  </si>
  <si>
    <t>CZ,PL,LT,SK,DE</t>
  </si>
  <si>
    <t>stříbrná mina s červenou stopou a titanovou detonací</t>
  </si>
  <si>
    <t>Silberne Mine mit der roten Spur und mit der titanischen Detonation</t>
  </si>
  <si>
    <t>C1620BPF</t>
  </si>
  <si>
    <t>C1620H</t>
  </si>
  <si>
    <t>Hnusák</t>
  </si>
  <si>
    <t>C1620N</t>
  </si>
  <si>
    <t>Nuclear attack</t>
  </si>
  <si>
    <t>CZ,SK,PL,DE,LT,EN</t>
  </si>
  <si>
    <t>C1620M</t>
  </si>
  <si>
    <t>Mosquito</t>
  </si>
  <si>
    <t>C1620F</t>
  </si>
  <si>
    <t>Frankinson Harley</t>
  </si>
  <si>
    <t>C1620DUI14(1)</t>
  </si>
  <si>
    <t>C1620H14</t>
  </si>
  <si>
    <t>C1620N14</t>
  </si>
  <si>
    <t>C1620M14</t>
  </si>
  <si>
    <t>C1620F14</t>
  </si>
  <si>
    <t>C2520BP</t>
  </si>
  <si>
    <t>CZ,SK,PL,DE,LT,EN,EST</t>
  </si>
  <si>
    <t>C2520SIG</t>
  </si>
  <si>
    <t>C2520Z</t>
  </si>
  <si>
    <t>Želvoun</t>
  </si>
  <si>
    <t>C2520P</t>
  </si>
  <si>
    <t>C2520DI</t>
  </si>
  <si>
    <t>Dinomit</t>
  </si>
  <si>
    <t>C2520T</t>
  </si>
  <si>
    <t>Turtle Burger</t>
  </si>
  <si>
    <t>C2520SE</t>
  </si>
  <si>
    <t>Senior</t>
  </si>
  <si>
    <t>C2520DI14</t>
  </si>
  <si>
    <t>C2520T14</t>
  </si>
  <si>
    <t>C2520SE14</t>
  </si>
  <si>
    <t>C2520ST</t>
  </si>
  <si>
    <t>Střelmistr</t>
  </si>
  <si>
    <t>red wave w.crackling pistil, silver mine to red tail to titanium salute</t>
  </si>
  <si>
    <t>červená vlna s práskajícím středem, stříbrná mina s červenou stopou a titanovou detonací</t>
  </si>
  <si>
    <t>Rote Welle mit der knallenden Mitte, silberne Mine mit der roten Spur und der titanischen Detonation</t>
  </si>
  <si>
    <t>C2520SL</t>
  </si>
  <si>
    <t>Slet čarodejnic</t>
  </si>
  <si>
    <t>silver wave to green w.glittering pistil, orange tail to orange pearl to chrysanthemum</t>
  </si>
  <si>
    <t>stříbrná vlna se zelenými konci a blikajícím středem, oranžová stopa s oranžovými perlami s práskajícími hvězdami</t>
  </si>
  <si>
    <t>Silberne Welle mit grünen Enden und mit der blinkenden Mitte, orangenfarbige Spur mit orangenfarbigen Perlen und mit knallenden Sternen</t>
  </si>
  <si>
    <t>C2520R</t>
  </si>
  <si>
    <t>Radiation</t>
  </si>
  <si>
    <t>brocade crown to purple</t>
  </si>
  <si>
    <t>brokátová koruna s fialovými konci</t>
  </si>
  <si>
    <t>Brokatkrone mit violetten Enden</t>
  </si>
  <si>
    <t>VIP</t>
  </si>
  <si>
    <t>blue palm with gold flashing middle</t>
  </si>
  <si>
    <t>modrá palma se zlatým blikajícím středem</t>
  </si>
  <si>
    <t>Blaue Palme mit der goldenen blinkenden Mitte</t>
  </si>
  <si>
    <t>C2520VI</t>
  </si>
  <si>
    <t>Brokatkrone mit violetten enden</t>
  </si>
  <si>
    <t>C4920BPF</t>
  </si>
  <si>
    <t>7 verschiedenfarbige Effekte</t>
  </si>
  <si>
    <t>C4920NID</t>
  </si>
  <si>
    <t>C4920SIG</t>
  </si>
  <si>
    <t>C4920DR</t>
  </si>
  <si>
    <t>Dragon army</t>
  </si>
  <si>
    <t>C4920K</t>
  </si>
  <si>
    <t>King Julien</t>
  </si>
  <si>
    <t>CZ,SK,PL,DE,LT,EN,NL,DK</t>
  </si>
  <si>
    <t>C4920S</t>
  </si>
  <si>
    <t>Šašek</t>
  </si>
  <si>
    <t>C4920SIG14</t>
  </si>
  <si>
    <t>C4920DR14</t>
  </si>
  <si>
    <t>C4920K14</t>
  </si>
  <si>
    <t>C4920S14</t>
  </si>
  <si>
    <t>CF4920G</t>
  </si>
  <si>
    <t>Goldman</t>
  </si>
  <si>
    <t>CF4920J</t>
  </si>
  <si>
    <t>Jaga</t>
  </si>
  <si>
    <t>CF4920A</t>
  </si>
  <si>
    <t>Air show</t>
  </si>
  <si>
    <t>CF4920G14</t>
  </si>
  <si>
    <t>CF4920VIP</t>
  </si>
  <si>
    <t>Vip Nights</t>
  </si>
  <si>
    <t xml:space="preserve">brocade crown to purple </t>
  </si>
  <si>
    <t>C6420B</t>
  </si>
  <si>
    <t>Breakboo</t>
  </si>
  <si>
    <t>8 different color effects</t>
  </si>
  <si>
    <t>8 různobarevných efektů</t>
  </si>
  <si>
    <t>8 verschiedenfarbige Effekte</t>
  </si>
  <si>
    <t>C6420G</t>
  </si>
  <si>
    <t>Grouch</t>
  </si>
  <si>
    <t>C6420D</t>
  </si>
  <si>
    <t>Devil</t>
  </si>
  <si>
    <t>C6420G14</t>
  </si>
  <si>
    <t>C6420D14</t>
  </si>
  <si>
    <t>C6620SIG</t>
  </si>
  <si>
    <t>9 different color effects with titanium salute like final</t>
  </si>
  <si>
    <t>9 různobarevných efektů se salvou titanium salute na závěr</t>
  </si>
  <si>
    <t>9 verschiedenfarbige Effekte mit Titan Salute wie Finale</t>
  </si>
  <si>
    <t>C6620P</t>
  </si>
  <si>
    <t>Pyromaster</t>
  </si>
  <si>
    <t>C6620L</t>
  </si>
  <si>
    <t>Luxury pyro</t>
  </si>
  <si>
    <t>C6620SIGI14</t>
  </si>
  <si>
    <t>C6620P14</t>
  </si>
  <si>
    <t>C6620L14</t>
  </si>
  <si>
    <t>C9020SIG</t>
  </si>
  <si>
    <t>C9020V</t>
  </si>
  <si>
    <t>Válka světů</t>
  </si>
  <si>
    <t>C9020X</t>
  </si>
  <si>
    <t>Xmas dream</t>
  </si>
  <si>
    <t>C10020BP14</t>
  </si>
  <si>
    <t>CZ,SK,EN,DE,PL,NL,DK,LT,FR,HU,IT,EST,HR</t>
  </si>
  <si>
    <t>C10020BPF14</t>
  </si>
  <si>
    <t>C10020NID14</t>
  </si>
  <si>
    <t>CF10020P</t>
  </si>
  <si>
    <t>5 different color effects(salvo 10sh together)</t>
  </si>
  <si>
    <t>5 různobarevných efektů(salvy po 10ran)</t>
  </si>
  <si>
    <t>5 verschiedenfarbige Effekte (Salven je 10 Schuss)</t>
  </si>
  <si>
    <t>CF10020G</t>
  </si>
  <si>
    <t>C13020M</t>
  </si>
  <si>
    <t>Mr.Boom</t>
  </si>
  <si>
    <t>13 different color effects</t>
  </si>
  <si>
    <t>13 různobarevných efektů</t>
  </si>
  <si>
    <t>13 verschiedenfarbige Effekte</t>
  </si>
  <si>
    <t>C13020B</t>
  </si>
  <si>
    <t>C13420B</t>
  </si>
  <si>
    <t>16 different color effects, 64sh(standard mortar), 40sh(fan shape), 18sh(W mortar), 12sh(V mortar)</t>
  </si>
  <si>
    <t>16 různobarevných efektů, 64ran(rovný moždíř), 40ran(šikmý moždíř), 18ran(W moždíř), 12ran(v moždíř)</t>
  </si>
  <si>
    <t>16 verschiedenfarbige Effekte, 64 Schuss (gerader Mörser), 40 Schuss (schräger Mörser), 18 Schuss (W Mörser), 12 Schuss (V Mörser)</t>
  </si>
  <si>
    <t>C13420H</t>
  </si>
  <si>
    <t>C20020BP</t>
  </si>
  <si>
    <t>20 different color effects</t>
  </si>
  <si>
    <t>20 různobarevných efektů</t>
  </si>
  <si>
    <t>20 verschiedenfarbige Effekte</t>
  </si>
  <si>
    <t>C20020BPF</t>
  </si>
  <si>
    <t>C6420DU/IC14(1)</t>
  </si>
  <si>
    <t>C12820F/C14</t>
  </si>
  <si>
    <t>16 different color effects</t>
  </si>
  <si>
    <t>16 různobarevných efektů</t>
  </si>
  <si>
    <t>16 verschiedenfarbige Effekte</t>
  </si>
  <si>
    <t>C13220B/C14</t>
  </si>
  <si>
    <t>Big and Bad</t>
  </si>
  <si>
    <t>18 verschiedenfarbige Effekte</t>
  </si>
  <si>
    <t>C19220F/C14</t>
  </si>
  <si>
    <t>24 different color effects</t>
  </si>
  <si>
    <t>24 různobarevných efektů</t>
  </si>
  <si>
    <t>24 verschiedenfarbige Effekte</t>
  </si>
  <si>
    <t>C25620F/C14</t>
  </si>
  <si>
    <t>Fireworks show 256</t>
  </si>
  <si>
    <t>32 different color effects</t>
  </si>
  <si>
    <t>32 různobarevných efektů</t>
  </si>
  <si>
    <t>32 verschiedenfarbige Effekte</t>
  </si>
  <si>
    <t>C26420N/C14</t>
  </si>
  <si>
    <t>Neverending Sky</t>
  </si>
  <si>
    <t>C6420DU/C</t>
  </si>
  <si>
    <t>C12820F/C</t>
  </si>
  <si>
    <t>C12820NID/C</t>
  </si>
  <si>
    <t>C13220B/C</t>
  </si>
  <si>
    <t>C19220F/C</t>
  </si>
  <si>
    <t>C19620SIG/C</t>
  </si>
  <si>
    <t>C25620F/C</t>
  </si>
  <si>
    <t>C26420N/C</t>
  </si>
  <si>
    <t>26 different color effects</t>
  </si>
  <si>
    <t>26 různobarevných efektů</t>
  </si>
  <si>
    <t>26 verschiedenfarbige Effekte</t>
  </si>
  <si>
    <t>39 different color effects</t>
  </si>
  <si>
    <t>39 různobarevných efektů</t>
  </si>
  <si>
    <t>39 verschiedenfarbige Effekte</t>
  </si>
  <si>
    <t>52 different color effects</t>
  </si>
  <si>
    <t>52 verschiedenfarbige Effekte</t>
  </si>
  <si>
    <t>C18020SIG/C</t>
  </si>
  <si>
    <t>C26020F/C</t>
  </si>
  <si>
    <t>CZ,SK,PL,LT,DE,EN</t>
  </si>
  <si>
    <t>C26020NID/C</t>
  </si>
  <si>
    <t>C26820F/C</t>
  </si>
  <si>
    <t>C39020F/C</t>
  </si>
  <si>
    <t>C52020F/C</t>
  </si>
  <si>
    <t>C53620F/C</t>
  </si>
  <si>
    <t>C1625BPF</t>
  </si>
  <si>
    <t>C1625B</t>
  </si>
  <si>
    <t>Helloween</t>
  </si>
  <si>
    <t>C1625D</t>
  </si>
  <si>
    <t>Kamikadze</t>
  </si>
  <si>
    <t>C1625F</t>
  </si>
  <si>
    <t>Poker</t>
  </si>
  <si>
    <t>C1625G</t>
  </si>
  <si>
    <t>Houbičky</t>
  </si>
  <si>
    <t>C1625B14</t>
  </si>
  <si>
    <t>C1625D14</t>
  </si>
  <si>
    <t>C1625F14</t>
  </si>
  <si>
    <t>C2525SIG</t>
  </si>
  <si>
    <t>C2525DU</t>
  </si>
  <si>
    <t>C2525C</t>
  </si>
  <si>
    <t>Casper</t>
  </si>
  <si>
    <t>C2525L</t>
  </si>
  <si>
    <t>Loď Duchů</t>
  </si>
  <si>
    <t>CF2525D</t>
  </si>
  <si>
    <t>Dracco</t>
  </si>
  <si>
    <t>10/1</t>
  </si>
  <si>
    <t>CF2525O</t>
  </si>
  <si>
    <t>Ostrov pokladů</t>
  </si>
  <si>
    <t>CZ,SK,PL,LT,DE,EN,EST,IT</t>
  </si>
  <si>
    <t>CF2525S</t>
  </si>
  <si>
    <t>Skřeti</t>
  </si>
  <si>
    <t>C4825MP</t>
  </si>
  <si>
    <t>Pearates</t>
  </si>
  <si>
    <t>CZ,SK,PL,DE,LT,EN,DK,EST,HU,FR,IT,NL</t>
  </si>
  <si>
    <t>C4925G</t>
  </si>
  <si>
    <t>Gas Man</t>
  </si>
  <si>
    <t>C4925P</t>
  </si>
  <si>
    <t>C4925V</t>
  </si>
  <si>
    <t>Viking</t>
  </si>
  <si>
    <t>C4925BP14</t>
  </si>
  <si>
    <t>C4925NO14</t>
  </si>
  <si>
    <t>No sound Fireworks</t>
  </si>
  <si>
    <t>7 different color effects - No noise</t>
  </si>
  <si>
    <t>7 verschiedenfarbige Effekte - ohne Lärm</t>
  </si>
  <si>
    <t>C4925V14</t>
  </si>
  <si>
    <t>C4925SIG</t>
  </si>
  <si>
    <t>C4925D</t>
  </si>
  <si>
    <t>C4925VS</t>
  </si>
  <si>
    <t>7 different color effects(Signature quality), carton contains stickers with different ages</t>
  </si>
  <si>
    <t>7 různobarevných efektu(Signature kvalita), karton obsahuje nálepky s různým věkem</t>
  </si>
  <si>
    <t>7 verschiedenfarbige Effekte(Signature quality) Karton enthält Aufkleber mit verschiedenen Alters</t>
  </si>
  <si>
    <t>CF4925D</t>
  </si>
  <si>
    <t>CF4925B</t>
  </si>
  <si>
    <t>28sh golden brocade crown to red/blue, 21sh silver mine to red tail to titanium salute</t>
  </si>
  <si>
    <t>28ran zlatá brokátová koruna s červenými/modrými konci, 21ran stříbrná mina s červenovu stopou+titanová exploze</t>
  </si>
  <si>
    <t>28 Schuss goldene Brokatkrone mit roten/blauen Enden, 21 Schuss silberne Mine mit der roten Spur + titanische Explosion</t>
  </si>
  <si>
    <t>11 verschiedenfarbige Effekte</t>
  </si>
  <si>
    <t>C8825M</t>
  </si>
  <si>
    <t>C8825G</t>
  </si>
  <si>
    <t>Graffiti</t>
  </si>
  <si>
    <t>11 different color effects(effect change every shot)</t>
  </si>
  <si>
    <t>11 různobarevných efektů měnících se po každé ráně</t>
  </si>
  <si>
    <t>11 verschiedenfarbige wechselnde Effekte nach jedem Schuss</t>
  </si>
  <si>
    <t>C8825PA</t>
  </si>
  <si>
    <t>C8825BR</t>
  </si>
  <si>
    <t>40sh golden brocade crown to red/blue, 48sh silver mine to red tail to titanium salute</t>
  </si>
  <si>
    <t>40ran zlatá brokátová koruna s červenými/modrými konci, 48ran stříbrná mina s červenovu stopou+titanová exploze</t>
  </si>
  <si>
    <t>40 Schuss goldene Brokatkrone mit roten/blauen Enden, 48 Schuss silberne Mine mit der roten Spur + titanische Explosion</t>
  </si>
  <si>
    <t>C8925B</t>
  </si>
  <si>
    <t>6 different blue effects + 3 row silver mine to red tail to titanium salute</t>
  </si>
  <si>
    <t>6různých modrých efektů + 3 řady stříbrná mina s červenou stopou a titanovou explozí</t>
  </si>
  <si>
    <t>6 verschiedene blue Effekte + 3 Serie Silbermine mit der roten Markierung und Titan Explosion</t>
  </si>
  <si>
    <t>C8925N</t>
  </si>
  <si>
    <t>C10025BP</t>
  </si>
  <si>
    <t>C10025S</t>
  </si>
  <si>
    <t>C10025I</t>
  </si>
  <si>
    <t>C9625MF/C14</t>
  </si>
  <si>
    <t>C9825C/C14</t>
  </si>
  <si>
    <t>Crazy Night</t>
  </si>
  <si>
    <t>14 different color effects</t>
  </si>
  <si>
    <t>14 různobarevných efektů</t>
  </si>
  <si>
    <t>14 verschiedenfarbige Effekte</t>
  </si>
  <si>
    <t>C19225MF/C14</t>
  </si>
  <si>
    <t>Fireworks show 192</t>
  </si>
  <si>
    <t>C19625/C14</t>
  </si>
  <si>
    <t>Fireworks show 196</t>
  </si>
  <si>
    <t>28 different color effects</t>
  </si>
  <si>
    <t>28 různobarevných efektů</t>
  </si>
  <si>
    <t>28 verschiedenfarbige Effekte</t>
  </si>
  <si>
    <t>C9825C/C</t>
  </si>
  <si>
    <t>C19625F/C</t>
  </si>
  <si>
    <t>30 different color effects</t>
  </si>
  <si>
    <t>30 různobarevných efektů</t>
  </si>
  <si>
    <t>30 verschiedenfarbige Effekte</t>
  </si>
  <si>
    <t>40 different color effects</t>
  </si>
  <si>
    <t>40 různobarevných efektů</t>
  </si>
  <si>
    <t>40 verschiedenfarbige Effekte</t>
  </si>
  <si>
    <t>C9825SIG/C</t>
  </si>
  <si>
    <t>C17825W/C</t>
  </si>
  <si>
    <t>C20025F/C</t>
  </si>
  <si>
    <t>C30025F/C</t>
  </si>
  <si>
    <t>C40025F/C</t>
  </si>
  <si>
    <t>22 different color effects</t>
  </si>
  <si>
    <t>22 různobarevných efektů</t>
  </si>
  <si>
    <t>22 verschiedenfarbige Effekte</t>
  </si>
  <si>
    <t>C163BP</t>
  </si>
  <si>
    <t>C163SIG</t>
  </si>
  <si>
    <t>C163A</t>
  </si>
  <si>
    <t>Orcs pyro</t>
  </si>
  <si>
    <t>C163B</t>
  </si>
  <si>
    <t>Zlobr</t>
  </si>
  <si>
    <t>C163S</t>
  </si>
  <si>
    <t>C163L</t>
  </si>
  <si>
    <t>Trolice</t>
  </si>
  <si>
    <t>4 different color effects(effect change every shot)</t>
  </si>
  <si>
    <t>4 různobarevné efekty měnící se po každé ráně</t>
  </si>
  <si>
    <t>4 verschiedenfarbige wechselnde Effekte nach jedem schuss</t>
  </si>
  <si>
    <t>C163A14</t>
  </si>
  <si>
    <t>colorful dahlia</t>
  </si>
  <si>
    <t>C163E</t>
  </si>
  <si>
    <t>Meteor</t>
  </si>
  <si>
    <t>brocade tail to brocade crown w.crackers</t>
  </si>
  <si>
    <t>brokátová stopa+brokátová koruna s práskajícími hvězdami</t>
  </si>
  <si>
    <t>Brokatspur + Brokatkrone mit knallenden Sternen</t>
  </si>
  <si>
    <t>C163K</t>
  </si>
  <si>
    <t>Kung-fu morče</t>
  </si>
  <si>
    <t>silver mine to red tail to silver chrysanthemum</t>
  </si>
  <si>
    <t>stříbrná mina s červenou stopou+stříbrná chryzantéma</t>
  </si>
  <si>
    <t xml:space="preserve">Silberne Mine mit der roten Spur + silberne Chrysantheme </t>
  </si>
  <si>
    <t>C163E14</t>
  </si>
  <si>
    <t>C193BP</t>
  </si>
  <si>
    <t>C193C</t>
  </si>
  <si>
    <t>Radar</t>
  </si>
  <si>
    <t>C193D</t>
  </si>
  <si>
    <t>Super Chip</t>
  </si>
  <si>
    <t>C193J</t>
  </si>
  <si>
    <t>Kerberos</t>
  </si>
  <si>
    <t>C193F</t>
  </si>
  <si>
    <t>Maska</t>
  </si>
  <si>
    <t>silver tail to silver palm to purple</t>
  </si>
  <si>
    <t>stříbrná stopa+stříbrná palma s fialovým středem</t>
  </si>
  <si>
    <t>Silberne Spur + silberne Palme mit der violetten Mitte</t>
  </si>
  <si>
    <t>C193I</t>
  </si>
  <si>
    <t>Dragon</t>
  </si>
  <si>
    <t>color pearls to chrysanthemum</t>
  </si>
  <si>
    <t>plnobarevná kytice s práskajícími hvězdami</t>
  </si>
  <si>
    <t>Vollfarbiger Blumenstrauß mit knallenden Sternen</t>
  </si>
  <si>
    <t>C193I14</t>
  </si>
  <si>
    <t>5 různobarevných efektu</t>
  </si>
  <si>
    <t>C253SIG</t>
  </si>
  <si>
    <t>Frankenstein</t>
  </si>
  <si>
    <t>5 different color effects(effect change every shot)</t>
  </si>
  <si>
    <t>5 různobarevných efektů měnících se po každé ráně</t>
  </si>
  <si>
    <t>5 verschiedenfarbige wechselnde Effekte nach jedem schuss</t>
  </si>
  <si>
    <t>The Fire Lion</t>
  </si>
  <si>
    <t>Myšák</t>
  </si>
  <si>
    <t>Skokan</t>
  </si>
  <si>
    <t>brocade crown</t>
  </si>
  <si>
    <t>C253FR</t>
  </si>
  <si>
    <t>C253MY</t>
  </si>
  <si>
    <t>C253BP14</t>
  </si>
  <si>
    <t>C253BPF14</t>
  </si>
  <si>
    <t>C253NO14</t>
  </si>
  <si>
    <t>5 different color effects - No noise</t>
  </si>
  <si>
    <t>5 různobarevných efektů - bez hluku</t>
  </si>
  <si>
    <t>5 verschiedenfarbige Effekte - ohne Lärm</t>
  </si>
  <si>
    <t>C253B14</t>
  </si>
  <si>
    <t>C253TH14</t>
  </si>
  <si>
    <t>C253E14</t>
  </si>
  <si>
    <t>C253SK14</t>
  </si>
  <si>
    <t>C253DU</t>
  </si>
  <si>
    <t>stříbrné miny s červenou stopou a titanovou detonací</t>
  </si>
  <si>
    <t>Silberne Minen mit der roten Spur und mit der titanischen Detonation</t>
  </si>
  <si>
    <t>silver tail to titanium salute</t>
  </si>
  <si>
    <t>Horda</t>
  </si>
  <si>
    <t>blue tail to white flashing willow</t>
  </si>
  <si>
    <t>modrá stopa s bílou blikající vrbou</t>
  </si>
  <si>
    <t>Blaue spur mit der weißen blinkenden weide</t>
  </si>
  <si>
    <t>gold coconut + green strobe</t>
  </si>
  <si>
    <t>C253F14</t>
  </si>
  <si>
    <t>C253G14</t>
  </si>
  <si>
    <t>Rarach</t>
  </si>
  <si>
    <t>Dark stars</t>
  </si>
  <si>
    <t>Klaun</t>
  </si>
  <si>
    <t>CF253R14</t>
  </si>
  <si>
    <t>CF253D14</t>
  </si>
  <si>
    <t>CF253K14</t>
  </si>
  <si>
    <t>7 různobarevných efektu</t>
  </si>
  <si>
    <t>Pleskoň</t>
  </si>
  <si>
    <t>6 different color effects(effect change every shot)</t>
  </si>
  <si>
    <t>6 verschiedenfarbige wechselnde Effekte nach jedem schuss</t>
  </si>
  <si>
    <t>6 různobarevných efektu</t>
  </si>
  <si>
    <t>C363BPF</t>
  </si>
  <si>
    <t>C363PL</t>
  </si>
  <si>
    <t>C363PA</t>
  </si>
  <si>
    <t>C363DR</t>
  </si>
  <si>
    <t>CF363S</t>
  </si>
  <si>
    <t>CF363H</t>
  </si>
  <si>
    <t>C493BP</t>
  </si>
  <si>
    <t>C493BPF</t>
  </si>
  <si>
    <t>7 different color effects(effect change every shot)</t>
  </si>
  <si>
    <t>7 různobarevných efektů měnících se po každé ráně</t>
  </si>
  <si>
    <t>7 verschiedenfarbige wechselnde Effekte nach jedem schuss</t>
  </si>
  <si>
    <t>C493RU</t>
  </si>
  <si>
    <t>C493MA</t>
  </si>
  <si>
    <t>C493CR</t>
  </si>
  <si>
    <t>C493DU</t>
  </si>
  <si>
    <t>C493SW</t>
  </si>
  <si>
    <t xml:space="preserve">red tailt to super white strobe </t>
  </si>
  <si>
    <t>červená stopa s bílými blikajícími hvězdami</t>
  </si>
  <si>
    <t>Rote Spur mit weißen blinkenden Sternen</t>
  </si>
  <si>
    <t>C493GH</t>
  </si>
  <si>
    <t xml:space="preserve">colour tail to colour pearl with red/golden ghost </t>
  </si>
  <si>
    <t>barevná stopa s barevnými perlami a červeno/zlatým opožděným středem</t>
  </si>
  <si>
    <t>Farbspur mit farbigen Perlen und rot/gold verzögerten Mitte</t>
  </si>
  <si>
    <t>C493RG</t>
  </si>
  <si>
    <t>red glittering wilow</t>
  </si>
  <si>
    <t>červená blikající vrba</t>
  </si>
  <si>
    <t>Rot blinkende Weide</t>
  </si>
  <si>
    <t>CF493ST</t>
  </si>
  <si>
    <t>CF493SA</t>
  </si>
  <si>
    <t>CF493W</t>
  </si>
  <si>
    <t>CF493ME</t>
  </si>
  <si>
    <t>C503SIGA</t>
  </si>
  <si>
    <t>C503RA</t>
  </si>
  <si>
    <t>CZ,SK,PL,LT,DE,EN,HU,EST,LV,NL,DK,FR,HR,IT,SLO,SRB</t>
  </si>
  <si>
    <t>C503RO</t>
  </si>
  <si>
    <t>C503WI</t>
  </si>
  <si>
    <t xml:space="preserve">Winner </t>
  </si>
  <si>
    <t>C503BI</t>
  </si>
  <si>
    <t xml:space="preserve">Big one </t>
  </si>
  <si>
    <t>C503ME</t>
  </si>
  <si>
    <t>Meteor new age</t>
  </si>
  <si>
    <t>C643BPF</t>
  </si>
  <si>
    <t>C643BI</t>
  </si>
  <si>
    <t>Ho Chi Minh</t>
  </si>
  <si>
    <t>Meteor 64ran</t>
  </si>
  <si>
    <t>8 different color effects(effect change every shot)</t>
  </si>
  <si>
    <t>8 různobarevných efektů měnících se po každé ráně</t>
  </si>
  <si>
    <t>8 verschiedenfarbige wechselnde Effekte nach jedem schuss</t>
  </si>
  <si>
    <t>C643H</t>
  </si>
  <si>
    <t>C643M</t>
  </si>
  <si>
    <t>C643ZO</t>
  </si>
  <si>
    <t>CF643BP</t>
  </si>
  <si>
    <t>CF643M</t>
  </si>
  <si>
    <t>CF643T</t>
  </si>
  <si>
    <t>C643MN</t>
  </si>
  <si>
    <t>C643XMO</t>
  </si>
  <si>
    <t>C643XMS</t>
  </si>
  <si>
    <t>C503RO/C14</t>
  </si>
  <si>
    <t>Royal F2</t>
  </si>
  <si>
    <t>C503F/C14</t>
  </si>
  <si>
    <t>Fireworks show 50</t>
  </si>
  <si>
    <t>C503SIG/C14</t>
  </si>
  <si>
    <t>C503NID/C14</t>
  </si>
  <si>
    <t>C583MN/C14</t>
  </si>
  <si>
    <t>C1003B/C14</t>
  </si>
  <si>
    <t>C1003NO/C14</t>
  </si>
  <si>
    <t>C1163MB/C14</t>
  </si>
  <si>
    <t>Best pyro in town</t>
  </si>
  <si>
    <t>15 different color effects</t>
  </si>
  <si>
    <t>15 různobarevných efektů</t>
  </si>
  <si>
    <t>15 verschiedenfarbige Effekte</t>
  </si>
  <si>
    <t>C1003BP/C</t>
  </si>
  <si>
    <t>C1003BPF/C</t>
  </si>
  <si>
    <t>C1003NID/C</t>
  </si>
  <si>
    <t>C1003BB/C</t>
  </si>
  <si>
    <t>C1003SIG/C</t>
  </si>
  <si>
    <t>C1003DU/C</t>
  </si>
  <si>
    <t>C1003VS/C</t>
  </si>
  <si>
    <t>10 different color effects,carton contains stickers with different ages</t>
  </si>
  <si>
    <t>10 verschiedenfarbige Effekte, Karton enthält Aufkleber mit verschiedenen Alters</t>
  </si>
  <si>
    <t>CF1003P/C</t>
  </si>
  <si>
    <t>C128XMB/C</t>
  </si>
  <si>
    <t>C1503X/C</t>
  </si>
  <si>
    <t>C1503BPF/C</t>
  </si>
  <si>
    <t>C2003BP/C</t>
  </si>
  <si>
    <t>C2003U/C</t>
  </si>
  <si>
    <t>C2003F/C</t>
  </si>
  <si>
    <t>C2003SIG/C</t>
  </si>
  <si>
    <t>C2563XMF/C</t>
  </si>
  <si>
    <t>5 různobarevných efektů střídajících se po každé ráně</t>
  </si>
  <si>
    <t>C165JA</t>
  </si>
  <si>
    <t>C165P</t>
  </si>
  <si>
    <t>C255BP</t>
  </si>
  <si>
    <t>C365DU</t>
  </si>
  <si>
    <t>stříbrná stopa s titanovou explozí</t>
  </si>
  <si>
    <t>Silberne Spur mit der titanischen Explosion</t>
  </si>
  <si>
    <t>C505X/C</t>
  </si>
  <si>
    <t>C505V/C</t>
  </si>
  <si>
    <t>C755R/C</t>
  </si>
  <si>
    <t>C2505D</t>
  </si>
  <si>
    <t>Wite mine+red tail to titanium salute(each tube contains 10sh)</t>
  </si>
  <si>
    <t>Bílá mina s červenou stopou a titanovou explozí(každý moždíř obsahuje 10ran)</t>
  </si>
  <si>
    <t>Weiß Mine mit der roten Spur und mit der titanischen Detonation(each tube contains 10sh)</t>
  </si>
  <si>
    <t>C2463A</t>
  </si>
  <si>
    <t>C2463B</t>
  </si>
  <si>
    <t>C4963V</t>
  </si>
  <si>
    <t>C1675V</t>
  </si>
  <si>
    <t>C2575C</t>
  </si>
  <si>
    <t>C23MO</t>
  </si>
  <si>
    <t>C24MH</t>
  </si>
  <si>
    <t>C36MH</t>
  </si>
  <si>
    <t>silver crackling fountain+ 8 different color effects</t>
  </si>
  <si>
    <t>stříbrná práskající fontána+8 různobarevných efektů</t>
  </si>
  <si>
    <t>Silberne knallende Fontäne + 8 verschiedenfarbige Effekte</t>
  </si>
  <si>
    <t>C40FMH</t>
  </si>
  <si>
    <t>C41MSIG</t>
  </si>
  <si>
    <t>7 different color effects with titanium salute like final</t>
  </si>
  <si>
    <t>7 různobarevných efektů se salvou titanium salute na závěr</t>
  </si>
  <si>
    <t>7 verschiedenfarbige Effekte mit Titan Salute wie Finale</t>
  </si>
  <si>
    <t>C41MSIGI14</t>
  </si>
  <si>
    <t>C42MM</t>
  </si>
  <si>
    <t>C47MB</t>
  </si>
  <si>
    <t>C47MI</t>
  </si>
  <si>
    <t>C47XMT</t>
  </si>
  <si>
    <t>C47XMA</t>
  </si>
  <si>
    <t>C50MO</t>
  </si>
  <si>
    <t>Ogre</t>
  </si>
  <si>
    <t>C50MCH</t>
  </si>
  <si>
    <t>C50MO14</t>
  </si>
  <si>
    <t>C62SMT</t>
  </si>
  <si>
    <t>C63MM</t>
  </si>
  <si>
    <t>Texas Holdem</t>
  </si>
  <si>
    <t>C64MT</t>
  </si>
  <si>
    <t>C64MP</t>
  </si>
  <si>
    <t>C64MT14</t>
  </si>
  <si>
    <t>C66SMMO</t>
  </si>
  <si>
    <t>C78FMK</t>
  </si>
  <si>
    <t>2x fountains+25 different color effects</t>
  </si>
  <si>
    <t>2xfontána+25 různobarevných efektů</t>
  </si>
  <si>
    <t>2xFontäne+25 verschiedenfarbige Effekte</t>
  </si>
  <si>
    <t>C100MB</t>
  </si>
  <si>
    <t>C100MN</t>
  </si>
  <si>
    <t>C106MH</t>
  </si>
  <si>
    <t>C106MB</t>
  </si>
  <si>
    <t>C109MG</t>
  </si>
  <si>
    <t>C109MM</t>
  </si>
  <si>
    <t>C128MS/C14</t>
  </si>
  <si>
    <t>Silver Sky</t>
  </si>
  <si>
    <t>C150MF/C14</t>
  </si>
  <si>
    <t>21 different color effects</t>
  </si>
  <si>
    <t>21 různobarevných efektů</t>
  </si>
  <si>
    <t>21 verschiedenfarbige Effekte</t>
  </si>
  <si>
    <t>C200MF/C14</t>
  </si>
  <si>
    <t>C150MF/C</t>
  </si>
  <si>
    <t>C200MF/C</t>
  </si>
  <si>
    <t>C212MF/C</t>
  </si>
  <si>
    <t>C223MF/C</t>
  </si>
  <si>
    <t>C239MSIG/C</t>
  </si>
  <si>
    <t>C446MM/C</t>
  </si>
  <si>
    <t>C84MC/C</t>
  </si>
  <si>
    <t>C111MF/C</t>
  </si>
  <si>
    <t>C168MF/C</t>
  </si>
  <si>
    <t>C175MF/C</t>
  </si>
  <si>
    <t>C175MSIG/C</t>
  </si>
  <si>
    <t>Signature range 175ran</t>
  </si>
  <si>
    <t>C222MF/C</t>
  </si>
  <si>
    <t>11 různobarevné efekty</t>
  </si>
  <si>
    <t>C84ME</t>
  </si>
  <si>
    <t>17 different color effects</t>
  </si>
  <si>
    <t>17 různobarevné efekty</t>
  </si>
  <si>
    <t>17 verschiedenfarbige Effekte</t>
  </si>
  <si>
    <t>C96MB</t>
  </si>
  <si>
    <t>C180MA</t>
  </si>
  <si>
    <t>38 different color effects</t>
  </si>
  <si>
    <t>38 různobarevné efekty</t>
  </si>
  <si>
    <t>38 verschiedenfarbige Effekte</t>
  </si>
  <si>
    <t>C304MK</t>
  </si>
  <si>
    <t>40 různobarevné efekty</t>
  </si>
  <si>
    <t>R7538A</t>
  </si>
  <si>
    <t>red tail</t>
  </si>
  <si>
    <t>R7538B</t>
  </si>
  <si>
    <t xml:space="preserve">green tail   </t>
  </si>
  <si>
    <t>R7538C</t>
  </si>
  <si>
    <t>yellow tail</t>
  </si>
  <si>
    <t>R7538D</t>
  </si>
  <si>
    <t xml:space="preserve">golden tail </t>
  </si>
  <si>
    <t>R7538F</t>
  </si>
  <si>
    <t>red glitter willow tail</t>
  </si>
  <si>
    <t>R7538G</t>
  </si>
  <si>
    <t>green glitter willow tail</t>
  </si>
  <si>
    <t>R7538H</t>
  </si>
  <si>
    <t>silver glitter willow tail</t>
  </si>
  <si>
    <t>R7538CH</t>
  </si>
  <si>
    <t>crackling tail</t>
  </si>
  <si>
    <t>SS30G</t>
  </si>
  <si>
    <t>SS30CH</t>
  </si>
  <si>
    <t>SS50F</t>
  </si>
  <si>
    <t>sea blue+red glitter mine</t>
  </si>
  <si>
    <t>CX1352X1</t>
  </si>
  <si>
    <t>blue to red crossette+red to purple crossete</t>
  </si>
  <si>
    <t>CX1352X2</t>
  </si>
  <si>
    <t>red tail up to white glitter+green tail up to white glitter</t>
  </si>
  <si>
    <t>CS1352X5</t>
  </si>
  <si>
    <t>color stars+crackling tail</t>
  </si>
  <si>
    <t>CF1352X6</t>
  </si>
  <si>
    <t>red tail up to delay cracker</t>
  </si>
  <si>
    <t>CF1352X7</t>
  </si>
  <si>
    <t>five lines: whistle tail eject red glitter,white glitter,blue star</t>
  </si>
  <si>
    <t>CS1352X9</t>
  </si>
  <si>
    <t>white strobe mine red/green/blue/purple/lemon tail</t>
  </si>
  <si>
    <t>CS1352X10</t>
  </si>
  <si>
    <t>white strobe tail to purple tip</t>
  </si>
  <si>
    <t>CX1352X11</t>
  </si>
  <si>
    <t>red&amp;green time rain+comet</t>
  </si>
  <si>
    <t>CS1352X13</t>
  </si>
  <si>
    <t>silver chrys.mine red/green/blue/purple tail up to white strobe</t>
  </si>
  <si>
    <t>CS1352X14</t>
  </si>
  <si>
    <t>big gold palm comet +blue pearl</t>
  </si>
  <si>
    <t>C253CH</t>
  </si>
  <si>
    <t>white flashing fountain</t>
  </si>
  <si>
    <t>C253O</t>
  </si>
  <si>
    <t>golden crown w.golden shining pistil</t>
  </si>
  <si>
    <t>silver wave to red</t>
  </si>
  <si>
    <t>violet flower with brocade crown</t>
  </si>
  <si>
    <t>C503CH</t>
  </si>
  <si>
    <t>golden sparkling crackers</t>
  </si>
  <si>
    <t>C503I</t>
  </si>
  <si>
    <t>delay crackle willow, color falling leaves with blue</t>
  </si>
  <si>
    <t>C503L</t>
  </si>
  <si>
    <t>brocade crown to red + white strobe</t>
  </si>
  <si>
    <t>C503M</t>
  </si>
  <si>
    <t>purple green dahlia + time rain</t>
  </si>
  <si>
    <t>C503O</t>
  </si>
  <si>
    <t>C503S</t>
  </si>
  <si>
    <t>red coconut + white strobe</t>
  </si>
  <si>
    <t>C503T</t>
  </si>
  <si>
    <t>CF503X2</t>
  </si>
  <si>
    <t>white glitter/orange wave+green glitter- salvo 10sh together</t>
  </si>
  <si>
    <t>CF503X3</t>
  </si>
  <si>
    <t>red tail up to brocade crown+blue- salvo 10sh together</t>
  </si>
  <si>
    <t>CF503X4</t>
  </si>
  <si>
    <t>two side: star middle: gold willow+crackling chry- salvo 10sh together</t>
  </si>
  <si>
    <t>CF503X5</t>
  </si>
  <si>
    <t>CF503X6</t>
  </si>
  <si>
    <t>crackling+blue star mine up to orange wave+green glitter- salvo 10sh together</t>
  </si>
  <si>
    <t>CF503X7</t>
  </si>
  <si>
    <t>crackling tail up to red tail red dahlia with chrysanthemum- salvo 10sh together</t>
  </si>
  <si>
    <t>CF503X8</t>
  </si>
  <si>
    <t>blue tail up to flower crown- salvo 10sh together</t>
  </si>
  <si>
    <t>CF503X11</t>
  </si>
  <si>
    <t>crackling chry. mine tail up to brocade crown +glitter star- salvo 10sh together</t>
  </si>
  <si>
    <t>CF503X12</t>
  </si>
  <si>
    <t>blue+red glitter mine up to chrysanthemum- salvo 10sh together</t>
  </si>
  <si>
    <t>CF503X13</t>
  </si>
  <si>
    <t>brocade crown king, green, purple- salvo 10sh together</t>
  </si>
  <si>
    <t>CF503X14</t>
  </si>
  <si>
    <t>blue tail up to eject horse tail- salvo 10sh together</t>
  </si>
  <si>
    <t>CF503X15</t>
  </si>
  <si>
    <t>silver glitter bouquet up to eject silver glitter- salvo 10sh together</t>
  </si>
  <si>
    <t>CF503X16</t>
  </si>
  <si>
    <t>crackling willow + peach red - salvo 10sh together</t>
  </si>
  <si>
    <t>crackling willow+peach red - salvo 10sh together</t>
  </si>
  <si>
    <t>CF503X17</t>
  </si>
  <si>
    <t>red tip crackling willow - salvo 10sh together</t>
  </si>
  <si>
    <t>CF503X18</t>
  </si>
  <si>
    <t>titanium gold coconut + green strobe - salvo 10sh together</t>
  </si>
  <si>
    <t>titanium gold coconut+green strobe - salvo 10sh together</t>
  </si>
  <si>
    <t>CF503X19</t>
  </si>
  <si>
    <t>red crackling coconut + white strobe - salvo 10sh together</t>
  </si>
  <si>
    <t>red crackling coconut+white strobe - salvo 10sh together</t>
  </si>
  <si>
    <t>CF503X21</t>
  </si>
  <si>
    <t>purple lemon dahlia+silver chrys- salvo 10sh together</t>
  </si>
  <si>
    <t>CF503X22</t>
  </si>
  <si>
    <t>green glittering willow+golden strobe- salvo 10sh together</t>
  </si>
  <si>
    <t>CF503X23</t>
  </si>
  <si>
    <t>white strobe mine to red strobe- salvo 10sh together</t>
  </si>
  <si>
    <t>CF503X24</t>
  </si>
  <si>
    <t>brocade+white strobe- salvo 10sh together</t>
  </si>
  <si>
    <t>CF503X25</t>
  </si>
  <si>
    <t>king brocade pistil + purple - salvo 10sh together</t>
  </si>
  <si>
    <t>CF503X27</t>
  </si>
  <si>
    <t>red green blue + time rain - salvo 10sh together</t>
  </si>
  <si>
    <t>red green blue+time rain - salvo 10sh together</t>
  </si>
  <si>
    <t>CF503X28</t>
  </si>
  <si>
    <t>red coconut + green+silver chrys - salvo 10sh together</t>
  </si>
  <si>
    <t>red coconut+green+silver chrys - salvo 10sh together</t>
  </si>
  <si>
    <t>CF503X29</t>
  </si>
  <si>
    <t>king brocade + orange pearl- salvo 10sh together</t>
  </si>
  <si>
    <t>CF503X30</t>
  </si>
  <si>
    <t>red comet tail, red tail to red wave white strobing - salvo 10sh together</t>
  </si>
  <si>
    <t>CF503X31</t>
  </si>
  <si>
    <t>brocade king w/crackling- salvo 10sh together</t>
  </si>
  <si>
    <t>CF503X32</t>
  </si>
  <si>
    <t>sunflower w/red blue, red strobing tail - salvo 10sh together</t>
  </si>
  <si>
    <t>CF503X48</t>
  </si>
  <si>
    <t>purple crossette + and purple tail to brocade crown with purple dahlia - salvo 10sh together</t>
  </si>
  <si>
    <t>CF503X54</t>
  </si>
  <si>
    <t>purple tail to purple crossette(C type-open on midlle)</t>
  </si>
  <si>
    <t>CS503X8</t>
  </si>
  <si>
    <t>blue tail up to flower crown</t>
  </si>
  <si>
    <t>CS503X9</t>
  </si>
  <si>
    <t>cracking chry + blue mine tail up to gold comet</t>
  </si>
  <si>
    <t>cracking chry+blue mine tail up to gold comet</t>
  </si>
  <si>
    <t>CS503X10</t>
  </si>
  <si>
    <t>silver tail up to red wave with cracker</t>
  </si>
  <si>
    <t>CS503X11</t>
  </si>
  <si>
    <t>crackling chry. mine tail up to brocade crown +glitter star</t>
  </si>
  <si>
    <t>CS503X12</t>
  </si>
  <si>
    <t>blue+red glitter mine up to chrysanthemum</t>
  </si>
  <si>
    <t>CS503X13</t>
  </si>
  <si>
    <t>brocade crown king, green, purple</t>
  </si>
  <si>
    <t>CS503X14</t>
  </si>
  <si>
    <t>blue tail up to eject horse tail</t>
  </si>
  <si>
    <t>CS503X15</t>
  </si>
  <si>
    <t>silver glitter bouquet up to eject silver glitter</t>
  </si>
  <si>
    <t>CS503X16</t>
  </si>
  <si>
    <t xml:space="preserve">crackling willow + peach red </t>
  </si>
  <si>
    <t xml:space="preserve">crackling willow+peach red </t>
  </si>
  <si>
    <t>CS503X17</t>
  </si>
  <si>
    <t xml:space="preserve">red tip crackling willow </t>
  </si>
  <si>
    <t>CS503X18</t>
  </si>
  <si>
    <t xml:space="preserve">titanium gold coconut + green strobe </t>
  </si>
  <si>
    <t xml:space="preserve">titanium gold coconut+green strobe </t>
  </si>
  <si>
    <t>CS503X19</t>
  </si>
  <si>
    <t xml:space="preserve">red crackling coconut + white strobe </t>
  </si>
  <si>
    <t xml:space="preserve">red crackling coconut+white strobe </t>
  </si>
  <si>
    <t>CS503X20</t>
  </si>
  <si>
    <t>brocade crackling flower+blue pearl</t>
  </si>
  <si>
    <t>CS503X21</t>
  </si>
  <si>
    <t>purple lemon dahlia + silver chrysanthemum</t>
  </si>
  <si>
    <t>purple lemon dahlia+silver chrys.</t>
  </si>
  <si>
    <t>CS503X22</t>
  </si>
  <si>
    <t>green glittering willow + green strobe</t>
  </si>
  <si>
    <t>green glittering willow+green strobe</t>
  </si>
  <si>
    <t>CS503X23</t>
  </si>
  <si>
    <t>white strobe mine to red strobe</t>
  </si>
  <si>
    <t>CS503X25</t>
  </si>
  <si>
    <t xml:space="preserve">king brocade pistil + purple </t>
  </si>
  <si>
    <t xml:space="preserve">king brocade pistil+purple </t>
  </si>
  <si>
    <t>CS503X26</t>
  </si>
  <si>
    <t xml:space="preserve">pink+time rain </t>
  </si>
  <si>
    <t>CS503X27</t>
  </si>
  <si>
    <t xml:space="preserve">red green blue + time rain </t>
  </si>
  <si>
    <t xml:space="preserve">red green blue+time rain </t>
  </si>
  <si>
    <t>CS503X28</t>
  </si>
  <si>
    <t>red coconut + green + silver chrysanthemum</t>
  </si>
  <si>
    <t>red coconut+green+silver chrys.</t>
  </si>
  <si>
    <t>CS503X29</t>
  </si>
  <si>
    <t>king brocade + orange pearl</t>
  </si>
  <si>
    <t>CS503X32</t>
  </si>
  <si>
    <t xml:space="preserve">sunflower w/red blue, red strobing tail </t>
  </si>
  <si>
    <t>CS503X33</t>
  </si>
  <si>
    <t>blue mine tail up to red comet star</t>
  </si>
  <si>
    <t>CS503X35</t>
  </si>
  <si>
    <t>red comet rain</t>
  </si>
  <si>
    <t>CS503X36</t>
  </si>
  <si>
    <t>red,green,yellow,white,purple mine</t>
  </si>
  <si>
    <t>CS503X37</t>
  </si>
  <si>
    <t>gold glitter willow with blue bouquet</t>
  </si>
  <si>
    <t>CS503X38</t>
  </si>
  <si>
    <t>brocade crown bouquet tup to brocade crown king</t>
  </si>
  <si>
    <t>CS503X55</t>
  </si>
  <si>
    <t>golden brocade mine</t>
  </si>
  <si>
    <t>CV503X40</t>
  </si>
  <si>
    <t>1-20sh crackling willow tail+red strobe mine, 21-50sh crackling willow+red strobe</t>
  </si>
  <si>
    <t>CV503X41</t>
  </si>
  <si>
    <t xml:space="preserve">blue pistil silver fish </t>
  </si>
  <si>
    <t>CV503X42</t>
  </si>
  <si>
    <t>green time rain</t>
  </si>
  <si>
    <t>CV503X43</t>
  </si>
  <si>
    <t>red coconut+crackling one side/ green coconut+crackling one side</t>
  </si>
  <si>
    <t>CV503X44</t>
  </si>
  <si>
    <t xml:space="preserve">red wave tail </t>
  </si>
  <si>
    <t>CV503X45</t>
  </si>
  <si>
    <t>lemon tail+lemon coconut+silver chrysanthemum</t>
  </si>
  <si>
    <t>lemon tail+lemon coconut+silver chrys.</t>
  </si>
  <si>
    <t>CW503X14</t>
  </si>
  <si>
    <t>CW503X47</t>
  </si>
  <si>
    <t>two sides:silver tail up to flower crown with green glitter,middle:red tail up to red plam tree with cracker</t>
  </si>
  <si>
    <t>CX503X46</t>
  </si>
  <si>
    <t xml:space="preserve">blue tail to blue stars white strobing, red stars white strobing </t>
  </si>
  <si>
    <t>CX503X49</t>
  </si>
  <si>
    <t>red green crossette</t>
  </si>
  <si>
    <t>silver flashing fountain</t>
  </si>
  <si>
    <t>CSS8C</t>
  </si>
  <si>
    <t>golden tail to golden crossette-8sh salvo together</t>
  </si>
  <si>
    <t>CSS13A</t>
  </si>
  <si>
    <t>brocade crown mine-13sh salvo together</t>
  </si>
  <si>
    <t>CSS13B</t>
  </si>
  <si>
    <t>golden tail to horse tail-13sh salvo together</t>
  </si>
  <si>
    <t>CSS13D</t>
  </si>
  <si>
    <t>silver tail to silver crackling willow-13sh salvo together</t>
  </si>
  <si>
    <t>CSS13E</t>
  </si>
  <si>
    <t>red tail with wave and flashing center-13sh salvo together</t>
  </si>
  <si>
    <t>CSS13F</t>
  </si>
  <si>
    <t>golden tail with golden crossette (C mortar)</t>
  </si>
  <si>
    <t>SR1930A</t>
  </si>
  <si>
    <t>brocade crown tail up to brocade crown-19sh salvo together</t>
  </si>
  <si>
    <t>SR1930B</t>
  </si>
  <si>
    <t>silver tail up to silver crackling willow-19sh salvo together</t>
  </si>
  <si>
    <t>SR1930D</t>
  </si>
  <si>
    <t>golden/brocade crown mine-19sh salvo together</t>
  </si>
  <si>
    <t>SR1930E</t>
  </si>
  <si>
    <t>red glittering mine to red comet-19sh salvo together</t>
  </si>
  <si>
    <t>SR1930G</t>
  </si>
  <si>
    <t>silver glittering mine w.green glittering comet-19sh salvo together</t>
  </si>
  <si>
    <t>SR1930H</t>
  </si>
  <si>
    <t>silver glittering mine to red crossette-19sh salvo together</t>
  </si>
  <si>
    <t>SR1930CH</t>
  </si>
  <si>
    <t>silver glittering mine to green crossette-19sh salvo together</t>
  </si>
  <si>
    <t>SR1930I</t>
  </si>
  <si>
    <t>lemon,pink,sea blue w.silver glittering mine-19sh salvo together</t>
  </si>
  <si>
    <t>SR1930J</t>
  </si>
  <si>
    <t>silver comet w.red tip-19sh salvo together</t>
  </si>
  <si>
    <t>SR1930K</t>
  </si>
  <si>
    <t>blue mine w.green comet-19sh salvo together</t>
  </si>
  <si>
    <t>SR1930L</t>
  </si>
  <si>
    <t>red glittering mine to golden glittering comet w.red glittering tip-19sh salvo together</t>
  </si>
  <si>
    <t>SR1930M</t>
  </si>
  <si>
    <t>silver glittering mine w.purple comet-19sh salvo together</t>
  </si>
  <si>
    <t>SR1930O</t>
  </si>
  <si>
    <t>red glittering tail to silver glittering waterfall-19sh salvo together</t>
  </si>
  <si>
    <t>SR1930R</t>
  </si>
  <si>
    <t>whistling tail w.red mine -19sh salvo together</t>
  </si>
  <si>
    <t>SR1930S</t>
  </si>
  <si>
    <t>silver tiger tail and red crossette-19sh salvo together</t>
  </si>
  <si>
    <t>SR550A</t>
  </si>
  <si>
    <t>red strobing tail to red strobing willow-5sh salvo together</t>
  </si>
  <si>
    <t>SR550C</t>
  </si>
  <si>
    <t>crackling tail-5sh salvo together</t>
  </si>
  <si>
    <t>SR550F</t>
  </si>
  <si>
    <t>green crossette mine-5sh salvo together</t>
  </si>
  <si>
    <t>SR550G</t>
  </si>
  <si>
    <t>brocade tail-5sh salvo together</t>
  </si>
  <si>
    <t>SR550H</t>
  </si>
  <si>
    <t>purple red lemon green white crossette mine-5sh salvo together</t>
  </si>
  <si>
    <t>SR550CH</t>
  </si>
  <si>
    <t>crackling crossette mine-5sh salvo together</t>
  </si>
  <si>
    <t>S2A</t>
  </si>
  <si>
    <t>delay cracker willow</t>
  </si>
  <si>
    <t>S2B</t>
  </si>
  <si>
    <t>red chrysanthemum</t>
  </si>
  <si>
    <t>S2E</t>
  </si>
  <si>
    <t>silver strobe willow</t>
  </si>
  <si>
    <t>S2G</t>
  </si>
  <si>
    <t>S2H</t>
  </si>
  <si>
    <t>green tail to green wave w.crackling</t>
  </si>
  <si>
    <t>S2CH</t>
  </si>
  <si>
    <t>S2J</t>
  </si>
  <si>
    <t>silver tail to silver palm tree</t>
  </si>
  <si>
    <t>S2K</t>
  </si>
  <si>
    <t>golden Ti-willow</t>
  </si>
  <si>
    <t>S2N</t>
  </si>
  <si>
    <t>silver tail to silver strobe</t>
  </si>
  <si>
    <t>S2T</t>
  </si>
  <si>
    <t>S2M</t>
  </si>
  <si>
    <t>Shell 50mm mix carton</t>
  </si>
  <si>
    <t>Mixed carton contains 1pack of S2A,B,D,E,F,G,H,CH,J,L,N,O</t>
  </si>
  <si>
    <t>silver tail to red wave w.crackling</t>
  </si>
  <si>
    <t>red peony w.silver palm core</t>
  </si>
  <si>
    <t>Shell 75mm delay cracker wilow</t>
  </si>
  <si>
    <t>water color peony w.brocade crown pistil</t>
  </si>
  <si>
    <t>chrysanthemum to purple</t>
  </si>
  <si>
    <t>Shell 75mm golden ti wilow</t>
  </si>
  <si>
    <t>Shell 75mm brocade crown crossete</t>
  </si>
  <si>
    <t>brocade crown crossette</t>
  </si>
  <si>
    <t>purple wave with green glitter</t>
  </si>
  <si>
    <t>pink dahlia w.pink pistil</t>
  </si>
  <si>
    <t>S3O</t>
  </si>
  <si>
    <t>brocade crown w.white glitter</t>
  </si>
  <si>
    <t>purple ring with chrysanthemum pistil</t>
  </si>
  <si>
    <t>Shell 75mm blood red+silver strobe</t>
  </si>
  <si>
    <t>blood red + silver strobe</t>
  </si>
  <si>
    <t>blood red+silver strobe</t>
  </si>
  <si>
    <t>S3U</t>
  </si>
  <si>
    <t>colorful chrysanthemum</t>
  </si>
  <si>
    <t>red coco w.silver strobing pistil</t>
  </si>
  <si>
    <t>red wave crossette</t>
  </si>
  <si>
    <t>S3T</t>
  </si>
  <si>
    <t>S3A/P</t>
  </si>
  <si>
    <t>S3B/P</t>
  </si>
  <si>
    <t>S3C/P</t>
  </si>
  <si>
    <t>crown chrysanthemum to blue</t>
  </si>
  <si>
    <t>S3D/P</t>
  </si>
  <si>
    <t>S3E/P</t>
  </si>
  <si>
    <t>S3F/P</t>
  </si>
  <si>
    <t>S3G/P</t>
  </si>
  <si>
    <t>S3H/P</t>
  </si>
  <si>
    <t>S3IA/P</t>
  </si>
  <si>
    <t>S3J/P</t>
  </si>
  <si>
    <t>S3L/P</t>
  </si>
  <si>
    <t>S3N/P</t>
  </si>
  <si>
    <t>S3P/P</t>
  </si>
  <si>
    <t>S3K/P</t>
  </si>
  <si>
    <t>S3R/P</t>
  </si>
  <si>
    <t>S3S/P</t>
  </si>
  <si>
    <t>S3V/P</t>
  </si>
  <si>
    <t>S3W/P</t>
  </si>
  <si>
    <t>lemon crossette+purple crossette</t>
  </si>
  <si>
    <t>S3X/P</t>
  </si>
  <si>
    <t>S3M/P</t>
  </si>
  <si>
    <t>Shell 75mm mix karton-premiun quality</t>
  </si>
  <si>
    <t>Mixed carton contains-premiun quality(each box including: silver tail to red wave w.crackling, flower crown chrysant.to blue, silver tail to silver strobe, delay cracker willow, golden ti willow, silver tail to silver palm tree)</t>
  </si>
  <si>
    <t>red/lemon dahlia</t>
  </si>
  <si>
    <t>red wave w.crackling</t>
  </si>
  <si>
    <t>Shell 100mm glitter.palm tree</t>
  </si>
  <si>
    <t>glitter.palm tree</t>
  </si>
  <si>
    <t>gold titanium willow w.assorted color glitter</t>
  </si>
  <si>
    <t>titanium chrysanthemum crackling to titanium crackling palm</t>
  </si>
  <si>
    <t>flower crown with red glitter pistil</t>
  </si>
  <si>
    <t>half red/green crossette</t>
  </si>
  <si>
    <t>Shell 100mm crackling nishiki kamuro</t>
  </si>
  <si>
    <t>crackling nishiki kamuro</t>
  </si>
  <si>
    <t>Shell 100mm silver crown w.red pistil</t>
  </si>
  <si>
    <t>silver crown w.red pistil</t>
  </si>
  <si>
    <t>Shell 100mm blood red+silver strobe</t>
  </si>
  <si>
    <t>Shell 100mm golden ti wilow</t>
  </si>
  <si>
    <t>Shell 100mm silver strobe</t>
  </si>
  <si>
    <t>silver strobe</t>
  </si>
  <si>
    <t>Shell 100mm silver tail to silver palm tree</t>
  </si>
  <si>
    <t>Shell 100mm special strobe red</t>
  </si>
  <si>
    <t>special strobe red</t>
  </si>
  <si>
    <t>green peony with corrola pistil with brocade trunk</t>
  </si>
  <si>
    <t>Shell 100mm silver wave to blue w.crackling</t>
  </si>
  <si>
    <t>silver wave to blue w.crackling</t>
  </si>
  <si>
    <t>purple crossette</t>
  </si>
  <si>
    <t>Shell 100mm golden wave to red</t>
  </si>
  <si>
    <t>golden wave to red</t>
  </si>
  <si>
    <t>silver willow w.red pistil</t>
  </si>
  <si>
    <t>silver tail to red peony w.silver palm pistil</t>
  </si>
  <si>
    <t xml:space="preserve">red gamboge to red to blue chrys.to red spider ring </t>
  </si>
  <si>
    <t>red peony to brocade</t>
  </si>
  <si>
    <t>palm pistil with water peony</t>
  </si>
  <si>
    <t>blue ring with chrysanthemum pistil</t>
  </si>
  <si>
    <t>Shell 100mm red strobe willow</t>
  </si>
  <si>
    <t>red strobe willow</t>
  </si>
  <si>
    <t>Shell 100mm red three swords man</t>
  </si>
  <si>
    <t>red three swords man</t>
  </si>
  <si>
    <t>orange wave to green</t>
  </si>
  <si>
    <t>Shell 100mm brocade crown to color</t>
  </si>
  <si>
    <t>brocade crown to color</t>
  </si>
  <si>
    <t>S4T</t>
  </si>
  <si>
    <t>Shell 100mm silver tail to titanium salute</t>
  </si>
  <si>
    <t>S4MB</t>
  </si>
  <si>
    <t>Mixed carton contains:  S4W golden wave to red,  S4N/A golden ti willow, S4R green peony with corrola pistil with brocade trunk,  S4C glitter.palm tree</t>
  </si>
  <si>
    <t>S4A/P</t>
  </si>
  <si>
    <t>S4B/P</t>
  </si>
  <si>
    <t>S4C/P</t>
  </si>
  <si>
    <t>S4D/P</t>
  </si>
  <si>
    <t>S4E/P</t>
  </si>
  <si>
    <t>S4F/P</t>
  </si>
  <si>
    <t>S4H/P</t>
  </si>
  <si>
    <t>S4CH/P</t>
  </si>
  <si>
    <t>S4I/P</t>
  </si>
  <si>
    <t>S4J/P</t>
  </si>
  <si>
    <t>S4K/P</t>
  </si>
  <si>
    <t>S4L/P</t>
  </si>
  <si>
    <t>S4NA/P</t>
  </si>
  <si>
    <t>S4O/P</t>
  </si>
  <si>
    <t>S4P/P</t>
  </si>
  <si>
    <t>S4Q/P</t>
  </si>
  <si>
    <t>S4R/P</t>
  </si>
  <si>
    <t>S4S/P</t>
  </si>
  <si>
    <t>S4U/P</t>
  </si>
  <si>
    <t>S4V/P</t>
  </si>
  <si>
    <t>S4W/P</t>
  </si>
  <si>
    <t>S4X/P</t>
  </si>
  <si>
    <t>S4Y/P</t>
  </si>
  <si>
    <t>S4Z/P</t>
  </si>
  <si>
    <t>S4Z1/P</t>
  </si>
  <si>
    <t>S4Z2/P</t>
  </si>
  <si>
    <t>S4Z3/P</t>
  </si>
  <si>
    <t>S4Z4/P</t>
  </si>
  <si>
    <t>S4Z5/P</t>
  </si>
  <si>
    <t>S4Z6/P</t>
  </si>
  <si>
    <t>S4Z7/P</t>
  </si>
  <si>
    <t>S4Z8/P</t>
  </si>
  <si>
    <t>S4M/P</t>
  </si>
  <si>
    <t>Shell 100mm mix carton-premium quality</t>
  </si>
  <si>
    <t>Mixed carton contains-premium quality-each box including: S4L blood red+silver strobe, S4CH flower crown with red glitter pistil, S4Z/8 brocade crown to color, S4Z/7 orange wave to green</t>
  </si>
  <si>
    <t xml:space="preserve">crackling crossette </t>
  </si>
  <si>
    <t xml:space="preserve">Shell 125mm golden ti wilow </t>
  </si>
  <si>
    <t xml:space="preserve">golden Ti-willow </t>
  </si>
  <si>
    <t>silver glittering</t>
  </si>
  <si>
    <t>Shell 125mm brocade crown</t>
  </si>
  <si>
    <t>blue pistil silver ring to brocade crown with ring chrysanthemum pistil</t>
  </si>
  <si>
    <t>brocade delay cracker to blue with green glitter pistil</t>
  </si>
  <si>
    <t>Mixed carton contains: S5K brocade crown(3pc), S5Q brocade crown with eight angle chrysanthemum(3pc), S5N blue pistil silver ring to brocade crown with ring chrysanthemum pistil(3pc), S5O brocade delay cracker to blue with green glitter pistil(3pc), S5P silver to red swimming stars w/blue pistil (2pc), S5B Crackling crosette(2pc)</t>
  </si>
  <si>
    <t>S5B/P</t>
  </si>
  <si>
    <t>S5C/P</t>
  </si>
  <si>
    <t xml:space="preserve">silver spider w.strobe pistil </t>
  </si>
  <si>
    <t>S5E/P</t>
  </si>
  <si>
    <t xml:space="preserve">Shell 125mm silver glittering red coco crossette </t>
  </si>
  <si>
    <t xml:space="preserve">silver glittering red coco crossette </t>
  </si>
  <si>
    <t>S5F/P</t>
  </si>
  <si>
    <t>S5G/P</t>
  </si>
  <si>
    <t>S5I/P</t>
  </si>
  <si>
    <t>S5K/P</t>
  </si>
  <si>
    <t>S5N/P</t>
  </si>
  <si>
    <t>S5O/P</t>
  </si>
  <si>
    <t>S5M/P</t>
  </si>
  <si>
    <t>Shell 125mm mix carton-premium quality</t>
  </si>
  <si>
    <t>green ring w.chry crackling crossette</t>
  </si>
  <si>
    <t>red green yellow falling leaves</t>
  </si>
  <si>
    <t>chrysanthemum to red wandering star</t>
  </si>
  <si>
    <t>super horse tail</t>
  </si>
  <si>
    <t>time rain willow fountain</t>
  </si>
  <si>
    <t>Shell 150mm ghost silver to red</t>
  </si>
  <si>
    <t>ghost silver to red</t>
  </si>
  <si>
    <t>color chrysanthemum</t>
  </si>
  <si>
    <t>Shell 150mm golden ti wilow</t>
  </si>
  <si>
    <t>red glitter w.brocade crown</t>
  </si>
  <si>
    <t>silver tail to thousand red waves</t>
  </si>
  <si>
    <t>Shell 150mm silver glittering red coco crossettte</t>
  </si>
  <si>
    <t>silver glittering red coco crossettte</t>
  </si>
  <si>
    <t xml:space="preserve">silver tail to silver palm </t>
  </si>
  <si>
    <t>nishiki kamuro flash pistil</t>
  </si>
  <si>
    <t>Shell 150mm mix carton</t>
  </si>
  <si>
    <t>S6C/P</t>
  </si>
  <si>
    <t>S6E/P</t>
  </si>
  <si>
    <t>S6F/P</t>
  </si>
  <si>
    <t>gold titanium willow with crackling pistil</t>
  </si>
  <si>
    <t>S6H/P</t>
  </si>
  <si>
    <t xml:space="preserve">golden wave w.purple peony double rings to special orange strobing pistil </t>
  </si>
  <si>
    <t>S6K/P</t>
  </si>
  <si>
    <t>S6S/P</t>
  </si>
  <si>
    <t>S6T/P</t>
  </si>
  <si>
    <t>S6X/P</t>
  </si>
  <si>
    <t>9/1</t>
  </si>
  <si>
    <t>S6B/P(9)</t>
  </si>
  <si>
    <t>S6G/P(9)</t>
  </si>
  <si>
    <t>S6I/P(9)</t>
  </si>
  <si>
    <t>S6R/P(9)</t>
  </si>
  <si>
    <t>M2</t>
  </si>
  <si>
    <t xml:space="preserve">2“ Fabric glass mortar </t>
  </si>
  <si>
    <t>indestructible, thin mortar, height 38cm, thickness 2,2mm</t>
  </si>
  <si>
    <t>nezničitelný, tenkostěnný moždíř, výška 38cm,síla stěny 2,2mm</t>
  </si>
  <si>
    <t>Unverwüstlich, dünnwandig mörser, höhe 38cm, wandstärke 2,2mm</t>
  </si>
  <si>
    <t>M25</t>
  </si>
  <si>
    <t>indestructible, thin mortar, height 40cm, thickness 2,5mm</t>
  </si>
  <si>
    <t>nezničitelný, tenkostěnný moždíř, výška 40cm,síla stěny 2,5mm</t>
  </si>
  <si>
    <t>Unverwüstlich, dünnwandig mörser, höhe 40cm, wandstärke 2,5mm</t>
  </si>
  <si>
    <t>M3</t>
  </si>
  <si>
    <t>3“ Fabric glass mortar</t>
  </si>
  <si>
    <t>indestructible, thin mortar, height 50cm, thickness 3mm</t>
  </si>
  <si>
    <t>nezničitelný, tenkostěnný moždíř, výška 48cm,síla stěny 2,5mm</t>
  </si>
  <si>
    <t>Unverwüstlich, dünnwandig mörser, höhe 48cm, wandstärke 2,5mm</t>
  </si>
  <si>
    <t>M4</t>
  </si>
  <si>
    <t>4“ Fabric glass mortar</t>
  </si>
  <si>
    <t>indestructible, thin mortar, height 60cm, thickness 3,5mm</t>
  </si>
  <si>
    <t>Unverwüstlich, dünnwandig mörser, höhe 58cm, wandstärke 3mm</t>
  </si>
  <si>
    <t>M5</t>
  </si>
  <si>
    <t>5" Fabric glass mortar</t>
  </si>
  <si>
    <t>indestructible, thin mortar, height 80cm, thickness 4mm</t>
  </si>
  <si>
    <t>nezničitelný, tenkostěnný moždíř, výška 80cm, síla stěny 4mm</t>
  </si>
  <si>
    <t>Unverwüstlich, dünnwandig mörser, höhe 80cm, wandstärke 4mm</t>
  </si>
  <si>
    <t>M6</t>
  </si>
  <si>
    <t>6“ Fabric glass mortar</t>
  </si>
  <si>
    <t>indestructible, thin mortar, height 90cm, thickness 4mm</t>
  </si>
  <si>
    <t>nezničitelný, tenkostěnný moždíř, výška 90cm, síla stěny 4mm</t>
  </si>
  <si>
    <t>Unverwüstlich, dünnwandig mörser, höhe 90cm, wandstärke 4mm</t>
  </si>
  <si>
    <t>IV5M</t>
  </si>
  <si>
    <t xml:space="preserve">silver fire 5m-electric iniciation </t>
  </si>
  <si>
    <t>stříbrný výstřik 5m- elektrický odpal</t>
  </si>
  <si>
    <t>Silberne spritzen 5m - elektrisch Abschuss</t>
  </si>
  <si>
    <t>IV8M</t>
  </si>
  <si>
    <t>CZ,SK,PL,DE</t>
  </si>
  <si>
    <t>silver fire 8m-electric iniciation</t>
  </si>
  <si>
    <t>stříbrný výstřik 8m- elektrický odpal</t>
  </si>
  <si>
    <t>Silberne spritzen 8m - elektrisch Abschuss</t>
  </si>
  <si>
    <t>IF220A</t>
  </si>
  <si>
    <t>Interiérová fontána 2m,20sec</t>
  </si>
  <si>
    <t>silver fountain-without smoke, effect high 2m,electric iniciation</t>
  </si>
  <si>
    <t>stříbrná fontána-bez kouře, 2m výška efektu,elektrický odpal</t>
  </si>
  <si>
    <t>Silberne fontäne-ohne rauch, 2m höhe effekte, elektrisch Abschuss</t>
  </si>
  <si>
    <t>IF3MA</t>
  </si>
  <si>
    <t>Interiérová fontána 3m,30sec</t>
  </si>
  <si>
    <t>silver fountain-without smoke, effect high 3m,electric iniciation</t>
  </si>
  <si>
    <t>stříbrná fontána-bez kouře, 3m výška efektu,elektrický odpal</t>
  </si>
  <si>
    <t>Silberne fontäne-ohne rauch, 3m höhe effekte, elektrisch Abschuss</t>
  </si>
  <si>
    <t>10/5</t>
  </si>
  <si>
    <t>silver fountain-without smoke, effect high 5m,electric iniciation</t>
  </si>
  <si>
    <t>stříbrná fontána-bez kouře, 5m výška efektu,elektrický odpal</t>
  </si>
  <si>
    <t>Silberne fontäne-ohne rauch, 5m höhe effekte, elektrisch Abschuss</t>
  </si>
  <si>
    <t>IF560B</t>
  </si>
  <si>
    <t>Interiérová fontána 5m,60sec</t>
  </si>
  <si>
    <t>IS60S</t>
  </si>
  <si>
    <t>double heart with 8 pcs silver fountain</t>
  </si>
  <si>
    <t>dvojité srdce s 8 fontánami</t>
  </si>
  <si>
    <t>Doppelte herze mit 8 fontänen</t>
  </si>
  <si>
    <t>VV9M</t>
  </si>
  <si>
    <t>Outdoor waterfall 20m lenght,silver color(9m effect height)</t>
  </si>
  <si>
    <t>venkovní vodopád 20m délka, stříbrná barva(výška efektu 9m)</t>
  </si>
  <si>
    <t>Außen wasserfall 20m länge, silberne farbe, 9m höhe effekte</t>
  </si>
  <si>
    <t>EP03M</t>
  </si>
  <si>
    <t>Elektrický palník 30cm</t>
  </si>
  <si>
    <t>20/200</t>
  </si>
  <si>
    <t>electric ignitor, lenght 30cm</t>
  </si>
  <si>
    <t>elektrický palník, délka 30cm</t>
  </si>
  <si>
    <t>elektrische anzünder, 30cm länge</t>
  </si>
  <si>
    <t>EP1M</t>
  </si>
  <si>
    <t>Elektrický palník 100cm</t>
  </si>
  <si>
    <t>20/50</t>
  </si>
  <si>
    <t>electric ignitor, lenght 100cm</t>
  </si>
  <si>
    <t>elektrický palník, délka 100cm</t>
  </si>
  <si>
    <t>elektrische anzünder, 100cm länge</t>
  </si>
  <si>
    <t>EP2M</t>
  </si>
  <si>
    <t xml:space="preserve">Elektrický palník 200cm </t>
  </si>
  <si>
    <t>electric ignitor, lenght 200cm</t>
  </si>
  <si>
    <t>elektrický palník, délka 200cm</t>
  </si>
  <si>
    <t>elektrische anzünder, 200cm länge</t>
  </si>
  <si>
    <t>EP3M</t>
  </si>
  <si>
    <t xml:space="preserve">Elektrický palník 300cm </t>
  </si>
  <si>
    <t>20/25</t>
  </si>
  <si>
    <t>electric ignitor, lenght 300cm</t>
  </si>
  <si>
    <t>elektrický palník, délka 300cm</t>
  </si>
  <si>
    <t>elektrische anzünder, 300cm länge</t>
  </si>
  <si>
    <t>EP5M</t>
  </si>
  <si>
    <t xml:space="preserve">Elektrický palník 500cm </t>
  </si>
  <si>
    <t>electric ignitor, lenght 500cm</t>
  </si>
  <si>
    <t>elektrický palník, délka 500cm</t>
  </si>
  <si>
    <t>elektrische anzünder, 500cm länge</t>
  </si>
  <si>
    <t>PK1</t>
  </si>
  <si>
    <t>black plastic connector-pin, made as a link between products</t>
  </si>
  <si>
    <t xml:space="preserve">černý plastový konektor- samec, slouží pro sériové propojení výrobků </t>
  </si>
  <si>
    <t>schwarz Kunststoff-Stecker-männchen, für serielle verbindung</t>
  </si>
  <si>
    <t>PK2</t>
  </si>
  <si>
    <t>black plastic connector-socket, made as a link between products</t>
  </si>
  <si>
    <t xml:space="preserve">červený plastový konektor- samice, slouží pro sériové propojení výrobků  </t>
  </si>
  <si>
    <t>roten Kunststoff-Stecker-weibchen, für serielle verbindung</t>
  </si>
  <si>
    <t>ED500M</t>
  </si>
  <si>
    <t>Cu twin cable 0,6mm inner diameter, 1,1mm outer diameter, for electric fireworks firing</t>
  </si>
  <si>
    <t>měděná dvojlinka 0,6mm vnitřní průměr, 1,1mm venmkovní průměr, pro elektrický odpal ohňostrojů</t>
  </si>
  <si>
    <t xml:space="preserve">Kupferpaar 0,6mm, innen durchmesser, 1,1mm außen durchmesser, für elektrische Detonation von Feuerwerk </t>
  </si>
  <si>
    <t>DF10CM E</t>
  </si>
  <si>
    <t>Dortová fontána 10cm dummy</t>
  </si>
  <si>
    <t>VIP dummy</t>
  </si>
  <si>
    <t>C2520VI E</t>
  </si>
  <si>
    <t>C4920SIG E</t>
  </si>
  <si>
    <t>CF4920J E</t>
  </si>
  <si>
    <t>C9020X E</t>
  </si>
  <si>
    <t>Xmas dream dummy</t>
  </si>
  <si>
    <t>CF10020G E</t>
  </si>
  <si>
    <t>Gnome dummy</t>
  </si>
  <si>
    <t>C13020B E</t>
  </si>
  <si>
    <t>Bubble man dummy</t>
  </si>
  <si>
    <t>C13420B E</t>
  </si>
  <si>
    <t>Bobr dummy</t>
  </si>
  <si>
    <t>C13420H E</t>
  </si>
  <si>
    <t>Hell dummy</t>
  </si>
  <si>
    <t>C26820F/C E</t>
  </si>
  <si>
    <t>Fireworks show 268 dummy</t>
  </si>
  <si>
    <t>C8825M E</t>
  </si>
  <si>
    <t>Motorhead warior dummy</t>
  </si>
  <si>
    <t>C8825PA E</t>
  </si>
  <si>
    <t>Partička dummy</t>
  </si>
  <si>
    <t>C8925N E</t>
  </si>
  <si>
    <t>Night Chaos dummy</t>
  </si>
  <si>
    <t>C10025S E</t>
  </si>
  <si>
    <t>Starfire warrior dummy</t>
  </si>
  <si>
    <t>C9825SIG/C E</t>
  </si>
  <si>
    <t>Signature range 98ran dummy</t>
  </si>
  <si>
    <t>C493RU E</t>
  </si>
  <si>
    <t>Rusbaby dummy</t>
  </si>
  <si>
    <t>CF493ME E</t>
  </si>
  <si>
    <t>Mechanic dummy</t>
  </si>
  <si>
    <t>C503RA E</t>
  </si>
  <si>
    <t>C643BI E</t>
  </si>
  <si>
    <t>CF643M E</t>
  </si>
  <si>
    <t>Mutant dummy</t>
  </si>
  <si>
    <t>C643MN E</t>
  </si>
  <si>
    <t>New fire Power dummy</t>
  </si>
  <si>
    <t>C165P E</t>
  </si>
  <si>
    <t>Pandora dummy</t>
  </si>
  <si>
    <t>C365DU E</t>
  </si>
  <si>
    <t>C36MH E</t>
  </si>
  <si>
    <t>Hlavička dummy</t>
  </si>
  <si>
    <t>C47MB E</t>
  </si>
  <si>
    <t>Big Boss dummy</t>
  </si>
  <si>
    <t>C62SMT E</t>
  </si>
  <si>
    <t>The Sky Breaker dummy</t>
  </si>
  <si>
    <t>C63MP E</t>
  </si>
  <si>
    <t>Prehistoric dummy</t>
  </si>
  <si>
    <t>C106MH E</t>
  </si>
  <si>
    <t>Hamster dummy</t>
  </si>
  <si>
    <t>C106MB E</t>
  </si>
  <si>
    <t>Bad boy dummy</t>
  </si>
  <si>
    <t>C223MF/C E</t>
  </si>
  <si>
    <t>Fireworks show 223 dummy</t>
  </si>
  <si>
    <t>Cena v CZK</t>
  </si>
  <si>
    <t>před slevou</t>
  </si>
  <si>
    <t>Pomocný sloupec</t>
  </si>
  <si>
    <t>pro přepočet</t>
  </si>
  <si>
    <t xml:space="preserve">Skladová </t>
  </si>
  <si>
    <t>dostupnost</t>
  </si>
  <si>
    <t>celkem</t>
  </si>
  <si>
    <t>Postup při zasílání objednávky:</t>
  </si>
  <si>
    <t>Nemůžeme zaručit, že doobjednané zboží bude zasláno společně s prvotně objednaným zbožím!</t>
  </si>
  <si>
    <t xml:space="preserve">Návod k použití elektronického ceníku </t>
  </si>
  <si>
    <t>Po ukončení objednávky uvidíte v následujících sloupcích tyto informace :</t>
  </si>
  <si>
    <t>cena celkem v CZK bez DPH</t>
  </si>
  <si>
    <t>cena celkem v CZK s DPH</t>
  </si>
  <si>
    <t>cena celkem v EUR bez DPH</t>
  </si>
  <si>
    <t xml:space="preserve">celkový objem v m3 </t>
  </si>
  <si>
    <t>celková váha v kg</t>
  </si>
  <si>
    <t>Zasíláme Vám postup při řešení reklamace nevystřílených kompaktů. Těmto reklamacím se bohužel i přes kontrolu kvality nedá v rámci velkého objemu zabránit.</t>
  </si>
  <si>
    <t>Chceme tímto vnést pořádek to řešení reklamací, kdy se nám stává, že zákazník například donese 100 ran kompakt, z kterého je 90 ran vystřílených a chce nový kus.</t>
  </si>
  <si>
    <t>Rezervace zboží</t>
  </si>
  <si>
    <t>Níže jsou pravidla, za kterých je možno si zboží na našem skladu rezervovat:</t>
  </si>
  <si>
    <t>Pravidla:</t>
  </si>
  <si>
    <t>Prodej po baleních</t>
  </si>
  <si>
    <t>Palety</t>
  </si>
  <si>
    <t>of big packing</t>
  </si>
  <si>
    <t>of small packing</t>
  </si>
  <si>
    <t>po slevě</t>
  </si>
  <si>
    <t>Cena EUR</t>
  </si>
  <si>
    <t>Kurz</t>
  </si>
  <si>
    <t>Není možné reklamovat poškozené exportní kartony u složených ohňostrojů. Barevný exportní karton nemá na funkci výrobku vliv a slouží jen pro ochranu výrobku během přepravy</t>
  </si>
  <si>
    <t>Reklamace</t>
  </si>
  <si>
    <t>Cena dopravy</t>
  </si>
  <si>
    <t>Katalogové</t>
  </si>
  <si>
    <t>číslo</t>
  </si>
  <si>
    <t>Název produktu</t>
  </si>
  <si>
    <t>objem m3</t>
  </si>
  <si>
    <t>kartonu</t>
  </si>
  <si>
    <t>Hmotnost</t>
  </si>
  <si>
    <t>kartonu GW</t>
  </si>
  <si>
    <t>Jazykové mutace</t>
  </si>
  <si>
    <t>velkého balení</t>
  </si>
  <si>
    <t>malého balení</t>
  </si>
  <si>
    <t>Trvání efektu</t>
  </si>
  <si>
    <t>čas v sekundách</t>
  </si>
  <si>
    <t>Certifikát skladování</t>
  </si>
  <si>
    <t>Občané</t>
  </si>
  <si>
    <t>Účty</t>
  </si>
  <si>
    <t>Karty</t>
  </si>
  <si>
    <t>Půjčky</t>
  </si>
  <si>
    <t>Spoření</t>
  </si>
  <si>
    <t>Investice</t>
  </si>
  <si>
    <t>Pojištění</t>
  </si>
  <si>
    <t>Podnikatelé a firmy</t>
  </si>
  <si>
    <t>Kontakty</t>
  </si>
  <si>
    <t>Kurzovní lístek</t>
  </si>
  <si>
    <t>Detail kurzu</t>
  </si>
  <si>
    <t>EUR</t>
  </si>
  <si>
    <t>Střed</t>
  </si>
  <si>
    <t>Valuty</t>
  </si>
  <si>
    <t>Devizy</t>
  </si>
  <si>
    <t>čas</t>
  </si>
  <si>
    <t>Často hledané výrazy</t>
  </si>
  <si>
    <t>Ztráta karty</t>
  </si>
  <si>
    <t>Katalognummer</t>
  </si>
  <si>
    <t>Produktname</t>
  </si>
  <si>
    <t>Preis in CZK</t>
  </si>
  <si>
    <t>vor dem Rabatt</t>
  </si>
  <si>
    <t>nach dem Rabatt</t>
  </si>
  <si>
    <t>Preis in EUR</t>
  </si>
  <si>
    <t>Verpackung im Karton</t>
  </si>
  <si>
    <t>Sprachmutation Anwiesung</t>
  </si>
  <si>
    <t>an der grosser Pack</t>
  </si>
  <si>
    <t>an der kleiner Pack</t>
  </si>
  <si>
    <t>Dauerzeit</t>
  </si>
  <si>
    <t>in s</t>
  </si>
  <si>
    <t>Foto</t>
  </si>
  <si>
    <t>Price in CZK</t>
  </si>
  <si>
    <t>before discount</t>
  </si>
  <si>
    <t>after discount</t>
  </si>
  <si>
    <t>Price in EUR</t>
  </si>
  <si>
    <t>If the result is less than 1000, that means it is a under-limit transportation without ADR car.</t>
  </si>
  <si>
    <t>Regeln:</t>
  </si>
  <si>
    <t>Paletten</t>
  </si>
  <si>
    <t>Beschwerdeverfahren</t>
  </si>
  <si>
    <t>Gebrauchsanweisung der elektronischen Preisliste</t>
  </si>
  <si>
    <t>(vyplňuje se automaticky)</t>
  </si>
  <si>
    <t>(wird automatisch ausgefüllt)</t>
  </si>
  <si>
    <t>(to be filled in automatically)</t>
  </si>
  <si>
    <t>Kurs</t>
  </si>
  <si>
    <t>Als Mehrwertsteuerzahler berechnen wir 21% Mehrwertsteuer auf die oben genannten Preise.</t>
  </si>
  <si>
    <t>Für den Kauf von KAT F4 und T2 ist eine Lizenz einer fachkundigen Person erforderlich!</t>
  </si>
  <si>
    <t>Für Kunden mit einem Rabatt von mehr als 50% beträgt der Mindesteinkauf 10.000 CZK.</t>
  </si>
  <si>
    <t>Alle Preise in dieser Preisliste verstehen sich ohne Versand (EXW Incoterms 2010), dh der Kunde muss den Transport selbst bezahlen.</t>
  </si>
  <si>
    <t>Es können nur ganze Exportkartons bestellt werden.</t>
  </si>
  <si>
    <t>As a VAT payer, we charge 21% VAT on the above prices.</t>
  </si>
  <si>
    <t>For the purchase of KAT F4 and T2 a license of a qualified person is required!</t>
  </si>
  <si>
    <t>For customers with a discount of more than 50%, the minimum purchase is CZK 10,000.</t>
  </si>
  <si>
    <t>All prices in this price list are without shipping (EXW Incoterms 2010), ie the customer must pay for the transport himself.</t>
  </si>
  <si>
    <t>Only whole export cartons can be ordered.</t>
  </si>
  <si>
    <t>https://www.kb.cz/en/exchange-rates</t>
  </si>
  <si>
    <t>After you place an order, you'll see this information in the following columns:</t>
  </si>
  <si>
    <t>In column J you will find information about the danger category to which the product belongs.</t>
  </si>
  <si>
    <t>In column Z write your order - write only a number expressing the number of ordered cartons.</t>
  </si>
  <si>
    <t>Slouží pro aktualizaci kurzu v ceníku, nezasahovat!</t>
  </si>
  <si>
    <t>Es wird verwendet, um den Preis in der Preisliste zu aktualisieren, nicht eingreifen!</t>
  </si>
  <si>
    <t>It is used to update the rate in the price list, do not intervene!</t>
  </si>
  <si>
    <t xml:space="preserve">chcete objednat 5 balení položky DP1R, která je balená 25/20/6 tak si objednáte 0,2 kartonu </t>
  </si>
  <si>
    <t xml:space="preserve">chcete objednat 1 ks položky C1625B, která je balená 12/1 tak si objednáte 0,0833 kartonu </t>
  </si>
  <si>
    <t>C493LI</t>
  </si>
  <si>
    <t>DP1TA</t>
  </si>
  <si>
    <t>DP1BS</t>
  </si>
  <si>
    <t>DP1EM</t>
  </si>
  <si>
    <t>LM5W</t>
  </si>
  <si>
    <t>Whistling Airplane</t>
  </si>
  <si>
    <t>LM6M</t>
  </si>
  <si>
    <t>Medusa</t>
  </si>
  <si>
    <t>LM7S</t>
  </si>
  <si>
    <t>Scream UFO</t>
  </si>
  <si>
    <t>EB9</t>
  </si>
  <si>
    <t>Explosive ball 9</t>
  </si>
  <si>
    <t>BP30S</t>
  </si>
  <si>
    <t>FPS1</t>
  </si>
  <si>
    <t>D3SK</t>
  </si>
  <si>
    <t>Dýmovnice proti krtkům</t>
  </si>
  <si>
    <t>F10E</t>
  </si>
  <si>
    <t>Explosive fountain</t>
  </si>
  <si>
    <t>CON80P (G)</t>
  </si>
  <si>
    <t>R7040C</t>
  </si>
  <si>
    <t>R6508S</t>
  </si>
  <si>
    <t>Scream 8sh</t>
  </si>
  <si>
    <t>SS25SC</t>
  </si>
  <si>
    <t>Scream single shot</t>
  </si>
  <si>
    <t>CS2BB</t>
  </si>
  <si>
    <t>RP5DU14</t>
  </si>
  <si>
    <t>K0203(1)</t>
  </si>
  <si>
    <t>K0203/2</t>
  </si>
  <si>
    <t>K0203/2(1)</t>
  </si>
  <si>
    <t>PS05D</t>
  </si>
  <si>
    <t>PS10D10</t>
  </si>
  <si>
    <t>P5D13(W)</t>
  </si>
  <si>
    <t>P6A14</t>
  </si>
  <si>
    <t>P170</t>
  </si>
  <si>
    <t>R12T3</t>
  </si>
  <si>
    <t>RS5DU</t>
  </si>
  <si>
    <t>RS9BP14</t>
  </si>
  <si>
    <t>RS21Z14</t>
  </si>
  <si>
    <t>RS33R14</t>
  </si>
  <si>
    <t>RS21Z</t>
  </si>
  <si>
    <t>R170X</t>
  </si>
  <si>
    <t>R170M</t>
  </si>
  <si>
    <t>P40MO25</t>
  </si>
  <si>
    <t xml:space="preserve">Fotbalová pochodeň modrá+dým </t>
  </si>
  <si>
    <t>BP60S</t>
  </si>
  <si>
    <t>Barevná pochodeň 60sec</t>
  </si>
  <si>
    <t>Profi show 208</t>
  </si>
  <si>
    <t>C20814XPR14</t>
  </si>
  <si>
    <t xml:space="preserve">Dumbum triple </t>
  </si>
  <si>
    <t>C320DI14</t>
  </si>
  <si>
    <t>CX1620D</t>
  </si>
  <si>
    <t>CX1620X</t>
  </si>
  <si>
    <t>C6420BPW</t>
  </si>
  <si>
    <t>C10020XBPW14</t>
  </si>
  <si>
    <t>C10020XBP14</t>
  </si>
  <si>
    <t>C10020XPR14</t>
  </si>
  <si>
    <t>C13020BP</t>
  </si>
  <si>
    <t>C20020PR</t>
  </si>
  <si>
    <t>C20020XBP</t>
  </si>
  <si>
    <t>C20020XBPW</t>
  </si>
  <si>
    <t>C20020XPR</t>
  </si>
  <si>
    <t>C20020XPR/C14</t>
  </si>
  <si>
    <t>C25220XFS/C14</t>
  </si>
  <si>
    <t>C40020XPR/C14</t>
  </si>
  <si>
    <t>C25220XFS/C</t>
  </si>
  <si>
    <t>C80020XPR/C</t>
  </si>
  <si>
    <t>C2525BPW</t>
  </si>
  <si>
    <t>C2525SC14</t>
  </si>
  <si>
    <t>CF4925S</t>
  </si>
  <si>
    <t>C6425XPT</t>
  </si>
  <si>
    <t>C10025PR1</t>
  </si>
  <si>
    <t>C10025PR2</t>
  </si>
  <si>
    <t>C10025BPW/C14</t>
  </si>
  <si>
    <t>C14025XFS/C14</t>
  </si>
  <si>
    <t>C14025XFS/C</t>
  </si>
  <si>
    <t>C30025BPW/C</t>
  </si>
  <si>
    <t>C330D</t>
  </si>
  <si>
    <t>C493PR</t>
  </si>
  <si>
    <t>C493BW</t>
  </si>
  <si>
    <t>C503BW/C14</t>
  </si>
  <si>
    <t>Brocade War 50</t>
  </si>
  <si>
    <t>C1003F/C14</t>
  </si>
  <si>
    <t>C10030XF/C14</t>
  </si>
  <si>
    <t>Fireworks show 100</t>
  </si>
  <si>
    <t>C12230XPT/C14</t>
  </si>
  <si>
    <t>Pyrotechnology 2020 122sh</t>
  </si>
  <si>
    <t>C128XMPT/C</t>
  </si>
  <si>
    <t>C256XMPT/C</t>
  </si>
  <si>
    <t>C2545NO</t>
  </si>
  <si>
    <t>C2545DI</t>
  </si>
  <si>
    <t>C2545MA</t>
  </si>
  <si>
    <t>C3545MF</t>
  </si>
  <si>
    <t>C3545NO</t>
  </si>
  <si>
    <t>C3645BA</t>
  </si>
  <si>
    <t>C3645SE</t>
  </si>
  <si>
    <t>C10545GI/C</t>
  </si>
  <si>
    <t>C39MPT</t>
  </si>
  <si>
    <t>C39MPT14</t>
  </si>
  <si>
    <t>C68XMPT</t>
  </si>
  <si>
    <t>C68XMCS</t>
  </si>
  <si>
    <t>Colorful Sky</t>
  </si>
  <si>
    <t>C68XMPT14</t>
  </si>
  <si>
    <t>C68XMCS14</t>
  </si>
  <si>
    <t>C100MPT</t>
  </si>
  <si>
    <t>C132XMPT/C14</t>
  </si>
  <si>
    <t>Pyrotechnology 2020 132sh</t>
  </si>
  <si>
    <t>C204XMPT/C14</t>
  </si>
  <si>
    <t>Pyrotechnology 2020 204sh</t>
  </si>
  <si>
    <t>C216XMFS/C14</t>
  </si>
  <si>
    <t>C223XMK/C14</t>
  </si>
  <si>
    <t>King fireworks 223</t>
  </si>
  <si>
    <t>C132XMPT/C</t>
  </si>
  <si>
    <t>C150MPT/C</t>
  </si>
  <si>
    <t>C204XMPT/C</t>
  </si>
  <si>
    <t>C216XMFS/C</t>
  </si>
  <si>
    <t>C223XMK/C</t>
  </si>
  <si>
    <t>C219XMPT/C</t>
  </si>
  <si>
    <t>C253XMPT/C</t>
  </si>
  <si>
    <t>C379XMK/C</t>
  </si>
  <si>
    <t>C63MP</t>
  </si>
  <si>
    <t>C84M12F/C</t>
  </si>
  <si>
    <t>C84M12S/C</t>
  </si>
  <si>
    <t>C222MNPT/C</t>
  </si>
  <si>
    <t>SS30F</t>
  </si>
  <si>
    <t>SS30H</t>
  </si>
  <si>
    <t>SS50A</t>
  </si>
  <si>
    <t>SS50C</t>
  </si>
  <si>
    <t>SS50CH</t>
  </si>
  <si>
    <t>SS50M</t>
  </si>
  <si>
    <t>S4Z9/P</t>
  </si>
  <si>
    <t>S4Z10/P</t>
  </si>
  <si>
    <t>S4Z11/P</t>
  </si>
  <si>
    <t>S4Z12/P</t>
  </si>
  <si>
    <t>S4Z13/P</t>
  </si>
  <si>
    <t>S4Z14/P</t>
  </si>
  <si>
    <t>S5R/P</t>
  </si>
  <si>
    <t>S6M</t>
  </si>
  <si>
    <t>S6D/P(9)</t>
  </si>
  <si>
    <t>S6F/P(9)</t>
  </si>
  <si>
    <t>S6CH/P(9)</t>
  </si>
  <si>
    <t>S6N/P(9)</t>
  </si>
  <si>
    <t>S6S/P(9)</t>
  </si>
  <si>
    <t>S6Z1/P(9)</t>
  </si>
  <si>
    <t>S6Z2/P(9)</t>
  </si>
  <si>
    <t>S6Z3/P(9)</t>
  </si>
  <si>
    <t>Interiérová fontána 6m,60sec</t>
  </si>
  <si>
    <t>PB120D E</t>
  </si>
  <si>
    <t>C1614E14 E</t>
  </si>
  <si>
    <t>Edwin dummy</t>
  </si>
  <si>
    <t>Datum aktualizace ceníku:</t>
  </si>
  <si>
    <t>Aktualisierungsdatum der Preisliste:</t>
  </si>
  <si>
    <t>C128XMB/C(T)</t>
  </si>
  <si>
    <t>C2563XMF/C(T)</t>
  </si>
  <si>
    <t>C150MF/C(T)</t>
  </si>
  <si>
    <t>C175MSIG/C(T)</t>
  </si>
  <si>
    <t>DP1TA(1)</t>
  </si>
  <si>
    <t>DP1BS(1)</t>
  </si>
  <si>
    <t>48/4</t>
  </si>
  <si>
    <t>96/3</t>
  </si>
  <si>
    <t>18/1</t>
  </si>
  <si>
    <t>K0201(2)</t>
  </si>
  <si>
    <t>30/5</t>
  </si>
  <si>
    <t>TDLE1M</t>
  </si>
  <si>
    <t>Dumbum tričko M - limited edition</t>
  </si>
  <si>
    <t>TDLE1L</t>
  </si>
  <si>
    <t>Dumbum tričko L - limited edition</t>
  </si>
  <si>
    <t>TDLE1XL</t>
  </si>
  <si>
    <t>Dumbum tričko XL - limited edition</t>
  </si>
  <si>
    <t>TDLE1XXL</t>
  </si>
  <si>
    <t>Dumbum tričko XXL - limited edition</t>
  </si>
  <si>
    <t>TPDLE1M</t>
  </si>
  <si>
    <t>Dumbum tričko polo  M - limited edition</t>
  </si>
  <si>
    <t>TPDLE1L</t>
  </si>
  <si>
    <t>Dumbum tričko polo  L- limited edition</t>
  </si>
  <si>
    <t>TPDLE1XL</t>
  </si>
  <si>
    <t>Dumbum tričko polo  XL - limited edition</t>
  </si>
  <si>
    <t>TPDLE1XXL</t>
  </si>
  <si>
    <t>Dumbum tričko polo  XXL - limited edition</t>
  </si>
  <si>
    <t>VDLE1M</t>
  </si>
  <si>
    <t>Dumbum vesta softshell M-limited edition</t>
  </si>
  <si>
    <t>VDLE1L</t>
  </si>
  <si>
    <t>Dumbum vesta softshell L-limited edition</t>
  </si>
  <si>
    <t>VDLE1XL</t>
  </si>
  <si>
    <t>Dumbum vesta softshell XL -limited edition</t>
  </si>
  <si>
    <t>VDLE1XXL</t>
  </si>
  <si>
    <t>Dumbum vesta softshell XXL -limited edition</t>
  </si>
  <si>
    <t>BDLE1M</t>
  </si>
  <si>
    <t>Dumbum bunda fleece M -limited edition</t>
  </si>
  <si>
    <t>BDLE1L</t>
  </si>
  <si>
    <t>Dumbum bunda fleece L -limited edition</t>
  </si>
  <si>
    <t>BDLE1XL</t>
  </si>
  <si>
    <t>Dumbum bunda fleece XL -limited edition</t>
  </si>
  <si>
    <t>BDLE1XXL</t>
  </si>
  <si>
    <t>Dumbum bunda fleece XXL -limited edition</t>
  </si>
  <si>
    <t>MDLE1M</t>
  </si>
  <si>
    <t>Dumbum mikina s kapucí M -limited edition</t>
  </si>
  <si>
    <t>MDLE1L</t>
  </si>
  <si>
    <t>Dumbum mikina s kapucí L -limited edition</t>
  </si>
  <si>
    <t>MDLE1XL</t>
  </si>
  <si>
    <t>Dumbum mikina s kapucí XL -limited edition</t>
  </si>
  <si>
    <t>MDLE1XXL</t>
  </si>
  <si>
    <t>Dumbum mikina s kapucí XXL -limited edition</t>
  </si>
  <si>
    <t>KDLE1</t>
  </si>
  <si>
    <t>Dumbum kšiltovka - limited edition</t>
  </si>
  <si>
    <t>CDLE1</t>
  </si>
  <si>
    <t>Dumbum zimní čepice - limited edition</t>
  </si>
  <si>
    <t>C12820F/C14(T)</t>
  </si>
  <si>
    <t>C13220B/C14(T)</t>
  </si>
  <si>
    <t>C20020XPR/C14(T)</t>
  </si>
  <si>
    <t>C25220XFS/C14(T)</t>
  </si>
  <si>
    <t>C40020XPR/C14(T)</t>
  </si>
  <si>
    <t>C12820F/C(T)</t>
  </si>
  <si>
    <t>C19220F/C(T)</t>
  </si>
  <si>
    <t>C25220XFS/C(T)</t>
  </si>
  <si>
    <t>C25620F/C(T)</t>
  </si>
  <si>
    <t>C26420N/C(T)</t>
  </si>
  <si>
    <t>C18020SIG/C(T)</t>
  </si>
  <si>
    <t>C26020F/C(T)</t>
  </si>
  <si>
    <t>C39020F/C(T)</t>
  </si>
  <si>
    <t>C52020F/C(T)</t>
  </si>
  <si>
    <t>C53620F/C(T)</t>
  </si>
  <si>
    <t>C80020XPR/C(T)</t>
  </si>
  <si>
    <t>C9625MF/C14(T)</t>
  </si>
  <si>
    <t>C9825C/C14(T)</t>
  </si>
  <si>
    <t>C14025XFS/C14(T)</t>
  </si>
  <si>
    <t>C19225MF/C14(T)</t>
  </si>
  <si>
    <t>C9825C/C(T)</t>
  </si>
  <si>
    <t>C14025XFS/C(T)</t>
  </si>
  <si>
    <t>C20025F/C(T)</t>
  </si>
  <si>
    <t>C30025F/C(T)</t>
  </si>
  <si>
    <t>C30025BPW/C(T)</t>
  </si>
  <si>
    <t>C40025F/C(T)</t>
  </si>
  <si>
    <t>C503BW/C14(T)</t>
  </si>
  <si>
    <t>C503RO/C14(T)</t>
  </si>
  <si>
    <t>C503F/C14(T)</t>
  </si>
  <si>
    <t>C503NID/C14(T)</t>
  </si>
  <si>
    <t>C503SIG/C14(T)</t>
  </si>
  <si>
    <t>C583MN/C14(T)</t>
  </si>
  <si>
    <t>C1003B/C14(T)</t>
  </si>
  <si>
    <t>C1003NO/C14(T)</t>
  </si>
  <si>
    <t>C10030XF/C14(T)</t>
  </si>
  <si>
    <t>C1163MB/C14(T)</t>
  </si>
  <si>
    <t>C12230XPT/C14(T)</t>
  </si>
  <si>
    <t>C1003BP/C(T)</t>
  </si>
  <si>
    <t>C1003BPF/C(T)</t>
  </si>
  <si>
    <t>C1003BB/C(T)</t>
  </si>
  <si>
    <t>C1003SIG/C(T)</t>
  </si>
  <si>
    <t>C1003VS/C(T)</t>
  </si>
  <si>
    <t>C128XMPT/C(T)</t>
  </si>
  <si>
    <t>C1503X/C(T)</t>
  </si>
  <si>
    <t>C1503BPF/C(T)</t>
  </si>
  <si>
    <t>C2003BP/C(T)</t>
  </si>
  <si>
    <t>C2003U/C(T)</t>
  </si>
  <si>
    <t>C256XMPT/C(T)</t>
  </si>
  <si>
    <t>C505X/C(T)</t>
  </si>
  <si>
    <t>C505V/C(T)</t>
  </si>
  <si>
    <t>C755R/C(T)</t>
  </si>
  <si>
    <t>C10545GI/C(T)</t>
  </si>
  <si>
    <t>C132XMPT/C14(T)</t>
  </si>
  <si>
    <t>C200MF/C14(T)</t>
  </si>
  <si>
    <t>C204XMPT/C14(T)</t>
  </si>
  <si>
    <t>C216XMFS/C14(T)</t>
  </si>
  <si>
    <t>C223XMK/C14(T)</t>
  </si>
  <si>
    <t>C132XMPT/C(T)</t>
  </si>
  <si>
    <t>C150MPT/C(T)</t>
  </si>
  <si>
    <t>C200MF/C(T)</t>
  </si>
  <si>
    <t>C204XMPT/C(T)</t>
  </si>
  <si>
    <t>C216XMFS/C(T)</t>
  </si>
  <si>
    <t>C223XMK/C(T)</t>
  </si>
  <si>
    <t>C212MF/C(T)</t>
  </si>
  <si>
    <t>C219XMPT/C(T)</t>
  </si>
  <si>
    <t>C253XMPT/C(T)</t>
  </si>
  <si>
    <t>C379XMK/C(T)</t>
  </si>
  <si>
    <t>C84M12F/C(T)</t>
  </si>
  <si>
    <t>C84M12S/C(T)</t>
  </si>
  <si>
    <t>C84MC/C(T)</t>
  </si>
  <si>
    <t>C222MNPT/C(T)</t>
  </si>
  <si>
    <t>C222MF/C(T)</t>
  </si>
  <si>
    <t>CZ,SK,PL,DE,LT,EN,EST,HR,DK</t>
  </si>
  <si>
    <t>CZ,PL</t>
  </si>
  <si>
    <t>SK,LT</t>
  </si>
  <si>
    <t>PL</t>
  </si>
  <si>
    <t>EN</t>
  </si>
  <si>
    <t>CZ,SK,DE,PL,LT</t>
  </si>
  <si>
    <t>CZ,SK,PL,LT,DE,EN,DK,IT,HU,EST,FR,HR</t>
  </si>
  <si>
    <t>DE,CZ,SK,PL,LT,EN</t>
  </si>
  <si>
    <t>jezdící+pískající tank(fontána+práskající salva z děla)</t>
  </si>
  <si>
    <t>baby shark s fontánou, karton obsahuje 3 ruzně barevné žraloky(zelený,žlutý,fialový)</t>
  </si>
  <si>
    <t>rotující barevné a práskající kolečko s dýmovým efektem na konci</t>
  </si>
  <si>
    <t xml:space="preserve">práskající efekt, délka 20cm, </t>
  </si>
  <si>
    <t>dětská party pochodeň(barevná) se svítícím náramkem</t>
  </si>
  <si>
    <t>pískající letadlo s červeným světlem a práskajícími hvězdami(2ks)+pískající letadlo s zeleným světlem a práskajícími+blikajícími hvězdami(2ks)</t>
  </si>
  <si>
    <t>létající/pulzující barevný efekt s brokátovou korunou(1ks) , létající/pulzující barevný efekt s práskajícími hvězdami(1ks)</t>
  </si>
  <si>
    <t>pískající létající talíř se zeleným světlem</t>
  </si>
  <si>
    <t>sada obsahuje:1 balení-VP16A,DP1VC, LM2V 1ks, R4420B 2ks, R12T1 4ks</t>
  </si>
  <si>
    <t>zlaté prskavky,  délka 70cm, délka prskací hmoty 55cm, průměr prskací hmoty 4,5mm</t>
  </si>
  <si>
    <t>neonové prskavky(růžová,žlutá,zelelná,modrá),  délka 28cm, délka prskací hmoty 17cm, průměr prskací hmoty 3mm</t>
  </si>
  <si>
    <t>dýmovnice odpuzující krtky(dým+zápach)</t>
  </si>
  <si>
    <t>dýmovnice(tuba dýmící ze dvou stran) s trhací pojistkou-zelená barva</t>
  </si>
  <si>
    <t>práskající fontána</t>
  </si>
  <si>
    <t>rotáční fontána</t>
  </si>
  <si>
    <t xml:space="preserve">barevné hvězdy, 3m výška efektu, </t>
  </si>
  <si>
    <t xml:space="preserve">dvopjité práskající hvězdy, 3m výška efektu, </t>
  </si>
  <si>
    <t xml:space="preserve">stříbrné hvězdy, 7m výška efektu, </t>
  </si>
  <si>
    <t>stříbrné hvězdy(studený oheň), délka 12cm, potravinářský atest! Balení obsahuje číslo 6</t>
  </si>
  <si>
    <t>mix římských svící 8ran(po 1ks R5808D, R6008E, R6008K,R7508E), 60cm délka</t>
  </si>
  <si>
    <t>8ran stříbrná pískající stopa, 65cm délka</t>
  </si>
  <si>
    <t>pískající stopa</t>
  </si>
  <si>
    <t xml:space="preserve">6 různobarevných efektů, průměr 50 mm(top kvalita) </t>
  </si>
  <si>
    <t>18 různobarevných 50mm efektů(válcová puma)-profesionální kvalita</t>
  </si>
  <si>
    <t>zelená rotující fontána s práskajícími hvězdami</t>
  </si>
  <si>
    <t>škrtací petarda malá, síla výbuchu 112dB z 8m</t>
  </si>
  <si>
    <t>škrtací petarda velká(dvě rány), síla výbuchu 116+116dB z 8m</t>
  </si>
  <si>
    <t>škrtací petarda, síla výbuchu 119dB z 15m,vyrobeno v Evropě, plastová ucpávka</t>
  </si>
  <si>
    <t>škrtací petarda, síla výbuchu 120dB z 15m,vyrobeno v Evropě, plastová ucpávka</t>
  </si>
  <si>
    <t xml:space="preserve">síla výbuchu 120dB z 8m(černoprachová petarda) </t>
  </si>
  <si>
    <t>100g zábleskové slože, 170dB z 15m, vyrobeno v Evropě</t>
  </si>
  <si>
    <t>práskající balónky 15g(dvojitý efekt), průměr 42mm</t>
  </si>
  <si>
    <t>70ran,délka 16cm,kobereček se skládá z malých petard</t>
  </si>
  <si>
    <t>padáčková raketa</t>
  </si>
  <si>
    <t>72cm výška,barevné světice</t>
  </si>
  <si>
    <t>stříbrná stopa s titanovou detonací a práskajícími hvězdami(2g zábleskové slože)</t>
  </si>
  <si>
    <t>170cm výška, chromové rakety najvyšší kvality, 2 různobarevné efekty</t>
  </si>
  <si>
    <t>170cm výška, chromové rakety najvyšší kvality, 3 různobarevné efekty</t>
  </si>
  <si>
    <t>pochodeň žluté světlo+ bílý dým</t>
  </si>
  <si>
    <t>pochodeň modré světlo+ bílý dým</t>
  </si>
  <si>
    <t>barevná pochodeň(červená,zelená,bílá,fialová,žlutá)</t>
  </si>
  <si>
    <t>voňavka do auta Dumbum,  s vůní Invictus</t>
  </si>
  <si>
    <t>4 různobarevných efektů</t>
  </si>
  <si>
    <t>52 různobarevných efektů</t>
  </si>
  <si>
    <t>80 různobarevných efektů</t>
  </si>
  <si>
    <t xml:space="preserve">pískající kometa  </t>
  </si>
  <si>
    <t>7 různobarevných efektů - bez hluku</t>
  </si>
  <si>
    <t>6 různobarevných efektů měnících se po každé ráně</t>
  </si>
  <si>
    <t>zlatá blikajiící vrba</t>
  </si>
  <si>
    <t>10 různobarevných efektů, karton obsahuje nálepky s různým věkem</t>
  </si>
  <si>
    <t>42 různobarevných efektů</t>
  </si>
  <si>
    <t>19 různobarevných efektů</t>
  </si>
  <si>
    <t>white glitter mine</t>
  </si>
  <si>
    <t>red tail up to green glitter mine</t>
  </si>
  <si>
    <t>silver glittering mine w/ green comet</t>
  </si>
  <si>
    <t>special color strobing mine</t>
  </si>
  <si>
    <t>two sides:silver, middle:silver palm to orange+brocade willow flower star- salvo 10sh together</t>
  </si>
  <si>
    <t>crackling wave to red</t>
  </si>
  <si>
    <t>silver coco w/crackling rain pistil</t>
  </si>
  <si>
    <t>crackling waterfall</t>
  </si>
  <si>
    <t>crackling willow crossette</t>
  </si>
  <si>
    <t>silver dragon ring+red crossette(cylinder)</t>
  </si>
  <si>
    <t>silver crackling coco w/red strobe up silver crackling tiger tail</t>
  </si>
  <si>
    <t>crackling coco w/color strobe pistil</t>
  </si>
  <si>
    <t>Mixed carton contains: S6CH gold wave w.purple peony double rings to special orange strobing pistil(2pc), S6H color chrysanthemum(2pc), S6S silver tail to silver palm(2pc), S6O colorfull dahlia(1pc), S6K red glitter w.brocade crown(2pc)</t>
  </si>
  <si>
    <t>color dahlia w/strobe pistil</t>
  </si>
  <si>
    <t>brocade coco w/strobe pistil</t>
  </si>
  <si>
    <t>brocade crown to blue to red strobe w/red strobe pistil</t>
  </si>
  <si>
    <t>nezničitelný, tenkostěnný moždíř, výška 58cm,síla stěny 3mm</t>
  </si>
  <si>
    <t>stříbrná fontána-bez kouře, 6m výška efektu,elektrický odpal</t>
  </si>
  <si>
    <t>C320D</t>
  </si>
  <si>
    <t>IF660B</t>
  </si>
  <si>
    <t>Filtr</t>
  </si>
  <si>
    <t>ANO</t>
  </si>
  <si>
    <t>Pro zákazníky, kteří mají slevu více než 50% platí minimální jednorázový odběr 10.000Kč</t>
  </si>
  <si>
    <t>Jako plátci DPH účtujeme k uvedeným cenám 21% DPH.</t>
  </si>
  <si>
    <t>Pro nákup KAT. F4 a T2 je potřebný průkaz osoby odborně způsobilé, resp. odpalovače ohňostrojů!</t>
  </si>
  <si>
    <t>Všechny ceny uvedené v tomto ceníku jsou bez dopravy (EXW Incoterms 2010) tzn., že si zákazník dopravu musí uhradit sám.</t>
  </si>
  <si>
    <t>Je možno objednávat pouze celé exportní kartony.</t>
  </si>
  <si>
    <t>Položky, které nejsou aktuálně skladem, nelze objednat. Objednací pole je podbarveno černě.</t>
  </si>
  <si>
    <t>34 různobarevných efektů</t>
  </si>
  <si>
    <t>[kg]</t>
  </si>
  <si>
    <r>
      <t>[m</t>
    </r>
    <r>
      <rPr>
        <b/>
        <vertAlign val="superscript"/>
        <sz val="9"/>
        <rFont val="Arial"/>
        <family val="2"/>
        <charset val="238"/>
      </rPr>
      <t>3</t>
    </r>
    <r>
      <rPr>
        <b/>
        <sz val="9"/>
        <rFont val="Arial"/>
        <family val="2"/>
        <charset val="238"/>
      </rPr>
      <t>]</t>
    </r>
  </si>
  <si>
    <t>celkem [kg]</t>
  </si>
  <si>
    <t>(bez DPH)</t>
  </si>
  <si>
    <t>CZK</t>
  </si>
  <si>
    <t>(vč.DPH)</t>
  </si>
  <si>
    <t>NA PALETÁCH</t>
  </si>
  <si>
    <t>NA VOLNO</t>
  </si>
  <si>
    <t>Zákazníkům, kteří nebudou postupovat při objednávce v souladu s výše napsaným a přijedou si pro zboží bez potvrzení našeho pracovníka, nebude zboží naloženo.</t>
  </si>
  <si>
    <t>○        zboží bude fyzicky nachystáno na palety o rozměru 120x80cm a výška 180cm a váha do 750kg a to tak, aby rezervované zboží bylo na co nejmenším množství palet, ale za dodržení výše uvedených rozměrů. Pokud bude objednáno malé množství např. 2 kartony, tak budou umístěny na euro paletu a bude účtován níže uvedený poplatek.</t>
  </si>
  <si>
    <t>○        zákazník pošle objednávku pouze na zboží, které chce rezervovat (lze rezervovat jen zboží, které je aktuálně skladem)</t>
  </si>
  <si>
    <t>○        v den expedice bude spočteno, kolik dní byla paleta skladována a částka za skladné, bude přičtena na konečnou fakturu za zboží</t>
  </si>
  <si>
    <t>○        každá rezervace musí být expedována vcelku (nelze si vzít jen část rezervovaného zboží) tzn. veškeré rezervované euro palety, budou odebrány najednou</t>
  </si>
  <si>
    <t>○        rezervované zboží bude expedováno pouze na paletách</t>
  </si>
  <si>
    <t>Maximální množství 5 euro palet, při větší objednávce bude dopravné kalkulováno na základě nabídek ADR dopravců s důrazem na co nejnižší možnou cenu dopravy.</t>
  </si>
  <si>
    <t>Při zaslání zboží našim ADR vozidlem(nosnost 1.450Kg), účtujeme dopravné 18kč/km za cestu tam i zpět.</t>
  </si>
  <si>
    <t>Při zaslání zboží ADR kamionem(nosnost 24 000Kg) může zákazník bezplatně vykládat zboží na jednom místě, max 4h. Při delší vykládce bude účtovaná sazba 800Kč/hodina čekání, při přejezdu na jiný sklad bude účtováno 100Kč/km.</t>
  </si>
  <si>
    <t>Ceník je interaktivní, tzn. že sám přepočítává slevu (je nutno zadat její výši do patřičného pole, případně se sama vypočítá podle velikosti obejdnávky), údaje o ceně v CZK a EUR, rovněž počítá váhu v kg, objem zboží v m3 a čistou váhu pyrotechnických složí.</t>
  </si>
  <si>
    <t>Do sloupce Z napište Vaši objednávku – pište pouze číslici vyjadřující počet objednaných kartonů. Výjimkou jsou položky označené "ANO" ve sloupci A (podmínky uvedeny výše).</t>
  </si>
  <si>
    <t>celkový NEC - čistá váha pyrotechnických složí rozdělena podle ADR tříd</t>
  </si>
  <si>
    <t>celkový NEC - čistá váha pyrotechnických složí za všechny ADR třídy</t>
  </si>
  <si>
    <t>KLIKNUTÍM ZDE VYBERTE MOŽNOST!</t>
  </si>
  <si>
    <t>ZAČÁTEK</t>
  </si>
  <si>
    <t>total [kg]</t>
  </si>
  <si>
    <t>Date of the price list update:</t>
  </si>
  <si>
    <t>riding+whistling tank (fountain+crackling salvo from cannon)</t>
  </si>
  <si>
    <t>baby shark with fountain, carton contains 3 different colored sharks(green,yelow, pink)</t>
  </si>
  <si>
    <t>rotating colored and crackling wheel with smoke effect at the end</t>
  </si>
  <si>
    <t>crackling effect, lenght 20cm</t>
  </si>
  <si>
    <t>childrens party torch(colour) with shining bracelet</t>
  </si>
  <si>
    <t>whistling plane with red light and cracking stars (2pcs) + whistling plane with green light and cracking+strobe stars (2pcs)</t>
  </si>
  <si>
    <t>flying/pulsate color effect with brocade crown(1pc), flying/pulsate color effect with cracking stars(1pc)</t>
  </si>
  <si>
    <t>whistling flying saucer with green light</t>
  </si>
  <si>
    <t>Kids package contains:DP1FD- 1x,DP1FR-1x,DP1BP- 3x,BK1B-1x,BK1P-1x,DP1CB-1x,DP1B-1x,DP1R-2x, S12S-1x</t>
  </si>
  <si>
    <t>Family package contains:4 rocket,DP1BP-2x,DP1B-1x,S12S-1x,P1-1x,BK1B-1x,DP1R-1x,DP1VC-1x,DP1CB-1x,K01M-1x,R4420B- 2x</t>
  </si>
  <si>
    <t xml:space="preserve">Family package contains:1x-VP16A,DP1VC, LM2V 1 single pc, R4420B 2 single pc, R12T1 4 sinlge pc, </t>
  </si>
  <si>
    <t>neon sparklers(pink,yelow,green,blue), lenght 28cm, lenght of sparkling material 17cm, diameter sparkler mass 3mm</t>
  </si>
  <si>
    <t>repelling moles smoke (smoke + smell)</t>
  </si>
  <si>
    <t>crackling fountain</t>
  </si>
  <si>
    <t>color star, 3m effect height</t>
  </si>
  <si>
    <t>double crackling star, 3m effect height</t>
  </si>
  <si>
    <t xml:space="preserve">40sh color tail, 70cm lenght </t>
  </si>
  <si>
    <t>8sh silver whistling tail, 65cm lenght</t>
  </si>
  <si>
    <t>whistling tail</t>
  </si>
  <si>
    <t>18 differently colored 50mm effects (cylindrical bomb) -professional quality</t>
  </si>
  <si>
    <t>green rotate with crackling</t>
  </si>
  <si>
    <t>scatcher small petard, sound power 112dB from 8m</t>
  </si>
  <si>
    <t>scatcher petard(double), sound power 116+116dB from 8m</t>
  </si>
  <si>
    <t>scatcher petard, sound power 119dB from 15m, made in Europe, plastic seal</t>
  </si>
  <si>
    <t>scatcher petard, sound power 120dB from 15m, made in Europe, plastic seal</t>
  </si>
  <si>
    <t>100g flash powder, sound power 170dB from 15m, made in Europe</t>
  </si>
  <si>
    <t>crackling ball 15g(double effect), diameter 42mm</t>
  </si>
  <si>
    <t>72cm height of rocket, color stars</t>
  </si>
  <si>
    <t>silver tail to titanium salute with crackling(2g flash powder)</t>
  </si>
  <si>
    <t>170cm height, top quality chrome rocket, 3 different color effects</t>
  </si>
  <si>
    <t>blue torch+white smoke</t>
  </si>
  <si>
    <t>color torch(red,green,white,purple,yelow)</t>
  </si>
  <si>
    <t>Dumbum T-shirt M - limited edition</t>
  </si>
  <si>
    <t>Dumbum T-shirt L - limited edition</t>
  </si>
  <si>
    <t>Dumbum T-shirt XL - limited edition</t>
  </si>
  <si>
    <t>Dumbum T-shirt XXL - limited edition</t>
  </si>
  <si>
    <t>Dumbum T-shirt polo  M - limited edition</t>
  </si>
  <si>
    <t>Dumbum T-shirt polo  L - limited edition</t>
  </si>
  <si>
    <t>Dumbum T-shirt polo  XL - limited edition</t>
  </si>
  <si>
    <t>Dumbum T-shirt polo  XXL - limited edition</t>
  </si>
  <si>
    <t>Dumbum waistcoat softshell M-limited edition</t>
  </si>
  <si>
    <t>Dumbum waistcoat softshell L-limited edition</t>
  </si>
  <si>
    <t>Dumbum waistcoat softshell XL-limited edition</t>
  </si>
  <si>
    <t>Dumbum waistcoat softshell XXL-limited edition</t>
  </si>
  <si>
    <t>Dumbum fleece coat M -limited edition</t>
  </si>
  <si>
    <t>Dumbum fleece coat L -limited edition</t>
  </si>
  <si>
    <t>Dumbum fleece coat XL -limited edition</t>
  </si>
  <si>
    <t>Dumbum fleece coat XXL -limited edition</t>
  </si>
  <si>
    <t>Dumbum hoodie M -limited edition</t>
  </si>
  <si>
    <t>Dumbum hoodie L -limited edition</t>
  </si>
  <si>
    <t>Dumbum hoodie XL -limited edition</t>
  </si>
  <si>
    <t>Dumbum hoodie XXL -limited edition</t>
  </si>
  <si>
    <t>baseball cap Dumbum-limited edition</t>
  </si>
  <si>
    <t>winter hat Dumbum -limited edition</t>
  </si>
  <si>
    <t>80 different color effects</t>
  </si>
  <si>
    <t xml:space="preserve">whistling tail  </t>
  </si>
  <si>
    <t>ti-gold willow</t>
  </si>
  <si>
    <t>42 different color effects</t>
  </si>
  <si>
    <t>19 different color effects</t>
  </si>
  <si>
    <t>34 different color effects</t>
  </si>
  <si>
    <t>silver fountain-without smoke, effect high 6m,electric iniciation</t>
  </si>
  <si>
    <t>ON PALLETS</t>
  </si>
  <si>
    <t>CLICK HERE TO SELECT AN OPTION!</t>
  </si>
  <si>
    <t>Výpočet bodů podle ADR:</t>
  </si>
  <si>
    <t>SPRS1E</t>
  </si>
  <si>
    <t>Stojan na prskavky-prázdný</t>
  </si>
  <si>
    <t>Prezentační stojan na prskavky(prázdný)</t>
  </si>
  <si>
    <t>→</t>
  </si>
  <si>
    <t>← OBJEMY A HMOTNOSTI ZDE</t>
  </si>
  <si>
    <t>xkonec</t>
  </si>
  <si>
    <t>Pokud je výsledek větší než 1000 jedná se o přepravu s nutností využití ADR vozidla.</t>
  </si>
  <si>
    <t>Položky označené ve sloupci A jako ANO - je možno objednávat také po baleních za příplatek 20%</t>
  </si>
  <si>
    <t>Elements marked in column A like YES - it is possible to order for additional 20% even after packing.</t>
  </si>
  <si>
    <t>Items that are not currently in stock cannot be ordered. The order field is highlighted in black.</t>
  </si>
  <si>
    <t>Presentation stand for sparklers (empty)</t>
  </si>
  <si>
    <t>Calculation of points according to ADR:</t>
  </si>
  <si>
    <t>SKLADEM</t>
  </si>
  <si>
    <t>(ohne MWSt.)</t>
  </si>
  <si>
    <t>(mit MWSt.)</t>
  </si>
  <si>
    <t>Number of cartons on a palette</t>
  </si>
  <si>
    <t>Reiten + Pfeifpanzer (Springbrunnen + knallende Kanonensalve</t>
  </si>
  <si>
    <t>Babyhai mit Brunnen, karton enthält 3 verschiedenfarbige Haie(green, gelb,violett)</t>
  </si>
  <si>
    <t>Farbiges crackling Rad mit Raucheffekt im Finale</t>
  </si>
  <si>
    <t xml:space="preserve">Knallender Effekt, Länge 20 cm, </t>
  </si>
  <si>
    <t>Kinderpartyfackel (farbig) mit leuchtendem Armband</t>
  </si>
  <si>
    <t>Der Satz enthält:1x-VP16A,DP1VC, LM2V 1Stück, R4420B 2Stück, R12T1 4Stück</t>
  </si>
  <si>
    <t>Neon Wunderkerzen(pink, gelb, grün, blau), Länge 28cm, Länge der platzenden Masse 17 cm, Durchmesser der platzenden Masse 3 mm</t>
  </si>
  <si>
    <t>Mole abweisender Rauch (Rauch + Geruch)</t>
  </si>
  <si>
    <t>Knisternde Fontäne</t>
  </si>
  <si>
    <t xml:space="preserve">Farbsterne, 3m Effekthöhe, </t>
  </si>
  <si>
    <t xml:space="preserve">Knallende Doppelsterne, 3m Effekthöhe, </t>
  </si>
  <si>
    <t>8 Schüsse Silberpfeife, 65cm lang</t>
  </si>
  <si>
    <t xml:space="preserve">Pfeifende Spur </t>
  </si>
  <si>
    <t>18 verschiedenfarbige 50mm Effekte (zylindrische Bombe) - professionelle Qualität</t>
  </si>
  <si>
    <t>Drehender grüner Effekt mit Crackling</t>
  </si>
  <si>
    <t>Kleine Reibkopfknaller, Explosionskraft 112dB von 8m</t>
  </si>
  <si>
    <t>Großer Reibkopfknaller(zwei Explosionen), Explosionskraft 116+116dB von 8m</t>
  </si>
  <si>
    <t>Reibkopfknaller, Explosionskraft 119dB von 15m, Hergestellt in Europa,Plastikdichtung</t>
  </si>
  <si>
    <t>Reibkopfknaller, Explosionskraft 120dB von 15m, Hergestellt in Europa,Plastikdichtung</t>
  </si>
  <si>
    <t>Explosionskraft 120dB von 8m, Hergestellt in Europa,Plastikdichtung</t>
  </si>
  <si>
    <t>100g Blitzsatz, 170dB von 15m, Hergestellt in Europa</t>
  </si>
  <si>
    <t>Knallende Ballone 15 g(Doppeleffekt), Durchmesser 42mm</t>
  </si>
  <si>
    <t>72 cm Höhe, farbige Leuchtgeschosse</t>
  </si>
  <si>
    <t>silberne spur mit der titanischen detonation+crackling (2g flash sprengsatz)</t>
  </si>
  <si>
    <t xml:space="preserve">21 verschiedenfarbige Effekte </t>
  </si>
  <si>
    <t>170cm Höhe, chromraketen der höchsten qualität, 3 verschiedenfarbige Effekte</t>
  </si>
  <si>
    <t>Fackel blau Licht + weißer Rauch</t>
  </si>
  <si>
    <t>Farbige Fackel(rot, grün, weiß, lila,gelb)</t>
  </si>
  <si>
    <t>Präsentationsstand für Wunderkerzen(leer)</t>
  </si>
  <si>
    <t>80 verschiedenfarbige Effekte</t>
  </si>
  <si>
    <t>pfeifender Komet</t>
  </si>
  <si>
    <t>goldene funkelnde Weide</t>
  </si>
  <si>
    <t>42 verschiedenfarbige Effekte</t>
  </si>
  <si>
    <t>19 verschiedenfarbige Effekte</t>
  </si>
  <si>
    <t>34 verschiedenfarbige Effekte</t>
  </si>
  <si>
    <t>33 verschiedenfarbige Effekte</t>
  </si>
  <si>
    <t>Silberne fontäne-ohne rauch, 6m höhe effekte, elektrisch Abschuss</t>
  </si>
  <si>
    <t>Artikel, die derzeit nicht auf Lager sind, können nicht bestellt werden. Das Bestellfeld ist schwarz hervorgehoben.</t>
  </si>
  <si>
    <t>Artikel, die in Spalte A mit JA gekennzeichnet sind, können gegen einen Aufpreis von 20% auch in Paketen bestellt werden.</t>
  </si>
  <si>
    <t>KLICKEN UM EINE OPTION AUSZUWÄHLEN!</t>
  </si>
  <si>
    <t>AUF PALETTEN</t>
  </si>
  <si>
    <t>DOCHÁZÍ</t>
  </si>
  <si>
    <t>VYPRODÁNO</t>
  </si>
  <si>
    <t>ON STOCK</t>
  </si>
  <si>
    <t>LAST PIECES</t>
  </si>
  <si>
    <t>SOLD OUT</t>
  </si>
  <si>
    <t>AUF LAGER</t>
  </si>
  <si>
    <t>LETZTE STÜCKE</t>
  </si>
  <si>
    <t>Punkteberechnung nach ADR:</t>
  </si>
  <si>
    <t>Wenn das Ergebnis größer als 1000 ist, muss ein ADR-Fahrzeug verwendet werden.</t>
  </si>
  <si>
    <t>Pokud není položka, kterou chcete, skladem je možné si pomoci filtru vyhledat ve sloupci AC podobné položky, kdy všechny podobné položky jsou označeny stejným číslem.</t>
  </si>
  <si>
    <t>Vorgehensweise beim Versenden von Bestellungen:</t>
  </si>
  <si>
    <t>Kunden, die die Bestellung nicht in Übereinstimmung mit den oben genannten Angaben ausführen und die Ware ohne Bestätigung unseres Mitarbeiters abholen, wird die Ware nicht verladen.</t>
  </si>
  <si>
    <t>Ihre Bestellung wird nach Erhalt zur sofortigen Vorbereitung an das Lager übergeben, und es ist nicht mehr möglich, der Bestellung in irgendeiner Form etwas hinzuzufügen. Wenn der Kunde die Bestellung (oder einen Teil davon) storniert, wird ihm eine Bearbeitungsgebühr von 50% des Wertes der stornierten Ware berechnet.</t>
  </si>
  <si>
    <t>Wenn Sie Waren bestellen möchten, müssen Sie eine neue Bestellung in unserer elektronischen Preisliste erstellen und diese erneut per E-Mail senden. Schreiben Sie nur die Waren, die Sie bestellen möchten, in diese Bestellung.</t>
  </si>
  <si>
    <t>Wir können nicht garantieren, dass die bestellte Ware zusammen mit der ursprünglich bestellten Ware verschickt wird!</t>
  </si>
  <si>
    <t>Warenreservierung</t>
  </si>
  <si>
    <t>Aufgrund zahlreicher Kundenwünsche haben wir uns entschlossen, das Buchungssystem in unserem Lager zur Verfügung zu stellen. Für eine bessere Idee werde ich ein System vorstellen, das von unseren ausländischen Kunden weit verbreitet ist.</t>
  </si>
  <si>
    <t>Händler, die über eigene Geschäfte verfügen, bestellen beispielsweise bei uns Waren unmittelbar im September nach Erscheinen der Preisliste und möchten die Waren am 15. Dezember ausliefern.</t>
  </si>
  <si>
    <t>Dies garantiert, dass sie alles bekommen, was sie wollen, und die Waren nirgendwo aufbewahren müssen oder sich Sorgen machen müssen, ob der Artikel, auf den sie zählen, zum Beispiel in der Packungsbeilage, nicht ausverkauft ist. Am vereinbarten Tag erhält der Kunde die von ihm bestellte Ware…</t>
  </si>
  <si>
    <t>Nachfolgend finden Sie die Regeln, nach denen Waren in unserem Lager gebucht werden können:</t>
  </si>
  <si>
    <t>Dies ist ein Verfahren zur Lösung der Beschwerde über ungebrannte Presslinge. Leider können diese Beschwerden trotz Qualitätskontrolle nicht in großem Umfang verhindert werden.</t>
  </si>
  <si>
    <t>Wenn weniger als 30% des Produkts gebrannt werden, ersetzen wir das Produkt durch ein neues für den Kunden, bringen das ungebrannte Teil zu uns und es wird ersetzt.</t>
  </si>
  <si>
    <t xml:space="preserve">
Wenn 30-50% des Produkts abgefeuert werden, wird es dem Kunden durch ein neues Stück mit einem Zuschlag von 30-50% des Kaufpreises ersetzt, je nachdem, wie viele Schüsse der Kunde abgefeuert hat.</t>
  </si>
  <si>
    <t>Wenn 50-80% des Produkts abgefeuert werden, wird es dem Kunden durch ein neues Stück mit einem Zuschlag von 50-80% des Kaufpreises ersetzt, je nachdem, wie viele Schüsse der Kunde abgefeuert hat.</t>
  </si>
  <si>
    <t>Wir wollen Ordnung in die Beschwerdelösung bringen, wenn es uns passiert, dass der Kunde zum Beispiel 100 Schüsse kompakt bringt, von denen 90 Schüsse abgefeuert werden und ein neues Stück wollen.</t>
  </si>
  <si>
    <t>Konische Vulkane (F100, F250, F500, F1000, F1500) können nicht als Teil der Rückgabe nach der Saison beansprucht oder zurückgegeben werden - die in der E-Mail vom 28.1.2019 beschriebenen Gründe.</t>
  </si>
  <si>
    <t>Beschädigte Exportkartons für gefaltete Feuerwerkskörper können nicht beansprucht werden. Farbiger Exportkarton beeinträchtigt die Funktion des Produkts nicht und dient nur zum Schutz des Produkts während des Transports.</t>
  </si>
  <si>
    <t>Der Kunde, der nur perfekte Kartons haben möchte, muss Produkte kaufen, die in einem Schutzkarton verpackt sind (Produktcode endet (T)) oder dafür sorgen, dass die Waren bei uns abgeholt werden, wenn sie aus unserem Lager entnommen werden. Nachfolgende Beschwerden werden nicht gestellt berücksichtigt.</t>
  </si>
  <si>
    <t>Neu ist das Rabattberechnungssystem. Wenn Sie ein Neukunde sind, berechnet die Preisliste selbst Ihren Rabatt basierend auf der Höhe Ihres Abonnements (für bestehende Kunden gelten die zugewiesenen Rabatte, die der Kunde in Zelle D19 schreibt).</t>
  </si>
  <si>
    <t>Preisliste ist interaktiv, dh. dass es den Rabatt neu berechnet (es ist notwendig, seinen Betrag in das entsprechende Feld einzugeben), die Preisinformationen in CZK und EUR, berechnet auch das Gewicht in kg, das Warenvolumen in m3 und das Nettogewicht pyrotechnischer Zusammensetzungen.</t>
  </si>
  <si>
    <t>Wenn der gewünschte Artikel nicht auf Lager ist, können Sie den Filter verwenden, um ähnliche Artikel in Spalte C zu finden, in der alle ähnlichen Artikel mit derselben Nummer gekennzeichnet sind.</t>
  </si>
  <si>
    <t>Diese Spalte ist die Grundlage für Berechnungen in EUR.</t>
  </si>
  <si>
    <t>In Zelle F20 wird automatisch der aktuelle Wechselkurs auf der folgenden Seite angezeigt (der maximale Wechselkurs, zu dem wir EUR akzeptieren, beträgt 26 CZK / 1 EUR).</t>
  </si>
  <si>
    <t>Gesamtpreis in CZK exkl. MwSt.</t>
  </si>
  <si>
    <t>Gesamtpreis in CZK inkl. Gesetzl. MwSt.</t>
  </si>
  <si>
    <t>Gesamtpreis in EUR exkl. MwSt.</t>
  </si>
  <si>
    <t>Gesamtvolumen in m3.</t>
  </si>
  <si>
    <t>Gesamtgewicht in kg.</t>
  </si>
  <si>
    <t>Gesamt-NEC-Nettogewicht der pyrotechnischen Zusammensetzungen geteilt durch ADR-Klassen.</t>
  </si>
  <si>
    <t>Das Gesamt-NEC-Nettogewicht der pyrotechnischen Zusammensetzung für alle ADR-Klassen.</t>
  </si>
  <si>
    <t>Beim Versand von Waren per ADR-LKW (Tragfähigkeit 24 000 kg) kann der Kunde die Waren kostenlos an einem Ort entladen, max. 4 Stunden. Bei längerem Entladen beträgt der berechnete Tarif 800 CZK / Stunde Wartezeit. Beim Umzug in ein anderes Lager werden 100 CZK / km berechnet.</t>
  </si>
  <si>
    <t>Transport</t>
  </si>
  <si>
    <t>Der Versandpreis ist individuell. Nach dem ADR-Angebot des Spediteurs.</t>
  </si>
  <si>
    <t>UNAVAILABLE!</t>
  </si>
  <si>
    <t>NELZE OBJEDNAT!</t>
  </si>
  <si>
    <t>UNMÖGLICH!</t>
  </si>
  <si>
    <t>Karton menge
pro
Palette</t>
  </si>
  <si>
    <t>C2520ST E</t>
  </si>
  <si>
    <t>Střelmistr dummy</t>
  </si>
  <si>
    <t>CX1352X3</t>
  </si>
  <si>
    <t>red tail up to crackling tail+green tail up to crackling tail</t>
  </si>
  <si>
    <t>Katalogové číslo</t>
  </si>
  <si>
    <t>Balení v kartonu</t>
  </si>
  <si>
    <t>Kat.</t>
  </si>
  <si>
    <t>celkem [m3]</t>
  </si>
  <si>
    <t>total [m3]</t>
  </si>
  <si>
    <t>Cena EUR po slevě</t>
  </si>
  <si>
    <t>ADR certifikát</t>
  </si>
  <si>
    <t>Objednáno kartonů</t>
  </si>
  <si>
    <t>Skladová dostupnost</t>
  </si>
  <si>
    <t>Počet kartonů na paletě</t>
  </si>
  <si>
    <t>čeština</t>
  </si>
  <si>
    <t>english</t>
  </si>
  <si>
    <t>deutsch</t>
  </si>
  <si>
    <t>Lietuvis</t>
  </si>
  <si>
    <t>Tiếng Việt</t>
  </si>
  <si>
    <t>BAM certifikát</t>
  </si>
  <si>
    <t>Packing in carton</t>
  </si>
  <si>
    <t>ADR certificate</t>
  </si>
  <si>
    <t>BAM certificate</t>
  </si>
  <si>
    <t>ADR Einordnung</t>
  </si>
  <si>
    <t>Price in EUR after discount</t>
  </si>
  <si>
    <t>Preis in EUR nach dem Rabatt</t>
  </si>
  <si>
    <t>Catalog number</t>
  </si>
  <si>
    <t>Ex.rate</t>
  </si>
  <si>
    <t>´=SVYHLEDAT(B6;$A$10:$G$15;POZVYHLEDAT(C6;$A$9:$G$9;0);NEPRAVDA)</t>
  </si>
  <si>
    <t>Sale is possible per packing</t>
  </si>
  <si>
    <t>Verkauf pro Verpackung</t>
  </si>
  <si>
    <t>Class danger</t>
  </si>
  <si>
    <t>BAM Zertifikat</t>
  </si>
  <si>
    <t>insgesamt</t>
  </si>
  <si>
    <t>insgesamt [kg]</t>
  </si>
  <si>
    <t>Description of effect</t>
  </si>
  <si>
    <t>Effekte Beschreibung</t>
  </si>
  <si>
    <t>3D model</t>
  </si>
  <si>
    <t>(vč. DPH)</t>
  </si>
  <si>
    <t>Celkem
NEM [kg]</t>
  </si>
  <si>
    <t>Ordered cartons</t>
  </si>
  <si>
    <t>Bestellte Kartons</t>
  </si>
  <si>
    <t>Situation in stock</t>
  </si>
  <si>
    <t>Verfügbar im Lager</t>
  </si>
  <si>
    <t>total
NEM [kg]</t>
  </si>
  <si>
    <t>insgesamt
NEM [kg]</t>
  </si>
  <si>
    <t>(without VAT)</t>
  </si>
  <si>
    <t>(included VAT)</t>
  </si>
  <si>
    <t>AUSVERKAUFT</t>
  </si>
  <si>
    <t>POSLEDNÍCH</t>
  </si>
  <si>
    <t>VK</t>
  </si>
  <si>
    <t>MÉNĚ NEŽ 1 VK!</t>
  </si>
  <si>
    <t>LAST</t>
  </si>
  <si>
    <t>LETZTE</t>
  </si>
  <si>
    <t>CTN</t>
  </si>
  <si>
    <t>KTN</t>
  </si>
  <si>
    <t>LESS THAN 1 CTN!</t>
  </si>
  <si>
    <t>WENIGER ALS 1 KTN!</t>
  </si>
  <si>
    <t>NEM  [kg]</t>
  </si>
  <si>
    <t>1.1G
NEM  [kg]</t>
  </si>
  <si>
    <t>1.3G
NEM  [kg]</t>
  </si>
  <si>
    <t>1.4G
NEM  [kg]</t>
  </si>
  <si>
    <t>Zvolte způsob přepravy</t>
  </si>
  <si>
    <t>Choose the method of transport</t>
  </si>
  <si>
    <t>Verpackungsmethode wählen</t>
  </si>
  <si>
    <t>které nejsou skladem, ostraňte je z objednávky!</t>
  </si>
  <si>
    <t>na volno</t>
  </si>
  <si>
    <t>.</t>
  </si>
  <si>
    <t>Máte objednáno</t>
  </si>
  <si>
    <t>kartonů, které zabalíme na palety.</t>
  </si>
  <si>
    <t>kartonů zboží s nakládkou na volno.</t>
  </si>
  <si>
    <t>cartons, which we will pack on pallets.</t>
  </si>
  <si>
    <t>cartons of goods with free loading.</t>
  </si>
  <si>
    <t>You have ordered</t>
  </si>
  <si>
    <t>Warenkartons mit lose verlegt Einladung bestellt.</t>
  </si>
  <si>
    <t>Warenkartons, die wir auf Paletten verpacken.</t>
  </si>
  <si>
    <t>Sie bestellen</t>
  </si>
  <si>
    <t>Objednáváte položky</t>
  </si>
  <si>
    <t>±</t>
  </si>
  <si>
    <t xml:space="preserve">                                               INTERACTIVE   PRICELIST  2020</t>
  </si>
  <si>
    <t xml:space="preserve">                                                             Effective from 15.08.2019 - 01.09.2020</t>
  </si>
  <si>
    <t>Opis efekta</t>
  </si>
  <si>
    <t>Descrizione dell'effetto</t>
  </si>
  <si>
    <t>Opis efektu</t>
  </si>
  <si>
    <t>Mô tả hiệu ứng</t>
  </si>
  <si>
    <t>Efekto aprašymas</t>
  </si>
  <si>
    <t xml:space="preserve">tenk(vožnja +zviždanje)/fontana+pucketanje </t>
  </si>
  <si>
    <t>movimento+fischiare serbatoio (fontana+crepitio salvo da cannone)</t>
  </si>
  <si>
    <t>jadący czołg z  gwizdem (fontanna + trzaskająca salwa z armaty)</t>
  </si>
  <si>
    <t>kotrljanje i zvižduk (fontana + pucketanje salve iz topa)</t>
  </si>
  <si>
    <t>sáo kỵ binh + xe tăng huýt (vòi phun lửa + dạn bán từ daị bác)</t>
  </si>
  <si>
    <t>žeme judantis ir švilpiantis fejerverkas (fontanas + spragsėjimas iš patrankos)</t>
  </si>
  <si>
    <t>fontana, karton sadrži tri različite boje proizvoda (zelena, žuta, roza)</t>
  </si>
  <si>
    <t>cucciolo di squalo-  fontana squali,3 effetti  di colore diverso (verde, giallo, rosa)</t>
  </si>
  <si>
    <t>rekinek z fontanną, karton zawiera 3 różne kolory rekinków (zielony, żółty, różowy)</t>
  </si>
  <si>
    <t>dečja ajkula s fontanom, pakovanje sadrži 3 različite boje morskih pasa (zelena, žuta, ružičasta)</t>
  </si>
  <si>
    <t>cá mập non với vòi phun lửa, bìa cứng chứa 3 con cá mập màu khác nhau (xanh lá cây, vàng, tím)</t>
  </si>
  <si>
    <t>kūdikio ryklio fejerverkas su fontanu, dėžutėje yra 3 skirtingų spalvų rykliai (žalias, geltonas ir rožinis)</t>
  </si>
  <si>
    <t>rotacija crvena/zelena/žuta - podni efekt</t>
  </si>
  <si>
    <t>effetto rotante rosso/verde/giallo-terra</t>
  </si>
  <si>
    <t>wirujący po ziemi bączek, czerwony / zielony / żółty</t>
  </si>
  <si>
    <t>rotirajući crveni/zeleni/žuti efekat</t>
  </si>
  <si>
    <t xml:space="preserve">hiệu ứng xoay màu đỏ / xanh lá cây / vàng - hiệu ứng ở mặt đất </t>
  </si>
  <si>
    <t>besisukantis ant žemės fejerverkas - raudonos, žalios, geltonos spalvos efektai</t>
  </si>
  <si>
    <t>rotirajući kotač-u boji+pucketanje sa dimnim efektom na kraju</t>
  </si>
  <si>
    <t>ruota rotante colorata e scoppiettante con effetto fumo alla fine</t>
  </si>
  <si>
    <t>obracające się kolorowe i trzaskające koło z efektem dymu na końcu</t>
  </si>
  <si>
    <t>rotirajući dimni i svetlosni efekat</t>
  </si>
  <si>
    <t>Vồng tròn - quay có màu và tiếng nổ lách tách với hiệu ứng khói ở cuối</t>
  </si>
  <si>
    <t>besisukantis spalvotas ir traškantis ratas su dūmų efektu gale</t>
  </si>
  <si>
    <t>velika rotacija crvena/zelena/žuta - podni efekt</t>
  </si>
  <si>
    <t>obracające się kolorowe i trzaskające duże koło</t>
  </si>
  <si>
    <t>veliki spiner crveni/zeleni/žuti efekat</t>
  </si>
  <si>
    <t xml:space="preserve">Vồng tròn to - hiệu ứng xoay màu đỏ / xanh lá cây / vàng - hiệu ứng ở mặt đất </t>
  </si>
  <si>
    <t>didelis besisukantis ant žemės fejerverkas - raudonos, žalios, geltonos spalvos efektai</t>
  </si>
  <si>
    <t>DP1SW</t>
  </si>
  <si>
    <t>whistling rotate effect with crackling star</t>
  </si>
  <si>
    <t>pískající rotující efekt s práskajícími hvězdami</t>
  </si>
  <si>
    <t xml:space="preserve">Pfeifender Rotationseffekt mit knisternden Sternen </t>
  </si>
  <si>
    <t>zviždeći rotirajući efekt sa pucketajućim zvjezdicama</t>
  </si>
  <si>
    <t>fischi effetto ruotare con stella scoppiettante</t>
  </si>
  <si>
    <t>gwiżdżąco kręcące się z trzeczącymi gwiazdkami</t>
  </si>
  <si>
    <t>rotirajuži zemni spiner sa zviždukom</t>
  </si>
  <si>
    <t>Dấu vết quây mau bac - những ngôi sao nổ nứt</t>
  </si>
  <si>
    <t>švilpiantis besisukantis efektas su traškančia žvaigžde</t>
  </si>
  <si>
    <t>velika rotirajuća cijev crvena+pucketanje - podni efekt</t>
  </si>
  <si>
    <t xml:space="preserve">grande tubo rotante effetto rosso+scoppiettante a terra  </t>
  </si>
  <si>
    <t>duża wirujący bączek czerwona + efekt trzaskania ziemi</t>
  </si>
  <si>
    <t>velika rotirajuća prizma crvena+krekling</t>
  </si>
  <si>
    <t>didelis besisukantis ant žemės vamzdis - raudonos spalvos efektas su traškesiu</t>
  </si>
  <si>
    <t>pucketajući efekt, dužina 20cm</t>
  </si>
  <si>
    <t>effetto crepitio, lunghezza 20cm</t>
  </si>
  <si>
    <t>efekt trzeszczący, długość 20cm</t>
  </si>
  <si>
    <t>krekling efekat dužine 20cm</t>
  </si>
  <si>
    <t>hiệu ứng nứt, chiều dài 20 cm</t>
  </si>
  <si>
    <t>traškantis efektas, 20cm ilgio</t>
  </si>
  <si>
    <t>pucketajuća zrnca</t>
  </si>
  <si>
    <t xml:space="preserve">effetto scoppiettante </t>
  </si>
  <si>
    <t>trzeszczące granulki</t>
  </si>
  <si>
    <t>krekling granule</t>
  </si>
  <si>
    <t>hạt màu - nổ nứt</t>
  </si>
  <si>
    <t>traškančios granulės</t>
  </si>
  <si>
    <t>pucketajuća kuglica 1g, promjer 23mm</t>
  </si>
  <si>
    <t>palla scoppiettante 1g, diametro 23mm</t>
  </si>
  <si>
    <t>trzeszczące kulki 1g, średnica 23mm</t>
  </si>
  <si>
    <t>krekling kugla 1g, prečnik 23mm</t>
  </si>
  <si>
    <t>bong bóng nổ 1g, dấu vết kính 23mm</t>
  </si>
  <si>
    <t>traškantis kamuoliukas 1g, 23mm skersmens</t>
  </si>
  <si>
    <t>zviždeća cjevčica</t>
  </si>
  <si>
    <t>tubo fischiettante</t>
  </si>
  <si>
    <t>gwiżdżąca rurka</t>
  </si>
  <si>
    <t>zviždeća tuba</t>
  </si>
  <si>
    <t>ống - huýt sáo</t>
  </si>
  <si>
    <t>švilpiantis vamzdis</t>
  </si>
  <si>
    <t>DP2W</t>
  </si>
  <si>
    <t>pucketajuće trake</t>
  </si>
  <si>
    <t xml:space="preserve">tirare le corde </t>
  </si>
  <si>
    <t>strzelające sznurki</t>
  </si>
  <si>
    <t xml:space="preserve">pucanj na potez </t>
  </si>
  <si>
    <t>Dây - Giật nổ</t>
  </si>
  <si>
    <t>sproginėjanti virvutė</t>
  </si>
  <si>
    <t>fontana u boji sa pucketajućim zvjezdicama</t>
  </si>
  <si>
    <t>fontana a colore con stelle scoppiettanti</t>
  </si>
  <si>
    <t>kolorowa fontanna z trzaskającymi gwiazdami</t>
  </si>
  <si>
    <t>krekling fontana sa zvezdama u boji</t>
  </si>
  <si>
    <t>vòi phun lửa màu - Ngôi sao nổ nứt</t>
  </si>
  <si>
    <t>spalvotas fontanas su traškančiomis žvaigždėmis</t>
  </si>
  <si>
    <t>mala bijela bljeskalica</t>
  </si>
  <si>
    <t>piccolo strobo bianco</t>
  </si>
  <si>
    <t>mały stroboskop biały</t>
  </si>
  <si>
    <t>mali beli strob</t>
  </si>
  <si>
    <t>ánh sáng trắng "rực rỡ" nhấp nháy</t>
  </si>
  <si>
    <t>mažas baltas mirksiukas</t>
  </si>
  <si>
    <t>dječja baklja u boji sa svjetlećom narukvicom</t>
  </si>
  <si>
    <t>colpo  di colore (diametro 9mm)</t>
  </si>
  <si>
    <t>mini fontanna</t>
  </si>
  <si>
    <t>dečja party baklja sa srebrnim iskrama</t>
  </si>
  <si>
    <t>ngọn đuốc màu trẻ em va một chiếc vòng tay tỏa sáng</t>
  </si>
  <si>
    <t>spalvotas fontanas vaikų šventėms su šviečiančia apyranke</t>
  </si>
  <si>
    <t>bombice za bacanje u boji (promjer 9mm)</t>
  </si>
  <si>
    <t>kolorowe diabełki 9mm</t>
  </si>
  <si>
    <t>pucajuće kuglice na udar u boji prečnika 9mm</t>
  </si>
  <si>
    <t xml:space="preserve">bong bóng đốt - hiệu ứng "nổ nứt" (dấu vết kính 9mm) </t>
  </si>
  <si>
    <t>spalvotas metamas ant žemės sprogus kamuoliukas 9mm skersmens</t>
  </si>
  <si>
    <t>Dumbum velké bouchací kuličky</t>
  </si>
  <si>
    <t>black throwdowns (diameter 14mm)</t>
  </si>
  <si>
    <t xml:space="preserve">černé bouchací kuličky(průměr 14mm) </t>
  </si>
  <si>
    <t>Schwarze Knallkugeln (Durchmesser 14 mm)</t>
  </si>
  <si>
    <t>bombice za bacanje u boji (promjer 14mm)</t>
  </si>
  <si>
    <t>colpo di colore (diametro 14 mm)</t>
  </si>
  <si>
    <t>kolorowe diabełki 14mm</t>
  </si>
  <si>
    <t>pucajuće kuglice na udar u boji prečnika 14mm</t>
  </si>
  <si>
    <t>spalvotas metamas ant žemės sprogus kamuoliukas 14mm skersmens</t>
  </si>
  <si>
    <t xml:space="preserve">bong bóng đốt - hiệu ứng "nổ nứt" (dấu vết kính 14mm) </t>
  </si>
  <si>
    <t>zlatne leteće pčele</t>
  </si>
  <si>
    <t>ape volante d'oro</t>
  </si>
  <si>
    <t>złote latające pszczółki</t>
  </si>
  <si>
    <t>zlatna leteća pčela</t>
  </si>
  <si>
    <t>ong bay với lửa vàng</t>
  </si>
  <si>
    <t>auksinė skraidanti bitė</t>
  </si>
  <si>
    <t>LM0SW</t>
  </si>
  <si>
    <t>Scream Wasp</t>
  </si>
  <si>
    <t>whistling wasp</t>
  </si>
  <si>
    <t>pískající vosa</t>
  </si>
  <si>
    <t>Pfeifende Wespe</t>
  </si>
  <si>
    <t>zviždeće ose</t>
  </si>
  <si>
    <t>fischi vespa</t>
  </si>
  <si>
    <t>Gwiżdżący bączek</t>
  </si>
  <si>
    <t>zvižduk osa</t>
  </si>
  <si>
    <t>ong bay với hiệu ứng huýt sáo</t>
  </si>
  <si>
    <t>švilpianti vapsva</t>
  </si>
  <si>
    <t>srebrni rotirajući rep</t>
  </si>
  <si>
    <t>coda rotante argento</t>
  </si>
  <si>
    <t>kręcący się srebrny motylek</t>
  </si>
  <si>
    <t>srebrni rotirajući trag</t>
  </si>
  <si>
    <t>con bướm lửa - mau bac cung dấu vết vòng quay</t>
  </si>
  <si>
    <t>sidabrinė besisukanti uodega</t>
  </si>
  <si>
    <t>zeleni rotirajući rep-zeleni bljesak</t>
  </si>
  <si>
    <t>coda rotante verde a strobo verde</t>
  </si>
  <si>
    <t>motylki – zielony wirujący ogon przechodzący w zielony stroboskop</t>
  </si>
  <si>
    <t>zlatni rotirajući trag do zelenog stroba</t>
  </si>
  <si>
    <t>Dấu vết quây xanh với những ngôi sao xanh lấp lánh</t>
  </si>
  <si>
    <t>žalia besisukanti uodega su žaliu mirksėjimu</t>
  </si>
  <si>
    <t>srebrni rotirajući rep i pucketanje</t>
  </si>
  <si>
    <t>coda rotante argento a crepitio</t>
  </si>
  <si>
    <t>motylki - srebrny wirujący ogon z trzeszczeniem</t>
  </si>
  <si>
    <t>drebrni rotirajući trag sa krekerima</t>
  </si>
  <si>
    <t>sidabrinė besisukanti uodega su traškesiu</t>
  </si>
  <si>
    <t>srebrni rotirajući rep sa bijelim bljeskom i crvenim pucketanjem</t>
  </si>
  <si>
    <t>coda rotante argento a strobo bianco w.perla rossa</t>
  </si>
  <si>
    <t>motylki - srebrny wirujący ogon przechodzący w biały stroboskop z czerwonym</t>
  </si>
  <si>
    <t>srebrni rotirajući trag do belog stroba sa crvenim biserima</t>
  </si>
  <si>
    <t>Dấu vết quây mau bac + ngọc trai đỏ với tâm trắng nhấp nháy</t>
  </si>
  <si>
    <t>sidabrinė besisukanti uodega su baltu mirksėjimu ir raudonu perlu</t>
  </si>
  <si>
    <t>crveni rep i crvena rotacija s pucketanjem</t>
  </si>
  <si>
    <t>coda rossa a onda rossa w.crepitio</t>
  </si>
  <si>
    <t>motylki - czerwony ogon przechodzący w czerwoną falę z trzeszczeniem</t>
  </si>
  <si>
    <t>crveni trag do crvenog snopa sa krekerima</t>
  </si>
  <si>
    <t>Dấu vết đỏ - dấu vết đỏ với sóng đỏ và trung tâm nứt nẻ</t>
  </si>
  <si>
    <t>raudona uodega su raudona banga ir traškesiu</t>
  </si>
  <si>
    <t>zviždeći avion sa crvenim svjetlom i pucketajućim zvjezdicama(2kom) i 
zviždeći avion sa zelenim svijetlom i pucketajućim bljeskajućim zvjezdicama(2kom)</t>
  </si>
  <si>
    <t>aereo  fischiettante con luce rossa e stelle scoppiettanti (2 pezzi) + piano fischiettante con luce verde e stelle cracking +stroboscopiche (2 pezzi)</t>
  </si>
  <si>
    <t>gwiżdżący samolot z czerwonym światłem i trzaskającymi gwiazdami (2 szt.) + świszczący samolot z zielonym światłem i trzaskaniem + stroboskop (2 szt.)</t>
  </si>
  <si>
    <t>zvuk aviona sa crvenim(2kom) i zelenim (2kom) krekerima</t>
  </si>
  <si>
    <t>máy bay huýt sáo với ánh sáng đỏ và những ngôi sao lạch cạch (2 chiếc) + máy bay huýt sáo với ánh sáng xanh và tiếng lách tách + những ngôi sao lấp lánh (2 chiếc)</t>
  </si>
  <si>
    <t>švilpiantis lėktuvas su raudona šviesa ir traškančiom žvaigždėm (2 vienetai) + švilpiantis lėktuvas su žalia šviesa ir traškesiu + mirksinčios žvaigždės (2 vienetai)</t>
  </si>
  <si>
    <t>leteći efekt u boji sa zlatnom kišom(1kom), leteći efekt u boji sa pucketajućim zvjezdicama</t>
  </si>
  <si>
    <t>effetto colore volante/pulsato con corona di broccato(1 pz), effetto colore volante/pulsante con stelle di cracking(1pz)</t>
  </si>
  <si>
    <t>latający / pulsujący kolor z brokatoem (1 szt.), latający / pulsujący kolor z trzeszczącymi gwiazdami (1 szt.)</t>
  </si>
  <si>
    <t>leteće/pulsirajuće boje s brokatnom krunom (1 kom), leteće/pulsirajuće boje sa zezdama koje pucaju (1 kom)</t>
  </si>
  <si>
    <t>hiệu ứng màu bay / rung động với vương miện (brocade) (1pc), hiệu ứng màu bay / rung chuyển với các ngôi sao lấp lánh (1pc)</t>
  </si>
  <si>
    <t xml:space="preserve">skraidantis/pulsuojantis efektas su brokato vainiku (1 vienetas), skraidantis/pulsuojantis spalvų efektas su traškančiomis žvaigždėmis (1 vienetas) </t>
  </si>
  <si>
    <t>zviždeći leteći tanjur sa zelenim svjetlom</t>
  </si>
  <si>
    <t>effetto volante fischiettante con luce verde</t>
  </si>
  <si>
    <t>gwiżdżący latający spodek z zielonym światłem</t>
  </si>
  <si>
    <t>zviždeći leteći tanjir sa zelenim svetlom</t>
  </si>
  <si>
    <t>đĩa bay huýt sáo với ánh sáng xanh</t>
  </si>
  <si>
    <t>švilpianti skraidanti lėkštė su žalia šviesa</t>
  </si>
  <si>
    <t>LM7S(1)</t>
  </si>
  <si>
    <t>švilpianti, skrendanti lėkštė su žalia šviesa</t>
  </si>
  <si>
    <t>SU45B</t>
  </si>
  <si>
    <t>whistling flying saucer with tail+brocade crown, height of effect 45m</t>
  </si>
  <si>
    <t>pískající létající talíř s chvostem+brokátová koruna, výška efektu 45m</t>
  </si>
  <si>
    <t>zviždeći leteći tanjur sa tragom + zlatna kiša, visina efekta 45m</t>
  </si>
  <si>
    <t>piattino volante fischiettante con corona coda+broccato, altezza dell'effetto 45m</t>
  </si>
  <si>
    <t>gwiżdżący latający spodek z ogonem + brokatowa korona, wysokość efektu 45m</t>
  </si>
  <si>
    <t>zviždeći leteći tanjir s repom + brokatna kruna, visina efekta 45m</t>
  </si>
  <si>
    <t>Đĩa bay huýt sáo với dấu vết + vương miện thổ cẩm, chiều cao hiệu ứng 45m</t>
  </si>
  <si>
    <t>švilpianti skrendanti lėkštė su uodega ir brokato karūna, efekto aukštis 45m</t>
  </si>
  <si>
    <t>Dječji set sadrži:DP1FD- 1x,DP1FR-1x,DP1BP- 3x,BK1B-1x,BK1P-1x,DP1CB-1x,DP1B-1x,
DP1R-2x, S12S-1x</t>
  </si>
  <si>
    <t>Il pacchetto per bambini contiene:DP1FD- 1x,DP1FR-1x,DP1BP- 3x,BK1B-1x,BK1P-1x,DP1CB-1x,DP1B-1x,DP1R-2x, S12S-1x</t>
  </si>
  <si>
    <t>Pakiet różności : DP1FD- 1x, DP1FR-1x, DP1BP- 3x, BK1B-1x, BK1P-1x, DP1CB-1x, DP1B-1x, DP1R-2x, S12S-1x</t>
  </si>
  <si>
    <t>sadrži:DP1FD- 1x,DP1FR-1x,DP1BP- 3x,BK1B-1x,BK1P-1x,DP1CB-1x,DP1B-1x,DP1R-2x, S12S-1x</t>
  </si>
  <si>
    <t>bộ chứa: DP1FD- 1x, DP1FR-1x, DP1BP- 3x, BK1B-1x, BK1P-1x, DP1CB-1x, DP1B-1x, DP1R-2x, S12S-1x</t>
  </si>
  <si>
    <t>vaikų rinkinys, sudarytas iš: DP1FD- 1x,DP1FR-1x,DP1BP- 3x,BK1B-1x,BK1P-1x,DP1CB-1x,DP1B-1x,DP1R-2x, S12S-1x</t>
  </si>
  <si>
    <t>P8DCH</t>
  </si>
  <si>
    <t>peel-off children's calendar with 8 windows on 24.12-31.12</t>
  </si>
  <si>
    <t>vylupovací dětský kalendář s 8 okýnky na 24.12-31.12</t>
  </si>
  <si>
    <t>Peel-Off-Kinderkalender mit 8 Fenstern am 24.12.-31.12</t>
  </si>
  <si>
    <t>dječji adventski kalendar sa 8 prozora od 24.12.-31.12.</t>
  </si>
  <si>
    <t>calendario per bambini con 8 finestre il 24.12-31.12</t>
  </si>
  <si>
    <t>Dečji kalendar sa odlepljivanjem, 8 prozora od 24,12 do 31,12</t>
  </si>
  <si>
    <t>mở lịch "quà" trẻ em với 8 cửa sổ vào ngày 24.12-31.12</t>
  </si>
  <si>
    <t>nulupamas vaikų kalendorius su 8 langeliais gruodžio 24-31 dienoms</t>
  </si>
  <si>
    <t>Obiteljski set sadrži:4 rocket,DP1BP-2x,DP1B-1x,S12S-1x,P1-1x,BK1B-1x,DP1R-1x,DP1VC-1x,
DP1CB-1x,K01M-1x,R4420B- 2x</t>
  </si>
  <si>
    <t>Il pacchetto famiglia contiene:razzo 4,DP1BP-2x,DP1B-1x,S12S-1x,P1-1x,BK1B-1x,DP1R-1x,DP1VC-1x,DP1CB-1x,K01M-1x,R4420B- 2x</t>
  </si>
  <si>
    <t>Pakiet rodzinny zawiera: 4 rakiety, DP1BP-2x, DP1B-1x, S12S-1x, P1-1x, BK1B-1x, DP1R-1x, DP1VC-1x, DP1CB-1x, K01M-1x, R4420B- 2x</t>
  </si>
  <si>
    <t>sadrži:4 rocket,DP1BP-2x,DP1B-1x,S12S-1x,P1-1x,BK1B-1x,DP1R-1x,DP1VC-1x,DP1CB-1x,K01M-1x,R4420B- 2x</t>
  </si>
  <si>
    <t>bộ chứa: 4 tên lửa, DP1BP-2x, DP1B-1x, S12S-1x, P1-1x, BK1B-1x, DP1R-1x, DP1VC-1x, DP1CB-1x, K01M-1x, R4420B-2x</t>
  </si>
  <si>
    <t>šeimos rinkinys, sudarytas iš: 4 raketų,DP1BP-2x,DP1B-1x,S12S-1x,P1-1x,BK1B-1x,DP1R-1x,DP1VC-1x,DP1CB-1x,K01M-1x,R4420B- 2x</t>
  </si>
  <si>
    <t xml:space="preserve">Obiteljski set sadrži:1x-VP16A,DP1VC, LM2V 1 single pc, R4420B 2 single pc, R12T1 4 sinlge pc, </t>
  </si>
  <si>
    <t>Il pacchetto famiglia contiene:1x-VP16A,DP1VC, LM2V 1 singolo pc, R4420B 2 singolo pc, R12T1 4 sinlge pc</t>
  </si>
  <si>
    <t>Pakiet rodzinny zawiera: 1x-VP16A, DP1VC, LM2V 1 szt., R4420B 2 szt., R12T1 4 szt.,</t>
  </si>
  <si>
    <t xml:space="preserve">sadrži:1x-VP16A,DP1VC, LM2V 1 single pc, R4420B 2 single pc, R12T1 4 sinlge pc, </t>
  </si>
  <si>
    <t>bộ chứa: 1 gói-VP16A, DP1VC, LM2V 1pc, R4420B 2pcs, R12T1 4pcs</t>
  </si>
  <si>
    <t xml:space="preserve">šeimos rinkinys, sudarytas iš: 1x-VP16A,DP1VC, LM2V 1 vienetas, R4420B 2 vienetai, R12T1 4 vienetai </t>
  </si>
  <si>
    <t>zlatne prskalice, dužina 70cm, dužina gorivog dijela 55cm, promjer gorivog dijela 4,5mm</t>
  </si>
  <si>
    <t>scintille dorate, lunghezza 70cm, lunghezza del materiale frizzante 55cm, diametro massa scintilla 4,5mm</t>
  </si>
  <si>
    <t>zimne ognie złote, długość 70cm, długość paląca się 55cm, średnica 4,5mm</t>
  </si>
  <si>
    <t>prskalice dužine 70 cm, aktivna dužina 55 cm, prečnik mase 4,5 mm</t>
  </si>
  <si>
    <t>tia lửa vàng, chiều dài 70cm, chiều dài khối bắn 55cm, dấu vết kính khối bắn 4,5mm</t>
  </si>
  <si>
    <t>auksinė bengališka ugnelė, 70cm ilgio, 55cm kibirkščiuojančios medžiagos, 4.5mm skersmens</t>
  </si>
  <si>
    <t>zlatne prskalice, dužina 40cm, dužina gorivog dijela 32,5cm, promjer gorivog dijela 3,7mm</t>
  </si>
  <si>
    <t>scintille dorate, lunghezza 40cm, lunghezza del materiale frizzante 32,5 cm, diametro massa scintilla 3,7mm</t>
  </si>
  <si>
    <t>zimne ognie złote, długość 40cm, długość paląca się 32,5cm, średnica 3,7mm</t>
  </si>
  <si>
    <t>prskalice dužine 40 cm, aktivna dužina 32,5 cm, prečnik mase 3,7 mm</t>
  </si>
  <si>
    <t>tia lửa vàng, chiều dài 40cm, chiều dài vật liệu bắn ra 32,5cm, dấu vết kính vật liệu bắn tung toé 3,7mm</t>
  </si>
  <si>
    <t>auksinė bengališka ugnelė, 40cm ilgio, 32.6cm kibirkščiuojančios medžiagos, 3.7mm skersmens</t>
  </si>
  <si>
    <t>zlatne prskalice, dužina 28cm, dužina gorivog dijela 20,5cm, promjer gorivog dijela 3mm</t>
  </si>
  <si>
    <t>scintille dorate, lunghezza 28 cm, lunghezza del materiale frizzante 20,5 cm, diametro massa scintilla 3mm</t>
  </si>
  <si>
    <t>zimne ognie złote, długość 28cm, długość paląca się 20,5cm, średnica 3mm</t>
  </si>
  <si>
    <t>prskalice dužine 28 cm, aktivna dužina 20,5 cm, prečnik mase 3 mm</t>
  </si>
  <si>
    <t>tia lửa vàng, dài 28cm, dài khối phun 20,5cm, dấu vết kính khối phun 3mm</t>
  </si>
  <si>
    <t>auksinė bengališka ugnelė, 28cm ilgio, 20.5cm kibirkščiuojančios medžiagos, 3mm skersmens</t>
  </si>
  <si>
    <t>zlatne prskalice, dužina 90cm, dužina gorivog dijela 61cm, promjer gorivog dijela 4,8mm</t>
  </si>
  <si>
    <t>scintille dorate, lunghezza 90cm, lunghezza del materiale frizzante 61cm, diametro massa scintilla 4,8mm</t>
  </si>
  <si>
    <t>zimne ognie złote, długość 90cm, długość paląca się 61cm, średnica 4,8mm</t>
  </si>
  <si>
    <t>prskalice dužine 90cm, aktivna dužina 61cm, prečnik mase 4,8mm</t>
  </si>
  <si>
    <t>tia lửa vàng, chiều dài 90cm, chiều dài khối bắn 61cm, dấu vết kính khối bắn 4,8mm</t>
  </si>
  <si>
    <t>auksinė bengališka ugnelė, 90cm ilgio, 61cm kibirkščiuojančios medžiagos, 4.8mm skersmens</t>
  </si>
  <si>
    <t>golden sparklers, lenght 90cm, lenght of sparkling material 55cm, diameter sparkler mass 4,8mm</t>
  </si>
  <si>
    <t>zlaté prskavky, délka 90cm, délka prskací hmoty 55cm,  průměr prskací hmoty 4,8mm</t>
  </si>
  <si>
    <t>Goldene Wunderkerzen, Länge 90cm, Länge der platzenden Masse 55 cm, Durchmesser der platzenden Masse 4,8 mm</t>
  </si>
  <si>
    <t>zlatne prskalice, dužina 90cm, dužina gorivog dijela 55cm, promjer gorivog dijela 4,8mm</t>
  </si>
  <si>
    <t>scintille dorate, lunghezza 90cm, lunghezza del materiale frizzante 55cm, diametro massa scintilla 4,8mm</t>
  </si>
  <si>
    <t>zimne ognie złote, długość 90cm, długość paląca się 55cm, średnica 4,8mm</t>
  </si>
  <si>
    <t>prskalice dužine 90cm, aktivna dužina 55cm, prečnik mase 4,8mm</t>
  </si>
  <si>
    <t>tia lửa vàng, chiều dài 90cm, chiều dài khối bắn 55cm, dấu vết kính khối bắn 4,8mm</t>
  </si>
  <si>
    <t>auksinė bengališka ugnelė, 90cm ilgio, 55cm kibirkščiuojančios medžiagos, 4.8mm skersmens</t>
  </si>
  <si>
    <t>zlatne prskalice, dužina 70cm, dužina gorivog dijela 45cm, promjer gorivog dijela 4,5mm</t>
  </si>
  <si>
    <t>scintille dorate, lunghezza 70cm, lunghezza del materiale frizzante 45cm, diametro massa scintilla 4,5mm</t>
  </si>
  <si>
    <t>prskalice dužine 70cm, aktivna dužina 61cm, prečnik mase 4,8mm</t>
  </si>
  <si>
    <t>tia lửa vàng, chiều dài 70cm, chiều dài vật liệu bắn ra 45cm, dấu vết kính vật liệu bắn tung toé 4,5mm</t>
  </si>
  <si>
    <t>auksinė bengališka ugnelė, 70cm ilgio, 45cm kibirkščiuojančios medžiagos, 4.5mm skersmens</t>
  </si>
  <si>
    <t>zlatne prskalice, dužina 40cm, dužina gorivog dijela 26cm, promjer gorivog dijela 3,7mm</t>
  </si>
  <si>
    <t>scintille dorate, lunghezza 40cm, lunghezza del materiale frizzante 26cm, diametro massa scintilla 3,7mm</t>
  </si>
  <si>
    <t>zimne ognie złote, długość 40cm, długość paląca się 26cm, średnica 3,7mm</t>
  </si>
  <si>
    <t>prskalice dužine 40cm, aktivna dužina 26cm, prečnik mase 3,7mm</t>
  </si>
  <si>
    <t>tia lửa vàng, chiều dài 40cm, chiều dài khối bắn 26cm, dấu vết kính khối bắn 3,7mm</t>
  </si>
  <si>
    <t>auksinė bengališka ugnelė, 40cm ilgio, 26cm kibirkščiuojančios medžiagos, 3.7mm skersmens</t>
  </si>
  <si>
    <t>zlatne prskalice, dužina 28cm, dužina gorivog dijela 17cm, promjer gorivog dijela 3mm</t>
  </si>
  <si>
    <t>scintille dorate, lunghezza 28cm, lunghezza del materiale frizzante 17cm, diametro sparkler massa 3mm</t>
  </si>
  <si>
    <t>zimne ognie złote, długość 28cm, długość paląca się 17cm, średnica 3mm</t>
  </si>
  <si>
    <t>prskalice dužine 28cm, aktivna dužin 17cm, prečnik mase 3mm</t>
  </si>
  <si>
    <t>tia lửa vàng, chiều dài 28cm, chiều dài vật liệu phun 17cm, dấu vết kính vật liệu phun 3mm</t>
  </si>
  <si>
    <t>auksinė bengališka ugnelė, 28cm ilgio, 17cm kibirkščiuojančios medžiagos, 3mm skersmens</t>
  </si>
  <si>
    <t>zlatne prskalice, dužina 16cm, dužina gorivog dijela 8,5cm, promjer gorivog dijela 2,5mm</t>
  </si>
  <si>
    <t>scintille dorate, lunghezza 16 cm, lunghezza del materiale frizzante 8,5 cm, diametro massa scintilla 2,5mm</t>
  </si>
  <si>
    <t>zimne ognie złote, długość 16cm, długość paląca się 8,5cm, średnica 2,5mm</t>
  </si>
  <si>
    <t>prskalice dužine 16cm, aktivna dužin 8,5cm, prečnik mase 2,5mm</t>
  </si>
  <si>
    <t>tia lửa vàng, dài 16cm, chiều dài khối bắn 8,5cm, dấu vết kính khối bắn 2,5mm</t>
  </si>
  <si>
    <t>auksinė bengališka ugnelė, 16cm ilgio, 8.5cm kibirkščiuojančios medžiagos, 2.5mm skersmens</t>
  </si>
  <si>
    <t>neonske prskalice(roza, žuta,zelena, plava), dužina 28cm, dužina gorivog dijela 17cm, 
promjer gorivog dijela 3mm</t>
  </si>
  <si>
    <t>scintille al neon (rosa, giallo, verde, blu), lunghezza 28 cm, lunghezza del materiale scintillante 17 cm, diametro massa scintilla 3mm</t>
  </si>
  <si>
    <t>zimne ognie neonowe (różowy, żółty, zielony, niebieski), długość 28cm, długość paląca się 17cm, średnica 3mm</t>
  </si>
  <si>
    <t>neonske prskalice (ružičasta, žuta, zelena, plava) 28cm, aktivna dužina 17cm, prečnik mase 3mm</t>
  </si>
  <si>
    <t>tia lửa neon (hồng, vàng, xanh lá, xanh dương), chiều dài 28cm, chiều dài vật liệu phun 17cm, dấu vết kính vật liệu phun 3mm</t>
  </si>
  <si>
    <t>neoninė bengališka ugnelė (rožinės, geltonos, žalios ir mėlynos spalvų), 28cm ilgio, 17cm kibirkščiuojančios medžiagos, 3mm skersmens</t>
  </si>
  <si>
    <t>neonske prskalice(crvena, žuta,zelena, plava), dužina 40cm, dužina gorivog dijela 26cm, 
promjer gorivog dijela 3,7mm</t>
  </si>
  <si>
    <t>scintille al neon (rosso, yelow, verde, blu), lunghezza 40 cm, lunghezza del materiale scintillante 26 cm, diametro massa scintilla 3,7mm</t>
  </si>
  <si>
    <t>Zimne ognie neonowe (czerwony, żółty, zielony, niebieski), długość 40cm, długość paląca się 26cm, średnica 3,7mm</t>
  </si>
  <si>
    <t>neonske prskalice (crvena, žuta, zelena, plava) 40cm, aktivna dužina 26cm, prečnik mase 3,7mm</t>
  </si>
  <si>
    <t>tia lửa neon (đỏ, vàng, xanh lá, xanh dương), chiều dài 40cm, chiều dài khối bắn 26cm, dấu vết kính khối bắn 3,7mm</t>
  </si>
  <si>
    <t>neoninė bengališka ugnelė (rožinės, geltonos, žalios ir mėlynos spalvų), 40cm ilgio, 26cm kibirkščiuojančios medžiagos, 3.7mm skersmens</t>
  </si>
  <si>
    <t>pucketajuće zlatne prskalice, dužina 40cm, dužina gorivog dijela 26cm, promjer gorivog dijela 3,7mm</t>
  </si>
  <si>
    <t>scintille dorate scoppiettanti, lunghezza 40 cm, lunghezza del materiale frizzante 26 cm, diametro massa scintillio 3,7mm</t>
  </si>
  <si>
    <t>trzeszczące złote zimne ognie, długość 40cm, długość paląca się 26cm, średnica 3,7mm</t>
  </si>
  <si>
    <t>pucketave prskalice dužine 40cm, aktivna dužina 26cm, prečnik mase 3,7mm</t>
  </si>
  <si>
    <t>tia lửa vàng nổ lách tách, dài 40cm, chiều dài khối bắn 26cm, dấu vết kính khối bắn 3,7mm</t>
  </si>
  <si>
    <t>traškanti auksinė bengališka ugnelė, 40cm ilgio, 26cm kibirkščiuojančios medžiagos, 3.7mm skersmens</t>
  </si>
  <si>
    <t>zlatna prskalica u obliku broja 1</t>
  </si>
  <si>
    <t>scintille d'oro a forma di numero 1</t>
  </si>
  <si>
    <t>zimne ognie złote  w kształcie cyfry 1</t>
  </si>
  <si>
    <t>prskalica u obliku broja 1</t>
  </si>
  <si>
    <t>tia lửa vàng ​​lấp lánh có hình số 1</t>
  </si>
  <si>
    <t>auksinė bengališka ugnelė numerio 1 formos</t>
  </si>
  <si>
    <t>zlatna prskalica u obliku srca</t>
  </si>
  <si>
    <t>scintille d'oro a forma di cuore</t>
  </si>
  <si>
    <t>zimne ognie złote  w kształcie serca</t>
  </si>
  <si>
    <t>prskalica u obliku srca</t>
  </si>
  <si>
    <t>tia lửa vàng hình trái tim</t>
  </si>
  <si>
    <t>auksinė bengališka ugnelė širdies formos</t>
  </si>
  <si>
    <t>zlatna prskalica u obliku zvijezde</t>
  </si>
  <si>
    <t>scintille d'oro a forma di stella</t>
  </si>
  <si>
    <t>zimne ognie złote  w kształcie gwiazdki</t>
  </si>
  <si>
    <t>prskalica u obliku zvezde</t>
  </si>
  <si>
    <t>tia lửa vàng hình ngôi sao</t>
  </si>
  <si>
    <t>auksinė bengališka ugnelė žvaigždės formos</t>
  </si>
  <si>
    <t>zlatne prskalice (set brojeva od 0-9, srce, zvijezda)</t>
  </si>
  <si>
    <t>scintille d'oro (mix di numeri 0-9,cuore,stella)</t>
  </si>
  <si>
    <t>zimne ognie złote  w mix cyfr od 0 do 9, serce, gwiazdka</t>
  </si>
  <si>
    <t>asortiman prskalica (brojevi od 0-9, srce i zvezda)</t>
  </si>
  <si>
    <t>tia lửa vàng (kết hợp các số 0-9, trái tim, ngôi sao)</t>
  </si>
  <si>
    <t>auksinė bengališka ugnelė (numerių 0-9, širdies ir žvaigždės formų rinkinys)</t>
  </si>
  <si>
    <t>dimne kuglice(crvena, zelena, žuta, plava, bijela, roza)</t>
  </si>
  <si>
    <t>fumo colore rotondo(rosso,verde,giallo,blu,bianco,rosa)</t>
  </si>
  <si>
    <t>kulki dymne mix kolor (czerwony, zielony, żółty, niebieski, biały, różowy)</t>
  </si>
  <si>
    <t>boje: crvena, zelena, žuta, plava, bela, ružičasta</t>
  </si>
  <si>
    <t>khói tròn màu (đỏ, xanh lá, vàng, xanh dương, trắng, tím)</t>
  </si>
  <si>
    <t>spalvoti apvalūs dūmai (raudonos, žalios, geltonos, mėlynos ir rožinės spalvų)</t>
  </si>
  <si>
    <t>dim (plavi, crveni, žuti, zeleni)</t>
  </si>
  <si>
    <t>tubo di fumo (blu, rosso, giallo, verde)</t>
  </si>
  <si>
    <t>świece dymne mix kolor (niebieska, czerwona, żółta, zielona)</t>
  </si>
  <si>
    <t>boje: plava, crvena, žuta, zelena</t>
  </si>
  <si>
    <t>khói (ống) -xanh, đỏ, vàng, xanh lá cây</t>
  </si>
  <si>
    <t>dūmų vamzdis (mėlynos, raudonos, geltonos ir žalios spalvų)</t>
  </si>
  <si>
    <t>dim (narančasti, ljubičasti, bijeli, crni)</t>
  </si>
  <si>
    <t>tubo di fumo (arancione, viola, bianco, nero)</t>
  </si>
  <si>
    <t>świece dymne mix kolor (pomarańczowa, fioletowa, biała, czarna)</t>
  </si>
  <si>
    <t>boje: narandžasta, ljubičasta, bela, crna</t>
  </si>
  <si>
    <t>khói (ống) -orange, tím, trắng, đen</t>
  </si>
  <si>
    <t>dūmų vamzdis (oranžinės, violetinės, baltos ir juodos spalvų)</t>
  </si>
  <si>
    <t>D2C(1)</t>
  </si>
  <si>
    <t>D2CN(1)</t>
  </si>
  <si>
    <t>dim za odbijanje krtica (dim + miris)</t>
  </si>
  <si>
    <t>respingere il fumo delle talpe (fumo + odore)</t>
  </si>
  <si>
    <t>odstraszacz kretów (dym + intensywny zapach)</t>
  </si>
  <si>
    <t>khói đuổi ruồi (khói + mùi)</t>
  </si>
  <si>
    <t>dūmai atbaidantys kurmius (dūmai + kvapas)</t>
  </si>
  <si>
    <t>dim - bijela boja</t>
  </si>
  <si>
    <t>tubo fumo- colore bianco</t>
  </si>
  <si>
    <t>świeca dymna - kolor biały</t>
  </si>
  <si>
    <t>dimna baklja - Bela</t>
  </si>
  <si>
    <t>khói (ống) -màu trắng</t>
  </si>
  <si>
    <t>dūmų vamzdis baltos spalvos</t>
  </si>
  <si>
    <t xml:space="preserve">dim - crvena boja </t>
  </si>
  <si>
    <t xml:space="preserve">tubo di fumo- colore rosso </t>
  </si>
  <si>
    <t>świeca dymna – kolor czerwony</t>
  </si>
  <si>
    <t>dimna baklja - Crvena</t>
  </si>
  <si>
    <t>khói (ống) màu đỏ</t>
  </si>
  <si>
    <t>dūmų vamzdis raudonos spalvos</t>
  </si>
  <si>
    <t>tubo di fumo- colore rosso</t>
  </si>
  <si>
    <t>dim - plava boja</t>
  </si>
  <si>
    <t>tubo fumo- colore blu</t>
  </si>
  <si>
    <t>świeca dymna – kolor niebieski</t>
  </si>
  <si>
    <t>dimna baklja - Plava</t>
  </si>
  <si>
    <t>khói (ống) màu xanh lam</t>
  </si>
  <si>
    <t>dūmų vamzdis mėlynos spalvos</t>
  </si>
  <si>
    <t>dim - žuta boja</t>
  </si>
  <si>
    <t>tubo fumo- colore giallo</t>
  </si>
  <si>
    <t>świeca dymna – kolor żółty</t>
  </si>
  <si>
    <t>dimna baklja - Žuta</t>
  </si>
  <si>
    <t>khói (ống) -màu vàng</t>
  </si>
  <si>
    <t>dūmų vamzdis geltonos spalvos</t>
  </si>
  <si>
    <t xml:space="preserve">tubo fumo- colore giallo  </t>
  </si>
  <si>
    <t>dim - zelena boja</t>
  </si>
  <si>
    <t>tubo di fumo- colore verde</t>
  </si>
  <si>
    <t>świeca dymna – kolor zielony</t>
  </si>
  <si>
    <t>dimna baklja - Zelena</t>
  </si>
  <si>
    <t>khói (ống) -màu xanh lục</t>
  </si>
  <si>
    <t>dūmų vamzdis žalios spalvos</t>
  </si>
  <si>
    <t>dim - narančasta boja</t>
  </si>
  <si>
    <t>tubo fumo- colore arancione</t>
  </si>
  <si>
    <t>świeca dymna – kolor pomarańczowy</t>
  </si>
  <si>
    <t>dimna baklja - Narandžasta</t>
  </si>
  <si>
    <t>khói (ống) -quay màu</t>
  </si>
  <si>
    <t>dūmų vamzdis oranžinės spalvos</t>
  </si>
  <si>
    <t xml:space="preserve">dim (dim sa obje strane) - bijela boja </t>
  </si>
  <si>
    <t>tubo di fumo (fumo da due lati)colore bianco</t>
  </si>
  <si>
    <t>świeca dymna – dym z dwóch stron - kolor biały</t>
  </si>
  <si>
    <t>dimna baklja sa obostranim efektom - Bela</t>
  </si>
  <si>
    <t>ống khói (ống hút từ hai bên) -màu trắng</t>
  </si>
  <si>
    <t>dūmų vamzdis (iš abiejų pusių) baltos spalvos</t>
  </si>
  <si>
    <t xml:space="preserve">dim (dim sa obje strane) - crvena boja </t>
  </si>
  <si>
    <t>tubo di fumo (fumo da due lati)-colore rosso</t>
  </si>
  <si>
    <t>świeca dymna – dym z dwóch stron - kolor czerwony</t>
  </si>
  <si>
    <t>dimna baklja sa obostranim efektom - Crvena</t>
  </si>
  <si>
    <t>khói (ống khoí từ hai phía) màu khói</t>
  </si>
  <si>
    <t>dūmų vamzdis (iš abiejų pusių) raudonos spalvos</t>
  </si>
  <si>
    <t xml:space="preserve">dim (dim sa obje strane) - plava boja </t>
  </si>
  <si>
    <t>tubo di fumo (fumo da due lati)-colore blu</t>
  </si>
  <si>
    <t>świeca dymna – dym z dwóch stron – kolor niebieski</t>
  </si>
  <si>
    <t>dimna baklja sa obostranim efektom - Plava</t>
  </si>
  <si>
    <t>ống khói (ống khoí từ hai phía) -màu xanh</t>
  </si>
  <si>
    <t>dūmų vamzdis (iš abiejų pusių) mėlynos spalvos</t>
  </si>
  <si>
    <t>dim - aktivacija povlačenjem - bijela boja</t>
  </si>
  <si>
    <t>tubo di fumo con sistema di avvio di trazione - colore bianco</t>
  </si>
  <si>
    <t>świeca dymna odpalana ręcznie - kolor biały</t>
  </si>
  <si>
    <t>Dimna Baklja sa aktiviranjem na potez BELA</t>
  </si>
  <si>
    <t>ống khói (ống) có nổ cầu chì màu trắng</t>
  </si>
  <si>
    <t>dūmų vamzdis su istraukiamu ziedu arba uzdegamu fitiliu, baltos spalvos</t>
  </si>
  <si>
    <t>dim - aktivacija povlačenjem - crvena boja</t>
  </si>
  <si>
    <t>tubo di fumo con sistema di avvio di trazione - colore rosso</t>
  </si>
  <si>
    <t>świeca dymna odpalana ręcznie - kolor czerwony</t>
  </si>
  <si>
    <t>Dimna Baklja sa aktiviranjem na potez CRVENA</t>
  </si>
  <si>
    <t>ống khói (ống) có ngòi nổ màu đỏ</t>
  </si>
  <si>
    <t>dūmų vamzdis su istraukiamu ziedu arba uzdegamu fitiliu, raudonos spalvos</t>
  </si>
  <si>
    <t>dim - aktivacija povlačenjem - plava boja</t>
  </si>
  <si>
    <t>tubo di fumo con sistema di avvio di trazione - colore blu</t>
  </si>
  <si>
    <t>świeca dymna odpalana ręcznie - kolor niebieski</t>
  </si>
  <si>
    <t>Dimna Baklja sa aktiviranjem na potez PLAVA</t>
  </si>
  <si>
    <t>ống khói (ống) có ngòi nổ màu xanh lam</t>
  </si>
  <si>
    <t>dūmų vamzdis su istraukiamu ziedu arba uzdegamu fitiliu, mėlynos spalvos</t>
  </si>
  <si>
    <t>dim - aktivacija povlačenjem - žuta boja</t>
  </si>
  <si>
    <t>tubo di fumo con sistema di avvio di trazione - colore yelow</t>
  </si>
  <si>
    <t>świeca dymna odpalana ręcznie - kolor żółty</t>
  </si>
  <si>
    <t>Dimna Baklja sa aktiviranjem na potez ŽUTA</t>
  </si>
  <si>
    <t>ống khói (ống) có ngòi nổ - màu vàng</t>
  </si>
  <si>
    <t>dūmų vamzdis su istraukiamu ziedu arba uzdegamu fitiliu, geltonos spalvos</t>
  </si>
  <si>
    <t>dim - aktivacija povlačenjem - zelena boja</t>
  </si>
  <si>
    <t>tubo di fumo con sistema di avvio di trazione - colore verde</t>
  </si>
  <si>
    <t>świeca dymna odpalana ręcznie – kolor zielony</t>
  </si>
  <si>
    <t>Dimna Baklja sa aktiviranjem na potez ZELENA</t>
  </si>
  <si>
    <t>ống khói (ống) có ngòi nổ màu xanh lục</t>
  </si>
  <si>
    <t>dūmų vamzdis su istraukiamu ziedu arba uzdegamu fitiliu, žalios spalvos</t>
  </si>
  <si>
    <t>dim - aktivacija povlačenjem - narančasta boja</t>
  </si>
  <si>
    <t>tubo di fumo con sistema di avvio di trazione - colore arancione</t>
  </si>
  <si>
    <t>świeca dymna odpalana ręcznie - kolor pomarańczowy</t>
  </si>
  <si>
    <t>Dimna Baklja sa aktiviranjem na potez ORANŽ</t>
  </si>
  <si>
    <t>ống khói (ống) có nổ cầu chì màu cam</t>
  </si>
  <si>
    <t>dūmų vamzdis su istraukiamu ziedu arba uzdegamu fitiliu, oranžinės spalvos</t>
  </si>
  <si>
    <t>tubo di fumo con sistema di avvio di trazione - colore nero</t>
  </si>
  <si>
    <t>świeca dymna odpalana na zawleczkę - kolor czarny</t>
  </si>
  <si>
    <t>Dimna Baklja sa aktiviranjem na potez CRNA</t>
  </si>
  <si>
    <t>ống khói (ống) có nổ cầu chì màu đen</t>
  </si>
  <si>
    <t>dūmų vamzdis su istraukiamu ziedu arba uzdegamu fitiliu, juodos spalvos</t>
  </si>
  <si>
    <t xml:space="preserve">dim (dim sa obje strane) - aktivacija povlačenjem - bijela boja </t>
  </si>
  <si>
    <t>tubo di fumo (fumo da due lati) con sistema di avvio di trazione - colore bianco</t>
  </si>
  <si>
    <t>świeca dymna – dym z dwóch stron -odpalana ręcznie – kolor biały</t>
  </si>
  <si>
    <t>Dimna Dvostrana Baklja na potez BELA</t>
  </si>
  <si>
    <t>ống khói (ống khoí từ hai phía) có ngòi nổ - màu trắng</t>
  </si>
  <si>
    <t>dūmų vamzdis (iš abiejų pusių) su istraukiamu ziedu arba uzdegamu fitiliu, baltos spalvos</t>
  </si>
  <si>
    <t xml:space="preserve">dim (dim sa obje strane) - aktivacija povlačenjem - crvena boja </t>
  </si>
  <si>
    <t>tubo di fumo (fumo da due lati) con sistema di avvio di trazione - colore rosso</t>
  </si>
  <si>
    <t>świeca dymna – dym z dwóch stron -odpalana ręcznie – kolor czerwony</t>
  </si>
  <si>
    <t>Dimna Baklja na potez sa obostranim efektom CRVENA</t>
  </si>
  <si>
    <t>ống khói (ống khoí từ hai phía) có ngòi nổ màu đỏ</t>
  </si>
  <si>
    <t>dūmų vamzdis (iš abiejų pusių) su istraukiamu ziedu arba uzdegamu fitiliu, raudonos spalvos</t>
  </si>
  <si>
    <t xml:space="preserve">dim (dim sa obje strane) - aktivacija povlačenjem - plava boja </t>
  </si>
  <si>
    <t>tubo di fumo (fumo da due lati) con sistema di avvio di trazione - colore blu</t>
  </si>
  <si>
    <t>świeca dymna – dym z dwóch stron -odpalana ręcznie – kolor niebieski</t>
  </si>
  <si>
    <t>Dimna Baklja na potez sa obostranim efektom PLAVA</t>
  </si>
  <si>
    <t>ống khói (ống khoí từ hai phía) với ngòi nổ màu xanh lam</t>
  </si>
  <si>
    <t>dūmų vamzdis (iš abiejų pusių) su istraukiamu ziedu arba uzdegamu fitiliu, mėlynos spalvos</t>
  </si>
  <si>
    <t xml:space="preserve">dim (dim sa obje strane) - aktivacija povlačenjem - žuta boja </t>
  </si>
  <si>
    <t>tubo di fumo (fumo da due lati) con sistema di avvio di trazione - colore yelow</t>
  </si>
  <si>
    <t>świeca dymna – dym z dwóch stron -odpalana ręcznie – kolor żółty</t>
  </si>
  <si>
    <t>Dimna Baklja na potez sa obostranim efektom ŽUTA</t>
  </si>
  <si>
    <t>ống khói (ống khoí từ hai phía) có ngòi nổ - màu vàng</t>
  </si>
  <si>
    <t>dūmų vamzdis (iš abiejų pusių) su istraukiamu ziedu arba uzdegamu fitiliu, geltonos spalvos</t>
  </si>
  <si>
    <t xml:space="preserve">dim (dim sa obje strane) - aktivacija povlačenjem - zelena boja </t>
  </si>
  <si>
    <t>tubo di fumo (fumo da due lati) con sistema di avvio di trazione - colore verde</t>
  </si>
  <si>
    <t>świeca dymna – dym z dwóch stron -odpalana ręcznie – kolor zielony</t>
  </si>
  <si>
    <t>Dimna Baklja na potez sa obostranim efektom ZELENA</t>
  </si>
  <si>
    <t>ống khói (ống khoí từ hai phía) có ngòi nổ màu xanh lục</t>
  </si>
  <si>
    <t>dūmų vamzdis (iš abiejų pusių) su istraukiamu ziedu arba uzdegamu fitiliu, žalios spalvos</t>
  </si>
  <si>
    <t xml:space="preserve">dim (dim sa obje strane) - aktivacija povlačenjem - narančasta boja </t>
  </si>
  <si>
    <t>tubo di fumo (fumo da due lati) con sistema di avvio di trazione - colore arancione</t>
  </si>
  <si>
    <t>świeca dymna – dym z dwóch stron -odpalana ręcznie – kolor pomarańczowy</t>
  </si>
  <si>
    <t>Dimna Baklja na potez sa obostranim efektom ORANŽ</t>
  </si>
  <si>
    <t>ống khói (ống khoí từ hai phía) với ngòi nổ màu cam</t>
  </si>
  <si>
    <t>dūmų vamzdis (iš abiejų pusių) su istraukiamu ziedu arba uzdegamu fitiliu, oranžinės spalvos</t>
  </si>
  <si>
    <t xml:space="preserve">dim (dim sa obje strane) - aktivacija povlačenjem - crna boja </t>
  </si>
  <si>
    <t>tubo di fumo (fumo da due lati) con sistema di avvio di trazione - colore nero</t>
  </si>
  <si>
    <t>świeca dymna – dym z dwóch stron -odpalana ręcznie – kolor czarny</t>
  </si>
  <si>
    <t>Dimna Baklja na potez sa obostranim efektom CRNA</t>
  </si>
  <si>
    <t>ống khói (ống hút từ hai bên) có ngòi nổ - màu đen</t>
  </si>
  <si>
    <t>dūmų vamzdis (iš abiejų pusių) su istraukiamu ziedu arba uzdegamu fitiliu, juodos spalvos</t>
  </si>
  <si>
    <t>RDG60B(SH)</t>
  </si>
  <si>
    <t>Bílá dýmovnice-škrtací</t>
  </si>
  <si>
    <t>smoke tube with scratcher head-white color</t>
  </si>
  <si>
    <t>dýmovnice škrtací-bílá barva</t>
  </si>
  <si>
    <t>Rauchkörper mit Reibkopfzündung-weiße Farbe</t>
  </si>
  <si>
    <t>dim, aktivacija kresom - bijela boja</t>
  </si>
  <si>
    <t>tubo di fumo con graffiatore testa-bianco colore</t>
  </si>
  <si>
    <t>świece dymne na draskę – białe</t>
  </si>
  <si>
    <t>Dimna baklja, aktivacija trenjem - bela boja</t>
  </si>
  <si>
    <t>khói quẹt - trắng</t>
  </si>
  <si>
    <t>dūmų vamzdis su nukrapštoma galva, baltos spalvos</t>
  </si>
  <si>
    <t>RDG60C(SH)</t>
  </si>
  <si>
    <t>Červená dýmovnice-škrtací</t>
  </si>
  <si>
    <t>smoke tube with scratcher head- red color</t>
  </si>
  <si>
    <t>dýmovnice škrtací-červená barva</t>
  </si>
  <si>
    <t>Rauchkörper mit Reibkopfzündung-rote Farbe</t>
  </si>
  <si>
    <t>dim, aktivacija kresom - crvena boja</t>
  </si>
  <si>
    <t>tubo di fumo con testa graffiante- colore rosso</t>
  </si>
  <si>
    <t>świece dymne na draskę – czerwone</t>
  </si>
  <si>
    <t>Dimna baklja, aktivacija trenjem - crvena boja</t>
  </si>
  <si>
    <t>khói quẹt - đỏ</t>
  </si>
  <si>
    <t>dūmų vamzdis su nukrapštoma galva, raudonos spalvos</t>
  </si>
  <si>
    <t>RDG60M(SH)</t>
  </si>
  <si>
    <t>Modrá dýmovnice-škrtací</t>
  </si>
  <si>
    <t>smoke tube with scratcher head- blue color</t>
  </si>
  <si>
    <t>dýmovnice škrtací-modrá barva</t>
  </si>
  <si>
    <t>Rauchkörper mit Reibkopfzündung-blaue Farbe</t>
  </si>
  <si>
    <t>dim, aktivacija kresom  - plava boja</t>
  </si>
  <si>
    <t>tubo di fumo con testa graffiante- colore blu</t>
  </si>
  <si>
    <t>świece dymne na draskę – niebieskie</t>
  </si>
  <si>
    <t>Dimna baklja, aktivacija trenjem - plava boja</t>
  </si>
  <si>
    <t>khói quẹt - xanh</t>
  </si>
  <si>
    <t>dūmų vamzdis su nukrapštoma galva, mėlynos spalvos</t>
  </si>
  <si>
    <t>RDG60ZL(SH)</t>
  </si>
  <si>
    <t>Žlutá dýmovnice-škrtací</t>
  </si>
  <si>
    <t>smoke tube with scratcher head- yellow color</t>
  </si>
  <si>
    <t>dýmovnice škrtací-žlutá barva</t>
  </si>
  <si>
    <t>Rauchkörper mit Reibkopfzündung-gelb Farbe</t>
  </si>
  <si>
    <t>dim, aktivacija kresom - žuta boja</t>
  </si>
  <si>
    <t>tubo di fumo con testa graffiante- colore giallo</t>
  </si>
  <si>
    <t>świece dymne na draskę – żółte</t>
  </si>
  <si>
    <t>Dimna baklja, aktivacija trenjem - žuta boja</t>
  </si>
  <si>
    <t>khói quẹt - vàng</t>
  </si>
  <si>
    <t>dūmų vamzdis su nukrapštoma galva, geltonos spalvos</t>
  </si>
  <si>
    <t>RDG60ZE(SH)</t>
  </si>
  <si>
    <t>Zelená dýmovnice-škrtací</t>
  </si>
  <si>
    <t>smoke tube with scratcher head- green color</t>
  </si>
  <si>
    <t>dýmovnice škrtací-zelená barva</t>
  </si>
  <si>
    <t>Rauchkörper mit Reibkopfzündung-grüne Farbe</t>
  </si>
  <si>
    <t>dim, aktivacija kresom - zelena boja</t>
  </si>
  <si>
    <t>tubo di fumo con testa graffiante- colore verde</t>
  </si>
  <si>
    <t>świece dymne na draskę – zielone</t>
  </si>
  <si>
    <t>Dimna baklja, aktivacija trenjem - zelena boja</t>
  </si>
  <si>
    <t>khói quẹt - mau xanh lá cây</t>
  </si>
  <si>
    <t>dūmų vamzdis su nukrapštoma galva, žalios spalvos</t>
  </si>
  <si>
    <t>RDG60O(SH)</t>
  </si>
  <si>
    <t>Oranžová dýmovnice-škrtací</t>
  </si>
  <si>
    <t>smoke tube with scratcher head- orange color</t>
  </si>
  <si>
    <t>dýmovnice škrtací-oranžová barva</t>
  </si>
  <si>
    <t>Rauchkörper mit Reibkopfzündung-orange Farbe</t>
  </si>
  <si>
    <t>dim, aktivacija kresom - narančasta boja</t>
  </si>
  <si>
    <t>tubo di fumo con testa graffiante- colore arancione</t>
  </si>
  <si>
    <t>świece dymne na draskę – pomarańczowe</t>
  </si>
  <si>
    <t>Dimna baklja, aktivacija trenjem - narandžasta boja</t>
  </si>
  <si>
    <t>khói quẹt - cam</t>
  </si>
  <si>
    <t>dūmų vamzdis su nukrapštoma galva, oranžinės spalvos</t>
  </si>
  <si>
    <t>RDG60CER(SH)</t>
  </si>
  <si>
    <t>Černá dýmovnice-škrtací</t>
  </si>
  <si>
    <t>smoke tube with scratcher head- black color</t>
  </si>
  <si>
    <t>dýmovnice škrtací-černá barva</t>
  </si>
  <si>
    <t>Rauchkörper mit Reibkopfzündung-schwarze Farbe</t>
  </si>
  <si>
    <t>dim, aktivacija kresom - crna boja</t>
  </si>
  <si>
    <t>tubo fumo con testa graffiante- colore nero</t>
  </si>
  <si>
    <t>świece dymne na draskę – czarne</t>
  </si>
  <si>
    <t>Dimna baklja, aktivacija trenjem - crna boja</t>
  </si>
  <si>
    <t>khói quẹt - đen</t>
  </si>
  <si>
    <t>dūmų vamzdis su nukrapštoma galva, juodos spalvos</t>
  </si>
  <si>
    <t>RDG60R(SH)</t>
  </si>
  <si>
    <t>Růžová dýmovnice-škrtací</t>
  </si>
  <si>
    <t>smoke tube with scratcher head- pink color</t>
  </si>
  <si>
    <t>dýmovnice škrtací-růžová barva</t>
  </si>
  <si>
    <t>Rauchkörper mit Reibkopfzündung-pinke Farbe</t>
  </si>
  <si>
    <t>dim, aktivacija kresom - roza boja</t>
  </si>
  <si>
    <t>tubo di fumo con testa graffiante- colore rosa</t>
  </si>
  <si>
    <t>świece dymne na draskę – różowe</t>
  </si>
  <si>
    <t>Dimna baklja, aktivacija trenjem - pink boja</t>
  </si>
  <si>
    <t>khói quẹt - hồng</t>
  </si>
  <si>
    <t>dūmų vamzdis su nukrapštoma galva, rožinės spalvos</t>
  </si>
  <si>
    <t>dim sa aktivacijom pomoću poluge - bijela boja</t>
  </si>
  <si>
    <t>tubo di fumo con leva ignitor-bianco colore</t>
  </si>
  <si>
    <t>świeca dymna z zawleczką – kolor biały</t>
  </si>
  <si>
    <t>Beli dim sa polugom za aktiviranje</t>
  </si>
  <si>
    <t>khói có cần đánh lửa - màu trắng</t>
  </si>
  <si>
    <t>dūmų vamzdis, uzsidegantis istraukus zieda is svirties,  baltos spalvos</t>
  </si>
  <si>
    <t>dūmų vamzdis,  uzsidegantis istraukus zieda is svirties, baltos spalvos</t>
  </si>
  <si>
    <t>dim sa aktivacijom pomoću poluge - crvena boja</t>
  </si>
  <si>
    <t>tubo di fumo con levetta ignitore- colore rosso</t>
  </si>
  <si>
    <t>świeca dymna z zawleczką – kolor czerwony</t>
  </si>
  <si>
    <t>Crveni dim sa polugom za aktiviranje</t>
  </si>
  <si>
    <t xml:space="preserve"> khói có cần đánh lửa - màu đỏ</t>
  </si>
  <si>
    <t>dūmų vamzdis,  uzsidegantis istraukus zieda is svirties, raudonos spalvos</t>
  </si>
  <si>
    <t>dim sa aktivacijom pomoću poluge - plava boja</t>
  </si>
  <si>
    <t>tubo fumo con levetta ignitore- colore blu</t>
  </si>
  <si>
    <t>świeca dymna z zawleczką – kolor niebieski</t>
  </si>
  <si>
    <t>Plavi dim sa polugom za aktiviranje</t>
  </si>
  <si>
    <t>khói có cần gạt lửa - màu xanh lam</t>
  </si>
  <si>
    <t>dūmų vamzdis,  uzsidegantis istraukus zieda is svirties, mėlynos spalvos</t>
  </si>
  <si>
    <t xml:space="preserve"> khói có cần gạt lửa - màu xanh lam</t>
  </si>
  <si>
    <t>dūmų vamzdis,   uzsidegantis istraukus zieda is svirties,mėlynos spalvos</t>
  </si>
  <si>
    <t>dim sa aktivacijom pomoću poluge - žuta boja</t>
  </si>
  <si>
    <t>tubo di fumo con ignitore a leva- colore giallo</t>
  </si>
  <si>
    <t>świeca dymna z zawleczką – kolor żółty</t>
  </si>
  <si>
    <t>Žuti dim sa polugom za aktiviranje</t>
  </si>
  <si>
    <t>khói có cần đánh lửa - màu vàng</t>
  </si>
  <si>
    <t>dūmų vamzdis,  uzsidegantis istraukus zieda is svirties, geltonos spalvos</t>
  </si>
  <si>
    <t>dim sa aktivacijom pomoću poluge - zelena boja</t>
  </si>
  <si>
    <t>tubo fumo con levetta ignitore-colore verde</t>
  </si>
  <si>
    <t>świeca dymna z zawleczką – kolor zielony</t>
  </si>
  <si>
    <t>Zeleni dim sa polugom za aktiviranje</t>
  </si>
  <si>
    <t>khói có cần đánh lửa - màu xanh lá cây</t>
  </si>
  <si>
    <t>dūmų vamzdis,  uzsidegantis istraukus zieda is svirties, žalios spalvos</t>
  </si>
  <si>
    <t>dim sa aktivacijom pomoću poluge - narančasta boja</t>
  </si>
  <si>
    <t>tubo di fumo con levetta ignitore-colore arancione</t>
  </si>
  <si>
    <t>świeca dymna z zawleczką – kolor pomarańczowy</t>
  </si>
  <si>
    <t>Narandžasti dim sa polugom za aktiviranje</t>
  </si>
  <si>
    <t>khói có cần đánh lửa - màu cam</t>
  </si>
  <si>
    <t>dūmų vamzdis,  uzsidegantis istraukus zieda is svirties, oranžinės spalvos</t>
  </si>
  <si>
    <t xml:space="preserve">ručni dim sa aktivacijom povlačenjem - žuta boja </t>
  </si>
  <si>
    <t xml:space="preserve"> tenutoin mano con sistema di avvio di trazione - fumo colore giallo</t>
  </si>
  <si>
    <t>świeca dymna z uchwytem, odpalana ręcznie - kolor żółty</t>
  </si>
  <si>
    <t>ngọn đuốc khói tay, congòi nổ - màu vàng</t>
  </si>
  <si>
    <t>rankose laikomi dūmai,  uzsidegantis istraukus zieda arba uzdegami su fitiliu, geltonos spalvos</t>
  </si>
  <si>
    <t xml:space="preserve">ručni dim sa aktivacijom povlačenjem - zelena boja </t>
  </si>
  <si>
    <t xml:space="preserve"> tenutoin mano con sistema di avvio di trazione - fumo colore verde</t>
  </si>
  <si>
    <t>świeca dymna z uchwytem, odpalana ręcznie - kolor zielony</t>
  </si>
  <si>
    <t>ngọn đuốc khói tay, congòi nổ - màu xanh lá cây</t>
  </si>
  <si>
    <t>rankose laikomi dūmai, uzsidegantis istraukus zieda arba uzdegami su fitiliu, žalios spalvos</t>
  </si>
  <si>
    <t xml:space="preserve">ručni dim sa aktivacijom povlačenjem - narančasta boja </t>
  </si>
  <si>
    <t xml:space="preserve"> tenutoin mano con sistema di avvio di trazione - fumo colore arancione</t>
  </si>
  <si>
    <t>świeca dymna z uchwytem, odpalana ręcznie - kolor pomarańczowy</t>
  </si>
  <si>
    <t>ngọn đuốc khói tay, congòi nổ - màu cam</t>
  </si>
  <si>
    <t>rankose laikomi dūmai, uzsidegantis istraukus zieda arba uzdegami su fitiliu, oranžinės spalvos</t>
  </si>
  <si>
    <t xml:space="preserve">ručni dim sa aktivacijom povlačenjem - crna boja </t>
  </si>
  <si>
    <t xml:space="preserve"> tenuto in  mano con sistema di avvio di trazione -fumo colore arancione</t>
  </si>
  <si>
    <t>świeca dymna z uchwytem, odpalana ręcznie - kolor czarny</t>
  </si>
  <si>
    <t>ngọn đuốc khói tay, congòi nổ - màu đen</t>
  </si>
  <si>
    <t>rankose laikomi dūmai, uzsidegantis istraukus zieda arba uzdegami su fitiliu, juodos spalvos</t>
  </si>
  <si>
    <t>HDP60B</t>
  </si>
  <si>
    <t xml:space="preserve">Hooligans dýmová pochodeň bílá </t>
  </si>
  <si>
    <t>hand held smoke-white color</t>
  </si>
  <si>
    <t>ruční dýmová pochodeň-bílá barva</t>
  </si>
  <si>
    <t>Handrauchfackel-weiße Farbe</t>
  </si>
  <si>
    <t>ručni dim - bijela boja</t>
  </si>
  <si>
    <t>tenuto in mano  fumo colore bianco</t>
  </si>
  <si>
    <t>świeca dymna z uchwytem - kolor biały</t>
  </si>
  <si>
    <t>ručna dimna baklja bele boje</t>
  </si>
  <si>
    <t>ngọn đuốc khói tay - màu trắng</t>
  </si>
  <si>
    <t>rankose laikomi dūmai baltos spalvos</t>
  </si>
  <si>
    <t>HDP60C</t>
  </si>
  <si>
    <t>Hooligans dýmová pochodeň červená</t>
  </si>
  <si>
    <t>hand held smoke-red color</t>
  </si>
  <si>
    <t>ruční dýmová pochodeň-červená barva</t>
  </si>
  <si>
    <t>Handrauchfackel-rote Farbe</t>
  </si>
  <si>
    <t>ručni dim - crvena boja</t>
  </si>
  <si>
    <t xml:space="preserve">tenuto in mano  fumo colore nero </t>
  </si>
  <si>
    <t>świeca dymna z uchwytem - kolor czerwony</t>
  </si>
  <si>
    <t>ručna dimna baklja crvene boje</t>
  </si>
  <si>
    <t>ngọn đuốc khói tay - màu đỏ</t>
  </si>
  <si>
    <t>rankose laikomi dūmai raudonos spalvos</t>
  </si>
  <si>
    <t>HDP60M</t>
  </si>
  <si>
    <t>Hooligans dýmová pochodeň modrá</t>
  </si>
  <si>
    <t>hand held smoke-blue color</t>
  </si>
  <si>
    <t>ruční dýmová pochodeň-modrá barva</t>
  </si>
  <si>
    <t>Handrauchfackel-blaue Farbe</t>
  </si>
  <si>
    <t>ručni dim - plava boja</t>
  </si>
  <si>
    <t>tenuto in mano  fumo colore blu</t>
  </si>
  <si>
    <t>świeca dymna z uchwytem - kolor niebieski</t>
  </si>
  <si>
    <t>ručna dimna baklja plave boje</t>
  </si>
  <si>
    <t>ngọn đuốc khói tay - màu xanh</t>
  </si>
  <si>
    <t>rankose laikomi dūmai mėlynos spalvos</t>
  </si>
  <si>
    <t>HDP60ZL</t>
  </si>
  <si>
    <t>Hooligans dýmová pochodeň žlutá</t>
  </si>
  <si>
    <t>hand held smoke-yelow color</t>
  </si>
  <si>
    <t>ruční dýmová pochodeň-žlutá barva</t>
  </si>
  <si>
    <t>Handrauchfackel-gelbe Farbe</t>
  </si>
  <si>
    <t xml:space="preserve">ručni dim - žuta boja </t>
  </si>
  <si>
    <t>tenuto in mano  fumo colore giallo</t>
  </si>
  <si>
    <t>świeca dymna z uchwytem - kolor żółty</t>
  </si>
  <si>
    <t>ručna dimna baklja žute boje</t>
  </si>
  <si>
    <t>ngọn đuốc khói tay - màu vàng</t>
  </si>
  <si>
    <t>rankose laikomi dūmai geltonos spalvos</t>
  </si>
  <si>
    <t>HDP60ZE</t>
  </si>
  <si>
    <t>Hooligans dýmová pochodeň zelená</t>
  </si>
  <si>
    <t>hand held smoke-green color</t>
  </si>
  <si>
    <t>ruční dýmová pochodeň-zelená barva</t>
  </si>
  <si>
    <t>Handrauchfackel-grüne Farbe</t>
  </si>
  <si>
    <t>ručni dim - zelena boja</t>
  </si>
  <si>
    <t>tenuto in mano  fumo colore verde</t>
  </si>
  <si>
    <t>świeca dymna z uchwytem - kolor zielony</t>
  </si>
  <si>
    <t>ručna dimna baklja zelene boje</t>
  </si>
  <si>
    <t>ngọn đuốc khói tay - màu xanh lá cây</t>
  </si>
  <si>
    <t>rankose laikomi dūmai žalios spalvos</t>
  </si>
  <si>
    <t>HDP60O</t>
  </si>
  <si>
    <t>Hooligans dýmová pochodeň oranžová</t>
  </si>
  <si>
    <t>hand held smoke-orange color</t>
  </si>
  <si>
    <t>ruční dýmová pochodeň-oranžová barva</t>
  </si>
  <si>
    <t>Handrauchfackel-orange Farbe</t>
  </si>
  <si>
    <t>ručni dim - narančasta boja</t>
  </si>
  <si>
    <t xml:space="preserve">tenuto in mano  fumo colore arancione </t>
  </si>
  <si>
    <t>świeca dymna z uchwytem - kolor pomarańczowy</t>
  </si>
  <si>
    <t>ručna dimna baklja narandžaste boje</t>
  </si>
  <si>
    <t>ngọn đuốc khói tay - màu cam</t>
  </si>
  <si>
    <t>rankose laikomi dūmai oranžinės spalvos</t>
  </si>
  <si>
    <t>HDP60CER</t>
  </si>
  <si>
    <t>Hooligans dýmová pochodeň černá</t>
  </si>
  <si>
    <t>hand held smoke-black color</t>
  </si>
  <si>
    <t>ruční dýmová pochodeň-černá barva</t>
  </si>
  <si>
    <t>Handrauchfackel-schwarze Farbe</t>
  </si>
  <si>
    <t>ručni dim - crna boja</t>
  </si>
  <si>
    <t>świeca dymna z uchwytem - kolor czarny</t>
  </si>
  <si>
    <t>ručna dimna baklja crne boje</t>
  </si>
  <si>
    <t>ngọn đuốc khói tay - màu đen</t>
  </si>
  <si>
    <t>rankose laikomi dūmai juodos spalvos</t>
  </si>
  <si>
    <t>crvena baklja  + bijeli dim</t>
  </si>
  <si>
    <t>torcia rossa+fumo bianco</t>
  </si>
  <si>
    <t>czerwona flara + biały dym</t>
  </si>
  <si>
    <t>crvena baklja + beli dim</t>
  </si>
  <si>
    <t>ngọn đuốc ánh sáng đỏ + khói trắng</t>
  </si>
  <si>
    <t>raudonas deglas ir balti dūmai</t>
  </si>
  <si>
    <t>zelena baklja + bijeli dim</t>
  </si>
  <si>
    <t>torcia verde+fumo bianco</t>
  </si>
  <si>
    <t>zielona flara + biały dym</t>
  </si>
  <si>
    <t>zelena baklja + beli dim</t>
  </si>
  <si>
    <t>ngọn đuốc ánh sáng xanh + khói trắng</t>
  </si>
  <si>
    <t>žalias deglas ir balti dūmai</t>
  </si>
  <si>
    <t>P40B25</t>
  </si>
  <si>
    <t xml:space="preserve">Fotbalová pochodeň bílá+dým </t>
  </si>
  <si>
    <t>white torch+white smoke</t>
  </si>
  <si>
    <t>pochodeň bílé světlo+ bílý dým</t>
  </si>
  <si>
    <t>Fackel weißes Licht + weißer Rauch</t>
  </si>
  <si>
    <t>bijela baklja + bijeli dim</t>
  </si>
  <si>
    <t>torcia bianca+fumo bianco</t>
  </si>
  <si>
    <t>biała flara + biały dym</t>
  </si>
  <si>
    <t>bela baklja + beli dim</t>
  </si>
  <si>
    <t>ngọn đuốc ánh sáng trắng + khói trắng</t>
  </si>
  <si>
    <t>baltas deglas ir balti dūmai</t>
  </si>
  <si>
    <t>žuta baklja + bijeli dim</t>
  </si>
  <si>
    <t>torcia gialla+fumo bianco</t>
  </si>
  <si>
    <t>żółta flara + biały dym</t>
  </si>
  <si>
    <t>žuta baklja + beli dim</t>
  </si>
  <si>
    <t>ngọn đuốc ánh sáng vàng + khói trắng</t>
  </si>
  <si>
    <t>geltonas deglas ir balti dūmai</t>
  </si>
  <si>
    <t>plava baklja + bijeli dim</t>
  </si>
  <si>
    <t>torcia blu+fumo bianco</t>
  </si>
  <si>
    <t>niebieska flara + biały dym</t>
  </si>
  <si>
    <t>plava baklja + beli dim</t>
  </si>
  <si>
    <t>mėlynas deglas ir balti dūmai</t>
  </si>
  <si>
    <t>crvena baklja</t>
  </si>
  <si>
    <t>torcia rossa</t>
  </si>
  <si>
    <t>czerwona flara</t>
  </si>
  <si>
    <t>baklja crvene boje</t>
  </si>
  <si>
    <t>ngọn đuốc đỏ</t>
  </si>
  <si>
    <t xml:space="preserve">raudonas deglas </t>
  </si>
  <si>
    <t>baklja u boji (crvena, zelena, bijela, ljubičasta, žuta)</t>
  </si>
  <si>
    <t>torcia a colori (rosso,verde,bianco,viola,yelow)</t>
  </si>
  <si>
    <t>kolorowy płomień (czerwona, zielona, biała, fioletowa, żółta)</t>
  </si>
  <si>
    <t>baklje u boji (crvena, zelena, bela, ljubičasta, žuta)</t>
  </si>
  <si>
    <t>ngọn đuốc màu (đỏ, xanh lá cây, trắng, tím, vàng)</t>
  </si>
  <si>
    <t>spalvotas deglas (raudonos, baltos, violetinės ir geltonos spalvų)</t>
  </si>
  <si>
    <t>bijela bljeskalica</t>
  </si>
  <si>
    <t>strobo bianco</t>
  </si>
  <si>
    <t>stroboskop biały 90 sek.</t>
  </si>
  <si>
    <t>beli strob</t>
  </si>
  <si>
    <t>baltas mirksiukas</t>
  </si>
  <si>
    <t>stroboskop biały 60sek.</t>
  </si>
  <si>
    <t>crvena bljeskalica + dim</t>
  </si>
  <si>
    <t>rosso strobo+fumo</t>
  </si>
  <si>
    <t>stroboskop czerwony+biały dym</t>
  </si>
  <si>
    <t>crveni strob + beli dim</t>
  </si>
  <si>
    <t>ánh sáng đỏ "rực rỡ" nhấp nháy</t>
  </si>
  <si>
    <t>raudonas mirksiukas ir dūmai</t>
  </si>
  <si>
    <t>set fontana, pakiranje uključuje 2 komada F1U i dva komada F1K</t>
  </si>
  <si>
    <t>tre colori con fontana scoppiettante e fischiettante</t>
  </si>
  <si>
    <t>mix fontann, opakowanie zawiera 2 sztuki F1U i 2 sztuki F1K,</t>
  </si>
  <si>
    <t>pakovanje sadrži 2kom. F1U i 2kom. F1K</t>
  </si>
  <si>
    <t>hỗn hợp vòi phun lửa, gói chứa 2 chiếc F1U, F1K</t>
  </si>
  <si>
    <t>fontanų rinkinys iš dviejų F1U vienetų ir dviejų F1K vienetų</t>
  </si>
  <si>
    <t>set fontana, pakiranje uključuje 2 komada F2DF i 2 komada F2DD</t>
  </si>
  <si>
    <t>fiori in titanio a luci rosse+glitter oro</t>
  </si>
  <si>
    <t>mix fontann, opakowanie zawiera 2 sztuki F2DF i 2 sztuki F2DD</t>
  </si>
  <si>
    <t>pakovanje sadrži 2kom. F2DF i 2kom. F2DD</t>
  </si>
  <si>
    <t>hỗn hợp vòi phun lửa, gói chứa 2 chiếc F2DF, F2DD</t>
  </si>
  <si>
    <t>fontanų rinkinys iš dviejų F2DF vienetų ir dviejų F2DD vienetų</t>
  </si>
  <si>
    <t>F3CC</t>
  </si>
  <si>
    <t xml:space="preserve">Colour and crackling </t>
  </si>
  <si>
    <t>colored light(red,green,blue)+crackling mine</t>
  </si>
  <si>
    <t>barevné světlo(červené,modré,zelené)+práskající výmet</t>
  </si>
  <si>
    <t>Farbiges Licht(Rot,Blau,Grün)+knisternder Auswurf</t>
  </si>
  <si>
    <t>svjetlost u boji (crvena, zelena, plava) + pucketajuća mina</t>
  </si>
  <si>
    <t>luce colorata(rosso,verde,blu)+miniera scoppiettante</t>
  </si>
  <si>
    <t>kolorowe światło (czerwone, zielone, niebieskie) + trzeszcząca mina</t>
  </si>
  <si>
    <t>Svetlo u boji (crveno, zeleno, plavo) + pucketava mina</t>
  </si>
  <si>
    <t>ánh sáng màu (đỏ, lục, lục lá cây) + quét nổ nứt</t>
  </si>
  <si>
    <t>spalvota šviesa (raudona, žalia, mėlyna) ir traškanti mina</t>
  </si>
  <si>
    <t>zvjezdice u boji, pucketajuće zvjezdice, zviždeći kometi</t>
  </si>
  <si>
    <t>miscela fontana, imballaggio comprensivo di 2 pezzi F2DF e 2 pezzi F2DD</t>
  </si>
  <si>
    <t>fontanny – kolorowa gwiazda, trzaskająca gwiazda, gwiżdżąca kometa</t>
  </si>
  <si>
    <t>zvezde u boji, praskave zvezde, zvižduci</t>
  </si>
  <si>
    <t>những ngôi sao đầy màu sắc, sao chổi huýt sáo</t>
  </si>
  <si>
    <t>spalvota žvaigždė, traškanti žvaigždė, švilpianti kometa</t>
  </si>
  <si>
    <t>6 različitih efekata u boji</t>
  </si>
  <si>
    <t>6 diversi effetti di colore</t>
  </si>
  <si>
    <t>fontanny - 6 różnych efektów</t>
  </si>
  <si>
    <t>6 različita efekta u boji</t>
  </si>
  <si>
    <t>6 hiệu ứng màu sắc khác nhau</t>
  </si>
  <si>
    <t xml:space="preserve">6 Skirtingi spalvoti efektai. </t>
  </si>
  <si>
    <t>F7F</t>
  </si>
  <si>
    <t>colour star+strong crackling star</t>
  </si>
  <si>
    <t>barevné hvězdy+silné práskající hvězdy</t>
  </si>
  <si>
    <t>Farbstern + starker knisternder Stern</t>
  </si>
  <si>
    <t>zvjezdice u boji+pucketajuće zvjezdice</t>
  </si>
  <si>
    <t>stella colore+forte stella scoppiettante</t>
  </si>
  <si>
    <t>fontanna - kolorowa gwiazda + mocne trzeszczące gwiazdki</t>
  </si>
  <si>
    <t>zvezdice u boji+zvezdice sa jakim krekerima</t>
  </si>
  <si>
    <t>sao màu + sao nứt mạnh</t>
  </si>
  <si>
    <t>spalvota žvaigždė, traškanti žvaigždė</t>
  </si>
  <si>
    <t>F16CS</t>
  </si>
  <si>
    <t>Crackling shock</t>
  </si>
  <si>
    <t>strong crackling star</t>
  </si>
  <si>
    <t>silné práskající hvězdy</t>
  </si>
  <si>
    <t>Starker knisternder Stern</t>
  </si>
  <si>
    <t>jake pucketajuće zvjezdice</t>
  </si>
  <si>
    <t>forte stella scoppiettante</t>
  </si>
  <si>
    <t>mocne trzeszczące gwiazdki</t>
  </si>
  <si>
    <t>Snažno pucketanje zvezda</t>
  </si>
  <si>
    <t>nhiều sao nổ nứt mạnh</t>
  </si>
  <si>
    <t>stipri traškanti žvaigždė</t>
  </si>
  <si>
    <t>efekti u boji+pucketajuće zvjezdice</t>
  </si>
  <si>
    <t>effetti colore+stelle scoppiettanti</t>
  </si>
  <si>
    <t>fontanna -kolorowe  trzeszczące gwiazdki</t>
  </si>
  <si>
    <t>efekat u boji+zvezdice sa krekerima</t>
  </si>
  <si>
    <t>hiệu ứng màu + sao nứt</t>
  </si>
  <si>
    <t>spalvoti efektai, traškančios žvaigždės</t>
  </si>
  <si>
    <t>više različitih efekata</t>
  </si>
  <si>
    <t>multi-effetti</t>
  </si>
  <si>
    <t>fontanna wieloefektowa</t>
  </si>
  <si>
    <t>raznobojni efekat</t>
  </si>
  <si>
    <t>vòi phun lửa - nhiều màu</t>
  </si>
  <si>
    <t>skirtingi efektai</t>
  </si>
  <si>
    <t>pucketajuća fontana</t>
  </si>
  <si>
    <t>fontana scoppiettante</t>
  </si>
  <si>
    <t>trzeszcząca fontanna</t>
  </si>
  <si>
    <t>fontana sa krekerima</t>
  </si>
  <si>
    <t>vòi phun lửa kêu răng rắc</t>
  </si>
  <si>
    <t>traškantis fontanas</t>
  </si>
  <si>
    <t>fontanna 6 różnych efektów</t>
  </si>
  <si>
    <t>4 različita efekta u boji</t>
  </si>
  <si>
    <t>4 diversi effetti di colore</t>
  </si>
  <si>
    <t>4 hiệu ứng nhiều màu</t>
  </si>
  <si>
    <t xml:space="preserve">4 Skirtingi spalvoti efektai. </t>
  </si>
  <si>
    <t>rotirajuća fontana</t>
  </si>
  <si>
    <t>ruotare fontana</t>
  </si>
  <si>
    <t>fontanna obrotowa</t>
  </si>
  <si>
    <t>vòi phun lửa xoay</t>
  </si>
  <si>
    <t>besisukantis fontanas</t>
  </si>
  <si>
    <t>F15BR</t>
  </si>
  <si>
    <t>large rotating fountain (side/up effect)</t>
  </si>
  <si>
    <t>velké rotáční fontána( efekt do strany/nahoru)</t>
  </si>
  <si>
    <t>Großer Rotierender Fountain(Side/Up-Effekt)</t>
  </si>
  <si>
    <t xml:space="preserve">velika rotirajuća fontana </t>
  </si>
  <si>
    <t>grande fontana rotante (effetto lato/su)</t>
  </si>
  <si>
    <t>duża fontanna obrotowa – efekt na boki i w górę</t>
  </si>
  <si>
    <t>dugo rotirajuća fontana</t>
  </si>
  <si>
    <t>vòi phun lửa quay lớn (hiệu ứng bên / lên)</t>
  </si>
  <si>
    <t>didelis besisukantis fontana (efektas į šoną ir į viršų</t>
  </si>
  <si>
    <t>zvjezdice u boji, visina efekta 3m</t>
  </si>
  <si>
    <t>stelle di colore, altezza effetto 3m</t>
  </si>
  <si>
    <t>Fontanna – Kolorowe gwiazdki, wysokość efektu 3m</t>
  </si>
  <si>
    <t>zvezdice u boji, visina efekta 3m</t>
  </si>
  <si>
    <t xml:space="preserve">các ngôi sao màu, chiều cao hiệu ứng 3m, </t>
  </si>
  <si>
    <t>spalvota žvaigždė, iskylanti iki 3m aukscio</t>
  </si>
  <si>
    <t>dvostruke pucketajuće zvjezdice, visina efekta 3m</t>
  </si>
  <si>
    <t>stelle scoppiettanti d'argento, altezza effetto 3m</t>
  </si>
  <si>
    <t>Fontanna – podwójnie trzeszczące gwiazdki, wysokość efektu 3m</t>
  </si>
  <si>
    <t>zvezdice sa duplim krekerima, visina efekta 3m</t>
  </si>
  <si>
    <t xml:space="preserve">những ngôi sao nứt đôi, chiều cao hiệu ứng 3m, </t>
  </si>
  <si>
    <t>dviguba traškanti žvaigždė, kylanti į viršų 3m</t>
  </si>
  <si>
    <t>srebrne zvjezdice, visina efekta 4m</t>
  </si>
  <si>
    <t>stelle d'argento, altezza effetto 4m</t>
  </si>
  <si>
    <t xml:space="preserve">Fontanna  - srebrne gwiazdki, wysokość efektu 4m  </t>
  </si>
  <si>
    <t>srebrne zvezdice, visina efekta 4m</t>
  </si>
  <si>
    <t xml:space="preserve">những ngôi sao bạc, chiều cao hiệu ứng 4m, </t>
  </si>
  <si>
    <t>sidabrinės žvaigždės, kylančios į viršų 4m</t>
  </si>
  <si>
    <t>srebrne pucketajuće zvjezdice, visina efekta 4m</t>
  </si>
  <si>
    <t>stelle scoppiettanti d'argento, altezza effetto 4m</t>
  </si>
  <si>
    <t xml:space="preserve">Fontanna  - srebrne  trzeszczące gwiazdki, wysokość efektu 4m  </t>
  </si>
  <si>
    <t>zvezdice sa krekerima, visina efekta 4m</t>
  </si>
  <si>
    <t xml:space="preserve">những ngôi sao nứt nẻ bạc, chiều cao hiệu ứng 4m, </t>
  </si>
  <si>
    <t>sidabrinė traškanti žvaigždė, kylanti į viršų 4m</t>
  </si>
  <si>
    <t>zvjezdice u boji, visina efekta 4m</t>
  </si>
  <si>
    <t>stelle di colore, altezza effetto 4m</t>
  </si>
  <si>
    <t xml:space="preserve">Fontanna  - kolorowe gwiazdki, wysokość efektu 4m  </t>
  </si>
  <si>
    <t>zvezdice u boji, visina efekta 4m</t>
  </si>
  <si>
    <t xml:space="preserve">các ngôi sao màu, chiều cao hiệu ứng 4m, </t>
  </si>
  <si>
    <t>spalvotos žvaigždės, kylančios į viršų 4m</t>
  </si>
  <si>
    <t>pucketanje+crvene, zelene, plave zvjezdice, visina efekta 5m</t>
  </si>
  <si>
    <t>crepitio+rosso,verde,stella blu,altezza effetto 5m</t>
  </si>
  <si>
    <t>Fontanna - trzeszczenie + czerwone, zielone, niebieskie gwiazdki, wysokość efektu 5m</t>
  </si>
  <si>
    <t>krekeri+crvene,zelene,plave zvezde, visina efekta 5m</t>
  </si>
  <si>
    <t xml:space="preserve">sao nứt + sao màu, chiều cao hiệu ứng 5m, </t>
  </si>
  <si>
    <t>traškanti raudona, žalia, mėlyna žvaigždė, kylanti į viršų 5m</t>
  </si>
  <si>
    <t>srebrne pucketajuće zvjezdice, visina efekta 5m</t>
  </si>
  <si>
    <t>stelle scoppiettanti d'argento, altezza effetto 5m</t>
  </si>
  <si>
    <t xml:space="preserve">Fontanna  - srebrne  trzeszczące gwiazdki, wysokość efektu 5m  </t>
  </si>
  <si>
    <t>zvezdice sa krekerima, visina efekta 5m</t>
  </si>
  <si>
    <t xml:space="preserve">những ngôi sao chói lọi bạc, chiều cao hiệu ứng 5m, </t>
  </si>
  <si>
    <t>sidabrinė traškanti žvaigždė, kylanti į viršų 5m</t>
  </si>
  <si>
    <t>srebrne zvjezdice, visina efekta 5m</t>
  </si>
  <si>
    <t xml:space="preserve">Fontanna  - srebrne gwiazdki, wysokość efektu 5m  </t>
  </si>
  <si>
    <t>srebrne zvezdice, visina efekta 5m</t>
  </si>
  <si>
    <t xml:space="preserve">sao bạc, chiều cao hiệu ứng 5m, </t>
  </si>
  <si>
    <t>sidabrinės žvaigždės, kylančios į viršų 5m</t>
  </si>
  <si>
    <t>zvjezdice u boji, visina efekta 5m</t>
  </si>
  <si>
    <t>stelle di colore, altezza effetto 5m</t>
  </si>
  <si>
    <t xml:space="preserve">Fontanna  - kolorowe gwiazdki, wysokość efektu 5m  </t>
  </si>
  <si>
    <t>zvezdice u boji, visina efekta 5m</t>
  </si>
  <si>
    <t xml:space="preserve">các ngôi sao màu, chiều cao hiệu ứng 5m, </t>
  </si>
  <si>
    <t>spalvotos žvaigždės, kylančios į viršų 5m</t>
  </si>
  <si>
    <t>srebrne pucketajuće zvjezdice, visina efekta 6m</t>
  </si>
  <si>
    <t>stelle d'argento, altezza effetto 5m</t>
  </si>
  <si>
    <t xml:space="preserve">Fontanna  - srebrne trzeszczące gwiazdki, wysokość efektu 6m  </t>
  </si>
  <si>
    <t>zvezdice sa krekerima, visina efekta 6m</t>
  </si>
  <si>
    <t>những ngôi sao nứt nẻ bạc, chiều cao hiệu ứng 6m</t>
  </si>
  <si>
    <t>sidabrinė traškanti žvaigždė, kylanti į viršų 6m</t>
  </si>
  <si>
    <t>srebrne zvjezdice, visina efekta 6m</t>
  </si>
  <si>
    <t>stelle scoppiettanti d'argento, altezza effetto 6m</t>
  </si>
  <si>
    <t xml:space="preserve">Fontanna  - srebrne gwiazdki, wysokość efektu 6m  </t>
  </si>
  <si>
    <t>srebrne zvezdice, visina efekta 6m</t>
  </si>
  <si>
    <t xml:space="preserve">những ngôi sao bạc, chiều cao hiệu ứng 6m, </t>
  </si>
  <si>
    <t>sidabrinės žvaigždės, kylančios į viršų 6m</t>
  </si>
  <si>
    <t>zvjezdice u boji, visina efekta 7m</t>
  </si>
  <si>
    <t>stelle di colore, altezza effetto 6m</t>
  </si>
  <si>
    <t xml:space="preserve">Fontanna  - kolorowe gwiazdki, wysokość efektu 6m  </t>
  </si>
  <si>
    <t>zvezdice u boji, visina efekta 6m</t>
  </si>
  <si>
    <t xml:space="preserve">các ngôi sao màu, chiều cao hiệu ứng 6m, </t>
  </si>
  <si>
    <t>spalvotos žvaigždės, kylančios į viršų 6m</t>
  </si>
  <si>
    <t>srebrne zvjezdice, visina efekta 7m</t>
  </si>
  <si>
    <t>stelle d'argento, altezza effetto 6m</t>
  </si>
  <si>
    <t xml:space="preserve">Fontanna  - srebrne gwiazdki, wysokość efektu 7m  </t>
  </si>
  <si>
    <t>srebrne zvezdice, visina efekta 7m</t>
  </si>
  <si>
    <t xml:space="preserve">những ngôi sao bạc, chiều cao hiệu ứng 7m, </t>
  </si>
  <si>
    <t>sidabrinės žvaigždės, kylančios į viršų 7m</t>
  </si>
  <si>
    <t>stelle scoppiettanti d'argento, altezza effetto 7m</t>
  </si>
  <si>
    <t xml:space="preserve">Fontanna  - kolorowe gwiazdki, wysokość efektu 7m  </t>
  </si>
  <si>
    <t>zvezdice u boji, visina efekta 7m</t>
  </si>
  <si>
    <t xml:space="preserve">các ngôi sao màu, chiều cao hiệu ứng 7m, </t>
  </si>
  <si>
    <t>spalvotos žvaigždės, kylančios į viršų 7m</t>
  </si>
  <si>
    <t>unutarnja fontana, simulacija rođendanskih svjećica+intonacija pjesme Happy birthday</t>
  </si>
  <si>
    <t xml:space="preserve">fontana interna, candela ardente e vorticoso + riproduzione della canzone happy birthday </t>
  </si>
  <si>
    <t>fontanna wewnętrzna, płonąca i wirująca świeczka + melodyjka Happy Birthday</t>
  </si>
  <si>
    <t>Rođendanske sveće sa melodijom</t>
  </si>
  <si>
    <t>vòi phun lửa bên trong, đốt và xoay nến + đồng thời phát bài hát Happy birthay</t>
  </si>
  <si>
    <t>patalpose naudojamas fontanas, deganti ir besisukanti žvakė, grojanti Happy Birthday dainą.</t>
  </si>
  <si>
    <t>tortna fontana - srebrne zvjezdice(hladna iskra), dužina 10cm, certifikat o sukladnosti za 
sigurnu uporabu s hranom</t>
  </si>
  <si>
    <t>stelle d'argento (fuoco freddo), lunghezza 10 cm, certificato igienico!</t>
  </si>
  <si>
    <t>Świeczka tortowa, srebrna 10cm</t>
  </si>
  <si>
    <t>Tortna Fontana 10cm</t>
  </si>
  <si>
    <t>Sao bạc (lửa lạnh), dài 10cm, giấy chứng nhận thực phẩm!</t>
  </si>
  <si>
    <t>sidabrinės žvaigždės,Tortinis fontanas, (šalta liepsna), ilgis 10cm, higienos sertifikatas!</t>
  </si>
  <si>
    <t>tortna fontana - srebrne zvjezdice(hladna iskra), dužina 20cm, certifikat o sukladnosti za 
sigurnu uporabu s hranom. Pojedinačni komad omotan srebrnim papirom.</t>
  </si>
  <si>
    <t>stelle d'argento (fuoco freddo), lunghezza 20 cm, certificato igienico! Carta argentata per pc singolo</t>
  </si>
  <si>
    <t>Świeczka tortowa, srebrna 20cm</t>
  </si>
  <si>
    <t>Tortna Fontana 20cm-zlatna</t>
  </si>
  <si>
    <t>sao bạc (lửa lạnh), dài 20cm, giấy chứng nhận thực phẩm! giấy bạc cho 1pc</t>
  </si>
  <si>
    <t>sidabrinės žvaigždės (šalta liepsna),Tortinis fontanas ilgis 20cm, higienos sertifikatas! Sidabrinis įpakav.</t>
  </si>
  <si>
    <t>tortna fontana - srebrne zvjezdice(hladna iskra), dužina 30cm, certifikat o sukladnosti za 
sigurnu uporabu s hranom. Pojedinačni komad omotan zlatnim papirom.</t>
  </si>
  <si>
    <t>stelle d'argento (fuoco freddo), lunghezza 30 cm, certificato igienico! Carta dorata per pc singolo</t>
  </si>
  <si>
    <t>Świeczka tortowa, złota 30cm</t>
  </si>
  <si>
    <t>Tortna Fontana 30cm</t>
  </si>
  <si>
    <t>Sao bạc (lửa lạnh), dài 30cm, giấy chứng nhận thực phẩm! giấy vàng cho 1pc</t>
  </si>
  <si>
    <t>sidabrinės žvaigždės (šalta liepsna), Tortinis fontanas ilgis 30cm, higienos sertifikatas! Auksinis įpakav.</t>
  </si>
  <si>
    <t>tortna fontana - srebrne zvjezdice(hladna iskra), dužina 12cm, certifikat o sukladnosti za 
sigurnu uporabu s hranom. Pojedinačni komad omotan zlatnim papirom.</t>
  </si>
  <si>
    <t>stelle d'argento (fuoco freddo), lunghezza 12 cm, certificato igienico! Carta dorata per pc singolo</t>
  </si>
  <si>
    <t>Świeczka tortowa, złota 12cm</t>
  </si>
  <si>
    <t>Tortna Fontana 12cm-zlatna</t>
  </si>
  <si>
    <t>Sao bạc (lửa lạnh), dài 12cm, giấy chứng nhận thực phẩm! giấy vàng cho 1pc</t>
  </si>
  <si>
    <t>sidabrinės žvaigždės (šalta liepsna), Tortinis fontanas ilgis 12cm, higienos sertifikatas! Auksinis įpakav.</t>
  </si>
  <si>
    <t>tortna fontana - srebrne zvjezdice(hladna iskra), dužina 20cm, certifikat o sukladnosti za 
sigurnu uporabu s hranom. Pojedinačni komad omotan zlatnim papirom.</t>
  </si>
  <si>
    <t>stelle d'argento (fuoco freddo), lunghezza 20 cm, certificato igienico! Carta dorata per pc singolo</t>
  </si>
  <si>
    <t>Świeczka tortowa, złota 20cm</t>
  </si>
  <si>
    <t>Sao bạc (lửa lạnh), dài 20cm, giấy chứng nhận thực phẩm! giấy vàng cho 1pc</t>
  </si>
  <si>
    <t>sidabrinės žvaigždės (šalta liepsna), Tortinis fontanas ilgis 20cm, higienos sertifikatas! Auksinis įpakav.</t>
  </si>
  <si>
    <t>Tortna Fontana 20cm-srebrna</t>
  </si>
  <si>
    <t>sidabrinės žvaigždės (šalta liepsna), Tortinis fontanas ilgis 20cm, higienos sertifikatas! Sidabrinis įpakav.</t>
  </si>
  <si>
    <t>tortna fontana - srebrne zvjezdice(hladna iskra), dužina 12cm, certifikat o sukladnosti za 
sigurnu uporabu s hranom. Pakiranje sadrži broj 0</t>
  </si>
  <si>
    <t>stelle d'argento (fuoco freddo), lunghezza 12 cm, certificato igienico! L'imballaggio contiene il numero 0</t>
  </si>
  <si>
    <t>Świeczka tortowa, srebrna 12cm cyferka 0</t>
  </si>
  <si>
    <t>Tortna Fontana 12cm sa brojem  0</t>
  </si>
  <si>
    <t>Sao bạc (lửa lạnh), dài 12cm, giấy chứng nhận thực phẩm! Gói chứa số 0</t>
  </si>
  <si>
    <t>sidabrinės žvaigždės (šalta, Tortinė, liepsna), ilgis 12cm, higienos sertifikatas! Pakuotėje yra skaičius 0</t>
  </si>
  <si>
    <t>tortna fontana - srebrne zvjezdice(hladna iskra), dužina 12cm, certifikat o sukladnosti za 
sigurnu uporabu s hranom. Pakiranje sadrži broj 1</t>
  </si>
  <si>
    <t>stelle d'argento (fuoco freddo), lunghezza 12 cm, certificato igienico! L'imballaggio contiene il numero 1</t>
  </si>
  <si>
    <t>Świeczka tortowa, srebrna 12cm cyferka  1</t>
  </si>
  <si>
    <t>Tortna Fontana 12cm sa brojem  1</t>
  </si>
  <si>
    <t>Sao bạc (lửa lạnh), dài 12cm, giấy chứng nhận thực phẩm! Gói chứa số 1</t>
  </si>
  <si>
    <t>sidabrinės žvaigždės (šalta, Tortinė, liepsna), ilgis 12cm, higienos sertifikatas! Pakuotėje yra skaičius 1</t>
  </si>
  <si>
    <t>tortna fontana - srebrne zvjezdice(hladna iskra), dužina 12cm, certifikat o sukladnosti za 
sigurnu uporabu s hranom. Pakiranje sadrži broj 2</t>
  </si>
  <si>
    <t>stelle d'argento (fuoco freddo), lunghezza 12 cm, certificato igienico! L'imballaggio contiene il numero 2</t>
  </si>
  <si>
    <t>Świeczka tortowa, srebrna 12cm cyferka 2</t>
  </si>
  <si>
    <t>Tortna Fontana 12cm sa brojem  2</t>
  </si>
  <si>
    <t>Sao bạc (lửa lạnh), dài 12cm, giấy chứng nhận thực phẩm! Gói chứa số 2</t>
  </si>
  <si>
    <t>sidabrinės žvaigždės (šalta, Tortinė, liepsna), ilgis 12cm, higienos sertifikatas! Pakuotėje yra skaičius 2</t>
  </si>
  <si>
    <t>tortna fontana - srebrne zvjezdice(hladna iskra), dužina 12cm, certifikat o sukladnosti za 
sigurnu uporabu s hranom. Pakiranje sadrži broj 3</t>
  </si>
  <si>
    <t>stelle d'argento (fuoco freddo), lunghezza 12 cm, certificato igienico! L'imballaggio contiene il numero 3</t>
  </si>
  <si>
    <t>Świeczka tortowa, srebrna 12cm cyferka 3</t>
  </si>
  <si>
    <t>Tortna Fontana 12cm sa brojem  3</t>
  </si>
  <si>
    <t>Sao bạc (lửa lạnh), dài 12cm, giấy chứng nhận thực phẩm! Gói chứa số 3</t>
  </si>
  <si>
    <t>sidabrinės žvaigždės (šalta, Tortinė, liepsna), ilgis 12cm, higienos sertifikatas! Pakuotėje yra skaičius 3</t>
  </si>
  <si>
    <t>tortna fontana - srebrne zvjezdice(hladna iskra), dužina 12cm, certifikat o sukladnosti za 
sigurnu uporabu s hranom. Pakiranje sadrži broj 4</t>
  </si>
  <si>
    <t>stelle d'argento (fuoco freddo), lunghezza 12 cm, certificato igienico! L'imballaggio contiene il numero 4</t>
  </si>
  <si>
    <t>Świeczka tortowa, srebrna 12cm cyferka 4</t>
  </si>
  <si>
    <t>Tortna Fontana 12cm sa brojem  4</t>
  </si>
  <si>
    <t>Sao bạc (lửa lạnh), dài 12cm, giấy chứng nhận thực phẩm! Gói chứa số 4</t>
  </si>
  <si>
    <t>sidabrinės žvaigždės (šalta, Tortinė, liepsna), ilgis 12cm, higienos sertifikatas! Pakuotėje yra skaičius 4</t>
  </si>
  <si>
    <t>tortna fontana - srebrne zvjezdice(hladna iskra), dužina 12cm, certifikat o sukladnosti za 
sigurnu uporabu s hranom. Pakiranje sadrži broj 5</t>
  </si>
  <si>
    <t>stelle d'argento (fuoco freddo), lunghezza 12 cm, certificato igienico! L'imballaggio contiene il numero 5</t>
  </si>
  <si>
    <t>Świeczka tortowa, srebrna 12cm cyferka 5</t>
  </si>
  <si>
    <t>Tortna Fontana 12cm sa brojem  5</t>
  </si>
  <si>
    <t>Sao bạc (lửa lạnh), dài 12cm, giấy chứng nhận thực phẩm! Gói chứa số 5</t>
  </si>
  <si>
    <t>sidabrinės žvaigždės (šalta, Tortinė, liepsna), ilgis 12cm, higienos sertifikatas! Pakuotėje yra skaičius 5</t>
  </si>
  <si>
    <t>tortna fontana - srebrne zvjezdice(hladna iskra), dužina 12cm, certifikat o sukladnosti za 
sigurnu uporabu s hranom. Pakiranje sadrži broj 6</t>
  </si>
  <si>
    <t>stelle d'argento (fuoco freddo), lunghezza 12 cm, certificato igienico! L'imballaggio contiene il numero 6</t>
  </si>
  <si>
    <t>Świeczka tortowa, srebrna 12cm cyferka 6</t>
  </si>
  <si>
    <t>Tortna Fontana 12cm sa brojem  6</t>
  </si>
  <si>
    <t>Sao bạc (lửa lạnh), dài 12cm, giấy chứng nhận thực phẩm! Gói chứa số 6</t>
  </si>
  <si>
    <t>sidabrinės žvaigždės (šalta, Tortinė, liepsna), ilgis 12cm, higienos sertifikatas! Pakuotėje yra skaičius 6</t>
  </si>
  <si>
    <t>tortna fontana - srebrne zvjezdice(hladna iskra), dužina 12cm, certifikat o sukladnosti za 
sigurnu uporabu s hranom. Pakiranje sadrži broj 7</t>
  </si>
  <si>
    <t>stelle d'argento (fuoco freddo), lunghezza 12 cm, certificato igienico! L'imballaggio contiene il numero 7</t>
  </si>
  <si>
    <t>Świeczka tortowa, srebrna 12cm cyferka 7</t>
  </si>
  <si>
    <t>Tortna Fontana 12cm sa brojem  7</t>
  </si>
  <si>
    <t>Sao bạc (lửa lạnh), dài 12cm, giấy chứng nhận thực phẩm! Gói chứa số 7</t>
  </si>
  <si>
    <t>sidabrinės žvaigždės (šalta, Tortinė,liepsna), ilgis 12cm, higienos sertifikatas! Pakuotėje yra skaičius 7</t>
  </si>
  <si>
    <t>tortna fontana - srebrne zvjezdice(hladna iskra), dužina 12cm, certifikat o sukladnosti za 
sigurnu uporabu s hranom. Pakiranje sadrži broj 8</t>
  </si>
  <si>
    <t>stelle d'argento (fuoco freddo), lunghezza 12 cm, certificato igienico! L'imballaggio contiene il numero 8</t>
  </si>
  <si>
    <t>Świeczka tortowa, srebrna 12cm cyferka 8</t>
  </si>
  <si>
    <t>Tortna Fontana 12cm sa brojem  8</t>
  </si>
  <si>
    <t>Sao bạc (lửa lạnh), dài 12cm, giấy chứng nhận thực phẩm! Gói chứa số 8</t>
  </si>
  <si>
    <t>sidabrinės žvaigždės (šalta, Tortinė, liepsna), ilgis 12cm, higienos sertifikatas! Pakuotėje yra skaičius 8</t>
  </si>
  <si>
    <t>tortna fontana - srebrne zvjezdice(hladna iskra), dužina 12cm, certifikat o sukladnosti za 
sigurnu uporabu s hranom. Pakiranje sadrži broj 9</t>
  </si>
  <si>
    <t>stelle d'argento (fuoco freddo), lunghezza 12 cm, certificato igienico! L'imballaggio contiene il numero 9</t>
  </si>
  <si>
    <t>Świeczka tortowa, srebrna 12cm cyferka 9</t>
  </si>
  <si>
    <t>Tortna Fontana 12cm sa brojem  9</t>
  </si>
  <si>
    <t>Sao bạc (lửa lạnh), dài 12cm, giấy chứng nhận thực phẩm! Gói chứa số 9</t>
  </si>
  <si>
    <t>sidabrinės žvaigždės (šalta, Tortinė,  liepsna), ilgis 12cm, higienos sertifikatas! Pakuotėje yra skaičius 9</t>
  </si>
  <si>
    <t>tortna fontana - srebrne zvjezdice(hladna iskra), dužina 12cm, certifikat o sukladnosti za 
sigurnu uporabu s hranom. Pakiranje sadrži brojeve od 0-9</t>
  </si>
  <si>
    <t>stelle d'argento (fuoco freddo), lunghezza 12 cm, certificato igienico! L'imballaggio contiene il numero di mix 0-9</t>
  </si>
  <si>
    <t>Świeczka tortowa, srebrna 12cm mix cyferki 0-9</t>
  </si>
  <si>
    <t>Tortna Fontana 12cm sa brojevima 0-9</t>
  </si>
  <si>
    <t>Sao bạc (lửa lạnh), dài 12cm, giấy chứng nhận thực phẩm! Gói chứa hỗn hợp các số 0-9</t>
  </si>
  <si>
    <t>sidabrinės žvaigždės (šalta, Tortinė, liepsna), ilgis 12cm, higienos sertifikatas! Pakuotėje yra skaičiai 0-9</t>
  </si>
  <si>
    <t>konfete dužine 40cm, sjajni papir u boji</t>
  </si>
  <si>
    <t>lunghezza 40cm,carte a colori brillanti</t>
  </si>
  <si>
    <t>Konfetti pneumatyczne w tubie, długość 40cm, błyszcząca kolorowa folia</t>
  </si>
  <si>
    <t>Party Konfeta 40cm</t>
  </si>
  <si>
    <t>Chiều dài 40cm, giấy màu bóng</t>
  </si>
  <si>
    <t>40cm ilgio, spindintys spalvoti poperėliai</t>
  </si>
  <si>
    <t>konfete dužine 40cm, srebrna srca i ružine latice</t>
  </si>
  <si>
    <t>lunghezza 40cm,cuori d'argento + foglie di rosa</t>
  </si>
  <si>
    <t>Konfetti pneumatyczne w tubie, długość 40cm, srebrne serduszka + płatki róży</t>
  </si>
  <si>
    <t>Svadbena Konfeta 40cm</t>
  </si>
  <si>
    <t>Chiều dài 40cm, trái tim bạc + cánh hoa hồng</t>
  </si>
  <si>
    <t>40cm ilgio, sidabrinės širdys ir rožių žiedlapiai</t>
  </si>
  <si>
    <t>konfete dužine 40cm, novčanice EUR</t>
  </si>
  <si>
    <t>lunghezza 40cm,banconote IN EURO</t>
  </si>
  <si>
    <t>Konfetti pneumatyczne w tubie, długość 40cm, banknoty EURO</t>
  </si>
  <si>
    <t>Firmirana Konfeta 40cm</t>
  </si>
  <si>
    <t>Chiều dài 40cm, tiền giấy euro</t>
  </si>
  <si>
    <t>40cm ilgio, EUR banknotai</t>
  </si>
  <si>
    <t>konfete dužine 80cm, sjajni papir u boji</t>
  </si>
  <si>
    <t>lunghezza 80cm,carte a colori brillanti</t>
  </si>
  <si>
    <t>Konfetti pneumatyczne w tubie, długość 80cm, błyszcząca kolorowa folia</t>
  </si>
  <si>
    <t>Party Konfeta 80cm</t>
  </si>
  <si>
    <t>Chiều dài 80cm, giấy màu bóng</t>
  </si>
  <si>
    <t>80cm ilgio, spindintys spalvoti poperėliai</t>
  </si>
  <si>
    <t>konfete dužine 80cm, sjajni zlatni papir</t>
  </si>
  <si>
    <t>lunghezza 80cm,carte dorate splendenti</t>
  </si>
  <si>
    <t>Konfetti pneumatyczne w tubie, długość 80cm, błyszcząca złota folia</t>
  </si>
  <si>
    <t>Party Konfeta 80cm zlatna</t>
  </si>
  <si>
    <t>Chiều dài 80cm, mảnh giấy vàng sáng bóng</t>
  </si>
  <si>
    <t>80cm ilgio, spindintys auksiniai poperėliai</t>
  </si>
  <si>
    <t>konfete dužine 80cm, novčanice EUR</t>
  </si>
  <si>
    <t>lunghezza 80cm,banconote IN EURO</t>
  </si>
  <si>
    <t>Konfetti pneumatyczne w tubie, długość 80cm, banknoty EURO</t>
  </si>
  <si>
    <t>Firmirana Konfeta 80cm</t>
  </si>
  <si>
    <t>Chiều dài 80cm, tiền giấy euro</t>
  </si>
  <si>
    <t>80cm ilgio, EUR banknotai</t>
  </si>
  <si>
    <t>20 pucnjeva, trag u boji, dužina 44cm</t>
  </si>
  <si>
    <t xml:space="preserve">Coda di colore 20sh, lunghezza 44 cm </t>
  </si>
  <si>
    <t>rzymski ogień, 20 strz. kolorowe komety, 44cm</t>
  </si>
  <si>
    <t>rimska sveća 20 boja, dužina štapa 44cm</t>
  </si>
  <si>
    <t>20 phát đạn pháo sáng màu tròn, dài 44cm</t>
  </si>
  <si>
    <t>20 šūvių spalvota uodega, 44cm ilgio</t>
  </si>
  <si>
    <t>40 pucnjeva, trag u boji, dužina 70cm</t>
  </si>
  <si>
    <t>Coda di colore 40sh, lunghezza 70 cm</t>
  </si>
  <si>
    <t>rzymski ogień, 40 strz. kolorowe komety, 70cm</t>
  </si>
  <si>
    <t>rimska sveća 40 boja, dužina štapa 70cm</t>
  </si>
  <si>
    <t>40 phát đạn pháo sáng tròn màu, dài 70cm</t>
  </si>
  <si>
    <t>40 šūvių spalvota uodega, 70cm ilgio</t>
  </si>
  <si>
    <t>10 pucnjeva, trag u boji, dužina 54cm</t>
  </si>
  <si>
    <t xml:space="preserve">Coda di colore 10sh, lunghezza 54 cm </t>
  </si>
  <si>
    <t>rzymski ogień, 10 strz. kolorowe komety, 54cm</t>
  </si>
  <si>
    <t>rimska sveća 10 boja, dužina štapa 54cm</t>
  </si>
  <si>
    <t>10 phát đạn pháo sáng tròn màu, dài 54cm</t>
  </si>
  <si>
    <t>10 šūvių spalvota uodega, 54cm ilgio</t>
  </si>
  <si>
    <t>20 pucnjeva, pucketajuća kometa, dužina 54cm</t>
  </si>
  <si>
    <t>Comete scoppiettanti da 20sh, lunghezza 54 cm</t>
  </si>
  <si>
    <t>rzymski ogień, 20 strz. trzeszczące komety, 54cm</t>
  </si>
  <si>
    <t>Praskave Komete 20s/54cm</t>
  </si>
  <si>
    <t>20 phát đạno chổi kêu răng rắc, dài 54cm</t>
  </si>
  <si>
    <t>20 šūvių traškanti kometa, 54cm ilgio</t>
  </si>
  <si>
    <t>20 pucnjeva, pucketajuća kometa, dužina 70cm</t>
  </si>
  <si>
    <t>Comete scoppiettanti da 20, lunghezza 70 cm</t>
  </si>
  <si>
    <t>rzymski ogień, 20 strz. trzeszczące komety, 70cm</t>
  </si>
  <si>
    <t>Praskave Komete 20s/70cm</t>
  </si>
  <si>
    <t>20 phát đạn sao chổi kêu răng rắc, dài 70cm</t>
  </si>
  <si>
    <t>20 šūvių traškanti kometa, 70cm ilgio</t>
  </si>
  <si>
    <t>20 pucnjeva, trag u boji, dužina 60cm</t>
  </si>
  <si>
    <t>Coda di colore 20sh, lunghezza 60 cm</t>
  </si>
  <si>
    <t>rzymski ogień, 20 strz. kolorowe komety, 60cm</t>
  </si>
  <si>
    <t>rimska sveća 20 boja, dužina štapa 60cm</t>
  </si>
  <si>
    <t>20 phát đạn pháo sáng màu tròn, dài 60cm</t>
  </si>
  <si>
    <t>20 šūvių traškanti kometa, 60cm ilgio</t>
  </si>
  <si>
    <t>10 pucnjeva trag u boji+10 pucnjeva pucketajuća kometa, dužina 65cm</t>
  </si>
  <si>
    <t>10sh colore coda + 10sh cometa scoppiettante, lunghezza 65 cm</t>
  </si>
  <si>
    <t>rzymski ogień, 10 strz. kolorowe komety + 10 strz. trzeszczące komety, 65cm</t>
  </si>
  <si>
    <t>10 kuglica u boji+10 kreker komete, dužina štapa 65cm</t>
  </si>
  <si>
    <t>10 phát đạn pháo sáng màu + 10 vòng sao chổi, chiều dài 65cm</t>
  </si>
  <si>
    <t>10 šūvių spalvota uodega ir 10 šūvių traškanti kometa, 65cm ilgio</t>
  </si>
  <si>
    <t>Set sadrži rimske svijeće 20 pucnjeva, dužina 60cm (uključuje R5420K-2kom, R6020B, R6520BK, 
R7020BK-2kom)</t>
  </si>
  <si>
    <t>La confezione mista contiene candele romane da 20 ciglia, lunghezza 60 cm (incluso R5420K-2pc, R6020B, R6520BK, R7020BK-2pc)</t>
  </si>
  <si>
    <t>rzymskie ognie mix, 20strz. długość 60cm (R5420K-2szt, R6020B, R6520BK, R7020BK-2szt)</t>
  </si>
  <si>
    <t>Mix:R5420K-2kom, R6020B, R6520BK, R7020BK-2kom</t>
  </si>
  <si>
    <t>hỗn hợp 20 phát đạn nến La Mã (R5420K-2pcs, R6020B, R6520BK, R7020BK-2pcs), chiều dài 60cm</t>
  </si>
  <si>
    <t>Rinkinyje yra 20 šūvių romėniškos ugnies lazdelės, 60cm ilgio (R5420K-2pc, R6020B, R6520BK, R7020BK 2 vienetai)</t>
  </si>
  <si>
    <t>Set sadrži rimske svijeće 20 pucnjeva, dužina70cm(uključuje 3 kom R7020K, R6020B, R6520BK,R7020BK)</t>
  </si>
  <si>
    <t>Il pacchetto misto contiene candele romane da 20 ciglia, lunghezza 70 cm (di cui 3pc di R7020K, R6020B, R6520BK, R7020BK)</t>
  </si>
  <si>
    <t>rzymskie ognie mix, 20strz. długość 70cm (3szt R7020K, R6020B, R6520BK, R7020BK)</t>
  </si>
  <si>
    <t>Mix po 3kom.  R7020K, R6020B, R6520BK,R7020BK</t>
  </si>
  <si>
    <t>hỗn hợp 20 phát đạn nến La Mã (3 chiếc-R7020K, R6020B, R6520BK, R7020BK), chiều dài 70cm</t>
  </si>
  <si>
    <t>Rinkinyje yra 20 šūvių romėniškos ugnies lazdelės, 70cm ilgio (R7020K, R6020B, R6520BK,R7020BK 3 vienetai)</t>
  </si>
  <si>
    <t>40 phát đạn sáng tròn màu, dài 70cm</t>
  </si>
  <si>
    <t>40 šūvių spalvota kamuoliukais šaudanti lazdele 70cm ilgio</t>
  </si>
  <si>
    <t>8 pucnjeva, srebrni trag, pucanj s pucketanjem, dužina 58cm</t>
  </si>
  <si>
    <t>8sh coda d'argento+ saluto in titanio con scoppiettante, lunghezza 58 cm</t>
  </si>
  <si>
    <t>Rzymski ogień, 8 strz. srebrne komety +głośny huk z trzeszczeniem, 58cm</t>
  </si>
  <si>
    <t>titanijumski pucanj, dužina štapa 58cm</t>
  </si>
  <si>
    <t>8 phát đạn bạc dừng + kích nổ titan với các ngôi sao kêu răng rắc, dài 58cm</t>
  </si>
  <si>
    <t>8 šūvių sidabrinė uodega ir titano saliutas su traškesiu, 58cm ilgio</t>
  </si>
  <si>
    <t>8 pucnjeva, 3 različita efekta u boji, dužina 60cm</t>
  </si>
  <si>
    <t>Cometa scoppiettante 8sh, lunghezza 60 cm</t>
  </si>
  <si>
    <t>rzymski ogień, 8 strz. 3 różnokolorowe efekty, 60cm</t>
  </si>
  <si>
    <t>8s sa 3 različita efekta, dužina štapa 60cm</t>
  </si>
  <si>
    <t>8 phát đạn, 3 hiệu ứng khác nhau xen kẽ sau mỗi lần bắn, chiều dài 60cm</t>
  </si>
  <si>
    <t>8 šūvių 3 skirtingų spalvų efektai, 60cm ilgio</t>
  </si>
  <si>
    <t>Set sadrži rimske svijeće od 8 pucnjeva: R5808D, R6008E, R6008K,R7508E</t>
  </si>
  <si>
    <t>La confezione mista contiene candela romana 8sh tra cui: R5808D, R6008E, R6008K,R7508E</t>
  </si>
  <si>
    <t>rzymskie ognie mix, 8strz. długość 60cm (R5808D, R6008E, R6008K,R7508E)</t>
  </si>
  <si>
    <t>Mix R5808D, R6008E, R6008K,R7508E</t>
  </si>
  <si>
    <t>hỗn hợp nến La Mã 8 phát đạn (mỗi vòng 1 cái R5808D, R6008E, R6008K, R7508E), chiều dài 60cm</t>
  </si>
  <si>
    <t>Rinkinyje yra 8 šūvių romėniškos ugnies lazdelės: R5808D, R6008E, R6008K, R7508E</t>
  </si>
  <si>
    <t>8 pucnjeva, srebrni zviždući trag, dužina 65cm</t>
  </si>
  <si>
    <t>Coda fischiettante d'argento 8sh, lunghezza 65 cm</t>
  </si>
  <si>
    <t>rzymski ogień, 8 strz. srebrna kometa z gwizdem, 65cm</t>
  </si>
  <si>
    <t>8s, srebrni zvižduk, dužina štapa 60cm</t>
  </si>
  <si>
    <t>Theo dõi huýt sáo bạc 8 phát đạn, chiều dài 65cm</t>
  </si>
  <si>
    <t>8 šūvių sidabrinė švilpianti uodega, 65cm ilgio</t>
  </si>
  <si>
    <t>8 pucnjeva, 3 različita efekta u boji, dužina 75cm</t>
  </si>
  <si>
    <t>8sh 3 effetti di colore diversi, lunghezza 75 cm</t>
  </si>
  <si>
    <t>rzymski ogień, 8 strz. 3 różnokolorowe efekty, 75cm</t>
  </si>
  <si>
    <t>8s sa 3 različita efekta, dužina štapa 75cm</t>
  </si>
  <si>
    <t>8 phát đạn, 3 hiệu ứng khác nhau xen kẽ sau mỗi lần bắn, chiều dài 75cm</t>
  </si>
  <si>
    <t>8 šūvių 3 skirtingų spalvų efektai, 75cm ilgio</t>
  </si>
  <si>
    <t>R7508SIG</t>
  </si>
  <si>
    <t>8 pucnjeva, 4 različita efekta u boji, dužina 75cm</t>
  </si>
  <si>
    <t>8sh,4 diversi effetti di colore,75cm di lunghezza</t>
  </si>
  <si>
    <t>rzymski ogień, 8 strz. 4 różnokolorowe efekty, 75cm</t>
  </si>
  <si>
    <t>8s sa 4 različita efekta, dužina štapa 75cm</t>
  </si>
  <si>
    <t>8 phát đạn, 4 hiệu ứng nhiều màu, chiều dài 75cm</t>
  </si>
  <si>
    <t>8 šūvių 4 skirtingų spalvų efektai, 75cm ilgio</t>
  </si>
  <si>
    <t>8 pucnjeva, zlatni trag+zlatna kiša, dužina 75cm</t>
  </si>
  <si>
    <t>8sh,coda di broccato+corona di broccato, lunghezza 75 cm</t>
  </si>
  <si>
    <t>rzymski ogień, 8 strz. brokatowa kometa + opadająca brokatowa korona efekty, 75cm</t>
  </si>
  <si>
    <t>8s , brokadni rep+brokadna kruna, dužina štapa 75cm</t>
  </si>
  <si>
    <t>Dấu chân (brocade) 8 phát đạn + vương miện (brocade), chiều dài 75cm</t>
  </si>
  <si>
    <t>8 šūvių brokato uodega ir brokato vainikas, 75c ilgio</t>
  </si>
  <si>
    <t>rimska svijeća 91 pucanj, 4 različite boje</t>
  </si>
  <si>
    <t>candela romana 91sh, 4 colori diversi</t>
  </si>
  <si>
    <t>rzymski ogień 91 strz. 4 różnokolorowe efekty</t>
  </si>
  <si>
    <t>rimska sveća 91 pucanj, 4 različita efekta</t>
  </si>
  <si>
    <t>nến La Mã 91 phát đạn, 4 hiệu ứng nhiều màu</t>
  </si>
  <si>
    <t>91 šūvio 4 skirtingų spalvų romėniškos ugnies šaudantis vamzdis</t>
  </si>
  <si>
    <t>srebrna mina, crveni trag i pucanj</t>
  </si>
  <si>
    <t>miniera d'argento a coda rossa a saluto titanio</t>
  </si>
  <si>
    <t>srebrna mina, czerwona kometa, głośny huk</t>
  </si>
  <si>
    <t>srebrna mina,crveni rep, titanijumski pucanj</t>
  </si>
  <si>
    <t>quét bạc + dấu vết đỏ và kích nổ titan</t>
  </si>
  <si>
    <t>sidabrinė mina su raudona uodega ir titano saliutu</t>
  </si>
  <si>
    <t>padobran u dvije različite boje</t>
  </si>
  <si>
    <t>2 paracadute di colore diverso</t>
  </si>
  <si>
    <t>efekt spadochronu w 2 różnych kolorach</t>
  </si>
  <si>
    <t>padobran sa 2 različita efekta u boji</t>
  </si>
  <si>
    <t>đèn màu trên dù (2 cái)</t>
  </si>
  <si>
    <t>2 spalvų parašiutas</t>
  </si>
  <si>
    <t>zviždeći trag</t>
  </si>
  <si>
    <t>coda fischiettante</t>
  </si>
  <si>
    <t>gwiżdżąca kometa</t>
  </si>
  <si>
    <t>dấu vết huýt sáo</t>
  </si>
  <si>
    <t>švilpianti uodega</t>
  </si>
  <si>
    <t>4 różnokolorowe efekty</t>
  </si>
  <si>
    <t>4 različita efekta u boji-efekti s niskom razinom buke</t>
  </si>
  <si>
    <t>4 diversi effetti di colore- nessun rumore</t>
  </si>
  <si>
    <t>4 różnokolorowe ciche efekty</t>
  </si>
  <si>
    <t>4 različita efekta u boji - bez buke</t>
  </si>
  <si>
    <t>4 hiệu ứng nhiều màu - không nhiễu</t>
  </si>
  <si>
    <t>4 Skirtingi spalvoti efektai, be garso</t>
  </si>
  <si>
    <t>srebrna mina, crveni trag, pucanj</t>
  </si>
  <si>
    <t>(silver mine) với dấu vết màu đỏ và một vụ nổ titan</t>
  </si>
  <si>
    <t>(silver mine) có dấu vết màu đỏ và một vụ nổ titan</t>
  </si>
  <si>
    <t>zviždanje+fontana+mina</t>
  </si>
  <si>
    <t xml:space="preserve">fischi+fontana+miniera </t>
  </si>
  <si>
    <t>Gwizd + fontanna + mina</t>
  </si>
  <si>
    <t>zvižduk + fontana + projektil</t>
  </si>
  <si>
    <t>còi + vòi phun lửa + (mine)</t>
  </si>
  <si>
    <t>švilpimas, fontanas ir mina</t>
  </si>
  <si>
    <t>6 različitih efekata, promjer 50mm (vrhunska kvaliteta)</t>
  </si>
  <si>
    <t>6 effetti diversi, diametr 50mm (alta qualità)</t>
  </si>
  <si>
    <t>moździerz 6 różnych efektów, kaliber 50 mm (najwyższa jakość)</t>
  </si>
  <si>
    <t>6 različita efekta prečnika 50mm</t>
  </si>
  <si>
    <t xml:space="preserve">6 hiệu ứng màu sắc khác nhau, dấu vết kính 50 mm (chất lượng hàng đầu) </t>
  </si>
  <si>
    <t>6 Skirtingi spalvoti efektai. , 50mm skersmuo, aukščiausios kokybės</t>
  </si>
  <si>
    <t>18 efekata različitih boja 50mm (cilindar bombe) - profesionalna kvaliteta</t>
  </si>
  <si>
    <t>18 effetti da 50 mm di colore diverso (bomba cilindrica) - qualità professionale</t>
  </si>
  <si>
    <t>18 różnokolorowych efektów 50 mm (bomba cylindryczna) najwyysza jakość</t>
  </si>
  <si>
    <t>18 različita efekta, prečnik cilindra 50mm, profesionalni kvalitet</t>
  </si>
  <si>
    <t>18 hiệu ứng 50mm màu khác nhau (bom hình trụ) - chất lượng chuyên nghiệp</t>
  </si>
  <si>
    <t>18 Skirtingi spalvoti efektai.  (cilindrinė bomba), 50mm, skirtas profesionaliam šaudymui.</t>
  </si>
  <si>
    <t>zelena rotacija s pucketanjem</t>
  </si>
  <si>
    <t>ruotare verde con crepitio</t>
  </si>
  <si>
    <t>zielony bączek z trzeszczeniem</t>
  </si>
  <si>
    <t>zelena rotacija sa krekerima</t>
  </si>
  <si>
    <t>vòi phun lửa xanh quay với những ngôi sao kêu</t>
  </si>
  <si>
    <t>žalias besisukantis fontanas su traškesiu</t>
  </si>
  <si>
    <t>RP5DU14(1)</t>
  </si>
  <si>
    <t>CP5DU14(R)</t>
  </si>
  <si>
    <t>red light+strong crackling</t>
  </si>
  <si>
    <t>červené světlo + silné práskající hěvzdy</t>
  </si>
  <si>
    <t>rotes Licht + starkes Crackling</t>
  </si>
  <si>
    <t>crveno svjetlo + jako pucketanje</t>
  </si>
  <si>
    <t>semaforo rosso+forte crepitio</t>
  </si>
  <si>
    <t>czerwone światło z mocnym trzeszczeniem</t>
  </si>
  <si>
    <t>crvena svetlost sa jakim krekerima</t>
  </si>
  <si>
    <t>ánh sáng đỏ + sao nứt mạnh</t>
  </si>
  <si>
    <t>raudona šviesa ir stiprus traškėjimas</t>
  </si>
  <si>
    <t>CP5DU14(R)1</t>
  </si>
  <si>
    <t>CP5DU14(G)</t>
  </si>
  <si>
    <t>green light+strong crackling</t>
  </si>
  <si>
    <t>zelené světlo + silné práskající hěvzdy</t>
  </si>
  <si>
    <t>grünes Licht + starkes Crackling</t>
  </si>
  <si>
    <t>zeleno svjetlo + jako pucketanje</t>
  </si>
  <si>
    <t>semaforo verde+forte crepitio</t>
  </si>
  <si>
    <t>zielone światło z mocnym trzeszczeniem</t>
  </si>
  <si>
    <t>zelena svetlost sa jakim krekerima</t>
  </si>
  <si>
    <t>ánh sáng xanh + sao nứt mạnh</t>
  </si>
  <si>
    <t>žalia šviesa ir stiprus traškėjimas</t>
  </si>
  <si>
    <t>CP5DU14(G)1</t>
  </si>
  <si>
    <t>mala petarda kres, snaga zvuka 112dB na udaljenosti 8m</t>
  </si>
  <si>
    <t>scatcher piccolo petard, potenza sonora 112dB da 8m</t>
  </si>
  <si>
    <t>małe petardy na draskę, głośność 112dB z 8m</t>
  </si>
  <si>
    <t>mala petarda na trenje, jačina 112dB na 8m</t>
  </si>
  <si>
    <t>pháo quẹt nhỏ, sức nổ 112dB từ 8m</t>
  </si>
  <si>
    <t>maža petarda, garso galia 112dB nuo 8m</t>
  </si>
  <si>
    <t>petarda kres, snaga zvuka 116dB na udaljenosti 8m</t>
  </si>
  <si>
    <t>petard scatcher, potenza sonora 116dB da 8m</t>
  </si>
  <si>
    <t>petardy na draskę, głośność 116dB z 8m</t>
  </si>
  <si>
    <t>mala petarda na trenje, jačina 116dB na 8m</t>
  </si>
  <si>
    <t>pháo quẹt lớn, sức nổ 116dB từ 8m</t>
  </si>
  <si>
    <t>petarda, garso galia 116dB nuo 8m</t>
  </si>
  <si>
    <t>pháo lớn, sức nổ 116dB từ 8m</t>
  </si>
  <si>
    <t>petarda kres(dvostruka), snaga zvuka 116+116dB na udaljenosti 8m</t>
  </si>
  <si>
    <t>scatcher petard(doppio), potenza sonora 116+116 dB da 8m</t>
  </si>
  <si>
    <t>petardy na draskę (dwustrzałowe),głośność 2 x 116dB z 8m</t>
  </si>
  <si>
    <t>dupli pucanj na trenje, 116dB na 8m</t>
  </si>
  <si>
    <t>pháo quẹt lớn (hai viên), sức nổ 116 + 116dB từ 8m</t>
  </si>
  <si>
    <t>dviguba petarda, garso galia 116+116dB nuo 8m</t>
  </si>
  <si>
    <t>petarda kres, snaga zvuka 119dB na udaljenosti 15m, proizvedeno u Europi, plastični čep</t>
  </si>
  <si>
    <t>petard scatcher, potenza sonora 119dB da 15m, made in Europe, guarnizione in plastica</t>
  </si>
  <si>
    <t>petardy na draskę, głośność 119dB z 15m, (z plastikową zatyczką) produkcja Eu</t>
  </si>
  <si>
    <t>petarda na trenje,119dB na 15m, plastični čep, proizvedeno u Evropi</t>
  </si>
  <si>
    <t>pháo quẹt, độ nổ 119dB từ 15m, xuất xứ Châu Âu, cấm đít ống bằng nhựa</t>
  </si>
  <si>
    <t>petarda, garso galia 119dB nuo 15m, pagaminta Europoje, plastikinis uždarymas</t>
  </si>
  <si>
    <t>PS05D(1)</t>
  </si>
  <si>
    <t>pháo quẹt, độ nổ 119dB từ 15m, xuất xứ Châu Âu, cấm đít ống bằng nhự</t>
  </si>
  <si>
    <t>petarda kres, snaga zvuka 120dB na udaljenosti 15m, proizvedeno u Europi, plastični čep</t>
  </si>
  <si>
    <t>petard scatcher, potenza sonora 120dB da 15m, made in Europe, guarnizione in plastica</t>
  </si>
  <si>
    <t>petardy na draskę, głośność 120dB z 15m, (z plastikową zatyczką) produkcja Eu</t>
  </si>
  <si>
    <t>petarda na trenje,120dB na 15m, plastični čep, proizvedeno u Evropi</t>
  </si>
  <si>
    <t>pháo quẹt, độ nổ 120dB từ 15m, xuất xứ Châu Âu, cấm đít ống bằng nhự</t>
  </si>
  <si>
    <t>petarda, garso galia 120dB nuo 15m, pagaminta Europoje, plastikinis uždarymas</t>
  </si>
  <si>
    <t>PS10D10(1)</t>
  </si>
  <si>
    <t>snaga zvuka 114dB na udaljenosti 8m</t>
  </si>
  <si>
    <t>potenza sonora 114dB da 8m</t>
  </si>
  <si>
    <t>petardy lontowe, głośność 114dB z 8m</t>
  </si>
  <si>
    <t>jačina zvuka 114dB na 8m</t>
  </si>
  <si>
    <t>sức nổ 114dB từ 8m</t>
  </si>
  <si>
    <t>garso galia 114dB nuo 8m</t>
  </si>
  <si>
    <t>snaga zvuka 117dB na udaljenosti 8m</t>
  </si>
  <si>
    <t>potenza sonora 117dB da 8m</t>
  </si>
  <si>
    <t>petardy lontowe, głośność 117dB z 8m</t>
  </si>
  <si>
    <t>jačina zvuka 117dB na 8m</t>
  </si>
  <si>
    <t>sức nổ 117dB từ 8m</t>
  </si>
  <si>
    <t>garso galia 117dB nuo 8m</t>
  </si>
  <si>
    <t>snaga zvuka 119dB na udaljenosti 8m</t>
  </si>
  <si>
    <t>potenza sonora 119dB da 8m</t>
  </si>
  <si>
    <t>petardy lontowe, głośność 119dB z 8m</t>
  </si>
  <si>
    <t>jačina zvuka 119dB na 8m</t>
  </si>
  <si>
    <t>sức nổ 119dB từ 8m</t>
  </si>
  <si>
    <t>garso galia 119dB nuo 8m</t>
  </si>
  <si>
    <t>K0203KB</t>
  </si>
  <si>
    <t>K0203BP</t>
  </si>
  <si>
    <t>Dumbum Black Pirat</t>
  </si>
  <si>
    <t>snaga zvuka 120dB na udaljenosti 8m, proizvedeno u Europi, plastični čep</t>
  </si>
  <si>
    <t>potenza sonora 120dB forma 8m, made in Europe, guarnizione in plastica</t>
  </si>
  <si>
    <t>petardy lontowe, głośność 120dB z 8m, (z plastikową zatyczką) produkcja Eu</t>
  </si>
  <si>
    <t>jačina 120dB na 8m, plastičan čep, proizvedeno u Evropi</t>
  </si>
  <si>
    <t>sức nổ 120dB từ 8m, sản xuất tại Châu Âu, cấm đít ống bằng nhựa</t>
  </si>
  <si>
    <t>garso galia 120dB nuo 15m, pagaminta Europoje, plastikinis uždarymas</t>
  </si>
  <si>
    <t>snaga zvuka 120dB na udaljenosti 8m (crni barut)</t>
  </si>
  <si>
    <t>potenza sonora 120dB da 8m (polvere nera)</t>
  </si>
  <si>
    <t>petardy lontowe, głośność 120dB z 8m (czarno prochowe)</t>
  </si>
  <si>
    <t>jačina zvuka 120dB na 8m, crni barut</t>
  </si>
  <si>
    <t xml:space="preserve">sức nổ 120dB từ 8m (pháo bột màu đen) </t>
  </si>
  <si>
    <t>garso galia 120dB nuo 8m (juodojo parako gaminys)</t>
  </si>
  <si>
    <t>snaga zvuka 120dB na udaljenosti 15m, proizvedeno u Europi, plastični čep</t>
  </si>
  <si>
    <t>potenza sonora 120dB forma 15m, made in Europe, guarnizione in plastica</t>
  </si>
  <si>
    <t>petardy lontowe, głośność 120dB z 15m, (z plastikową zatyczką) produkcja Eu</t>
  </si>
  <si>
    <t>jačina 120dB na 15m, plastičan čep, proizvedeno u Evropi</t>
  </si>
  <si>
    <t>sức nổ120dB từ 15m, sản xuất tại Châu Âu, cấm đít ống bằng nhựa</t>
  </si>
  <si>
    <t>sức nổ120dB từ 15m, sản xuất tại Châu Âu, cấm đít ống bằng nhựa4</t>
  </si>
  <si>
    <t>P6A14F3</t>
  </si>
  <si>
    <t>sound power 117dB from 15m with green light on the start</t>
  </si>
  <si>
    <t>síla výbuchu 117dB z 15m se zeleným světlem na začátku</t>
  </si>
  <si>
    <t>Explosionskraft 117dB von 15m mit grünes Licht</t>
  </si>
  <si>
    <t>snaga zvuka 118dB na udaljenosti 15m, plastični čep</t>
  </si>
  <si>
    <t>potenza sonora 117dB da 15m con luce verde all'inizio</t>
  </si>
  <si>
    <t>petardy lontowe z zielonym błyskiem, głośność 117dB z 15m</t>
  </si>
  <si>
    <t>Petarda sa zelenim bljeskom na početku, jačina zvuka 117dB na 15m</t>
  </si>
  <si>
    <t>garso galia 117dB nuo 15m su žalia šviesa pradžioje</t>
  </si>
  <si>
    <t>P7A14</t>
  </si>
  <si>
    <t>sound power 118dB from 15m, plastic seal</t>
  </si>
  <si>
    <t>síla výbuchu 118dB z 15m, plastové ucpávky</t>
  </si>
  <si>
    <t>Explosionskraft 118dB von 15m, Plastikdichtung</t>
  </si>
  <si>
    <t>potenza sonora 118dB da 15m, guarnizione in plastica</t>
  </si>
  <si>
    <t>petardy lontowe, głośność 118dB z 15m, (plastikowe zatyczki)</t>
  </si>
  <si>
    <t>petarda, jačina zvuka 118dB na 15m, plastični čep</t>
  </si>
  <si>
    <t>sức nổ 118dB từ 15m, cấm đít ống bằng nhựa</t>
  </si>
  <si>
    <t>garso galia 118dB nuo 15m, plastikinis uždarymas</t>
  </si>
  <si>
    <t>snaga zvuka 120dB na udaljenosti 15m</t>
  </si>
  <si>
    <t>potenza sonora 120dB da 15m</t>
  </si>
  <si>
    <t>petardy lontowe, głośność 120dB z 15m</t>
  </si>
  <si>
    <t>jačina zvuka 120dB na 15m</t>
  </si>
  <si>
    <t>sức nổ120dB từ 15m</t>
  </si>
  <si>
    <t>garso galia 120dB nuo 15m</t>
  </si>
  <si>
    <t>snaga zvuka 120dB na udaljenosti 15m, sa zelenim svjetlosnim efektom na početku</t>
  </si>
  <si>
    <t>petardy lontowe z zielonym błyskiem, głośność 120dB z 15m</t>
  </si>
  <si>
    <t>jačina 120dB na 15m sa zelenim bljeskom</t>
  </si>
  <si>
    <t>sức nổ 120dB trong 15m với đèn xanh ở đầu</t>
  </si>
  <si>
    <t>garso galia 120dB nuo 15m su žalia šviesa pradžioje</t>
  </si>
  <si>
    <t>P5DU13(M)</t>
  </si>
  <si>
    <t>snaga zvuka 120dB na udaljenosti 15m sa zelenim svjetlosnim efektom na početku</t>
  </si>
  <si>
    <t>potenza sonora 120dB da 15m con luce verde all'inizio</t>
  </si>
  <si>
    <t>Petarda sa zelenim bljeskom na početku, jačina zvuka 120dB na 15m</t>
  </si>
  <si>
    <t>sức nổ 120dB từ 15m, với lửa xanh lá cây ở lúc đầu</t>
  </si>
  <si>
    <t>sức nổ 120dB từ 15m, sản xuất tại Châu Âu, cấm đít ống bằng nhựa</t>
  </si>
  <si>
    <t>sức nổ 120dB từ 15m</t>
  </si>
  <si>
    <t>P6A13(G)F3</t>
  </si>
  <si>
    <t>Dumbum midlle green</t>
  </si>
  <si>
    <t>P6A13(G)F3-1</t>
  </si>
  <si>
    <t>P6A13(R)F3</t>
  </si>
  <si>
    <t>Dumbum midlle red</t>
  </si>
  <si>
    <t>sound power 120dB from 15m with red light on the start</t>
  </si>
  <si>
    <t>síla výbuchu 120dB z 15m s červeným světlem na začátku</t>
  </si>
  <si>
    <t>Explosionskraft 120dB von 15m mit rot Licht</t>
  </si>
  <si>
    <t>potenza sonora 120dB da 15m con luce rossa all'inizio</t>
  </si>
  <si>
    <t>petardy lontowe z czerwonym błyskiem, głośność 120dB z 15m</t>
  </si>
  <si>
    <t>Petarda sa crvenim bljeskom na početku, jačina zvuka 120dB na 15m</t>
  </si>
  <si>
    <t>sức nổ 120dB từ 15m, với lửa đỏ ở lúc đầu</t>
  </si>
  <si>
    <t>garso galia 120dB nuo 15m su raudona šviesa pradžioje</t>
  </si>
  <si>
    <t>P6A13(R)F3-1</t>
  </si>
  <si>
    <t>sức nổ 120dB trong 15m, ánh sáng xanh sau khi đốt</t>
  </si>
  <si>
    <t>jačina 117dB na 15m sa zelenim bljeskom</t>
  </si>
  <si>
    <t>sức nổ 117dB từ 15m, ánh sáng xanh sau khi đốt</t>
  </si>
  <si>
    <t>P6A13(G)</t>
  </si>
  <si>
    <t>P6A13(R)</t>
  </si>
  <si>
    <t>snaga zvuka 120dB na udaljenosti 15m, sa crvenim svjetlosnim efektom na početku</t>
  </si>
  <si>
    <t>jačina 120dB na 15m sa crvenim bljeskom</t>
  </si>
  <si>
    <t>sức nổ 120dB trong 15m, ánh sáng đỏ sau khi đốt</t>
  </si>
  <si>
    <t>5g flash powder, 130dB form 15m, made in Europe, plastic seal</t>
  </si>
  <si>
    <t>5g Blitzsatz, 130dB von 15m, lHergestellt in Europa,Plastikdichtung</t>
  </si>
  <si>
    <t>5g pirotehničke smjese, 130dB na udaljenosti 15+C12m, proizvedeno u Europi, plstični čep</t>
  </si>
  <si>
    <t>5g polvere flash, 130dB forma 15m, made in Europe, sigillo di plastica</t>
  </si>
  <si>
    <t>petardy lontowe, głośność 130dB z 15m, (produkcja EU, plastikowe zatyczki)</t>
  </si>
  <si>
    <t>Petarda 5g fleš barut, jačina zvuka 130dB na 15m, plastični čep, proizvedena u Evropi</t>
  </si>
  <si>
    <t>sức nổ 130dB từ 15m, sản xuất tại Châu Âu, con dấu bằng nhựa</t>
  </si>
  <si>
    <t>garso galia 130dB nuo 15m, pagaminta Europoje, plastikinis uždarymas</t>
  </si>
  <si>
    <t xml:space="preserve">30g baruta, snaga zvuka 140dB na udaljenosti 15m, sa zelenim svjetlosnim efektom na početku, </t>
  </si>
  <si>
    <t>30g di polvere flash, potenza sonora 142 dB da 15m, made in Europe</t>
  </si>
  <si>
    <t>30g petardy lontowe, głośność 142dB z 15m (z plastikową zatyczką) produkcja EU</t>
  </si>
  <si>
    <t>30g fleš barut,142dB na 15m, proizvedeno u Evropi</t>
  </si>
  <si>
    <t>Thành phần đèn flash 30g, 142dB trong 15m, sản xuất tại Châu Âu</t>
  </si>
  <si>
    <t>30g blyksintis parakas, 142dB nuo 15m, pagaminta Europoje</t>
  </si>
  <si>
    <t>50g baruta, snaga zvuka 159dB na udaljenosti 15m, proizvedeno u Europi</t>
  </si>
  <si>
    <t>50g di polvere flash, potenza sonora 160dB da 15m, made in Europe</t>
  </si>
  <si>
    <t>50g petardy lontowe, głośność 159dB z 15m produkcja EU</t>
  </si>
  <si>
    <t>50g fleš barut,159dB na 15m, proizvedeno u Evropi</t>
  </si>
  <si>
    <t>Thành phần đèn flash 50g, 159dB từ 15m, sản xuất tại Châu Âu</t>
  </si>
  <si>
    <t>50g blyksintis parakas, 159dB nuo 15m, pagaminta Europoje</t>
  </si>
  <si>
    <t>60g baruta, snaga zvuka 160dB na udaljenosti 15m, proizvedeno u Europi</t>
  </si>
  <si>
    <t>60g di polvere flash, potenza sonora 160dB da 15m, made in Europe</t>
  </si>
  <si>
    <t>60g petardy lontowe, głośność 160dB z 15m produkcja EU</t>
  </si>
  <si>
    <t>60g fleš barut,160dB na 15m, proizvedeno u Evropi</t>
  </si>
  <si>
    <t>Thành phần đèn flash 60g, 160dB trong 15m, sản xuất tại Châu Âu</t>
  </si>
  <si>
    <t>60g blyksintis parakas, 160dB nuo 15m, pagaminta Europoje</t>
  </si>
  <si>
    <t>100g baruta, snaga zvuka 170dB na udaljenosti 15m, proizvedeno u Europi</t>
  </si>
  <si>
    <t>100g di polvere flash, potenza sonora 170dB da 15m, made in Europe</t>
  </si>
  <si>
    <t>100g petardy lontowe, głośność 170dB z 15m produkcja EU</t>
  </si>
  <si>
    <t>100g fleš barut,170dB na 15m, proizvedeno u Evropi</t>
  </si>
  <si>
    <t>Thành phần đèn flash 100g, 170dB trong 15m, sản xuất tại Châu Âu</t>
  </si>
  <si>
    <t>100g blyksintis parakas, 170dB nuo 15m, pagaminta Europoje</t>
  </si>
  <si>
    <t>DP2CB</t>
  </si>
  <si>
    <t>Crazy Ball big</t>
  </si>
  <si>
    <t>crackling ball 3g, diameter 38mm</t>
  </si>
  <si>
    <t>práskající balónky 3g, průměr 38mm</t>
  </si>
  <si>
    <t>Knallende Ballone 3 g, Durchmesser 38mm</t>
  </si>
  <si>
    <t>pucketajuća kuglica 3g, promjer 38mm</t>
  </si>
  <si>
    <t>palla scoppiettante 3g, diametro 38mm</t>
  </si>
  <si>
    <t>trzeszczące kulki 3g, średnica 38mm</t>
  </si>
  <si>
    <t>krekling kugla 3g, prečnik 38mm</t>
  </si>
  <si>
    <t>bong bóng nổ 3g, dấu vết kính 38mm</t>
  </si>
  <si>
    <t>traškantis kamuoliukas 3g, 38mm skersmens</t>
  </si>
  <si>
    <t>Dumbum Explosive ball 15</t>
  </si>
  <si>
    <t>pucketajuće kuglice 15g, promjer 38mm</t>
  </si>
  <si>
    <t>palla scoppiettante 15g, diametro 38mm</t>
  </si>
  <si>
    <t>trzeszczące kulki 15g, średnica 38mm</t>
  </si>
  <si>
    <t>praskava kugla 15g, prečnika 38mm</t>
  </si>
  <si>
    <t>bong bóng nổ nứt 15g, dấu vết kính 38mm</t>
  </si>
  <si>
    <t>traškantis kamuoliukas 15g, 38mm skersmens</t>
  </si>
  <si>
    <t>pucketajuće kuglice 15g(dvostruki efekt), promjer 42mm</t>
  </si>
  <si>
    <t>palla scoppiettante 15g (doppio effetto), diametro 42mm</t>
  </si>
  <si>
    <t>trzeszczące kulki 15g(podwójny efekt) , średnica 42mm</t>
  </si>
  <si>
    <t>praskava kugla 15g, dupli efekat,  prečnika 42mm</t>
  </si>
  <si>
    <t>bong bóng nổ nứt 15g (hiệu ứng kép), dấu vết kính 42mm</t>
  </si>
  <si>
    <t>traškantis kamuoliukas 15g, dvigubas efektas, 42mm skersmens</t>
  </si>
  <si>
    <t>70 pucnjeva, dužina 16cm, redenici malih petardi</t>
  </si>
  <si>
    <t>70sh,lunghezza 16cm,cracker celebrazione da piccoli petard</t>
  </si>
  <si>
    <t>karabinek 70 strzałów małych petard, dł. 16cm</t>
  </si>
  <si>
    <t>redenik 70 malih petardi, dužina 16cm</t>
  </si>
  <si>
    <t>70 phát đạn, dài 16cm, tấm thảm gồm các pháo nhỏ</t>
  </si>
  <si>
    <t>70 šūvių, 16cm ilgio šventinis fejerverkas iš mažų petardų</t>
  </si>
  <si>
    <t>200 pucnjeva, dužina 62cm, redenici srednjih petardi</t>
  </si>
  <si>
    <t>200sh,lunghezza 62cm,cracker celebrazione da petard medi</t>
  </si>
  <si>
    <t>karabinek 200 strzałów średnich petard, dł. 62cm</t>
  </si>
  <si>
    <t>redenik 200 srednjih petardi, dužina 62cm</t>
  </si>
  <si>
    <t>200 phát đạn, dài 62cm, nổ thảm từ pháo hạng trung</t>
  </si>
  <si>
    <t>200 šūvių, 62cm ilgio šventinis fejerverkas iš vidutinio dydžio petardų</t>
  </si>
  <si>
    <t>500 pucnjeva, dužina 155cm, redenici srednjih petardi</t>
  </si>
  <si>
    <t>500sh,lunghezza 155cm,cracker celebrazione da petard medi</t>
  </si>
  <si>
    <t>karabinek 500 strzałów średnich petard, dł. 155cm</t>
  </si>
  <si>
    <t>redenik 500 srednjih petardi, dužina 155cm</t>
  </si>
  <si>
    <t>500 phát đạn, dài 155cm, nổ thảm từ pháo hạng trung</t>
  </si>
  <si>
    <t>500 šūvių, 155cm ilgio šventinis fejerverkas iš vidutinio dydžio petardų</t>
  </si>
  <si>
    <t>1000 pucnjeva, dužina 310cm, redenici srednjih petardi</t>
  </si>
  <si>
    <t>1000sh,lunghezza 310cm,cracker celebrazione da petard medi</t>
  </si>
  <si>
    <t>karabinek 1000 strzałów średnich petard, dł. 310cm</t>
  </si>
  <si>
    <t>redenik 1000 srednjih petardi, dužina 310cm</t>
  </si>
  <si>
    <t>1000 viên, dài 310cm, đập thảm từ pháo hạng trung</t>
  </si>
  <si>
    <t>1000 šūvių, 310cm ilgio šventinis fejerverkas iš vidutinio dydžio petardų</t>
  </si>
  <si>
    <t>1750 pucnjeva malih petardi + 200 pucnjeva srednjih petardi+19 pucnjeva velikih petardi, dužina 5,25m</t>
  </si>
  <si>
    <t>Cracker piccoli 1750sh + cracker midle 200sh + cracker grandi 19sh, lunghezza 5,25m</t>
  </si>
  <si>
    <t>karabinek, 1750 małych petard + 200 średnich petard + 19 dużych petard, dł. 5,25m</t>
  </si>
  <si>
    <t>redenik 1750 malih, 200 srednjih, 19 velikih petardi, dužina 5,25m</t>
  </si>
  <si>
    <t>1750 phát đạn tròn nhỏ + 200 quả pháo vừa + 19 quả pháo lớn, dài 5,25 m</t>
  </si>
  <si>
    <t>1750 šūvių mažas fejerverkas, 200 šūvių vidutinis fejerverkas, 19 šūvių didelis fejerverkas, 5.25m ilgio</t>
  </si>
  <si>
    <t>3500 pucnjeva malih petardi + 400 pucnjeva srednjih petardi+19 pucnjeva velikih petardi, dužina 10,50m</t>
  </si>
  <si>
    <t>Cracker piccoli 3500sh + cracker midle 400sh + cracker grandi 19sh, lunghezza 10,5m</t>
  </si>
  <si>
    <t>karabinek, 3500 małych petard + 400 średnich petard + 19 dużych petard, dł. 10,5m</t>
  </si>
  <si>
    <t>redenik 3500 malih, 400 srednjih, 19 velikih petardi, dužina 10,5m</t>
  </si>
  <si>
    <t>3500 phát đạn tròn nhỏ + 400 quả pháo vừa + 19 quả pháo lớn, chiều dài 10,5 m</t>
  </si>
  <si>
    <t>3500 šūvių mažas fejerverkas, 400 šūvių vidutinis fejerverkas, 19 šūvių didelis fejerverkas, 10.5m ilgio</t>
  </si>
  <si>
    <t>DBB1E</t>
  </si>
  <si>
    <t>Signal cartridge 15mm with explosion</t>
  </si>
  <si>
    <t>Signalkartusche 15mm mit explosion</t>
  </si>
  <si>
    <t>Signalna raketa 15mm sa eksplozijom</t>
  </si>
  <si>
    <t>Cartuccia di segnale 15mm con esplosione</t>
  </si>
  <si>
    <t>Signalni uložak 15 mm sa eksplozijom</t>
  </si>
  <si>
    <t>phát dạn báo hieu 15 mm - nổ lớn</t>
  </si>
  <si>
    <t>signalo kasetė 15mm su sprogimu</t>
  </si>
  <si>
    <t>zviždanje + pucanj</t>
  </si>
  <si>
    <t>fischi+salute</t>
  </si>
  <si>
    <t>rakietki, gwizd + huk</t>
  </si>
  <si>
    <t>zvižduk sa efektom</t>
  </si>
  <si>
    <t>tên lửa huýt sáo với vụ nổ</t>
  </si>
  <si>
    <t>švilpimas ir saliutas</t>
  </si>
  <si>
    <t>mala padobran raketa</t>
  </si>
  <si>
    <t>razzo con paracadute di piccole dimensioni</t>
  </si>
  <si>
    <t>rakietki ze spadochronem</t>
  </si>
  <si>
    <t>tên lửa dù</t>
  </si>
  <si>
    <t>maža parašiutinė raketa</t>
  </si>
  <si>
    <t>zviždeći trag + zvjezdice u boji</t>
  </si>
  <si>
    <t>coda fischiettante + stella di colore</t>
  </si>
  <si>
    <t>rakietki, gwiżdżąca kometa + kolorowe gwiazdki</t>
  </si>
  <si>
    <t>zvižduk sa zvezdicama u boji</t>
  </si>
  <si>
    <t>Dấu vết huýt sáo + pháo sáng màu</t>
  </si>
  <si>
    <t>švilpianti uodega ir spalvota žvaigždė</t>
  </si>
  <si>
    <t>zviždeći trag i srebrno svjetlucanje</t>
  </si>
  <si>
    <t>fischi coda a luccichio d'argento</t>
  </si>
  <si>
    <t>rakietki, gwiżdżąca kometa + srebrny brokat</t>
  </si>
  <si>
    <t>zvižduk sa belim svetlećim iskricama</t>
  </si>
  <si>
    <t>dấu vết mòn huýt sáo + những ngôi sao lấp lánh màu bạc</t>
  </si>
  <si>
    <t>švilpianti uodega ir sidabriniai blizgučiai</t>
  </si>
  <si>
    <t>zvjezdice u boji, visina rakete 42cm</t>
  </si>
  <si>
    <t>42 cm di altezza del razzo, stelle di colore</t>
  </si>
  <si>
    <t>rakiety, 42cm, kolorowe gwiazdki</t>
  </si>
  <si>
    <t>zvezdice u boji, dužina rakete 42cm</t>
  </si>
  <si>
    <t>Chiều cao 42cm, pháo sáng màu</t>
  </si>
  <si>
    <t>42cm aukščio raketa su spalvotom žvaigždėm</t>
  </si>
  <si>
    <t>zvjezdice u boji, visina rakete 72cm</t>
  </si>
  <si>
    <t>72 cm di altezza del razzo, stelle di colore</t>
  </si>
  <si>
    <t>rakiety, 72cm, kolorowe gwiazdki</t>
  </si>
  <si>
    <t>zvezdice u boji, dužina rakete 72cm</t>
  </si>
  <si>
    <t>Chiều cao 72cm, thánh màu</t>
  </si>
  <si>
    <t>72cm aukščio raketa su spalvotom žvaigždėm</t>
  </si>
  <si>
    <t>zviždeći trag, pucanj s pucketanjem</t>
  </si>
  <si>
    <t xml:space="preserve">fischi coda a saluto titanio con crepitio </t>
  </si>
  <si>
    <t>rakiety, gwiżdżąca kometa z głośnym hukiem oraz trzeszczeniem</t>
  </si>
  <si>
    <t>zvižduk + titanijumskim pucanj + krekeri</t>
  </si>
  <si>
    <t>tên lửa huýt sáo lớn với vụ nổ và những ngôi sao kêu răng rắc</t>
  </si>
  <si>
    <t>švilpianti uodega su titano saliutu ir traškesiu</t>
  </si>
  <si>
    <t>efekti u 6 različitih boja, niska razina buke</t>
  </si>
  <si>
    <t>6 diversi effetti di colore- nessun rumore</t>
  </si>
  <si>
    <t>rakiety, 6 różnych cichych efektów</t>
  </si>
  <si>
    <t>raketa bez zvuka, 6 raznih boja</t>
  </si>
  <si>
    <t>6 hiệu ứng màu sắc khác nhau - không nhiễu</t>
  </si>
  <si>
    <t>6 Skirtingi spalvoti efektai.  "be garso"</t>
  </si>
  <si>
    <t>srebrni trag sa pucnjem i pucketanjem (2g baruta)</t>
  </si>
  <si>
    <t>coda d'argento al saluto al titanio con crepitio (2g di polvere flash)</t>
  </si>
  <si>
    <t>rakiety, srebrna kometa z głośnym hukiem oraz trzeszczeniem (2g mieszaniny)</t>
  </si>
  <si>
    <t>srebrni trag+titanium pucanj+krekeri, 2gr. Fleš baruta</t>
  </si>
  <si>
    <t>Dấu vết bạc với sự phát nổ bằng titan và các ngôi sao nứt nẻ (thành phần 2g flash)</t>
  </si>
  <si>
    <t>švilpianti uodega su titano saliutu ir traškesiu (2g blyksinčio parako)</t>
  </si>
  <si>
    <t>rakiety, 4  różnokolorowe efekty</t>
  </si>
  <si>
    <t>7 različitih efekata u boji</t>
  </si>
  <si>
    <t>7 diversi effetti di colore</t>
  </si>
  <si>
    <t>rakiety, 7  różnokolorowych efektów</t>
  </si>
  <si>
    <t>7 različita efekta u boji</t>
  </si>
  <si>
    <t>7 hiệu ứng nhiều màu</t>
  </si>
  <si>
    <t xml:space="preserve">7 Skirtingi spalvoti efektai. </t>
  </si>
  <si>
    <t>9 različitih efekata u boji</t>
  </si>
  <si>
    <t>9 diversi effetti di colore</t>
  </si>
  <si>
    <t>rakiety, 9  różnokolorowych efektów</t>
  </si>
  <si>
    <t>9 različita efekta u boji</t>
  </si>
  <si>
    <t>9 hiệu ứng nhiều màu</t>
  </si>
  <si>
    <t xml:space="preserve">9 Skirtingi spalvoti efektai. </t>
  </si>
  <si>
    <t>21 različit efekt u boji</t>
  </si>
  <si>
    <t>21 diversi effetti di colore</t>
  </si>
  <si>
    <t>rakiety, 21  różnokolorowych efektów</t>
  </si>
  <si>
    <t>21 različita efekta u boji</t>
  </si>
  <si>
    <t>21 hiệu ứng nhiều màu</t>
  </si>
  <si>
    <t xml:space="preserve">21 Skirtingi spalvoti efektai. </t>
  </si>
  <si>
    <t>33 različita efekta u boji</t>
  </si>
  <si>
    <t>33 diversi effetti di colore</t>
  </si>
  <si>
    <t>rakiety, 33  różnokolorowe efekty</t>
  </si>
  <si>
    <t>33 hiệu ứng nhiều màu</t>
  </si>
  <si>
    <t xml:space="preserve">33 Skirtingi spalvoti efektai. </t>
  </si>
  <si>
    <t>5 različitih efekata u boji</t>
  </si>
  <si>
    <t>5 diversi effetti di colore</t>
  </si>
  <si>
    <t>rakiety, 5  różnokolorowych efektów</t>
  </si>
  <si>
    <t>5 različita efekta u boji</t>
  </si>
  <si>
    <t>5 hiệu ứng nhiều màu</t>
  </si>
  <si>
    <t xml:space="preserve">5 Skirtingi spalvoti efektai. </t>
  </si>
  <si>
    <t>srebrni trag sa pucnjem i pucketanjem (5g baruta)</t>
  </si>
  <si>
    <t>coda d'argento al saluto al titanio con crepitio (5g di polvere flash)</t>
  </si>
  <si>
    <t>rakiety, srebrna kometa z głośnym hukiem oraz trzeszczeniem (5g mieszaniny)</t>
  </si>
  <si>
    <t>srebrni trag+titanium pucanj+krekeri, 5gr. Fleš baruta</t>
  </si>
  <si>
    <t>dấu vết bạc với sự phát nổ titan và các ngôi sao nứt (thành phần 5g flash)</t>
  </si>
  <si>
    <t>sidabrinis titano saliutas su traškesiu (5g blyksintis parakas)</t>
  </si>
  <si>
    <t>11 različitih efekata u boji</t>
  </si>
  <si>
    <t>11 diversi effetti di colore</t>
  </si>
  <si>
    <t>rakiety, 11  różnokolorowych efektów</t>
  </si>
  <si>
    <t>11 različita efekta u boji</t>
  </si>
  <si>
    <t>11 hiệu ứng nhiều màu</t>
  </si>
  <si>
    <t xml:space="preserve">11 Skirtingi spalvoti efektai. </t>
  </si>
  <si>
    <t>12 različitih efekata u boji</t>
  </si>
  <si>
    <t>12 diversi effetti di colore</t>
  </si>
  <si>
    <t>rakiety, 12  różnokolorowych efektów</t>
  </si>
  <si>
    <t>12 različita efekta u boji</t>
  </si>
  <si>
    <t>12 hiệu ứng nhiều màu</t>
  </si>
  <si>
    <t xml:space="preserve">12 Skirtingi spalvoti efektai. </t>
  </si>
  <si>
    <t>18 različitih efekata u boji</t>
  </si>
  <si>
    <t>18 diversi effetti di colore</t>
  </si>
  <si>
    <t>rakiety, 18  różnokolorowych efektów</t>
  </si>
  <si>
    <t>18 različita efekta u boji</t>
  </si>
  <si>
    <t>18 hiệu ứng màu sắc khác nhau</t>
  </si>
  <si>
    <t xml:space="preserve">18 Skirtingi spalvoti efektai. </t>
  </si>
  <si>
    <t>visina 170cm, krom raketa visoke kvalitete,2 različita efekta u boji</t>
  </si>
  <si>
    <t>Altezza 170 cm, razzo cromato di alta qualità, 2 diversi effetti di colore</t>
  </si>
  <si>
    <t>duże rakiety 170cm, najwyższa jakość, 2 różnokolorowe efekty</t>
  </si>
  <si>
    <t>top kvalitet, 2 različita efekta, 170cm</t>
  </si>
  <si>
    <t>Chiều cao 170cm, tên lửa chrome chất lượng cao nhất, 2 hiệu ứng nhiều màu</t>
  </si>
  <si>
    <t>170cm aukščio chromo raketa, aukščiausios kokybės, 2 skirtingų spalvų efektai</t>
  </si>
  <si>
    <t>visina 170cm, krom raketa visoke kvalitete,3 različita efekta u boji</t>
  </si>
  <si>
    <t>Altezza 170 cm, razzo cromato di alta qualità, 3 diversi effetti di colore</t>
  </si>
  <si>
    <t>duże rakiety 170cm, najwyższa jakość, 3 różnokolorowe różne efekty</t>
  </si>
  <si>
    <t>Chiều cao 170cm, tên lửa chrome chất lượng cao nhất, 3 hiệu ứng nhiều màu</t>
  </si>
  <si>
    <t>170cm aukščio chromo raketa, aukščiausios kokybės, 3 skirtingų spalvų efektai</t>
  </si>
  <si>
    <t>duże rakiety 170cm, najwyższa jakość, 5 różnokolorowych efektów</t>
  </si>
  <si>
    <t>5 skirtingų spalvų efektai</t>
  </si>
  <si>
    <t>duże rakiety, 5 różnokolorowych efektów</t>
  </si>
  <si>
    <t>Majica Dumbum, 180g</t>
  </si>
  <si>
    <t>koszulka Dumbum</t>
  </si>
  <si>
    <t>T-majica Dumbum, 180g</t>
  </si>
  <si>
    <t>Áo phông Dumbum, trọng lượng 180g</t>
  </si>
  <si>
    <t>marškinėliai Dumbum 180g</t>
  </si>
  <si>
    <t>POLO majica Dumbum, 225g</t>
  </si>
  <si>
    <t>koszulka POLO Dumbum</t>
  </si>
  <si>
    <t>T-majica POLO Dumbum, 225g</t>
  </si>
  <si>
    <t>Áo thun có cổ Dumbum, trọng lượng 225g</t>
  </si>
  <si>
    <t>polo marškinėliai Dumbum 225g</t>
  </si>
  <si>
    <t>Jakna od flisa Dumbum, 600g</t>
  </si>
  <si>
    <t>cappotto in pile Dumbum, 600g</t>
  </si>
  <si>
    <t>polar Dumbum</t>
  </si>
  <si>
    <t>Flis jakna Dumbum, 600g</t>
  </si>
  <si>
    <t>Áo khoác ấm Dumbum, trọng lượng 600g</t>
  </si>
  <si>
    <t>vilnos paltas Dumbum 600g</t>
  </si>
  <si>
    <t>Kapa za bejzbol Dumbum</t>
  </si>
  <si>
    <t>berretto da baseball Dumbum</t>
  </si>
  <si>
    <t>czapka z daszkiem Dumbum</t>
  </si>
  <si>
    <t>Kačket za bejzbol Dumbum</t>
  </si>
  <si>
    <t>mũ lưỡi trai Dum Bum</t>
  </si>
  <si>
    <t>beisbolo kepurė Dumbum</t>
  </si>
  <si>
    <t>Zimska kapa Dumbum, Beanie</t>
  </si>
  <si>
    <t>cappello invernale Dumbum, Berretto</t>
  </si>
  <si>
    <t>czapka zimowa Dumbum</t>
  </si>
  <si>
    <t>Kapa zimska Dumbum</t>
  </si>
  <si>
    <t xml:space="preserve">mũ mùa đông Dumbum </t>
  </si>
  <si>
    <t>žieminė kepurė Dumbum</t>
  </si>
  <si>
    <t>Dumbum majica M - ograničeno izdanje</t>
  </si>
  <si>
    <t>T-shirt Dumbum M - edizione limitata</t>
  </si>
  <si>
    <t>koszulka Dumbum, edycja limitowana, rozm. M</t>
  </si>
  <si>
    <t>Dumbum T-majica M - ograničeno izdanje</t>
  </si>
  <si>
    <t>Áo phông Dumbum M - số lượng giới hạn</t>
  </si>
  <si>
    <t>marškinėliai Dumbum M dydžio, riboto leidimo</t>
  </si>
  <si>
    <t>Dumbum majica L- ograničeno izdanje</t>
  </si>
  <si>
    <t>T-shirt Dumbum L - edizione limitata</t>
  </si>
  <si>
    <t>koszulka Dumbum, edycja limitowana, rozm. L</t>
  </si>
  <si>
    <t>Dumbum T-majica L - ograničeno izdanje</t>
  </si>
  <si>
    <t>Áo phông Dumbum L - số lượng giới hạn</t>
  </si>
  <si>
    <t>marškinėliai Dumbum L dydžio, riboto leidimo</t>
  </si>
  <si>
    <t>Dumbum majica XL - ograničeno izdanje</t>
  </si>
  <si>
    <t>T-shirt Dumbum XL - edizione limitata</t>
  </si>
  <si>
    <t>koszulka Dumbum, edycja limitowana, rozm. XL</t>
  </si>
  <si>
    <t>Dumbum T-majica XL - ograničeno izdanje</t>
  </si>
  <si>
    <t>Áo phông Dumbum XL - số lượng giới hạn</t>
  </si>
  <si>
    <t>marškinėliai Dumbum XL dydžio, riboto leidimo</t>
  </si>
  <si>
    <t>Dumbum majica XXL - ograničeno izdanje</t>
  </si>
  <si>
    <t>T-shirt Dumbum XXL - edizione limitata</t>
  </si>
  <si>
    <t>koszulka Dumbum, edycja limitowana, rozm. XXL</t>
  </si>
  <si>
    <t>Dumbum T-majica XXL - ograničeno izdanje</t>
  </si>
  <si>
    <t>Áo phông Dumbum XXL - số lượng giới hạn</t>
  </si>
  <si>
    <t>marškinėliai Dumbum XXL dydžio, riboto leidimo</t>
  </si>
  <si>
    <t>POLO majica M Dumbum - ograničeno izdanje</t>
  </si>
  <si>
    <t>Dumbum T-shirt polo M - edizione limitata</t>
  </si>
  <si>
    <t>koszulka POLO Dumbum, edycja limitowana, rozm. M</t>
  </si>
  <si>
    <t>Dumbum T-majica polo M - ograničeno izdanje</t>
  </si>
  <si>
    <t>Áo thun có cổ Dumbum M - số lượng giới hạn</t>
  </si>
  <si>
    <t>polo marškinėliai Dumbum M dydžio, riboto leidimo</t>
  </si>
  <si>
    <t>POLO majica L Dumbum - ograničeno izdanje</t>
  </si>
  <si>
    <t>Dumbum T-shirt polo L - edizione limitata</t>
  </si>
  <si>
    <t>koszulka POLO Dumbum, edycja limitowana, rozm. L</t>
  </si>
  <si>
    <t>Dumbum T-majica polo L - ograničeno izdanje</t>
  </si>
  <si>
    <t>Áo thun có cổ Dumbum L - số lượng giới hạn</t>
  </si>
  <si>
    <t>polo marškinėliai Dumbum L dydžio, riboto leidimo</t>
  </si>
  <si>
    <t>POLO majica XL Dumbum - ograničeno izdanje</t>
  </si>
  <si>
    <t>Dumbum T-shirt polo XL - edizione limitata</t>
  </si>
  <si>
    <t>koszulka POLO Dumbum, edycja limitowana, rozm. XL</t>
  </si>
  <si>
    <t>Dumbum T-majica polo XL - ograničeno izdanje</t>
  </si>
  <si>
    <t>Áo thun có cổ Dumbum XL - số lượng giới hạn</t>
  </si>
  <si>
    <t>polo marškinėliai Dumbum XL dydžio, riboto leidimo</t>
  </si>
  <si>
    <t>POLO majica XXL Dumbum - ograničeno izdanje</t>
  </si>
  <si>
    <t>Dumbum T-shirt polo XXL - edizione limitata</t>
  </si>
  <si>
    <t>koszulka POLO Dumbum, edycja limitowana, rozm. XXL</t>
  </si>
  <si>
    <t>Dumbum T-majica polo XXL - ograničeno izdanje</t>
  </si>
  <si>
    <t>Áo thun có cổ Dumbum XXL - số lượng giới hạn</t>
  </si>
  <si>
    <t>polo marškinėliai Dumbum XXL dydžio, riboto leidimo</t>
  </si>
  <si>
    <t>Prsluk softshell Dumbum M - ograničeno izdanje</t>
  </si>
  <si>
    <t>Gilet Dumbum softshell M-limited edition</t>
  </si>
  <si>
    <t>kamizelka softshell, edycja limitowana, rozm. M</t>
  </si>
  <si>
    <t>Dumbum prsluk mekani M, ograničeno izdanje</t>
  </si>
  <si>
    <t>áo vest chống thấm nước Dumbum M-số lượng giới hạn</t>
  </si>
  <si>
    <t>Dumbum liemenė M dydžio, riboto leidimo</t>
  </si>
  <si>
    <t>Prsluk softshell Dumbum L - ograničeno izdanje</t>
  </si>
  <si>
    <t>Gilet Dumbum softshell L-limited edition</t>
  </si>
  <si>
    <t>kamizelka softshell, edycja limitowana, rozm. L</t>
  </si>
  <si>
    <t>Dumbum prsluk mekani L, ograničeno izdanje</t>
  </si>
  <si>
    <t>áo vest chống thấm nước Dumbum L -số lượng giới hạn</t>
  </si>
  <si>
    <t>Dumbum liemenė L dydžio, riboto leidimo</t>
  </si>
  <si>
    <t>Prsluk softshell Dumbum XL - ograničeno izdanje</t>
  </si>
  <si>
    <t>Gilet Dumbum softshell XL-limited edition</t>
  </si>
  <si>
    <t>kamizelka softshell, edycja limitowana, rozm. XL</t>
  </si>
  <si>
    <t>Dumbum prsluk mekani XL, ograničeno izdanje</t>
  </si>
  <si>
    <t>áo vest chống thấm nước Dumbum XL -số lượng giới hạn</t>
  </si>
  <si>
    <t>Dumbum liemenė XL dydžio, riboto leidimo</t>
  </si>
  <si>
    <t>Prsluk softshell Dumbum XXL - ograničeno izdanje</t>
  </si>
  <si>
    <t>Gilet Dumbum softshell XXL-limited edition</t>
  </si>
  <si>
    <t>kamizelka softshell, edycja limitowana, rozm. XXL</t>
  </si>
  <si>
    <t>Dumbum prsluk mekani XXL, ograničeno izdanje</t>
  </si>
  <si>
    <t>áo vest chống thấm nước Dumbum XXL-số lượng giới hạn</t>
  </si>
  <si>
    <t>Dumbum liemenė XXL dydžio, riboto leidimo</t>
  </si>
  <si>
    <t>Jakna od flisa Dumbum M - ograničeno izdanej</t>
  </si>
  <si>
    <t>Cappotto in pile Dumbum M -edizione limitata</t>
  </si>
  <si>
    <t>polar Dumbum, edycja limitowana, rozm. M</t>
  </si>
  <si>
    <t>Dumbum flis jakna M, ograničeno izdanje</t>
  </si>
  <si>
    <t>Áo khoác ấm Dumbum phiên bản M - số lượng giới hạn</t>
  </si>
  <si>
    <t>vilnos paltas Dumbum M dydžio, riboto leidimo</t>
  </si>
  <si>
    <t>Jakna od flisa Dumbum L - ograničeno izdanej</t>
  </si>
  <si>
    <t>Cappotto in pile Dumbum L -edizione limitata</t>
  </si>
  <si>
    <t>polar Dumbum, edycja limitowana, rozm. L</t>
  </si>
  <si>
    <t>Dumbum flis jakna L, ograničeno izdanje</t>
  </si>
  <si>
    <t>Áo khoác ấm Dumbum L -số lượng giới hạn</t>
  </si>
  <si>
    <t>vilnos paltas Dumbum L dydžio, riboto leidimo</t>
  </si>
  <si>
    <t>Jakna od flisa Dumbum XL - ograničeno izdanej</t>
  </si>
  <si>
    <t>Cappotto in pile Dumbum XL -limited edition</t>
  </si>
  <si>
    <t>polar Dumbum, edycja limitowana, rozm. XL</t>
  </si>
  <si>
    <t>Dumbum flis jakna XL, ograničeno izdanje</t>
  </si>
  <si>
    <t>Áo khoác ấm Dumbum XL -số lượng giới hạn</t>
  </si>
  <si>
    <t>vilnos paltas Dumbum XL dydžio, riboto leidimo</t>
  </si>
  <si>
    <t>Jakna od flisa Dumbum XXL - ograničeno izdanej</t>
  </si>
  <si>
    <t>Cappotto in pile Dumbum XXL -edizione limitata</t>
  </si>
  <si>
    <t>polar Dumbum, edycja limitowana, rozm. XXL</t>
  </si>
  <si>
    <t>Dumbum flis jakna XXL, ograničeno izdanje</t>
  </si>
  <si>
    <t>Áo khoác ấm Dumbum XXL-số lượng giới hạn</t>
  </si>
  <si>
    <t>vilnos paltas Dumbum XXL dydžio, riboto leidimo</t>
  </si>
  <si>
    <t>Majica s kapuljačom M - ograničeno izdanje</t>
  </si>
  <si>
    <t>Felpa con cappuccio Dumbum M -edizione limitata</t>
  </si>
  <si>
    <t>bluza z kapturem  Dumbum, edycja limitowana, rozm. M</t>
  </si>
  <si>
    <t>Dumbum duks M, ograničeno izdanje</t>
  </si>
  <si>
    <t>áo khoác có mũ trùm đầu Dumbum M - số lượng giới hạn</t>
  </si>
  <si>
    <t>Dumbum džemperis su kapišonu M dydžio, riboto leidimo</t>
  </si>
  <si>
    <t>Majica s kapuljačom L - ograničeno izdanje</t>
  </si>
  <si>
    <t>Felpa con cappuccio Dumbum L -limited edition</t>
  </si>
  <si>
    <t>bluza z kapturem  Dumbum, edycja limitowana, rozm. L</t>
  </si>
  <si>
    <t>Dumbum duks L, ograničeno izdanje</t>
  </si>
  <si>
    <t>áo khoác có mũ trùm đầu Dumbum L - số lượng giới hạn</t>
  </si>
  <si>
    <t>Dumbum džemperis su kapišonu L dydžio, riboto leidimo</t>
  </si>
  <si>
    <t>Majica s kapuljačom XL - ograničeno izdanje</t>
  </si>
  <si>
    <t>Felpa con cappuccio Dumbum XL -limited edition</t>
  </si>
  <si>
    <t>bluza z kapturem  Dumbum, edycja limitowana, rozm. XL</t>
  </si>
  <si>
    <t>Dumbum duks XL, ograničeno izdanje</t>
  </si>
  <si>
    <t>áo khoác có mũ trùm đầu Dumbum XL -  số lượng giới hạn</t>
  </si>
  <si>
    <t>Dumbum džemperis su kapišonu XL dydžio, riboto leidimo</t>
  </si>
  <si>
    <t>Majica s kapuljačom XXL - ograničeno izdanje</t>
  </si>
  <si>
    <t>Felpa con cappuccio Dumbum XXL -limited edition</t>
  </si>
  <si>
    <t>bluza z kapturem  Dumbum, edycja limitowana, rozm. XXL</t>
  </si>
  <si>
    <t>Dumbum duks XXL, ograničeno izdanje</t>
  </si>
  <si>
    <t>áo khoác có mũ trùm đầu Dumbum XXL - số lượng giới hạn</t>
  </si>
  <si>
    <t>Dumbum džemperis su kapišonu XXL dydžio, riboto leidimo</t>
  </si>
  <si>
    <t>Kapa za bejzbol Dumbum - ograničeno izdanje</t>
  </si>
  <si>
    <t>berretto da baseball Dumbum-limited edition</t>
  </si>
  <si>
    <t>czapka z daszkiem Dumbum, edycja limitowana</t>
  </si>
  <si>
    <t>Dumbum bejzbol kapa, ograničeno izdanje</t>
  </si>
  <si>
    <t>mũ lưỡi trai DumBum - số lượng giới hạn</t>
  </si>
  <si>
    <t>beisbolo kepurė Dumbum, riboto leidimo</t>
  </si>
  <si>
    <t>Zimska kapa Dumbum - ograničeno izdanje</t>
  </si>
  <si>
    <t>cappello invernale Dumbum -edizione limitata</t>
  </si>
  <si>
    <t>czapka zimowa Dumbum, edycja limitowana</t>
  </si>
  <si>
    <t>Dumbum zimska kapa, ograničeno izdanje</t>
  </si>
  <si>
    <t>mũ mùa đông Dumbum - số lượng giới hạn</t>
  </si>
  <si>
    <t>žieminė kepurė Dumbum, riboto leidimo</t>
  </si>
  <si>
    <t>Energetski napitak 250ml, proizvedeno u EU</t>
  </si>
  <si>
    <t>napój energetyczny 250ml, produkcja Eu</t>
  </si>
  <si>
    <t>energetski napitak 250ml, proizvedeno u EU</t>
  </si>
  <si>
    <t>nước tăng lực 250ml, sản xuất tại EU</t>
  </si>
  <si>
    <t>energetinis gėrimas 250ml, pagaminta EU</t>
  </si>
  <si>
    <t>Šampanjac Dumbum (Bohemia sekt).0,2l, proizvedeno u Češkoj</t>
  </si>
  <si>
    <t>champagne Dumbum (Bohemia sekt)- 0,2l, prodotto in Repubblica Ceca</t>
  </si>
  <si>
    <t>szampan Dumbum 200ml, produkcja Czechy</t>
  </si>
  <si>
    <t>šampanjac Dumbum, Bohemia sekt, 0,2l</t>
  </si>
  <si>
    <t>sâm panh Dumbum (Bohemia sekt) - 0,2l</t>
  </si>
  <si>
    <t>šampanas Dumbum (Bohemia sekt), 0.2l, pagaminta Čekijoje</t>
  </si>
  <si>
    <t>Roll up Dumbum reklamni poster, veličina 200x85cm</t>
  </si>
  <si>
    <t>roll-up Dumbum, taglia 200x85cm</t>
  </si>
  <si>
    <t>roll-up Dumbum, rozmiar 200x85cm</t>
  </si>
  <si>
    <t>rolo reklama Dumbum, veličina 200x85cm</t>
  </si>
  <si>
    <t>kích thước 200x85cm (Dumbum cuộn lại) - chân đế độc lập</t>
  </si>
  <si>
    <t>susukamas Dumbum plakatas, dydis 200x85cm</t>
  </si>
  <si>
    <t>Roll up No sound reklamni poster, veličina 200x85cm</t>
  </si>
  <si>
    <t>roll-up Senza fuochi d'artificio sonori, taglia 200x85cm</t>
  </si>
  <si>
    <t>roll-up No sound fireworks, rozmiar 200x85cm</t>
  </si>
  <si>
    <t>rolo reklama No sound fireworks, veličina 200x85cm</t>
  </si>
  <si>
    <t>kích thước 200x85cm (Cuộn lên Không có tiếng pháo hoa) - chân đế độc lập</t>
  </si>
  <si>
    <t>susukamas Begarsiai fejerverkai plakatas, dydis 200x85cm</t>
  </si>
  <si>
    <t>Roll up Signature range reklamni poster, veličina 200x85cm</t>
  </si>
  <si>
    <t>roll-up Gamma signature, taglia 200x85cm</t>
  </si>
  <si>
    <t>roll-up Signature range, rozmiar 200x85cm</t>
  </si>
  <si>
    <t>rolo reklama Signature range, veličina 200x85cm</t>
  </si>
  <si>
    <t>kích thước 200x85cm (Dải chữ ký cuộn lên) - chân đế độc lập</t>
  </si>
  <si>
    <t>susukamas Išskirtinė produkcija plakatas, dydis 200x85cm</t>
  </si>
  <si>
    <t>Reklamni A pano, veličina 84x60cm, za vanjsku upotrebu</t>
  </si>
  <si>
    <t>display Stand A1, taglia 84x60cm, per uso esterno</t>
  </si>
  <si>
    <t>potykacz reklamowy A1, rozmiar 84x60cm,</t>
  </si>
  <si>
    <t>displej stalak A1, veličina 84x60cm, spoljni</t>
  </si>
  <si>
    <t>kích thước 84x60cm- quảng cáo ngoài trời độc lập</t>
  </si>
  <si>
    <t>reklaminis stendas A1, 84x60 dydžio, naudojimui lauke</t>
  </si>
  <si>
    <t>poster, veličina 84x60cm, okomit</t>
  </si>
  <si>
    <t>poster, taglia 84x60cm, verticale</t>
  </si>
  <si>
    <t>plakat, rozmiar 84x60cm, pionowy</t>
  </si>
  <si>
    <t>poster veličine 84x60cm, vertikalni</t>
  </si>
  <si>
    <t>kích thước 84x60cm (chân dung)</t>
  </si>
  <si>
    <t>plakatas, 84x60cm dydžio, vertikalus</t>
  </si>
  <si>
    <t>poster, veličina 98x68cm, vodoravno</t>
  </si>
  <si>
    <t>poster, taglia 98x68cm, larghezza</t>
  </si>
  <si>
    <t>plakat, rozmiar 98x68cm, poziomy</t>
  </si>
  <si>
    <t>poster veličine 98x68cm</t>
  </si>
  <si>
    <t>kích thước 98x68cm (ngang)</t>
  </si>
  <si>
    <t>plakatas, 98x68cm dydžio</t>
  </si>
  <si>
    <t>poster Dumbum, veličina 84x60cm, okomit</t>
  </si>
  <si>
    <t>poster Dumbum, taglia 84x60cm, verticale</t>
  </si>
  <si>
    <t>plakat Dumbum, rozmiar 84x60cm, pionowy</t>
  </si>
  <si>
    <t>poster Dumbum 84x60cm, vertikalni</t>
  </si>
  <si>
    <t>plakatas Dumbum, 84x60cm dydžio, vertikalus</t>
  </si>
  <si>
    <t>Upaljač Dumbum</t>
  </si>
  <si>
    <t>turboflame accendino Dumbum</t>
  </si>
  <si>
    <t>zapalniczka żarowa Dumbum</t>
  </si>
  <si>
    <t>upaljač Dumbum, turbo plamen</t>
  </si>
  <si>
    <t>bật lửa với ngọn lửa turbo Dumbum</t>
  </si>
  <si>
    <t>Turbo liepsnos žiebtuvėlis Dumbum</t>
  </si>
  <si>
    <t>USB upaljač Dumbum</t>
  </si>
  <si>
    <t>Dumbum accendino USB</t>
  </si>
  <si>
    <t>zapalniczka żarowa USB Dumbum</t>
  </si>
  <si>
    <t>USB bật lửa Dumbum</t>
  </si>
  <si>
    <t>USB žiebtuvėlis Dumbum</t>
  </si>
  <si>
    <t>Naljepnica Dumbum, veličina 17x15cm</t>
  </si>
  <si>
    <t>adesivo Dumbum, taglia 17x15cm</t>
  </si>
  <si>
    <t>naklejka-wlepka Dumbum, rozmiar 17x15cm</t>
  </si>
  <si>
    <t>Dumbum nalepnica, samolepiva , 17x15cm</t>
  </si>
  <si>
    <t>Hình dán Dumbum kích thước 17x15cm</t>
  </si>
  <si>
    <t>lipdukas Dumbum, 17x15cm dydžio</t>
  </si>
  <si>
    <t>Torba za kupovinu Klasek/Dumbum, veličina 50x40cm</t>
  </si>
  <si>
    <t>borsa della spesa Klásek/Dumbum, taglia 50x40cm</t>
  </si>
  <si>
    <t>torba reklamowa Klásek/Dumbum, rozmiar 50x40cm</t>
  </si>
  <si>
    <t>šoping kesa Klasek/Dumbum, 50x40cm</t>
  </si>
  <si>
    <t>túi mua sắm Klásek / Dumbum, kích thước 50x40cm</t>
  </si>
  <si>
    <t>pirkinių krepšys Klasek/Dumbum, 50x40cm dydžio</t>
  </si>
  <si>
    <t>Torba za kupovinu Dumbum, veličina 45x34m</t>
  </si>
  <si>
    <t>borsa della spesa Dumbum, taglia 45x34cm</t>
  </si>
  <si>
    <t>torba reklamowa Dumbum, rozmiar 45x34cm</t>
  </si>
  <si>
    <t>šoping kesa Dumbum, 45x34cm</t>
  </si>
  <si>
    <t>túi đựng đồ Dumbum, kích thước 45x34cm</t>
  </si>
  <si>
    <t>pirkinių krepšys Dumbum, 45x34cm dydžio</t>
  </si>
  <si>
    <t xml:space="preserve">Katalog proizvoda </t>
  </si>
  <si>
    <t>katalog proizvoda</t>
  </si>
  <si>
    <t>produktų katalogas 2021</t>
  </si>
  <si>
    <t>Keramička šalica Dumbum</t>
  </si>
  <si>
    <t>tazza in ceramica Dumbum</t>
  </si>
  <si>
    <t>kubek ceramiczny Dumbum</t>
  </si>
  <si>
    <t>keramička šolja Dumbum</t>
  </si>
  <si>
    <t>Cốc gốm Dumbum</t>
  </si>
  <si>
    <t>keramikinis puodelis Dumbum</t>
  </si>
  <si>
    <t>Podloga za miša Dumbum</t>
  </si>
  <si>
    <t>tappetino per mouse Dumbum</t>
  </si>
  <si>
    <t>podkładka pod myszkę Dumbum</t>
  </si>
  <si>
    <t>podloga za miš Dumbum</t>
  </si>
  <si>
    <t>tấm lót con chuột Dumbum</t>
  </si>
  <si>
    <t>pelės kilimėlis Dumbum</t>
  </si>
  <si>
    <t>Kišobran Dumbum</t>
  </si>
  <si>
    <t>ombrello Dumbum</t>
  </si>
  <si>
    <t>parasolka Dumbum</t>
  </si>
  <si>
    <t>kišobran Dumbum</t>
  </si>
  <si>
    <t>ô Dumbum</t>
  </si>
  <si>
    <t>skėtis Dumbum</t>
  </si>
  <si>
    <t>Miris za auto Dumbum, miris Invictus</t>
  </si>
  <si>
    <t>car parfume Dumbum, con l'aroma di Invictus</t>
  </si>
  <si>
    <t>zapach do samochodu o zapachu Invictus</t>
  </si>
  <si>
    <t>Auto jelkica Dumbum, aroma Invictus</t>
  </si>
  <si>
    <t>nước hoa xe hơi Dumbum, với hương thơm của Invictus</t>
  </si>
  <si>
    <t>automobilio kvapas Dumbum su Invictus aromatu</t>
  </si>
  <si>
    <t>Prezentacijska kartonska polica za prskalice (prazna)</t>
  </si>
  <si>
    <t>Supporto di presentazione per prodotti Dumbum con questa merce: 54 piccola scatola P1D, 54 piccola scatola P2D, 12 box P066D20, 12 box P10D20, 12 box P4B, 12 box P5DU13, 12 box P5DU, 12 box P6A14</t>
  </si>
  <si>
    <t>Stojak prezentacyjny na zimne ognie (pusty)</t>
  </si>
  <si>
    <t>Stalak za prskalice, prazni</t>
  </si>
  <si>
    <t>Giá, kệ - quảng cáo, trình bày - Que hương có tia lửa (trống)</t>
  </si>
  <si>
    <t>Produktų pristatymo stendas bengališkoms ugnelėms (tuščias)</t>
  </si>
  <si>
    <t>Uređaj za aktiviranje sa 4 pozicije, daljinski upravljač, 4 komada el.upaljača</t>
  </si>
  <si>
    <t>macchina di cottura con 4 posizioni, telecomando, ignitori elettrici da 4 pezzi</t>
  </si>
  <si>
    <t>bezprzewodowy system do odpalania, 4 kanały</t>
  </si>
  <si>
    <t>sistem za bežično paljenje vatrometa, 4kom.</t>
  </si>
  <si>
    <t>bệ phóng để bắn từ xa (4 vị trí) + điều khiển từ xa + 4 máy bắn điện</t>
  </si>
  <si>
    <t>šaudymo aparatas su 4 pozicijomis, nuotolinio valdymo pultas, 4 vienetai elektrinių degiklių</t>
  </si>
  <si>
    <t>paket sadrži zeleni fitilj od 2mm dužine 5m</t>
  </si>
  <si>
    <t>contiene 5m di fusibile verde da 2 mm</t>
  </si>
  <si>
    <t>lont zielony 5m, 2mm</t>
  </si>
  <si>
    <t>zeleni fitilj dužine 5m i debljine 2mm</t>
  </si>
  <si>
    <t>Dây cháy 2mm màu xanh lá cây, được đóng gói theo từng bước 5m</t>
  </si>
  <si>
    <t>įpakavime yra 5m 2mm žalio fitilio</t>
  </si>
  <si>
    <t>srebrni zviždeći trag sa pucnjem</t>
  </si>
  <si>
    <t xml:space="preserve">coda fischi d'argento per salutare </t>
  </si>
  <si>
    <t>srebrny gwiżdżący ogon + huk</t>
  </si>
  <si>
    <t>srebrni zvižduk sa pucnjem na kraju</t>
  </si>
  <si>
    <t>sao chổi huýt sáo bạc với vụ nổ</t>
  </si>
  <si>
    <t>sidabrinė švilpianti uodega su saliutu</t>
  </si>
  <si>
    <t>coda fischi d'argento per salutare</t>
  </si>
  <si>
    <t>C1008CC</t>
  </si>
  <si>
    <t>Colorful and crackling comet 100</t>
  </si>
  <si>
    <t xml:space="preserve">Colorful and crackling comet </t>
  </si>
  <si>
    <t>barevné a práskající komety</t>
  </si>
  <si>
    <t>Bunte und knisternde Kometen</t>
  </si>
  <si>
    <t>kometa u boji sa pucketanjem</t>
  </si>
  <si>
    <t>Cometa colorata e scoppiettante</t>
  </si>
  <si>
    <t>Kolorowa i trzeszcząca kometa</t>
  </si>
  <si>
    <t>raznobojni efekti sa kreker kometom</t>
  </si>
  <si>
    <t>sao chổi đầy màu sắc và kêu lách tách</t>
  </si>
  <si>
    <t>spalvota traškanti kometa</t>
  </si>
  <si>
    <t>4 spalvų efektai</t>
  </si>
  <si>
    <t>10 različitih efekata u boji</t>
  </si>
  <si>
    <t>10 diversi effetti di colore</t>
  </si>
  <si>
    <t>10 różnokolorowych efektów</t>
  </si>
  <si>
    <t>10 različita efekta u boji</t>
  </si>
  <si>
    <t>10 hiệu ứng nhiều màu</t>
  </si>
  <si>
    <t>10 Skirtingų spalvotų efektų.</t>
  </si>
  <si>
    <t>20 različitih efekata u boji</t>
  </si>
  <si>
    <t>20 diversi effetti di colore</t>
  </si>
  <si>
    <t>20 różnokolorowych efektów</t>
  </si>
  <si>
    <t>20 različita efekta u boji</t>
  </si>
  <si>
    <t>20 hiệu ứng màu sắc khác nhau</t>
  </si>
  <si>
    <t>20 Skirtingų spalvotų efektų.</t>
  </si>
  <si>
    <t>3 različita efekta u boji</t>
  </si>
  <si>
    <t>3 diversi effetti di colore</t>
  </si>
  <si>
    <t>3 różnokolorowe efekty</t>
  </si>
  <si>
    <t>3 hiệu ứng nhiều màu</t>
  </si>
  <si>
    <t>3 Skirtingų spalvotų efektų.</t>
  </si>
  <si>
    <t>srebrna mina sa crvenim tragom i pucnjem</t>
  </si>
  <si>
    <t>srebrna mina, crveni trag, titanium pucanj</t>
  </si>
  <si>
    <t>C1620DU(S)</t>
  </si>
  <si>
    <t>silver mine to red tail to titanium salute(strong edition)</t>
  </si>
  <si>
    <t>stříbrná mina s červenou stopou a titanovou detonací(strong edition)</t>
  </si>
  <si>
    <t>Silberne Mine mit der roten Spur und mit der titanischen Detonation(strong edition)</t>
  </si>
  <si>
    <t>srebrna mina sa crvenim tragom i pucnjem (jako izdanje)</t>
  </si>
  <si>
    <t>miniera d'argento alla coda rossa al saluto al titanio (edizione forte)</t>
  </si>
  <si>
    <t>srebrna mina, czerwona kometa, głośny huk (mocna edycja)</t>
  </si>
  <si>
    <t>srebrna mina, crveni trag, titanium pucanj(pojačana varijanta)</t>
  </si>
  <si>
    <t>(silver mine) có vết đỏ và kích nổ titan (phiên bản mạnh)</t>
  </si>
  <si>
    <t>sidabrinė mina su raudona uodega ir titano saliutu (stipri)</t>
  </si>
  <si>
    <t>C1620DU(5)</t>
  </si>
  <si>
    <t>4 Skirtingų spalvotų efektų.</t>
  </si>
  <si>
    <t>4 hiệu ứng màu sắc khác nhau</t>
  </si>
  <si>
    <t xml:space="preserve"> 5 različitih efekata u boji</t>
  </si>
  <si>
    <t>5 różnokolorowych efektów</t>
  </si>
  <si>
    <t>5 hiệu ứng màu sắc khác nhau</t>
  </si>
  <si>
    <t>5 Skirtingų spalvotų efektų.</t>
  </si>
  <si>
    <t xml:space="preserve">5  Skirtingi spalvoti efektai.    </t>
  </si>
  <si>
    <t>crveni efekti sa pucketanjem, srebrna mina sa crvenim tragom i pucnjem</t>
  </si>
  <si>
    <t>onda rossa w.crepitio pistillo, miniera d'argento alla coda rossa al saluto al titanio</t>
  </si>
  <si>
    <t>czerwona fala z trzeszczeniem, srebrna mina, czerwona kometa, głośny huk</t>
  </si>
  <si>
    <t>crveni snop sa pucketajućim tačkama, srebrna mina do crvenog repa do titanium pucnja</t>
  </si>
  <si>
    <t>làn sóng đỏ với trung tâm răng rắc, (silver mine) có dấu vết màu đỏ và kích nổ titan</t>
  </si>
  <si>
    <t>raudona banga su traškančia piestele, sidabrinė mina su raudona uodega ir titano saliutu</t>
  </si>
  <si>
    <t>srebrno zeleni efekti sa svjetlucanjem, narančasti tragovi</t>
  </si>
  <si>
    <t>onda d'argento al verde w.luccicante pistillo, coda arancione a perla arancione al crisantemo</t>
  </si>
  <si>
    <t>srebrna fala przechodząca w zielony , pomarańczowy ogon w pomarańczową perłę przechodzącą w chryzantemę</t>
  </si>
  <si>
    <t>srebrni snop do zelenih strob tačaka, narandžasti rep do narandžastog bisera do hrizanteme</t>
  </si>
  <si>
    <t>sóng bạc với các đầu màu xanh lá cây và tâm nhấp nháy, dấu vết màu cam với ngọc trai màu cam với các ngôi sao nhỏ</t>
  </si>
  <si>
    <t>sidabrinė banga pereinanti į žalią spalvą su blizgančia piestele, oranžinė uodega pereinanti į oranžinį perlą ir chrizantemą</t>
  </si>
  <si>
    <t>zlatna kiša sa ljučičastim</t>
  </si>
  <si>
    <t>corona di broccato al viola</t>
  </si>
  <si>
    <t>brokatowa korona przechodząca w  fiolet</t>
  </si>
  <si>
    <t>brokatna kruna do ljubičaste boje</t>
  </si>
  <si>
    <t>vương miện (brocade) có đầu màu tím</t>
  </si>
  <si>
    <t>brokato vainikas pereinantis į violetinę spalvą</t>
  </si>
  <si>
    <t>plava palma sa zlatnim bljeskom u sredini</t>
  </si>
  <si>
    <t>palma blu con oro lampeggiante al centro</t>
  </si>
  <si>
    <t>niebieska palma ze złotym migającym środkiem</t>
  </si>
  <si>
    <t>plava palma sa zlatnim treptajima u sredini</t>
  </si>
  <si>
    <t>hình thốt nốt xanh với tâm vàng nhấp nháy</t>
  </si>
  <si>
    <t>mėlyna palmė su auksiniu blyksinčiu viduriu</t>
  </si>
  <si>
    <t xml:space="preserve"> 7 različitih efekata u boji</t>
  </si>
  <si>
    <t>7 różnokolorowych efektów</t>
  </si>
  <si>
    <t xml:space="preserve">corona di broccato al viola </t>
  </si>
  <si>
    <t xml:space="preserve"> 8 različitih efekata u boji</t>
  </si>
  <si>
    <t>8 diversi effetti di colore</t>
  </si>
  <si>
    <t>8 różnokolorowych efektów</t>
  </si>
  <si>
    <t>8 različita efekta u boji</t>
  </si>
  <si>
    <t>8 hiệu ứng màu sắc khác nhau</t>
  </si>
  <si>
    <t xml:space="preserve">8 Skirtingi spalvoti efektai. </t>
  </si>
  <si>
    <t xml:space="preserve"> 9 različitih efekata u boji sa završnim pucnjem</t>
  </si>
  <si>
    <t>9 diversi effetti di colore con saluto al titanio come finale</t>
  </si>
  <si>
    <t>9 różnokolorowych efektów z głośnym hukiem na końcu</t>
  </si>
  <si>
    <t>9 različita efekta u boji sa finalnim titanium pucnjem</t>
  </si>
  <si>
    <t>9 hiệu ứng nhiều màu với lời chào bằng titan ở cuối</t>
  </si>
  <si>
    <t>9 spalvų efektai su titano saliuto pabaiga</t>
  </si>
  <si>
    <t xml:space="preserve"> 9 različitih efekata u boji</t>
  </si>
  <si>
    <t>9 różnokolorowych efektów</t>
  </si>
  <si>
    <t xml:space="preserve">10 Skirtingi spalvoti efektai. </t>
  </si>
  <si>
    <t>C10020BPS14</t>
  </si>
  <si>
    <t>10 Skirtingi spalvoti efektai</t>
  </si>
  <si>
    <t>C10020XTS14</t>
  </si>
  <si>
    <t>Turbo 20mm shots 40</t>
  </si>
  <si>
    <t>5 različitih efekata u boji (po 10 pucnjeva odjednom)</t>
  </si>
  <si>
    <t xml:space="preserve">5 diversi effetti di colore(serie di 10 scatti) </t>
  </si>
  <si>
    <t>5 różnokolorowych efektów (serie po 10 strzałów)</t>
  </si>
  <si>
    <t>5 različita efekta u boji (salva 10 pucnja zajedno)</t>
  </si>
  <si>
    <t>5 hiệu ứng màu khác nhau (nột lần 10 phát đạn)</t>
  </si>
  <si>
    <t>5 Skirtingi spalvoti efektai.  (10 šūvių kartu)</t>
  </si>
  <si>
    <t>13 različitih efekata u boji</t>
  </si>
  <si>
    <t>13 diversi effetti di colore</t>
  </si>
  <si>
    <t>13 różnokolorowych efektów</t>
  </si>
  <si>
    <t>13 različita efekta u boji</t>
  </si>
  <si>
    <t>13 hiệu ứng nhiều màu</t>
  </si>
  <si>
    <t xml:space="preserve">13 Skirtingi spalvoti efektai. </t>
  </si>
  <si>
    <t>16 različitih efekata u boji , 64 pucnja (ravni), 40 pucnjeva (kosi), 18 pucnjeva (W oblik),  12 pucnjeva (V oblik)</t>
  </si>
  <si>
    <t>16 diversi effetti di colore, 64sh (malta standard), 40sh (forma della ventola), 18sh (mortaio W), 12sh (malta V)</t>
  </si>
  <si>
    <t>16 różnokolorowych efektów, 64sh (proste), 40sh (kątowe), 18sh (W), 12sh (V)</t>
  </si>
  <si>
    <t>16 različita efekta, 64s standard, 40s fan shape, 18s W, 12s V</t>
  </si>
  <si>
    <t>16 hiệu ứng màu sắc khác nhau, 64 viên đạn (cối thẳng), 40 viên đạn (cối xiên), 18 viên đạn (cối W), 12 viên đạn (cối)</t>
  </si>
  <si>
    <t>16 Skirtingi spalvoti efektai. , 64 šūvių (standartinis vamzdis), 40 šūvių (vėduoklės formos vamzdis), 18 šūvių (W vamzdis), 12 šūvių (V vamzdis)</t>
  </si>
  <si>
    <t xml:space="preserve">20 Skirtingi spalvoti efektai. </t>
  </si>
  <si>
    <t>C20020BPS</t>
  </si>
  <si>
    <t>20 Skirtingi spalvoti efektai</t>
  </si>
  <si>
    <t>16 različitih efekata u boji</t>
  </si>
  <si>
    <t>16 diversi effetti di colore</t>
  </si>
  <si>
    <t>16 różnokolorowych efektów</t>
  </si>
  <si>
    <t>16 različita efekta u boji</t>
  </si>
  <si>
    <t>16 hiệu ứng nhiều màu</t>
  </si>
  <si>
    <t xml:space="preserve">16 Skirtingi spalvoti efektai. </t>
  </si>
  <si>
    <t>18 różnokolorowych efektów</t>
  </si>
  <si>
    <t>C13220TS/C14</t>
  </si>
  <si>
    <t>C20020XTS/C14</t>
  </si>
  <si>
    <t>Turbo 20mm shots 80</t>
  </si>
  <si>
    <t>24 različita efekta u boji</t>
  </si>
  <si>
    <t>24 diversi effetti di colore</t>
  </si>
  <si>
    <t>24 różnokolorowe efekty</t>
  </si>
  <si>
    <t>24 hiệu ứng màu sắc khác nhau</t>
  </si>
  <si>
    <t xml:space="preserve">24 Skirtingi spalvoti efektai. </t>
  </si>
  <si>
    <t>32 različita efekta u boji</t>
  </si>
  <si>
    <t>32 diversi effetti di colore</t>
  </si>
  <si>
    <t>32 różnokolorowe efekty</t>
  </si>
  <si>
    <t>32 hiệu ứng nhiều màu</t>
  </si>
  <si>
    <t xml:space="preserve">32 Skirtingi spalvoti efektai. </t>
  </si>
  <si>
    <t>40 različitih efekata u boji</t>
  </si>
  <si>
    <t>40 diversi effetti di colore</t>
  </si>
  <si>
    <t>40 różnokolorowych efektów</t>
  </si>
  <si>
    <t>40 različita efekta u boji</t>
  </si>
  <si>
    <t>40 hiệu ứng màu sắc khác nhau</t>
  </si>
  <si>
    <t xml:space="preserve">40 Skirtingi spalvoti efektai. </t>
  </si>
  <si>
    <t>C13220TS/C14(T)</t>
  </si>
  <si>
    <t>C20020XTS/C14(T)</t>
  </si>
  <si>
    <t>C19220F/C14(T)</t>
  </si>
  <si>
    <t>24 Skirtingi spalvoti efektai</t>
  </si>
  <si>
    <t>C25620F/C14(T)</t>
  </si>
  <si>
    <t>C26420N/C14(T)</t>
  </si>
  <si>
    <t>srebrna mina, crveni rep, titanium pucanj</t>
  </si>
  <si>
    <t>C12820NID/C(T)</t>
  </si>
  <si>
    <t>C13220B/C(T)</t>
  </si>
  <si>
    <t>18 Skirtingi spalvoti efektai</t>
  </si>
  <si>
    <t>C19620SIG/C(T)</t>
  </si>
  <si>
    <t>7 Skirtingi spalvoti efektai</t>
  </si>
  <si>
    <t>26 različitih efekata u boji</t>
  </si>
  <si>
    <t>26 diversi effetti di colore</t>
  </si>
  <si>
    <t>26 różnokolorowych efektów</t>
  </si>
  <si>
    <t>26 različita efekta u boji</t>
  </si>
  <si>
    <t>26 hiệu ứng nhiều màu</t>
  </si>
  <si>
    <t xml:space="preserve">26 Skirtingi spalvoti efektai. </t>
  </si>
  <si>
    <t>39 različitih efekata u boji</t>
  </si>
  <si>
    <t>39 diversi effetti di colore</t>
  </si>
  <si>
    <t>39 različita efekta u boji</t>
  </si>
  <si>
    <t>39 hiệu ứng nhiều màu</t>
  </si>
  <si>
    <t xml:space="preserve">39 Skirtingi spalvoti efektai. </t>
  </si>
  <si>
    <t>52 različita efekta u boji</t>
  </si>
  <si>
    <t>52 diversi effetti di colore</t>
  </si>
  <si>
    <t>52 różnokolorowe efekty</t>
  </si>
  <si>
    <t>52 hiệu ứng nhiều màu</t>
  </si>
  <si>
    <t xml:space="preserve">52 Skirtingi spalvoti efektai. </t>
  </si>
  <si>
    <t>80 različitih efekata u boji</t>
  </si>
  <si>
    <t>80 diversi effetti di colore</t>
  </si>
  <si>
    <t>80 różnokolorowych efektów</t>
  </si>
  <si>
    <t>80 različita efekta u boji</t>
  </si>
  <si>
    <t>80 hiệu ứng nhiều màu</t>
  </si>
  <si>
    <t xml:space="preserve">80 Skirtingi spalvoti efektai. </t>
  </si>
  <si>
    <t>C26020NID/C(T)</t>
  </si>
  <si>
    <t>26 Skirtingi spalvoti efektai</t>
  </si>
  <si>
    <t>C26820F/C(T)</t>
  </si>
  <si>
    <t>39 różnokolorowych efektów</t>
  </si>
  <si>
    <t>srebrna mina s crvenim tragom i pucnjem</t>
  </si>
  <si>
    <t xml:space="preserve">coda fischiettante  </t>
  </si>
  <si>
    <t>zviždući rep efekat</t>
  </si>
  <si>
    <t xml:space="preserve">sao chổi huýt sáo </t>
  </si>
  <si>
    <t>8 različitih efekata u boji</t>
  </si>
  <si>
    <t>diversi effetti di colore</t>
  </si>
  <si>
    <t>7 različitih efekata u boji, niska razina buke</t>
  </si>
  <si>
    <t>7 diversi effetti di colore - Nessun rumore</t>
  </si>
  <si>
    <t>7 różnokolorowych efektów – ciche efekty</t>
  </si>
  <si>
    <t xml:space="preserve">7 različita efekta u boji - bez buke </t>
  </si>
  <si>
    <t>7 hiệu ứng màu sắc khác nhau - không nhiễu</t>
  </si>
  <si>
    <t>7 Skirtingi spalvoti efektai,  be garso</t>
  </si>
  <si>
    <t>7 različitih efekata u boji(Signature kvaliteta), sretan rođenadan - karton sadrži 
naljepnice sa različitim brojevima</t>
  </si>
  <si>
    <t>7 diversi effetti di colore (qualità della firma), il cartone contiene adesivi con età diverse</t>
  </si>
  <si>
    <t>7 różnokolorowych efektów (jakość Signature), karton zawiera naklejki rocznicowe</t>
  </si>
  <si>
    <t>7 različitih efekata u boji (Signature kvaliteta), karton sadrži naljepnice različitih godina</t>
  </si>
  <si>
    <t>7 hiệu ứng màu khác nhau (Chất lượng đặc trưng), thùng có các nhãn dán với các độ tuổi khác nhau</t>
  </si>
  <si>
    <t>7  Skirtingi spalvoti efektai. (ypatingos kokybės), dėžutėje yra skirtingo amžiaus (skaiciu) lipdukų</t>
  </si>
  <si>
    <t>28 pucnjeva zlatna kiša sa crvenim/plavim efektima, 21 pucanj srebrna mina s 
crvenim tragom i pucnjem</t>
  </si>
  <si>
    <t>28sh corona di broccato dorato a rosso / blu, miniera d'argento 21sh alla coda rossa al saluto in titanio</t>
  </si>
  <si>
    <t>28 strz. brokatowa korona przechodzi w czerwony/niebieski, 21 strz. srebrna mina, czerwona kometa, głośny huk</t>
  </si>
  <si>
    <t>28s zlatna brokatna kruna do crveno/plave, 21s srebrna mina do crvenog repa do titanium pucnja</t>
  </si>
  <si>
    <t>Vương miện (brocade) vàng 28 vòng với các đầu màu đỏ / xanh lam, (silver mine) 21 vòng có dấu vết của vụ nổ tháng 6 + titan</t>
  </si>
  <si>
    <t>28 šūvių auksinis brokato vainikas ir raudona/mėlyna spalva, 21 šūvio sidabrinė mina su raudona uodega ir titano saliutu</t>
  </si>
  <si>
    <t>14 različitih efekata u boji</t>
  </si>
  <si>
    <t>14 diversi effetti di colore</t>
  </si>
  <si>
    <t>14 różnokolorowych efektów</t>
  </si>
  <si>
    <t>14 različita efekta u boji</t>
  </si>
  <si>
    <t>14 hiệu ứng nhiều màu</t>
  </si>
  <si>
    <t xml:space="preserve">14 Skirtingi spalvoti efektai. </t>
  </si>
  <si>
    <t>11 różnokolorowych efektów</t>
  </si>
  <si>
    <t>11 različitih efekata u boji (svaki pucanj drugi efekt)</t>
  </si>
  <si>
    <t>11 diversi effetti di colore (effetto cambia ogni scatto)</t>
  </si>
  <si>
    <t>11 różnokolorowych efektów (efekty zmieniają się po każdym strzale)</t>
  </si>
  <si>
    <t>11 raznobojnih efekata (svaki pucanj drugačiji)</t>
  </si>
  <si>
    <t>11 hiệu ứng nhiều màu thay đổi sau mỗi lầnđạn bắn</t>
  </si>
  <si>
    <t>11 Skirtingi spalvoti efektai. (efektai keičiasi su kiekvienu šūviu)</t>
  </si>
  <si>
    <t>40 pucnjeva zlatna kiša sa crvenim/plavim efektima, 48 pucnjeva srebrna mina s 
crvenim tragom i pucnjem</t>
  </si>
  <si>
    <t>Corona di broccato dorato da 40sh a rosso /blu, miniera d'argento da 48sh a coda rossa a saluto al titanio</t>
  </si>
  <si>
    <t>40 strz. brokatowa korona przechodzi w czerwony/niebieski, 48 strz. srebrna mina, czerwona kometa, głośny huk</t>
  </si>
  <si>
    <t>40s zlatna brokatna kruna do crveno/plave boje, 48s srebrna mina do crvenog repa do titanium pucnja</t>
  </si>
  <si>
    <t>Vương miện (brocade) vàng 40 vòng với các đầu màu đỏ / xanh, (silver mine) 48 dấu vết + titan</t>
  </si>
  <si>
    <t>40 šūvių auksinis brokato vainikas ir raudona/mėlyna spalva, 48 šūvių sidabrinė mina su raudona uodega ir titano saliutu</t>
  </si>
  <si>
    <t>6 različitih plavih efekata + 3x srebrna mina s crvenim tragom i pucnjem</t>
  </si>
  <si>
    <t>6 diversi effetti rossi + miniera d'argento a 3 file alla coda rossa al saluto al titanio</t>
  </si>
  <si>
    <t>6 różnych niebieskich efektów + 3 rzędy srebrna mina, czerwona kometa, głośny huk</t>
  </si>
  <si>
    <t>6 različitih efekata plave boje+3 reda srebrnih mina do crvenog repa do titanium pucnja</t>
  </si>
  <si>
    <t>6 hiệu ứng màu xanh khác nhau + 3 hàng (silver mine) với dấu vết màu đỏ và vụ nổ titan</t>
  </si>
  <si>
    <t>6 skirtingi mėlyni efektai ir 3 eilės sidabrinės minos su raudona uodega ir titano saliutu</t>
  </si>
  <si>
    <t>C10025BPS</t>
  </si>
  <si>
    <t>C9825SIG/C14</t>
  </si>
  <si>
    <t>28 različitih efekata u boji</t>
  </si>
  <si>
    <t>28 diversi effetti di colore</t>
  </si>
  <si>
    <t>28 różnokolorowych efektów</t>
  </si>
  <si>
    <t>28 različita efekta u boji</t>
  </si>
  <si>
    <t>28 hiệu ứng màu sắc khác nhau</t>
  </si>
  <si>
    <t xml:space="preserve">28 Skirtingi spalvoti efektai. </t>
  </si>
  <si>
    <t>16 Skirtingi spalvoti efektai</t>
  </si>
  <si>
    <t>14 Skirtingi spalvoti efektai</t>
  </si>
  <si>
    <t>C9825SIG/C14(T)</t>
  </si>
  <si>
    <t>32 Skirtingi spalvoti efektai</t>
  </si>
  <si>
    <t>C19625/C14(T)</t>
  </si>
  <si>
    <t>28 Skirtingi spalvoti efektai</t>
  </si>
  <si>
    <t>C19625F/C(T)</t>
  </si>
  <si>
    <t>C20025BPS/C</t>
  </si>
  <si>
    <t>30 različitih efekata u boji</t>
  </si>
  <si>
    <t>30 diversi effetti di colore</t>
  </si>
  <si>
    <t>30 różnokolorowych efektów</t>
  </si>
  <si>
    <t>30 različita efekta u boji</t>
  </si>
  <si>
    <t>30 hiệu ứng nhiều màu</t>
  </si>
  <si>
    <t xml:space="preserve">30 Skirtingi spalvoti efektai. </t>
  </si>
  <si>
    <t>C9825SIG/C(T)</t>
  </si>
  <si>
    <t>C17825W/C(T)</t>
  </si>
  <si>
    <t>4  diversi effetti di colore</t>
  </si>
  <si>
    <t>4 različita efekta u boji (svaki pucanj drugi efekt)</t>
  </si>
  <si>
    <t>4 diversi effetti di colore (effetto cambia ogni scatto)</t>
  </si>
  <si>
    <t>4 różnokolorowe efekty  (efekty zmieniają się po każdym strzale)</t>
  </si>
  <si>
    <t>4 raznobojna efekta (svaki pucanj drugačiji)</t>
  </si>
  <si>
    <t>4 hiệu ứng màu sắc khác nhau thay đổi sau mỗi lầnđạn bắn</t>
  </si>
  <si>
    <t>4  Skirtingi spalvoti efektai. (efektai keičiasi su kiekvienu šūviu)</t>
  </si>
  <si>
    <t>zlatni tragovi i zlatna kiša sa pucketanjem</t>
  </si>
  <si>
    <t>coda di broccato a corona di broccato w.crackers</t>
  </si>
  <si>
    <t>brokatowy ogon przechodzi w brokatową koronbę z trzeszczeniem'</t>
  </si>
  <si>
    <t>brokatni rep do brokatne krune sa.krekerima</t>
  </si>
  <si>
    <t>Dấu vết (brocade) + vương miện bằng (brocade) với những ngôi sao nứt</t>
  </si>
  <si>
    <t>brokato uodega su brokato vainiku ir traškesiu</t>
  </si>
  <si>
    <t>srebrna mina sa crvenim tragom / srebrna krizantema</t>
  </si>
  <si>
    <t>miniera d'argento alla coda rossa al crisantemo d'argento</t>
  </si>
  <si>
    <t>srebrna mina, czerwona kometa, srebrna chryzantema</t>
  </si>
  <si>
    <t>srebrna mina, crveni trag, srebrna hrizantema</t>
  </si>
  <si>
    <t>(silver mine) có dấu vết đỏ + hoa cúc bạc</t>
  </si>
  <si>
    <t>sidabrinė mina su raudona uodega ir sidabrine chrizantema</t>
  </si>
  <si>
    <t>višebojni efekt (dahlia)</t>
  </si>
  <si>
    <t>dahlia colorata</t>
  </si>
  <si>
    <t>višebojna dalija</t>
  </si>
  <si>
    <t>4 različita efekta u boji (menja se sa svakim pucnjem)</t>
  </si>
  <si>
    <t>4 Skirtingi spalvoti efektai.  (efektai keičiasi su kiekvienu šūviu)</t>
  </si>
  <si>
    <t>srebrni trag-srebrna palma sa ljubičastim</t>
  </si>
  <si>
    <t>coda d'argento al palmo d'argento al viola</t>
  </si>
  <si>
    <t>srebrny ogon przechodzący w srebrną palmę przechodzącą w fiolet</t>
  </si>
  <si>
    <t>srebrni rep do srebrne palme do ljubičaste boje</t>
  </si>
  <si>
    <t>Dấu vết bạc + (palm) bạc với tâm màu tím</t>
  </si>
  <si>
    <t>sidabrinė uodega keičiasi į sidabrinę ir violetinę palmę</t>
  </si>
  <si>
    <t>efekt u boji / krizantema</t>
  </si>
  <si>
    <t>colore perle al crisantemo</t>
  </si>
  <si>
    <t>kolorowe perełki przechodzące w  chryzantemy</t>
  </si>
  <si>
    <t>biserne boje do hrizanteme</t>
  </si>
  <si>
    <t>bó hoa đầy màu sắc với những ngôi sao nứt</t>
  </si>
  <si>
    <t>spalvoti perlai ir chrizantema</t>
  </si>
  <si>
    <t>5 Skirtingi spalvoti efektai.  (efektai keičiasi su kiekvienu šūviu)</t>
  </si>
  <si>
    <t>5  diversi effetti di colore</t>
  </si>
  <si>
    <t>5 različitih efekata u boji, niska razina buke</t>
  </si>
  <si>
    <t>5 diversi effetti di colore - Nessun rumore</t>
  </si>
  <si>
    <t>5 różnokolorowych efektów (ciche efekty)</t>
  </si>
  <si>
    <t>5 različita efekta u boji-bez buke</t>
  </si>
  <si>
    <t>5 hiệu ứng màu sắc khác nhau - không nhiễu</t>
  </si>
  <si>
    <t>5 Skirtingi spalvoti efektai. " be garso"</t>
  </si>
  <si>
    <t>5 različitih efekata u boji(svaki pucanj drugi efekt)</t>
  </si>
  <si>
    <t>5 diversi effetti di colore (effetto cambia ogni scatto)</t>
  </si>
  <si>
    <t>5 różnokolorowych efektów (efekty zmieniają się po każdym strzale)</t>
  </si>
  <si>
    <t>5 različita efekta u boji (menja se sa svakim pucnjem)</t>
  </si>
  <si>
    <t>5 hiệu ứng màu sắc khác nhau thay đổi sau mỗi lầnđạn bắn</t>
  </si>
  <si>
    <t>5 Skirtingi spalvoti efektai. (efektai keičiasi su kiekvienu šūviu)</t>
  </si>
  <si>
    <t>brocade crown+purple</t>
  </si>
  <si>
    <t>zlatni + ljubičasti efekti</t>
  </si>
  <si>
    <t>broccato+viola</t>
  </si>
  <si>
    <t>brokat + fiolet</t>
  </si>
  <si>
    <t>brokat + ljubičasta</t>
  </si>
  <si>
    <t>Vương miện (brocade) có đầu màu tím</t>
  </si>
  <si>
    <t>borkatas ir violetinė spalva</t>
  </si>
  <si>
    <t>plavi trag sa bijelom bljeskajućom vrbom</t>
  </si>
  <si>
    <t>coda blu a salice lampeggiante bianco</t>
  </si>
  <si>
    <t>niebieski ogon przechodzący w białą migoczącą wierzbę</t>
  </si>
  <si>
    <t>plavi rep do bele blistave vrbe</t>
  </si>
  <si>
    <t>Dấu vết xanh với cây liễu chớp trắng</t>
  </si>
  <si>
    <t>mėlyna uodega keičiasi į baltą blyksintį gluosnį</t>
  </si>
  <si>
    <t>zlatna kiša sa crvenim + bijela bljeskalica</t>
  </si>
  <si>
    <t>brokatna kruna do crvenog + belog stroba</t>
  </si>
  <si>
    <t>7 hiệu ứng màu sắc khác nhau</t>
  </si>
  <si>
    <t>6 różnokolorowych efektów</t>
  </si>
  <si>
    <t>6 različitih efekata u boji(svaki pucanj drugi efekt)</t>
  </si>
  <si>
    <t>6 diversi effetti di colore(gli effetti cambiano ad ogni scatto)</t>
  </si>
  <si>
    <t>6 różnokolorowych efektów (efekty zmieniają się po każdym strzale)</t>
  </si>
  <si>
    <t>6 različita efekta u boji (menja se sa svakim pucnjem)</t>
  </si>
  <si>
    <t>6 hiệu ứng màu sắc khác nhau thay đổi sau mỗi lầnđạn bắn</t>
  </si>
  <si>
    <t>6 Skirtingi spalvoti efektai. (efektai keičiasi su kiekvienu šūviu)</t>
  </si>
  <si>
    <t>C493BPS</t>
  </si>
  <si>
    <t>7 različitih efekata u boji(svaki pucanj drugi efekt)</t>
  </si>
  <si>
    <t>7 diversi effetti di colore (effetto cambia ogni scatto)</t>
  </si>
  <si>
    <t>7 różnokolorowych efektów (efekty zmieniają się po każdym strzale)</t>
  </si>
  <si>
    <t>7 različita efekta u boji (menja se sa svakim pucnjem)</t>
  </si>
  <si>
    <t>7 hiệu ứng màu sắc khác nhau thay đổi sau mỗi lầnđạn bắn</t>
  </si>
  <si>
    <t>7 Skirtingi spalvoti efektai.  (efektai keičiasi su kiekvienu šūviu)</t>
  </si>
  <si>
    <t>crveni trag i velika bijela bljeskalica</t>
  </si>
  <si>
    <t xml:space="preserve">tailt rosso a strobo super bianco </t>
  </si>
  <si>
    <t>czerwony ogon przechodzący w super biały stroboskop</t>
  </si>
  <si>
    <t>crveni rep do super belog stroba</t>
  </si>
  <si>
    <t>dấu vết mòn màu đỏ với những ngôi sao lấp lánh màu trắng</t>
  </si>
  <si>
    <t>raudona uodega su stipriu baltu mirksėjimu</t>
  </si>
  <si>
    <t>trag u boji sa crveno/zlatnim efektom (ghost)</t>
  </si>
  <si>
    <t xml:space="preserve">colore coda a colore perla con fantasma rosso/dorato </t>
  </si>
  <si>
    <t>kolorowy  ogon do kolorowego perłowego z czerwono-złotym</t>
  </si>
  <si>
    <t>obojeni rep u boji bisera s crveno/zlatnim duhom</t>
  </si>
  <si>
    <t>dấu vết màu với ngọc trai màu và trung tâm trễ màu đỏ / vàng</t>
  </si>
  <si>
    <t>spalvota uodega keičiasi į spalvotą perlą su raudonu/geltonu vaiduokliu</t>
  </si>
  <si>
    <t>crvena bljeskajuća vrba</t>
  </si>
  <si>
    <t>rosso scintillante wilow</t>
  </si>
  <si>
    <t>Czerwona błyszcząca wierzba</t>
  </si>
  <si>
    <t>crveno svetlucava vrba</t>
  </si>
  <si>
    <t>liễu nhấp nháy đỏ</t>
  </si>
  <si>
    <t>raudonas blizgantis gluosnis</t>
  </si>
  <si>
    <t>zlatna vrba</t>
  </si>
  <si>
    <t>salice -oro</t>
  </si>
  <si>
    <t>zlota wierzba</t>
  </si>
  <si>
    <t>titanijum zlatna vrba</t>
  </si>
  <si>
    <t>cây liễu nhấp nháy vàng</t>
  </si>
  <si>
    <t>Ti auksinis gluosnis</t>
  </si>
  <si>
    <t>8 različitih efekata u boji (svaki pucanj drugi efekt)</t>
  </si>
  <si>
    <t>8 diversi effetti di colore (effetto cambia ogni scatto)</t>
  </si>
  <si>
    <t>8 różnokolorowych efektów (produkowane ręcznie)</t>
  </si>
  <si>
    <t>8 različita efekta u boji, ručna izrada</t>
  </si>
  <si>
    <t>8 hiệu ứng màu sắc khác nhau thay đổi sau mỗi lầnđạn bắn</t>
  </si>
  <si>
    <t>8 Skirtingi spalvoti efektai. (efektai keičiasi su kiekvienu šūviu)</t>
  </si>
  <si>
    <t>8 raznobojnih efekata (svaki pucanj različit)</t>
  </si>
  <si>
    <t>8 Skirtingi spalvoti efektai.  (efektai keičiasi su kiekvienu šūviu)</t>
  </si>
  <si>
    <t>C503TS/C14</t>
  </si>
  <si>
    <t>Turbo 30mm shots 25</t>
  </si>
  <si>
    <t>5 različita efekta u boji - bez buke</t>
  </si>
  <si>
    <t>5 Skirtingi spalvoti efektai.  "be garso"</t>
  </si>
  <si>
    <t>15 različitih efekata u boji</t>
  </si>
  <si>
    <t>15 diversi effetti di colore</t>
  </si>
  <si>
    <t>15 różnokolorowych efektów</t>
  </si>
  <si>
    <t>15 različita efekta u boji</t>
  </si>
  <si>
    <t>15 hiệu ứng màu sắc khác nhau</t>
  </si>
  <si>
    <t xml:space="preserve">15 Skirtingi spalvoti efektai. </t>
  </si>
  <si>
    <t>zlatna titanium vrba</t>
  </si>
  <si>
    <t>C503TS/C14(T)</t>
  </si>
  <si>
    <t>5 Skirtingi spalvoti efektai. "be garso"</t>
  </si>
  <si>
    <t>C1003BPS/C</t>
  </si>
  <si>
    <t>10 różnokolorowych efektów (produkowane ręcznie)</t>
  </si>
  <si>
    <t>C1003F/C</t>
  </si>
  <si>
    <t xml:space="preserve">10 različitih efekata u boji, sretan rođendan - karton sadrži naljepnice sa 
različitim brojevima </t>
  </si>
  <si>
    <t>10 diversi effetti di colore, il cartone contiene adesivi con età diverse</t>
  </si>
  <si>
    <t>7 różnokolorowych efektów, karton zawiera naklejki rocznicowe</t>
  </si>
  <si>
    <t>10 raznobojnih efekata (nalepnice sa različitim brojevima)</t>
  </si>
  <si>
    <t>10 hiệu ứng màu khác nhau, bìa cứng chứa các nhãn dán với các độ tuổi khác nhau</t>
  </si>
  <si>
    <t>10 Skirtingi spalvoti efektai, dėžutėje yra skirtingo amžiaus (skaiciai) lipdukų</t>
  </si>
  <si>
    <t>C1003NID/C(T)</t>
  </si>
  <si>
    <t xml:space="preserve">10 različitih efekata u boji, karton zadrži naljepnice sa različitim brojevima </t>
  </si>
  <si>
    <t>10 raznobojnih efekata, karton sadrži nalepnice sa različitim brojevima godina</t>
  </si>
  <si>
    <t>10 skirtingų spalvų efektų, dėžėje yra lipdukų su įvairiais amžiais</t>
  </si>
  <si>
    <t>CF1003P/C(T)</t>
  </si>
  <si>
    <t>C2003SIG/C(T)</t>
  </si>
  <si>
    <t>10 hiệu ứng màu sắc khác nhau, sản xuất bằng tay</t>
  </si>
  <si>
    <t>5 različitih efekata u boji (svaki pucanj drugi efekt)</t>
  </si>
  <si>
    <t>5 raznobojnih efekata (efekat se menja pri svakom pucnju)</t>
  </si>
  <si>
    <t>6 Skirtingi spalvoti efektai</t>
  </si>
  <si>
    <t>coda d'argento al saluto in titanio</t>
  </si>
  <si>
    <t>srebrni trag i titanium pucanj</t>
  </si>
  <si>
    <t>Dấu vết bạc với vụ nổ titan</t>
  </si>
  <si>
    <t>sidabrinė uodega su titano saliutu</t>
  </si>
  <si>
    <t xml:space="preserve"> diversi effetti di colore</t>
  </si>
  <si>
    <t>21 różnokolorowych efektów</t>
  </si>
  <si>
    <t>bijela mina sa crvenim tragom i pucnjem (svaka cijev sadrži 10 pucnjeva)</t>
  </si>
  <si>
    <t>Wite mine+coda rossa al saluto al titanio (ogni tubo contiene 10sh)</t>
  </si>
  <si>
    <t>biała mina + czerwona kometa, głośny huk ( z hażdej tuby po 10 strzałów)</t>
  </si>
  <si>
    <t>bela mina+crveni rep do titanijumskog pucnja(svaka cev ima 10 pucnja)</t>
  </si>
  <si>
    <t>(white mine) có vết đỏ và một quả nổ titan (mỗi cối chứa 10 viên đạn)</t>
  </si>
  <si>
    <t>balta mina su raudona uodega ir titano saliutu (kiekviename amzdyje yra 10 šūvių)</t>
  </si>
  <si>
    <t>srebrni trag i pucanj</t>
  </si>
  <si>
    <t>dấu vết bạc với vụ nổ titan</t>
  </si>
  <si>
    <t>srebrna pucketajuća fontana + 8 različitih efekata u boji</t>
  </si>
  <si>
    <t>fontana scoppiettante d'argento+ 8 diversi effetti di colore</t>
  </si>
  <si>
    <t>srebrna trzeszcząca fontanna + 8 różnokolorowych efektów</t>
  </si>
  <si>
    <t>fontana sa srebrnim krekerima+ baterija sa 8 raznobojnih efekata</t>
  </si>
  <si>
    <t>vòi phun lửa màu bạc + 8 hiệu ứng nhiều màu</t>
  </si>
  <si>
    <t xml:space="preserve">sidabrinis traškantis fontanas ir 8 Skirtingi spalvoti efektai. </t>
  </si>
  <si>
    <t>7 različitih efekata u boji sa pucnjem na kraju</t>
  </si>
  <si>
    <t>7 diversi effetti di colore con saluto al titanio come finale</t>
  </si>
  <si>
    <t>7 różnokolorowych efektów + głośny huk na koniec</t>
  </si>
  <si>
    <t>7 različita efekta u boji sa lepom titanium salut završnicom</t>
  </si>
  <si>
    <t>7 hiệu ứng màu sắc khác nhau với lời chào bằng titan ở cuối</t>
  </si>
  <si>
    <t>7 Skirtingi spalvoti efektai. su titano saliuto pabaiga</t>
  </si>
  <si>
    <t>C100MTS/C14</t>
  </si>
  <si>
    <t>Turbo multi shots 55</t>
  </si>
  <si>
    <t>C100MPT/C14</t>
  </si>
  <si>
    <t>C136XMTS/C14</t>
  </si>
  <si>
    <t>Turbo multi shots 70</t>
  </si>
  <si>
    <t>C136XMK/C14</t>
  </si>
  <si>
    <t>King fireworks 136</t>
  </si>
  <si>
    <t>42 različita efekta u boji</t>
  </si>
  <si>
    <t>42 diversi effetti di colore</t>
  </si>
  <si>
    <t>42 różnokolorowe efekty</t>
  </si>
  <si>
    <t>42 hiệu ứng nhiều màu</t>
  </si>
  <si>
    <t xml:space="preserve">42 Skirtingi spalvoti efektai. </t>
  </si>
  <si>
    <t>19 različitih efekata u boji</t>
  </si>
  <si>
    <t>19 diversi effetti di colore</t>
  </si>
  <si>
    <t>19 różnokolorowych efektów</t>
  </si>
  <si>
    <t>19 različita efekta u boji</t>
  </si>
  <si>
    <t>19 hiệu ứng màu sắc khác nhau</t>
  </si>
  <si>
    <t xml:space="preserve">19 Skirtingi spalvoti efektai. </t>
  </si>
  <si>
    <t>34 različita efekta u boji</t>
  </si>
  <si>
    <t>34 diversi effetti di colore</t>
  </si>
  <si>
    <t>34 różnokolorowe efekty</t>
  </si>
  <si>
    <t>34 hiệu ứng nhiều màu</t>
  </si>
  <si>
    <t xml:space="preserve">34 Skirtingi spalvoti efektai. </t>
  </si>
  <si>
    <t>C100MTS/C14(T)</t>
  </si>
  <si>
    <t>C100MPT/C14(T)</t>
  </si>
  <si>
    <t>C128MS/C14(T)</t>
  </si>
  <si>
    <t>C136XMTS/C14(T)</t>
  </si>
  <si>
    <t>C136XMK/C14(T)</t>
  </si>
  <si>
    <t>C150MF/C14(T)</t>
  </si>
  <si>
    <t>21 Skirtingi spalvoti efektai</t>
  </si>
  <si>
    <t>22 različita efekta u boji</t>
  </si>
  <si>
    <t>22 diversi effetti di colore</t>
  </si>
  <si>
    <t>22 różnokolorowe efekty</t>
  </si>
  <si>
    <t>22 hiệu ứng nhiều màu</t>
  </si>
  <si>
    <t xml:space="preserve">22 Skirtingi spalvoti efektai. </t>
  </si>
  <si>
    <t>33 różnokolorowych efektów</t>
  </si>
  <si>
    <t>C223MF/C(T)</t>
  </si>
  <si>
    <t>22 Skirtingi spalvoti efektai</t>
  </si>
  <si>
    <t>C239MSIG/C(T)</t>
  </si>
  <si>
    <t>30 Skirtingi spalvoti efektai</t>
  </si>
  <si>
    <t>C446MM/C(T)</t>
  </si>
  <si>
    <t>2xfontana + 25 različitih efekata u boji</t>
  </si>
  <si>
    <t>2x fontane+25 diversi effetti di colore</t>
  </si>
  <si>
    <t>2 x fontanna + 25 różnokolorowych efektów</t>
  </si>
  <si>
    <t>fontana + baterija od 25 raznobojnih efekata</t>
  </si>
  <si>
    <t>vòi phun lửa 2x + 25 hiệu ứng màu khác nhau</t>
  </si>
  <si>
    <t xml:space="preserve">2x fontanai ir 25 Skirtingi spalvoti efektai. </t>
  </si>
  <si>
    <t>C111MF/C(T)</t>
  </si>
  <si>
    <t>C168MF/C(T)</t>
  </si>
  <si>
    <t>C175MF/C(T)</t>
  </si>
  <si>
    <t>17 različitih efekata u boji</t>
  </si>
  <si>
    <t>17 diversi effetti di colore</t>
  </si>
  <si>
    <t>17 różnokolorowych efektów</t>
  </si>
  <si>
    <t>17 različita efekta u boji</t>
  </si>
  <si>
    <t>17 hiệu ứng nhiều màu</t>
  </si>
  <si>
    <t xml:space="preserve">17 Skirtingi spalvoti efektai. </t>
  </si>
  <si>
    <t>38 različitih efekata u boji</t>
  </si>
  <si>
    <t>38 diversi effetti di colore</t>
  </si>
  <si>
    <t>38 różnokolorowych efektów</t>
  </si>
  <si>
    <t>38 različita efekta u boji</t>
  </si>
  <si>
    <t>38 hiệu ứng nhiều màu</t>
  </si>
  <si>
    <t xml:space="preserve">38 Skirtingi spalvoti efektai. </t>
  </si>
  <si>
    <t>40 hiệu ứng nhiều màu</t>
  </si>
  <si>
    <t>crveni trag</t>
  </si>
  <si>
    <t>coda rossa</t>
  </si>
  <si>
    <t>crveni rep</t>
  </si>
  <si>
    <t>đuôi đỏ</t>
  </si>
  <si>
    <t>raudona uodega</t>
  </si>
  <si>
    <t>zeleni trag</t>
  </si>
  <si>
    <t xml:space="preserve">coda verde   </t>
  </si>
  <si>
    <t>zeleni rep</t>
  </si>
  <si>
    <t xml:space="preserve">đuôi xanh </t>
  </si>
  <si>
    <t>žalia uodega</t>
  </si>
  <si>
    <t>žuti trag</t>
  </si>
  <si>
    <t>coda gialla</t>
  </si>
  <si>
    <t>žuti rep</t>
  </si>
  <si>
    <t>đuôi vàng</t>
  </si>
  <si>
    <t>geltona uodega</t>
  </si>
  <si>
    <t>zlatni trag</t>
  </si>
  <si>
    <t xml:space="preserve">coda dorata </t>
  </si>
  <si>
    <t>zlatni rep</t>
  </si>
  <si>
    <t xml:space="preserve">đuôi vàng </t>
  </si>
  <si>
    <t>auksinė uodega</t>
  </si>
  <si>
    <t>crvena svjetlucajuća vrba</t>
  </si>
  <si>
    <t>coda di salice glitter rosso</t>
  </si>
  <si>
    <t>crveni svetlucavi rep vrbe</t>
  </si>
  <si>
    <t>đuôi liễu long lanh đỏ</t>
  </si>
  <si>
    <t>raudona blizganti gluosnio uodega</t>
  </si>
  <si>
    <t>zelena svetlucajuća vrba</t>
  </si>
  <si>
    <t>coda di salice glitter verde</t>
  </si>
  <si>
    <t>zeleni svetlucavi rep vrbe</t>
  </si>
  <si>
    <t>đuôi liễu long lanh xanh</t>
  </si>
  <si>
    <t>žalia blizganti gluosnio uodega</t>
  </si>
  <si>
    <t>srebrna svjetlucajuća vrba</t>
  </si>
  <si>
    <t>coda di salice glitter d'argento</t>
  </si>
  <si>
    <t>rep od srebrne svetlucave vrbe</t>
  </si>
  <si>
    <t>bạc long lanh đuôi liễu</t>
  </si>
  <si>
    <t>sidabrinė blizganti gluosnio uodega</t>
  </si>
  <si>
    <t>pucketajući trag</t>
  </si>
  <si>
    <t>coda scoppiettante</t>
  </si>
  <si>
    <t>pucketanje repa</t>
  </si>
  <si>
    <t>đuôi kêu răng rắc</t>
  </si>
  <si>
    <t>traškanti uodega</t>
  </si>
  <si>
    <t>pucketavi rep</t>
  </si>
  <si>
    <t>bijela svjetlucajuća mina</t>
  </si>
  <si>
    <t>bianco glitter mio</t>
  </si>
  <si>
    <t>bela blještava mina</t>
  </si>
  <si>
    <t>mỏ long lanh trắng</t>
  </si>
  <si>
    <t>balta blizganti mina</t>
  </si>
  <si>
    <t>crveni trag-zelena svjetlucajuća mina</t>
  </si>
  <si>
    <t>coda rossa fino alla miniera glitter verde</t>
  </si>
  <si>
    <t>mina crveni rep do zelenog sjaja</t>
  </si>
  <si>
    <t>đuôi đỏ đến mỏ long lanh xanh</t>
  </si>
  <si>
    <t>raudona uodega ir žalia blizganti mina</t>
  </si>
  <si>
    <t>plava+crvena svjetlucajuća mina</t>
  </si>
  <si>
    <t>mare blu+rosso glitter miniera</t>
  </si>
  <si>
    <t>morsko plavo + crvena svetlucava mina</t>
  </si>
  <si>
    <t>mỏ long lanh màu xanh biển + đỏ</t>
  </si>
  <si>
    <t>jūros mėlynumo ir raudona blizganti mina</t>
  </si>
  <si>
    <t>srebrna svjetlucajuća mina sa zelenom kometom</t>
  </si>
  <si>
    <t>argento scintillante miniera con cometa verde</t>
  </si>
  <si>
    <t>srebrno blještava mina sa zelenom kometom</t>
  </si>
  <si>
    <t>mỏ lấp lánh bạc w / sao chổi xanh</t>
  </si>
  <si>
    <t>sidabrinė blizganti mina su žalia kometa</t>
  </si>
  <si>
    <t>bljeskajuća mina u boji</t>
  </si>
  <si>
    <t>colore speciale strobing miniera</t>
  </si>
  <si>
    <t>strob mina sa posebnom bojom</t>
  </si>
  <si>
    <t>màu đặc biệt vuốt ve của tôi</t>
  </si>
  <si>
    <t>ypatingų spalvų mirksinti mina</t>
  </si>
  <si>
    <t>plavo-crveni efekt (crossette) sa crveno-ljubičastim efektom (crossette)</t>
  </si>
  <si>
    <t>Crossette da blu a rossa+crossete da rossa a viola</t>
  </si>
  <si>
    <t>plavi do crveni krst + crveni do ljubičasti krst</t>
  </si>
  <si>
    <t>gạch chéo màu xanh lam sang đỏ + gạch chéo màu đỏ đến tím</t>
  </si>
  <si>
    <t>persikertantys raudoni ir mėlyni šūviai, persikertantys raudoni ir violetiniai šūviai</t>
  </si>
  <si>
    <t>crveni trag sa bijelim svjetlucanjem+zeleni trag sa bijelim svjetlucanjem</t>
  </si>
  <si>
    <t>coda rossa fino a bianco glitter + coda verde fino a glitter bianco</t>
  </si>
  <si>
    <t>crveni rep do belog sjaja + zeleni rep do belog sjaja</t>
  </si>
  <si>
    <t>đuôi đỏ đến long lanh trắng + đuôi xanh lục đến long lanh trắng</t>
  </si>
  <si>
    <t>raudona uodega, baltas blizgėjimas it žalia uodega baltas blizgėjimas</t>
  </si>
  <si>
    <t>crveni trag i pucketanje+zeleni trag i pucketanje</t>
  </si>
  <si>
    <t>coda rossa fino a coda scoppiettante + coda verde fino a coda scoppiettante</t>
  </si>
  <si>
    <t>zvijezde u boji + pucketanje repa</t>
  </si>
  <si>
    <t>đuôi đỏ lên đến đuôi kêu + đuôi xanh lên tới đuôi kêu</t>
  </si>
  <si>
    <t>zvjezdice u boji+pucketajući trag</t>
  </si>
  <si>
    <t>stelle di colore+coda scoppiettante</t>
  </si>
  <si>
    <t>zvezde u boji + pucketanje repa</t>
  </si>
  <si>
    <t>sao màu + đuôi kêu răng rắc</t>
  </si>
  <si>
    <t>spalvotos žvaigždės ir traškanti uodega</t>
  </si>
  <si>
    <t>crveni trag sa pucnjem</t>
  </si>
  <si>
    <t>coda rossa fino a ritardare cracker</t>
  </si>
  <si>
    <t>crveni rep do odlaganja krekera</t>
  </si>
  <si>
    <t>đuôi đỏ để trì hoãn cracker</t>
  </si>
  <si>
    <t>raudona uodega ir su traškesio uždelsimu</t>
  </si>
  <si>
    <t>pet linija: zviždač sa crvenim svjetlucanjem, bijelo svjetlucanje, plave zvjezdice</t>
  </si>
  <si>
    <t>cinque linee: coda fischio espellere glitter rosso,glitter bianco,stella blu</t>
  </si>
  <si>
    <t>pet linija: zviždeći rep izbacuje crveni sjaj, beli sjaj, plava zvezda</t>
  </si>
  <si>
    <t>năm dòng: đuôi còi phóng ra long lanh đỏ, long lanh trắng, ngôi sao xanh</t>
  </si>
  <si>
    <t>penkios linijos: švilpianti uodega, raudonas blizgesys, baltas blizgesys ir mėlyna žvaigždė</t>
  </si>
  <si>
    <t>bijela bljeskajuća mina sa crvenim/zelenim/plavim/žutim tragom</t>
  </si>
  <si>
    <t>strobo bianco miniera rossa/verde/blu/viola/coda di limone</t>
  </si>
  <si>
    <t>beli strob crveni / zeleni / plavi / ljubičasti / limunski rep</t>
  </si>
  <si>
    <t>mỏ nhấp nháy trắng đỏ / xanh lá cây / xanh dương / tím / chanh đuôi</t>
  </si>
  <si>
    <t>balta mirksinti mina, raudona/žalia/mėlyna/violetinė/citrinos spalvų uodega</t>
  </si>
  <si>
    <t>bijeli bljeskajući trag sa ljubičastim vrhovima</t>
  </si>
  <si>
    <t>coda stroboscopica bianca a punta viola</t>
  </si>
  <si>
    <t>beli strob rep do ljubičastog vrha</t>
  </si>
  <si>
    <t>đuôi nhấp nháy màu trắng đến đầu màu tím</t>
  </si>
  <si>
    <t>balta mirksinti uodega su violetiniu viršum</t>
  </si>
  <si>
    <t>crvena&amp;zelena pucketajuća kometa</t>
  </si>
  <si>
    <t>rosso&amp;verde tempo pioggia+cometa</t>
  </si>
  <si>
    <t>crveno-zelena kiša + kometa</t>
  </si>
  <si>
    <t>mưa thời gian đỏ và xanh + sao chổi</t>
  </si>
  <si>
    <t>raudonas ir žalias lietus ir kometa</t>
  </si>
  <si>
    <t>srebrna mina krizantema, crveni/zeleni/plavi/ljubičasti trag sa bijelom bljeskalicom</t>
  </si>
  <si>
    <t>argento chrys.mine coda rossa/verde/blu/viola fino allo strobo bianco</t>
  </si>
  <si>
    <t>srebrni krst, crveni / zeleni / plavi / ljubičasti rep do belog stroba</t>
  </si>
  <si>
    <t>bạc chrys. đuôi màu đỏ / xanh lá cây / xanh lam / tím cho đến nhấp nháy trắng</t>
  </si>
  <si>
    <t>sidbrinė chrizantemos mina, raudonos/žalios/mėlynos/violetinės spalvų uodega su baltu mirksėjimu</t>
  </si>
  <si>
    <t>velika kometa zlatna palma sa plavim efektom</t>
  </si>
  <si>
    <t>grande cometa di palma d'oro +perla blu</t>
  </si>
  <si>
    <t>velika zlatna kometa palme + plavi biser</t>
  </si>
  <si>
    <t>sao chổi cọ vàng lớn + ngọc trai xanh</t>
  </si>
  <si>
    <t>didelė auksinė palmės kometa ir mėlynas perlas</t>
  </si>
  <si>
    <t>bijeli bljeskajući vodopad</t>
  </si>
  <si>
    <t>fontana bianca lampeggiante</t>
  </si>
  <si>
    <t>belo svetlucanje fontana</t>
  </si>
  <si>
    <t>vòi phun lửa nhấp nháy trắng</t>
  </si>
  <si>
    <t>baltas blyksintis fontanas</t>
  </si>
  <si>
    <t>zlatna kiša sa zlatnim svjetlucavim vrhovima</t>
  </si>
  <si>
    <t>corona d'oro w.golden splendente pistillo</t>
  </si>
  <si>
    <t>zlatna kruna sa zlatnim sjajnim tačkama</t>
  </si>
  <si>
    <t>vương miện vàng với nhụy hoa sáng chói</t>
  </si>
  <si>
    <t>auksinis vainikas su auksine šviečiančia piestele</t>
  </si>
  <si>
    <t>thược dược đầy màu sắc</t>
  </si>
  <si>
    <t>spalvotas jurginas</t>
  </si>
  <si>
    <t>ljubičasti efekt sa zlatnom kišom</t>
  </si>
  <si>
    <t>fiore viola con corona di broccato</t>
  </si>
  <si>
    <t>ljubičasti cvet s brokatnom krunom</t>
  </si>
  <si>
    <t>vương miện bằng (brocade) hoa tím</t>
  </si>
  <si>
    <t>violetinė gėlė su brokato vainiku</t>
  </si>
  <si>
    <t>zlatno blistajuće pucketanje</t>
  </si>
  <si>
    <t>cracker scintillanti d'oro</t>
  </si>
  <si>
    <t>zlatni penušavi krekeri</t>
  </si>
  <si>
    <t>bánh quy vàng lấp lánh</t>
  </si>
  <si>
    <t>auskinis blizgantis ir traškantis fejerverkas</t>
  </si>
  <si>
    <t>pucketajuća vrba, višebojno padajuće lišće sa plavim</t>
  </si>
  <si>
    <t>ritardo crackle salice, colore caduta foglie con blu</t>
  </si>
  <si>
    <t>pucketanje vrbe,padajuće lišće s plavom bojom</t>
  </si>
  <si>
    <t>trì hoãn liễu nứt, màu lá rơi với màu xanh</t>
  </si>
  <si>
    <t>uždelsto trašėjimo gluosnis, spalvoti krentantys lapai su mėlyna spalva</t>
  </si>
  <si>
    <t>corona di broccato a rosso + strobo bianco</t>
  </si>
  <si>
    <t>vương miện (brocade) sang màu đỏ + trắng</t>
  </si>
  <si>
    <t>brokato vainikas su raudona spalva ir baltu mirksėjimu</t>
  </si>
  <si>
    <t>ljubičasto-zeleni efket (dahlia) + pucketanje</t>
  </si>
  <si>
    <t>viola verde dahlia + tempo pioggia</t>
  </si>
  <si>
    <t>ljubičasto zelena dalija + kiša</t>
  </si>
  <si>
    <t>thược dược xanh tím + mưa thời gian</t>
  </si>
  <si>
    <t>violetiniai žalias jurginas ir lietus</t>
  </si>
  <si>
    <t>zlatni efekt + zelena bljeskalica</t>
  </si>
  <si>
    <t>cocco d'oro + strobo verde</t>
  </si>
  <si>
    <t>zlatni kokos + zeleni strob</t>
  </si>
  <si>
    <t>dừa vàng + xanh lam</t>
  </si>
  <si>
    <t>auksinis kokosas su žaliu mirksėjimu</t>
  </si>
  <si>
    <t>crveni efekt +bijela bljeskalica</t>
  </si>
  <si>
    <t>cocco rosso + strobo bianco</t>
  </si>
  <si>
    <t>crveni kokos + beli strob</t>
  </si>
  <si>
    <t>dừa đỏ + trắng</t>
  </si>
  <si>
    <t>raudonas kokosas su baltu mirksėjimu</t>
  </si>
  <si>
    <t>bijelo svjetlucanje/narančasti efekt (wave)+zeleno svjetlucanje-10 pucnjeva odjednom</t>
  </si>
  <si>
    <t>bianco glitter/onda arancione+glitter verde- salvo 10sh insieme</t>
  </si>
  <si>
    <t>beli sjaj/narandžasti snop+zeleni sjaj - salve po 10 pucnjeva odjednom</t>
  </si>
  <si>
    <t>long lanh trắng / sóng cam + long lanh xanh lá- salvo 10sh cùng nhau</t>
  </si>
  <si>
    <t>balta ir oranžinė blizganti banga su žaliu blizgesiu, 10 šūvių kartu</t>
  </si>
  <si>
    <t>crvfeni trag i zlatna kiša + plavo - 10 pucnjeva odjednom</t>
  </si>
  <si>
    <t>coda rossa fino a corona di broccato+blu- salvo 10sh insieme</t>
  </si>
  <si>
    <t>crveni rep do brokatne krune + plavo-salve po 10 pucnjeva odjednom</t>
  </si>
  <si>
    <t>đuôi đỏ lên đến vương miện (brocade) + xanh dương- salvo 10sh cùng nhau</t>
  </si>
  <si>
    <t>raudona uodega su brokato ir mėlynu vainiku, 10 šūvių kartu</t>
  </si>
  <si>
    <t>dvostrano: zvijezdice u sredini: zlatna vrba-pucketajuća krizantema-10 pucnjeva odjednom</t>
  </si>
  <si>
    <t>due lati: stella centrale: salice d'oro+ scoppiettante chry- salvo 10sh insieme</t>
  </si>
  <si>
    <t>dva kraka i u sredini zvezda: zlatna vrba+pucketanje-salve po 10pucnjeva odjednom</t>
  </si>
  <si>
    <t>hai bên: ngôi sao giữa: liễu vàng + chry- salvo 10sh cùng nhau</t>
  </si>
  <si>
    <t>dviejų pusių: žvaigždė viduryje su auksiniu gluosniu ir traškančiu chry, 10 šūvių kartu</t>
  </si>
  <si>
    <t>dvostrano: srebrno,sredina: srebrna palma i narančasto+ zlatna vrba i zvjezdice - 10 pucnjeva 
odjednom</t>
  </si>
  <si>
    <t>due lati:argento, medio:palmo d'argento a arancione+broccato fiori di salice stella- salvo 10sh insieme</t>
  </si>
  <si>
    <t>dva kraka: srebrna, sredina: srebrna palma do narandžaste + zvezdani cvet brokatne vrbe - salve po 10s odjednom</t>
  </si>
  <si>
    <t>hai mặt: bạc, giữa: cọ bạc sang cam + (brocade) hoa liễu hoa sao- salvo 10sh cùng nhau</t>
  </si>
  <si>
    <t>dviejų pusių: sidabrinis vidurys su sidabrine ir oranžine palme, brokato gluosniu, gėle, žvaigžde, 10 šūvių kartu</t>
  </si>
  <si>
    <t>pucketanje+mina plave zvjezdice i narančasti efekt (wave)+zeleno svjetlucanje - 10 pucnjeva 
odjednom</t>
  </si>
  <si>
    <t>crepitio+miniera stella blu fino a onda arancione+glitter verde- salvo 10sh insieme</t>
  </si>
  <si>
    <t>pucketanje+plava zvezda mine do narandžastog snopa+zeleni sjaj - salve po 10s odjednom</t>
  </si>
  <si>
    <t>crackling + blue star mine lên đến cam wave + green glitter- salvo 10sh cùng nhau</t>
  </si>
  <si>
    <t>traškanti mėlyna žvaigždės mina su oranžine banga ir žaliu blizgesiu, 10 šūvių kartu</t>
  </si>
  <si>
    <t xml:space="preserve">pucketajući trag i crveni trag - crveni efekt (dahlia) sa krizantemom - 10 pucnjeva odjednom </t>
  </si>
  <si>
    <t>coda scoppiettante fino alla coda rossa dahlia rossa con crisantemo- salvo 10sh insieme</t>
  </si>
  <si>
    <t>pucketanje repa do crvenog repa crvena dalija sa hrizantemom - salve po 10s odjednom</t>
  </si>
  <si>
    <t>nứt nẻ từ đuôi đến thược dược đỏ đuôi đỏ với hoa cúc- salvo 10sh cùng nhau</t>
  </si>
  <si>
    <t>traškanti uodega su raudona uodega, raudonu jurginu ir chrizantema, 10 šūvių kartu</t>
  </si>
  <si>
    <t>plavi trag i kiša -10 pucnejva odjednom</t>
  </si>
  <si>
    <t>coda blu fino alla corona di fiori- salvo 10sh insieme</t>
  </si>
  <si>
    <t>plavi rep do cvetne krune - salve po 10s odjednom</t>
  </si>
  <si>
    <t>đuôi xanh lên đến vương miện hoa- salvo 10sh cùng nhau</t>
  </si>
  <si>
    <t>mėlyno atspalvio uodega su gėlės karūna, 10 šūvių kartu</t>
  </si>
  <si>
    <t>mina pucketajuća krizantema, zlatna kiša+svjetlucajuće zvjezdice - 10 pucnjeva odjednom</t>
  </si>
  <si>
    <t>scoppiettante chry. coda miniera fino a corona di broccato +stella glitter- salvo 10sh insieme</t>
  </si>
  <si>
    <t>pucketavi rep mina do brokatne krune + svetlucava zvezda-salve po 10s odjednom</t>
  </si>
  <si>
    <t>tiếng kêu tanh tách. mỏ đuôi lên đến vương miện (brocade) + ngôi sao lấp lánh- salvo 10sh cùng nhau</t>
  </si>
  <si>
    <t>traškantis chry, minos uodega su brokato vainiku ir blizgančia žvaigžde, 10 šūvių kartu</t>
  </si>
  <si>
    <t>plava+crvena svjetlucajuća mina i krizantema - 10 pucnjeva odjednom</t>
  </si>
  <si>
    <t>blu+rosso glitter miniera fino al crisantemo- salvo 10sh insieme</t>
  </si>
  <si>
    <t>plava+crvena svetlucava mina do hrizanteme-salve po 10s odjednom</t>
  </si>
  <si>
    <t>mỏ long lanh màu xanh + đỏ lên đến hoa cúc- salvo 10sh cùng nhau</t>
  </si>
  <si>
    <t>mėlyna ir raudona mina su chrizantema, 10 šūvių kartu</t>
  </si>
  <si>
    <t>zltna kiša, zelena, ljubičasta - 10 pucnjeva odjednom</t>
  </si>
  <si>
    <t>broccato corona re, verde, viola- salvo 10sh insieme</t>
  </si>
  <si>
    <t>brokat kruna kralj, zelena, ljubičasta - salve po 10s odjednom</t>
  </si>
  <si>
    <t>vương miện (brocade), xanh, tím- salvo 10sh cùng nhau</t>
  </si>
  <si>
    <t>žalias ir violetinis brokato vainikas, 10 šūvių kartu</t>
  </si>
  <si>
    <t>plavi trag i konjski rep - 10 pucnjeva odjednom</t>
  </si>
  <si>
    <t>coda blu fino a espellere coda cavallo- salvo 10sh insieme</t>
  </si>
  <si>
    <t>plavi rep sa izbacivanjem konjskog repa-salve po 10s odjednom</t>
  </si>
  <si>
    <t>đuôi xanh lên để đẩy đuôi ngựa ra - salvo 10sh cùng nhau</t>
  </si>
  <si>
    <t>mėlyno atspalvio arklio uodega, 10 šūvių kartu</t>
  </si>
  <si>
    <t>srebrni svjetlucajući buket sa srebrnim svjetlucanjem - 10 pucnjeva odjednom</t>
  </si>
  <si>
    <t>bouquet glitter d'argento fino a espellere glitter d'argento- salvo 10sh insieme</t>
  </si>
  <si>
    <t>srebrni blještavi buket do izbacivanja srebrnog blještavila-salve po 10s odjednom</t>
  </si>
  <si>
    <t>bó hoa lấp lánh bạc lên để đẩy bạc lấp lánh- salvo 10sh cùng nhau</t>
  </si>
  <si>
    <t>sidabrinė blizgesio puokštė, 10 šūvių kartu</t>
  </si>
  <si>
    <t>pucketajuća vrba + crveni efekt - 10 pucnjeva odjednom</t>
  </si>
  <si>
    <t>salice scoppiettante + rosso pesca - salvo 10sh insieme</t>
  </si>
  <si>
    <t>pucketava vrba+breskva crvena-salve po 10s odjednom</t>
  </si>
  <si>
    <t>liễu nứt nẻ + đỏ đào - salvo 10sh cùng nhau</t>
  </si>
  <si>
    <t>traškantis persikinio raudonumo gluosnis, 10 šūvių kartu</t>
  </si>
  <si>
    <t>pucketajuća vrba sa crvenim vrhovima - 10 pucnjeva odjednom</t>
  </si>
  <si>
    <t>punta rossa salice scoppiettante - salvo 10sh insieme</t>
  </si>
  <si>
    <t>crveni vrh pucketanje vrbe - salva 10sh zajedno</t>
  </si>
  <si>
    <t>đầu đỏ răng cưa - salvo 10sh cùng nhau</t>
  </si>
  <si>
    <t>traškantis gluosnis raudona viršūne, 10 šūvių kartu</t>
  </si>
  <si>
    <t>zlatna palma + zelena bljeskalica - 10 pucnjeva odjednom</t>
  </si>
  <si>
    <t>cocco in oro titanio + strobo verde - salvo 10sh insieme</t>
  </si>
  <si>
    <t>titanov zlatni kokos+zeleni strobo-salve po 10s odjednom</t>
  </si>
  <si>
    <t>titan vàng dừa + xanh lam - salvo 10sh cùng nhau</t>
  </si>
  <si>
    <t>titano auksinis kokosas su žaliu mirksėjimu, 10 šūvių kartu</t>
  </si>
  <si>
    <t>crvena pucketajuća palma + bijela bljeskalica - 10 pucnjeva odjednom</t>
  </si>
  <si>
    <t>cocco rosso scoppiettante + strobo bianco - salvo 10sh insieme</t>
  </si>
  <si>
    <t>crveni pucketavi kokos+beli strob-salve po 10s odjednom</t>
  </si>
  <si>
    <t>dừa nứt nẻ đỏ + gạch trắng - salvo 10sh cùng nhau</t>
  </si>
  <si>
    <t>raudonas traškantis kokosas su baltu mirksėjimu, 10 šūvių kartu</t>
  </si>
  <si>
    <t>ljubičasto-ćuti efekt (dahlia) - 10 pucnjeva odjednom</t>
  </si>
  <si>
    <t>viola limone dahlia+argento chrys- salvo 10sh insieme</t>
  </si>
  <si>
    <t>ljubičasta limun dalija+srebrna hrizantema-salve po 10s odjednom</t>
  </si>
  <si>
    <t>thược dược chanh tím + bạc chrys- salvo 10sh cùng nhau</t>
  </si>
  <si>
    <t>violetinės ir citrinos spalvų jurginas su sidabriniu chry, 10 šūvių kartu</t>
  </si>
  <si>
    <t>zelena svjetlucajuća vrba + zlatna bljeskalica - 10 pucnjeva odjednom</t>
  </si>
  <si>
    <t>verde luccicante salice+strobo dorato- salvo 10sh insieme</t>
  </si>
  <si>
    <t>zelena blistava vrba+zlatni strob-salve po 10s odjednom</t>
  </si>
  <si>
    <t>cây liễu lấp lánh xanh + ánh kim vàng- salvo 10sh cùng nhau</t>
  </si>
  <si>
    <t>žalias blizgantis gluosnis su geltonu mirksėjimu, 10 šūvių kartu</t>
  </si>
  <si>
    <t>bijela bljeskajuća mina sa crvenim - 10 pucnjeva odjednom</t>
  </si>
  <si>
    <t>strobo bianco miniera a strobo rosso- salvo 10sh insieme</t>
  </si>
  <si>
    <t>beli strob do crvenog stroba-salve po 10s odjednom</t>
  </si>
  <si>
    <t>mỏ nhấp nháy trắng đến nhấp nháy đỏ- salvo 10sh cùng nhau</t>
  </si>
  <si>
    <t>baltai ir raudonai mirksinti mina, 10 šūvių kartu</t>
  </si>
  <si>
    <t>zlato+bijela bljeskalica - 10 pucnjeva odjednom</t>
  </si>
  <si>
    <t>broccato+strobo bianco- salvo 10sh insieme</t>
  </si>
  <si>
    <t>brokat+beli strob-salve po 10s odjednom</t>
  </si>
  <si>
    <t>(brocade) + trắng nhấp nháy- salvo 10sh cùng nhau</t>
  </si>
  <si>
    <t>brokatas su baltu mirksėjimu, 10 šūvių kartu</t>
  </si>
  <si>
    <t>zlatni trag sa ljubičastim vrhovima - 10 pucnjeva odjednom</t>
  </si>
  <si>
    <t>pistile di broccato re + viola - salvo 10sh insieme</t>
  </si>
  <si>
    <t>kraljevski brokatni cvet+ljubičasta-salve po 10s odjednom</t>
  </si>
  <si>
    <t>nhụy hoa (brocade) king + màu tím - salvo 10sh cùng nhau</t>
  </si>
  <si>
    <t>karališka brokato piestelė su violetine spalva, 10 šūvių kartu</t>
  </si>
  <si>
    <t>crveno zeleno plavo + pucketanje -10 pucnjeva odjednom</t>
  </si>
  <si>
    <t>rosso verde blu + tempo pioggia - salvo 10sh insieme</t>
  </si>
  <si>
    <t>crveno zeleno plavo+kiša-salve po 10s odjednom</t>
  </si>
  <si>
    <t>đỏ xanh xanh lam + mưa thời gian - salvo 10sh cùng nhau</t>
  </si>
  <si>
    <t>raudonos, žalios ir mėlynos spalvų lietus, 10 šūvių kartu</t>
  </si>
  <si>
    <t>crvena palma + zelene i srebrne krizanteme - 10 pucnjeva odjednom</t>
  </si>
  <si>
    <t>cocco rosso + verde + argento chrys - salvo 10sh insieme</t>
  </si>
  <si>
    <t>crveni kokos+zelena+srebrna hrizantema-salve po 10s odjednom</t>
  </si>
  <si>
    <t>dừa đỏ + xanh + bạc chrys - salvo 10sh cùng nhau</t>
  </si>
  <si>
    <t>raudonas kokosas su žaliu ir sidabriniu chrys, 10 šūvių kartu</t>
  </si>
  <si>
    <t>zlatni trag s narančastim efektom - 10 pucnjeva odjednom</t>
  </si>
  <si>
    <t>broccato re + perla arancione- salvo 10sh insieme</t>
  </si>
  <si>
    <t>kraljevski brokat+narandžasti biseri-salve po 10s odjednom</t>
  </si>
  <si>
    <t>Gấm vua + ngọc trai cam- salvo 10sh cùng nhau</t>
  </si>
  <si>
    <t>karališkas brokatas su oranžiniu perlu, 10 šūvių kartu</t>
  </si>
  <si>
    <t>crvena kometa, crveni trag i crveni efekt (wave) sa bijelim bljeskanjem- 10 pucnjeva odjednom</t>
  </si>
  <si>
    <t>coda cometa rossa, coda rossa a onda rossa bianco strobing - salvo 10sh insieme</t>
  </si>
  <si>
    <t>crveni rep komete, crveni rep do crvenog snopa beli strob-salve po 10s odjednom</t>
  </si>
  <si>
    <t>đuôi sao chổi đỏ, đuôi đỏ đến đuôi trắng sóng đỏ - salvo 10sh cùng nhau</t>
  </si>
  <si>
    <t>raudona kometos uodega su raudona uodega, raudona banga ir baltu mirksėjimu, 10 šūvių kartu</t>
  </si>
  <si>
    <t>zlatni trag s pucketanjem - 10 pucnjeva odjednom</t>
  </si>
  <si>
    <t>broccato re w/crepitio- salvo 10sh insieme</t>
  </si>
  <si>
    <t>kraljevski brokat sa pucketanjem-salve po 10s odjednom</t>
  </si>
  <si>
    <t>(brocade) king w / crackling- salvo 10sh cùng nhau</t>
  </si>
  <si>
    <t>karališkas brokatas su traškesiu, 10 šūvių kartu</t>
  </si>
  <si>
    <t>efekt (sunflower) sa crvenim i plavim, crveni bljeskajući trag - 10 pucnjeva odjednom</t>
  </si>
  <si>
    <t>girasole con blu rosso, coda strobing rossa - salvo 10sh insieme</t>
  </si>
  <si>
    <t>suncokret sa crveno plavom bojom, crveni strob rep-salve po 10s odjednom</t>
  </si>
  <si>
    <t>hướng dương w / đỏ xanh, đỏ vuốt đuôi - salvo 10sh cùng nhau</t>
  </si>
  <si>
    <t>saulėgrąža su raudona ir mėlyna mirksinčia uodega, 10 šūvių kartu</t>
  </si>
  <si>
    <t>ljubičasti efekt (crossette) + ljubičasti trag sa zlatnom kišom i ljubičastim efektom (dahlia) - 10 
pucnjeva odjednom</t>
  </si>
  <si>
    <t>crossette viola + e coda viola alla corona di broccato con dahlia viola - salvo 10sh insieme</t>
  </si>
  <si>
    <t>ljubičasti krst+ljubičasti rep do brokatne krune s ljubičastom dalijom-salve po 10s odjednom</t>
  </si>
  <si>
    <t>dấu chéo màu tím + và đuôi màu tím thành vương miện (brocade) với thược dược tím - salvo 10sh cùng nhau</t>
  </si>
  <si>
    <t>persikertantys violetiniai šūviai su violetine uodega, brokato vainiku ir violetiniu jurginu, 10 šūvių kartu</t>
  </si>
  <si>
    <t>ljubičast trag i ljubičasti efekt (crossette) / C oblik - otvoren u sredini</t>
  </si>
  <si>
    <t>coda viola a crossette viola (C type-open su midlle)</t>
  </si>
  <si>
    <t>ljubičasti rep do ljubičastog krsta (tip C otvoren u sredini)</t>
  </si>
  <si>
    <t>đuôi màu tím đến dấu gạch chéo màu tím (loại C mở trên trục giữa)</t>
  </si>
  <si>
    <t>violetinė uodega su persikertančiais violetiniais šūviais (C tipo - atsidaro per vidurį)</t>
  </si>
  <si>
    <t>plavi trag i zlatna kiša</t>
  </si>
  <si>
    <t>coda blu fino alla corona di fiori</t>
  </si>
  <si>
    <t>plavi rep do cvetne krune</t>
  </si>
  <si>
    <t>đuôi màu xanh lên vương miện hoa</t>
  </si>
  <si>
    <t>mėlyno atspalvio uodega su gėlių karūna</t>
  </si>
  <si>
    <t>pucketajuća krizantema  + plava mina i zlatna kometa</t>
  </si>
  <si>
    <t>cracking chry + coda miniera blu fino alla cometa d'oro</t>
  </si>
  <si>
    <t>pucketava hrizantema+plavi rep mina do zlatne komete</t>
  </si>
  <si>
    <t>nứt mỏ + mỏ xanh đuôi lên sao chổi vàng</t>
  </si>
  <si>
    <t>traškantis chry su mėlyna minos uodega ir auksine kometa</t>
  </si>
  <si>
    <t>srebrni trag i crveni efekt (wave) sa pucketanjem</t>
  </si>
  <si>
    <t>coda d'argento fino all'onda rossa con cracker</t>
  </si>
  <si>
    <t>srebrni rep do crvenog snopa s krekerom</t>
  </si>
  <si>
    <t>đuôi bạc lên sóng đỏ với bánh quy giòn</t>
  </si>
  <si>
    <t>sidabrinė uodega su raudona banga ir traškesiu</t>
  </si>
  <si>
    <t>pucketajuća krizantema mina i zlatna kiša + svjetlucajuće zvjezdice</t>
  </si>
  <si>
    <t>scoppiettante chry. la mia coda fino alla corona di broccato + stella glitter</t>
  </si>
  <si>
    <t>pucketava hrizantema rep mina do brokatne krune+sjajna zvezda</t>
  </si>
  <si>
    <t>tiếng kêu tanh tách. đuôi mỏ lên đến vương miện (brocade) + ngôi sao lấp lánh</t>
  </si>
  <si>
    <t>traškantis chry, minos uodega, brokato vainikas ir blizganti žvaigždė</t>
  </si>
  <si>
    <t>plava +crvena svjetlucajuća mina i krizantema</t>
  </si>
  <si>
    <t>blu+rosso glitter miniera fino al crisantemo</t>
  </si>
  <si>
    <t>plava+crvena svetlucava mina do hrizanteme</t>
  </si>
  <si>
    <t>mỏ lấp lánh màu xanh + đỏ cho đến hoa cúc</t>
  </si>
  <si>
    <t>mėlyna ir raudona blizganti mina ir chrizantema</t>
  </si>
  <si>
    <t>zlatna kiša, zelena, ljubaičasta</t>
  </si>
  <si>
    <t>broccato corona re, verde, viola</t>
  </si>
  <si>
    <t>kraljevska brokat kruna, zelena, ljubičasta</t>
  </si>
  <si>
    <t>vương miện (brocade), xanh, tím</t>
  </si>
  <si>
    <t>karališkas žalias ir violetinis brokato vainikas</t>
  </si>
  <si>
    <t>plavitrag sa konjskim repom</t>
  </si>
  <si>
    <t>coda blu fino a espellere la coda del cavallo</t>
  </si>
  <si>
    <t>plavi rep do izbacivanja konjskog repa</t>
  </si>
  <si>
    <t>đuôi xanh lên để phóng ra đuôi ngựa</t>
  </si>
  <si>
    <t>mėlyno atspalvio arklio uodega</t>
  </si>
  <si>
    <t>srebrni svjetlucajući buket sa srebrnim svjetlucanjem</t>
  </si>
  <si>
    <t>bouquet glitter d'argento fino a espellere glitter d'argento</t>
  </si>
  <si>
    <t>buket srebrnog sjaja do izbacivanja srebrnog sjaja</t>
  </si>
  <si>
    <t>bó hoa lấp lánh bạc lên để đẩy ra ánh bạc lấp lánh</t>
  </si>
  <si>
    <t xml:space="preserve">sidabrinė blizgesio puokštė </t>
  </si>
  <si>
    <t>pucketajuća vrba sa crvenim</t>
  </si>
  <si>
    <t xml:space="preserve">salice scoppiettante + rosso pesca </t>
  </si>
  <si>
    <t>pucketava vrba + breskva crvena</t>
  </si>
  <si>
    <t xml:space="preserve">liễu nứt nẻ + đào đỏ </t>
  </si>
  <si>
    <t>traškantis persiko raudonumo gluosnis</t>
  </si>
  <si>
    <t>pucketajuća vrba sa crvenim vrhovima</t>
  </si>
  <si>
    <t xml:space="preserve">punta rossa crepitio salice </t>
  </si>
  <si>
    <t>pucketava vrba sa crvenim vrhovima</t>
  </si>
  <si>
    <t xml:space="preserve">đầu đỏ răng cưa </t>
  </si>
  <si>
    <t>traškantis gluosnis su raudonu viršum</t>
  </si>
  <si>
    <t>zlatna palma + zelena bljeskanje</t>
  </si>
  <si>
    <t xml:space="preserve">cocco in oro titanio + strobo verde </t>
  </si>
  <si>
    <t>titanov zlatni kokos + zeleni strob</t>
  </si>
  <si>
    <t xml:space="preserve">Dừa vàng titan + xanh lam </t>
  </si>
  <si>
    <t>auksinis titano kokosas su žaliu mirksėjimu</t>
  </si>
  <si>
    <t>crvena pucketajuća palma + bijelo bljeskanje</t>
  </si>
  <si>
    <t xml:space="preserve">cocco rosso scoppiettante + strobo bianco </t>
  </si>
  <si>
    <t>crveni pucketajući kokos + beli strob</t>
  </si>
  <si>
    <t xml:space="preserve">dừa nứt nẻ đỏ + trắng </t>
  </si>
  <si>
    <t>raudonas traškantis kokosas su baltu mirksėjimu</t>
  </si>
  <si>
    <t>zelena pucketajuća kiša sa plavim efektom</t>
  </si>
  <si>
    <t>broccato crepitio fiore+perla blu</t>
  </si>
  <si>
    <t>brokatni pucketajući cvet + plavi biser</t>
  </si>
  <si>
    <t>(brocade) hoa nứt nẻ + ngọc trai xanh</t>
  </si>
  <si>
    <t>traškanti brokato gėlė ir mėlyni perlai</t>
  </si>
  <si>
    <t>ljubičasto/žuti efekt (dahlia) + srebrna krizantema</t>
  </si>
  <si>
    <t>dahlia limone viola + crisantemo d'argento</t>
  </si>
  <si>
    <t>ljubičasta limun dalija + srebrna hrizantema</t>
  </si>
  <si>
    <t>thược dược chanh tím + cúc bạc.</t>
  </si>
  <si>
    <t>violetinės ir citrinos spalvų jurginas ir sidabrinė chrizantema</t>
  </si>
  <si>
    <t>zelena svjetlucajuća vrba + zeleno bljeskanje</t>
  </si>
  <si>
    <t>salice verde scintillante + strobo verde</t>
  </si>
  <si>
    <t>zelena svetlucava vrba + zeleni strob</t>
  </si>
  <si>
    <t>cây liễu lấp lánh xanh + nét xanh</t>
  </si>
  <si>
    <t>žalias blizgantis gluosnis su žaliu mirksėjimu</t>
  </si>
  <si>
    <t>bijela bljeskajuća mina sa crvenim bljeskanjem</t>
  </si>
  <si>
    <t>strobo bianco miniera a strobo rosso</t>
  </si>
  <si>
    <t>beli strob do crvenog stroba</t>
  </si>
  <si>
    <t>nét trắng của tôi đến nét đỏ</t>
  </si>
  <si>
    <t>baltai ir raudonai mirksinti mina</t>
  </si>
  <si>
    <t>zlatni tragovi sa ljubičastim</t>
  </si>
  <si>
    <t xml:space="preserve">pistillo di broccato re + viola </t>
  </si>
  <si>
    <t>kraljevski brokatni cvet + ljubičasta boja</t>
  </si>
  <si>
    <t xml:space="preserve">nhụy hoa (brocade) vua + màu tím </t>
  </si>
  <si>
    <t>karališka violetinė brokato piestelė</t>
  </si>
  <si>
    <t>roza +pucketanje</t>
  </si>
  <si>
    <t xml:space="preserve">rosa+tempo pioggia </t>
  </si>
  <si>
    <t>roze boja + kiša</t>
  </si>
  <si>
    <t xml:space="preserve">màu hồng + mưa thời gian </t>
  </si>
  <si>
    <t>rožinis lietus</t>
  </si>
  <si>
    <t>crveno zeleno plavo + pucketanje</t>
  </si>
  <si>
    <t xml:space="preserve">rosso verde blu + tempo pioggia </t>
  </si>
  <si>
    <t>crvena zelena plava boja + kiša</t>
  </si>
  <si>
    <t xml:space="preserve">đỏ xanh lam + mưa thời gian </t>
  </si>
  <si>
    <t>raudonas, žalias ir mėlynas lietus</t>
  </si>
  <si>
    <t>crvena palma + zeleno + srebrna krizantema</t>
  </si>
  <si>
    <t>cocco rosso + verde + crisantemo d'argento</t>
  </si>
  <si>
    <t>crveni kokos + zelena + srebrna hrizantema</t>
  </si>
  <si>
    <t>dừa đỏ + xanh + bạc.</t>
  </si>
  <si>
    <t>raudonas ir žalias kokosas ir sidabrinė chrizantema</t>
  </si>
  <si>
    <t xml:space="preserve">zlatni tragovi sa narančastim efektom </t>
  </si>
  <si>
    <t>broccato re + perla arancione</t>
  </si>
  <si>
    <t>kraljevski brokat + narandžasti biser</t>
  </si>
  <si>
    <t>(brocade) vua + ngọc trai cam</t>
  </si>
  <si>
    <t>karališkas brokatas ir oranžinis perlas</t>
  </si>
  <si>
    <t xml:space="preserve">efekt (sunflower) sa crvenim i plavim, crveni bljeskajući trag </t>
  </si>
  <si>
    <t xml:space="preserve">girasole con blu rosso, coda stroboscopica rossa </t>
  </si>
  <si>
    <t>suncokret sa crveno plavom bojom, crveni strob rep</t>
  </si>
  <si>
    <t xml:space="preserve">hướng dương w / xanh đỏ, đuôi vuốt đỏ </t>
  </si>
  <si>
    <t>saulėgrąža su mėlyna ir raudona mirksinčia uodega</t>
  </si>
  <si>
    <t>plava mina i kometa crvene zvjezdice</t>
  </si>
  <si>
    <t>blu mia coda fino a stella cometa rossa</t>
  </si>
  <si>
    <t>mina plavi rep do crvene komete sa zvezdicama</t>
  </si>
  <si>
    <t>mỏ xanh đuôi lên đến ngôi sao chổi đỏ</t>
  </si>
  <si>
    <t>mėlyna minos uodega ir raudona kometos žvaigždė</t>
  </si>
  <si>
    <t>kometa crvena kiša</t>
  </si>
  <si>
    <t>pioggia cometa rossa</t>
  </si>
  <si>
    <t>crvena kometa kiša</t>
  </si>
  <si>
    <t>mưa sao chổi đỏ</t>
  </si>
  <si>
    <t>raudona kometos mina</t>
  </si>
  <si>
    <t>crvena,zelena,žuta,bijel, ljubičasta mina</t>
  </si>
  <si>
    <t>rosso,verde,giallo,bianco,miniera viola</t>
  </si>
  <si>
    <t>crvena, zelena, žuta, bela, ljubičasta mina</t>
  </si>
  <si>
    <t>mỏ đỏ, xanh lá cây, vàng, trắng, tím</t>
  </si>
  <si>
    <t>raudona, žalia, geltona, balta ir violetinė mina</t>
  </si>
  <si>
    <t>zlatna svjetlucajuća vrba sa plavim buketom</t>
  </si>
  <si>
    <t>salice glitter oro con bouquet blu</t>
  </si>
  <si>
    <t>zlatna svetlucava vrba sa plavim buketom</t>
  </si>
  <si>
    <t>cây liễu vàng lấp lánh với bó hoa màu xanh</t>
  </si>
  <si>
    <t>auksinis blizgantis gluosnis su mėlyna puokšte</t>
  </si>
  <si>
    <t>zlatna kiša buket dolje, zlatna kiša gore</t>
  </si>
  <si>
    <t>bouquet corona di broccato tup al re corona di broccato</t>
  </si>
  <si>
    <t>brokatna kruna buket do brokatne kraljevske krune</t>
  </si>
  <si>
    <t>vương miện (brocade) bó hoa tup đến vương miện (brocade)</t>
  </si>
  <si>
    <t>brokato puokštė su karališku brokato vainiku</t>
  </si>
  <si>
    <t>mina zlatna kiša</t>
  </si>
  <si>
    <t>miniera di broccato d'oro</t>
  </si>
  <si>
    <t>zlatna brokatna mina</t>
  </si>
  <si>
    <t>mỏ (brocade) vàng</t>
  </si>
  <si>
    <t>auksinė brokato mina</t>
  </si>
  <si>
    <t>1-20 pucnjeva pucketajuća vrba trag +crvena bljeskajuća mina, 21-50 pucnjeva 
pucketajuća vrba + crveno bljeskanje</t>
  </si>
  <si>
    <t>1-20sh coda di salice scoppiettante + miniera di strobo rosso, 21-50sh salice scoppiettante + strobo rosso</t>
  </si>
  <si>
    <t>1-20s pucketavi rep vrbe+crveni strob, 21-50s pucketava vrba+crveni strob</t>
  </si>
  <si>
    <t>Đuôi liễu kêu răng rắc 1-20sh + mỏ nhấp nháy đỏ, đuôi liễu kêu răng rắc 21-50sh + bút lông đỏ</t>
  </si>
  <si>
    <t>20 šūvių traškanti gluosnio uodega su raudona mirksinčia mina, 21-50 šūvių traškantis gluosnis su raudonu mirksėjimu</t>
  </si>
  <si>
    <t>plavi i srebrni efekti</t>
  </si>
  <si>
    <t xml:space="preserve">pesce d'argento pistillo blu </t>
  </si>
  <si>
    <t>plavi cvet srebrna riba</t>
  </si>
  <si>
    <t xml:space="preserve">nhụy xanh cá bạc </t>
  </si>
  <si>
    <t>mėlyna piestelė su sidabrine žuvim</t>
  </si>
  <si>
    <t>zelena pucketajuća kiša</t>
  </si>
  <si>
    <t>pioggia tempo verde</t>
  </si>
  <si>
    <t>zelena kiša</t>
  </si>
  <si>
    <t>thời gian xanh mưa</t>
  </si>
  <si>
    <t>žalias lietus</t>
  </si>
  <si>
    <t>crvena palma+pucketanje s jedne strane/ zelena palma+ pucketanje s druge strane</t>
  </si>
  <si>
    <t>cocco rosso + crepitio un lato / cocco verde + crepitio un lato</t>
  </si>
  <si>
    <t>crveni kokos+pucketanje s jedne strane/zeleni kokos+pucketanje s druge strane</t>
  </si>
  <si>
    <t>dừa đỏ + tí tách một bên / dừa xanh + lách tách một bên</t>
  </si>
  <si>
    <t>raudonas vienoje pusėje traškantis kokosas ir žalias vienoje pusėje traškantis kokosas</t>
  </si>
  <si>
    <t>crveni efekt (wave) tragovi</t>
  </si>
  <si>
    <t xml:space="preserve">coda d'onda rossa </t>
  </si>
  <si>
    <t>crveni snop rep</t>
  </si>
  <si>
    <t xml:space="preserve">đuôi sóng đỏ </t>
  </si>
  <si>
    <t>raudonos bangos uodega</t>
  </si>
  <si>
    <t>žuti trag+žuta palma+srebrna krizantema</t>
  </si>
  <si>
    <t>coda di limone+cocco al limone+crisantemo d'argento</t>
  </si>
  <si>
    <t>limun rep+limun kokos+srebrna hrizantema</t>
  </si>
  <si>
    <t>chanh đuôi + chanh dừa + bạc cúc.</t>
  </si>
  <si>
    <t>citrininė uodega, citrininis kokosas, sidabrinė chrizantema</t>
  </si>
  <si>
    <t>plavi trag i konjski rep</t>
  </si>
  <si>
    <t xml:space="preserve"> blu fino a espellere la coda del cavallo</t>
  </si>
  <si>
    <t>mėlyno atspalvio  arklio uodega</t>
  </si>
  <si>
    <t>dvostrano:srebrni trag i kiša sa zelenim bljeskanjem,sredina:crveni trag i crvena palma sa 
pucketanjem</t>
  </si>
  <si>
    <t>due lati:coda d'argento fino alla corona di fiori con glitter verde, medio:coda rossa fino all'albero di plam rosso con cracker</t>
  </si>
  <si>
    <t>dve strane: srebrni rep do cvetne krune sa zelenim svetlucanjem, sredina: crveni rep do crvene palme s praskom</t>
  </si>
  <si>
    <t>hai bên: đuôi bạc lên đến vương miện hoa có màu xanh lục lấp lánh, giữa: đuôi đỏ lên đến cây mận đỏ với bánh tẻ</t>
  </si>
  <si>
    <t>dvi pusės: sidabrinė uodega su gėlės karūna ir žaliu blizgesiu; viduryje: raudona uodega su raudona palme ir traškesiu</t>
  </si>
  <si>
    <t>plavi trag i plave zvjezdice sa bijelim bljeskalicama, crvene zvjezdice sa bijelim bljeskalicama</t>
  </si>
  <si>
    <t xml:space="preserve">coda blu a stelle blu bianco strobing, stelle rosse bianco strobing </t>
  </si>
  <si>
    <t>plavi rep do plavih zvezda belog stroba, crvene zvezde belog stroba</t>
  </si>
  <si>
    <t xml:space="preserve">đuôi xanh đến sao xanh trắng vuốt, đỏ sao trắng </t>
  </si>
  <si>
    <t>mėlyno atspalvio uodega su baltai mirksinčiom mėlynom žvaigždėm ir baltai mirksinčiom raudonom žvaigždėm</t>
  </si>
  <si>
    <t>crveni zeleni efekt (crossette)</t>
  </si>
  <si>
    <t>crossette verde rosso</t>
  </si>
  <si>
    <t>crveno zeleni krstovi</t>
  </si>
  <si>
    <t>gạch chéo xanh đỏ</t>
  </si>
  <si>
    <t>raudoni ir žali persikertantys šūviai</t>
  </si>
  <si>
    <t>zlatni trag i zlatni efekt (crossette) - 8 pucnjeva odjednom</t>
  </si>
  <si>
    <t xml:space="preserve"> d'oro a crossette d'oro-8sh salvo insieme</t>
  </si>
  <si>
    <t>zlatni rep do zlatnog krsta, salva od 8s odjednom</t>
  </si>
  <si>
    <t>đuôi vàng để lai vàng-8sh salvo cùng nhau</t>
  </si>
  <si>
    <t>auksinio atspalvio  uodega su auksiniais persikertančiais šūviais, 8 šūviai kartu</t>
  </si>
  <si>
    <t>mina zlatna kiša - 13 pucnjeva odjednom</t>
  </si>
  <si>
    <t>broccato corona miniera-13sh salvo insieme</t>
  </si>
  <si>
    <t>brokatna kruna -salva od 13s odjednom</t>
  </si>
  <si>
    <t>cùng nhau vương miện (brocade) mine-13sh salvo</t>
  </si>
  <si>
    <t>brokato vainiko mina, 13 šūvių kartu</t>
  </si>
  <si>
    <t>zlatni trag i konjski rep  - 13 pucnjeva odjednom</t>
  </si>
  <si>
    <t>coda d'oro a cavallo coda-13sh salvo insieme</t>
  </si>
  <si>
    <t>zlatni rep do konjskog repa-salva od 13s odjednom</t>
  </si>
  <si>
    <t>đuôi vàng đến đuôi ngựa-13sh salvo cùng nhau</t>
  </si>
  <si>
    <t>auksinė arklio uodega, 13 šūvių kartu</t>
  </si>
  <si>
    <t>srebrni trag i srebrna pucketajuća vrba - 13 pucnjeva odjednom</t>
  </si>
  <si>
    <t>coda d'argento a argento crepitio salice-13sh salvo insieme</t>
  </si>
  <si>
    <t>srebrni rep do srebrnih krekera vrbe-salva od 13s odjednom</t>
  </si>
  <si>
    <t>đuôi bạc đến bạc kêu răng rắc liễu-13sh salvo cùng nhau</t>
  </si>
  <si>
    <t>sidabrinė uodega su sidabriniu traškančiu gluosniu, 13 šūvių kartu</t>
  </si>
  <si>
    <t>crveni trag sa efektom (wave) i bljeskajućim centrom - 13 pucnjeva odjednom</t>
  </si>
  <si>
    <t>coda rossa con onda e lampeggiante centro-13sh salvo insieme</t>
  </si>
  <si>
    <t>crveni rep sa snopom i treptajima u sredini-salva od 13s odjednom</t>
  </si>
  <si>
    <t>đuôi màu đỏ với wave và salvo trung tâm 13sh nhấp nháy cùng nhau</t>
  </si>
  <si>
    <t>raudona uodega su banga ir žybsinčiu centru, 13 šūvių kartu</t>
  </si>
  <si>
    <t xml:space="preserve">zlatni trag sa zlatnim efektom (crossette) - C oblik </t>
  </si>
  <si>
    <t>coda dorata con crossette dorata (mortaio C)</t>
  </si>
  <si>
    <t>zlatni rep sa zlatnim krstom (bacač C)</t>
  </si>
  <si>
    <t>đuôi vàng với chữ thập vàng (cối C)</t>
  </si>
  <si>
    <t>auksinė uodega su auksiniais persikertančiais šūviais, (C vamzdis)</t>
  </si>
  <si>
    <t>zlatna kiša trag i zlatna kiša - 19 pucnjeva odjednom</t>
  </si>
  <si>
    <t>coda corona di broccato fino a broccato corona-19sh salvo insieme</t>
  </si>
  <si>
    <t>brokatni krunski rep do brokatne krune-salva od 19s odjednom</t>
  </si>
  <si>
    <t>vương miện (brocade) đuôi lên đến vương miện (brocade)-19sh salvo cùng nhau</t>
  </si>
  <si>
    <t>brokato vainiko uodega su brokato vainiku, 19 šūvių kartu</t>
  </si>
  <si>
    <t>srebrni trag i srebrna pucketajuća vrba - 19 pucnjeva odjednom</t>
  </si>
  <si>
    <t>coda d'argento fino a argento crepitio salice-19sh salvo insieme</t>
  </si>
  <si>
    <t>srebrni rep do srebrnih krekera vrbe-salva od 19s odjednom</t>
  </si>
  <si>
    <t>đuôi bạc cho đến bạc kêu răng rắc liễu-19sh salvo cùng nhau</t>
  </si>
  <si>
    <t>sidabrinė uodega su sidabriniu traškančiu gluosniu, 19 šūvių kartu</t>
  </si>
  <si>
    <t>zlatna kiša mina - 19 pucnjeva odjednom</t>
  </si>
  <si>
    <t>corona d'oro/broccato miniera-19sh salvo insieme</t>
  </si>
  <si>
    <t>zlatno/brokatna kruna mina-salva od 19s odjednom</t>
  </si>
  <si>
    <t>vương miện vàng / (brocade) mine-19sh salvo cùng nhau</t>
  </si>
  <si>
    <t>auksinė brokato puokštės mina, 19 šūvių kartu</t>
  </si>
  <si>
    <t>crvena svjetlucajuća mina - 19 pucnjeva odjednom</t>
  </si>
  <si>
    <t>rosso scintillante miniera alla cometa rossa-19sh salvo insieme</t>
  </si>
  <si>
    <t>crveno blistava mina do pucnja crvene komete-salva od 19s odjednom</t>
  </si>
  <si>
    <t>mỏ lấp lánh màu đỏ đến sao chổi đỏ-19sh salvo cùng nhau</t>
  </si>
  <si>
    <t>raudona blizganti mina su raudona kometa, 19 šūvių kartu</t>
  </si>
  <si>
    <t>srebrna svjetlucajuća mina sa zlatnom svjetlucavom kometom -19 pucnjeva odjednom</t>
  </si>
  <si>
    <t>argento scintillante miniera w.verde scintillante cometa-19sh salvo insieme</t>
  </si>
  <si>
    <t>srebrno blistava mina sa zelenom svetlucavom kometom-salva od 19s odjednom</t>
  </si>
  <si>
    <t>mỏ lấp lánh bạc w.gl lấp lánh màu xanh sao chổi-19sh salvo cùng nhau</t>
  </si>
  <si>
    <t>sidabrinė blizganti mina su žalia blizgančia kometa, 19 šūvių kartu</t>
  </si>
  <si>
    <t>srebrna svjetlucajuća mina  i crveni efekt (crossette) - 19 pucnjeva odjednom</t>
  </si>
  <si>
    <t>argento scintillante miniera a red crossette-19sh salvo insieme</t>
  </si>
  <si>
    <t>srebrno blistava mina do crvenog pucnja-salva od 19s odjednom</t>
  </si>
  <si>
    <t>mỏ lấp lánh bạc để cùng nhau red crossette-19sh salvo</t>
  </si>
  <si>
    <t>sidabrinė blizganti mina su raudonais persikertančiais šūviais, 19 šūvių kartu</t>
  </si>
  <si>
    <t>srebrna svjetlucajuća mina i zeleni efekt (crossette) - 19 pucnjeva odjednom</t>
  </si>
  <si>
    <t>argento scintillante miniera a verde crossette-19sh salvo insieme</t>
  </si>
  <si>
    <t>srebrno blistava mina do zelenog pucnja-salva od 19s odjednom</t>
  </si>
  <si>
    <t>mỏ lấp lánh bạc để màu xanh lá cây crossette-19sh salvo cùng nhau</t>
  </si>
  <si>
    <t>sidabrinė blizganti mina su žaliais persikertančiais šūviais, 19 šūvių kartu</t>
  </si>
  <si>
    <t>žuti rozi plavi efekti i srebrna svjetlucajuća mina - 19 pucnjeva odjednom</t>
  </si>
  <si>
    <t>limone,rosa,blu mare w.argento scintillante miniera-19sh salvo insieme</t>
  </si>
  <si>
    <t>limun, roze, morsko plava sa srebrnim svetlucavim pucnjem-salva od 19s odjednom</t>
  </si>
  <si>
    <t>chanh, hồng, xanh biển cùng với tấm vải lụa lấp lánh mine-19sh salvo</t>
  </si>
  <si>
    <t>citrinos, rožinės ir jūros mėlynumo spalvų blizganti mina su sidabru, 19 šūvių kartu</t>
  </si>
  <si>
    <t>srebrna kometa sa crvenim vrhovima - 19 pucnjeva odjednom</t>
  </si>
  <si>
    <t>cometa d'argento w.red tip-19sh salvo insieme</t>
  </si>
  <si>
    <t>srebrna kometa sa crvenim vrhom-salva od 19s odjednom</t>
  </si>
  <si>
    <t>sao chổi bạc w.red tip-19sh salvo cùng nhau</t>
  </si>
  <si>
    <t>sidabrinė kometa su raudonu viršum, 19 šūvių kartu</t>
  </si>
  <si>
    <t>plava mina sa zelenom kometom - 19 pucnjeva odjednom</t>
  </si>
  <si>
    <t>miniera blu w.green cometa-19sh salvo insieme</t>
  </si>
  <si>
    <t>plava mina sa zelenom kometom-salva od 19s odjednom</t>
  </si>
  <si>
    <t>(blue mine) w.green Comet-19sh salvo cùng nhau</t>
  </si>
  <si>
    <t>mėlyna mina su žalia kometa, 19 šūvių kartu</t>
  </si>
  <si>
    <t>crvena svjetlucajuća mina i zlatna svjetlucajuća kometa sa crvenim svjetlucavim vrhovima - 19 
pucnjeva odjednom</t>
  </si>
  <si>
    <t>rosso scintillante mia alla cometa luccicante d'oro w.red scintillante punta-19sh salvo insieme</t>
  </si>
  <si>
    <t>crveno blistava mina do zlatno svetlucave komete sa crvenim svetlucavim vrhom-salva od 19s odjednom</t>
  </si>
  <si>
    <t>mỏ lấp lánh đỏ đến sao chổi lấp lánh vàng w.red lấp lánh tip-19sh salvo cùng nhau</t>
  </si>
  <si>
    <t>raudona blizganti mina su auksine blizgančia kometa ir raudonu blizgančiu viršum, 19 šūvių kartu</t>
  </si>
  <si>
    <t>srebrna svjetlucajuća mina sa ljubičastom kometom - 19 pucnjeva odjednom</t>
  </si>
  <si>
    <t>argento scintillante miniera w.purple cometa-19sh salvo insieme</t>
  </si>
  <si>
    <t>srebrno blistava mina sa ljubičastom kometom-salva od 19s odjednom</t>
  </si>
  <si>
    <t>mỏ lấp lánh bạc w. hai sao chổi-19sh salvo cùng nhau</t>
  </si>
  <si>
    <t>sidabrinė blizganti mina su violetine kometa, 19 šūvių kartu</t>
  </si>
  <si>
    <t>crveni svjetlucajući trag i srebrni svjetlucajući vodopad - 19 pucnjeva odjednom</t>
  </si>
  <si>
    <t>coda rosso scintillante a argento scintillante cascata-19sh salvo insieme</t>
  </si>
  <si>
    <t>crveni blistavi rep do srebrno blistavog vodopada-salva od 19s odjednom</t>
  </si>
  <si>
    <t>đuôi lấp lánh màu đỏ đến thác nước lấp lánh bạc-19sh salvo cùng nhau</t>
  </si>
  <si>
    <t>raudona blizganti uodega su sidabriniu blizgančiu kriokliu, 19 šūvių kartu</t>
  </si>
  <si>
    <t>zviždeći trag sa crvenom minom - 19 pucnjeva odjednom</t>
  </si>
  <si>
    <t>fischi coda w.miniera rossa -19sh salvo insieme</t>
  </si>
  <si>
    <t>zviždeći rep sa crvenom minom -salva od 19s odjednom</t>
  </si>
  <si>
    <t>huýt sáo đuôi w.red mine -19sh salvo cùng nhau</t>
  </si>
  <si>
    <t>švilpianti uodega su raudona mina, 19 šūvių kartu</t>
  </si>
  <si>
    <t>srebrni trag i crveni efekt (crossette) - 19 pucnjeva odjednom</t>
  </si>
  <si>
    <t>coda tigre d'argento e croce rossa-19sh salvo insieme</t>
  </si>
  <si>
    <t>srebrni tigrov rep i crveni pucanj-salva od 19s odjednom</t>
  </si>
  <si>
    <t>đuôi hổ bạc và crossette-19sh salvo đỏ cùng nhau</t>
  </si>
  <si>
    <t>sidabrinė tigro uodega su raudonai persikertančiais šūviais, 19 šūvių kartu</t>
  </si>
  <si>
    <t>crveni bljeskajući trag i crvena bljeskajuća vrba - 5 pucnjeva odjednom</t>
  </si>
  <si>
    <t>rosso strobing coda a rosso strobing salice-5sh salvo insieme</t>
  </si>
  <si>
    <t>crveni strob rep do crvene strob vrbe-salva od 5s odjednom</t>
  </si>
  <si>
    <t>màu đỏ vuốt đuôi đến đỏ vuốt ve liễu-5sh salvo cùng nhau</t>
  </si>
  <si>
    <t>raudona mirksinti uodega su raudonu mirksinčiu gluosniu, 5 šūviai kartu</t>
  </si>
  <si>
    <t>pucketajući trag -  5 pucnjeva odjednom</t>
  </si>
  <si>
    <t>crepitio coda-5sh salvo insieme</t>
  </si>
  <si>
    <t>pucketavi rep-salva od 5s odjednom</t>
  </si>
  <si>
    <t>cùng nhau kêu lạch cạch tail-5sh salvo</t>
  </si>
  <si>
    <t>traškanti uodega, 5 šūviai kartu</t>
  </si>
  <si>
    <t>mina zeleni efekt (crossette) -  5 pucnjeva odjednom</t>
  </si>
  <si>
    <t>crossette verde mine-5sh salvo insieme</t>
  </si>
  <si>
    <t>zeleni krst mina-salva od 5s odjednom</t>
  </si>
  <si>
    <t>màu xanh lá cây crossette mine-5sh salvo cùng nhau</t>
  </si>
  <si>
    <t>žalių persikertančių šūvių mina, 5 šūviai kartu</t>
  </si>
  <si>
    <t>zlatni trag -  5 pucnjeva odjednom</t>
  </si>
  <si>
    <t>broccato coda-5sh salvo insieme</t>
  </si>
  <si>
    <t>brokatni rep-salva od 5s odjednom</t>
  </si>
  <si>
    <t>(brocade) tail-5sh salvo cùng nhau</t>
  </si>
  <si>
    <t>brokato uodega, 5 šūviai kartu</t>
  </si>
  <si>
    <t>ljubičasta crvena žuta zelena bijela mina efekt (croassette) -  5 pucnjeva odjednom</t>
  </si>
  <si>
    <t>viola rosso limone verde croce bianca miniera-5sh salvo insieme</t>
  </si>
  <si>
    <t>ljubičasto crveni limun zeleni beli krst mina-salva od 5s odjednom</t>
  </si>
  <si>
    <t>màu tím đỏ chanh xanh trắng crossette mine-5sh salvo cùng nhau</t>
  </si>
  <si>
    <t>violetinių, raudonų, citrininių, žalių ir baltų persikertančių šūvių mina, 5 šūviai kartu</t>
  </si>
  <si>
    <t>mina pucketajući efekt (crossette) -  5 pucnjeva odjednom</t>
  </si>
  <si>
    <t>crossette scoppiettante mine-5sh salvo insieme</t>
  </si>
  <si>
    <t>pucketavi krst mina-salva od 5s odjednom</t>
  </si>
  <si>
    <t>cùng nhau crackling crossette mine-5sh salvo</t>
  </si>
  <si>
    <t>5 šūviai kartu</t>
  </si>
  <si>
    <t>pucketajuća vrba</t>
  </si>
  <si>
    <t>ritardo cracker salice</t>
  </si>
  <si>
    <t>krekeri vrbe sa produženim efektom</t>
  </si>
  <si>
    <t>trì hoãn cracker liễu</t>
  </si>
  <si>
    <t>uždelsto traškėjimo gluosnis</t>
  </si>
  <si>
    <t>crvena krizantema</t>
  </si>
  <si>
    <t>crisantemo rosso</t>
  </si>
  <si>
    <t>crvena hrizantema</t>
  </si>
  <si>
    <t>hoa cúc đỏ</t>
  </si>
  <si>
    <t>raudona chrizantema</t>
  </si>
  <si>
    <t>srebrna bljeskajuća vrba</t>
  </si>
  <si>
    <t>argento strobo salice</t>
  </si>
  <si>
    <t>srebrni strob vrba</t>
  </si>
  <si>
    <t>liễu bạc</t>
  </si>
  <si>
    <t>sidabrinis mirksintis gluosnis</t>
  </si>
  <si>
    <t>srebrni efekt (wave) i crveno</t>
  </si>
  <si>
    <t>onda d'argento al rosso</t>
  </si>
  <si>
    <t>srebrni snop do crvenog</t>
  </si>
  <si>
    <t>sóng bạc chuyển sang đỏ</t>
  </si>
  <si>
    <t>sidabrinė ir raudona banga</t>
  </si>
  <si>
    <t>zeleni trag i zeleni efekt(wave) sa pucketanjem</t>
  </si>
  <si>
    <t>coda verde a onda verde w.crepitio</t>
  </si>
  <si>
    <t>zeleni rep do zelenog snopa sa krekerima</t>
  </si>
  <si>
    <t>đuôi màu xanh lá cây đến làn sóng màu xanh lá cây w.crackling</t>
  </si>
  <si>
    <t>žalia uodega su žalia banga ir traškesiu</t>
  </si>
  <si>
    <t>višeboji efekt (dahlia)</t>
  </si>
  <si>
    <t>srebrni trag i srebrna palma</t>
  </si>
  <si>
    <t>coda d'argento a palma d'argento</t>
  </si>
  <si>
    <t>srebrni rep do srebrne palme</t>
  </si>
  <si>
    <t>đuôi bạc đến cây cọ bạc</t>
  </si>
  <si>
    <t>sidabrinė uodega su sidabrine palme</t>
  </si>
  <si>
    <t>Ti-salice dorato</t>
  </si>
  <si>
    <t>cây liễu vàng</t>
  </si>
  <si>
    <t>auksinis Ti gluosnis</t>
  </si>
  <si>
    <t>srebrni trag i srebrno bljeskanje</t>
  </si>
  <si>
    <t>coda d'argento a strobo d'argento</t>
  </si>
  <si>
    <t>srebrni rep do srebrnog stroba</t>
  </si>
  <si>
    <t>đuôi bạc đến nhấp nháy bạc</t>
  </si>
  <si>
    <t>sidabrinė uodega su sidabriniu mirksėjimu</t>
  </si>
  <si>
    <t>srebrni trag s pucnjem</t>
  </si>
  <si>
    <t>srebrni rep do titanium pucnja</t>
  </si>
  <si>
    <t>đuôi bạc để chào titan</t>
  </si>
  <si>
    <t>Mješani karton sadrži 1x pakiranje S2A,B,D,E,F,G,H,CH,J,L,N,O</t>
  </si>
  <si>
    <t>Il cartone misto contiene 1 confezione di S2A, B,D,E,F,G,H,CH,J,L,N,O</t>
  </si>
  <si>
    <t>Mix po 1 pakovanje: S2A,B,D,E,F,G,H,CH,J,L,N,O</t>
  </si>
  <si>
    <t>Thùng carton hỗn hợp chứa 1 gói S2A, B, D, E, F, G, H, CH, J, L, N, O</t>
  </si>
  <si>
    <t>Rinkinys su S2A,B,D,E,F,G,H,CH,J,L,N,O pakuočių vienetais</t>
  </si>
  <si>
    <t>višebojna krizantema</t>
  </si>
  <si>
    <t>crisantemo colorato</t>
  </si>
  <si>
    <t>višebojna hrizantema</t>
  </si>
  <si>
    <t>hoa cúc đầy màu sắc</t>
  </si>
  <si>
    <t>spalvota chrizantema</t>
  </si>
  <si>
    <t>srebrna bljeskajuća fontana</t>
  </si>
  <si>
    <t>fontana lampeggiante d'argento</t>
  </si>
  <si>
    <t>srebrna svetleća fontana</t>
  </si>
  <si>
    <t>vòi phun lửa nhấp nháy bạc</t>
  </si>
  <si>
    <t>sidabrinis žybsintis fontanas</t>
  </si>
  <si>
    <t>coda d'argento a onda rossa w.crepitio</t>
  </si>
  <si>
    <t>srebrni rep do crvenog snopa sa krekerima</t>
  </si>
  <si>
    <t>đuôi bạc đến làn sóng đỏ w.crackling</t>
  </si>
  <si>
    <t>krizantema s plavim</t>
  </si>
  <si>
    <t>corona crisantemo a blu</t>
  </si>
  <si>
    <t>kruna hrizanteme do plavog</t>
  </si>
  <si>
    <t>vương miện hoa cúc sang màu xanh</t>
  </si>
  <si>
    <t>mėlyna chrizantemos karūna</t>
  </si>
  <si>
    <t>crveni božuri (peony) sa srebrnom palmom u sredini</t>
  </si>
  <si>
    <t>peonia rossa w.silver palm core</t>
  </si>
  <si>
    <t>crveni cvet sa srebrnim jezgrom palme</t>
  </si>
  <si>
    <t>lõi cọ lá mẫu đơn đỏ</t>
  </si>
  <si>
    <t>raudonas bijūnas su sidabrinės palmės centru</t>
  </si>
  <si>
    <t>višebojni božur (peony) sa zlatnom kišom</t>
  </si>
  <si>
    <t>colore acqua peonia w.broccato corona pistillo</t>
  </si>
  <si>
    <t>cvet boje vode sa brokatnom tačkastom krunom</t>
  </si>
  <si>
    <t>màu nước hoa mẫu đơn với nhụy hoa vương miện</t>
  </si>
  <si>
    <t>akvarelinis  bijūnas su brokatinio vainiko piestele</t>
  </si>
  <si>
    <t>krizantema na ljubičasto</t>
  </si>
  <si>
    <t>crisantemo al viola</t>
  </si>
  <si>
    <t>ljubičasta hrizantema</t>
  </si>
  <si>
    <t>hoa cúc đến tím</t>
  </si>
  <si>
    <t>violetinė chrizantema</t>
  </si>
  <si>
    <t>zlatna kiša (corssette)</t>
  </si>
  <si>
    <t>crocette corona di broccato</t>
  </si>
  <si>
    <t>brokatna kruna sa krstom</t>
  </si>
  <si>
    <t>vương miện (brocade) chéo</t>
  </si>
  <si>
    <t>persikertantys brokato vainiko šūviai</t>
  </si>
  <si>
    <t>rozi efekt (dahlia) sa rozim tragovima</t>
  </si>
  <si>
    <t>rosa dahlia w.rosa pistillo</t>
  </si>
  <si>
    <t>roze dalia sa roze tačkama</t>
  </si>
  <si>
    <t>hoa thược dược hồng với nhụy hoa</t>
  </si>
  <si>
    <t>rožinis jurginas su rožine piestele</t>
  </si>
  <si>
    <t>zlatna kiša sa bijelim svjetlucanjem</t>
  </si>
  <si>
    <t>corona di broccato w.white glitter</t>
  </si>
  <si>
    <t>brokatna kruna sa belim sjajem</t>
  </si>
  <si>
    <t>vương miện (brocade) với màu trắng lấp lánh</t>
  </si>
  <si>
    <t>brokato vainikas su baltu blizgesiu</t>
  </si>
  <si>
    <t>ljubičasti efekt (wave) sa zelenim bljeskanjem</t>
  </si>
  <si>
    <t>onda viola con glitter verde</t>
  </si>
  <si>
    <t>ljubičasti snop sa zelenim sjajem</t>
  </si>
  <si>
    <t>sóng màu tím với màu xanh lá cây lấp lánh</t>
  </si>
  <si>
    <t>violetinė banga su žaliu blizgesiu</t>
  </si>
  <si>
    <t>ljubičasti prsten sa pucketanjem na završetku</t>
  </si>
  <si>
    <t>anello viola con pistillo crisantemo</t>
  </si>
  <si>
    <t>ljubičasti prsten sa tačkama hrizanteme</t>
  </si>
  <si>
    <t>nhẫn màu tím với nhụy hoa cúc</t>
  </si>
  <si>
    <t>violetinis žiedas su chrizantemos piestele</t>
  </si>
  <si>
    <t>crven efekt + srebrno svjetlucanje</t>
  </si>
  <si>
    <t>sangue rosso + strobo d'argento</t>
  </si>
  <si>
    <t>krv crvena + srebrni strob</t>
  </si>
  <si>
    <t>máu đỏ + nhấp nháy bạc</t>
  </si>
  <si>
    <t>kraujo raudonumo ir sidabrinis mirksėjimas</t>
  </si>
  <si>
    <t>crvena palma sa srebrnim bljeskajućim završetkom</t>
  </si>
  <si>
    <t>rosso coco w.argento strobing pistillo</t>
  </si>
  <si>
    <t>crveni kokos sa srebrnim strob tačkama</t>
  </si>
  <si>
    <t>bông hoa sen đỏ</t>
  </si>
  <si>
    <t>raudonas kokosas su sidabrine mirksinčia piestele</t>
  </si>
  <si>
    <t>žuti efekt (crossette) + ljubičasti efekt (crossette)</t>
  </si>
  <si>
    <t>crocette al limone+crossette viola</t>
  </si>
  <si>
    <t>limun krst + ljubičasti krst</t>
  </si>
  <si>
    <t>crossette chanh + crossette tím</t>
  </si>
  <si>
    <t>citrininiai ir violetiniai persikertantys šūviai</t>
  </si>
  <si>
    <t>crveni efekt (wave crossette)</t>
  </si>
  <si>
    <t>crocette onda rossa</t>
  </si>
  <si>
    <t>crveni snop sa krstom</t>
  </si>
  <si>
    <t>gạch chéo sóng đỏ</t>
  </si>
  <si>
    <t>raudona banga persikertančiais šūviais</t>
  </si>
  <si>
    <t>Mješani karton sadrži-premium kvaliteta (svaka kutija uključuje: srebrni trag i crveni efekt-wave 
sa pucketanjem, svjetlucava kiša sa plavima, srebrni trag i srebrno bljeskanje, pucketajuća vrba, 
zlatna vrba, srebrni trag i srebrna palma)</t>
  </si>
  <si>
    <t>Il cartone misto contiene una qualità premiun (ogni scatola include: coda d'argento all'onda rossa w.crackling, corona di fiori chrysant.to blu, coda d'argento allo strobo d'argento, salice del cracker di ritardo, salice ti dorato, coda d'argento alla palma d'argento)</t>
  </si>
  <si>
    <t>Mix sadrži prvoklasni kvalitet (svaka kutija uključuje: srebrni rep do crvenog snopa s pucketanjem, cvetna kruna hrizantema do plave boje, srebrni rep do srebrnog stroba, vrba kreker sa produženim efektom, zlatna titanium vrba, srebrni rep do srebrne palme)</t>
  </si>
  <si>
    <t>Thùng carton hỗn hợp có chứa chất lượng tốt (mỗi hộp bao gồm: đuôi bạc đến sóng đỏ w.crackling, vương miện hoa chrysant. Đến xanh lam, đuôi bạc đến ánh bạc, liễu bẻ khóa, liễu ti vàng, đuôi bạc đến cây cọ bạc)</t>
  </si>
  <si>
    <t xml:space="preserve">Aukščiausios kokybės rinkinyje yra: sidabrinė uodega su raudona traškančia banga, chrizantemos karūna pereinanti į mėlyną, sidabrinę uodegą su sidabriniu mirksėjimu, uždelsto traškesio gluosnis, auksinis Ti gluosnis, sidabrinė uodega su sidabrine palme </t>
  </si>
  <si>
    <t>Mješani karton sadrži:  S4W zlatni efekt -wave sa crvenim,  S4N/A zlatna vrba, S4R zeleni božur 
(peony)  sa zlatnim završecima i zlatnim tragovima,  S4C svjetlucajuća palma</t>
  </si>
  <si>
    <t>Il cartone misto contiene: onda dorata S4W al rosso, salice ti dorato S4N / A, peonia verde S4R con pistillo di corrola con tronco di broccato, glitter S4C.palm tree</t>
  </si>
  <si>
    <t>Mix sadrži: S4W zlatni snop do crvene boje, S4N / A zlatna titanium vrba, S4R zeleni cvet sa brokatnim stablom, S4C svjetlucanje</t>
  </si>
  <si>
    <t>Thùng carton hỗn hợp chứa: S4W sóng vàng đến đỏ, S4N / A liễu ti vàng, hoa mẫu đơn xanh S4R với nhụy hoa corrola với thân cây (brocade), cây S4C long lanh.</t>
  </si>
  <si>
    <t>Rinkinyje yra: S4W auksinė ir raudona banga, S4N/A auksinis Ti gluosnis, S4R žalias bijūnas su vainiko piestele ir brokato kamienu,  S4C blizganti palmė</t>
  </si>
  <si>
    <t>crveni/žuti efekt (dahlia)</t>
  </si>
  <si>
    <t>dahlia rosso/limone</t>
  </si>
  <si>
    <t>crvena / limun dalija</t>
  </si>
  <si>
    <t>thược dược đỏ / chanh</t>
  </si>
  <si>
    <t>raudonas/citrininis jurginas</t>
  </si>
  <si>
    <t>crveni efekt (wave) sa pucketanjem</t>
  </si>
  <si>
    <t>onda rossa w.crepitio</t>
  </si>
  <si>
    <t>crveni snop sa pucketanjem</t>
  </si>
  <si>
    <t>làn sóng đỏ w.crackling</t>
  </si>
  <si>
    <t>raudona traškanti banga</t>
  </si>
  <si>
    <t>svjetlucajuća palma</t>
  </si>
  <si>
    <t>glitter.palma</t>
  </si>
  <si>
    <t xml:space="preserve">svetlucava palma </t>
  </si>
  <si>
    <t>cây glitter.palm</t>
  </si>
  <si>
    <t>blizganti palmė</t>
  </si>
  <si>
    <t>zlatna vrba sa različitim svjetlucanjem u boji</t>
  </si>
  <si>
    <t>salice di titanio oro w.glitter colore assortito</t>
  </si>
  <si>
    <t>zlatna titanijumska vrba sa višebojnim svetlucanjem</t>
  </si>
  <si>
    <t>vàng titan liễu w. phân loại màu lấp lánh</t>
  </si>
  <si>
    <t>auksinis titano gluosnis su ivairiu spalvotu blizgesiu</t>
  </si>
  <si>
    <t>srebrno/bijela krizantema sa pucketajućom palmom</t>
  </si>
  <si>
    <t>crisantemo di titanio scoppiettante al palmo scoppiettante in titanio</t>
  </si>
  <si>
    <t>titanium pucketava hrizantema do titanijum palme</t>
  </si>
  <si>
    <t>hoa cúc titan kêu răng rắc</t>
  </si>
  <si>
    <t>traškanti titano chrizantema su traškančia titano palme</t>
  </si>
  <si>
    <t>srebrni bljeskajući vodopad</t>
  </si>
  <si>
    <t>srebrna blistava fontana</t>
  </si>
  <si>
    <t>zlatna kiša sa crvenim svjetlucajućim centrom</t>
  </si>
  <si>
    <t>corona di fiori con pistillo glitter rosso</t>
  </si>
  <si>
    <t>cvetna kruna sa crvenim svetlucavim tačkama</t>
  </si>
  <si>
    <t>vương miện hoa với nhụy đỏ long lanh</t>
  </si>
  <si>
    <t>gėlių karūna su raudona blizgančia piestele</t>
  </si>
  <si>
    <t>efekt (crossette) pola crvena/zelena</t>
  </si>
  <si>
    <t>mezza crossette rosso/verde</t>
  </si>
  <si>
    <t>pola crveni pola zeleni krst</t>
  </si>
  <si>
    <t>dấu chéo nửa đỏ / xanh lá cây</t>
  </si>
  <si>
    <t>persikertantys raudoni ir žali šūviai</t>
  </si>
  <si>
    <t>pucketajuća palma</t>
  </si>
  <si>
    <t>crepitio nishiki kamuro</t>
  </si>
  <si>
    <t>pucketavi nishiki kamuro</t>
  </si>
  <si>
    <t>nishiki kamuro tanh tách</t>
  </si>
  <si>
    <t>traškantis nishiki kamuro</t>
  </si>
  <si>
    <t>srebrna kiša sa crvenim završecima</t>
  </si>
  <si>
    <t>corona d'argento w.pistillo rosso</t>
  </si>
  <si>
    <t>srebrna kruna sa crvenim tačkama</t>
  </si>
  <si>
    <t>vương miện bạc với nhụy hoa</t>
  </si>
  <si>
    <t>sidabrinė karūna su raudona piestele</t>
  </si>
  <si>
    <t>crveno+srebrno bljeskanje</t>
  </si>
  <si>
    <t>sangue rosso+argento strobo</t>
  </si>
  <si>
    <t>srebrno bljeskanje</t>
  </si>
  <si>
    <t>strobo d'argento</t>
  </si>
  <si>
    <t>srebrni strob</t>
  </si>
  <si>
    <t>ánh bạc</t>
  </si>
  <si>
    <t>sidabrinis mirksėjimas</t>
  </si>
  <si>
    <t>crveno bljeskanje</t>
  </si>
  <si>
    <t>speciale strobo rosso</t>
  </si>
  <si>
    <t>posebna strob crvena</t>
  </si>
  <si>
    <t>đặc biệt màu đỏ</t>
  </si>
  <si>
    <t>ypatingas raudonas mirksėjimas</t>
  </si>
  <si>
    <t>zeleni božur(peony) sa zlatnim završecima i zlatnim tragom</t>
  </si>
  <si>
    <t>peonia verde con pistillo di corrola con tronco di broccato</t>
  </si>
  <si>
    <t>zeleni cvet sa tačkastim vencem sa brokatnim stablom</t>
  </si>
  <si>
    <t>hoa mẫu đơn xanh với nhụy hoa corrola với thân cây bằng (brocade)</t>
  </si>
  <si>
    <t>žalias bijūnas su vainiko piestele ir brokato kamienu</t>
  </si>
  <si>
    <t>srebrni efekt (wave) i plavo sa pucketanjem</t>
  </si>
  <si>
    <t>onda d'argento al blu w.crepitio</t>
  </si>
  <si>
    <t>srebrni snop do plave boje sa pucketanjem</t>
  </si>
  <si>
    <t>sóng bạc đến sóng biển xanh</t>
  </si>
  <si>
    <t>sidabrinė ir mėlyna banga su traškesiu</t>
  </si>
  <si>
    <t>ljubičasti efekt(crossette)</t>
  </si>
  <si>
    <t>crossette viola</t>
  </si>
  <si>
    <t>ljubičasti krst</t>
  </si>
  <si>
    <t>dấu chéo màu tím</t>
  </si>
  <si>
    <t>violetiniai persikertantys šūviai</t>
  </si>
  <si>
    <t>zlatna kiša (crossette)</t>
  </si>
  <si>
    <t>crossette corona di broccato</t>
  </si>
  <si>
    <t>brokatna kruna krst</t>
  </si>
  <si>
    <t>brokato vainiko persikertantys šūviai</t>
  </si>
  <si>
    <t>zlatni efekt (wave) na crveno</t>
  </si>
  <si>
    <t>onda d'oro al rosso</t>
  </si>
  <si>
    <t>zlatni snop do crvene boje</t>
  </si>
  <si>
    <t>sóng vàng đến đỏ</t>
  </si>
  <si>
    <t>auksinė ir raudona banga</t>
  </si>
  <si>
    <t>crisantemo  colorato</t>
  </si>
  <si>
    <t>šarene hrizanteme</t>
  </si>
  <si>
    <t>srebrna vrba sa crvenim završecima</t>
  </si>
  <si>
    <t>salice d'argento w.pistillo rosso</t>
  </si>
  <si>
    <t>srebrna vrba sa crvenim tačkama</t>
  </si>
  <si>
    <t>nhụy hoa liễu bạc</t>
  </si>
  <si>
    <t>sidabrinis gluosnis su raudona piestele</t>
  </si>
  <si>
    <t>srebrni trag i crveni božur (peony) sa srebrnim palma završetkom</t>
  </si>
  <si>
    <t>coda d'argento a peonia rossa w.pistillo di palma d'argento</t>
  </si>
  <si>
    <t>srebrni rep do crvenog cveta sa srebrnom palmom</t>
  </si>
  <si>
    <t>đuôi bạc đến hoa mẫu đơn đỏ với nhụy hoa cọ</t>
  </si>
  <si>
    <t>sidabrinė uodega su raudonu jurginu ir sidabrinės palmės piestele</t>
  </si>
  <si>
    <t>crveni efekt (gamboge) i pcrvena, plava krizantema, crveni prsten</t>
  </si>
  <si>
    <t xml:space="preserve">gamboge rosso a rosso a blu chrys.to anello ragno rosso </t>
  </si>
  <si>
    <t>crveni gamboge do crvenog do plave hrizanteme do crvenog paukovog prstena</t>
  </si>
  <si>
    <t xml:space="preserve">gamboge đỏ đến đỏ đến xanh chrys. đến vòng nhện đỏ </t>
  </si>
  <si>
    <t>raudonas gamboge su raudona ir mėlyna chrizantema ir raudonu voro žiedu</t>
  </si>
  <si>
    <t>crveni božur(peony) na zlato</t>
  </si>
  <si>
    <t>peonia rossa a broccato</t>
  </si>
  <si>
    <t>crveni cvet do brokata</t>
  </si>
  <si>
    <t>hoa mẫu đơn đỏ (brocade)</t>
  </si>
  <si>
    <t>raudonas jurginas su brokatu</t>
  </si>
  <si>
    <t>palma sa bljeskajućim božurom(peony)</t>
  </si>
  <si>
    <t>pistillo di palma con acqua peonia</t>
  </si>
  <si>
    <t>tačkasta palma sa cvetom boje vode</t>
  </si>
  <si>
    <t>nhụy cọ với hoa mẫu đơn</t>
  </si>
  <si>
    <t>palmės piestelė su vandens jurginu</t>
  </si>
  <si>
    <t>plave prsten sa krizantema završetkom</t>
  </si>
  <si>
    <t>anello blu con pistillo crisantemo</t>
  </si>
  <si>
    <t>plavi prsten sa tačkasom hrizantemom</t>
  </si>
  <si>
    <t>vòng màu xanh với nhụy hoa cúc</t>
  </si>
  <si>
    <t>mėlynas žiedas su chrizantemos piestele</t>
  </si>
  <si>
    <t>salice strobo rosso</t>
  </si>
  <si>
    <t>crvena strob vrba</t>
  </si>
  <si>
    <t>liễu đỏ</t>
  </si>
  <si>
    <t>raudonas mirksintis gluosnis</t>
  </si>
  <si>
    <t>srebrni tragovi sa crvenim završecima</t>
  </si>
  <si>
    <t>rosso tre spade uomo</t>
  </si>
  <si>
    <t>crvena sa mačevima</t>
  </si>
  <si>
    <t>ba thanh kiếm đỏ</t>
  </si>
  <si>
    <t>raudonas trijų kalavijų vyras</t>
  </si>
  <si>
    <t>narančasti efekt (wave) na zeleno</t>
  </si>
  <si>
    <t>onda arancione al verde</t>
  </si>
  <si>
    <t>narandžasti snop do zelene boje</t>
  </si>
  <si>
    <t>làn sóng màu cam đến màu xanh lá cây</t>
  </si>
  <si>
    <t>oranžinė ir žalia banga</t>
  </si>
  <si>
    <t>zlatna kiša sa višebojnim završecima</t>
  </si>
  <si>
    <t>corona di broccato a colori</t>
  </si>
  <si>
    <t>brokatna kruna u boji</t>
  </si>
  <si>
    <t>vương miện (brocade) màu</t>
  </si>
  <si>
    <t>spalvotas brokato vainikas</t>
  </si>
  <si>
    <t>pucketajući efekt (wave) sa crvenim završecima</t>
  </si>
  <si>
    <t>onda scoppiettante al rosso</t>
  </si>
  <si>
    <t>pucketavi snop do crvene boje</t>
  </si>
  <si>
    <t>sóng nứt nẻ chuyển sang màu đỏ</t>
  </si>
  <si>
    <t>traškanti raudona banga</t>
  </si>
  <si>
    <t>srebrna palma sa pucketajućim centrom</t>
  </si>
  <si>
    <t>coco d'argento con pistillo pioggia scoppiettante</t>
  </si>
  <si>
    <t>srebrni kokos sa praskavim kišnim tačkama</t>
  </si>
  <si>
    <t>kén bạc w / nhụy hoa mưa tí tách</t>
  </si>
  <si>
    <t>sidabrinis koksas su traškančia lietaus piestele</t>
  </si>
  <si>
    <t>pucketajući vodopad</t>
  </si>
  <si>
    <t>cascata scoppiettante</t>
  </si>
  <si>
    <t>thác nước chảy róc rách</t>
  </si>
  <si>
    <t>traškantis krioklys</t>
  </si>
  <si>
    <t>pucketajuća vrba (crossette)</t>
  </si>
  <si>
    <t>crossette di salice scoppiettante</t>
  </si>
  <si>
    <t>pucketajuće vrbe sa krstovima</t>
  </si>
  <si>
    <t>cây liễu kêu răng rắc</t>
  </si>
  <si>
    <t>traškantis persikertančių šūvių gluosnis</t>
  </si>
  <si>
    <t>srebrni virovi sa crvenim efektom (crossette)</t>
  </si>
  <si>
    <t>anello drago d'argento+crossette rossa (cilindro)</t>
  </si>
  <si>
    <t>srebrni zmajev prsten + crveni krst (cilindar)</t>
  </si>
  <si>
    <t>nhẫn rồng bạc + dấu thập đỏ (hình trụ)</t>
  </si>
  <si>
    <t>sidabrinis drakono žiedas ir raudoi persikertantys šūviai (cilindras)</t>
  </si>
  <si>
    <t>srebrna pucketajuća palma sa srvenim bljeskanjem i pucketajućim tragom</t>
  </si>
  <si>
    <t>argento crepitio coco w /rosso strobo fino argento scoppiettante coda tigre</t>
  </si>
  <si>
    <t>srebrni pucketavi kokos sa crvenim strobom i srebrni pucketavi tigrov rep</t>
  </si>
  <si>
    <t>bạc crackling coco w / đỏ nhấp nháy lên bạc răng hổ kêu răng rắc</t>
  </si>
  <si>
    <t>sidabrinis traškantis kokosas su raudonu mirksėjimu ir sidabrine traškančia tigro uodega</t>
  </si>
  <si>
    <t>Mješani karton sadrži-premium kvaliteta-svako pakiranje uključuje: S4L crveno+srebrno bljeskanje, 
S4CH kiša sa crvenim svjetlucavim završecima, S4Z/8 zlatn akiša sa višebojnim vrhovima, S4Z/7 
narančasti efekt(wave) na zeleno</t>
  </si>
  <si>
    <t>Il cartone misto contiene una qualità premium per ogni scatola, tra cui: strobo rosso sangue S4L + argento, corona di fiori S4CH con pistillo glitter rosso, corona di broccato S4Z / 8 a colori, onda arancione S4Z / 7 al verde</t>
  </si>
  <si>
    <t>Mix sadrži vrhunski kvalitet: S4L krv crvena + srebrni strob, S4CH cvetna kruna s crvenim svetlucavim tačkama, S4Z / 8 brokatna kruna u boju, S4Z / 7 narandžasti snop do zelene</t>
  </si>
  <si>
    <t>Thùng carton hỗn hợp chứa-chất lượng cao cấp-mỗi hộp bao gồm: S4L đỏ huyết + ánh bạc, vương miện hoa S4CH với nhụy đỏ lấp lánh, vương miện (brocade) S4Z / 8 sang màu, sóng cam S4Z / 7 đến xanh</t>
  </si>
  <si>
    <t>Aukščiausios kokybės rinkinyje yra: S4L kraujo raudonumo ir sidabrinis mirksėjimas, S4CH gėlių karūna su raudona blizgančia piestele , S4Z/8 spalvotas brokato vainikas, S4Z/7 oranžinė ir žalia banga</t>
  </si>
  <si>
    <t>pucketajući efekt (crossette)</t>
  </si>
  <si>
    <t xml:space="preserve">crocette scoppiettante </t>
  </si>
  <si>
    <t>krekling krst</t>
  </si>
  <si>
    <t xml:space="preserve">bánh quy giòn </t>
  </si>
  <si>
    <t>traškantys persikertantys šūviai</t>
  </si>
  <si>
    <t>srebrna paučina sa bljeskajućim završecima</t>
  </si>
  <si>
    <t xml:space="preserve">ragno d'argento w.strobo pistillo </t>
  </si>
  <si>
    <t>srebrni pauk sa strob tačkama</t>
  </si>
  <si>
    <t xml:space="preserve">Nhện bạc với nhụy hoa </t>
  </si>
  <si>
    <t>sidabrinis voras su mirksinčia piestele</t>
  </si>
  <si>
    <t>srebrna bljeskajuća palma sa crvenim efektom (crossette)</t>
  </si>
  <si>
    <t xml:space="preserve">argento scintillante coco crossette rosso </t>
  </si>
  <si>
    <t>srebrno svetlucanje crvenog kokos krsta</t>
  </si>
  <si>
    <t xml:space="preserve">ánh bạc lấp lánh màu đỏ coco crossette </t>
  </si>
  <si>
    <t>sidabru blizgantis raudonas kokosas persikertančiais šūviais</t>
  </si>
  <si>
    <t xml:space="preserve">Ti-salice dorato </t>
  </si>
  <si>
    <t xml:space="preserve">cây liễu vàng </t>
  </si>
  <si>
    <t>kreling nishiki kamuro</t>
  </si>
  <si>
    <t>zlatna kiša</t>
  </si>
  <si>
    <t>corona di broccato</t>
  </si>
  <si>
    <t>brokatni krst</t>
  </si>
  <si>
    <t>vương miện (brocade)</t>
  </si>
  <si>
    <t>brokato vainikas</t>
  </si>
  <si>
    <t>srebrni prsten sa plavim centrom , zlatna kiša sa pucketanjem</t>
  </si>
  <si>
    <t>anello d'argento pistillo blu a corona di broccato con anello crisantemo pistillo</t>
  </si>
  <si>
    <t>plave tačke srebrnog prstena do brokatne krune s prstenasto tačkastom hrizantemom</t>
  </si>
  <si>
    <t>nhẫn bạc nhụy xanh để vương miện (brocade) với nhẫn nhụy hoa cúc</t>
  </si>
  <si>
    <t>mėlyna piestelė, sidabrinis žiedas su brokato vainiku ir chrizantemos žiedo piestele</t>
  </si>
  <si>
    <t>zlatna pucketajuća kiša sa plavim završecima i  zelenim svjetlucajućim centrom</t>
  </si>
  <si>
    <t>broccato delay cracker a blu con pistil glitter verde</t>
  </si>
  <si>
    <t>brokatni krekeri sa produženim efektom do plave boje sa zelenim svetlucavim tačkama</t>
  </si>
  <si>
    <t>(brocade) trì hoãn cracker màu xanh lam với màu xanh lá cây lấp lánh nhụy hoa</t>
  </si>
  <si>
    <t>uždelsto traškėjimo brokatas su mėlyno ir žalio blizgesio piestele</t>
  </si>
  <si>
    <t>pucketajuća palma sa višebojnim pucketajućim centrom</t>
  </si>
  <si>
    <t>crepitio coco con colore strobo pistillo</t>
  </si>
  <si>
    <t>pucketavi kokos sa strob tačkama</t>
  </si>
  <si>
    <t>crackling coco w / nhụy hoa màu nhấp nháy</t>
  </si>
  <si>
    <t>traškantis kokosas su spalvota mirksinčia piestele</t>
  </si>
  <si>
    <t>Miješani karton sadrži: S5K zlatna kiša(3kom), S5Q zlatna kiša sa krizantemom(3kom), S5N srebrni 
prsten sa plavim centrom i zlatna kiša sa prestenom i krizantemom u centru(3kom), S5O zlatna pucketajuća kiša sa plavim završecima i  zelenim svjetlucajućim centrom(3kom), S5P srebrne i crvene zvjezdice sa plavim sentrom(2kom), S5B pucketajući efekt-crossette(2kom)</t>
  </si>
  <si>
    <t>Il cartone misto contiene: corona di broccato S5K(3pc), corona di broccato S5Q con crisantemo a otto angoli (3pc), anello d'argento pistillo blu S5N alla corona di broccato con pistillo di crisantemo ad anello(3pc) 3pc), cracker di ritardo del broccato S5O in blu con pistillo glitter verde (3pc), argento S5P a stelle rosse da nuoto con pistillo blu (2pc), crosette scoppiettante S5B (2pc)</t>
  </si>
  <si>
    <t>Mix sadrži: krunu od brokata S5K (3kom), krunu od brokata S5Q sa osmouglom hrizantemom (3kom), srebrni prsten od plavih tačaka S5N do krunice od brokata s prstenom od tačkastog krsta (3kom), brokatni kreker sa produženim efektom S5O do plave boje sa zelenim svetlucavim tačkama (3kom) ), S5P srebrne do crvene plivajuće zvezde s plavim tačkama (2kom), S5B pucketavi krst (2kom)</t>
  </si>
  <si>
    <t>Thùng carton hỗn hợp chứa: vương miện (brocade) S5K (3pc), vương miện (brocade) S5Q với hoa cúc tám góc (3pc), nhẫn bạc nhụy xanh S5N đến vương miện (brocade) với nhẫn có nhụy hoa cúc (3pc), bánh quy trễ (brocade) S5O sang xanh với nhụy xanh lục (3pc) ), S5P màu bạc đến đỏ sao bơi với nhụy xanh (2pc), S5B Crackling crosette (2pc)</t>
  </si>
  <si>
    <t>Rinkinyje yra: S5K brokato vainiko 3 vienetai, S5Q brokato vainiko su 8 kampų chrizantema 3 vienetai, S5N mėlyna piestelė, sidabrinis žiedas su brokato vainiku ir chrizantemos piestelės žiedu 3 vienetai, S5O uždelstas brokato traškėjimas su mėlyna ir žalia blizgančia piestele 3 vienetai, S5P sidabrinės ir raudonos plaukiančios žvaigždės su mėlyna piestele 2 vienetai, S5B traškantys persikertantys šūviai 2 vienetai</t>
  </si>
  <si>
    <t>Miješani karton sadrži: S6CH zlatni efekt-wave sa ljubičastim božurima i dvostrukim prstenovima i 
narančastim bljeskajućim centrom(2kom), S6H višebojna krizantema(2kom), S6S srebrni trag i srebrna palma(2kom), S6O višebojni efekt- dahlia(1kom), S6K crveno svjetlucanje sa zlatnom kišom(2kom)</t>
  </si>
  <si>
    <t>Il cartone misto contiene: S6CH gold wave w.purple peony double rings to special orange strobing pistil(2pc), S6H color chrysanthemum(2pc), S6S silver tail to silver palm(2pc), S6O colorfull dahlia(1pc), S6K red glitter w.brocade crown(2pc)</t>
  </si>
  <si>
    <t>Mix sadrži: S6CH zlatni snop s ljubičastim dvostrukim prstenovima do posebnih narandžastih strob tačaka(2kom), hrizanteme u boji S6H (2kom), srebrni rep S6S do srebrne palme(2kom), dalija S6O u boji (1 kom), S6K crveni sjaj sa brokatnom krunom(2kom)</t>
  </si>
  <si>
    <t>Thùng hỗn hợp chứa: S6CH sóng vàng với nhẫn đôi hoa mẫu đơn đến nhụy hoa màu cam đặc biệt (2pc), hoa cúc màu S6H (2pc), đuôi bạc S6S đến cọ bạc (2pc), thược dược màu S6O (1pc), S6K đỏ long lanh w vương miện .brocade (2pc)</t>
  </si>
  <si>
    <t>Rinkinyje yra: S6CH auksinė banga su dvigubais violetinio bijūno žiedais ir ypatinga oranžine mirksinčia piestele 2 vienetai, S6H spalvota chrizantema 2 vienetai, S6S sidabrinė uodega su sidabrine palme 2 vienetai, S6O spalvotas jurginas 1 vienetas, S6K raudonas blizgesys su brokato vainiku 2 vienetai</t>
  </si>
  <si>
    <t>krizantema sa crvenim zmijicama</t>
  </si>
  <si>
    <t>crisantemo alla stella rossa errante</t>
  </si>
  <si>
    <t>hrizantema do crvenih šetajućih zvezdica</t>
  </si>
  <si>
    <t>hoa cúc đến ngôi sao lang thang đỏ</t>
  </si>
  <si>
    <t>chrizantema su raudona klajojančia žvaigžde</t>
  </si>
  <si>
    <t>zlatni pucketajući vodopad</t>
  </si>
  <si>
    <t>tempo pioggia salice fontana</t>
  </si>
  <si>
    <t>kišna vrba fontana</t>
  </si>
  <si>
    <t>thời gian mưa liễu vòi phun lửa</t>
  </si>
  <si>
    <t>lietus ir gluosnio fontanas</t>
  </si>
  <si>
    <t>srebrno crveni efekti</t>
  </si>
  <si>
    <t>fantasma argento a rosso</t>
  </si>
  <si>
    <t>duh srebro do crvene boje</t>
  </si>
  <si>
    <t>bạc ma đến đỏ</t>
  </si>
  <si>
    <t>sidabrinis ir raudonas vaiduoklis</t>
  </si>
  <si>
    <t>colore crisantemo</t>
  </si>
  <si>
    <t>hrizantema u boji</t>
  </si>
  <si>
    <t>hoa cúc màu</t>
  </si>
  <si>
    <t>crveno svjetlucanje sa zlatnom kišom</t>
  </si>
  <si>
    <t>rosso glitter w.broccato corona</t>
  </si>
  <si>
    <t>crveni sjaj s brokatnom krunom</t>
  </si>
  <si>
    <t>màu đỏ long lanh w. vương miện bằng vải</t>
  </si>
  <si>
    <t>raudonas blizgesys su brokato vainiku</t>
  </si>
  <si>
    <t xml:space="preserve">coda d'argento al palmo d'argento </t>
  </si>
  <si>
    <t xml:space="preserve">đuôi bạc đến (palm) bạc </t>
  </si>
  <si>
    <t>kiša sa bljeskajućim centrom</t>
  </si>
  <si>
    <t>nishiki kamuro flash pistillo</t>
  </si>
  <si>
    <t>nishiki kamuro fleš tačke</t>
  </si>
  <si>
    <t>nhụy hoa nishiki kamuro flash</t>
  </si>
  <si>
    <t>nishiki kamuro žybsinti piestelė</t>
  </si>
  <si>
    <t>srebrno svjetlucanje</t>
  </si>
  <si>
    <t>argento scintillante</t>
  </si>
  <si>
    <t>srebrno blistavo</t>
  </si>
  <si>
    <t>bạc lấp lánh</t>
  </si>
  <si>
    <t>sidabrinis blizgėjimas</t>
  </si>
  <si>
    <t>S6A/P(9)</t>
  </si>
  <si>
    <t>zeleni prsten s pucketajućim efektom (crossette)</t>
  </si>
  <si>
    <t>anello verde w.chry crossette scoppiettante</t>
  </si>
  <si>
    <t>zeleni prsten sa pucketavom krst hrizantemom</t>
  </si>
  <si>
    <t>vòng màu xanh lá cây với thánh giá nứt nẻ</t>
  </si>
  <si>
    <t>žalias žiedas su chry traškančiais persikertančiais šūviais</t>
  </si>
  <si>
    <t>crveno zeleno žuto padajuće lišće</t>
  </si>
  <si>
    <t>foglie cadenti giallo rosso verde</t>
  </si>
  <si>
    <t>lá đỏ xanh vàng rơi</t>
  </si>
  <si>
    <t>raudoni, žali, geltoni krentantys lapai</t>
  </si>
  <si>
    <t>konjski rep</t>
  </si>
  <si>
    <t>super coda di cavallo</t>
  </si>
  <si>
    <t>super konjski rep</t>
  </si>
  <si>
    <t>siêu ngựa đuôi</t>
  </si>
  <si>
    <t>super  iga ir plati arklio uodega</t>
  </si>
  <si>
    <t>zlatna svjetlucava vrba sa pucketajućim centrom</t>
  </si>
  <si>
    <t>salice di titanio oro con pistillo scoppiettante</t>
  </si>
  <si>
    <t>zlatna vrba od titaniuma sa pucketavim tačkama</t>
  </si>
  <si>
    <t>cây liễu titan vàng có nhụy</t>
  </si>
  <si>
    <t>auksinis titano gluosnis su traškančia piestele</t>
  </si>
  <si>
    <t>zlatni efket(wave) sa ljubičastim božurom(peony) dvostruki prsten sa narančastim bljeskajućim centrom</t>
  </si>
  <si>
    <t xml:space="preserve">onda d'oro w.viola peonia doppi anelli a speciale arancio strobing pistillo </t>
  </si>
  <si>
    <t>zlatni snop s ljubičastim cvetnim dvostrukim prstenovima do posebnog narandžastog stroba</t>
  </si>
  <si>
    <t xml:space="preserve">sóng vàng w. nhẫn đôi hoa mẫu đơn đến nhụy hoa màu cam đặc biệt </t>
  </si>
  <si>
    <t>auksinė banga su dvigubais violetinio bijūno žiedais ir ypatinga oranžine mirksinčia piestele</t>
  </si>
  <si>
    <t>srebrni trag i crveni efekti (wave)</t>
  </si>
  <si>
    <t>coda d'argento a migliaia di onde rosse</t>
  </si>
  <si>
    <t>srebrni rep do hiljade crvenih snopova</t>
  </si>
  <si>
    <t>đuôi bạc đến ngàn con sóng đỏ</t>
  </si>
  <si>
    <t>sidabrinė uodega su tūkstančiu raudonų bangų</t>
  </si>
  <si>
    <t>srebrno svjetlucajuća palma sa crvenim efektom (crossette)</t>
  </si>
  <si>
    <t>argento scintillante rosso coco crossettte</t>
  </si>
  <si>
    <t xml:space="preserve">srebrno svetlucavi crveni kokos krst </t>
  </si>
  <si>
    <t>bạc lấp lánh màu đỏ coco crossettte</t>
  </si>
  <si>
    <t>sidabrinis ir raudonas blizgantis kokosas su persikertančiais šūviais</t>
  </si>
  <si>
    <t>višebojni efekt (dahlia) sa bljeskajućim centrom</t>
  </si>
  <si>
    <t>colore dahlia con pistillo stroboscopico</t>
  </si>
  <si>
    <t>dalija u boji sa strob tačkama</t>
  </si>
  <si>
    <t>thược dược màu với nhụy hoa</t>
  </si>
  <si>
    <t>spalvotas jurginas su mirksinčia piestele</t>
  </si>
  <si>
    <t>zlatna palma sa bljeskajućim centrom</t>
  </si>
  <si>
    <t>broccato coco con pistillo stroboscopico</t>
  </si>
  <si>
    <t>brokatni kokos sa strob tačkama</t>
  </si>
  <si>
    <t>(brocade) coco w / nhụy hoa</t>
  </si>
  <si>
    <t>brokato kokosas su mirksinčia piestele</t>
  </si>
  <si>
    <t>zlatna kiša i plavi, crveni bljeskajući efekt sa crvenim bljeskajućim centrom</t>
  </si>
  <si>
    <t>corona di broccato a blu a rosso strobo con pistillo strobo rosso</t>
  </si>
  <si>
    <t>brokatna kruna do plavog do crvenog stroba sa crvenim strob tačkama</t>
  </si>
  <si>
    <t>vương miện (brocade) với màu xanh lam đến màu đỏ nhấp nháy w / nhụy hoa màu đỏ</t>
  </si>
  <si>
    <t>brokato vainikas, mėlyna ir raudonas mirksėjimas su raudonai mirksinčia piestele</t>
  </si>
  <si>
    <t>tanka cijev pojačane izdržljivosti, visina 38cm, debljina stijenke 2,2mm</t>
  </si>
  <si>
    <t>malta indistruttibile e sottile, altezza 38 cm, spessore 2,2 mm</t>
  </si>
  <si>
    <t>neuništiva, tanka cev, visine 38 cm, debljine 2,2 mm</t>
  </si>
  <si>
    <t>Chất lượng " tốt", không thấm nước, chiều cao 38cm, dày 2,2mm</t>
  </si>
  <si>
    <t>daugkartinio naudojimo plonas vamzdis, 38cm aukščio, 2.2mm storio</t>
  </si>
  <si>
    <t>tanka cijev pojačane izdržljivosti, visina 40cm, debljina stijenke 2,5mm</t>
  </si>
  <si>
    <t>malta indistruttibile e sottile, altezza 40 cm, spessore 2,5 mm</t>
  </si>
  <si>
    <t>neuništiva, tanka cev, visine 40 cm, debljine 2,5 mm</t>
  </si>
  <si>
    <t>Chất lượng " tốt", không thấm nước, cao 40cm, dày 2,5mm</t>
  </si>
  <si>
    <t>daugkartinio naudojimo plonas vamzdis, 40cm aukščio, 2.5mm storio</t>
  </si>
  <si>
    <t>tanka cijev pojačane izdržljivosti, visina 50cm, debljina stijenke 3mm</t>
  </si>
  <si>
    <t>malta indistruttibile e sottile, altezza 50 cm, spessore 3mm</t>
  </si>
  <si>
    <t>neuništiva, tanka cev, visine 50 cm, debljine 3 mm</t>
  </si>
  <si>
    <t>Chất lượng " tốt", không thấm nước, cao 48cm, dày 2,5mm</t>
  </si>
  <si>
    <t>daugkartinio naudojimo plonas vamzdis, 50cm aukščio, 3mm storio</t>
  </si>
  <si>
    <t>tanka cijev pojačane izdržljivosti, visina 60cm, debljina stijenke 3,5mm</t>
  </si>
  <si>
    <t>malta indistruttibile e sottile, altezza 60 cm, spessore 3,5 mm</t>
  </si>
  <si>
    <t>neuništiva, tanka cev, visine 60 cm, debljine 3,5 mm</t>
  </si>
  <si>
    <t>Chất lượng " tốt", không thấm nước, cao 58cm, dày 3mm</t>
  </si>
  <si>
    <t>daugkartinio naudojimo plonas vamzdis, 60cm aukščio, 3.5mm storio</t>
  </si>
  <si>
    <t>tanka cijev pojačane izdržljivosti, visina 80cm, debljina stijenke 4mm</t>
  </si>
  <si>
    <t>malta indistruttibile e sottile, altezza 80 cm, spessore 4mm</t>
  </si>
  <si>
    <t>neuništiva, tanka cev, visine 80 cm, debljine 4 mm</t>
  </si>
  <si>
    <t>Chất lượng " tốt", không thấm nước, cao 80cm, dày 4mm</t>
  </si>
  <si>
    <t>daugkartinio naudojimo plonas vamzdis, 80cm aukščio, 4mm storio</t>
  </si>
  <si>
    <t>tanka cijev pojačane izdržljivosti, visina 90cm, debljina stijenke 4mm</t>
  </si>
  <si>
    <t>malta indistruttibile e sottile, altezza 90 cm, spessore 4mm</t>
  </si>
  <si>
    <t>neuništiva, tanka cev, visina 90 cm, debljina 4 mm</t>
  </si>
  <si>
    <t>Chất lượng " tốt", không thấm nước, cao 90cm, dày 4mm</t>
  </si>
  <si>
    <t>daugkartinio naudojimo plonas vamzdis, 90cm aukščio, 4mm storio</t>
  </si>
  <si>
    <t>srebrna scenska fontana 5m, el.aktivacija</t>
  </si>
  <si>
    <t xml:space="preserve">fuoco d'argento 5m-accenditore  elettrico </t>
  </si>
  <si>
    <t>srebrna vatra 5m-električna inicijacija</t>
  </si>
  <si>
    <t>phun bạc 5m- bắn điện</t>
  </si>
  <si>
    <t>5m sidabrinė ugnis - elektrinis paleidimas</t>
  </si>
  <si>
    <t>srebrna scenska fontana 8m, el.aktivacija</t>
  </si>
  <si>
    <t xml:space="preserve">fuoco d'argento 8m-accenditore  elettrico </t>
  </si>
  <si>
    <t>srebrna vatra 8m-električna inicijacija</t>
  </si>
  <si>
    <t>phun bạc 8m- bắn điện</t>
  </si>
  <si>
    <t>8m sidabrinė ugnis - elektrinis paleidimas</t>
  </si>
  <si>
    <t>srebrna fontana, bez dima, visina efekta 2m, el.aktivacija</t>
  </si>
  <si>
    <t xml:space="preserve">fontana d'argento senza fumo, effetto alto 2m, accenditore  elettrico </t>
  </si>
  <si>
    <t>srebrna fontana - bez dima, efekt visok 2m, električna inicijacija</t>
  </si>
  <si>
    <t>vòi phun lửa bạc không khói, chiều cao hiệu ứng 2m, bắn điện</t>
  </si>
  <si>
    <t>sidabrinis fontanas be dūmų, efekto aukštis 2m, elektrinis paleidimas</t>
  </si>
  <si>
    <t>srebrna fontana, bez dima, visina efekta 3m, el.aktivacija</t>
  </si>
  <si>
    <t xml:space="preserve">fontana d'argento senza fumo, effetto alto 3m, accenditore  elettrico </t>
  </si>
  <si>
    <t>srebrna fontana - bez dima, efekt visok 3m, električna inicijacija</t>
  </si>
  <si>
    <t>vòi phun lửa bạc không khói, chiều cao hiệu ứng 3m, bắn điện</t>
  </si>
  <si>
    <t>sidabrinis fontanas be dūmų, efekto aukštis 3m, elektrinis paleidimas</t>
  </si>
  <si>
    <t>srebrna fontana, bez dima, visina efekta 5m, el.aktivacija</t>
  </si>
  <si>
    <t xml:space="preserve">fontana d'argento senza fumo, effetto alto 5m, accenditore  elettrico </t>
  </si>
  <si>
    <t>srebrna fontana - bez dima, efekt visokih 5m, električno iniciranje</t>
  </si>
  <si>
    <t>vòi phun lửa bạc không khói, chiều cao hiệu ứng 5m, bắn điện</t>
  </si>
  <si>
    <t>sidabrinis fontanas be dūmų, efekto aukštis 5m, elektrinis paleidimas</t>
  </si>
  <si>
    <t>srebrna fontana, bez dima, visina efekta 6m, el.aktivacija</t>
  </si>
  <si>
    <t xml:space="preserve">fontana d'argento senza fumo, effetto alto 6m, accenditore  elettrico </t>
  </si>
  <si>
    <t>srebrna fontana - bez dima, efekt visokih 6m, električno iniciranje</t>
  </si>
  <si>
    <t>vòi phun lửa bạc không khói, chiều cao hiệu ứng 6m, bắn điện</t>
  </si>
  <si>
    <t>sidabrinis fontanas be dūmų, efekto aukštis 6m, elektrinis paleidimas</t>
  </si>
  <si>
    <t>dvostruko srce sa 8 komada srebrnih fontana</t>
  </si>
  <si>
    <t>doppio cuore con 8 pezzi fontana d'argento</t>
  </si>
  <si>
    <t>dvostruko srce sa 8 kom srebrne fontane</t>
  </si>
  <si>
    <t>trái tim đôi với 8 vòi phun lửa</t>
  </si>
  <si>
    <t>dviguba širdis su 8 sidabriniais fontanais</t>
  </si>
  <si>
    <t>vodopad za vanjsku upotrebu, dužina 20m, srebrna boja, (visina efekta 9m)</t>
  </si>
  <si>
    <t>Cascata esterna lunga 20 m, colore argento (altezza effetto 9m)</t>
  </si>
  <si>
    <t>spoljni vodopad dužine 20 m, srebrne boje (visina efekta 9 m)</t>
  </si>
  <si>
    <t>thác nước ngoài trời dài 20m, màu bạc (chiều cao hiệu ứng 9m)</t>
  </si>
  <si>
    <t>lauko krioklys 20cm ilgio sidabrinės spalvos, efekto aukštis 9m</t>
  </si>
  <si>
    <t>električni upaljač, dužina 30cm</t>
  </si>
  <si>
    <t>accenditore  elettrico , lunghezza 30cm</t>
  </si>
  <si>
    <t>električni upaljač, dužine 30 cm</t>
  </si>
  <si>
    <t>thiết bị bắn pháo hoa, bằng điện, chiều dài 30cm</t>
  </si>
  <si>
    <t>elektrinis padegiklis, 30 cm ilgio</t>
  </si>
  <si>
    <t>električni upaljač, dužina 100cm</t>
  </si>
  <si>
    <t>accenditore  elettrico , lunghezza 100cm</t>
  </si>
  <si>
    <t>električni upaljač, dužine 100cm</t>
  </si>
  <si>
    <t>thiết bị bắn pháo hoa, bằng điện, chiều dài 100cm</t>
  </si>
  <si>
    <t>elektrinis padegiklis, 100 cm ilgio</t>
  </si>
  <si>
    <t>električni upaljač, dužina 200cm</t>
  </si>
  <si>
    <t>accenditore  elettrico , lunghezza 200cm</t>
  </si>
  <si>
    <t>električni upaljač, dužine 200cm</t>
  </si>
  <si>
    <t>thiết bị bắn pháo hoa, bằng điện, chiều dài 200cm</t>
  </si>
  <si>
    <t>elektrinis padegiklis, 200 cm ilgio</t>
  </si>
  <si>
    <t>električni upaljač, dužina 300cm</t>
  </si>
  <si>
    <t>iaccenditore  elettrico , lunghezza 300cm</t>
  </si>
  <si>
    <t>električni upaljač, dužine 300cm</t>
  </si>
  <si>
    <t>thiết bị bắn pháo hoa, bằng điện, chiều dài 300cm</t>
  </si>
  <si>
    <t>elektrinis padegiklis, 300 cm ilgio</t>
  </si>
  <si>
    <t>električni upaljač, dužina 500cm</t>
  </si>
  <si>
    <t>accenditore  elettrico , lunghezza 500cm</t>
  </si>
  <si>
    <t>električni upaljač, dužine 500cm</t>
  </si>
  <si>
    <t>thiết bị bắn pháo hoa, bằng điện, chiều dài 500cm</t>
  </si>
  <si>
    <t>elektrinis padegiklis, 500 cm ilgio</t>
  </si>
  <si>
    <t>crni plastični konektor za spajanje fitilja između dva proizvoda</t>
  </si>
  <si>
    <t>connettore-perno in plastica nera, realizzato come collegamento tra i prodotti</t>
  </si>
  <si>
    <t>crni plastični konektor-pin, napravljen kao veza između proizvoda</t>
  </si>
  <si>
    <t xml:space="preserve">Đầu nối nhựa đen - (male), dùng để nối nối tiếp các sản phẩm </t>
  </si>
  <si>
    <t>juodas plastikinis sujungimas - smeigtukas, pagamintas kaip jungtis tarp produktų</t>
  </si>
  <si>
    <t>connettore-presa in plastica nera, realizzato come collegamento tra i prodotti</t>
  </si>
  <si>
    <t>crna plastična utičnica, napravljena kao veza između proizvoda</t>
  </si>
  <si>
    <t xml:space="preserve">đầu nối nhựa màu đỏ - (female), được sử dụng để kết nối nối tiếp các sản phẩm </t>
  </si>
  <si>
    <t>juodas plastikinis sujungimas - lizdas, pagamintas kaip jungtis tarp produktų</t>
  </si>
  <si>
    <t>dvostruka bakrena žica 0,6mm unutarnji promjer, 1,1mm vanjski promjer, za el. ispucanjvanje
vatrometa</t>
  </si>
  <si>
    <t>Cavo gemello Cu diametro interno 0,6 mm, diametro esterno di 1,1 mm, per fuochi d'artificio elettrici</t>
  </si>
  <si>
    <t>Dvožilni bakarni kabl unutarnjeg prečnika 0,6 mm, spoljnjeg prečnika 1,1 mm, za električno paljenje vatrometa</t>
  </si>
  <si>
    <t>dấu vết đôi bằng đồng dấu vết kính trong 0,6 mm, dấu vết kính ngoài 1,1 mm, để bắn pháo hoa bằng điện</t>
  </si>
  <si>
    <t>CU dvigubas kabelis, vidaus skersmuo 0.6mm, išorės skersmuo 1.1mm, skirtas elektrinių fejerverkų šaudymui</t>
  </si>
  <si>
    <t>D</t>
  </si>
  <si>
    <t>ANJ</t>
  </si>
  <si>
    <t>CRO</t>
  </si>
  <si>
    <t>IT</t>
  </si>
  <si>
    <t>LT</t>
  </si>
  <si>
    <t>SRB</t>
  </si>
  <si>
    <t>VIE</t>
  </si>
  <si>
    <t>Kinder - Pyrotechnik</t>
  </si>
  <si>
    <t>Children´s pyrotechnics</t>
  </si>
  <si>
    <t>Dětská pyrotechnika</t>
  </si>
  <si>
    <t>Dječja pirotehnika</t>
  </si>
  <si>
    <t>Articoli pirotecnici per bambini</t>
  </si>
  <si>
    <t>Vaikų pirotechnika</t>
  </si>
  <si>
    <t xml:space="preserve">Artykuły różne </t>
  </si>
  <si>
    <t>Dečja pirotehnika</t>
  </si>
  <si>
    <t>Pháo hoa của trẻ em</t>
  </si>
  <si>
    <t>Fliegen Artikel</t>
  </si>
  <si>
    <t>Flying items</t>
  </si>
  <si>
    <t>Létající předměty</t>
  </si>
  <si>
    <t>Leteći artikli</t>
  </si>
  <si>
    <t>Oggetti volanti</t>
  </si>
  <si>
    <t>Skrendantys gaminiai</t>
  </si>
  <si>
    <t>Latające śmigła</t>
  </si>
  <si>
    <t>Leteći artikal</t>
  </si>
  <si>
    <t>Pháo bay</t>
  </si>
  <si>
    <t>Familienverpackungen</t>
  </si>
  <si>
    <t>Family packing</t>
  </si>
  <si>
    <t>Rodinná balení</t>
  </si>
  <si>
    <t>Obiteljsko pakiranje</t>
  </si>
  <si>
    <t>Assortimento famiglia</t>
  </si>
  <si>
    <t>Rinkinys šeimai</t>
  </si>
  <si>
    <t>Zestawy rodzinne</t>
  </si>
  <si>
    <t>Porodični paket</t>
  </si>
  <si>
    <t>Gói qùa</t>
  </si>
  <si>
    <t>Wunderkerzen exclusive</t>
  </si>
  <si>
    <t>Sparklers exclusive</t>
  </si>
  <si>
    <t>Prskavky exclusive</t>
  </si>
  <si>
    <t>Ekskluzivne prskalice</t>
  </si>
  <si>
    <t>Candele magiche esclusive</t>
  </si>
  <si>
    <t>Bengališka ugnelė (ekskliuzyvinis gaminys)</t>
  </si>
  <si>
    <t>Zimne ognie exclusive</t>
  </si>
  <si>
    <t>Prskalice ekskluziv</t>
  </si>
  <si>
    <t>Que hương có tia lửa "Top"</t>
  </si>
  <si>
    <t>Wunderkerzen</t>
  </si>
  <si>
    <t>Sparklers</t>
  </si>
  <si>
    <t>Prskavky</t>
  </si>
  <si>
    <t>Prskalice</t>
  </si>
  <si>
    <t>Candele magiche</t>
  </si>
  <si>
    <t>Bengališka ugnelė</t>
  </si>
  <si>
    <t>Zimne ognie</t>
  </si>
  <si>
    <t xml:space="preserve">Que hương có tia lửa </t>
  </si>
  <si>
    <t>Wunderkerzen speziell</t>
  </si>
  <si>
    <t>Sparklers special</t>
  </si>
  <si>
    <t>Prskavky speciální</t>
  </si>
  <si>
    <t>Specijalne prskalice</t>
  </si>
  <si>
    <t>Candele magiche speciali</t>
  </si>
  <si>
    <t>Bengališka ugnelės (ypatingas gaminys)</t>
  </si>
  <si>
    <t>Zimne ognie - inne</t>
  </si>
  <si>
    <t>Prskalice specijal</t>
  </si>
  <si>
    <t>Que hương có tia lửa "Special"</t>
  </si>
  <si>
    <t>Rauchröhren</t>
  </si>
  <si>
    <t>Smoke with green fuse</t>
  </si>
  <si>
    <t>Dýmovnice se zápalnou šňůrou</t>
  </si>
  <si>
    <t>Dimovi sa zelenim fitiljom</t>
  </si>
  <si>
    <t>Fumogeno con miccia verde</t>
  </si>
  <si>
    <t>Dūmai su žaliu uždegimo fitiliu</t>
  </si>
  <si>
    <t>Świece dymne z lontem</t>
  </si>
  <si>
    <t>Dim sa zelenim fitiljem</t>
  </si>
  <si>
    <t>Khói cùng ngòi đốt xanh</t>
  </si>
  <si>
    <t>Rauchröhren mit abreißbaren Sicherungs</t>
  </si>
  <si>
    <t>Smoke with tear-off fuse</t>
  </si>
  <si>
    <t>Dýmovnice s trhací pojistkou</t>
  </si>
  <si>
    <t>Dimovi na potez</t>
  </si>
  <si>
    <t>Fumogeno a strappo</t>
  </si>
  <si>
    <t>Dūmai su fitiliu po plėvele</t>
  </si>
  <si>
    <t>Świece dymne odpalane ręcznie</t>
  </si>
  <si>
    <t>Dim na potez-bez fitilja</t>
  </si>
  <si>
    <t>Khói có ngòi giật</t>
  </si>
  <si>
    <t>Rauchkörper mit Reibkopfzündung</t>
  </si>
  <si>
    <t>Smoke with scratcher head</t>
  </si>
  <si>
    <t>Dýmovnice škrtací</t>
  </si>
  <si>
    <t>Dimovi na kres</t>
  </si>
  <si>
    <t>Fumogeno a sfregamento</t>
  </si>
  <si>
    <t>Dūmai su nugramdoma apsaugine plėvele</t>
  </si>
  <si>
    <t>Świece dymne na draske</t>
  </si>
  <si>
    <t>Dim sa aktiviranjem na trenje</t>
  </si>
  <si>
    <t>Khói quẹt</t>
  </si>
  <si>
    <t>Smoke with lever ignitor</t>
  </si>
  <si>
    <t>Dýmovnice s pákovou roznětkou</t>
  </si>
  <si>
    <t>Dimovi s aktivacijom pomoću poluge</t>
  </si>
  <si>
    <t>Fumogeno con accenditore a leva</t>
  </si>
  <si>
    <t>Dūmai su sprogdikliu</t>
  </si>
  <si>
    <t>Świece dymne z zawleczką</t>
  </si>
  <si>
    <t>Dim sa polugom za aktiviranje</t>
  </si>
  <si>
    <t>Khói có hình quả lựu đạn</t>
  </si>
  <si>
    <t>Rauchfackeln</t>
  </si>
  <si>
    <t>Smoke torch</t>
  </si>
  <si>
    <t>Dýmové pochodně</t>
  </si>
  <si>
    <t>Dimne baklje</t>
  </si>
  <si>
    <t>Torcia fumogena</t>
  </si>
  <si>
    <t xml:space="preserve">Dūminis fakelas </t>
  </si>
  <si>
    <t>Pochodnie dymne</t>
  </si>
  <si>
    <t>Dimna baklja</t>
  </si>
  <si>
    <t>Ngọn đuốc khói</t>
  </si>
  <si>
    <t>Fackeln</t>
  </si>
  <si>
    <t>Torch</t>
  </si>
  <si>
    <t>Pochodně</t>
  </si>
  <si>
    <t>Baklje</t>
  </si>
  <si>
    <t>Torcia</t>
  </si>
  <si>
    <t>Fakelas</t>
  </si>
  <si>
    <t>Pochodnie</t>
  </si>
  <si>
    <t>Baklja</t>
  </si>
  <si>
    <t>Đuốc</t>
  </si>
  <si>
    <t>Stroboskope</t>
  </si>
  <si>
    <t>Strobo</t>
  </si>
  <si>
    <t>Stroboskopy</t>
  </si>
  <si>
    <t>Bljeskalice</t>
  </si>
  <si>
    <t>Mirksiukas</t>
  </si>
  <si>
    <t>Strob</t>
  </si>
  <si>
    <t>Pháo nhấp nháy</t>
  </si>
  <si>
    <t>Fontänen</t>
  </si>
  <si>
    <t>Fountains</t>
  </si>
  <si>
    <t>Fontány</t>
  </si>
  <si>
    <t>Fontane</t>
  </si>
  <si>
    <t>Fontanai</t>
  </si>
  <si>
    <t>Fontanny</t>
  </si>
  <si>
    <t>Fontana</t>
  </si>
  <si>
    <t>Vòi phun lửa</t>
  </si>
  <si>
    <t>Vulkane</t>
  </si>
  <si>
    <t>Volcanos</t>
  </si>
  <si>
    <t>Vulkány</t>
  </si>
  <si>
    <t>Vulkani</t>
  </si>
  <si>
    <t>Vulcani</t>
  </si>
  <si>
    <t>Vulkanai</t>
  </si>
  <si>
    <t>Fontanny stożkowe</t>
  </si>
  <si>
    <t>Vulkan</t>
  </si>
  <si>
    <t>Interieur Fontänen</t>
  </si>
  <si>
    <t>Interiour fountains</t>
  </si>
  <si>
    <t>Interiérové fontány</t>
  </si>
  <si>
    <t>Fontane za unutarnju uporabu</t>
  </si>
  <si>
    <t>Fontane per interno</t>
  </si>
  <si>
    <t>Vidaus fontanai</t>
  </si>
  <si>
    <t>Fontanny sceniczne</t>
  </si>
  <si>
    <t>Unutrašnja fontana</t>
  </si>
  <si>
    <t>Vòi phun lửa nội thất</t>
  </si>
  <si>
    <t>Konfetti 50 mm</t>
  </si>
  <si>
    <t>Confetti 50mm</t>
  </si>
  <si>
    <t>Konfety 50mm</t>
  </si>
  <si>
    <t>Konfete 50mm</t>
  </si>
  <si>
    <t>Coriandoli</t>
  </si>
  <si>
    <t>Konfeti 50mm</t>
  </si>
  <si>
    <t>Konfetti 50mm</t>
  </si>
  <si>
    <t>Konfeta 50mm</t>
  </si>
  <si>
    <t>Römische Kerzen 7 mm</t>
  </si>
  <si>
    <t>Roman candle 7mm</t>
  </si>
  <si>
    <t>Římské svíce 7mm</t>
  </si>
  <si>
    <t>Rimska svijeća 7mm</t>
  </si>
  <si>
    <t>Candela romana 7 mm</t>
  </si>
  <si>
    <t>Romėniškos ugnies lazdelė 7mm</t>
  </si>
  <si>
    <t>Rzymskie ognie kaliber 7mm</t>
  </si>
  <si>
    <t>Rimska sveća 7mm</t>
  </si>
  <si>
    <t>Nến La mã 7mm</t>
  </si>
  <si>
    <t>Römische Kerzen 10mm</t>
  </si>
  <si>
    <t>Roman candle 10mm</t>
  </si>
  <si>
    <t>Římské svíce 10mm</t>
  </si>
  <si>
    <t>Rimska svijeća 10mm</t>
  </si>
  <si>
    <t>Candela romana 10 mm</t>
  </si>
  <si>
    <t>Romėniškos ugnies lazdelė 10mm</t>
  </si>
  <si>
    <t>Rzymskie ognie kaliber 10mm</t>
  </si>
  <si>
    <t>Rimska sveća 10mm</t>
  </si>
  <si>
    <t>Nến La mã 10mm</t>
  </si>
  <si>
    <t>Römische Kerzen 20mm</t>
  </si>
  <si>
    <t>Roman candle 20mm</t>
  </si>
  <si>
    <t>Římské svíce 20mm</t>
  </si>
  <si>
    <t>Rimska svijeća 20mm</t>
  </si>
  <si>
    <t>Candela romana 20 mm</t>
  </si>
  <si>
    <t>Romėniškos ugnies lazdelė 20mm</t>
  </si>
  <si>
    <t>Rzymskie ognie kaliber 20mm</t>
  </si>
  <si>
    <t>Rimska sveća 20mm</t>
  </si>
  <si>
    <t>Nến La mã 20mm</t>
  </si>
  <si>
    <t>Römische Kerzen 30mm</t>
  </si>
  <si>
    <t>Roman candle 30mm</t>
  </si>
  <si>
    <t>Římské svíce 30mm</t>
  </si>
  <si>
    <t>Rimska svijeća 30mm</t>
  </si>
  <si>
    <t>Candela romana 30 mm</t>
  </si>
  <si>
    <t>Romėniškos ugnies lazdelė 30mm</t>
  </si>
  <si>
    <t>Rzymskie ognie kaliber 30mm</t>
  </si>
  <si>
    <t>Rimska sveća 30mm</t>
  </si>
  <si>
    <t>Nến La mã 30mm</t>
  </si>
  <si>
    <t>Batterien der römischen Kerzen</t>
  </si>
  <si>
    <t>Battery of roman candle</t>
  </si>
  <si>
    <t>Baterie římských svící</t>
  </si>
  <si>
    <t>Baterija rimskih svijeća</t>
  </si>
  <si>
    <t>Batteria di candele romane</t>
  </si>
  <si>
    <t>Romėniškos ugnies baterija</t>
  </si>
  <si>
    <t>Baterie rzymskich ognii</t>
  </si>
  <si>
    <t>Baterija od rimskih sveća</t>
  </si>
  <si>
    <t>Bô - Nến La mã</t>
  </si>
  <si>
    <t>Schießröhre F2</t>
  </si>
  <si>
    <t>Shot tube F2</t>
  </si>
  <si>
    <t>Vystřelovací trubice F2</t>
  </si>
  <si>
    <t>Vatrometne cijevi F2</t>
  </si>
  <si>
    <t>Tubo di lancio f2</t>
  </si>
  <si>
    <t>Šaudanti lazda F2</t>
  </si>
  <si>
    <t>Wyrzutnie jednostrzałowe F2</t>
  </si>
  <si>
    <t>Cev sa pucnjem F2</t>
  </si>
  <si>
    <t>Đạn trụ bay nổ F2</t>
  </si>
  <si>
    <t>Schießröhre 3 schuss, 20mm Mörser</t>
  </si>
  <si>
    <t>Shot tube(3sh), 20mm mortars</t>
  </si>
  <si>
    <t>Vystřelovací trubice(3 rány), 20mm moždíř</t>
  </si>
  <si>
    <t>Vatrometna cijev (3 pucnja), 20mm cijev</t>
  </si>
  <si>
    <t>Tubo di lancio 3 colpi, mortaio 20 mm</t>
  </si>
  <si>
    <t>Šaudanti lazda 3 šūvių, 20 mm vamzdis</t>
  </si>
  <si>
    <t>wyrzutnie trzystrzałowe kaliber 20mm</t>
  </si>
  <si>
    <t>Cev za pucanje 20 mm, 3 pucnja</t>
  </si>
  <si>
    <t>Đạn trụ bay nổ (3sh), đường kính 20mm</t>
  </si>
  <si>
    <t>Schießröhre 3 schuss, 30mm Mörser</t>
  </si>
  <si>
    <t>Shot tube(3sh), 30mm mortars</t>
  </si>
  <si>
    <t>Vystřelovací trubice(3 rány), 30mm moždíř</t>
  </si>
  <si>
    <t>Vatrometna cijev (3 pucnja), 30mm cijev</t>
  </si>
  <si>
    <t>Tubo di lancio 3 colpi, mortaio 30 mm</t>
  </si>
  <si>
    <t>Šaudanti lazda 3 šūvių, 30 mm vamzdis</t>
  </si>
  <si>
    <t>wyrzutnie trzystrzałowe kaliber 30mm</t>
  </si>
  <si>
    <t>Cev za pucanje 30 mm, 3 pucnja</t>
  </si>
  <si>
    <t>Đạn trụ bay nổ (3sh), đường kính 30mm</t>
  </si>
  <si>
    <t>Schießröhre F3</t>
  </si>
  <si>
    <t>Shot tube F3</t>
  </si>
  <si>
    <t>Vystřelovací trubice F3</t>
  </si>
  <si>
    <t>Vatrometne cijevi F3</t>
  </si>
  <si>
    <t>Tubo di lancio f3</t>
  </si>
  <si>
    <t>Šaudanti lazda F3</t>
  </si>
  <si>
    <t>Wyrzutnie jednostrzałowe F3</t>
  </si>
  <si>
    <t>Cev sa pucnjem F3</t>
  </si>
  <si>
    <t>Đạn trụ bay nổ F3</t>
  </si>
  <si>
    <t>Fontäne+Mine</t>
  </si>
  <si>
    <t>Fountain+Mine</t>
  </si>
  <si>
    <t>Fontána+Mina</t>
  </si>
  <si>
    <t>Fontana+mina</t>
  </si>
  <si>
    <t>Fontana+stella</t>
  </si>
  <si>
    <t>Fontanas + mina</t>
  </si>
  <si>
    <t>Fontanny z miną</t>
  </si>
  <si>
    <t>Fontana + Mina</t>
  </si>
  <si>
    <t>Vòi phun lửa + "Mine"</t>
  </si>
  <si>
    <t>Satz von Kugelbomben mit dem Böller</t>
  </si>
  <si>
    <t>Artillery shell(set with mortar)</t>
  </si>
  <si>
    <t>Sada kulových pum s moždířem</t>
  </si>
  <si>
    <t>Bombe (set sa cijevi)</t>
  </si>
  <si>
    <t>Pirastar</t>
  </si>
  <si>
    <t>Artilerijos šūviai (su vamzdžiu)</t>
  </si>
  <si>
    <t>Moździerz (zestaw z rurą)</t>
  </si>
  <si>
    <t>Projektil postavljen u lansirnu cev</t>
  </si>
  <si>
    <t>Bô - "ống phóng + đạn tròn"</t>
  </si>
  <si>
    <t>Brunnen mit Explosion</t>
  </si>
  <si>
    <t>Fountain with explosion</t>
  </si>
  <si>
    <t>Fontána s explozí</t>
  </si>
  <si>
    <t>Fontane sa eksplozijom</t>
  </si>
  <si>
    <t>Fontana con esplosione</t>
  </si>
  <si>
    <t>Fontanas su sprogimu</t>
  </si>
  <si>
    <t>Fontanny ze strzałem</t>
  </si>
  <si>
    <t>Fontana sa eksplozijom</t>
  </si>
  <si>
    <t>Vòi lửa xoay</t>
  </si>
  <si>
    <t>Reibkopfknaller</t>
  </si>
  <si>
    <t>Scatcher petard</t>
  </si>
  <si>
    <t>Škrtací petardy</t>
  </si>
  <si>
    <t>Petarde na kres</t>
  </si>
  <si>
    <t>Petardo a sfregamento</t>
  </si>
  <si>
    <t>Braukimo būdu uždegama petarda</t>
  </si>
  <si>
    <t>Petardy draskowe</t>
  </si>
  <si>
    <t xml:space="preserve">Petarda sa aktiviranjem na trenje </t>
  </si>
  <si>
    <t xml:space="preserve">Pháo quẹt </t>
  </si>
  <si>
    <t>Knallkörper mit der Zündschnur F2</t>
  </si>
  <si>
    <t>Petards with green fuse F2</t>
  </si>
  <si>
    <t>Petardy se zápalnou šňůrou F2</t>
  </si>
  <si>
    <t>Petarde sa zelenim fitiljom F2</t>
  </si>
  <si>
    <t>Petardo con miccia verde f2</t>
  </si>
  <si>
    <t>Petardos su žaliu uždegimo fitiliu F2</t>
  </si>
  <si>
    <t>Petardy z lontem F2</t>
  </si>
  <si>
    <t>Petarda sa zelenim fitiljem F2</t>
  </si>
  <si>
    <t>Pháo cùng ngòi đốt xanh F2</t>
  </si>
  <si>
    <t>Knallkörper mit der Zündschnur F3</t>
  </si>
  <si>
    <t>Petards with green fuse F3</t>
  </si>
  <si>
    <t>Petardy se zápalnou šňůrou F3</t>
  </si>
  <si>
    <t>Petarde sa zelenim fitiljom F3</t>
  </si>
  <si>
    <t>Petardo con miccia verde f3</t>
  </si>
  <si>
    <t>Petardos su žaliu uždegimo fitiliu F3</t>
  </si>
  <si>
    <t>Petardy z lontem F3</t>
  </si>
  <si>
    <t>Petarda sa zelenim fitiljem F3</t>
  </si>
  <si>
    <t>Pháo cùng ngòi đốt xanh F3</t>
  </si>
  <si>
    <t>Knallkörper mit der Zündschnur P1</t>
  </si>
  <si>
    <t>Petards with green fuse P1</t>
  </si>
  <si>
    <t>Petardy se zápalnou šňůrou P1</t>
  </si>
  <si>
    <t>Petarde sa zelenim fitiljom P1</t>
  </si>
  <si>
    <t>Petardo con miccia verde p1</t>
  </si>
  <si>
    <t>Petardos su žaliu uždegimo fitiliu P1</t>
  </si>
  <si>
    <t>Petardy z lontem P1</t>
  </si>
  <si>
    <t>Petarda sa zelenim fitiljem P1</t>
  </si>
  <si>
    <t>Pháo cùng ngòi đốt xanh P1</t>
  </si>
  <si>
    <t>Knallkörper mit der Zündschnur F4+T2</t>
  </si>
  <si>
    <t>Petards with green fuse F4+T2</t>
  </si>
  <si>
    <t>Petardy se zápalnou šňůrou F4+T2</t>
  </si>
  <si>
    <t>Petarde sa zelenim fitiljom F4+T2</t>
  </si>
  <si>
    <t>Petardo con miccia verde f4+t2</t>
  </si>
  <si>
    <t>Petardos su žaliu uždegimo fitiliu F4+T2</t>
  </si>
  <si>
    <t>Petardy z lontem F4 + T2</t>
  </si>
  <si>
    <t>Petarda sa zelenim fitiljem F4+T2</t>
  </si>
  <si>
    <t>Pháo cùng ngòi đốt xanh F4 + T2</t>
  </si>
  <si>
    <t>Batterien der Knallkörper</t>
  </si>
  <si>
    <t>Battery of petards</t>
  </si>
  <si>
    <t>Baterie petard</t>
  </si>
  <si>
    <t>Redenici</t>
  </si>
  <si>
    <t>Batteria di petardi</t>
  </si>
  <si>
    <t>Petardų baterija</t>
  </si>
  <si>
    <t>Karabinki</t>
  </si>
  <si>
    <t>Baterija od petardi</t>
  </si>
  <si>
    <t>Bô - pháo nổ</t>
  </si>
  <si>
    <t>Raketensets F2-1.4G</t>
  </si>
  <si>
    <t>Rocket set F2-1.4G</t>
  </si>
  <si>
    <t>Raketové sety F2-1.4G</t>
  </si>
  <si>
    <t>Set raketa F2-1.4G</t>
  </si>
  <si>
    <t>Assortimento razzi f2 1.4g</t>
  </si>
  <si>
    <t>Raketų rinkinys F2+1.4G</t>
  </si>
  <si>
    <t>Zestawy rakiet F2-1,4G</t>
  </si>
  <si>
    <t>Set Raketa F2-1.4G</t>
  </si>
  <si>
    <t>Bộ tên lửa F2-1.4G</t>
  </si>
  <si>
    <t>Raketensets 1.3G+1.4G</t>
  </si>
  <si>
    <t>Rocket set 1.3G+1.4G</t>
  </si>
  <si>
    <t>Raketové sety 1.3G+1.4G</t>
  </si>
  <si>
    <t>Set raketa 1.3G+1.4G</t>
  </si>
  <si>
    <t>Assortimento razzi 1.3g+1.4g</t>
  </si>
  <si>
    <t>Raketų rinkinys 1.3G+1.4G</t>
  </si>
  <si>
    <t>Zestawy rakiet 1,3G, 1,4G</t>
  </si>
  <si>
    <t>Set Raketa 1.3G+1.4G</t>
  </si>
  <si>
    <t>Bộ tên lửa 1.3G + 1.4G</t>
  </si>
  <si>
    <t>Kleidung</t>
  </si>
  <si>
    <t>Clothing</t>
  </si>
  <si>
    <t>Oblečení</t>
  </si>
  <si>
    <t>Tekstil</t>
  </si>
  <si>
    <t>Abbigliamento</t>
  </si>
  <si>
    <t>Drabužiai</t>
  </si>
  <si>
    <t>Odzierz</t>
  </si>
  <si>
    <t>Odeća</t>
  </si>
  <si>
    <t>Quần áo</t>
  </si>
  <si>
    <t>Kleidung Dumbum Limitierte Auflage</t>
  </si>
  <si>
    <t>Clothing Dumbum limited edition</t>
  </si>
  <si>
    <t>Oblečení Dumbum limitovaná edice</t>
  </si>
  <si>
    <t>Tekstil Dumbum limited edition</t>
  </si>
  <si>
    <t>Abbigliamento dum bum edizione limitata</t>
  </si>
  <si>
    <t>Drabužiai Dumbum riboto leidimo</t>
  </si>
  <si>
    <t>Odzierz Dumbum edycja limitowana</t>
  </si>
  <si>
    <t>Odeća Dumbum limited edition</t>
  </si>
  <si>
    <t>Quần áo Dumbum phiên bản giới hạn</t>
  </si>
  <si>
    <t>Werbeartikel</t>
  </si>
  <si>
    <t>Promotional items</t>
  </si>
  <si>
    <t>Reklamní položky</t>
  </si>
  <si>
    <t>Promotivni artikli</t>
  </si>
  <si>
    <t>Prodotti promozionali</t>
  </si>
  <si>
    <t>Reklaminės prekės</t>
  </si>
  <si>
    <t>Artykuły reklamowe</t>
  </si>
  <si>
    <t>Hàng khuyến mãi</t>
  </si>
  <si>
    <t>Presentation stands</t>
  </si>
  <si>
    <t>Prezentační stojany</t>
  </si>
  <si>
    <t>Prezentacijski štandovi</t>
  </si>
  <si>
    <t>Stand espositivo</t>
  </si>
  <si>
    <t>Reklaminiai stendai</t>
  </si>
  <si>
    <t>Stojaki prezentacyjne</t>
  </si>
  <si>
    <t>Reklamni štand</t>
  </si>
  <si>
    <t>Giá, kệ - quảng cáo, trình bày</t>
  </si>
  <si>
    <t>Sonstiges</t>
  </si>
  <si>
    <t>Others</t>
  </si>
  <si>
    <t>Ostatní</t>
  </si>
  <si>
    <t>Ostalo</t>
  </si>
  <si>
    <t>Altri</t>
  </si>
  <si>
    <t>Kita</t>
  </si>
  <si>
    <t xml:space="preserve">Pozostałe </t>
  </si>
  <si>
    <t>Và nhiều thứ khác</t>
  </si>
  <si>
    <t>Baterie raket 25ran, 8mm moždíř-1.4G</t>
  </si>
  <si>
    <t>Batterien der raketen 100 schuss, 8mm Mörser-1.4G</t>
  </si>
  <si>
    <t>100sh Battery of rockets, 8mm mortars-1.4G</t>
  </si>
  <si>
    <t>Baterie raket 100ran, 8mm moždíř-1.4G</t>
  </si>
  <si>
    <t>Vatrometna kutija raketa 100 pucnjeva, cijev 8mm-1.4G</t>
  </si>
  <si>
    <t>Batteria di fischi 100 colpi, mortaio 8 mm-1.4g</t>
  </si>
  <si>
    <t>100 šūvių raketų baterija, 8mm vamzdžiai - 1.4G</t>
  </si>
  <si>
    <t>Wyrzutnie 100 strz. kaliber 8mm 1.4G</t>
  </si>
  <si>
    <t>100s Baterije sa raketama, cev 8mm - 1.4G</t>
  </si>
  <si>
    <t>"Compact" 100 phát đạn, đường kính 8mm-1,4G</t>
  </si>
  <si>
    <t>Batterien der raketen 300 schuss, 8mm Mörser-1.4G</t>
  </si>
  <si>
    <t>300sh Battery of rockets, 8mm mortars-1.4G</t>
  </si>
  <si>
    <t>Baterie raket 300ran, 8mm moždíř-1.4G</t>
  </si>
  <si>
    <t>Vatrometna kutija raketa 300 pucnjeva, cijev 8mm-1.4G</t>
  </si>
  <si>
    <t>Batteria di fischi 300 colpi, mortaio 8 mm-1.4g</t>
  </si>
  <si>
    <t>300 šūvių raketų baterija, 8mm vamzdžiai - 1.4G</t>
  </si>
  <si>
    <t>Wyrzutnie 300 strz. kaliber 8mm 1.4G</t>
  </si>
  <si>
    <t>300s Baterije sa raketama, cev 8mm - 1.4G</t>
  </si>
  <si>
    <t>"Compact" 300 phát đạn, đường kính 8mm-1,4G</t>
  </si>
  <si>
    <t>Batterien der raketen 1000 schuss, 8mm Mörser-1.4G</t>
  </si>
  <si>
    <t>1000sh Battery of rockets, 8mm mortars-1.4G</t>
  </si>
  <si>
    <t>Baterie raket 1000ran, 8mm moždíř-1.4G</t>
  </si>
  <si>
    <t>Vatrometna kutija raketa 1000 pucnjeva, cijev 8mm-1.4G</t>
  </si>
  <si>
    <t>Batteria di fischi 1000 colpi, mortaio 8 mm-1.4g</t>
  </si>
  <si>
    <t>1000 šūvių raketų baterija, 8mm vamzdžiai - 1.4G</t>
  </si>
  <si>
    <t>Wyrzutnie 1000 strz. kaliber 8mm 1,4G</t>
  </si>
  <si>
    <t>1000s Baterije sa raketama, cev 8mm - 1.4G</t>
  </si>
  <si>
    <t>"Compact" 1000 phát đạn, đường kính 8mm-1.4G</t>
  </si>
  <si>
    <t>Batterien 100 schuss, 8mm Mörser-1.4G</t>
  </si>
  <si>
    <t>100sh Battery of shot tube, 8mm mortars-1.4G</t>
  </si>
  <si>
    <t>Baterie 100ran, 8mm moždíř-1.4G</t>
  </si>
  <si>
    <t>Vatrometna kutija 100 pucnjeva, 14mm cijev-1.4G</t>
  </si>
  <si>
    <t>Batteria di tubi di lancio 100 colpi, mortaio 8 mm-1.4g</t>
  </si>
  <si>
    <t>100 šūvių šaudanti baterija, 8mm vamzdžiai - 1.4G</t>
  </si>
  <si>
    <t>100s Baterije, cev 8mm - 1.4G</t>
  </si>
  <si>
    <t>"Compact" 100 phát đạn, đường kính 8mm-1.4G</t>
  </si>
  <si>
    <t>Batterien 16 schuss, 14mm Mörser-1.4G</t>
  </si>
  <si>
    <t>16sh Battery of shot tube, 14mm mortars-1.4G</t>
  </si>
  <si>
    <t>Baterie 16ran, 14mm moždíř-1.4G</t>
  </si>
  <si>
    <t>Vatrometna kutija 16 pucnjeva, 14mm cijev-1.4G</t>
  </si>
  <si>
    <t>Batteria di tubi di lancio 16 colpi, mortaio 14 mm-1.4g</t>
  </si>
  <si>
    <t>16 šūvių raketų baterija, 14mm vamzdžiai - 1.4G</t>
  </si>
  <si>
    <t>Wyrzutnie 16 strz. kaliber 14mm 1.4G</t>
  </si>
  <si>
    <t>16s Baterije, cev 14mm - 1.4G</t>
  </si>
  <si>
    <t>"Compact" 16 phát đạn, đường kính 14mm-1.4G</t>
  </si>
  <si>
    <t>Batterien 100 schuss, 14mm Mörser-1.3G</t>
  </si>
  <si>
    <t>100sh Battery of shot tube, 14mm mortars-1.3G</t>
  </si>
  <si>
    <t>Baterie 100ran, 14mm moždíř-1.3G</t>
  </si>
  <si>
    <t>Vatrometna kutija 100 pucnjeva, 14mm cijev-1.3G</t>
  </si>
  <si>
    <t>Batteria di tubi di lancio 100 colpi, mortaio 14 mm-1.3g</t>
  </si>
  <si>
    <t>100 šūvių raketų baterija, 14mm vamzdžiai - 1.3G</t>
  </si>
  <si>
    <t>Wyrzutnie 100 strz. kaliber 14mm 1.3G</t>
  </si>
  <si>
    <t>100s Baterije, cev 14mm - 1.3G</t>
  </si>
  <si>
    <t>"Compact" 100 phát đạn, đường kính 14mm-1,3G</t>
  </si>
  <si>
    <t>Batterien 208 schuss, 14mm normal+ schräg Mörser-1.4G</t>
  </si>
  <si>
    <t>208sh Battery of shot tube, 14mm normal+fan shaped mortars-1.4G</t>
  </si>
  <si>
    <t>Baterie 208ran, 14mm rovný+šikmý moždíř-1.4G</t>
  </si>
  <si>
    <t>Vatrometna kutija 208 pucnjeva, 14mm, oblik cijevi ravni+kosi-1.4G</t>
  </si>
  <si>
    <t>208 šūvių raketų baterija, 14mm vamzdžiai, šaudo tiesiai ir vėduoklės principu - 1.4G</t>
  </si>
  <si>
    <t>Wyrzutnie 208 strz. kaliber 14mm proste + kątowe  1.3G</t>
  </si>
  <si>
    <t>208s Baterije, cev 14mm, I+FAN - 1.4G</t>
  </si>
  <si>
    <t xml:space="preserve">"Compact" 208 phát đạn, 14mm hình "I" + hình quạt "V"-1.4G </t>
  </si>
  <si>
    <t>Batterien 9 schuss, 20mm Mörser-1.3G</t>
  </si>
  <si>
    <t>9sh Battery of shot tube, 20mm mortars-1.3G</t>
  </si>
  <si>
    <t>Baterie 9ran, 20mm moždíř-1.3G</t>
  </si>
  <si>
    <t>Vatrometna kutija 9 pucnjeva, 20mm cijev-1.3G</t>
  </si>
  <si>
    <t>Batteria di tubi di lancio 9 colpi, mortaio 20 mm-1.3g</t>
  </si>
  <si>
    <t>9 šūvių raketų baterija, 20mm vamzdžiai - 1.3G</t>
  </si>
  <si>
    <t>Wyrzutnie 9 strz. kaliber 20mm 1.3G</t>
  </si>
  <si>
    <t>9s Baterije, cev 20mm - 1.3G</t>
  </si>
  <si>
    <t>"Compact" 9 phát đạn, đường kính 20mm-1,3G</t>
  </si>
  <si>
    <t>Batterien 9 schuss, 20mm Mörser-1.4G</t>
  </si>
  <si>
    <t>9sh Battery of shot tube, 20mm mortars-1.4G</t>
  </si>
  <si>
    <t>Baterie 9ran, 20mm moždíř-1.4G</t>
  </si>
  <si>
    <t>Vatrometna kutija 9 pucnjeva, 20mm cijev-1.4G</t>
  </si>
  <si>
    <t>Batteria di tubi di lancio 9 colpi, mortaio 20 mm-1.4g</t>
  </si>
  <si>
    <t>9 šūvių raketų baterija, 20mm vamzdžiai - 1.4G</t>
  </si>
  <si>
    <t>Wyrzutnie 9 strz. kaliber 20mm 1.4G</t>
  </si>
  <si>
    <t>9s Baterije, cev 20mm - 1.4G</t>
  </si>
  <si>
    <t>"Compact" 9 phát đạn, đường kính 20mm-1.4G</t>
  </si>
  <si>
    <t>Batterien 16 schuss, 20mm Mörser-1.3G</t>
  </si>
  <si>
    <t>16sh Battery of shot tube, 20mm mortars-1.3G</t>
  </si>
  <si>
    <t>Baterie 16ran, 20mm moždíř-1.3G</t>
  </si>
  <si>
    <t>Vatrometna kutija 16 pucnjeva, 20mm cijev-1.3G</t>
  </si>
  <si>
    <t>Batteria di tubi di lancio 16 colpi, mortaio 20 mm-1.3g</t>
  </si>
  <si>
    <t>16 šūvių raketų baterija, 20mm vamzdžiai - 1.3G</t>
  </si>
  <si>
    <t>Wyrzutnie 16 strz. kaliber 20mm 1.3G</t>
  </si>
  <si>
    <t>16s Baterije, cev 20mm - 1.3G</t>
  </si>
  <si>
    <t>"Compact" 16 phát đạn, đường kính 20mm-1,3G</t>
  </si>
  <si>
    <t>Batterien 16 schuss, 20mm Mörser-1.4G</t>
  </si>
  <si>
    <t>16sh Battery of shot tube, 20mm mortars-1.4G</t>
  </si>
  <si>
    <t>Baterie 16ran, 20mm moždíř-1.4G</t>
  </si>
  <si>
    <t>Vatrometna kutija 16 pucnjeva, 20mm cijev-1.4G</t>
  </si>
  <si>
    <t>Batteria di tubi di lancio 16 colpi, mortaio 20 mm-1.4g</t>
  </si>
  <si>
    <t>16 šūvių raketų baterija, 20mm vamzdžiai - 1.4G</t>
  </si>
  <si>
    <t>Wyrzutnie 16 strz. kaliber 20mm 1.4G</t>
  </si>
  <si>
    <t>16s Baterije, cev 20mm - 1.4G</t>
  </si>
  <si>
    <t xml:space="preserve">"Compact" 16 phát đạn, đường kính 20mm-1.4G </t>
  </si>
  <si>
    <t>Batterien 16 schuss, 20mm schräg Mörser-1.3G</t>
  </si>
  <si>
    <t>16sh Battery of shot tube, 20mm fan shaped mortars-1.3G</t>
  </si>
  <si>
    <t>Baterie 16ran, 20mm šikmý moždíř-1.3G</t>
  </si>
  <si>
    <t>Vatrometna kutija 16 pucnjeva, 20mm, oblik cijevi kosi-1.3G</t>
  </si>
  <si>
    <t>Batteria di tubi di lancio 16 colpi, mortaio 20mm a ventaglio-1.3g</t>
  </si>
  <si>
    <t>16 šūvių raketų baterija, 20mm vamzdžiai, šaudo vėduoklės principu - 1.3G</t>
  </si>
  <si>
    <t>Wyrzutnie 16 strz. kaliber 20mm kątowe 1.3G</t>
  </si>
  <si>
    <t>16s Baterije, cev 20mm, FAN shape -1.3G</t>
  </si>
  <si>
    <t xml:space="preserve">"Compact" 16 phát đạn, hình quạt "V" 20mm-1.3G </t>
  </si>
  <si>
    <t>Batterien 25 schuss, 20mm Mörser-1.3G</t>
  </si>
  <si>
    <t>25sh Battery of shot tube, 20mm mortars-1.3G</t>
  </si>
  <si>
    <t>Baterie 25ran, 20mm moždíř-1.3G</t>
  </si>
  <si>
    <t>Vatrometna kutija 25 pucnjeva, 20mm cijev-1.3G</t>
  </si>
  <si>
    <t>Batteria di tubi di lancio 25 colpi, mortaio 20mm-1.3g</t>
  </si>
  <si>
    <t>25 šūvių raketų baterija, 20mm vamzdžiai - 1.3G</t>
  </si>
  <si>
    <t>Wyrzutnie 25 strz. kaliber 20mm 1.3G</t>
  </si>
  <si>
    <t>25s Baterije, cev 20mm - 1.3G</t>
  </si>
  <si>
    <t>"Compact" 25 phát đạn, đường kính 20mm-1,3G</t>
  </si>
  <si>
    <t>Batterien 25 schuss, 20mm Mörser-1.4G</t>
  </si>
  <si>
    <t>25sh Battery of shot tube, 20mm mortars-1.4G</t>
  </si>
  <si>
    <t>Baterie 25ran, 20mm moždíř-1.4G</t>
  </si>
  <si>
    <t>Vatrometna kutija 25 pucnjeva, 20mm cijev-1.4G</t>
  </si>
  <si>
    <t>Batteria di tubi di lancio 25 colpi, mortaio 20mm-1.4g</t>
  </si>
  <si>
    <t>25 šūvių raketų baterija, 20mm vamzdžiai - 1.4G</t>
  </si>
  <si>
    <t>Wyrzutnie 25 strz. kaliber 20mm 1.4G</t>
  </si>
  <si>
    <t>25s Baterije, cev 20mm - 1.4G</t>
  </si>
  <si>
    <t xml:space="preserve">"Compact" 25 phát đạn, đường kính 20mm-1.4G </t>
  </si>
  <si>
    <t>Batterien 49 schuss, 20mm Mörser-1.3G</t>
  </si>
  <si>
    <t>49sh Battery of shot tube, 20mm mortars-1.3G</t>
  </si>
  <si>
    <t>Baterie 49ran, 20mm moždíř-1.3G</t>
  </si>
  <si>
    <t>Vatrometna kutija 49 pucnjeva, 20mm cijev-1.3G</t>
  </si>
  <si>
    <t>Batteria di tubi di lancio 49 colpi, mortaio 20mm-1.3g</t>
  </si>
  <si>
    <t>49 šūvių raketų baterija, 20mm vamzdžiai - 1.3G</t>
  </si>
  <si>
    <t>Wyrzutnie 49 strz. kaliber 20mm 1.3G</t>
  </si>
  <si>
    <t>49s Baterije, cev 20mm - 1.3G</t>
  </si>
  <si>
    <t>"Compact" 49 phát đạn, đường kính 20mm-1,3G</t>
  </si>
  <si>
    <t>Batterien 49 schuss, 20mm Mörser-1.4G</t>
  </si>
  <si>
    <t>49sh Battery of shot tube, 20mm mortars-1.4G</t>
  </si>
  <si>
    <t>Baterie 49ran, 20mm moždíř-1.4G</t>
  </si>
  <si>
    <t>Vatrometna kutija 49 pucnjeva, 20mm cijev-1.4G</t>
  </si>
  <si>
    <t>Batteria di tubi di lancio 49 colpi, mortaio 20mm-1.4g</t>
  </si>
  <si>
    <t>49 šūvių raketų baterija, 20mm vamzdžiai - 1.4G</t>
  </si>
  <si>
    <t>Wyrzutnie 49 strz. kaliber 20mm 1.4G</t>
  </si>
  <si>
    <t>49s Baterije, cev 20mm - 1.4G</t>
  </si>
  <si>
    <t xml:space="preserve">"Compact" 49 phát đạn, đường kính 20mm-1.4G </t>
  </si>
  <si>
    <t>Batterien 49 schuss, 20mm schräg Mörser-1.3G</t>
  </si>
  <si>
    <t>49sh Battery of shot tube, 20mm fan shaped mortars-1.3G</t>
  </si>
  <si>
    <t>Baterie 49ran, 20mm šikmý moždíř-1.3G</t>
  </si>
  <si>
    <t>Vatrometna kutija 49 pucnjeva, 20mm, oblik cijevi kosi-1.3G</t>
  </si>
  <si>
    <t>Batteria di tubi di lancio 49 colpi, mortaio 20mm a ventaglio-1.3g</t>
  </si>
  <si>
    <t>49 šūvių raketų baterija, 20mm vamzdžiai, šaudo vėduoklės principu - 1.3G</t>
  </si>
  <si>
    <t>Wyrzutnie 49 strz. kaliber 20mm kątowe 1.3G</t>
  </si>
  <si>
    <t>49s Baterije, cev 20mm, FAN shape -1.3G</t>
  </si>
  <si>
    <t xml:space="preserve">"Compact" 49 phát đạn, hình quạt "V" 20mm-1.3G </t>
  </si>
  <si>
    <t>Batterien 49 schuss, 20mm schräg Mörser-1.4G</t>
  </si>
  <si>
    <t>49sh Battery of shot tube, 20mm fan shaped mortars-1.4G</t>
  </si>
  <si>
    <t>Baterie 49ran, 20mm šikmý moždíř-1.4G</t>
  </si>
  <si>
    <t>Vatrometna kutija 49 pucnjeva, 20mm, oblik cijevi kosi-1.4G</t>
  </si>
  <si>
    <t>Batteria di tubi di lancio 49 colpi, mortaio 20mm a ventaglio-1.4g</t>
  </si>
  <si>
    <t>49 šūvių raketų baterija, 20mm vamzdžiai, šaudo vėduoklės principu - 1.4G</t>
  </si>
  <si>
    <t>Wyrzutnie 49 strz. kaliber 20mm kątowe 1.4G</t>
  </si>
  <si>
    <t>49s Baterije, cev 20mm, FAN shape -1.4G</t>
  </si>
  <si>
    <t>"Compact" 49 phát đạn, hình quạt "V" 20mm-1.4G</t>
  </si>
  <si>
    <t>Batterien 64 schuss, 20mm Mörser-1.3G</t>
  </si>
  <si>
    <t>64sh Battery of shot tube, 20mm mortars-1.3G</t>
  </si>
  <si>
    <t>Baterie 64ran, 20mm moždíř-1.3G</t>
  </si>
  <si>
    <t>Vatrometna kutija 64 pucnja, 20mm cijev-1.3G</t>
  </si>
  <si>
    <t>Batteria di tubi di lancio 64 colpi, mortaio 20mm-1.3g</t>
  </si>
  <si>
    <t>64 šūvių raketų baterija, 20mm vamzdžiai - 1.3G</t>
  </si>
  <si>
    <t>Wyrzutnie 64 strz. kaliber 20mm 1.3G</t>
  </si>
  <si>
    <t>64s Baterije, cev 20mm - 1.3G</t>
  </si>
  <si>
    <t xml:space="preserve">"Compact" 64 phát đạn, đường kính 20mm-1.3G </t>
  </si>
  <si>
    <t>Batterien 64 schuss, 20mm Mörser-1.4G</t>
  </si>
  <si>
    <t>64sh Battery of shot tube, 20mm mortars-1.4G</t>
  </si>
  <si>
    <t>Baterie 64ran, 20mm moždíř-1.4G</t>
  </si>
  <si>
    <t>Vatrometna kutija 64 pucnja, 20mm cijev-1.4G</t>
  </si>
  <si>
    <t>Batteria di tubi di lancio 64 colpi, mortaio 20mm-1.4g</t>
  </si>
  <si>
    <t>64 šūvių raketų baterija, 20mm vamzdžiai - 1.4G</t>
  </si>
  <si>
    <t>Wyrzutnie 64 strz. kaliber 20mm 1.4G</t>
  </si>
  <si>
    <t>64s Baterije, cev 20mm - 1.4G</t>
  </si>
  <si>
    <t xml:space="preserve">"Compact" 64 phát đạn, đường kính 20mm-1.4G </t>
  </si>
  <si>
    <t>Batterien 66 schuss, 20mm I+V+W+schräg Mörser-1.3G</t>
  </si>
  <si>
    <t>66sh Battery of shot tube, 20mm I+V+W+FAN mortars-1.3G</t>
  </si>
  <si>
    <t>Baterie 66ran, 20mm I+V+W+šikmý moždíř-1.3G</t>
  </si>
  <si>
    <t>Vatrometna kutija 66 pucnjeva, 20mm, oblik cijevi ravni+V+W+kosi - 1.3G</t>
  </si>
  <si>
    <t>66sh Batteria di tubo di tiro, 20mm I+V+W+FAN mortai-1.3G</t>
  </si>
  <si>
    <t>66 šūvių baterija, 20mm I+V+W+vėduoklės formos vamzdžiai, 1.3g</t>
  </si>
  <si>
    <t>Wyrzutnie 66 strz. kaliber 20mm układ  I+V+W+FAN -1.3G</t>
  </si>
  <si>
    <t>66s Baterija 20mm , I+V+W+FAN efekat - 1.3G</t>
  </si>
  <si>
    <t>"Compact" 66 phát đạn, đường kính 20mm, hình I + V + W + FAN-1.3G</t>
  </si>
  <si>
    <t>Batterien 66 schuss, 20mm I+V+W+schräg Mörser-1.4G</t>
  </si>
  <si>
    <t>66sh Battery of shot tube, 20mm I+V+W+FAN mortars- 1.4G</t>
  </si>
  <si>
    <t>Baterie 66ran, 20mm I+V+W+šikmý moždíř-1.4G</t>
  </si>
  <si>
    <t>Vatrometna kutija 66 pucnjeva, 20mm, oblik cijevi ravni+V+W+kosi - 1.4G</t>
  </si>
  <si>
    <t>Batteria da 66sh di tubo di tiro, mortai I+V+W+FAN da 20 mm- 1,4 G</t>
  </si>
  <si>
    <t>Wyrzutnie 66 strz. kaliber 20mm układ  I+V+W+FAN -1.4G</t>
  </si>
  <si>
    <t>66s Baterija 20mm , I+V+W+FAN efekat - 1.4G</t>
  </si>
  <si>
    <t>"Compact" 66 phát đạn, đường kính 20mm, hình I + V + W + FAN-1.4G</t>
  </si>
  <si>
    <t>Batterien 90 schuss, 20mm Mörser-1.3G</t>
  </si>
  <si>
    <t>90sh Battery of shot tube, 20mm mortars-1.3G</t>
  </si>
  <si>
    <t>Baterie 90ran, 20mm moždíř-1.3G</t>
  </si>
  <si>
    <t>Vatrometna kutija 90 pucnjeva, 20mm cijev-1.3G</t>
  </si>
  <si>
    <t>Batteria di tubi di lancio 90 colpi, mortaio 20mm-1.3g</t>
  </si>
  <si>
    <t>90 šūvių raketų baterija, 20mm vamzdžiai - 1.3G</t>
  </si>
  <si>
    <t>Wyrzutnie 90 strz. kaliber 20mm 1.3G</t>
  </si>
  <si>
    <t>90s Baterije, cev 20mm - 1.3G</t>
  </si>
  <si>
    <t xml:space="preserve">"Compact" 90 phát đạn, đường kính 20mm-1,3G </t>
  </si>
  <si>
    <t>Batterien 100 schuss, 20mm Mörser-1.4G</t>
  </si>
  <si>
    <t>100sh Battery of shot tube, 20mm mortars-1.4G</t>
  </si>
  <si>
    <t>Baterie 100ran, 20mm moždíř-1.4G</t>
  </si>
  <si>
    <t>Vatrometna kutija 100 pucnjeva, 20mm cijev-1.4G</t>
  </si>
  <si>
    <t>Batteria di tubi di lancio 100 colpi, mortaio 20mm-1.4g</t>
  </si>
  <si>
    <t>100 šūvių raketų baterija, 20mm vamzdžiai - 1.4G</t>
  </si>
  <si>
    <t>Wyrzutnie 100 strz. kaliber 20mm 1.4G</t>
  </si>
  <si>
    <t>100s Baterije, cev 20mm - 1.4G</t>
  </si>
  <si>
    <t xml:space="preserve">"Compact" 100 phát đạn, đường kính 20mm-1.4G </t>
  </si>
  <si>
    <t>Batterien 100 schuss, 20mm Mörser(alle Richtungen)-1.4G</t>
  </si>
  <si>
    <t>100sh Battery of shot tube, 20mm mortars(all directions)-1.4G</t>
  </si>
  <si>
    <t>Baterie 100ran, 20mm moždíř(všechny směry)-1.4G</t>
  </si>
  <si>
    <t>Vatrometna kutija 100 pucnjeva, 20mm, oblik cijevi (svi smjerovi)-1.4G</t>
  </si>
  <si>
    <t>Batteria di tubi di lancio 100 colpi, mortaio 20mm(tutte le direzioni)-1.4g</t>
  </si>
  <si>
    <t>100 šūvių raketų baterija, 20mm vamzdžiai, šaudo į visas puses - 1.4G</t>
  </si>
  <si>
    <t>Wyrzutnie 100 strz. kaliber 20mm kątowe 1.4G</t>
  </si>
  <si>
    <t>100s Baterije, cev 20mm (u svim pravcima) - 1.4G</t>
  </si>
  <si>
    <t xml:space="preserve">"Compact" 100 phát đạn, đường kính 20mm (tất cả các hướng) -1,4G </t>
  </si>
  <si>
    <t>Batterien 100 schuss, 20mm schräg Mörser-1.3G</t>
  </si>
  <si>
    <t>100sh Battery of shot tube, 20mm fan shaped mortars-1.3G</t>
  </si>
  <si>
    <t>Baterie 100ran, 20mm šikmý moždíř-1.3G</t>
  </si>
  <si>
    <t>Vatrometna kutija 100 pucnjeva, 20mm, oblik cijevi kosi-1.3G</t>
  </si>
  <si>
    <t>Batteria di tubi di lancio 100 colpi, mortaio 20mm a ventaglio-1.3g</t>
  </si>
  <si>
    <t>100 šūvių raketų baterija, 20mm vamzdžiai, šaudo vėduoklės principu - 1.3G</t>
  </si>
  <si>
    <t>Wyrzutnie 100 strz. kaliber 20mm kątowe 1.3G</t>
  </si>
  <si>
    <t>100s Baterije, cev 20mm, FAN shape-1.3G</t>
  </si>
  <si>
    <t xml:space="preserve">"Compact" 100 phát đạn, hình quạt "V" 20mm-1.3G </t>
  </si>
  <si>
    <t>Batterien 130 schuss, 20mm Mörser-1.3G</t>
  </si>
  <si>
    <t>130sh Battery of shot tube, 20mm mortars-1.3G</t>
  </si>
  <si>
    <t>Baterie 130ran, 20mm moždíř-1.3G</t>
  </si>
  <si>
    <t>Vatrometna kutija 100 pucnjeva, 20mm cijev-1.3G</t>
  </si>
  <si>
    <t>Batteria di tubi di lancio 134 colpi, mortaio 20mm-1.3g</t>
  </si>
  <si>
    <t>130 šūvių raketų baterija, 20mm vamzdžiai - 1.3G</t>
  </si>
  <si>
    <t>Wyrzutnie 130 strz. kaliber 20mm 1.3G</t>
  </si>
  <si>
    <t>130s Baterije, cev 20mm - 1.3G</t>
  </si>
  <si>
    <t xml:space="preserve">"Compact" 130 phát đạn, đường kính 20mm-1,3G </t>
  </si>
  <si>
    <t>Batterien 134 schuss, 20mm I+V+W+schräg Mörser-1.3G</t>
  </si>
  <si>
    <t>134sh Battery of shot tube, 20mm I+V+W+FAN mortars-1.3G</t>
  </si>
  <si>
    <t>Baterie 134ran, 20mm I+V+W+šikmý moždíř-1.3G</t>
  </si>
  <si>
    <t>Vatrometna kutija 134 pucnja, 20mm, oblik cijevi ravni+V+W+kosi - 1.3G</t>
  </si>
  <si>
    <t>134sh Batteria di tubo di tiro, 20mm I+V+W+FAN mortai-1.3G</t>
  </si>
  <si>
    <t>134 šūvių baterija, 20mm I+V+W+vėduoklės formos vamzdžiai, 1.3g</t>
  </si>
  <si>
    <t>Wyrzutnie 134 strz. kaliber 20mm układ  I+V+W+FAN -1.3G</t>
  </si>
  <si>
    <t>134s Baterija 20mm , I+V+W+FAN efekat - 1.3G</t>
  </si>
  <si>
    <t>"Compact" 134 phát đạn, đường kính 20mm, hình I + V + W + FAN-1.3G</t>
  </si>
  <si>
    <t>Batterien 135schuss, 20mm schräg Mörser-1.3G</t>
  </si>
  <si>
    <t>135sh Battery of shot tube, 20mm fan shaped mortars-1.3G</t>
  </si>
  <si>
    <t>Baterie 135ran, 20mm šíkmý moždíř-1.3G</t>
  </si>
  <si>
    <t>Vatrometna kutija 135 pucnjeva, 20mm, oblik cijevi kosi-1.3G</t>
  </si>
  <si>
    <t>Batteria di tubi di lancio 135 colpi, mortaio 20mm a ventaglio-1.3g</t>
  </si>
  <si>
    <t>135 šūvių raketų baterija, 20mm vamzdžiai, šaudo vėduoklės principu - 1.3G</t>
  </si>
  <si>
    <t>Wyrzutnie 135 strz. kaliber 20mm kątowe 1.3G</t>
  </si>
  <si>
    <t>135s Baterije, cev 20mm, FAN shape -1.3G</t>
  </si>
  <si>
    <t>"Compact" 135 phát đạn, hình quạt "V" 20mm-1.3G</t>
  </si>
  <si>
    <t>Batterien 200 schuss, 20mm Mörser-1.3G</t>
  </si>
  <si>
    <t>200sh Battery of shot tube, 20mm mortars-1.3G</t>
  </si>
  <si>
    <t>Baterie 200ran, 20mm moždíř-1.3G</t>
  </si>
  <si>
    <t>Vatrometna kutija 200 pucnjeva, 20mm cijev-1.3G</t>
  </si>
  <si>
    <t>Batteria di tubi di lancio 200 colpi, mortaio 20mm-1.3g</t>
  </si>
  <si>
    <t>200 šūvių raketų baterija, 20mm vamzdžiai - 1.3G</t>
  </si>
  <si>
    <t>Wyrzutnie 200 strz. kaliber 20mm 1.3G</t>
  </si>
  <si>
    <t>200s Baterije, cev 20mm - 1.3G</t>
  </si>
  <si>
    <t xml:space="preserve">"Compact" 200 phát đạn, đường kính 20mm-1,3G </t>
  </si>
  <si>
    <t>Batterien 200 schuss, 20mm Mörser(alle Richtungen)-1.3G</t>
  </si>
  <si>
    <t>200sh Battery of shot tube, 20mm mortars(all directions)-1.3G</t>
  </si>
  <si>
    <t>Baterie 200ran, 20mm moždíř(všechny směry)-1.3G</t>
  </si>
  <si>
    <t>Vatrometna kutija 200 pucnjeva, 20mm, oblik cijevi (svi smjerovi)-1.3G</t>
  </si>
  <si>
    <t>Batteria di tubi di lancio 64 colpi, mortaio 20mm(tutte le direzioni)-1.3g</t>
  </si>
  <si>
    <t>200 šūvių raketų baterija, 20mm vamzdžiai, šaudo į visas puses - 1.3G</t>
  </si>
  <si>
    <t>Wyrzutnie 200 strz. kaliber 20mm kątowe 1.3G</t>
  </si>
  <si>
    <t>200s Baterije, cev 20mm (u svim pravcima) - 1.3G</t>
  </si>
  <si>
    <t xml:space="preserve">"Compact" 200 phát đạn, đường kính 20mm (tất cả các hướng) -1,3G </t>
  </si>
  <si>
    <t>Verbundfeurwerk 20mm - F2 - 1.4G</t>
  </si>
  <si>
    <t>Compound fireworks 20mm - F2 - 1.4G</t>
  </si>
  <si>
    <t>Složený ohňostroj 20mm - F2 - 1.4G</t>
  </si>
  <si>
    <t>Vatrometna kombinacija 20mm - F2 - 1.4G</t>
  </si>
  <si>
    <t>Combinato 20mm - F2 - 1.4g</t>
  </si>
  <si>
    <t>Jungtinis fejerverkų rinkinys 20mm -F2 - 1.4G</t>
  </si>
  <si>
    <t>Wyrzutnie złożone kaliber 20mm – F2 – 1.4G</t>
  </si>
  <si>
    <t>Komplet vatromet 20mm-F2-1.4G</t>
  </si>
  <si>
    <t>Pháo hoa - gấp nối 20mm - F2 - 1.4G</t>
  </si>
  <si>
    <t>Verbundfeurwerk 20mm(mit Schutzhülle) - F2 - 1.4G</t>
  </si>
  <si>
    <t>Compound fireworks 20mm(with protective packaging) - F2 - 1.4G</t>
  </si>
  <si>
    <t>Složený ohňostroj 20mm(s ochraným obalem) - F2 - 1.4G</t>
  </si>
  <si>
    <t>Vatrometna kombinacija 20mm(u zaštitnom pakiranju) - F2 - 1.4G</t>
  </si>
  <si>
    <t>Combinato 20mm (con gabbia protettiva) - f2 - 1.4g</t>
  </si>
  <si>
    <t>Jungtinis fejerverkų rinkinys apsaugančioje pakuotėje 20mm -F2 - 1.4G</t>
  </si>
  <si>
    <t>Wyrzutnie złożone kaliber 20mm – F2 – 1.4G (opakowanie ochronne)</t>
  </si>
  <si>
    <t>Komplet vatromet 20mm (sa zaštitom)-F2-1.4G</t>
  </si>
  <si>
    <t>Pháo hoa - gấp nối 20mm (có bao bì bảo vệ) - F2 - 1.4G</t>
  </si>
  <si>
    <t>Verbundfeurwerk 20mm - F2 - 1.3G</t>
  </si>
  <si>
    <t>Compound fireworks 20mm - F2 - 1.3G</t>
  </si>
  <si>
    <t>Složený ohňostroj 20mm - F2 - 1.3G</t>
  </si>
  <si>
    <t>Vatrometna kombinacija 20mm - F2 - 1.3G</t>
  </si>
  <si>
    <t>Combinato 20mm - F2 - 1.3g</t>
  </si>
  <si>
    <t>Jungtinis fejerverkų rinkinys 20mm -F2 - 1.3G</t>
  </si>
  <si>
    <t>Wyrzutnie złożone kaliber 20mm – F2– 1.3G</t>
  </si>
  <si>
    <t>Komplet vatromet 20mm-F2-1.3G</t>
  </si>
  <si>
    <t>Pháo hoa - gấp nối 20mm - F2 - 1.3G</t>
  </si>
  <si>
    <t>Verbundfeurwerk 20mm(mit Schutzhülle) - F2 - 1.3G</t>
  </si>
  <si>
    <t>Compound fireworks 20mm(with protective packaging) - F2 - 1.3G</t>
  </si>
  <si>
    <t>Složený ohňostroj 20mm(s ochraným obalem) - F2 - 1.3G</t>
  </si>
  <si>
    <t>Vatrometna kombinacija 20mm(u zaštitnom pakiranju) - F2 - 1.3G</t>
  </si>
  <si>
    <t>Combinato 20mm (con gabbia protettiva) - f2 - 1.3g</t>
  </si>
  <si>
    <t>Jungtinis fejerverkų rinkinys apsaugančioje pakuotėje 20mm -F2 - 1.3G</t>
  </si>
  <si>
    <t>Wyrzutnie złożone kaliber 20mm – F2– 1.3G (opakowanie ochronne)</t>
  </si>
  <si>
    <t>Komplet vatromet 20mm (sa zaštitom)-F2-1.3G</t>
  </si>
  <si>
    <t>Pháo hoa - gấp nối 20mm (có bao bì bảo vệ) - F2 - 1.3G</t>
  </si>
  <si>
    <t>Verbundfeurwerk F3 - 1.3G</t>
  </si>
  <si>
    <t>Compound fireworks F3 - 1.3G</t>
  </si>
  <si>
    <t>Složený ohňostroj F3 - 1.3G</t>
  </si>
  <si>
    <t>Vatrometna kombinacija 20mm - F3 - 1.3G</t>
  </si>
  <si>
    <t>Combinato F3 - 1.3g</t>
  </si>
  <si>
    <t>Jungtinis fejerverkų rinkinys F3 - 1.3G</t>
  </si>
  <si>
    <t>Wyrzutnie złożone – F3– 1.3G</t>
  </si>
  <si>
    <t>Komplet vatromet -F3-1.3G</t>
  </si>
  <si>
    <t>Pháo hoa tổng hợp F3 - 1.3G</t>
  </si>
  <si>
    <t>Verbundfeurwerk(mit Schutzhülle) F3 - 1.3G</t>
  </si>
  <si>
    <t>Compound fireworks(with protective packaging) F3 - 1.3G</t>
  </si>
  <si>
    <t>Složený ohňostroj(s ochraným obalem) F3 - 1.3G</t>
  </si>
  <si>
    <t>Vatrometna kombinacija 20mm(u zaštitnom pakiranju) - F3 - 1.3G</t>
  </si>
  <si>
    <t>Combinato (con gabbia protettiva) F3 - 1.3g</t>
  </si>
  <si>
    <t>Jungtinis fejerverkų rinkinys apsaugančioje pakuotėje F3 - 1.3G</t>
  </si>
  <si>
    <t>Wyrzutnie złożone – F3– 1.3G (opakowanie ochronne)</t>
  </si>
  <si>
    <t>Komplet vatromet (sa zaštitom)-F3-1.3G</t>
  </si>
  <si>
    <t>Pháo hoa hỗn hợp (có bao bì bảo vệ) F3 - 1.3G</t>
  </si>
  <si>
    <t>Batterien 16 schuss, 25mm Mörser-1.3G</t>
  </si>
  <si>
    <t>16sh Battery of shot tube, 25mm mortars-1.3G</t>
  </si>
  <si>
    <t>Baterie 16ran, 25mm moždíř-1.3G</t>
  </si>
  <si>
    <t>Vatrometna kutija 16 pucnjeva, 25mm cijev-1.3G</t>
  </si>
  <si>
    <t>Batteria di tubi di lancio 16 colpi, mortaio 25mm-1.3g</t>
  </si>
  <si>
    <t>16 šūvių raketų baterija, 25mm vamzdžiai - 1.3G</t>
  </si>
  <si>
    <t>Wyrzutnie 16 strz. kaliber 25mm 1.3G</t>
  </si>
  <si>
    <t>16s Baterije, cev 25mm - 1.3G</t>
  </si>
  <si>
    <t xml:space="preserve">"Compact" 16 phát đạn, đường kính 25mm-1.3G </t>
  </si>
  <si>
    <t>Batterien 16 schuss, 25mm Mörser-1.4G</t>
  </si>
  <si>
    <t>16sh Battery of shot tube, 25mm mortars-1.4G</t>
  </si>
  <si>
    <t>Baterie 16ran, 25mm moždíř-1.4G</t>
  </si>
  <si>
    <t>Vatrometna kutija 16 pucnjeva, 25mm cijev-1.4G</t>
  </si>
  <si>
    <t>Batteria di tubi di lancio 16 colpi, mortaio 25mm-1.4g</t>
  </si>
  <si>
    <t>16 šūvių raketų baterija, 25mm vamzdžiai - 1.4G</t>
  </si>
  <si>
    <t>Wyrzutnie 16 strz. kaliber 25mm 1.4G</t>
  </si>
  <si>
    <t>16s Baterije, cev 25mm - 1.4G</t>
  </si>
  <si>
    <t xml:space="preserve">"Compact" 16 phát đạn, đường kính 25mm-1.4G </t>
  </si>
  <si>
    <t>Batterien 25 schuss, 25mm Mörser-1.3G</t>
  </si>
  <si>
    <t>25sh Battery of shot tube, 25mm mortars-1.3G</t>
  </si>
  <si>
    <t>Baterie 25ran, 25mm moždíř-1.3G</t>
  </si>
  <si>
    <t>Vatrometna kutija 25 pucnjeva, 25mm cijev-1.3G</t>
  </si>
  <si>
    <t>Batteria di tubi di lancio 25 colpi, mortaio 25mm-1.3g</t>
  </si>
  <si>
    <t>25 šūvių raketų baterija, 25mm vamzdžiai - 1.3G</t>
  </si>
  <si>
    <t>Wyrzutnie 25 strz. kaliber 25mm 1.3G</t>
  </si>
  <si>
    <t>25s Baterije, cev 25mm - 1.3G</t>
  </si>
  <si>
    <t>"Compact" 25 phát đạn, đường kính 25mm-1,3G</t>
  </si>
  <si>
    <t>Batterien 25 schuss, 25mm Mörser-1.4G</t>
  </si>
  <si>
    <t>25sh Battery of shot tube, 25mm mortars-1.4G</t>
  </si>
  <si>
    <t>Baterie 25ran, 25mm moždíř-1.4G</t>
  </si>
  <si>
    <t>Vatrometna kutija 25 pucnjeva, 25mm cijev-1.4G</t>
  </si>
  <si>
    <t>Batteria di tubi di lancio 25 colpi, mortaio 25mm-1.4g</t>
  </si>
  <si>
    <t>25 šūvių raketų baterija, 25mm vamzdžiai - 1.4G</t>
  </si>
  <si>
    <t>25s Baterije, cev 25mm - 1.4G</t>
  </si>
  <si>
    <t>"Compact" 25 phát đạn, đường kính 25mm-1,4G</t>
  </si>
  <si>
    <t>Batterien 25 schuss, 25mm schräg Mörser-1.3G</t>
  </si>
  <si>
    <t>25sh Battery of shot tube, 25mm fun shaped mortars-1.3G</t>
  </si>
  <si>
    <t>Baterie 25ran, 25mm šíkmý moždíř-1.3G</t>
  </si>
  <si>
    <t>Vatrometna kutija 25 pucnjeva, 25mm, oblik cijevi kosi-1.3G</t>
  </si>
  <si>
    <t>Batteria di tubi di lancio 25 colpi, mortaio 25mm a ventaglio-1.3g</t>
  </si>
  <si>
    <t>25 šūvių raketų baterija, 25mm vamzdžiai, šaudo vėduoklės principu - 1.3G</t>
  </si>
  <si>
    <t>Wyrzutnie 16 strz. kaliber 25mm kątowe 1.3G</t>
  </si>
  <si>
    <t>25s Baterije, cev 25mm, FAN shape -1.3G</t>
  </si>
  <si>
    <t>"Compact" 25 phát đạn, đường kính 25mm hình ngộ nghĩnh-1.3G</t>
  </si>
  <si>
    <t>Batterien 48 schuss, 25mm gerader+schräg Mörser-1.3G</t>
  </si>
  <si>
    <t>48sh Battery of shot tube, 25mm mortars normal+fan shaped mortars-1.3G</t>
  </si>
  <si>
    <t>Baterie 48ran, 25mm rovný+šikmý moždíř-1.3G</t>
  </si>
  <si>
    <t>Vatrometna kutija 48 pucnjeva, 25mm, oblik cijevi ravni+kosi-1.3G</t>
  </si>
  <si>
    <t>Batteria di tubi di lancio 48 colpi, mortaio 25mm dritto+ventaglio-1.3g</t>
  </si>
  <si>
    <t>48 šūvių raketų baterija, 25mm vamzdžiai, šaudo tiesiai ir vėduoklės principu - 1.3G</t>
  </si>
  <si>
    <t>Wyrzutnie 48 strz. kaliber 25mm proste + kątowe 1.3G</t>
  </si>
  <si>
    <t>48s Baterije, cev 25mm, vertikalni+fan shape - 1.3G</t>
  </si>
  <si>
    <t>"Compact" 48 phát đạn, đường kính 25mm thường + hình quạt "V"-1.3G</t>
  </si>
  <si>
    <t>Batterien 49 schuss, 25mm Mörser-F2-1.3G</t>
  </si>
  <si>
    <t>49sh Battery of shot tube, 25mm mortars-F2-1.3G</t>
  </si>
  <si>
    <t>Baterie 49ran, 25mm moždíř-F2-1.3G</t>
  </si>
  <si>
    <t>Vatrometna kutija 49 pucnjeva, 25mm cijev-F2-1.3G</t>
  </si>
  <si>
    <t>Batteria di tubi di lancio 49 colpi, mortaio 25mm-f2-1.3g</t>
  </si>
  <si>
    <t>49 šūvių raketų baterija, 25mm vamzdžiai -F2 - 1.3G</t>
  </si>
  <si>
    <t>Wyrzutnie 49 strz. kaliber 25mm – F2 – 1.3G</t>
  </si>
  <si>
    <t>49s Baterije, cev 25mm, F2-1.3G</t>
  </si>
  <si>
    <t xml:space="preserve">"Compact" 49 phát đạn, đường kính 25mm-F2-1.3G </t>
  </si>
  <si>
    <t>Batterien 49 schuss, 25mm Mörser-F2-1.4G</t>
  </si>
  <si>
    <t>49sh Battery of shot tube, 25mm mortars-F2-1.4G</t>
  </si>
  <si>
    <t>Baterie 49ran, 25mm moždíř-F2-1.4G</t>
  </si>
  <si>
    <t>Vatrometna kutija 49 pucnjeva, 25mm cijev-F2-1.4G</t>
  </si>
  <si>
    <t>Batteria di tubi di lancio 49 colpi, mortaio 25mm-f2-1.4g</t>
  </si>
  <si>
    <t>49 šūvių raketų baterija, 25mm vamzdžiai -F2 - 1.4G</t>
  </si>
  <si>
    <t>Wyrzutnie 49 strz. kaliber 25mm – F2 – 1.4G</t>
  </si>
  <si>
    <t>49s Baterije, cev 25mm, F2- 1.4G</t>
  </si>
  <si>
    <t>"Compact" 49 phát đạn, đường kính 25mm-F2-1.4G</t>
  </si>
  <si>
    <t>Batterien 49 schuss, 25mm Mörser-F3-1.3G</t>
  </si>
  <si>
    <t>49sh Battery of shot tube, 25mm mortars-F3-1.3G</t>
  </si>
  <si>
    <t>Baterie 49ran, 25mm moždíř-F3-1.3G</t>
  </si>
  <si>
    <t>Vatrometna kutija 49 pucnjeva, 25mm cijev-F3-1.3G</t>
  </si>
  <si>
    <t>Batteria di tubi di lancio 49 colpi, mortaio 25mm-f3-1.3g</t>
  </si>
  <si>
    <t>49 šūvių raketų baterija, 25mm vamzdžiai -F3 - 1.3G</t>
  </si>
  <si>
    <t>Wyrzutnie 49 strz. kaliber 25mm – F3 – 1.3G</t>
  </si>
  <si>
    <t>49s Baterije, cev 25mm, F3-1.3G</t>
  </si>
  <si>
    <t xml:space="preserve">"Compact" 49 phát đạn, đường kính 25mm-F3-1.3G </t>
  </si>
  <si>
    <t>Batterien 49 schuss, 25mm schräg Mörser-1.3G</t>
  </si>
  <si>
    <t>49sh Battery of shot tube, 25mm fan shaped mortars-1.3G</t>
  </si>
  <si>
    <t>Baterie 49ran, 25mm šíkmý moždíř-1.3G</t>
  </si>
  <si>
    <t>Vatrometna kutija 49 pucnjeva, 25mm, oblik cijevi kosi-1.3G</t>
  </si>
  <si>
    <t>Batteria di tubi di lancio 49 colpi, mortaio 25mm a ventaglio-1.3g</t>
  </si>
  <si>
    <t>49 šūvių raketų baterija, 25mm vamzdžiai, šaudo vėduoklės principu - 1.3G</t>
  </si>
  <si>
    <t>Wyrzutnie 49 strz. kaliber 25mm kątowe 1.3G</t>
  </si>
  <si>
    <t>49s Baterije, cev 25mm, FAN shape -1.3G</t>
  </si>
  <si>
    <t>"Compact" 49 phát đạn, đường kính 25mm hình quạt-1.3G</t>
  </si>
  <si>
    <t>Batterien 64 schuss, 25mm Mörser(alle Richtungen)-1.3G</t>
  </si>
  <si>
    <t>64sh Battery of shot tube, 25mm mortars(all directions)-1.3G</t>
  </si>
  <si>
    <t>Baterie 64ran, 25mm moždíř(všechny směry)-1.3G</t>
  </si>
  <si>
    <t>Vatrometna kutija 64 pucnja, 25mm, oblik cijevi (svi smjerovi)-1.3G</t>
  </si>
  <si>
    <t>Batteria di tubi di lancio 64 colpi, mortaio 25mm (tutte le direzioni)-1.3g</t>
  </si>
  <si>
    <t>64 šūvių raketų baterija, 25mm vamzdžiai, šaudo į visas puses - 1.3G</t>
  </si>
  <si>
    <t>Wyrzutnie 64 strz. kaliber 25mm proste + kątowe 1.3G</t>
  </si>
  <si>
    <t>64s Baterije, cev 25mm (u svim pravcima) - 1.3G</t>
  </si>
  <si>
    <t xml:space="preserve">"Compact" 64 phát đạn, đường kính 25mm (tất cả các hướng) -1.3G </t>
  </si>
  <si>
    <t>Batterien 88 schuss, 25mm Mörser-1.3G</t>
  </si>
  <si>
    <t>88sh Battery of shot tube, 25mm mortars-1.3G</t>
  </si>
  <si>
    <t>Baterie 88ran, 25mm moždíř-1.3G</t>
  </si>
  <si>
    <t>Vatrometna kutija 88 pucnjeva, 25mm cijev-1.3G</t>
  </si>
  <si>
    <t>Batteria di tubi di lancio 88 colpi, mortaio 25mm-1.3g</t>
  </si>
  <si>
    <t>88 šūvių raketų baterija, 25mm vamzdžiai - 1.3G</t>
  </si>
  <si>
    <t>Wyrzutnie 88 strz. kaliber 25mm 1.3G</t>
  </si>
  <si>
    <t>88s Baterije, cev 25mm - 1.3G</t>
  </si>
  <si>
    <t>"Compact" 88 phát đạn, đường kính 25mm-1.3G</t>
  </si>
  <si>
    <t>Batterien 89 schuss, 25mm I+W+schräg Mörser-1.3G</t>
  </si>
  <si>
    <t>89sh Battery of shot tube, 25mm I+W+FAN mortars-1.3G</t>
  </si>
  <si>
    <t>Baterie 89ran, 25mm I+W+šikmý moždíř-1.3G</t>
  </si>
  <si>
    <t>Vatrometna kutija 89 pucnjeva, 25mm, oblik cijevi ravni+W+kosi - 1.3G</t>
  </si>
  <si>
    <t>89sh Batteria di tubo di tiro, mortai I+W+FAN da 25 mm-1,3 G</t>
  </si>
  <si>
    <t>89 šūvių baterija, 25mm I+V+W+vėduoklės formos vamzdžiai, 1.3g</t>
  </si>
  <si>
    <t>Wyrzutnie 89 strz. kaliber 25mm układ  I+W+FAN -1.3G</t>
  </si>
  <si>
    <t>89s Baterija 25mm , I+W+FAN efekat - 1.3G</t>
  </si>
  <si>
    <t>"Compact" 89 phát đạn, đường kính 25mm, hình I + W + FAN-1.3G</t>
  </si>
  <si>
    <t>Batterien 100 schuss, 25mm Mörser-1.3G</t>
  </si>
  <si>
    <t>100sh Battery of shot tube, 25mm mortars-1.3G</t>
  </si>
  <si>
    <t>Baterie 100ran, 25mm moždíř-1.3G</t>
  </si>
  <si>
    <t>Vatrometna kutija 100 pucnjeva, 25mm cijev-1.3G</t>
  </si>
  <si>
    <t>Batteria di tubi di lancio 100 colpi, mortaio 25mm-1.3g</t>
  </si>
  <si>
    <t>100 šūvių raketų baterija, 25mm vamzdžiai - 1.3G</t>
  </si>
  <si>
    <t>Wyrzutnie 100 strz. kaliber 25mm 1.3G</t>
  </si>
  <si>
    <t>100s Baterije, cev 25mm - 1.3G</t>
  </si>
  <si>
    <t>"Compact" 100 phát đạn, đường kính 25mm-1,3G</t>
  </si>
  <si>
    <t>Verbundfeurwerk 25mm - F2 - 1.4G</t>
  </si>
  <si>
    <t>Compound fireworks 25mm - F2 - 1.4G</t>
  </si>
  <si>
    <t>Složený ohňostroj 25mm - F2 - 1.4G</t>
  </si>
  <si>
    <t>Vatrometna kombinacija 25mm-F2-1.4G</t>
  </si>
  <si>
    <t>Combinato 25mm - F2 - 1.4g</t>
  </si>
  <si>
    <t>Jungtinis fejerverkų rinkinys 25mm -F2 - 1.4G</t>
  </si>
  <si>
    <t>Wyrzutnie złożone kaliber 25mm – F2 – 1.4G</t>
  </si>
  <si>
    <t>Komplet vatromet 25mm-F2-1.4G</t>
  </si>
  <si>
    <t>Pháo hoa - gấp nối 25mm - F2 - 1.4G</t>
  </si>
  <si>
    <t>Verbundfeurwerk(mit Schutzhülle) 25mm - F2 - 1.4G</t>
  </si>
  <si>
    <t>Compound fireworks(with protective packaging) 25mm - F2 - 1.4G</t>
  </si>
  <si>
    <t>Složený ohňostroj(s ochraným obalem) 25mm - F2 - 1.4G</t>
  </si>
  <si>
    <t>Vatrometna kombinacija 25mm(u zaštitnom pakiranju) - F2 - 1.4G</t>
  </si>
  <si>
    <t>Combinato (con gabbia protettiva) 25mm - f2 - 1.4g</t>
  </si>
  <si>
    <t>Jungtinis fejerverkų rinkinys apsaugančioje pakuotėje 25mm -F2 - 1.4G</t>
  </si>
  <si>
    <t>Wyrzutnie złożone kaliber 25mm – F2– 1.4G (opakowanie ochronne)</t>
  </si>
  <si>
    <t>Komplet vatromet 25mm (sa zaštitom)-F2-1.4G</t>
  </si>
  <si>
    <t>Pháo hoa - gấp nối (có bao bì bảo vệ) 25mm - F2 - 1.4G</t>
  </si>
  <si>
    <t>Verbundfeurwerk 25mm - F2 - 1.3G</t>
  </si>
  <si>
    <t>Compound fireworks 25mm - F2 - 1.3G</t>
  </si>
  <si>
    <t>Složený ohňostroj 25mm - F2 - 1.3G</t>
  </si>
  <si>
    <t>Vatrometna kombinacija 25mm-F2-1.3G</t>
  </si>
  <si>
    <t>Combinato 25mm - F2 - 1.3g</t>
  </si>
  <si>
    <t>Jungtinis fejerverkų rinkinys 25mm -F2 - 1.3G</t>
  </si>
  <si>
    <t>Wyrzutnie złożone kaliber 25mm – F2 – 1.3G</t>
  </si>
  <si>
    <t>Komplet vatromet 25mm -F2-1.3G</t>
  </si>
  <si>
    <t>Pháo hoa - gấp nối 25mm - F2 - 1.3G</t>
  </si>
  <si>
    <t>Verbundfeurwerk(mit Schutzhülle) 25mm - F2 - 1.3G</t>
  </si>
  <si>
    <t>Compound fireworks(with protective packaging) 25mm - F2 - 1.3G</t>
  </si>
  <si>
    <t>Složený ohňostroj(s ochraným obalem) 25mm - F2 - 1.3G</t>
  </si>
  <si>
    <t>Vatrometna kombinacija 25mm(u zaštitnom pakiranju) - F2 - 1.3G</t>
  </si>
  <si>
    <t>Combinato (con gabbia protettiva) 25mm - f2 - 1.3g</t>
  </si>
  <si>
    <t>Jungtinis fejerverkų rinkinys apsaugančioje pakuotėje 25mm -F2 - 1.3G</t>
  </si>
  <si>
    <t>Wyrzutnie złożone kaliber 25mm – F2– 1.3G (opakowanie ochronne)</t>
  </si>
  <si>
    <t>Komplet vatromet 25mm (sa zaštitom)-F2-1.3G</t>
  </si>
  <si>
    <t>Pháo hoa - gấp nối (có bao bì bảo vệ) 25mm - F2 - 1.3G</t>
  </si>
  <si>
    <t>Verbundfeurwerk 25mm - F3 - 1.3G</t>
  </si>
  <si>
    <t>Compound fireworks 25mm - F3 - 1.3G</t>
  </si>
  <si>
    <t>Složený ohňostroj 25mm - F3 - 1.3G</t>
  </si>
  <si>
    <t>Vatrometna kombinacija 25mm-F3-1.3G</t>
  </si>
  <si>
    <t>Combinato 25mm - F3 - 1.3g</t>
  </si>
  <si>
    <t>Jungtinis fejerverkų rinkinys 25mm -F3 - 1.3G</t>
  </si>
  <si>
    <t>Komplet vatromet 25mm -F3-1.3G</t>
  </si>
  <si>
    <t>Pháo hoa - gấp nối 25mm - F3 - 1.3G</t>
  </si>
  <si>
    <t>Verbundfeurwerk(mit Schutzhülle) 25mm - F3 - 1.3G</t>
  </si>
  <si>
    <t>Compound fireworks(with protective packaging) 25mm - F3 - 1.3G</t>
  </si>
  <si>
    <t>Složený ohňostroj(s ochraným obalem) 25mm - F3 - 1.3G</t>
  </si>
  <si>
    <t>Vatrometna kombinacija 25mm(u zaštitnom pakiranju) - F3 - 1.3G</t>
  </si>
  <si>
    <t>Combinato (con gabbia protettiva) 25mm - f3 - 1.3g</t>
  </si>
  <si>
    <t>Jungtinis fejerverkų rinkinys apsaugančioje pakuotėje 25mm -F3 - 1.3G</t>
  </si>
  <si>
    <t>Wyrzutnie złożone kaliber 25mm – F3– 1.3G (opakowanie ochronne)</t>
  </si>
  <si>
    <t>Komplet vatromet 25mm (sa zaštitom)-F3-1.3G</t>
  </si>
  <si>
    <t>Pháo hoa - gấp nối (có bao bì bảo vệ) 25mm - F3 - 1.3G</t>
  </si>
  <si>
    <t>Batterien 300 schuss, 25mm Mörser-1.3G</t>
  </si>
  <si>
    <t>300sh Battery of shot tube, 25mm mortars-1.3G</t>
  </si>
  <si>
    <t>Baterie 300ran, 25mm moždíř-1.3G</t>
  </si>
  <si>
    <t>Vatrometna kutija 300 pucnjeva, 25mm cijev-1.3G</t>
  </si>
  <si>
    <t>Batteria di tubi di lancio 300 colpi, mortaio 25mm-1.3g</t>
  </si>
  <si>
    <t>300 šūvių raketų baterija, 25mm vamzdžiai - 1.3G</t>
  </si>
  <si>
    <t>Wyrzutnie 300 strz. kaliber 25mm 1.3G</t>
  </si>
  <si>
    <t>300s Baterije, cev 25mm - 1.3G</t>
  </si>
  <si>
    <t>"Compact" 300 phát đạn, đường kính 25mm-1,3G</t>
  </si>
  <si>
    <t>Batterien 16 schuss, 30mm Mörser-1.3G</t>
  </si>
  <si>
    <t>16sh Battery of shot tube, 30mm mortars-1.3G</t>
  </si>
  <si>
    <t>Baterie 16ran, 30mm moždíř-1.3G</t>
  </si>
  <si>
    <t>Vatrometna kutija 16 pucnjeva, 30mm cijev-1.3G</t>
  </si>
  <si>
    <t>Batteria di tubi di lancio 16 colpi, mortaio 30mm-1.3g</t>
  </si>
  <si>
    <t>16 šūvių raketų baterija, 30mm vamzdžiai - 1.3G</t>
  </si>
  <si>
    <t>Wyrzutnie 16 strz. kaliber 30mm 1.3G</t>
  </si>
  <si>
    <t>16s Baterije, cev 30mm - 1.3G</t>
  </si>
  <si>
    <t>"Compact" 16 phát đạn, đường kính 30mm-1.3G</t>
  </si>
  <si>
    <t>Batterien 16 schuss, 30mm Mörser-1.4G</t>
  </si>
  <si>
    <t>16sh Battery of shot tube, 30mm mortars-1.4G</t>
  </si>
  <si>
    <t>Baterie 16ran, 30mm moždíř-1.4G</t>
  </si>
  <si>
    <t>Vatrometna kutija 16 pucnjeva, 30mm cijev-1.4G</t>
  </si>
  <si>
    <t>Batteria di tubi di lancio 16 colpi, mortaio 30mm-1.4g</t>
  </si>
  <si>
    <t>16 šūvių raketų baterija, 30mm vamzdžiai - 1.4G</t>
  </si>
  <si>
    <t>Wyrzutnie 16 strz. kaliber 30mm 1.4G</t>
  </si>
  <si>
    <t>16s Baterije, cev 30mm - 1.4G</t>
  </si>
  <si>
    <t xml:space="preserve">"Compact" 16 phát đạn, đường kính 30mm-1.4G </t>
  </si>
  <si>
    <t>Batterien 19 schuss, 30mm Mörser-1.3G</t>
  </si>
  <si>
    <t>19sh Battery of shot tube, 30mm mortars-1.3G</t>
  </si>
  <si>
    <t>Baterie 19ran, 30mm moždíř-1.3G</t>
  </si>
  <si>
    <t>Vatrometna kutija 19 pucnjeva, 30mm cijev-1.3G</t>
  </si>
  <si>
    <t>Batteria di tubi di lancio 19 colpi, mortaio 30mm-1.3g</t>
  </si>
  <si>
    <t>19 šūvių raketų baterija, 30mm vamzdžiai - 1.3G</t>
  </si>
  <si>
    <t>Wyrzutnie 19 strz. kaliber 30mm 1.3G</t>
  </si>
  <si>
    <t>19s Baterije, cev 30mm - 1.3G</t>
  </si>
  <si>
    <t>"Compact" 19 phát đạn, đường kính 30mm-1.3G</t>
  </si>
  <si>
    <t>Batterien 19 schuss, 30mm Mörser-1.4G</t>
  </si>
  <si>
    <t>19sh Battery of shot tube, 30mm mortars-1.4G</t>
  </si>
  <si>
    <t>Baterie 19ran, 30mm moždíř-1.4G</t>
  </si>
  <si>
    <t>Vatrometna kutija 19 pucnjeva, 30mm cijev-1.4G</t>
  </si>
  <si>
    <t>Batteria di tubi di lancio 19 colpi, mortaio 30mm-1.4g</t>
  </si>
  <si>
    <t>19 šūvių raketų baterija, 30mm vamzdžiai - 1.4G</t>
  </si>
  <si>
    <t>Wyrzutnie 19 strz. kaliber 30mm 1.4G</t>
  </si>
  <si>
    <t>19s Baterije, cev 30mm - 1.4G</t>
  </si>
  <si>
    <t>"Compact" 19 phát đạn, đường kính 30mm-1.4G</t>
  </si>
  <si>
    <t>Batterien 25 schuss, 30mm Mörser F3 - 1.3G</t>
  </si>
  <si>
    <t>25sh Battery of shot tube, 30mm mortars F3 - 1.3G</t>
  </si>
  <si>
    <t>Baterie 25ran, 30mm moždíř F3 - 1.3G</t>
  </si>
  <si>
    <t>Vatrometna kutija 25 pucnjeva, 30mm cijev-F3-1.3G</t>
  </si>
  <si>
    <t>Batteria di tubi di lancio 25 colpi, mortaio 30mm f3 -1.3g</t>
  </si>
  <si>
    <t>25 šūvių raketų baterija, 30mm vamzdžiai F3 - 1.3G</t>
  </si>
  <si>
    <t>Wyrzutnie 25 strz. kaliber 30mm – F3 - 1.3G</t>
  </si>
  <si>
    <t>25s Baterije, cev 30mm, F3-1.3G</t>
  </si>
  <si>
    <t>"Compact" 25 phát đạn, đường kính 30mm F3 - 1.3G</t>
  </si>
  <si>
    <t>Batterien 25 schuss, 30mm Mörser F2 -1.4G</t>
  </si>
  <si>
    <t>25sh Battery of shot tube, 30mm mortars F2 -1.4G</t>
  </si>
  <si>
    <t>Baterie 25ran, 30mm moždíř F2 -1.4G</t>
  </si>
  <si>
    <t>Vatrometna kutija 25 pucnjeva, 30mm cijev-F2-1.4G</t>
  </si>
  <si>
    <t>Batteria di tubi di lancio 25 colpi, mortaio 30mm f2 -1.4g</t>
  </si>
  <si>
    <t>25 šūvių raketų baterija, 30mm vamzdžiai F2 - 1.4G</t>
  </si>
  <si>
    <t>Wyrzutnie 25 strz. kaliber 30mm – F2 – 1.4G</t>
  </si>
  <si>
    <t>25s Baterije, cev 30mm, F2-1.4G</t>
  </si>
  <si>
    <t>"Compact" 25 phát đạn, đường kính 30mm F2 -1.4G</t>
  </si>
  <si>
    <t>Batterien 25 schuss, 30mm Mörser-1.3G</t>
  </si>
  <si>
    <t>25sh Battery of shot tube, 30mm mortars-1.3G</t>
  </si>
  <si>
    <t>Baterie 25ran, 30mm moždíř-1.3G</t>
  </si>
  <si>
    <t>Vatrometna kutija 25 pucnjeva, 30mm cijev-1.3G</t>
  </si>
  <si>
    <t>Batteria di tubi di lancio 25 colpi, mortaio 30mm -1.3g</t>
  </si>
  <si>
    <t>25 šūvių raketų baterija, 30mm vamzdžiai - 1.3G</t>
  </si>
  <si>
    <t>Wyrzutnie 25 strz. kaliber 30mm 1.3G</t>
  </si>
  <si>
    <t>25s Baterije, cev 30mm - 1.3G</t>
  </si>
  <si>
    <t>"Compact" 25 phát đạn, đường kính 30mm-1,3G</t>
  </si>
  <si>
    <t>Batterien 25 schuss, 30mm Mörser-1.4G</t>
  </si>
  <si>
    <t>25sh Battery of shot tube, 30mm mortars-1.4G</t>
  </si>
  <si>
    <t>Baterie 25ran, 30mm moždíř-1.4G</t>
  </si>
  <si>
    <t>Vatrometna kutija 25 pucnjeva, 30mm cijev-1.4G</t>
  </si>
  <si>
    <t>Batteria di tubi di lancio 25 colpi, mortaio 30mm -1.4g</t>
  </si>
  <si>
    <t>25 šūvių raketų baterija, 30mm vamzdžiai - 1.4G</t>
  </si>
  <si>
    <t>Wyrzutnie 25 strz. kaliber 30mm 1.4G</t>
  </si>
  <si>
    <t>25s Baterije, cev 30mm - 1.4G</t>
  </si>
  <si>
    <t xml:space="preserve">"Compact" 25 phát đạn, đường kính 30mm-1.4G </t>
  </si>
  <si>
    <t>Batterien 25 schuss, 30mm schräg Mörser-1.4G</t>
  </si>
  <si>
    <t>25sh Battery of shot tube, 30mm fan shaped mortars-1.4G</t>
  </si>
  <si>
    <t>Baterie 25ran, 30mm šikmý moždíř-1.4G</t>
  </si>
  <si>
    <t>Vatrometna kutija 25 pucnjeva, 30mm, oblik cijevi kosi-1.4G</t>
  </si>
  <si>
    <t>25 šūvių raketų baterija, 30mm vamzdžiai, šaudo vėduoklės principu - 1.4G</t>
  </si>
  <si>
    <t>Wyrzutnie 25 strz. kaliber 30mm kątowe 1.4G</t>
  </si>
  <si>
    <t>25s Baterije, cev 30mm, FAN shape -1.4G</t>
  </si>
  <si>
    <t xml:space="preserve">"Compact" 25 phát đạn, hình quạt "V" 30mm-1.4G </t>
  </si>
  <si>
    <t>Batterien 29 schuss, 30mm V+W+schräg Mörser-1.3G</t>
  </si>
  <si>
    <t>29sh Battery of shot tube, 30mm V+W+FAN mortars-1.3G</t>
  </si>
  <si>
    <t>Baterie 29ran, 30mm V+W+šikmý moždíř-1.3G</t>
  </si>
  <si>
    <t>Vatrometna kutija 29 pucnjeva, 30mm, oblik cijevi V+W+kosi - 1.3G</t>
  </si>
  <si>
    <t>29sh Batteria di tubo di tiro, mortai V+W+FAN da 30 mm-1,3 G</t>
  </si>
  <si>
    <t>29 šūvių baterija, 30mm I+V+W+vėduoklės formos vamzdžiai, 1.3g</t>
  </si>
  <si>
    <t>Wyrzutnie 29 strz. kaliber 30mm układ  V+W+FAN -1.3G</t>
  </si>
  <si>
    <t>29s Baterija 30mm , V+W+FAN efekat - 1.3G</t>
  </si>
  <si>
    <t>"Compact" 29 phát đạn, đường kính 30mm, hình V + W + FAN-1.3G</t>
  </si>
  <si>
    <t>Batterien 29 schuss, 30mm V+W+schräg Mörser-1.4G</t>
  </si>
  <si>
    <t>29sh Battery of shot tube, 30mm V+W+FAN mortars-1.4G</t>
  </si>
  <si>
    <t>Baterie 29ran, 30mm V+W+šikmý moždíř-1.4G</t>
  </si>
  <si>
    <t>Vatrometna kutija 29 pucnjeva, 30mm, oblik cijevi V+W+kosi - 1.4G</t>
  </si>
  <si>
    <t>Batteria da 29 ciglia di tubo di tiro, mortai V+W+FAN da 30 mm-1,4 G</t>
  </si>
  <si>
    <t>29s Baterija 30mm , V+W+FAN efekat - 1.4G</t>
  </si>
  <si>
    <t>"Compact" 29 phát đạn, đường kính 30mm, hình V + W + FAN-1.4G</t>
  </si>
  <si>
    <t>Batterien 36 schuss, 30mm Mörser-1.3G</t>
  </si>
  <si>
    <t>36sh Battery of shot tube, 30mm mortars-1.3G</t>
  </si>
  <si>
    <t>Baterie 36ran, 30mm moždíř-1.3G</t>
  </si>
  <si>
    <t>Vatrometna kutija 36 pucnjeva, 30mm cijev-1.3G</t>
  </si>
  <si>
    <t>Batteria di tubi di lancio 36 colpi, mortaio 30mm -1.3g</t>
  </si>
  <si>
    <t>36 šūvių raketų baterija, 30mm vamzdžiai - 1.3G</t>
  </si>
  <si>
    <t>Wyrzutnie 36 strz. kaliber 30mm 1.3G</t>
  </si>
  <si>
    <t>36s Baterije, cev 30mm - 1.3G</t>
  </si>
  <si>
    <t xml:space="preserve">"Compact" 36 phát đạn, đường kính 30mm-1,3G </t>
  </si>
  <si>
    <t>Batterien 36 schuss, 30mm schräg Mörser-1.3G</t>
  </si>
  <si>
    <t>36sh Battery of shot tube, 30mm fan shape mortars-1.3G</t>
  </si>
  <si>
    <t>Baterie 36ran, 30mm šikmý moždíř-1.3G</t>
  </si>
  <si>
    <t>Vatrometna kutija 36 pucnjeva, 30mm, oblik cijevi kosi-1.3G</t>
  </si>
  <si>
    <t>Batteria di tubi di lancio 36 colpi, mortaio 30mm a ventaglio -1.3g</t>
  </si>
  <si>
    <t>36 šūvių raketų baterija, 30mm vamzdžiai, šaudo vėduoklės principu - 1.3G</t>
  </si>
  <si>
    <t>Wyrzutnie 36 strz. kaliber 30mm kątowe 1.3G</t>
  </si>
  <si>
    <t>36s Baterije, cev 30mm, FAN shape -1.3G</t>
  </si>
  <si>
    <t xml:space="preserve">"Compact" 36 phát đạn, hình quạt "V" 30mm-1.3G </t>
  </si>
  <si>
    <t>Batterien 49 schuss, 30mm Mörser-1.3G</t>
  </si>
  <si>
    <t>49sh Battery of shot tube, 30mm mortars-1.3G</t>
  </si>
  <si>
    <t>Baterie 49ran, 30mm moždíř-1.3G</t>
  </si>
  <si>
    <t>Vatrometna kutija 49 pucnjeva, 30mm cijev-1.3G</t>
  </si>
  <si>
    <t>Batteria di tubi di lancio 49 colpi, mortaio 30mm -1.3g</t>
  </si>
  <si>
    <t>49 šūvių raketų baterija, 30mm vamzdžiai - 1.3G</t>
  </si>
  <si>
    <t>Wyrzutnie 49 strz. kaliber 30mm 1.3G</t>
  </si>
  <si>
    <t>49s Baterije, cev 30mm - 1.3G</t>
  </si>
  <si>
    <t xml:space="preserve">"Compact" 49 phát đạn, đường kính 30mm-1,3G </t>
  </si>
  <si>
    <t>Batterien 49 schuss, 30mm schräg Mörser-1.3G</t>
  </si>
  <si>
    <t>49sh Battery of shot tube, 30mm fan shaped mortars-1.3G</t>
  </si>
  <si>
    <t>Baterie 49ran, 30mm šikmý moždíř-1.3G</t>
  </si>
  <si>
    <t>Vatrometna kutija 49 pucnjeva, 30mm, oblik cijevi kosi-1.3G</t>
  </si>
  <si>
    <t>Batteria di tubi di lancio 49 colpi, mortaio 30mm a ventaglio -1.3g</t>
  </si>
  <si>
    <t>49 šūvių raketų baterija, 30mm vamzdžiai, šaudo vėduoklės principu - 1.3G</t>
  </si>
  <si>
    <t>Wyrzutnie 49 strz. kaliber 30mm kątowe 1.3G</t>
  </si>
  <si>
    <t>49s Baterije, cev 30mm, FAN shape -1.3G</t>
  </si>
  <si>
    <t xml:space="preserve">"Compact" 49 phát đạn, hình quạt "V" 30mm-1.3G </t>
  </si>
  <si>
    <t>Batterien 50 schuss, 30mm Mörser-1.3G</t>
  </si>
  <si>
    <t>50sh Battery of shot tube, 30mm mortars-1.3G</t>
  </si>
  <si>
    <t>Baterie 50ran, 30mm moždíř-1.3G</t>
  </si>
  <si>
    <t>Vatrometna kutija 50 pucnjeva, 30mm cijev-1.3G</t>
  </si>
  <si>
    <t>Batteria di tubi di lancio 50 colpi, mortaio 30mm -1.3g</t>
  </si>
  <si>
    <t>50 šūvių raketų baterija, 30mm vamzdžiai - 1.3G</t>
  </si>
  <si>
    <t>Wyrzutnie 50 strz. kaliber 30mm 1.3G</t>
  </si>
  <si>
    <t>50s Baterije, cev 30mm - 1.3G</t>
  </si>
  <si>
    <t xml:space="preserve">"Compact" 50 phát đạn, đường kính 30mm-1.3G </t>
  </si>
  <si>
    <t>Batterien 64 schuss, 30mm Mörser-1.3G</t>
  </si>
  <si>
    <t>64sh Battery of shot tube, 30mm mortars-1.3G</t>
  </si>
  <si>
    <t>Baterie 64ran, 30mm moždíř-1.3G</t>
  </si>
  <si>
    <t>Vatrometna kutija 64 pucnja, 30mm cijev-1.3G</t>
  </si>
  <si>
    <t>Batteria di tubi di lancio 64 colpi, mortaio 30mm -1.3g</t>
  </si>
  <si>
    <t>64 šūvių raketų baterija, 30mm vamzdžiai - 1.3G</t>
  </si>
  <si>
    <t>Wyrzutnie 64 strz. kaliber 30mm 1.3G</t>
  </si>
  <si>
    <t>64s Baterije, cev 30mm - 1.3G</t>
  </si>
  <si>
    <t xml:space="preserve">"Compact" 64 phát đạn, đường kính 30mm-1.3G </t>
  </si>
  <si>
    <t>Batterien 64 schuss, 30mm schräg Mörser-1.3G</t>
  </si>
  <si>
    <t>64sh Battery of shot tube, 30mm fan shaped mortars-1.3G</t>
  </si>
  <si>
    <t>Baterie 64ran, 30mm šikmý moždíř-1.3G</t>
  </si>
  <si>
    <t>Vatrometna kutija 64 pucnja, 30mm, oblik cijevi kosi-1.3G</t>
  </si>
  <si>
    <t>Batteria di tubi di lancio 64 colpi, mortaio 30mm a ventaglio-1.3g</t>
  </si>
  <si>
    <t>64 šūvių raketų baterija, 30mm vamzdžiai, šaudo vėduoklės principu - 1.3G</t>
  </si>
  <si>
    <t>Wyrzutnie 64 strz. kaliber 30mm kątowe 1.3G</t>
  </si>
  <si>
    <t>64s Baterije, cev 30mm, FAN shape -1.3G</t>
  </si>
  <si>
    <t>"Compact" 64 phát đạn, hình quạt "V" 30mm-1.3G</t>
  </si>
  <si>
    <t>Batterien 64 schuss, 30mm gerader+schräg Mörser-1.3G</t>
  </si>
  <si>
    <t>Battery of shot tube 64sh, 30mm mortars normal+fan shape-1.3G</t>
  </si>
  <si>
    <t>Baterie 64ran, 30mm rovný+šikmý moždíř-1.3G</t>
  </si>
  <si>
    <t>Vatrometna kutija 64 pucnja, 30mm, oblik cijevi ravni+ kosi-1.3G</t>
  </si>
  <si>
    <t>Batteria di tubi di lancio 64 colpi, mortaio 30mm dritto+ventaglio -1.3g</t>
  </si>
  <si>
    <t>64 šūvių raketų baterija, 30mm vamzdžiai, šaudo tiesiai ir vėduoklės principu - 1.3G</t>
  </si>
  <si>
    <t>Wyrzutnie 64 strz. kaliber 30mm proste + kątowe 1.3G</t>
  </si>
  <si>
    <t>64s Baterije, cev 30mm, I+FAN - 1.3G</t>
  </si>
  <si>
    <t>"Compact" 64 phát đạn, đường kính 30mm hình "I" + "V"-1.3G</t>
  </si>
  <si>
    <t>Batterien 64 schuss, 30mm gerader+schräg+V+W Mörser-1.3G</t>
  </si>
  <si>
    <t>Battery of shot tube 64sh, 30mm mortars normal+fan+V+W shape-1.3G</t>
  </si>
  <si>
    <t>Baterie 64ran, 30mm rovný+šikmý+V+W moždíř-1.3G</t>
  </si>
  <si>
    <t>Vatrometna kutija 64 pucnja, 30mm, oblik cijevi ravni+ kosi+V+W-1.3G</t>
  </si>
  <si>
    <t>Batteria di tubi di lancio 64 colpi, mortaio 30mm dritto+ventaglio+v+w -1.3g</t>
  </si>
  <si>
    <t>64 šūvių raketų baterija, 30mm vamzdžiai, šaudo tiesiai, vėduoklės principu+V+W - 1.3G</t>
  </si>
  <si>
    <t>64s Baterije, cev 30mm, I+FAN+V+W  - 1.3G</t>
  </si>
  <si>
    <t>"Compact" 64 phát đạn, đường kính 30mm hình "I" + quạt + V + W-1.3G</t>
  </si>
  <si>
    <t>Verbundfeurwerk 30mm - F2 - 1.4G</t>
  </si>
  <si>
    <t>Compound fireworks 30mm - F2 - 1.4G</t>
  </si>
  <si>
    <t>Složený ohňostroj 30mm - F2 - 1.4G</t>
  </si>
  <si>
    <t>Vatrometna kombinacija 30mm-F2-1.4G</t>
  </si>
  <si>
    <t>Combinato 30mm - F2 - 1.4g</t>
  </si>
  <si>
    <t>Jungtinis fejerverkų rinkinys 30mm -F2 - 1.4G</t>
  </si>
  <si>
    <t>Wyrzutnie złożone – F2– 1.4G</t>
  </si>
  <si>
    <t>Komplet vatromet 30mm -F2-1.4G</t>
  </si>
  <si>
    <t>Pháo hoa - gấp nối 30mm - F2 - 1.4G</t>
  </si>
  <si>
    <t>Verbundfeurwerk(mit Schutzhülle) 30mm - F2 - 1.4G</t>
  </si>
  <si>
    <t>Compound fireworks(with protective packaging) 30mm - F2 - 1.4G</t>
  </si>
  <si>
    <t>Složený ohňostroj(s ochraným obalem) 30mm - F2 - 1.4G</t>
  </si>
  <si>
    <t>Vatrometna kombinacija 30mm(u zaštitnom pakiranju) - F2 - 1.4G</t>
  </si>
  <si>
    <t>Combinato (con gabbia protettiva) 30mm - f2 - 1.4g</t>
  </si>
  <si>
    <t>Jungtinis fejerverkų rinkinys apsaugančioje pakuotėje 30mm -F2 - 1.4G</t>
  </si>
  <si>
    <t>Wyrzutnie złożone – F2– 1.4G (opakowanie chronne)</t>
  </si>
  <si>
    <t>Komplet vatromet 30mm (sa zaštitom) -F2-1.4G</t>
  </si>
  <si>
    <t>Pháo hoa hỗn hợp (có bao bì bảo vệ) 30mm - F2 - 1.4G</t>
  </si>
  <si>
    <t>Verbundfeurwerk 30mm - F3 - 1.3G</t>
  </si>
  <si>
    <t>Compound fireworks 30mm - F3 - 1.3G</t>
  </si>
  <si>
    <t>Složený ohňostroj 30mm - F3 - 1.3G</t>
  </si>
  <si>
    <t>Vatrometna kombinacija 30mm-F3-1.3G</t>
  </si>
  <si>
    <t>Combinato 30mm - F3 - 1.3g</t>
  </si>
  <si>
    <t>Jungtinis fejerverkų rinkinys 30mm -F3 - 1.3G</t>
  </si>
  <si>
    <t>Komplet vatromet 30mm -F3-1.3G</t>
  </si>
  <si>
    <t>Pháo hoa hỗn hợp 30mm - F3 - 1.3G</t>
  </si>
  <si>
    <t>Verbundfeurwerk(mit Schutzhülle) 30mm - F3 - 1.3G</t>
  </si>
  <si>
    <t>Compound fireworks(with protective packaging) 30mm - F3 - 1.3G</t>
  </si>
  <si>
    <t>Složený ohňostroj(s ochraným obalem) 30mm - F3 - 1.3G</t>
  </si>
  <si>
    <t>Vatrometna kombinacija 30mm(u zaštitnom pakiranju) - F3 - 1.3G</t>
  </si>
  <si>
    <t>Combinato (con gabbia protettiva) 30mm - f3 - 1.3g</t>
  </si>
  <si>
    <t>Jungtinis fejerverkų rinkinys apsaugančioje pakuotėje 30mm -F3 - 1.3G</t>
  </si>
  <si>
    <t>Wyrzutnie złożone – F3– 1.3G (opakowanie chronne)</t>
  </si>
  <si>
    <t>Komplet vatromet 30mm (sa zaštitom) -F3-1.3G</t>
  </si>
  <si>
    <t>Pháo hoa hỗn hợp (có bao bì bảo vệ) 30mm - F3 - 1.3G</t>
  </si>
  <si>
    <t>Batterien 200 schuss, 30mm Mörser-1.3G</t>
  </si>
  <si>
    <t>200sh Battery of shot tube, 30mm mortars-1.3G</t>
  </si>
  <si>
    <t>Baterie 200ran, 30mm moždíř-1.3G</t>
  </si>
  <si>
    <t>Vatrometna kutija 200 pucnjeva, 30mm cijev-1.3G</t>
  </si>
  <si>
    <t>Batteria di tubi di lancio 200 colpi, mortaio 30 mm - 1.3g</t>
  </si>
  <si>
    <t>200 šūvių raketų baterija, 30mm vamzdžiai - 1.3G</t>
  </si>
  <si>
    <t>Wyrzutnie 200 strz. kaliber 30mm 1.3G</t>
  </si>
  <si>
    <t>200s Baterije, cev 30mm - 1.3G</t>
  </si>
  <si>
    <t xml:space="preserve">"Compact" 200 phát đạn, đường kính 30mm-1,3G </t>
  </si>
  <si>
    <t>Batterien 16 schuss, 50mm Mörser-1.3G</t>
  </si>
  <si>
    <t>16sh Battery, 50mm mortars-1.3G</t>
  </si>
  <si>
    <t>Baterie 16ran, 50mm moždíř-1.3G</t>
  </si>
  <si>
    <t>Vatrometna kutija 16 pucnjeva, 50mm cijev-1.3G</t>
  </si>
  <si>
    <t>Batteria 16 colpi, mortaio 50 mm - 1.3g</t>
  </si>
  <si>
    <t>16 šūvių raketų baterija, 50mm vamzdžiai - 1.3G</t>
  </si>
  <si>
    <t>Wyrzutnie 16 strz. kaliber 50mm 1.3G</t>
  </si>
  <si>
    <t>16s Baterije, cev 50mm - 1.3G</t>
  </si>
  <si>
    <t xml:space="preserve">"Compact" 16 phát đạn, đường kính 50mm-1.3G </t>
  </si>
  <si>
    <t>Batterien 25 schuss, 45mm Mörser-1.3G</t>
  </si>
  <si>
    <t>25sh Battery, 45mm mortars-1.3G</t>
  </si>
  <si>
    <t>Baterie 25ran, 45mm moždíř-1.3G</t>
  </si>
  <si>
    <t>Vatrometna kutija 25 pucnjeva, 45mm cijev-1.3G</t>
  </si>
  <si>
    <t>Batteria 25 colpi, mortaio 45 mm - 1.3g</t>
  </si>
  <si>
    <t>25 šūvių raketų baterija, 45mm vamzdžiai - 1.3G</t>
  </si>
  <si>
    <t>Wyrzutnie 25 strz. kaliber 45mm 1.3G</t>
  </si>
  <si>
    <t>25s Baterije, cev 45mm - 1.3G</t>
  </si>
  <si>
    <t>"Compact" 25 phát đạn, đường kính 45mm-1.3G</t>
  </si>
  <si>
    <t>Batterien 25 schuss, 50mm Mörser-1.3G</t>
  </si>
  <si>
    <t>25sh Battery, 50mm mortars-1.3G</t>
  </si>
  <si>
    <t>Baterie 25ran, 50mm moždíř-1.3G</t>
  </si>
  <si>
    <t>Vatrometna kutija 25 pucnjeva, 50mm cijev-1.3G</t>
  </si>
  <si>
    <t>Batteria 25 colpi, mortaio 50 mm - 1.3g</t>
  </si>
  <si>
    <t>25 šūvių raketų baterija, 50mm vamzdžiai - 1.3G</t>
  </si>
  <si>
    <t>Wyrzutnie 25 strz. kaliber 50mm 1.3G</t>
  </si>
  <si>
    <t>25s Baterije, cev 50mm - 1.3G</t>
  </si>
  <si>
    <t>"Compact" 25 phát đạn, đường kính 50mm-1.3G</t>
  </si>
  <si>
    <t>Batterien 35 schuss, 45mm Mörser-1.3G</t>
  </si>
  <si>
    <t>35sh Battery, 45mm mortars-1.3G</t>
  </si>
  <si>
    <t>Baterie 35ran, 45mm moždíř-1.3G</t>
  </si>
  <si>
    <t>Vatrometna kutija 35 pucnjeva, 45mm cijev-1.3G</t>
  </si>
  <si>
    <t>Batteria 35 colpi, mortaio 45 mm - 1.3g</t>
  </si>
  <si>
    <t>35 šūvių raketų baterija, 45mm vamzdžiai - 1.3G</t>
  </si>
  <si>
    <t>Wyrzutnie 35 strz. kaliber 45mm 1.3G</t>
  </si>
  <si>
    <t>35s Baterije, cev 45mm - 1.3G</t>
  </si>
  <si>
    <t>"Compact" 35 phát đạn, đường kính 45mm-1.3G</t>
  </si>
  <si>
    <t>Batterien 36 schuss, 45mm Mörser-1.3G</t>
  </si>
  <si>
    <t>36sh Battery, 45mm mortars-1.3G</t>
  </si>
  <si>
    <t>Baterie 36ran, 45mm moždíř-1.3G</t>
  </si>
  <si>
    <t>Vatrometna kutija 36 pucnjeva, 45mm cijev-1.3G</t>
  </si>
  <si>
    <t>Batteria 36 colpi, mortaio 45 mm - 1.3g</t>
  </si>
  <si>
    <t>36 šūvių raketų baterija, 45mm vamzdžiai - 1.3G</t>
  </si>
  <si>
    <t>Wyrzutnie 36 strz. kaliber 45mm 1.3G</t>
  </si>
  <si>
    <t>36s Baterije, cev 45mm - 1.3G</t>
  </si>
  <si>
    <t>"Compact" 36 phát đạn, đường kính 45mm-1.3G</t>
  </si>
  <si>
    <t>Batterien 36 schuss, 50mm Mörser-1.3G</t>
  </si>
  <si>
    <t>36sh Battery, 50mm mortars-1.3G</t>
  </si>
  <si>
    <t>Baterie 36ran, 50mm moždíř-1.3G</t>
  </si>
  <si>
    <t>Vatrometna kutija 36 pucnjeva, 50mm cijev-1.3G</t>
  </si>
  <si>
    <t>Batteria 36 colpi, mortaio 50 mm - 1.3g</t>
  </si>
  <si>
    <t>36 šūvių raketų baterija, 50mm vamzdžiai - 1.3G</t>
  </si>
  <si>
    <t>Wyrzutnie 36 strz. kaliber 50mm 1.3G</t>
  </si>
  <si>
    <t>36s Baterije, cev 50mm - 1.3G</t>
  </si>
  <si>
    <t>"Compact" 36 phát đạn, đường kính 50mm-1.3G</t>
  </si>
  <si>
    <t>Verbundfeurwerk 45+50mm - 1.3G</t>
  </si>
  <si>
    <t>Compound fireworks 45+50mm - 1.3G</t>
  </si>
  <si>
    <t>Složený ohňostroj 45+50mm - 1.3G</t>
  </si>
  <si>
    <t>Vatrometna kombinacija 45+50mm-1.3G</t>
  </si>
  <si>
    <t>Combinati 45+50mm - 1.3g</t>
  </si>
  <si>
    <t>Jungtinis fejerverkų rinkinys 45+50mm - 1.3G</t>
  </si>
  <si>
    <t>Wyrzutnie złożone 45+50mm  1.3G</t>
  </si>
  <si>
    <t>Komplet vatromet 45+50mm -1.3G</t>
  </si>
  <si>
    <t>Pháo hoa - gấp nối 45 + 50mm - 1,3G</t>
  </si>
  <si>
    <t>Verbundfeurwerk(mit Schutzhülle) 45+50mm - 1.3G</t>
  </si>
  <si>
    <t>Compound fireworks(with protective packaging) 45+50mm - 1.3G</t>
  </si>
  <si>
    <t>Složený ohňostroj(s ochraným obalem) 45+50mm - 1.3G</t>
  </si>
  <si>
    <t>Vatrometna kombinacija 45+50mm(u zaštitnom pakiranju) - 1.3G</t>
  </si>
  <si>
    <t>Combinati (con gabbia protettiva) 45+50mm - 1.3g</t>
  </si>
  <si>
    <t>Jungtinis fejerverkų rinkinys apsaugančioje pakuotėje 45+50mm - 1.3G</t>
  </si>
  <si>
    <t>Wyrzutnie złożone 45+50mm  1.3G (opakowanie ochronne)</t>
  </si>
  <si>
    <t>Komplet vatromet 45+50mm (sa zaštitom) -1.3G</t>
  </si>
  <si>
    <t>Pháo hoa - gấp nối (có bao bì bảo vệ) 45 + 50mm - 1,3G</t>
  </si>
  <si>
    <t>Batterien Mine 250 schuss, 50mm Mörser-1.3G</t>
  </si>
  <si>
    <t>250sh Battery of mines, 50mm mortars-1.3G</t>
  </si>
  <si>
    <t>Baterie min 250ran, 50mm moždíř-1.3G</t>
  </si>
  <si>
    <t>Kutija mina 250 pucnjeva, 50mm cijev-1.3G</t>
  </si>
  <si>
    <t>Batteria di stelle 250 colpi, mortaio 50 mm - 1.3g</t>
  </si>
  <si>
    <t>250 šūvių minų baterija, 50mm vamzdžiai - 1.3G</t>
  </si>
  <si>
    <t>Wyrzutnie, miny 250 strz. kaliber 50mm 1.3G</t>
  </si>
  <si>
    <t>250s Baterija mina, cev 50mm - 1.3G</t>
  </si>
  <si>
    <t>"Compact" 250 phát đạn, đường kính 50mm-1,3G</t>
  </si>
  <si>
    <t>Batterien 24 schuss, 63mm Mörser-1.3G</t>
  </si>
  <si>
    <t>24sh Battery, 63mm mortars-1.3G</t>
  </si>
  <si>
    <t>Baterie 24ran, 63mm moždíř-1.3G</t>
  </si>
  <si>
    <t>Vatrometna kutija 24 pucnja, 63mm cijev-1.3G</t>
  </si>
  <si>
    <t>Batteria 24 colpi, mortaio 63 mm - 1.3g</t>
  </si>
  <si>
    <t>24 šūvių baterija, 63mm vamzdžiai - 1.3G</t>
  </si>
  <si>
    <t>Wyrzutnie 24 strz. kaliber 63mm 1.3G</t>
  </si>
  <si>
    <t>24s Baterije, cev 63mm - 1.3G</t>
  </si>
  <si>
    <t xml:space="preserve">"Compact" 24 phát đạn, đường kính 63mm-1.3G </t>
  </si>
  <si>
    <t>Batterien 49 schuss, 63mm Mörser-1.3G</t>
  </si>
  <si>
    <t>49sh Battery,63mm mortars-1.3G</t>
  </si>
  <si>
    <t>Baterie 49ran, 63mm moždíř-1.3G</t>
  </si>
  <si>
    <t>Vatrometna kutija 49 pucnjeva, 63mm cijev-1.3G</t>
  </si>
  <si>
    <t>Batteria 49 colpi, mortaio 63 mm - 1.3g</t>
  </si>
  <si>
    <t>49 šūvių baterija, 63mm vamzdžiai - 1.3G</t>
  </si>
  <si>
    <t>Wyrzutnie 49 strz. kaliber 63mm 1.3G</t>
  </si>
  <si>
    <t>49s Baterije, cev 63mm - 1.3G</t>
  </si>
  <si>
    <t>"Compact" 49 phát đạn, đường kính 63mm-1.3G</t>
  </si>
  <si>
    <t>Batterien 16 schuss, 75mm Mörser-1.3G</t>
  </si>
  <si>
    <t>16sh Battery, 75mm mortars-1.3G</t>
  </si>
  <si>
    <t>Baterie 16ran, 75mm moždíř-1.3G</t>
  </si>
  <si>
    <t>Vatrometna kutija 16 pucnjeva, 75mm cijev-1.3G</t>
  </si>
  <si>
    <t>Batteria 16 colpi, mortaio 75 mm - 1.3g</t>
  </si>
  <si>
    <t>16 šūvių baterija, 75mm vamzdžiai - 1.3G</t>
  </si>
  <si>
    <t>Wyrzutnie 16 strz. kaliber 75mm 1.3G</t>
  </si>
  <si>
    <t>16s Baterije, cev 75mm - 1.3G</t>
  </si>
  <si>
    <t xml:space="preserve">"Compact" 16 phát đạn, đường kính 75mm-1.3G </t>
  </si>
  <si>
    <t>Batterien 25 schuss, 75mm Mörser-1.3G</t>
  </si>
  <si>
    <t>25sh Battery, 75mm mortars-1.3G</t>
  </si>
  <si>
    <t>Baterie 25ran, 75mm moždíř-1.3G</t>
  </si>
  <si>
    <t>Vatrometna kutija 25 pucnjeva, 75mm cijev-1.3G</t>
  </si>
  <si>
    <t>Batteria 25 colpi, mortaio 75 mm - 1.3g</t>
  </si>
  <si>
    <t>25 šūvių baterija, 75mm vamzdžiai - 1.3G</t>
  </si>
  <si>
    <t>Wyrzutnie 25 strz. kaliber 75mm 1,3G</t>
  </si>
  <si>
    <t>25s Baterije, cev 75mm - 1.3G</t>
  </si>
  <si>
    <t xml:space="preserve">"Compact" 25 phát đạn, đường kính 75mm-1.3G </t>
  </si>
  <si>
    <t>Batterie mit mehreren Kalibern bis zu 30 mm</t>
  </si>
  <si>
    <t>Multi-caliber battery up to 30mm</t>
  </si>
  <si>
    <t>Multikaliberní kompakty do 30mm</t>
  </si>
  <si>
    <t>Vatrometna kutija (više različitih promjera - do 30mm)</t>
  </si>
  <si>
    <t>Batterie calibri misti fino a 30 mm</t>
  </si>
  <si>
    <t>Daugiakalibrė baterija iki 30mm</t>
  </si>
  <si>
    <t>Wyrzutnie multikaliber powyżej 30mm</t>
  </si>
  <si>
    <t>Višekalibarska Baterija do 30 mm</t>
  </si>
  <si>
    <t>"Compact" cùng nhiều đường kính đến 30mm</t>
  </si>
  <si>
    <t>Batterien 33 schuss, 20+25mm gerader+schräg+V+S Mörser-1.3G</t>
  </si>
  <si>
    <t>33sh Battery of shot tube, 20+25mm mortars normal+fan shaped+V+S mortars-1.3G</t>
  </si>
  <si>
    <t>Baterie 33ran, 20+25mm rovný+šikmý+V+S moždíř-1.3G</t>
  </si>
  <si>
    <t>Vatrometna kutija 33 pucnja, 20+25mm, oblik cijevi ravni+kosi+V+S-1.3G</t>
  </si>
  <si>
    <t>Batteria di tubi di lancio 33 colpi, mortaio 20+25 mm dritto+ventaglio+mortai v+s - 1.3g</t>
  </si>
  <si>
    <t>33 šūvių raketų baterija, 20+25mm vamzdžiai, šaudo tiesiai, vėduoklės principu+V+S - 1.3G</t>
  </si>
  <si>
    <t>Wyrzutnie 33 strz. kaliber 20+25mm układ I+V+S 1.3G</t>
  </si>
  <si>
    <t>33s Baterija, cevi 20+25mm, I+FAN+V+S-1.3G</t>
  </si>
  <si>
    <t>"Compact" 33 phát đạn, đường kính 20 + 25mm + hình "I" + "V" + "S"-1.3G</t>
  </si>
  <si>
    <t>Batterien 39 schuss, 20+25+30mm schräg+V+W Mörser-1.3G</t>
  </si>
  <si>
    <t>39sh Battery of shot tube, 20+25+30mm mortars fan shaped+V+W mortars-1.3G</t>
  </si>
  <si>
    <t>Baterie 39ran, 20+25+30mm šikmý+V+W moždíř-1.3G</t>
  </si>
  <si>
    <t>Vatrometna kutija 39 pucnja, 20+25+30mm, oblik cijevi kosi+V+W-1.3G</t>
  </si>
  <si>
    <t>Batteria di tubi di lancio 39 colpi, mortaio 20+25+30 mm dritto+ventaglio+mortai v+s - 1.3g</t>
  </si>
  <si>
    <t>39 šūvių raketų baterija, 20+25+30mm vamzdžiai, šaudo vėduoklės principu+V+W - 1.3G</t>
  </si>
  <si>
    <t>Wyrzutnie 33 strz. kaliber 20+25+30mm układ V+W 1.3G</t>
  </si>
  <si>
    <t>39s Baterija, cevi 20+25+30mm,FAN+V+W-1.3G</t>
  </si>
  <si>
    <t>"Compact" 39 Pin dạng Đạn trụ bay nổ, đường kính 20 + 25 + 30mm hình quạt "V" + "W"-1.3G</t>
  </si>
  <si>
    <t>Batterien 39 schuss, 20+25+30mm schräg+V+W Mörser-1.4G</t>
  </si>
  <si>
    <t>39sh Battery of shot tube, 20+25+30mm mortars fan shaped+V+W mortars-1.4G</t>
  </si>
  <si>
    <t>Baterie 39ran, 20+25+30mm šikmý+V+W moždíř-1.4G</t>
  </si>
  <si>
    <t>Vatrometna kutija 39 pucnja, 20+25+30mm, oblik cijevi kosi+V+W-1.4G</t>
  </si>
  <si>
    <t>Batteria di tubi di lancio 39 colpi, mortaio 20+25+30 mm dritto+ventaglio+mortai v+s - 1.4g</t>
  </si>
  <si>
    <t>39 šūvių raketų baterija, 20+25+30mm vamzdžiai, šaudo vėduoklės principu+V+W - 1.4G</t>
  </si>
  <si>
    <t>Wyrzutnie 33 strz. kaliber 20+25+30mm układ V+W 1.4G</t>
  </si>
  <si>
    <t>39s Baterija, cevi 20+25+30mm,FAN+V+W-1.4G</t>
  </si>
  <si>
    <t>"Compact" 39 phát đạn, đường kính 20 + 25 + 30mm hình quạt "V" + "W"-1.4G</t>
  </si>
  <si>
    <t>Batterien + Fontäne 40 schuss, 20+25+30mm Mörser-1.3G</t>
  </si>
  <si>
    <t>40sh Battery of shot tube+fountain, 20+25+30mm mortars-1.3G</t>
  </si>
  <si>
    <t>Baterie + Fontána 40ran, 20+25+30mm moždíř-1.3G</t>
  </si>
  <si>
    <t>Vatrometna kutija + fontana 40 pucnjeva, 20+25+30mm cijevi-1.3G</t>
  </si>
  <si>
    <t>Batteria di tubi di lancio+fontana 40 colpi, mortaio 20+25+30 mm - 1.3g</t>
  </si>
  <si>
    <t>40 šūvių raketų+fontanų baterija, 20+25+30mm vamzdžiai - 1.3G</t>
  </si>
  <si>
    <t>Wyrzutnie z fontanną 40 strz. , kaliber 20+25+30mm 1.3G</t>
  </si>
  <si>
    <t>40s Baterija +Fontana, cevi 20+25+30mm-1.3G</t>
  </si>
  <si>
    <t>"Compact" Pin 40 của Đạn trụ bay nổ + đài phun, đường kính 20 + 25 + 30mm-1.3G</t>
  </si>
  <si>
    <t>Batterien 41 schuss, 20+25+30mm gerader+schräg+S Mörser+V Mörser -1.3G</t>
  </si>
  <si>
    <t>41sh Battery, 20+25+30mm standard+fan shaped+S mortars+V mortars-1.3G</t>
  </si>
  <si>
    <t>Baterie 41ran, 20+25+30mm rovný+šikmý+S moždíř+V moždíř-1.3G</t>
  </si>
  <si>
    <t>Vatrometna kutija 41 pucanj, 20+25+30mm, oblik cijevi ravni+kosi+S+V-1.3G</t>
  </si>
  <si>
    <t>Batteria 41 colpi, mortai 20+25+30mm standard+mortai s+mortai v-1.3g</t>
  </si>
  <si>
    <t>41 šūvio baterija, 20+25+30mm vamzdžiai, šaudo tiesiai, vėduoklės principu+S+V - 1.3G</t>
  </si>
  <si>
    <t>Wyrzutnie 41 strz. kaliber 20+25+30mm układ I+S+V 1.3G</t>
  </si>
  <si>
    <t>41s Baterija, cevi 20+25+30mm, I+FAN+S+V-1.3G</t>
  </si>
  <si>
    <t>"Compact" Pin 41, đường kính 20 + 25 + 30mm + hình quạt "V" + "S"-1.3G</t>
  </si>
  <si>
    <t>Batterien 41 schuss, 20+25+30mm gerader+schräg+S Mörser+V Mörser -1.4G</t>
  </si>
  <si>
    <t>41sh Battery, 20+25+30mm standard+fan shaped+S mortars+V mortars-1.4G</t>
  </si>
  <si>
    <t>Baterie 41ran, 20+25+30mm rovný+šikmý+S moždíř+V moždíř-1.4G</t>
  </si>
  <si>
    <t>Vatrometna kutija 41 pucanj, 20+25+30mm, oblik cijevi ravni+kosi+S+V-1.4G</t>
  </si>
  <si>
    <t>Batteria 41 colpi, mortai 20+25+30mm standard+mortai s+mortai v-1.4g</t>
  </si>
  <si>
    <t>41 šūvio baterija, 20+25+30mm vamzdžiai, šaudo tiesiai, vėduoklės principu+S+V - 1.4G</t>
  </si>
  <si>
    <t>Wyrzutnie 41 strz. kaliber 20+25+30mm układ I+S+V 1.4G</t>
  </si>
  <si>
    <t>41s Baterija, cevi 20+25+30mm, I+FAN+S+V-1.4G</t>
  </si>
  <si>
    <t>"Compact" Pin 41, đường kính 20 + 25 + 30mm + hình quạt "V" + "S"-1.4G</t>
  </si>
  <si>
    <t>Batterien 50 schuss, 20+25+30mm gerader+schräg+S Mörser-1.3G</t>
  </si>
  <si>
    <t>50sh Battery of shot tube, 20+25+30mm standart+fan shaped+S mortars-1.3G</t>
  </si>
  <si>
    <t>Baterie 50ran, 20+25+30mm rovný+šikmý+S moždíř-1.3G</t>
  </si>
  <si>
    <t>Vatrometna kutija 50 pucnjeva, 20+25+30mm, oblik cijevi ravni+kosi+S-1.3G</t>
  </si>
  <si>
    <t>Batteria 50 colpi, mortai 20+25+30mm standard+ventaglio+mortai s-1.3g</t>
  </si>
  <si>
    <t>50 šūvių raketų baterija, 20+25+30mm vamzdžiai, šaudo tiesiai, vėduoklės principu+S - 1.3G</t>
  </si>
  <si>
    <t>Wyrzutnie 50 strz. kaliber 20+25+30mm układ I+S+V 1.3G</t>
  </si>
  <si>
    <t>50s Baterija, cevi 20+25+30mm, I+FAN+S-1.3G</t>
  </si>
  <si>
    <t xml:space="preserve">"Compact" 50 phát đạn, 20 + 25 + 30mm standart + hình quạt + "S"-1.3G </t>
  </si>
  <si>
    <t>Batterien 50 schuss, 20+25+30mm gerader+schräg+S Mörser-1.4G</t>
  </si>
  <si>
    <t>50sh Battery of shot tube, 20+25+30mm standart+fan shaped+S mortars -1.4G</t>
  </si>
  <si>
    <t>Baterie 50ran, 20+25+30mm rovný+šikmý+S moždíř-1.4G</t>
  </si>
  <si>
    <t>Vatrometna kutija 50 pucnjeva, 20+25+30mm, oblik cijevi ravni+kosi+S-1.4G</t>
  </si>
  <si>
    <t>Batteria 50 colpi, mortai 20+25+30mm standard+ventaglio+mortai s-1.4g</t>
  </si>
  <si>
    <t>50 šūvių raketų baterija, 20+25+30mm vamzdžiai, šaudo tiesiai, vėduoklės principu+S - 1.4G</t>
  </si>
  <si>
    <t>Wyrzutnie 50 strz. kaliber 20+25+30mm układ I+S+V 1.4G</t>
  </si>
  <si>
    <t>50s Baterija, cevi 20+25+30mm, I+FAN+S-1.4G</t>
  </si>
  <si>
    <t xml:space="preserve">"Compact" 50 phát đạn, 20 + 25 + 30mm standart + hình quạt + "S" -1.4G </t>
  </si>
  <si>
    <t>Batterien 52 schuss, 14+20mm Mörser-1.3G</t>
  </si>
  <si>
    <t>52sh Battery, 14+20mm mortars-1.3G</t>
  </si>
  <si>
    <t>Baterie 52ran, 14+20mm moždíř-1.3G</t>
  </si>
  <si>
    <t>Vatrometna kutija 52 pucnja, 14+20mm cijevi-1.3G</t>
  </si>
  <si>
    <t>Batteria 52 colpi, 14+20mm-1.3g</t>
  </si>
  <si>
    <t>52 šūvių baterija, 14+20mm vamzdžiai - 1.3G</t>
  </si>
  <si>
    <t>Wyrzutnie 52 strz. kaliber 14+20+25mm 1.3G</t>
  </si>
  <si>
    <t>52s Baterija, cevi 14+20mm -1.3G</t>
  </si>
  <si>
    <t>"Compact"  52 phát đạn, đường kính 14 + 20mm-1.3G</t>
  </si>
  <si>
    <t>Batterien 52 schuss, 14+20mm Mörser-1.4G</t>
  </si>
  <si>
    <t>52sh Battery, 14+20mm mortars-1.4G</t>
  </si>
  <si>
    <t>Baterie 52ran, 14+20mm moždíř-1.4G</t>
  </si>
  <si>
    <t>Vatrometna kutija 52 pucnja, 14+20mm cijevi-1.4G</t>
  </si>
  <si>
    <t>Batteria 52 colpi, 14+20mm-1.4g</t>
  </si>
  <si>
    <t>52 šūvių baterija, 14+20mm vamzdžiai - 1.4G</t>
  </si>
  <si>
    <t>Wyrzutnie 52 strz. kaliber 14+20+25mm 1.4G</t>
  </si>
  <si>
    <t>52s Baterija, cevi 14+20mm -1.4G</t>
  </si>
  <si>
    <t>"Compact" 52 phát đạn, đường kính 14 + 20mm-1.4G</t>
  </si>
  <si>
    <t>Batterien 64 schuss, 20+25mm Mörser-1.3G</t>
  </si>
  <si>
    <t>64sh Battery of shot tube, 20+25mm mortars-1.3G</t>
  </si>
  <si>
    <t>Baterie 64ran, 20+25mm moždíř-1.3G</t>
  </si>
  <si>
    <t>Vatrometna kutija 64 pucnja, 20+25mm cijevi-1.3G</t>
  </si>
  <si>
    <t>Batteria di tubi di lancio 64 colpi, mortai 20+25mm-1.3g</t>
  </si>
  <si>
    <t>64 šūvių raketų baterija, 20+25mm vamzdžiai - 1.3G</t>
  </si>
  <si>
    <t>Wyrzutnie 64 strz. kaliber 20+25mm 1.3G</t>
  </si>
  <si>
    <t>64s Baterija, cevi 20+25mm -1.3G</t>
  </si>
  <si>
    <t xml:space="preserve">"Compact" 64 phát đạn, đường kính 20 + 25mm-1.3G </t>
  </si>
  <si>
    <t>Batterien 64 schuss, 20+25mm Mörser-1.4G</t>
  </si>
  <si>
    <t>64sh Battery of shot tube, 20+25mm mortars-1.4G</t>
  </si>
  <si>
    <t>Baterie 64ran, 20+25mm moždíř-1.4G</t>
  </si>
  <si>
    <t>Vatrometna kutija 64 pucnja, 20+25mm cijevi-1.4G</t>
  </si>
  <si>
    <t>Batteria di tubi di lancio 64 colpi, mortai 20+25mm-1.4g</t>
  </si>
  <si>
    <t>64 šūvių raketų baterija, 20+25mm vamzdžiai - 1.4G</t>
  </si>
  <si>
    <t>Wyrzutnie 64 strz. kaliber 20+25mm 1.4G</t>
  </si>
  <si>
    <t>64s Baterija, cevi 20+25mm -1.4G</t>
  </si>
  <si>
    <t xml:space="preserve">"Compact" 64 phát đạn, đường kính 20 + 25mm-1.4G </t>
  </si>
  <si>
    <t>Batterien 64 schuss, 25+30mm Mörser-1.3G</t>
  </si>
  <si>
    <t>64sh Battery of shot tube, 25+30mm mortars-1.3G</t>
  </si>
  <si>
    <t>Baterie 64ran, 25+30mm moždíř-1.3G</t>
  </si>
  <si>
    <t>Vatrometna kutija 64 pucnja, 25+30mm cijevi-1.3G</t>
  </si>
  <si>
    <t>Batteria di tubi di lancio 64 colpi, mortai 25+30mm-1.3g</t>
  </si>
  <si>
    <t>64 šūvių raketų baterija, 25+30mm vamzdžiai - 1.3G</t>
  </si>
  <si>
    <t>Wyrzutnie 64 strz. kaliber 25+30mm 1.3G</t>
  </si>
  <si>
    <t>64s Baterija, cevi 25+30mm -1.3G</t>
  </si>
  <si>
    <t xml:space="preserve">"Compact" 64 phát đạn, đường kính 25 + 30mm-1.3G </t>
  </si>
  <si>
    <t>Batterien 68 schuss, 20+25+30mm Mörser(alle Richtungen)-1.3G</t>
  </si>
  <si>
    <t>68sh Battery of shot tube, 20+25+30mm mortars(all directions)-1.3G</t>
  </si>
  <si>
    <t>Baterie 68ran, 20+25+30mm moždíř(všechny směry)-1.3G</t>
  </si>
  <si>
    <t>Vatrometna kutija 68 pucnjeva, 20+25+30mm(svi smjerovi)-1.3G</t>
  </si>
  <si>
    <t>Batteria di tubi di lancio 68 colpi, mortai 20+25+30mm (tutte lòe direzioni)-1.3g</t>
  </si>
  <si>
    <t>68 šūvių raketų baterija, 20+25+30mm vamzdžiai, šaudo į visas puses - 1.3G</t>
  </si>
  <si>
    <t>Wyrzutnie 68 strz. kaliber 20+25+30mm proste+kątowe 1.3G</t>
  </si>
  <si>
    <t>68s Baterija, cevi 20+25+30mm (u svim pravcima) -1.3G</t>
  </si>
  <si>
    <t xml:space="preserve">"Compact" 68 phát đạn, đường kính 20 + 25 + 30mm (tất cả các hướng) -1.3G </t>
  </si>
  <si>
    <t>Batterien 68 schuss, 20+25+30mm Mörser(alle Richtungen)-1.4G</t>
  </si>
  <si>
    <t>68sh Battery of shot tube, 20+25+30mm mortars(all directions)-1.4G</t>
  </si>
  <si>
    <t>Baterie 68ran, 20+25+30mm moždíř(všechny směry)-1.4G</t>
  </si>
  <si>
    <t>Vatrometna kutija 68 pucnjeva, 20+25+30mm(svi smjerovi)-1.4G</t>
  </si>
  <si>
    <t>Batteria di tubi di lancio 68 colpi, mortai 20+25+30mm (tutte lòe direzioni)-1.4g</t>
  </si>
  <si>
    <t>68 šūvių raketų baterija, 20+25+30mm vamzdžiai, šaudo į visas puses - 1.4G</t>
  </si>
  <si>
    <t>Wyrzutnie 68 strz. kaliber 20+25+30mm proste+kątowe 1.4G</t>
  </si>
  <si>
    <t>68s Baterija, cevi 20+25+30mm (u svim pravcima) -1.4G</t>
  </si>
  <si>
    <t xml:space="preserve">"Compact" 68 phát đạn, đường kính 20 + 25 + 30mm (tất cả các hướng) -1,4G </t>
  </si>
  <si>
    <t>Batterien 100 schuss, 20+25+30mm gerader+schräg+S Mörser-1.3G</t>
  </si>
  <si>
    <t>100sh Battery, 20+25+30mm standard+fan shaped+S mortars-1.3G</t>
  </si>
  <si>
    <t>Baterie 100ran, 20+25+30mm rovný+šikmý+S moždíř-1.3G</t>
  </si>
  <si>
    <t>Vatrometna kutija 100 pucnjeva, 20+25+30mm, oblik cijevi ravni+kosi+S-1.3G</t>
  </si>
  <si>
    <t>Batteria 100 colpi, 20+25+30mm standard+ventaglio+mortai s-1.3g</t>
  </si>
  <si>
    <t>100 šūvių baterija, 20+25+30mm vamzdžiai, šaudo tiesiai, vėduoklės principu+S - 1.3G</t>
  </si>
  <si>
    <t>Wyrzutnie 100 strz. kaliber 14+20+25mm proste+kątowe 1.3G</t>
  </si>
  <si>
    <t>100s Baterija, cevi 20+25+30mm, I+FAN+S-1.3G</t>
  </si>
  <si>
    <t>"Compact" 100 phát đạn, đường kính 20 + 25 + 30mm + hình quạt + hình S-1.3G</t>
  </si>
  <si>
    <t>Batterien 106 schuss, 20+25+30mm gerader+schräg+S Mörser-1.3G</t>
  </si>
  <si>
    <t>106sh Battery, 20+25+30mm standard+fan shaped+S mortars-1.3G</t>
  </si>
  <si>
    <t>Baterie 106ran, 20+25+30mm rovný+šikmý+S moždíř-1.3G</t>
  </si>
  <si>
    <t>Vatrometna kutija 106 pucnjeva, 20+25+30mm, oblik cijevi ravni+kosi+S-1.3G</t>
  </si>
  <si>
    <t>Batteria 106 colpi, 20+25+30mm standard+ventaglio+mortai s-1.3g</t>
  </si>
  <si>
    <t>106 šūvių baterija, 20+25+30mm vamzdžiai, šaudo tiesiai, vėduoklės principu+S - 1.3G</t>
  </si>
  <si>
    <t>Wyrzutnie 106 strz. kaliber 20+25+30mm proste+katowe 1.3G</t>
  </si>
  <si>
    <t>106s Baterija, cevi 20+25+30mm, I+FAN+S-1.3G</t>
  </si>
  <si>
    <t>"Compact" 106 phát đạn, đường kính 20 + 25 + 30mm + hình quạt + hình S-1.3G</t>
  </si>
  <si>
    <t>Batterien 109 schuss, 20+25+30mm Mörser-1.3G</t>
  </si>
  <si>
    <t>109sh Battery of shot tube, 20+25+30mm mortars-1.3G</t>
  </si>
  <si>
    <t>Baterie 109ran, 20+25+30mm moždíř-1.3G</t>
  </si>
  <si>
    <t>Vatrometna kutija 109 pucnjeva, 20+25+30mm cijevi-1.3G</t>
  </si>
  <si>
    <t>Batteria 109 colpi, 20+25+30mm-1.3g</t>
  </si>
  <si>
    <t>109 šūvių raketų baterija, 20+25+30mm vamzdžiai - 1.3G</t>
  </si>
  <si>
    <t>Wyrzutnie 109 strz. kaliber 20+25+30mm 1.3G</t>
  </si>
  <si>
    <t>109s Baterija, cevi 20+25+30mm -1.3G</t>
  </si>
  <si>
    <t>"Compact" 109 phát đạn, đường kính 20 + 25 + 30mm-1.3G</t>
  </si>
  <si>
    <t>Verbundfeurwerk, multikaliber F2 - 1.4G</t>
  </si>
  <si>
    <t>Compound fireworks, multikaliber F2 - 1.4G</t>
  </si>
  <si>
    <t>Složený ohňostroj multikaliber F2 - 1.4G</t>
  </si>
  <si>
    <t>Vatrometna kombinacija, više različitih promjera F2-1.4G</t>
  </si>
  <si>
    <t>Combinati calibri misti f2 - 1.4g</t>
  </si>
  <si>
    <t>Daugiakalibris jungtinis fejerverkų rinkinys F2 - 1.4G</t>
  </si>
  <si>
    <t>Wyrzutnie złożone multikaliber – F2 – 1.4G</t>
  </si>
  <si>
    <t>Komplet vatromet, višekalibarski -F2-1.4G</t>
  </si>
  <si>
    <t>Pháo hoa, nhiều đường kính, F2-1.4G</t>
  </si>
  <si>
    <t>Verbundfeurwerk(mit Schutzhülle), multikaliber F2 - 1.4G</t>
  </si>
  <si>
    <t>Compound fireworks(with protective packaging), multikaliber F2 - 1.4G</t>
  </si>
  <si>
    <t>Složený ohňostroj(s ochraným obalem) multikaliber F2 - 1.4G</t>
  </si>
  <si>
    <t>Vatrometna kombinacija, više različitih promjera (u zaštitnom pakiranju)-F2-1.4G</t>
  </si>
  <si>
    <t>Combinati calibri misti (con gabbia protettiva) f2 - 1.4g</t>
  </si>
  <si>
    <t>Daugiakalibris jungtinis fejerverkų rinkinys apsaugančioje pakuotėje F2 - 1.4G</t>
  </si>
  <si>
    <t>Wyrzutnie złożone multikaliber – F2 – 1.4G (opakowanie ochronne)</t>
  </si>
  <si>
    <t>Komplet vatromet, višekalibarski (sa zaštitom) -F2-1.4G</t>
  </si>
  <si>
    <t>Pháo hoa(có bao bì bảo vệ), nhiều đường kính,F2-1.4G</t>
  </si>
  <si>
    <t>Verbundfeurwerk, multikaliber F2 - 1.3G</t>
  </si>
  <si>
    <t>Compound fireworks, multikaliber F2 - 1.3G</t>
  </si>
  <si>
    <t>Složený ohňostroj, multikaliber F2 - 1.3G</t>
  </si>
  <si>
    <t>Vatrometna kombinacija, više različitih promjera F2 - 1.3G</t>
  </si>
  <si>
    <t>Fuochi d'artificio composti, multikaliber F2 - 1.3G</t>
  </si>
  <si>
    <t>Jungtinis daugiakalibris fejerverkų rinkinys F2, 1.3g</t>
  </si>
  <si>
    <t>Wyrzytnie złożone – multikaliber F2 – 1.3G</t>
  </si>
  <si>
    <t>Komplet vatromet, multikalibarni, F2 - 1.3G</t>
  </si>
  <si>
    <t>Pháo hoa - cùng nhiều đường kính khác nhau F2 - 1.3G</t>
  </si>
  <si>
    <t>Verbundfeurwerk(mit Schutzhülle), multikaliber F2 - 1.3G</t>
  </si>
  <si>
    <t>Compound fireworks(with protective packaging), multikaliber F2 - 1.3G</t>
  </si>
  <si>
    <t>Složený ohňostroj(s ochraným obalem), multikaliber F2 - 1.3G</t>
  </si>
  <si>
    <t>Vatrometna kombinacija, (zaštitno pakiranje) više različitih promjera F2 - 1.3G</t>
  </si>
  <si>
    <t>Fuochi d'artificio composti (con imballaggio protettivo), multikaliber F2 - 1.3G</t>
  </si>
  <si>
    <t>Jungtinis daugiakalibris fejerverkų rinkinys (apsaugančioje pakuotėje) F2, 1.3g</t>
  </si>
  <si>
    <t>Wyrzytnie złożone – multikaliber F2 – 1.3G (opakowanie ochronne)</t>
  </si>
  <si>
    <t>Komplet vatromet (sa zaštitnim pakovanjem) multikalibarni, F2 - 1.3G</t>
  </si>
  <si>
    <t>Pháo hoa - cùng nhiều đường kính khác nhau (có bao bì bảo vệ) - F2 - 1.3G</t>
  </si>
  <si>
    <t>Verbundfeurwerk, multikaliber(20-30mm) F3 - 1.3G</t>
  </si>
  <si>
    <t>Compound fireworks, multikaliber(20-30mm) F3 - 1.3G</t>
  </si>
  <si>
    <t>Složený ohňostroj, multikaliber(20-30mm) F3 - 1.3G</t>
  </si>
  <si>
    <t>Vatrometna kombinacija, više različitih promjera (20-30mm) F3 - 1.3G</t>
  </si>
  <si>
    <t>Fuochi d'artificio composti, multikaliber (20-30mm) F3 - 1.3G</t>
  </si>
  <si>
    <t>Jungtinis daugiakalibris fejerverkų rinkinys (20-30mm) F3, 1.3g</t>
  </si>
  <si>
    <t>Wyrzytnie złożone – multikaliber (20-30mm)  F3 – 1.3G</t>
  </si>
  <si>
    <t>Komplet vatromet, multikalibarni (20-30mm), F3 - 1.3G</t>
  </si>
  <si>
    <t>Pháo hoa - cùng nhiều đường kính khác nhau (đường kính 20-30mm) F3 - 1.3G</t>
  </si>
  <si>
    <t>Verbundfeurwerk(mit Schutzhülle), multikaliber(20-30mm) F3 - 1.3G</t>
  </si>
  <si>
    <t>Compound fireworks(with protective packaging) multikaliber(20-30mm) F3 - 1.3G</t>
  </si>
  <si>
    <t>Složený ohňostroj(s ochraným obalem) multikaliber(20-30mm) F3 - 1.3G</t>
  </si>
  <si>
    <t>Vatrometna kombinacija, (zaštitno pakiranje) više različitih promjera (20-30mm) F3 - 1.3G</t>
  </si>
  <si>
    <t>Fuochi d'artificio composti (con imballaggio protettivo) multikaliber (20-30mm) F3 - 1.3G</t>
  </si>
  <si>
    <t>Jungtinis daugiakalibris fejerverkų rinkinys (apsaugančioje pakuotėje) (20-30mm) F3, 1.3g</t>
  </si>
  <si>
    <t>Wyrzytnie złożone – multikaliber (20-30mm)  F3 – 1.3G (opakowanie ochronne)</t>
  </si>
  <si>
    <t>Komplet vatromet (sa zaštitnim pakovanjem), multikalibarni (20-30mm), F3 - 1.3G</t>
  </si>
  <si>
    <t>Pháo hoa - cùng nhiều đường kính khác nhau (có bao bì bảo vệ, đường kính 20-30mm) F3 - 1.3G</t>
  </si>
  <si>
    <t>Batterie mit mehreren Kalibern über 30mm</t>
  </si>
  <si>
    <t>Multi-caliber battery over 30mm</t>
  </si>
  <si>
    <t>Multikaliberní kompakty nad 30mm</t>
  </si>
  <si>
    <t>Vatrometna kutija, više različitih promjera iznad 30mm</t>
  </si>
  <si>
    <t>Batterie calibri misti superiori a 30mm</t>
  </si>
  <si>
    <t>Daugiakalibrė baterija virš 30mm</t>
  </si>
  <si>
    <t>Višekalibarska Baterija preko 30 mm</t>
  </si>
  <si>
    <t>"Compact" cùng nhiều đường kính cỡ trên 30mm</t>
  </si>
  <si>
    <t>Batterien 23 schuss, 30+50mm Mörser-1.3G</t>
  </si>
  <si>
    <t>23sh Battery, 30+50mm mortars-1.3G</t>
  </si>
  <si>
    <t>Baterie 23ran, 30+50mm moždíř-1.3G</t>
  </si>
  <si>
    <t>Vatrometna kutija 23 pucnja, 30+50mm cijevi-1.3G</t>
  </si>
  <si>
    <t>Batteria 23 colpi, mortai 30+50mm-1.3g</t>
  </si>
  <si>
    <t>23 šūvių baterija, 30+50mm vamzdžiai - 1.3G</t>
  </si>
  <si>
    <t>Wyrzutnie 23 strz. kaliber 30+50mm 1.3G</t>
  </si>
  <si>
    <t>23s Baterija, cevi 30+50mm -1.3G</t>
  </si>
  <si>
    <t>"Compact" 23 phát đạn, đường kính 30 + 50mm-1.3G</t>
  </si>
  <si>
    <t>Batterien 24 schuss, 20+24+30+40mm Mörser-1.3G</t>
  </si>
  <si>
    <t>24sh Battery, 20+24+30+40mm mortars-1.3G</t>
  </si>
  <si>
    <t>Baterie 24ran, 20+24+30+40mm moždíř-1.3G</t>
  </si>
  <si>
    <t>Vatrometna kutija 24 pucnja, 20+24+30+40mm cijevi-1.3G</t>
  </si>
  <si>
    <t>Batteria 24 colpi, mortai 20+24+30+40mm-1.3g</t>
  </si>
  <si>
    <t>24 šūvių baterija, 20+24+30+40mm vamzdžiai - 1.3G</t>
  </si>
  <si>
    <t>Wyrzutnie 24 strz. kaliber 20+24+30+40mm 1.3G</t>
  </si>
  <si>
    <t>24s Baterija, cevi 20+24+30+40mm -1.3G</t>
  </si>
  <si>
    <t xml:space="preserve">"Compact" Pin 24, đường kính 20 + 24 + 30 + 40mm-1.3G </t>
  </si>
  <si>
    <t>Batterien 36 schuss, 36+50mm Mörser-1.3G</t>
  </si>
  <si>
    <t>36sh Battery, 36+50mm mortars-1.3G</t>
  </si>
  <si>
    <t>Baterie 36ran, 36+50mm moždíř-1.3G</t>
  </si>
  <si>
    <t>Vatrometna kutija 36 pucnjeva, 36+50mm cijevi-1.3G</t>
  </si>
  <si>
    <t>Batteria 36 colpi, mortai 36+50mm-1.3g</t>
  </si>
  <si>
    <t>36 šūvių baterija, 36+50mm vamzdžiai - 1.3G</t>
  </si>
  <si>
    <t>Wyrzutnie 36 strz. kaliber 36+50mm 1.3G</t>
  </si>
  <si>
    <t>36s Baterija, cevi 36+50mm -1.3G</t>
  </si>
  <si>
    <t>"Compact" 36 phát đạn, đường kính 36 + 50mm-1.3G</t>
  </si>
  <si>
    <t>Batterien 42 schuss, 25+40mm gerader+schräg Mörser-1.3G</t>
  </si>
  <si>
    <t>42sh Battery, 25+40mm standard+fan shaped mortars-1.3G</t>
  </si>
  <si>
    <t>Baterie 42ran, 25+40mm rovný+šikmý moždíř-1.3G</t>
  </si>
  <si>
    <t>Vatrometna kutija 42 pucnja, 25+40mm, oblik cijevi ravni+kosi-1.3G</t>
  </si>
  <si>
    <t>Batteria 42 colpi, mortai 25+40mm dritti+ventaglio-1.3g</t>
  </si>
  <si>
    <t>42 šūvių baterija, 25+40mm vamzdžiai, šaudo tiesiai ir vėduoklės principu - 1.3G</t>
  </si>
  <si>
    <t>Wyrzutnie 42 strz. kaliber 25+40mm proste+kątowe 1.3G</t>
  </si>
  <si>
    <t>42s Baterije, 25+40mm, I+FAN - 1.3G</t>
  </si>
  <si>
    <t>"Compact" Pin 42, đường kính 25 + 40mm + hình quạt "V"-1.3G</t>
  </si>
  <si>
    <t>Batterien 42 schuss, 30+50mm Mörser-1.3G</t>
  </si>
  <si>
    <t>42sh Battery, 30+50mm mortars-1.3G</t>
  </si>
  <si>
    <t>Baterie 42ran, 30+50mm moždíř-1.3G</t>
  </si>
  <si>
    <t>Vatrometna kutija 42 pucnja, 30+50mm cijevi-1.3G</t>
  </si>
  <si>
    <t>Batteria 42 colpi, mortai 30+50mm-1.3g</t>
  </si>
  <si>
    <t>42 šūvių baterija, 30+50mm vamzdžiai - 1.3G</t>
  </si>
  <si>
    <t>Wyrzutnie 42 strz. kaliber 30+50mm 1.3G</t>
  </si>
  <si>
    <t>42s Baterije, cev 30+50mm - 1.3G</t>
  </si>
  <si>
    <t xml:space="preserve">"Compact" Pin 42, đường kính 30 + 50mm-1.3G </t>
  </si>
  <si>
    <t>Batterien 47 schuss, 30+50mm gerader+schräg Mörser-1.3G</t>
  </si>
  <si>
    <t>47sh Battery, 30+50mm standard+fan shaped mortars-1.3G</t>
  </si>
  <si>
    <t>Baterie 47ran, 30+50mm rovný+šikmý moždíř-1.3G</t>
  </si>
  <si>
    <t>Vatrometna kutija 47 pucnjeva, 30+50mm, oblik cijevi ravni+kosi-1.3G</t>
  </si>
  <si>
    <t>Batteria 47 colpi, mortai 30+50mm dritti+ventaglio-1.3g</t>
  </si>
  <si>
    <t>47 šūvių baterija, 30+50mm vamzdžiai, šaudo tiesiai ir vėduoklės principu - 1.3G</t>
  </si>
  <si>
    <t>Wyrzutnie 47 strz. kaliber 30+50mm proste+kątowe 1.3G</t>
  </si>
  <si>
    <t>47s Baterije, 30+50mm, I+FAN - 1.3G</t>
  </si>
  <si>
    <t xml:space="preserve">"Compact" Pin 47, đường kính 30 + 50mm + hình quạt "V"-1.3G </t>
  </si>
  <si>
    <t>Batterien 62 schuss, 20+25+30+48mm gerader+schräg+S Mörser-1.3G</t>
  </si>
  <si>
    <t>62sh Battery, 20+25+30+48mm standart+fan shaped+S mortars-1.3G</t>
  </si>
  <si>
    <t>Baterie 62ran, 20+25+30+48mm rovný+šikmý+S moždíř-1.3G</t>
  </si>
  <si>
    <t>Vatrometna kutija 62 pucnja, 20+25+30+48mm, oblik cijevi ravni+kosi+S-1.3G</t>
  </si>
  <si>
    <t>Batteria 62 colpi, mortai 20+25+30+48mm dritti+ventaglio+mortai s-1.3g</t>
  </si>
  <si>
    <t>62 šūvių baterija, 20+25+30+48mm vamzdžiai, šaudo tiesiai, vėduoklės principu+S - 1.3G</t>
  </si>
  <si>
    <t>Wyrzutnie 62 strz. kaliber 20+25+30+48mm proste+katowe 1.3G</t>
  </si>
  <si>
    <t>62s Baterija, cevi 20+25+30+48mm, I+FAN+S-1.3G</t>
  </si>
  <si>
    <t xml:space="preserve">"Compact" 62 phát đạn, 20 + 25 + 30 + 48mm hình "I" + "V"+ "S"-1.3G </t>
  </si>
  <si>
    <t>Batterien 63 schuss, 25+45mm gerader+schräg Mörser-1.3G</t>
  </si>
  <si>
    <t>63sh Battery, 25+45mm standard+fan shaped mortars-1.3G</t>
  </si>
  <si>
    <t>Baterie 63ran, 25+45mm rovný+šikmý moždíř-1.3G</t>
  </si>
  <si>
    <t>Vatrometna kutija 63 pucnja, 25+45mm, oblik cijevi ravni+kosi-1.3G</t>
  </si>
  <si>
    <t>Batteria 63 colpi, mortai 25+45mm dritti+ventaglio-1.3g</t>
  </si>
  <si>
    <t>63 šūvių baterija, 25+45mm vamzdžiai, šaudo tiesiai ir vėduoklės principu - 1.3G</t>
  </si>
  <si>
    <t>Wyrzutnie 63 strz. kaliber 25+45mm proste+katowe 1.3G</t>
  </si>
  <si>
    <t>63s Baterije, 25+45mm, I+FAN - 1.3G</t>
  </si>
  <si>
    <t>"Compact"63 phát đạn, đường kính 25 + 45mm + hình quạt "V"-1.3G</t>
  </si>
  <si>
    <t>Batterien 66 schuss, 20+25+30+48mm Mörser-1.3G</t>
  </si>
  <si>
    <t>66sh Battery, 20+25+30+48mm mortars-1.3G</t>
  </si>
  <si>
    <t>Baterie 66ran, 20+25+30+48mm moždíř-1.3G</t>
  </si>
  <si>
    <t>Vatrometna kutija 66 pucnjeva, 20+25+30+48mm cijevi-1.3G</t>
  </si>
  <si>
    <t>Batteria 66 colpi, mortai 20+25+30+48mm dritti+ventaglio-1.3g</t>
  </si>
  <si>
    <t>66 šūvių baterija, 20+25+30+48mm vamzdžiai - 1.3G</t>
  </si>
  <si>
    <t>Wyrzutnie 66 strz. kaliber 20+25+30+48mm 1.3G</t>
  </si>
  <si>
    <t>66s Baterija, cevi 20+25+30+48mm - 1.3G</t>
  </si>
  <si>
    <t xml:space="preserve">"Compact" 66 phát đạn, đường kính 20 + 25 + 30 + 48mm-1.3G </t>
  </si>
  <si>
    <t>Batterien + Fontäne 78 schuss, 20+25+30+40mm Mörser-1.3G</t>
  </si>
  <si>
    <t>78sh Battery+fountain, 20+25+30+40mm mortars-1.3G</t>
  </si>
  <si>
    <t>Baterie + Fontána 78ran, 20+25+30+40mm moždíř-1.3G</t>
  </si>
  <si>
    <t>Vatrometna kutija +fontana 78 pucnjeva, 20+25+30+40mm cijevi-1.3G</t>
  </si>
  <si>
    <t>Batteria 78 colpi+fontana, mortai 20+25+30+40mm-1.3g</t>
  </si>
  <si>
    <t>78 šūvių baterija + fontanas, 20+25+30+40mm vamzdžiai - 1.3G</t>
  </si>
  <si>
    <t>Wyrzutnie 75 strz. kaliber 20+25+30+40mm 1.3G</t>
  </si>
  <si>
    <t>78s Baterija+Fontana, cevi 20+25+30+40mm - 1.3G</t>
  </si>
  <si>
    <t>"Compact" 78 phát đạn+ vòi phun lửa, đường kính 20 + 25 + 30 + 40mm-1.3G</t>
  </si>
  <si>
    <t>Verbundfeurwerk, multikaliber F3(30-50mm) - 1.3G</t>
  </si>
  <si>
    <t>Compound fireworks, multikaliber(30-50mm) F3 - 1.3G</t>
  </si>
  <si>
    <t>Složený ohňostroj, multikaliber(30-50mm) F3 - 1.3G</t>
  </si>
  <si>
    <t>Vatrometna kombinacija, više različitih promjera (30-50mm) F3 - 1.3G</t>
  </si>
  <si>
    <t>Fuochi d'artificio composti, multikaliber (30-50mm) F3 - 1.3G</t>
  </si>
  <si>
    <t>Jungtinis daugiakalibris fejerverkų rinkinys (30-50mm) F3, 1.3g</t>
  </si>
  <si>
    <t>Wyrzytnie złożone – multikaliber (30-50mm)  F3 – 1.3G</t>
  </si>
  <si>
    <t>Komplet vatromet, multikalibarni (30-50mm), F3 - 1.3G</t>
  </si>
  <si>
    <t>Pháo hoa - cùng nhiều đường kính khác nhau (đường kính 30-50mm) F3 - 1.3G</t>
  </si>
  <si>
    <t>Verbundfeurwerk(mit Schutzhülle), multikaliber F3(30-50mm) - 1.3G</t>
  </si>
  <si>
    <t>Compound fireworks(with protective packaging), multikaliber(30-50mm) F3 - 1.3G</t>
  </si>
  <si>
    <t>Složený ohňostroj(s ochraným obalem), multikaliber(30-50mm) F3 - 1.3G</t>
  </si>
  <si>
    <t>Vatrometna kombinacija, (zaštitno pakiranje) više različitih promjera (30-50mm) F3 - 1.3G</t>
  </si>
  <si>
    <t>Fuochi d'artificio composti (con imballaggio protettivo), multikaliber (30-50mm) F3 - 1.3G</t>
  </si>
  <si>
    <t>Jungtinis daugiakalibris fejerverkų rinkinys (apsaugančioje pakuotėje) (30-50mm) F3, 1.3g</t>
  </si>
  <si>
    <t>Wyrzytnie złożone – multikaliber (30-50mm)  F3 – 1.3G (opakowanie ochronne)</t>
  </si>
  <si>
    <t>Komplet vatromet (sa zaštitnim pakovanjem), multikalibarni (30-50mm), F3 - 1.3G</t>
  </si>
  <si>
    <t>Pháo hoa - cùng nhiều đường kính khác nhau (có bao bì bảo vệ, đường kính 30-50mm) F3 - 1.3G</t>
  </si>
  <si>
    <t>Multkaliber-Batterien (mehrere Mörser-durchmesser+verschiedene Mörserwinkel) F4 - 1.3G</t>
  </si>
  <si>
    <t>Multicaliber cakes(more mortar diameter and different mortar angle) F4 - 1.3G</t>
  </si>
  <si>
    <t>Baterie multikaliberní (více průměru moždířů+různé úhly moždířů) F4 - 1.3G</t>
  </si>
  <si>
    <t>Vatrometne kutije (više različitih promjera i različiti nagibi cijevi) F4-1.3G</t>
  </si>
  <si>
    <t>Torta multicalibro (ventaglio a diverse angolazioni) f4 - 1.3g</t>
  </si>
  <si>
    <t>Daugiakalibriai tortai (daug vamzdžių diametrų ir skirtingi vamzdžių kampai) F4 - 1.3G</t>
  </si>
  <si>
    <t>Višekalibarska Baterija (sa različitim uglovima cevi) F4-1.3G</t>
  </si>
  <si>
    <t>"Compact" cùng nhiều đường kính khác nhau, nhiều hướng F4 - 1.3G</t>
  </si>
  <si>
    <t>Römische Kerzen 8 Schuss (30 mm)</t>
  </si>
  <si>
    <t>Roman candle 8sh(30mm)</t>
  </si>
  <si>
    <t>Římské svíce 8ran (30mm)</t>
  </si>
  <si>
    <t>Rimske svijeće 8 pucnjeva (30mm)</t>
  </si>
  <si>
    <t>Candele romane 8 colpi (30mm)</t>
  </si>
  <si>
    <t>Romėniškos ugnies lazdelė 8 šūvių 30mm</t>
  </si>
  <si>
    <t>Rimske Sveće 8s - 30mm</t>
  </si>
  <si>
    <t xml:space="preserve">Nến La Mã 8 phát đạn (30mm) </t>
  </si>
  <si>
    <t>Schießröhre 30mm</t>
  </si>
  <si>
    <t>Shot tube 30mm</t>
  </si>
  <si>
    <t>Vystřelovací trubice 30mm</t>
  </si>
  <si>
    <t>Vatrometne cijevi 30mm</t>
  </si>
  <si>
    <t>Tubo di lancio 30 mm</t>
  </si>
  <si>
    <t>Vamzdis 30mm</t>
  </si>
  <si>
    <t>Tube sa pucnjem 30mm</t>
  </si>
  <si>
    <t>Đạn trụ bay nổ 30mm</t>
  </si>
  <si>
    <t>Schießröhre 50mm</t>
  </si>
  <si>
    <t>Shot tube 50mm</t>
  </si>
  <si>
    <t>Vystřelovací trubice 50mm</t>
  </si>
  <si>
    <t>Vatrometne cijevi 50mm</t>
  </si>
  <si>
    <t>Tubo di lancio 50 mm</t>
  </si>
  <si>
    <t>Vamzdis 50mm</t>
  </si>
  <si>
    <t>Tube sa pucnjem 50mm</t>
  </si>
  <si>
    <t>Đạn trụ bay nổ 50mm</t>
  </si>
  <si>
    <t>Batterien 135 schuss, 20mm schräg Mörser</t>
  </si>
  <si>
    <t>135sh Battery of shot tube, 20mm fan shaped mortars</t>
  </si>
  <si>
    <t>Baterie 135ran, 20mm šikmý moždíř</t>
  </si>
  <si>
    <t>Vatrometna kutija 135 pucnjeva, 20mm, oblik cijevi kosi</t>
  </si>
  <si>
    <t>Batteria di tubi di lancio 135 colpi, mortaio 20 mm a ventaglio</t>
  </si>
  <si>
    <t>135 šūvių raketų baterija, 20mm vamzdžiai, šaudo vėduoklės principu</t>
  </si>
  <si>
    <t>135s Baterija, cevi 20mm, FAN shape</t>
  </si>
  <si>
    <t>"Compact" 135 phát đạn, đường kính 20mm hình quạt "V"</t>
  </si>
  <si>
    <t>Batterien 25 schuss, 30mm Mörser</t>
  </si>
  <si>
    <t>25sh Battery of shot tube, 30mm mortars</t>
  </si>
  <si>
    <t>Baterie 25ran, 30mm moždíř</t>
  </si>
  <si>
    <t>Vatrometna kutija 25 pucnjeva, 30mm cijev</t>
  </si>
  <si>
    <t>Batteria di tubi di lancio 25 colpi, mortaio 30mm</t>
  </si>
  <si>
    <t>25 šūvių baterija, 30mm vamzdžiai</t>
  </si>
  <si>
    <t xml:space="preserve">25s Baterije, cev 30mm </t>
  </si>
  <si>
    <t>"Compact" 25 phát đạn, đường kính 30mm</t>
  </si>
  <si>
    <t>Batterien 49 schuss, 30mm Mörser</t>
  </si>
  <si>
    <t>49sh Battery of shot tube, 30mm mortars</t>
  </si>
  <si>
    <t>Baterie 49ran, 30mm moždíř</t>
  </si>
  <si>
    <t>Vatrometna kutija 49 pucnjeva, 30mm cijev</t>
  </si>
  <si>
    <t>Batteria di tubi di lancio 49 colpi, mortaio 30mm</t>
  </si>
  <si>
    <t>49 šūvių baterija, 30mm vamzdžiai</t>
  </si>
  <si>
    <t xml:space="preserve">49s Baterije, cev 30mm </t>
  </si>
  <si>
    <t xml:space="preserve">"Compact" 49 phát đạn, đường kính 30mm </t>
  </si>
  <si>
    <t>Batterien 50 schuss, 30mm Mörser</t>
  </si>
  <si>
    <t>50sh Battery of shot tube, 30mm mortars</t>
  </si>
  <si>
    <t>Baterie 50ran, 30mm moždíř</t>
  </si>
  <si>
    <t>Vatrometna kutija 50 pucnjeva, 30mm cijev</t>
  </si>
  <si>
    <t>Batteria di tubi di lancio 50 colpi, mortaio 30mm</t>
  </si>
  <si>
    <t>50 šūvių baterija, 30mm vamzdžiai</t>
  </si>
  <si>
    <t>50s Baterije, cev 30mm</t>
  </si>
  <si>
    <t>"Compact" 50 phát đạn, đường kính 30mm</t>
  </si>
  <si>
    <t>Batterien 50 schuss, 30mm schräg Mörser</t>
  </si>
  <si>
    <t>50sh Battery of shot tube, 30mm fan shaped mortars</t>
  </si>
  <si>
    <t>Baterie 50ran, 30mm šikmý moždíř</t>
  </si>
  <si>
    <t>Vatrometna kutija 50 pucnjeva, 30mm, oblik cijevi kosi</t>
  </si>
  <si>
    <t>Batteria di tubi di lancio 50 colpi, mortaio 30mm a ventaglio</t>
  </si>
  <si>
    <t>50 šūvių baterija, 30mm vamzdžiai, šaudo vėduoklės principu</t>
  </si>
  <si>
    <t>50s Baterije, cev 30mm, FAN shape</t>
  </si>
  <si>
    <t xml:space="preserve">"Compact" 50 phát đạn, hình quạt "V" 30mm </t>
  </si>
  <si>
    <t>Batterien 50 schuss, 30mm S Mörser</t>
  </si>
  <si>
    <t>50sh Battery of shot tube, 30mm S mortars</t>
  </si>
  <si>
    <t>Baterie 50ran, 30mm S moždíř</t>
  </si>
  <si>
    <t>Vatrometna kutija 50 pucnjeva, 30mm, oblik cijevi S</t>
  </si>
  <si>
    <t>Batteria di tubi di lancio 50 colpi, mortaio 30mm a s</t>
  </si>
  <si>
    <t>50 šūvių baterija, 30mm S vamzdžiai</t>
  </si>
  <si>
    <t>50s Baterije, cev 30mm, S shape</t>
  </si>
  <si>
    <t>"Compact" 50 phát đạn, hình "S" đường kính 30mm</t>
  </si>
  <si>
    <t>Batterien 50 schuss, 30mm V Mörser</t>
  </si>
  <si>
    <t>50sh Battery of shot tube, 30mm V mortars</t>
  </si>
  <si>
    <t>Baterie 50ran, 30mm V moždíř</t>
  </si>
  <si>
    <t>Vatrometna kutija 50 pucnjeva, 30mm, oblik cijevi V</t>
  </si>
  <si>
    <t>Batteria di tubi di lancio 50 colpi, mortaio 30mm a v</t>
  </si>
  <si>
    <t>50 šūvių baterija, 30mm V vamzdžiai</t>
  </si>
  <si>
    <t>50s Baterije, cev 30mm, V shape</t>
  </si>
  <si>
    <t>"Compact" 50 phát đạn, hình "V" đường kính 30mm</t>
  </si>
  <si>
    <t>Batterien 50 schuss, 30mm W Mörser</t>
  </si>
  <si>
    <t>50sh Battery of shot tube, 30mm W mortars</t>
  </si>
  <si>
    <t>Baterie 50ran, 30mm W moždíř</t>
  </si>
  <si>
    <t>Vatrometna kutija 50 pucnjeva, 30mm, oblik cijevi W</t>
  </si>
  <si>
    <t>Batteria di tubi di lancio 50 colpi, mortaio 30mm a w</t>
  </si>
  <si>
    <t>50 šūvių baterija, 30mm W vamzdžiai</t>
  </si>
  <si>
    <t>50s Baterije, cev 30mm, W shape</t>
  </si>
  <si>
    <t>"Compact" 50 phát đạn, hình "W" đường kính 30mm</t>
  </si>
  <si>
    <t>Batterien 50 schuss, 30mm X Mörser</t>
  </si>
  <si>
    <t>50sh Battery of shot tube, 30mm X mortars</t>
  </si>
  <si>
    <t>Baterie 50ran, 30mm X moždíř</t>
  </si>
  <si>
    <t>Vatrometna kutija 50 pucnjeva, 30mm, oblik cijevi X</t>
  </si>
  <si>
    <t>Batteria di tubi di lancio 50 colpi, mortaio 30mm a x</t>
  </si>
  <si>
    <t>50 šūvių baterija, 30mm X vamzdžiai</t>
  </si>
  <si>
    <t>50s Baterije, cev 30mm, X shape</t>
  </si>
  <si>
    <t>"Compact" 50 phát đạn, hình "X" đường kính 30mm</t>
  </si>
  <si>
    <t>Batterien 8 schuss, 30mm schräg Mörser</t>
  </si>
  <si>
    <t>8sh Battery of shot tube, 30mm fan shaped mortars</t>
  </si>
  <si>
    <t>Baterie 8ran, 30mm šikmý moždíř</t>
  </si>
  <si>
    <t>Vatrometna kutija 8 pucnjeva, 30mm, oblik cijevi kosi</t>
  </si>
  <si>
    <t>Batteria di tubi di lancio 8 colpi, mortaio 30mm a ventaglio</t>
  </si>
  <si>
    <t>8 šūvių raketų baterija, 30mm vamzdžiai, šaudo vėduoklės principu</t>
  </si>
  <si>
    <t>8s Baterije, cev 30mm, FAN shape</t>
  </si>
  <si>
    <t>"Compact" 8 phát đạn, hình quạt "V" 30mm</t>
  </si>
  <si>
    <t>Batterien 13 schuss, 30mm schräg Mörser</t>
  </si>
  <si>
    <t>13sh Battery of shot tube, 30mm fan shaped mortars</t>
  </si>
  <si>
    <t>Baterie 13ran, 30mm šikmý moždíř</t>
  </si>
  <si>
    <t>Vatrometna kutija 13 pucnjeva, 30mm, oblik cijevi kosi</t>
  </si>
  <si>
    <t>Batteria di tubi di lancio 13 colpi, mortaio 30mm a ventaglio</t>
  </si>
  <si>
    <t>13 šūvių raketų baterija, 30mm vamzdžiai, šaudo vėduoklės principu</t>
  </si>
  <si>
    <t>13s Baterije, cev 30mm, FAN shape</t>
  </si>
  <si>
    <t>"Compact" 13 phát đạn, hình quạt "V" 30mm</t>
  </si>
  <si>
    <t>Batterien 19 schuss, 30mm schräg Mörser</t>
  </si>
  <si>
    <t>19sh Battery of shot tube, 30mm fan shaped mortars</t>
  </si>
  <si>
    <t>Baterie 19ran, 30mm šikmý moždíř</t>
  </si>
  <si>
    <t>Vatrometna kutija 19 pucnjeva, 30mm, oblik cijevi kosi</t>
  </si>
  <si>
    <t>Batteria di tubi di lancio 19 colpi, mortaio 30mm a ventaglio</t>
  </si>
  <si>
    <t>19 šūvių raketų baterija, 30mm vamzdžiai, šaudo vėduoklės principu</t>
  </si>
  <si>
    <t>19s Baterije, cev 30mm, FAN shape</t>
  </si>
  <si>
    <t>"Compact" 19 phát đạn, hình quạt "V" 30mm</t>
  </si>
  <si>
    <t>Batterien 5 schuss, 50mm schräg Mörser</t>
  </si>
  <si>
    <t>5sh Battery, 50mm fan shape mortars</t>
  </si>
  <si>
    <t>Baterie 5ran, 50mm šikmý moždíř</t>
  </si>
  <si>
    <t>Vatrometna kutija 5 pucnjeva, 50mm, oblik cijevi kosi</t>
  </si>
  <si>
    <t>Batteria di tubi di lancio 5 colpi, mortaio 50mm a ventaglio</t>
  </si>
  <si>
    <t>5 šūvių baterija, 50mm vamzdžiai, šaudo vėduoklės principu</t>
  </si>
  <si>
    <t>5s Baterije, cev 50mm, FAN shape</t>
  </si>
  <si>
    <t>"Compact" 5 phát đạn, hình quạt "V" 50mm</t>
  </si>
  <si>
    <t>Kugelbomben 50mm</t>
  </si>
  <si>
    <t>Shell 50mm</t>
  </si>
  <si>
    <t>Kulové pumy 50mm</t>
  </si>
  <si>
    <t>Bomba 50mm</t>
  </si>
  <si>
    <t>Sfera 50mm</t>
  </si>
  <si>
    <t>Sprogmuo 50mm</t>
  </si>
  <si>
    <t>Vatrometne Bombe 50mm</t>
  </si>
  <si>
    <t>Đạn tròn 50mm</t>
  </si>
  <si>
    <t>Kugelbomben 75mm</t>
  </si>
  <si>
    <t>Shell 75mm</t>
  </si>
  <si>
    <t>Kulové pumy 75mm</t>
  </si>
  <si>
    <t>Bomba 75mm</t>
  </si>
  <si>
    <t>Sfera 75mm</t>
  </si>
  <si>
    <t>Sprogmuo 75mm</t>
  </si>
  <si>
    <t>Vatrometne Bombe 75mm</t>
  </si>
  <si>
    <t>Đạn tròn 75mm</t>
  </si>
  <si>
    <t>Kugelbomben 75 mm, Prämienqualität</t>
  </si>
  <si>
    <t>Shell 75mm-premium quality</t>
  </si>
  <si>
    <t>Kulové pumy 75mm, prémiová kvalita</t>
  </si>
  <si>
    <t>Bomba 75mm - premium kvaliteta</t>
  </si>
  <si>
    <t>Sfera 75mm qualità premium</t>
  </si>
  <si>
    <t>Sprogmuo 75mm - aukščiausios kokybės</t>
  </si>
  <si>
    <t>Vatrometne Bombe 75mm - premium kvaliteta</t>
  </si>
  <si>
    <t>Đạn tròn 75mm chất lượng cao cấp</t>
  </si>
  <si>
    <t>Kugelbomben 100mm</t>
  </si>
  <si>
    <t>Shell 100mm</t>
  </si>
  <si>
    <t>Kulové pumy 100mm</t>
  </si>
  <si>
    <t>Bomba 100mm</t>
  </si>
  <si>
    <t>Sfera 100mm</t>
  </si>
  <si>
    <t>Sprogmuo 100mm</t>
  </si>
  <si>
    <t>Vatrometne Bombe 100mm</t>
  </si>
  <si>
    <t>Đạn tròn 100mm</t>
  </si>
  <si>
    <t>Kugelbomben 100mm, Prämienqualität</t>
  </si>
  <si>
    <t>Shell 100mm-premium quality</t>
  </si>
  <si>
    <t>Kulové pumy 100mm, prémiová kvalita</t>
  </si>
  <si>
    <t>Bomba 100mm - premium kvaliteta</t>
  </si>
  <si>
    <t>Sfera 100mm qualità premium</t>
  </si>
  <si>
    <t>Sprogmuo 100mm - aukščiausios kokybės</t>
  </si>
  <si>
    <t>Vatrometne Bombe 100mm - premium kvaliteta</t>
  </si>
  <si>
    <t>Đạn tròn 100mm chất lượng cao cấp</t>
  </si>
  <si>
    <t>Kugelbomben 125mm, Prämienqualität</t>
  </si>
  <si>
    <t>Shell 125mm-premium quality</t>
  </si>
  <si>
    <t>Kulové pumy 125mm, prémiová kvalita</t>
  </si>
  <si>
    <t>Bomba 125mm - premium kvaliteta</t>
  </si>
  <si>
    <t>Sfera 125mm qualità premium</t>
  </si>
  <si>
    <t>Sprogmuo 125mm - aukščiausios kokybės</t>
  </si>
  <si>
    <t>Vatrometne Bombe 125mm - premium kvaliteta</t>
  </si>
  <si>
    <t>Đạn tròn 125mm-chất lượng cao cấp</t>
  </si>
  <si>
    <t>Kugelbomben 150mm</t>
  </si>
  <si>
    <t>Shell 150mm</t>
  </si>
  <si>
    <t>Kulové pumy 150mm</t>
  </si>
  <si>
    <t>Bomba 150mm</t>
  </si>
  <si>
    <t>Sfera 150mm</t>
  </si>
  <si>
    <t>Sprogmuo 150mm</t>
  </si>
  <si>
    <t>Vatrometne Bombe 150mm</t>
  </si>
  <si>
    <t>Đạn tròn 150mm</t>
  </si>
  <si>
    <t>Kugelbomben 150mm, Prämienqualität</t>
  </si>
  <si>
    <t>Shell 150mm-premium quality</t>
  </si>
  <si>
    <t>Kulové pumy 150mm, prémiová kvalita</t>
  </si>
  <si>
    <t>Bomba 150mm - premium kvaliteta</t>
  </si>
  <si>
    <t>Sfera 150mm qualità premium</t>
  </si>
  <si>
    <t>Sprogmuo 150mm - aukščiausios kokybės</t>
  </si>
  <si>
    <t>Vatrometne Bombe 150mm - premium kvaliteta</t>
  </si>
  <si>
    <t>Đạn tròn 150mm-chất lượng cao cấp</t>
  </si>
  <si>
    <t>Unvernichtbare Mörser</t>
  </si>
  <si>
    <t>Indestructible mortars</t>
  </si>
  <si>
    <t>Nezničitelné moždíře</t>
  </si>
  <si>
    <t>Cijevi pojačane izdržljivosti</t>
  </si>
  <si>
    <t>Mortai indistruttibili</t>
  </si>
  <si>
    <t>Daugkartinio naudojimo vamzdziai</t>
  </si>
  <si>
    <t>Neuništive lansirne cevi</t>
  </si>
  <si>
    <t>Chất lượng "tốt" không thể phá hủy</t>
  </si>
  <si>
    <t>Interiur-Fontänen, Spritzer, Wasserfälle</t>
  </si>
  <si>
    <t>Interior, fountains, squirts, waterfalls</t>
  </si>
  <si>
    <t>Interiérové fontány, výstřiky, vodopády</t>
  </si>
  <si>
    <t>Efekti za unutarnju uporabu, fontane, trenutne fontane, vodopadi</t>
  </si>
  <si>
    <t>Fontane da interno, spruzzi e cascate</t>
  </si>
  <si>
    <t>Vidaus, fontanai, purskiantys, kriokliai</t>
  </si>
  <si>
    <t>Unutrašnji efekti, fontane, prskalice, vodopadi</t>
  </si>
  <si>
    <t>Nội thất, vòi phun lửa, phun, thác nước</t>
  </si>
  <si>
    <t>Smoke</t>
  </si>
  <si>
    <t>Dýmovnice</t>
  </si>
  <si>
    <t>Knallkörper mit der Zündschnur 1.1G</t>
  </si>
  <si>
    <t>Petards with green fuse 1.1G</t>
  </si>
  <si>
    <t>Petardy se zápalnou šňůrou 1.1G</t>
  </si>
  <si>
    <t>Raketensets 1.4G</t>
  </si>
  <si>
    <t>Rocket set 1.4G</t>
  </si>
  <si>
    <t>Raketové sety 1.4G</t>
  </si>
  <si>
    <t>Raketensets 1.3G</t>
  </si>
  <si>
    <t>Rocket set 1.3G</t>
  </si>
  <si>
    <t>Raketové sety 1.3G</t>
  </si>
  <si>
    <t>Batterien 100 schuss, 14mm Mörser-1.4G</t>
  </si>
  <si>
    <t>100sh Battery of shot tube, 14mm mortars-1.4G</t>
  </si>
  <si>
    <t>Baterie 100ran, 14mm moždíř-1.4G</t>
  </si>
  <si>
    <t>Batteria di tubi di lancio 100 colpi, mortaio 14 mm-1.4g</t>
  </si>
  <si>
    <t>100 šūvių raketų baterija, 14mm vamzdžiai - 1.4G</t>
  </si>
  <si>
    <t>Wyrzutnie 100 strz. kaliber 14mm 1.4G</t>
  </si>
  <si>
    <t>100s Baterije, cev 14mm - 1.4G</t>
  </si>
  <si>
    <t>"Compact" 100 phát đạn, đường kính 14mm-1.4G</t>
  </si>
  <si>
    <t>Gartenfeuerwerke - 2 module mit 2 kunststoffsteckern (start+ende) für die Serienschaltung-1.3G</t>
  </si>
  <si>
    <t>Garden fireworks -2 modules with 2 plastic connector (start + end ) for serial connection-1.3G</t>
  </si>
  <si>
    <t>Zahradní ohňostroje - 2 moduly s 2 plastovými konektory(start+konec) pro sériové propojení-1.3G</t>
  </si>
  <si>
    <t>Vrtni vatromet-2 modula sa 2 plastična konektora(na početku i na kraju) za serijsko povezivanje (1.3G)</t>
  </si>
  <si>
    <t>Fuochi d'artificio da giardino -2 moduli con 2 connettori in plastica (start + end) per connessione seriale-1.3G</t>
  </si>
  <si>
    <t>Lauko fejerverkai - 2 moduliai su 2 plastikinėm jungtim (pradžia ir pabaiga) serijiniam sujungimui, 1.3g</t>
  </si>
  <si>
    <t>Baštenski vatromet -2 modula s 2 plastična konektora (početak + kraj) za serijsku vezu-1.3G</t>
  </si>
  <si>
    <t>Pháo hoa vườn -2 mô-đun với 2 đầu nối nhựa (đầu + cuối) để kết nối nối tiếp-1.3G</t>
  </si>
  <si>
    <t>Batterien 25 schuss, 25mm schräg Mörser-1.4G</t>
  </si>
  <si>
    <t>25sh Battery of shot tube, 25mm fan shaped mortars-1.4G</t>
  </si>
  <si>
    <t>Baterie 25ran, 25mm šíkmý moždíř-1.4G</t>
  </si>
  <si>
    <t>Vatrometna kutija 25 pucnjeva, 25mm, oblik cijevi kosi-1.4G</t>
  </si>
  <si>
    <t>Batteria di tubi di lancio 25 colpi, mortaio 25mm a ventaglio-1.4g</t>
  </si>
  <si>
    <t>25 šūvių raketų baterija, 25mm vamzdžiai, šaudo vėduoklės principu - 1.4G</t>
  </si>
  <si>
    <t>Wyrzutnie 16 strz. kaliber 25mm kątowe 1.4G</t>
  </si>
  <si>
    <t>25s Baterije, cev 25mm, FAN shape -1.4G</t>
  </si>
  <si>
    <t>"Compact" 25 phát đạn, hình quạt "V" 25mm-1.4G</t>
  </si>
  <si>
    <t>Batterien 25 schuss, 30mm schräg Mörser-1.3G</t>
  </si>
  <si>
    <t>25sh Battery of shot tube, 30mm fan shaped mortars-1.3G</t>
  </si>
  <si>
    <t>Baterie 25ran, 30mm šikmý moždíř-1.3G</t>
  </si>
  <si>
    <t>Vatrometna kutija 25 pucnjeva, 30mm, oblik cijevi kosi-1.3G</t>
  </si>
  <si>
    <t>25 šūvių raketų baterija, 30mm vamzdžiai, šaudo vėduoklės principu - 1.3G</t>
  </si>
  <si>
    <t>Wyrzutnie 25 strz. kaliber 30mm kątowe 1.3G</t>
  </si>
  <si>
    <t>25s Baterije, cev 30mm, FAN shape -1.3G</t>
  </si>
  <si>
    <t xml:space="preserve">"Compact" 25 phát đạn, hình quạt "V" 30mm-1.3G </t>
  </si>
  <si>
    <t>Batterien 36 schuss, 50mm Mörser-1.3G,1.1G</t>
  </si>
  <si>
    <t>36sh Battery, 50mm mortars-1.3G,1.1G</t>
  </si>
  <si>
    <t>Baterie 36ran, 50mm moždíř-1.3G,1.1G</t>
  </si>
  <si>
    <t>Professionelle Pyrotechnik</t>
  </si>
  <si>
    <t>Professional pyrotechnics</t>
  </si>
  <si>
    <t>Profesionální pyrotechnika</t>
  </si>
  <si>
    <t>Batterien 49 schuss, 50mm Mörser-1.1G</t>
  </si>
  <si>
    <t>49sh Battery, 50mm mortars-1.1G</t>
  </si>
  <si>
    <t>Baterie 49ran, 50mm moždíř-1.1G</t>
  </si>
  <si>
    <t>italiano</t>
  </si>
  <si>
    <t>srbsky</t>
  </si>
  <si>
    <t>vietnamsky</t>
  </si>
  <si>
    <t>Hrvatski</t>
  </si>
  <si>
    <t>litevština</t>
  </si>
  <si>
    <t>You are ordering an item that is not in stock</t>
  </si>
  <si>
    <t>remove it from the order!</t>
  </si>
  <si>
    <t>Sie bestellen eine Artikeln</t>
  </si>
  <si>
    <t>die nicht auf Lager sind, entfernen Sie sie aus der Bestellung!</t>
  </si>
  <si>
    <t>Počet</t>
  </si>
  <si>
    <t>Objednáno</t>
  </si>
  <si>
    <t>dělení</t>
  </si>
  <si>
    <t>kontrolní</t>
  </si>
  <si>
    <t>celkový</t>
  </si>
  <si>
    <t>objem</t>
  </si>
  <si>
    <t xml:space="preserve">Suma </t>
  </si>
  <si>
    <t>Objem</t>
  </si>
  <si>
    <t>odh. počet</t>
  </si>
  <si>
    <t>Počet celých</t>
  </si>
  <si>
    <t>Celkem</t>
  </si>
  <si>
    <t>Vstupy - čas v sekundách</t>
  </si>
  <si>
    <t>Příprava</t>
  </si>
  <si>
    <t>Nakládka</t>
  </si>
  <si>
    <t>kartonů na pal</t>
  </si>
  <si>
    <t>kartonů</t>
  </si>
  <si>
    <t>paletou</t>
  </si>
  <si>
    <t>celá</t>
  </si>
  <si>
    <t>desetinná</t>
  </si>
  <si>
    <t>pal/VK</t>
  </si>
  <si>
    <t>čas [s]</t>
  </si>
  <si>
    <t>času [s]</t>
  </si>
  <si>
    <t>volných VK</t>
  </si>
  <si>
    <t>palet k přípravě</t>
  </si>
  <si>
    <t>palet</t>
  </si>
  <si>
    <t>odh.palet</t>
  </si>
  <si>
    <t>zahájení</t>
  </si>
  <si>
    <t>první VK</t>
  </si>
  <si>
    <t>každý</t>
  </si>
  <si>
    <t>paleta</t>
  </si>
  <si>
    <t>tvorba palety</t>
  </si>
  <si>
    <t>výstupní kontrola</t>
  </si>
  <si>
    <t>nakládka</t>
  </si>
  <si>
    <t>Časový limit</t>
  </si>
  <si>
    <t>Zvolený počet</t>
  </si>
  <si>
    <t>čas obj.[s]</t>
  </si>
  <si>
    <t>práce</t>
  </si>
  <si>
    <t>další VK</t>
  </si>
  <si>
    <t>z kóje</t>
  </si>
  <si>
    <t>vč.kontroly</t>
  </si>
  <si>
    <t>volných VK [s/VK]</t>
  </si>
  <si>
    <t>1. palety</t>
  </si>
  <si>
    <t>další pal.</t>
  </si>
  <si>
    <t>na přípravu</t>
  </si>
  <si>
    <t>na nakládku</t>
  </si>
  <si>
    <t>1 palety</t>
  </si>
  <si>
    <t>skladníků</t>
  </si>
  <si>
    <t>čas pro tv.palet [s]</t>
  </si>
  <si>
    <t>čas výst. Kontr.[s]</t>
  </si>
  <si>
    <t>nakládka palet [s]</t>
  </si>
  <si>
    <t>nakládka VK [s]</t>
  </si>
  <si>
    <t>příprava [s]</t>
  </si>
  <si>
    <t>minut</t>
  </si>
  <si>
    <t>nakládka [s]</t>
  </si>
  <si>
    <t>… toto můžu libovolně přepisovat, ovlivní to výsledky času a tvorby palet</t>
  </si>
  <si>
    <t>Celkově potřebný čas:</t>
  </si>
  <si>
    <t>Potřebné časy</t>
  </si>
  <si>
    <t>příprava</t>
  </si>
  <si>
    <t>expedice</t>
  </si>
  <si>
    <t>Doporučeno pracovníků</t>
  </si>
  <si>
    <t>počet</t>
  </si>
  <si>
    <t>Na volno</t>
  </si>
  <si>
    <t>Časy podle ručně zvolených počtů pracovníků</t>
  </si>
  <si>
    <t>Snížený výkon na hlavu:</t>
  </si>
  <si>
    <t>koeficient</t>
  </si>
  <si>
    <t>čas přípravy</t>
  </si>
  <si>
    <t>čas nakládky</t>
  </si>
  <si>
    <t>pracovníků</t>
  </si>
  <si>
    <t>výpočtu</t>
  </si>
  <si>
    <t>na palety</t>
  </si>
  <si>
    <t>na paletách</t>
  </si>
  <si>
    <t>Počet prac.</t>
  </si>
  <si>
    <t>Způsob balení/expedice</t>
  </si>
  <si>
    <t>Provedl:</t>
  </si>
  <si>
    <t>… zde zapíšu, kdo objednávku chystal / nakládal</t>
  </si>
  <si>
    <t>skutečný čas</t>
  </si>
  <si>
    <t>v min.</t>
  </si>
  <si>
    <t>… zde zapisuji ID pracovníků, kteří měli objednávku na starosti</t>
  </si>
  <si>
    <t>ADR sertifikatas</t>
  </si>
  <si>
    <t>ADR sertifikat</t>
  </si>
  <si>
    <t>CBM
objem m3</t>
  </si>
  <si>
    <t>CBM
volume m3</t>
  </si>
  <si>
    <t>CBM
Kartonvolumen m3</t>
  </si>
  <si>
    <t>insgesamt [m3]</t>
  </si>
  <si>
    <t>duration time in sec.</t>
  </si>
  <si>
    <t>Czas trwania</t>
  </si>
  <si>
    <t>Klasa opasnosti</t>
  </si>
  <si>
    <t>Zákazník si přeje zboží:</t>
  </si>
  <si>
    <t>netto</t>
  </si>
  <si>
    <t>bez PDV-a</t>
  </si>
  <si>
    <t>(bez PDV-a)</t>
  </si>
  <si>
    <t>(iva esclusa)</t>
  </si>
  <si>
    <t>brutto</t>
  </si>
  <si>
    <t>s uključenim PDV-om</t>
  </si>
  <si>
    <t>(sa PDV-om)</t>
  </si>
  <si>
    <t>(IVA inclusa)</t>
  </si>
  <si>
    <t>(wypełniane automatycznie)</t>
  </si>
  <si>
    <t>ispunjava se automatski</t>
  </si>
  <si>
    <t>(popunjava se automatski)</t>
  </si>
  <si>
    <t>(da compilare automaticamente)</t>
  </si>
  <si>
    <t>certyfikat ADR</t>
  </si>
  <si>
    <t>ADR certifikat</t>
  </si>
  <si>
    <t>Certificato ADR</t>
  </si>
  <si>
    <t>Pakowanie</t>
  </si>
  <si>
    <t>Pakiranje u kartonu</t>
  </si>
  <si>
    <t>Pakovanje u kartonu</t>
  </si>
  <si>
    <t>Imballaggio in cartone</t>
  </si>
  <si>
    <t>certyfikat BAM</t>
  </si>
  <si>
    <t>BAM certifikat</t>
  </si>
  <si>
    <t>BAM sertifikat</t>
  </si>
  <si>
    <t>Certificato BAM</t>
  </si>
  <si>
    <t>objętość
w m3</t>
  </si>
  <si>
    <t>CBM
obujam u m³</t>
  </si>
  <si>
    <t>CBM
zapremina m3</t>
  </si>
  <si>
    <t>Ukupno</t>
  </si>
  <si>
    <t>ukupno</t>
  </si>
  <si>
    <t>Totale</t>
  </si>
  <si>
    <t>Ukupno (kg)</t>
  </si>
  <si>
    <t>ukupno [kg]</t>
  </si>
  <si>
    <t>totale [kg]</t>
  </si>
  <si>
    <t>total [m3]total [m3]</t>
  </si>
  <si>
    <t>Ukupno (m³)</t>
  </si>
  <si>
    <t>ukupno [m3]</t>
  </si>
  <si>
    <t>totale [m3]</t>
  </si>
  <si>
    <t>total
NEM [kg]total
NEM [kg]</t>
  </si>
  <si>
    <t>Ukupna NEM (kg)</t>
  </si>
  <si>
    <t>ukupno
Pirotehničke smeše [kg]</t>
  </si>
  <si>
    <t>Totale NEM (KG)</t>
  </si>
  <si>
    <t>Cijena u EUR</t>
  </si>
  <si>
    <t>Cena u EUR</t>
  </si>
  <si>
    <t>Prezzo in EURO</t>
  </si>
  <si>
    <t>Cijena u EUR s uključenim rabatom</t>
  </si>
  <si>
    <t>Cena u EUR posle popusta</t>
  </si>
  <si>
    <t>Prezzo in EUR dopo sconto</t>
  </si>
  <si>
    <t>Cena w CZK</t>
  </si>
  <si>
    <t>Cijena u CZK</t>
  </si>
  <si>
    <t>Cena u CZK</t>
  </si>
  <si>
    <t>Prezzo in CZK</t>
  </si>
  <si>
    <t>po rabacie</t>
  </si>
  <si>
    <t>s uključenim rabatom</t>
  </si>
  <si>
    <t>posle popusta</t>
  </si>
  <si>
    <t>dopo lo sconto</t>
  </si>
  <si>
    <t>przed rabatem</t>
  </si>
  <si>
    <t>bez rabata</t>
  </si>
  <si>
    <t>pre popusta</t>
  </si>
  <si>
    <t>prima dello sconto</t>
  </si>
  <si>
    <t>w sek.</t>
  </si>
  <si>
    <t>vrijeme u sek.</t>
  </si>
  <si>
    <t>vreme u sec.</t>
  </si>
  <si>
    <t>tempo in sec.</t>
  </si>
  <si>
    <t>Data aktualizacji cennika</t>
  </si>
  <si>
    <t>Datum ažuriranja cjenika:</t>
  </si>
  <si>
    <t>Datum ažuriranja cenovnika:</t>
  </si>
  <si>
    <t>Data dell'aggiornamento del listino prezzi:</t>
  </si>
  <si>
    <t>Zdjęcie</t>
  </si>
  <si>
    <t>Język</t>
  </si>
  <si>
    <t>Jezik</t>
  </si>
  <si>
    <t>Lingua</t>
  </si>
  <si>
    <t>Numer katalogowy</t>
  </si>
  <si>
    <t>Kataloški broj</t>
  </si>
  <si>
    <t>Numero di catalogo</t>
  </si>
  <si>
    <t>Klasa</t>
  </si>
  <si>
    <t>Pericolo di classe</t>
  </si>
  <si>
    <t>Kurs waluty</t>
  </si>
  <si>
    <t xml:space="preserve">Tečaj </t>
  </si>
  <si>
    <t>tasso</t>
  </si>
  <si>
    <t>w małym opakowaniu</t>
  </si>
  <si>
    <t>malo pakiranje</t>
  </si>
  <si>
    <t>na malom pakovanju</t>
  </si>
  <si>
    <t>di piccolo imballaggio</t>
  </si>
  <si>
    <t>możliwa sprzedaż na opakowania</t>
  </si>
  <si>
    <t>Prodaja je moguća po pakiranju</t>
  </si>
  <si>
    <t>Prodaja moguća na pakovanje</t>
  </si>
  <si>
    <t>La vendita è possibile per imballaggio</t>
  </si>
  <si>
    <t>Nazwa produktu</t>
  </si>
  <si>
    <t>Naziv proizvoda</t>
  </si>
  <si>
    <t>Nome del prodotto</t>
  </si>
  <si>
    <t>Zamówione kartony</t>
  </si>
  <si>
    <t>Naručeno kartona</t>
  </si>
  <si>
    <t>Cartoni ordinati</t>
  </si>
  <si>
    <t>objętość w m3</t>
  </si>
  <si>
    <t>obujam u m³</t>
  </si>
  <si>
    <t>zapremina m3</t>
  </si>
  <si>
    <t>volume m3</t>
  </si>
  <si>
    <t>Ilość kartonów na paletę</t>
  </si>
  <si>
    <t>Broj kartona na paleti</t>
  </si>
  <si>
    <t>Numero di cartoni su una pallett (base)</t>
  </si>
  <si>
    <t>Dostępność</t>
  </si>
  <si>
    <t>Stanje zaliha</t>
  </si>
  <si>
    <t>Stanje lagera</t>
  </si>
  <si>
    <t>Situazione delle scorte</t>
  </si>
  <si>
    <t>Trajanje</t>
  </si>
  <si>
    <t>Durata</t>
  </si>
  <si>
    <t>w opakowaniu zbiorczym</t>
  </si>
  <si>
    <t>veliko pakiranje</t>
  </si>
  <si>
    <t>na velikom pakovanju</t>
  </si>
  <si>
    <t>di imballaggio grande</t>
  </si>
  <si>
    <t>Film</t>
  </si>
  <si>
    <t>Dei video</t>
  </si>
  <si>
    <t>DOSTĘPNE</t>
  </si>
  <si>
    <t>NA ZALIHI</t>
  </si>
  <si>
    <t>NA LAGERU</t>
  </si>
  <si>
    <t>A MAGAZZINO</t>
  </si>
  <si>
    <t>OSTATNIE SZTUKI</t>
  </si>
  <si>
    <t>POSLJEDNJI KOMADI</t>
  </si>
  <si>
    <t>POSLEDNJI KOMADI</t>
  </si>
  <si>
    <t>ULTIMI PEZZI</t>
  </si>
  <si>
    <t>WYPRZEDANE</t>
  </si>
  <si>
    <t>RASRODANO</t>
  </si>
  <si>
    <t>RASPRODATO</t>
  </si>
  <si>
    <t>esaurito</t>
  </si>
  <si>
    <t>NIEDOSTĘPNE!</t>
  </si>
  <si>
    <t>NEDOSTUPNO!</t>
  </si>
  <si>
    <t>DOSTUPNO!</t>
  </si>
  <si>
    <t>Disponibile!</t>
  </si>
  <si>
    <t>KLIKNIJ TUTAJ, ABY WYBRAĆ OPCJĘ!</t>
  </si>
  <si>
    <t>KLIKNITE OVDJE ZA VIŠE MOGUĆNOSTI</t>
  </si>
  <si>
    <t>KLIKNITE OVDE DA ODABERETE OPCIJU!</t>
  </si>
  <si>
    <t>CLICCA QUI PER SELEZIONARE UN'OPZIONE!</t>
  </si>
  <si>
    <t>NA PALETACH</t>
  </si>
  <si>
    <t>NA PALETI</t>
  </si>
  <si>
    <t>NA PALETAMA</t>
  </si>
  <si>
    <t>SU PALLET</t>
  </si>
  <si>
    <t>OSATNI</t>
  </si>
  <si>
    <t>POSLJEDNJE</t>
  </si>
  <si>
    <t xml:space="preserve">POSLEDNJI  </t>
  </si>
  <si>
    <t>Ultima</t>
  </si>
  <si>
    <t>KARTON</t>
  </si>
  <si>
    <t>Ctn (cartone)</t>
  </si>
  <si>
    <t>PPONIŻEJ JEDNEGO KARTONU</t>
  </si>
  <si>
    <t>MANJE OD 1 KARTONA</t>
  </si>
  <si>
    <t>MANJE OD 1 CTN</t>
  </si>
  <si>
    <t>MENO DI 1 CTN! (cartone )</t>
  </si>
  <si>
    <t>Jako płatnik podatku VAT do powyższych cen doliczamy 21% VAT.</t>
  </si>
  <si>
    <t>Kao obveznik PDV-a obračunavamo 21% PDV-a na gornje cijene</t>
  </si>
  <si>
    <t>Kao obveznik PDV-a, naplaćujemo 20% PDV-a na gore navedene cene.</t>
  </si>
  <si>
    <t>Come pagatore dell'IVA, addebitiamo l'IVA del 21% sui prezzi di cui sopra.</t>
  </si>
  <si>
    <t>Do zakupu KAT F4 i T2 wymagana jest koncesja lub pozwolenie wojewody !</t>
  </si>
  <si>
    <t>Za kupnju sredstava kategorije F4 i T2 potrebno je odobrenje!</t>
  </si>
  <si>
    <t>Za kupovinu KAT F4 i T2 potrebna je licenca kvalifikovane osobe!</t>
  </si>
  <si>
    <t>Per l'acquisto di CAT F4 e T2 è richiesta una licenza di una persona qualificata!</t>
  </si>
  <si>
    <t>Dla klientów z rabatem powyżej 50% minimalny zakup wynosi 10 000 CZK.</t>
  </si>
  <si>
    <t>Za kupce sa rabatom većim od 50%, minimalna narudžba je 10.000 CZK</t>
  </si>
  <si>
    <t>Za kupce s popustom većim od 50% minimalna kupovina iznosi 100 000 RSD.</t>
  </si>
  <si>
    <t>Per i clienti con uno sconto superiore al 50%, l'acquisto minimo è di CZK 10.000.</t>
  </si>
  <si>
    <t>Wszystkie ceny podane w tym cenniku nie zawierają kosztów przesyłki (EXW Incoterms 2010), tzn. Klient sam musi zapłacić za transport.</t>
  </si>
  <si>
    <t>Sve cijene u cjeniku su izražene neto i u iste nije uključen trošak prijevoza (EXW-franko tvornica); troškove prijevoza snosi kupac</t>
  </si>
  <si>
    <t>Sve cene u ovom cenovniku su bez isporuke (EXW), tj. Kupac mora sam platiti prevoz.</t>
  </si>
  <si>
    <t>Tutti i prezzi in questo listino prezzi sono senza spedizione (EXW Incoterms 2010), cioè il cliente deve pagare per il trasporto stesso.</t>
  </si>
  <si>
    <t>Można zamawiać tylko całe kartony eksportowe.</t>
  </si>
  <si>
    <t>Naručiti se mogu isključivo puni izvozni kartoni</t>
  </si>
  <si>
    <t>Mogu se naručiti samo cele izvozne kutije.</t>
  </si>
  <si>
    <t>È possibile ordinare solo cartoni di esportazione interi.</t>
  </si>
  <si>
    <t>Elementy zaznaczone w kolumnie A - TAK - istnieje możliwość zamówienia dodatkowych 20% nawet po zapakowaniu.</t>
  </si>
  <si>
    <t>Proizvode u stupcu A označene sa DA -moguće je naručiti dodatnu količinu u iznosu od 20% čak i nakon pakiranja</t>
  </si>
  <si>
    <t>Elementi označeni u koloni A sa DA - moguće je naručiti dodatnih 20% čak i nakon pakovanja.</t>
  </si>
  <si>
    <t>Elementi contrassegnati nella colonna A come SI - è possibile ordinare per ulteriori 20% anche dopo l'imballaggio.</t>
  </si>
  <si>
    <t>Nie można zamówić produktów, których aktualnie nie ma w magazynie. Pole zamówienia jest podświetlone na czarno.</t>
  </si>
  <si>
    <t>Proizvodi koji trenutno nisu na zalihi ne mogu se naručiti. Polje za narudžbu je označeno crno.</t>
  </si>
  <si>
    <t>Proizvodi koji trenutno nisu na zalihi ne mogu se naručiti. Polje za narudžbu označeno je crnom bojom.</t>
  </si>
  <si>
    <t>Gli articoli attualmente non disponibili non possono essere ordinati. Il campo ordine è evidenziato in nero.</t>
  </si>
  <si>
    <t>Wybierz sposób transportu</t>
  </si>
  <si>
    <t>Odaberite način prijevoza</t>
  </si>
  <si>
    <t>Izaberite način transporta</t>
  </si>
  <si>
    <t>Scegli il metodo di trasporto</t>
  </si>
  <si>
    <t>Obliczanie punktów zgodnie z ADR:</t>
  </si>
  <si>
    <t>Izračun količina prema ADR-u</t>
  </si>
  <si>
    <t>Proračun bodova prema ADR-u:</t>
  </si>
  <si>
    <t>Calcolo dei punti secondo l'ADR:</t>
  </si>
  <si>
    <t>Jeśli wynik jest mniejszy niż 1000, oznacza to, że jest to transport poniżej limitu bez samochodu ADR.</t>
  </si>
  <si>
    <t>Ako je rezultat ispod 1000, znači da se radi o prijevozu količina za koje nije potrebno ADR vozilo</t>
  </si>
  <si>
    <t>Ako je rezultat manji od 1000, to znači da je reč o prevozu ispod limita bez ADR vozila.</t>
  </si>
  <si>
    <t>Se il risultato è inferiore a 1000, significa che è un trasporto sotto-limite senza auto ADR.</t>
  </si>
  <si>
    <t>Zamówiłeś</t>
  </si>
  <si>
    <t>Naručili ste</t>
  </si>
  <si>
    <t>Avete ordinato</t>
  </si>
  <si>
    <t>kartony, które zapakujemy na paletach.</t>
  </si>
  <si>
    <t>kartona koji će biti zapakirani na palete</t>
  </si>
  <si>
    <t>kartona, koje ćemo spakovati na palete.</t>
  </si>
  <si>
    <t>cartoni, che imballeremo su pallet.</t>
  </si>
  <si>
    <t>kartony na załadunek luzem.</t>
  </si>
  <si>
    <t>kartona robe sa slobodnim utovarom.</t>
  </si>
  <si>
    <t>kartona robe sa ručnim utovarom.</t>
  </si>
  <si>
    <t>cartoni di merci a carico gratuito.</t>
  </si>
  <si>
    <t>Zamawiasz przedmiot, którego nie ma w magazynie</t>
  </si>
  <si>
    <t>Naručujete proizvod koji nije na zalihama</t>
  </si>
  <si>
    <t>Naručujete artikal koji nije na zalihi</t>
  </si>
  <si>
    <t>Si sta ordinando un articolo non disponibile</t>
  </si>
  <si>
    <t>usuń go z zamówienia!</t>
  </si>
  <si>
    <t>uklonite ga iz narudžbe!</t>
  </si>
  <si>
    <t>rimuoverlo dall'ordine!</t>
  </si>
  <si>
    <t>be PVM</t>
  </si>
  <si>
    <t>su PVM</t>
  </si>
  <si>
    <t>užpildoma automatiškai</t>
  </si>
  <si>
    <t>Pakelių dėžėje</t>
  </si>
  <si>
    <t>BAM sertifikatas</t>
  </si>
  <si>
    <t>Bendrai</t>
  </si>
  <si>
    <t>Visas svoris (kg)</t>
  </si>
  <si>
    <t>Visas tūris (m3)</t>
  </si>
  <si>
    <t>Visas NEM (kg)</t>
  </si>
  <si>
    <t>Kaina EUR</t>
  </si>
  <si>
    <t>Kaina EUR po nuolaidos</t>
  </si>
  <si>
    <t>Kaina CZK kronomis</t>
  </si>
  <si>
    <t>po nuolaidos</t>
  </si>
  <si>
    <t>prieš nuolaida</t>
  </si>
  <si>
    <t>laikas sekundėmis</t>
  </si>
  <si>
    <t>Kainoraščio atnaujinimo data</t>
  </si>
  <si>
    <t>Nuotrauka</t>
  </si>
  <si>
    <t>Kalba</t>
  </si>
  <si>
    <t>Katalogo numeris</t>
  </si>
  <si>
    <t>Pavojingumo klasė</t>
  </si>
  <si>
    <t>paskaiciavimas</t>
  </si>
  <si>
    <t>mažų pakuočių</t>
  </si>
  <si>
    <t>Galimas pardavimas pakuotėmis</t>
  </si>
  <si>
    <t>Prekės pavadinimas</t>
  </si>
  <si>
    <t>Užsakytos dėžės</t>
  </si>
  <si>
    <t>Dėžių kiekis paletėje</t>
  </si>
  <si>
    <t>Padėtis sandėlyje</t>
  </si>
  <si>
    <t>Trukmė</t>
  </si>
  <si>
    <t>didelių pakuočių</t>
  </si>
  <si>
    <t>Vaizdo įrašas</t>
  </si>
  <si>
    <t>YRA  SANDELYJE</t>
  </si>
  <si>
    <t>PASKUTINĖS pakuotės / vienetai</t>
  </si>
  <si>
    <t>IŠPARDUOTA</t>
  </si>
  <si>
    <t>NEPASIEKIAMA</t>
  </si>
  <si>
    <t>NORĖDAMI PASIRINKTI  SPAUSKITE ČIA</t>
  </si>
  <si>
    <t>ANT  PALEČIŲ</t>
  </si>
  <si>
    <t xml:space="preserve">PASKUTINĖS  </t>
  </si>
  <si>
    <t>CTN / DĖŽĖ</t>
  </si>
  <si>
    <t>MAŽIAU NEI 1 CTN / DĖŽĖ</t>
  </si>
  <si>
    <t>Kaip PVM mokėtojas, taikome 21% PVM nurodytoms kainoms</t>
  </si>
  <si>
    <t xml:space="preserve">Norint įsigyti KAT F4 ir T2, reikalinga kvalifikuoto asmens (pirotechniko) licencija! </t>
  </si>
  <si>
    <t>Klientams, kurių nuolaida viršija 50%, minimalus pirkimas yra nuo 10 000 CZK kronu.</t>
  </si>
  <si>
    <t>Visos kainos šiame kainoraštyje yra be siuntimo (EXW Incoterms 2010), klientas turi pats sumokėti už transportą.</t>
  </si>
  <si>
    <t>Galima užsisakyti tik pilną eksporto dėžę</t>
  </si>
  <si>
    <t>Elementų stulpelyje A pažymėtų žodžiu TAIP, 20% dar galima užsisakyti po supakavimo</t>
  </si>
  <si>
    <t>Prekių, kurių šiuo metu nėra sandėlyje, užsisakyti negalima. Užsakymo laukas paryškintas juodai.</t>
  </si>
  <si>
    <t>Pasirinkite tranportavimo būdą</t>
  </si>
  <si>
    <t xml:space="preserve">Taškų apskaičiavimas pagal ADR reikalavimus </t>
  </si>
  <si>
    <t xml:space="preserve">Jei rezultatas yra mažesnis nei 1000, tai reiškia, kad galima gabenti be ADR žymėto automobilio. </t>
  </si>
  <si>
    <t>Jūs Atlikote Užsakymą</t>
  </si>
  <si>
    <t>Dėžės, kurias supakuosime ant palečių.</t>
  </si>
  <si>
    <t>Dėžės pakuojamos Laisvu Būdu.</t>
  </si>
  <si>
    <t>Jūs norite užsakyti prekę kurios, šiuo metu, nėra sandėlyje.</t>
  </si>
  <si>
    <t xml:space="preserve">Pašalinkite prekę iš užsakymo ! </t>
  </si>
  <si>
    <t>CBM
tūris m3</t>
  </si>
  <si>
    <t>tūris m3</t>
  </si>
  <si>
    <t>Eestlane</t>
  </si>
  <si>
    <t>ilma käibemaksuta</t>
  </si>
  <si>
    <t>käibemaksuga</t>
  </si>
  <si>
    <t>täidetakse automaatselt</t>
  </si>
  <si>
    <t>ADR sertifikaat</t>
  </si>
  <si>
    <t>tükki karbis</t>
  </si>
  <si>
    <t>BAM sertifikaat</t>
  </si>
  <si>
    <t xml:space="preserve">CBM
maht m3 </t>
  </si>
  <si>
    <t>kokku</t>
  </si>
  <si>
    <t>kokku (kg)</t>
  </si>
  <si>
    <t>kokku (m3)</t>
  </si>
  <si>
    <t>kokku NEM (kg)</t>
  </si>
  <si>
    <t>hind Eurodes</t>
  </si>
  <si>
    <t>hind Eurodes peale allahindlust</t>
  </si>
  <si>
    <t>hind Tsehhi kroonides</t>
  </si>
  <si>
    <t>peale allahindlust</t>
  </si>
  <si>
    <t>enne allahindlust</t>
  </si>
  <si>
    <t>kestvus sekundites</t>
  </si>
  <si>
    <t>Hinnakirja uuendamise kuupäev:</t>
  </si>
  <si>
    <t>pilt</t>
  </si>
  <si>
    <t>keel</t>
  </si>
  <si>
    <t>kataloogi number</t>
  </si>
  <si>
    <t>ohuklass</t>
  </si>
  <si>
    <t>juurdehindlus</t>
  </si>
  <si>
    <t>väike pakend</t>
  </si>
  <si>
    <t>võimalik osta vaid karbiga</t>
  </si>
  <si>
    <t>toote nimi</t>
  </si>
  <si>
    <t>tellitavad kastid</t>
  </si>
  <si>
    <t>kastide arv alusel</t>
  </si>
  <si>
    <t>efekti kirjeldus</t>
  </si>
  <si>
    <t>laovaru</t>
  </si>
  <si>
    <t>kestvus</t>
  </si>
  <si>
    <t>suur pakend</t>
  </si>
  <si>
    <t>video</t>
  </si>
  <si>
    <t>laos</t>
  </si>
  <si>
    <t>viimane toode</t>
  </si>
  <si>
    <t>läbimüüdud</t>
  </si>
  <si>
    <t>ei ole saadaval</t>
  </si>
  <si>
    <t>vajuta siia valiku tegemiseks</t>
  </si>
  <si>
    <t>alusel</t>
  </si>
  <si>
    <t>vähem kui 1 kast</t>
  </si>
  <si>
    <t>Käibemaksukohustuslasena võtame ülaltoodud hindadelt käibemaksu 21%</t>
  </si>
  <si>
    <t>Kat F4 ja T2 toodete ostmiseks</t>
  </si>
  <si>
    <t xml:space="preserve">üle 50% soodustuse saamiseks peab min tellimus olema 10,000 Tsehhi krooni </t>
  </si>
  <si>
    <t>Kõik hinnad hinnakirjas on ilma transpordita, st et tellija peab ise transpordi eest tasuma</t>
  </si>
  <si>
    <t>tellida saab vaid kastiga</t>
  </si>
  <si>
    <t>Kaupu, mida praegu laos pole, ei saa tellida. Tellimuse väli on mustaga esile tõstetud</t>
  </si>
  <si>
    <t>vali transpordi liik</t>
  </si>
  <si>
    <t>Arvutamine vastavalt ADR-ile:</t>
  </si>
  <si>
    <t>kui kogus on alla 1000, siis ADR transporti pole vaja</t>
  </si>
  <si>
    <t>oled tellinud</t>
  </si>
  <si>
    <t>kastid, mis me pakime alusele</t>
  </si>
  <si>
    <t>kastid tasuta laadimisega</t>
  </si>
  <si>
    <t>tellitud toodet pole laos</t>
  </si>
  <si>
    <t>eemada tellimusest</t>
  </si>
  <si>
    <t>Polskie</t>
  </si>
  <si>
    <t>Không có thuế VAT)</t>
  </si>
  <si>
    <t>(bao gồm VAT)</t>
  </si>
  <si>
    <t>(được điền tự động)</t>
  </si>
  <si>
    <t>Chứng chỉ ADR</t>
  </si>
  <si>
    <t>Bao bì carton</t>
  </si>
  <si>
    <t>Chứng chỉ BAM</t>
  </si>
  <si>
    <t>toàn bộ</t>
  </si>
  <si>
    <t>tổng [kg]</t>
  </si>
  <si>
    <t>tổng [m3]</t>
  </si>
  <si>
    <t>Tổng NEM (Khối lượng chất nổ) [kg]</t>
  </si>
  <si>
    <t>Giá EUR</t>
  </si>
  <si>
    <t>Giá EUR sau khi giảm giá</t>
  </si>
  <si>
    <t>Giá tính bằng CZK</t>
  </si>
  <si>
    <t>Giảm giá</t>
  </si>
  <si>
    <t>trước khi giảm giá</t>
  </si>
  <si>
    <t>thời gian tính bằng giây</t>
  </si>
  <si>
    <t>Ngày cập nhật bảng giá:</t>
  </si>
  <si>
    <t>Tấm ảnh</t>
  </si>
  <si>
    <t>Biến thể ngôn ngữ</t>
  </si>
  <si>
    <t>Số danh mục</t>
  </si>
  <si>
    <t>Các loại nguy hiểm</t>
  </si>
  <si>
    <t>Tỷ giá</t>
  </si>
  <si>
    <t>gói nhỏ</t>
  </si>
  <si>
    <t>Có thể bán theo gói</t>
  </si>
  <si>
    <t>Tên của một sản phẩm</t>
  </si>
  <si>
    <t>Số lượng thùng "carton" đã đặt hàng</t>
  </si>
  <si>
    <t>khối lượng m3</t>
  </si>
  <si>
    <t>Số lượng thùng trên một "pallet"</t>
  </si>
  <si>
    <t>Tình trạng hàng hóa trong kho</t>
  </si>
  <si>
    <t>Thời gian của hiệu ứng</t>
  </si>
  <si>
    <t>gói lớn</t>
  </si>
  <si>
    <t>TRONG KHO</t>
  </si>
  <si>
    <t>HÀNG, SỐ LƯỢNG CÓ HẠN</t>
  </si>
  <si>
    <t>BÁN HẾT</t>
  </si>
  <si>
    <t>KHÔNG THỂ ĐẶT HÀNG!</t>
  </si>
  <si>
    <t>BẤM VÀO ĐÂY ĐỂ CHỌN SỐ LƯỢNG!</t>
  </si>
  <si>
    <t>HÀNG HÓA ĐƯỢC SẮP ĐẶT TRÊN "PALLET"</t>
  </si>
  <si>
    <t>CUỐI CÙNG</t>
  </si>
  <si>
    <t>THUNG "CARTON"</t>
  </si>
  <si>
    <t>ÍT HƠN 1 THUNG "CARTON"!</t>
  </si>
  <si>
    <t>Là người nộp thuế VAT, chúng tôi tính thuế VAT 21% trên giá đã nêu.</t>
  </si>
  <si>
    <t>Đối với việc mua CAT. F4 và T2 tương ứng là thẻ cần thiết của một người có trình độ chuyên môn "certificate person"!</t>
  </si>
  <si>
    <t>Đối với những khách hàng được giảm giá trên 50%, áp dụng một lần mua tối thiểu 10.000 K</t>
  </si>
  <si>
    <t>Tất cả các mức giá được liệt kê trong bảng giá này đều không bao gồm công vận chuyển (EXW Incoterms 2010), tức là khách hàng phải tự thanh toán chi phí vận chuyển.</t>
  </si>
  <si>
    <t>Chỉ có thể đặt hàng và vận chuyển thùng nguyên "carton".</t>
  </si>
  <si>
    <t>Các mặt hàng hiện không có trong kho không thể đặt hàng. Trường đơn hàng được đánh dấu màu đen.</t>
  </si>
  <si>
    <t>Chọn phương thức vận chuyển</t>
  </si>
  <si>
    <t>Cách tính điểm theo ADR:</t>
  </si>
  <si>
    <t>Nếu kết quả lớn hơn 1000 thì đó là phương tiện giao thông có nhu cầu sử dụng ADR của phương tiện.</t>
  </si>
  <si>
    <t>Bạn đã đặt hàng</t>
  </si>
  <si>
    <t>Số lượng thùng "carton", mà chúng tôi đóng gói trên "pallet".</t>
  </si>
  <si>
    <t>Số lượng thùng "carton" sắp đặt tự đọ.</t>
  </si>
  <si>
    <t>Bạn đang đặt hàng các mặt hàng không có trong kho,</t>
  </si>
  <si>
    <t>loại bỏ chúng khỏi đơn đặt hàng!</t>
  </si>
  <si>
    <t>CBM khối
lượng m3</t>
  </si>
  <si>
    <t>Cbm
volume m3</t>
  </si>
  <si>
    <t>Návod k použití:</t>
  </si>
  <si>
    <t>Thủ tục gửi đơn đặt hàng:</t>
  </si>
  <si>
    <t>Novinkou je online dostupnost skladu tzn. stačí, aby jste byli online a potvrdili možnost ,,povolit úpravy” a "povolit obsah". Po každém otevření Iceníku vidíte, jaké zboží je skladem popř. kdy bude naskladněno!!!</t>
  </si>
  <si>
    <t>Tính mới là tính khả dụng trực tuyến của kho hàng, tức là. tất cả những gì bạn cần làm là lên mạng và xác nhận các tùy chọn "cho phép chỉnh sửa" và "cho phép nội dung". Sau mỗi lần mở bảng giá điện tử, bạn có thể xem hàng hóa trong kho hoặc khi nào nó sẽ có trong kho !!!</t>
  </si>
  <si>
    <t>Není možné si objednávat černě označené položky, které nejsou v den objednání skladem!!! Tím bude zaručeno, že si zákazník objedná jen položky, které jsou skladem a výrazně se tak urychlí dokončení objednávky.</t>
  </si>
  <si>
    <t>Không thể đặt hàng các mặt hàng được đánh dấu màu đen, không có trong kho vào ngày đặt hàng !!! Điều này sẽ đảm bảo rằng khách hàng sẽ chỉ đặt hàng các mặt hàng còn trong kho, do đó đẩy nhanh đáng kể việc hoàn thành đơn hàng.</t>
  </si>
  <si>
    <t>2. náš pracovník zjistí, které položky případně nejsou skladem a bude o tomto emailem informovat zákazníka</t>
  </si>
  <si>
    <t>2. nhân viên của chúng tôi sẽ tìm ra những mặt hàng có thể không còn trong kho và sẽ thông báo cho khách hàng về email này</t>
  </si>
  <si>
    <t xml:space="preserve">3. zákazník se rozhodne, zda chce na zboží čekat (pokud není skladem) nebo, zda vyprodané zboží chce nějak nahradit a emailem pošle svou finální objednávku, ve které bude jen zboží, které je momentálně dostupné. </t>
  </si>
  <si>
    <t xml:space="preserve">3. Khách hàng quyết định xem anh ta muốn đợi hàng hóa (nếu chúng không còn hàng) hay anh ta muốn thay thế hàng hóa đã bán hết và gửi đơn đặt hàng cuối cùng của mình qua email, đơn đặt hàng này sẽ chỉ bao gồm hàng hóa hiện có. . </t>
  </si>
  <si>
    <t xml:space="preserve">4. náš pracovník nahraje až tuto finální objednávku (viz. bod č. 3) do našeho systému a informuje zákazníka o termínu, kdy bude zboží expedováno resp. připraveno k vyzvednutí. </t>
  </si>
  <si>
    <t>4. nhân viên của chúng tôi tải đơn đặt hàng cuối cùng này (xem điểm số 3) lên hệ thống của chúng tôi và thông báo cho khách hàng về ngày hàng hóa sẽ được vận chuyển hoặc sẵn sàng để nhận.</t>
  </si>
  <si>
    <t>Khách hàng không tiến hành đặt hàng theo quy định trên mà đến lấy hàng mà không có xác nhận của nhân viên chúng tôi, hàng sẽ không được bốc.</t>
  </si>
  <si>
    <t>Vaše objednávka je předána k nachystání na sklad ihned po jejím obdržení a není možné k objednávce již nic přidávat a to žádnou formou. Pokud zákazník zruší objednávku(nebo její část) bude mu účtován manipulační poplatek ve výší 50% hodnoty stornovaného zboží.</t>
  </si>
  <si>
    <t>Đơn hàng của bạn được bàn giao cho kho để chuẩn bị ngay khi nhận và không thể thêm bất cứ thứ gì vào đơn hàng dưới mọi hình thức. Nếu khách hàng hủy đơn hàng (hoặc một phần đơn hàng), khách hàng sẽ phải trả phí xử lý là 50% giá trị hàng hóa bị hủy.</t>
  </si>
  <si>
    <t>Pokud si chcete nějaké zboží přiobjednat, tak musíte vytvořit novou objednávku v našem elektronickém ceníku a tuto zaslat opět emailem. Do této objednávky napište pouze zboží, které si chcete přiobjednat.</t>
  </si>
  <si>
    <t>Nếu bạn muốn đặt một số hàng hóa, bạn phải tạo một đơn hàng mới trong bảng giá điện tử của chúng tôi và gửi lại qua email. Chỉ ghi hàng hóa bạn muốn đặt trong đơn hàng này.</t>
  </si>
  <si>
    <t>Chúng tôi không thể đảm bảo rằng hàng hóa đã đặt sẽ được gửi cùng với hàng hóa đã đặt hàng ban đầu!</t>
  </si>
  <si>
    <t>Bán theo gói</t>
  </si>
  <si>
    <t>Pokud si chcete objednat zboží po kusech, musíte na toto zboží poslat samostatnou objednávku, která bude obsahovat pouze položky, které si chcete objednat po kusech (vždy musí být objednáno nejmenší prodejní balení).</t>
  </si>
  <si>
    <t>Za objednané zboží po kusech bude účtován manipulační poplatek 20% k Vaší ceně tzn. od základní ceny se odečte Vaše sleva x 1,2 = cena zboží, které si objednáte po kusech.</t>
  </si>
  <si>
    <t>Věříme, že tento krok rozšíří dostupnost našeho zboží i pro menší zákazníky, kteří si některé položky nemohou objednávat po celých exportních kartonech.</t>
  </si>
  <si>
    <t>Đặt trước hàng hóa</t>
  </si>
  <si>
    <t xml:space="preserve">Na základě četných žádostí zákazníků, jsme se rozhodli zprovoznit rezervační systém na našem skladu. Pro lepší představu uvedu systém, který hojně využívají naši zahraniční zákazníci. </t>
  </si>
  <si>
    <t>Dựa trên nhiều yêu cầu của khách hàng, chúng tôi quyết định vận hành hệ thống đặt trước trong kho của mình. Để có ý tưởng tốt hơn, tôi sẽ giới thiệu một hệ thống được sử dụng rộng rãi bởi các khách hàng nước ngoài của chúng tôi.</t>
  </si>
  <si>
    <t>Obchodníci, kteří mají své vlastní prodejny, si u nás objednávají zboží např. ihned v září poté, co vyjde ceník s tím, že zboží chtějí doručit až například 15. prosince.</t>
  </si>
  <si>
    <t>Các thương nhân có cửa hàng riêng của họ đặt hàng từ chúng tôi, chẳng hạn, ngay trong tháng 9, sau khi bảng giá được công bố, họ nói rằng họ không muốn giao hàng cho đến ngày 15 tháng 12 chẳng hạn.</t>
  </si>
  <si>
    <t>Tímto mají zaručeno, že dostanou všechno, co chtějí a nemusí zboží nikde skladovat, nebo se strachovat zda se náhodou položka, s kterou počítají např. do letáku - nevyprodá. V dohodnutý den, poté zákazník dostane zboží, které si objednal…</t>
  </si>
  <si>
    <t>Điều này đảm bảo rằng họ sẽ có được mọi thứ họ muốn và không phải cất giữ hàng hóa ở bất cứ đâu, hoặc lo lắng về việc liệu mặt hàng mà họ đang tin tưởng, chẳng hạn như trong tờ rơi, sẽ không được bán hết. Vào ngày đã thỏa thuận, sau đó khách hàng nhận được hàng đã đặt…</t>
  </si>
  <si>
    <t>Dưới đây là các quy định mà hàng hóa có thể được đặt trước trong kho của chúng tôi:</t>
  </si>
  <si>
    <t>Quy tắc:</t>
  </si>
  <si>
    <t>○        nelze měnit rezervaci! Pokud zákazník neodebere celé objednané zboží, tak storno poplatek je 50% z hodnoty zboží, které si zákazník objednal, ale neodebral.</t>
  </si>
  <si>
    <t>Pallet</t>
  </si>
  <si>
    <t>Giá vận chuyển</t>
  </si>
  <si>
    <t>Cena paletové dopravy v nadlimitním režimu tzn. ADR režim (platí pouze pro rozvoz po ČR)</t>
  </si>
  <si>
    <t>Giá vận chuyển pallet trong chế độ giới hạn trên, tức là. Chế độ ADR (chỉ áp dụng cho giao hàng tại Cộng hòa Séc)</t>
  </si>
  <si>
    <t>Số lượng tối đa là 5 euro pallet, với đơn hàng lớn hơn, phí vận chuyển sẽ được tính trên cơ sở các nhà cung cấp ADR cung cấp với trọng tâm là giá vận chuyển thấp nhất có thể.</t>
  </si>
  <si>
    <t>Khi gửi hàng bằng xe ADR của chúng tôi (tải trọng 1450Kg), chúng tôi tính phí vận chuyển là 18 CZK / km cho chặng đi và về.</t>
  </si>
  <si>
    <t>Khi gửi hàng bằng xe tải ADR (tải trọng 24000 kg), khách hàng có thể bốc dỡ hàng hóa tại một nơi miễn phí, tối đa 4 giờ. Nếu dỡ hàng lâu hơn sẽ tính phí 800 CZK / giờ chờ, khi chuyển sang kho khác sẽ tính 100 CZK / km.</t>
  </si>
  <si>
    <t>Lời thiếu nại</t>
  </si>
  <si>
    <t>Chúng tôi đang gửi cho bạn quy trình giải quyết khiếu nại về những phát đạn không băn lên tu "compakt" bị hư hỏng. Thật không may, mặc dù kiểm soát chất lượng, những khiếu nại này không thể được ngăn chặn trong một khối lượng lớn hàng hóa.</t>
  </si>
  <si>
    <t>Pokud je vystříleno méně než 30% výrobku tak zákazníkovi výrobek vyměníme za nový kus, nevystřílený kus nám dovezte a bude Vám vyměněn.</t>
  </si>
  <si>
    <t>Nếu sản phẩm bắn ra dưới 30%, chúng tôi sẽ thay thế sản phẩm mới, mang hàng bị lỗi đi thay thế.</t>
  </si>
  <si>
    <t>Pokud je vystřílelo 30-50% výrobku tak zákazníkovi vyměníme tento za nový kus s doplatkem 30-50% z pořizovací ceny podle toho kolik ran zákazníkovi vystřílelo, nevystřílený kus nám dovezte a bude Vám vyměněn s doplatkem 30-50% z Vaši ceny.</t>
  </si>
  <si>
    <t>Nếu sản phẩm bắn ra 30-50%, chúng tôi sẽ đổi cho khách hàng sản phẩm mới với phụ phí 30-50% giá mua, tùy theo số lượng phát đạn bắn ra, hải mang sản phẩm hủ mảnh hư cho chúng tôi và nó sẽ được đổi với một khoản phụ phí 30-50% giá của bạn.</t>
  </si>
  <si>
    <t>Pokud vystřílelo 50-80% výrobku tak zákazníkovi vyměníme tento za nový kus s doplatkem 50-80% z pořizovací ceny podle toho kolik ran zákazníkovi vystřílelo, nevystřílený kus nám dovezte a bude Vám vyměněn s doplatkem 50-80% z ceny</t>
  </si>
  <si>
    <t>Nếu sản phẩm bắn ra 50-80%, chúng tôi sẽ đổi cho khách hàng sản phẩm mới với phụ phí 50-80% giá mua, tùy theo số lượng phát đạn bắn ra, hải mang sản phẩm hủ mảnh hư cho chúng tôi và nó sẽ được đổi với một khoản phụ phí 50-80% giá của bạn.</t>
  </si>
  <si>
    <t>Chúng tôi muốn mang đến giải pháp cho những  thiếu nại, chẳng hạn như khi khách hàng mang đến "compact" 100 phát đạn, trong đó 90 phát đạn đã được bắn và muốn có một "compact" mới.</t>
  </si>
  <si>
    <t>Chúng tôi chấp nhận các khiếu nại trong thời gian 12 tháng kể từ khi mua sản phẩm. </t>
  </si>
  <si>
    <t>Không chấp nhận khiếu nại ở vòi phun lửa (F100, F250, F500, F1000, F1500) - lý do được mô tả trong email vào ngày 28 tháng 1 năm 2019.</t>
  </si>
  <si>
    <t>Không thể yêu cầu bồi thường các thùng giấy xuất khẩu bị hư hỏng đối với pháo hoa. Các thùng màu xuất khẩu không ảnh hưởng đến chức năng của sản phẩm và chỉ dùng để bảo vệ sản phẩm trong quá trình vận chuyển.</t>
  </si>
  <si>
    <t>Zákazník, který chce mít pouze bezvadné kartony tak si musí zakoupit výrobky, které jsou baleny v ochraném kartonu. Kód výrobku končí (T), popř. si při odběru z našeho skladu zařídit přebrání zboží u nás. Na pozdější reklamace nebude brát zřetel.</t>
  </si>
  <si>
    <t>Khách hàng muốn chỉ có những thùng carton hoàn hảo phải mua những sản phẩm được đóng gói trong một thùng carton bảo vệ. Mã sản phẩm kết thúc (T), hoặc khi nhận hàng từ kho của chúng tôi, hãy sắp xếp hàng hóa để nhận hàng từ chúng tôi. Các khiếu nại tiếp theo sẽ không được tính đến.</t>
  </si>
  <si>
    <t xml:space="preserve">Hướng dẫn sử dụng bảng giá điện tử </t>
  </si>
  <si>
    <t>Novinkou je systém výpočtu slevy. Pokud jste nový zákazník, tak Vám ceník sám vypočte Vaši slevu na základě výše Vašeho odběru(pro stávající zákazníky platí přidělené slevy, které si zákazníci napíší do buňky D19).</t>
  </si>
  <si>
    <t>Một điểm mới là hệ thống tính chiết khấu. Nếu bạn là khách hàng mới, bản thân bảng giá sẽ tính chiết khấu dựa trên số lượng mua của bạn (đối với khách hàng hiện tại, chiết khấu được phân bổ sẽ áp dụng, khách hàng ghi vào ô D19).</t>
  </si>
  <si>
    <t>Bảng giá có tính tương tác, tức là. rằng nó tự tính toán lại chiết khấu (cần phải nhập số tiền của nó vào trường thích hợp, hoặc nó tự tính toán theo kích thước của đơn đặt hàng), dữ liệu giá bằng CZK và EUR, cũng tính trọng lượng theo kg, khối lượng hàng hóa trong m3 và khối lượng tịnh của chế phẩm pháo hoa.</t>
  </si>
  <si>
    <t>Nếu mặt hàng bạn muốn không có trong kho, bạn có thể sử dụng bộ lọc để tìm kiếm các mặt hàng tương tự trong cột AC, nơi tất cả các mặt hàng tương tự được đánh dấu bằng cùng một số.</t>
  </si>
  <si>
    <t>Tento sloupec je základem pro kalkulace v EUR .</t>
  </si>
  <si>
    <t>Cột này là cơ sở để tính bằng EUR.</t>
  </si>
  <si>
    <t xml:space="preserve">Kurz měny se v buňce F20 přepočítává automaticky a naleznete jej na níže uvedené stránce(maximální kurz, za který přijímáme EUR je 26 Kč/1 EUR). Kurz DEVIZY NÁKUP. </t>
  </si>
  <si>
    <t>Tỷ giá hối đoái được chuyển đổi tự động trong ô F20 và bạn có thể tìm thấy ở trang bên dưới (tỷ giá hối đoái tối đa mà chúng tôi chấp nhận EUR là CZK 26/1 EUR). KHÓA HỌC MUA BÁN NGOẠI HỐI.</t>
  </si>
  <si>
    <t xml:space="preserve">http://www.kb.cz/kurzovni-listek/cs/rl/index.x </t>
  </si>
  <si>
    <t>Ve sloupci J najdete informace o kategorii nebezpečí, do které výrobek patří.</t>
  </si>
  <si>
    <t>Cột J chứa thông tin về loại nguy cơ mà sản phẩm thuộc về.</t>
  </si>
  <si>
    <t>Viết đơn đặt hàng của bạn vào cột Z - chỉ viết một số thể hiện số lượng thùng đã đặt hàng. Ngoại lệ là các mục được đánh dấu "CÓ" trong cột A (các điều kiện ở trên).</t>
  </si>
  <si>
    <t>Trong cột AB, bạn sẽ tìm thấy tình trạng còn hàng hiện tại.</t>
  </si>
  <si>
    <t>Sau khi hoàn tất đơn đặt hàng, bạn sẽ thấy thông tin sau trong các cột sau:</t>
  </si>
  <si>
    <t>tổng giá bằng CZK chưa có VAT</t>
  </si>
  <si>
    <t>tổng giá bằng CZK có VAT</t>
  </si>
  <si>
    <t>tổng giá bằng EUR chưa có VAT</t>
  </si>
  <si>
    <t xml:space="preserve">tổng khối lượng tính bằng m3 </t>
  </si>
  <si>
    <t>tổng trọng lượng tính bằng kg</t>
  </si>
  <si>
    <t>tổng NEC - trọng lượng của các chế phẩm pháo hoa được chia theo các cấp ADR</t>
  </si>
  <si>
    <t>tổng NEC - trọng lượng của các chế phẩm pháo hoa cho tất cả các loại ADR</t>
  </si>
  <si>
    <t>Procedure when sending orders:</t>
  </si>
  <si>
    <t>Procedura przy wysyłaniu zamówień:</t>
  </si>
  <si>
    <t>Nowością jest dostępność hurtowni online tj. wystarczy być online i potwierdzić opcję „zezwalaj na edycję” i „zezwalaj na zawartość”. Po każdym otwarciu Cennika możesz sprawdzić, jakie towary są w magazynie lub kiedy będą dostępne !!!</t>
  </si>
  <si>
    <t>Nie ma możliwości zamówienia pozycji oznaczonych kolorem czarnym, których w dniu zamówienia nie ma na stanie !!! Gwarantuje to, że klient zamówi tylko te pozycje, które są na stanie, co znacznie przyspieszy realizację zamówienia.</t>
  </si>
  <si>
    <t>2. nasz pracownik dowie się, których pozycji może brakować w magazynie i poinformuje o tym klienta e-mailem</t>
  </si>
  <si>
    <t>3. Klient decyduje, czy chce poczekać na towar (jeśli nie ma go w magazynie), czy też chce wymienić wyprzedany towar i przesyła swoje ostateczne zamówienie e-mailem, które będzie zawierało tylko towary, które są aktualnie dostępne.</t>
  </si>
  <si>
    <t>4. nasz pracownik przesyła ostateczne zamówienie (patrz punkt 3) do naszego systemu i informuje klienta o terminie wysyłki lub gotowości do odbioru.</t>
  </si>
  <si>
    <t>Customers who do not proceed with the order in accordance with the above and will come for the goods without confirmation from our employee, the goods will not be loaded.</t>
  </si>
  <si>
    <t>Klienci, którzy nie zrealizują zamówienia zgodnie z powyższym i przyjdą po towar bez potwierdzenia ze strony naszego pracownika, towar nie zostanie załadowany.</t>
  </si>
  <si>
    <t>Twoje zamówienie jest przekazywane do magazynu w celu natychmiastowego przygotowania po otrzymaniu i nie ma już możliwości dodania czegokolwiek do zamówienia w jakiejkolwiek formie. Jeśli klient anuluje zamówienie (lub jego część), zostanie obciążony opłatą manipulacyjną w wysokości 50% wartości anulowanego towaru.</t>
  </si>
  <si>
    <t>If you want to order some goods, you must create a new order in our electronic price list and send it again by email. Only write the goods you want to order in this order.</t>
  </si>
  <si>
    <t>Jeśli chcesz zamówić jakiś towar, musisz utworzyć nowe zamówienie w naszym elektronicznym cenniku i wysłać je ponownie e-mailem. W tym zamówieniu wpisz tylko towary, które chcesz zamówić.</t>
  </si>
  <si>
    <t>We cannot guarantee that the ordered goods will be sent together with the originally ordered goods!</t>
  </si>
  <si>
    <t>Nie możemy zagwarantować, że zamówiony towar zostanie wysłany razem z pierwotnie zamówionym towarem!</t>
  </si>
  <si>
    <t>Reservation of goods</t>
  </si>
  <si>
    <t>Rezerwacja towarów</t>
  </si>
  <si>
    <t xml:space="preserve">Based on numerous customer requests, we have decided to make the booking system available at our warehouse. For a better idea, I will introduce a system that is widely used by our foreign customers. </t>
  </si>
  <si>
    <t>W oparciu o liczne prośby klientów zdecydowaliśmy się udostępnić system rezerwacji w naszym magazynie. Dla lepszego zrozumienia przedstawiamy system, który jest szeroko stosowany przez naszych zagranicznych klientów.</t>
  </si>
  <si>
    <t>Merchants who have their own stores order goods from us, for example, immediately in September after the price list comes out and they want to deliver the goods on December 15th.</t>
  </si>
  <si>
    <t>Sprzedawcy posiadający własne sklepy zamawiają u nas towar np. Od razu we wrześniu po wydaniu cennika i chcą dostarczyć towar 15 grudnia.</t>
  </si>
  <si>
    <t>This guarantees that they will get everything they want and do not have to store the goods anywhere, or worry about whether the item they are counting on, for example in the leaflet, will not be sold out. On the agreed day, then the customer receives the goods he ordered…</t>
  </si>
  <si>
    <t>Gwarantuje to, że dostaną wszystko, czego oczekują i nie będą musieli nigdzie przechowywać towaru, ani martwić się, czy przedmiot, na który liczą np. W ulotce, nie zostanie wyprzedany. W ustalonym terminie klient otrzymuje zamówiony towar…</t>
  </si>
  <si>
    <t>Below are the rules under which goods can be booked in our warehouse:</t>
  </si>
  <si>
    <t>Poniżej przedstawiamy zasady, na jakich można dokonać rezerwacji towaru w naszym magazynie:</t>
  </si>
  <si>
    <t>Rules:</t>
  </si>
  <si>
    <t>Zasady:</t>
  </si>
  <si>
    <t>Pallets</t>
  </si>
  <si>
    <t>Price of the transport</t>
  </si>
  <si>
    <t>Cena transportu</t>
  </si>
  <si>
    <t>The price of transport is individual. According to the ADR offer of the carrier.</t>
  </si>
  <si>
    <t>Cena transportu jest indywidualna. Zgodnie z ofertą ADR przewoźnika.</t>
  </si>
  <si>
    <t>When sending goods by ADR truck (load capacity 24 000 kg), the customer can unload the goods free of charge in one place, max. 4 hours. For longer unloading, the charged rate will be 800 CZK / hour of waiting, when moving to another warehouse, 100 CZK / km will be charged.</t>
  </si>
  <si>
    <t>Przy wysyłce ciężarówką ADR (ładowność 24 000 kg) klient ma możliwość bezpłatnego rozładunku towaru w jednym miejscu maksymalnie do 4 godzin. W przypadku dłuższego rozładunku opłata będzie wynosić 800 CZK / godzinę oczekiwania, przy zmaianie adresu/przewozu do innego magazynu 100 CZK / km.</t>
  </si>
  <si>
    <t>Complaint procedure</t>
  </si>
  <si>
    <t>Procedura reklamacyjna</t>
  </si>
  <si>
    <t>This is procedure for solving the complaint of unfired compacts. Unfortunately, despite quality control, these complaints cannot be prevented within a large volume.</t>
  </si>
  <si>
    <t>To jest procedura rozwiązywania reklamacji wypalonych wyrzutni. Niestety, pomimo kontroli jakości, ciężko zapobiec reklamacjom przy dużej ilości produkcyjnych.</t>
  </si>
  <si>
    <t>If less than 30% of the product is fired, so we will replace the product with a new one to the customer, bring the unfired piece to us and it will be replaced.</t>
  </si>
  <si>
    <t xml:space="preserve">Jeśli wypali się mniej niż 30% produktu zostanie wymieniony klientowi na nowy, po dostarczeniu do nas </t>
  </si>
  <si>
    <t>If 30-50% of the product is fired, then it will be replaced to the customer with a new piece with a 30-50% surcharge of the purchase price depending on how many shots the customer fired.</t>
  </si>
  <si>
    <t>Jeśli 30-50% produktu zostanie wystrzelone, to zostanie on zastąpiony klientowi nową sztuką z dopłatą w wysokości 30-50% ceny zakupu w zależności od liczby strzałów oddanych przez klienta.</t>
  </si>
  <si>
    <t>If 50-80% of the product fired, it will be replaced to the customer with a new piece with a 50-80% surcharge of the purchase price depending on how many shots the customer fired.</t>
  </si>
  <si>
    <t>W przypadku odpalenia 50-80% produktu zostanie on zastąpiony klientowi nowym egzemplarzem z dopłatą 50-80% ceny zakupu w zależności od ilości strzałów oddanych przez klienta.</t>
  </si>
  <si>
    <t>We want to bring order to the complaints solution, when it happens to us that the customer, for example, brings 100 shots compact, of which 90 shots fired and wants a new piece.</t>
  </si>
  <si>
    <t>Chcemy uporządkować rozwiązanie reklamacyjne, gdy zdarza się nam, że klient np. Przynosi wytzutnie 100 strzałów, z czego 90 jest wypalonych i chce nowego egzemplarza.</t>
  </si>
  <si>
    <t>Wulkany stożkowe (F100, F250, F500, F1000, F1500) nie mogą być odbierane ani zwracane w ramach zwrotów po sezonie - przyczyny opisane w mailu z 28.1.2019.</t>
  </si>
  <si>
    <t>It is not possible to claim damaged export cartons for folded fireworks. Colored export cardboard does not affect the function of the product and serves only to protect the product during transport.</t>
  </si>
  <si>
    <t>Nie ma możliwości reklamacji uszkodzonych kartonów na wyrzutnie złożone. Kolorowy karton eksportowy nie wpływa na działanie produktu i służy jedynie do ochrony produktu podczas transportu.</t>
  </si>
  <si>
    <t>The customer who only wants to have perfect cartons must buy products that are packed in a protective carton (product code ends (T) or arrange for the goods to be picked up from us when they are taken from our warehouse. Subsequent complaints will not be taken into account.</t>
  </si>
  <si>
    <t>Klient, który chce mieć tylko idealne kartony, musi kupić produkty, które są zapakowane w opakowanie ochronne (kod produktu kończy się (T) lub reklamować towar podczas odbioru/załadunku towaru. Późniejsze reklamacje nie będą brane pod uwagę.</t>
  </si>
  <si>
    <t>Instructions for use of the electronic price list</t>
  </si>
  <si>
    <t>Instrukcja korzystania z cennika elektronicznego</t>
  </si>
  <si>
    <t>A novelty is the discount calculation system. If you are a new customer, the price list itself will calculate your discount based on the amount of your subscription (for existing customers, the allocated discounts apply, which the customer writes in cell D19).</t>
  </si>
  <si>
    <t>Nowością jest system naliczania rabatów. Jeśli jesteś nowym klientem, sam cennik obliczy zniżkę na podstawie kwoty wg tabeli rabatowej (w przypadku istniejących klientów obowiązują przyznane rabaty, które klient zapisuje w komórce D19).</t>
  </si>
  <si>
    <t>Price list is interactive, ie. that it recalculates the discount (it is necessary to enter its amount in the appropriate field), the price information in CZK and EUR, also calculates the weight in kg, the volume of goods in m3 and the net weight of pyrotechnic compositions.</t>
  </si>
  <si>
    <t>Cennik jest interaktywny, tj. że przelicza rabat (konieczne jest wpisanie jego wielkości w odpowiednim polu), informacje o cenie w CZK i EUR, oblicza również wagę w kg, objętość towaru w m3 i wagę netto zamówienia.</t>
  </si>
  <si>
    <t>If the item you want is not in stock, you can use the filter to find similar items in column C, where all similar items are marked with the same number.</t>
  </si>
  <si>
    <t>Jeśli żądanej potrzebnej pozycji nie ma w magazynie, możesz użyć filtra, aby znaleźć podobne pozycje w kolumnie C, gdzie wszystkie podobne pozycje są oznaczone tym samym numerem.</t>
  </si>
  <si>
    <t>This column is the basis for calculations in EUR.</t>
  </si>
  <si>
    <t>Ta kolumna jest podstawą do obliczeń w EUR.</t>
  </si>
  <si>
    <t>Cell F20 will automatically display the current exchange rate found on the following page (the maximum exchange rate at which we accept EUR is 26 CZK / 1 EUR).</t>
  </si>
  <si>
    <t>komórka F20 automatycznie wyświetli aktualny kurs wymiany znaleziony na następnej stronie (maksymalny kurs wymiany, po którym akceptujemy EUR, to 26 CZK / 1 EUR).</t>
  </si>
  <si>
    <t>W kolumnie J znajdziesz informację o kategorii zagrożenia, do której należy produkt.</t>
  </si>
  <si>
    <t>W kolumnie Z wpisz swoje zamówienie - wpisz tylko liczbę określającą ilość zamawianych kartonów.</t>
  </si>
  <si>
    <t>Po złożeniu zamówienia zobaczysz te informacje w następujących kolumnach:</t>
  </si>
  <si>
    <t>Total price in CZK excl. VAT.</t>
  </si>
  <si>
    <t>Cena całkowita netto w CZK.</t>
  </si>
  <si>
    <t>Total price in CZK incl. VAT.</t>
  </si>
  <si>
    <t>Cena całkowita brutto w CZK.</t>
  </si>
  <si>
    <t>Total price in EUR excl. VAT.</t>
  </si>
  <si>
    <t>Cena całkowita netto w EUR.</t>
  </si>
  <si>
    <t>Total volume in m3.</t>
  </si>
  <si>
    <t>Całkowita objętość w m3.</t>
  </si>
  <si>
    <t>Total weight in kg.</t>
  </si>
  <si>
    <t>Masa całkowita w kg.</t>
  </si>
  <si>
    <t>Total NEC-net weight of pyrotechnic compositions divided by ADR classes.</t>
  </si>
  <si>
    <t>Całkowita masa netto NEC zamówienia z podziałem na klasy ADR.</t>
  </si>
  <si>
    <t>The total NEC-net weight of the pyrotechnic composition for all ADR classes.</t>
  </si>
  <si>
    <t>Całkowita masa netto NEC zamówienia dla wszystkich klas ADR.</t>
  </si>
  <si>
    <t>POSTUPAK PRILIKOM SLANJA NARUDŽBI</t>
  </si>
  <si>
    <t>Novost je internetska dostupnost skladišta tj. sve što morate učiniti je biti na mreži (online) i potvrditi opciju "dozvoli uređivanje" -  "allow (or enable) editing " i "dozvoli sadržaj"- "allow (or enable) content" nakon svakog otvaranja Cjenika kako biste vidjeli koja je roba na zalihi ili kada će biti na zalihi !!!</t>
  </si>
  <si>
    <t>Nije moguće naručiti artikle označene crno kojih nema na zalihi na dan narudžbe !!! To će jamčiti da će kupac naručiti samo proizvode koji su na zalihi, što će znatno ubrzati izvršavanje narudžbe.</t>
  </si>
  <si>
    <t>2. Naši djelatnici će provjeriti narudžbu i u slučaju saznanja da nekih proizvoda možda nema na zalihama, o tome će obavijestiti kupca e-poštom.</t>
  </si>
  <si>
    <t>3. Kupac odlučuje želi li pričekati robu (ako je nema na zalihama) ili želi zamijeniti rasprodanu robu, nakon čega šalje svoju revidiranu konačnu narudžbu e-poštom, a koja sadrži samo proizvode koji su trenutno dostupni.</t>
  </si>
  <si>
    <t>4. Naš djelatnik učitava ovu konačnu narudžbu (vidi točku br. 3) u naš sustav i obavještava kupca o datumu kada će roba biti otpremljena ili spremna za preuzimanje.</t>
  </si>
  <si>
    <t>Kupci koji ne nastave s postupkom narudžbe u skladu s gore navedenim i dođu po robu bez potvrde našeg djelatnika, istu neće moći preuzeti.</t>
  </si>
  <si>
    <t>Vaša se narudžba predaje na pripremu u skladište odmah po primitku i više nije moguće dodavati bilo što u narudžbu u bilo kojem obliku. Ako kupac otkaže narudžbu (ili dio nje), naplatit će mu se naknada za rukovanje u iznosu od 50% od vrijednosti otkazane robe.</t>
  </si>
  <si>
    <t xml:space="preserve">Ako želite naručiti dodatnu robu potrebno je kreirati novu narudžbu u našem elektroničkom cjeniku i poslati je ponovno e-poštom. U ovoj narudžbi navodite samo onu robu koju želite dodatno naručiti. </t>
  </si>
  <si>
    <t>Ne možemo jamčiti da će roba iz dodatne narudžbe biti isporučena zajedno s prvobitno predanom narudžbom.</t>
  </si>
  <si>
    <t>Rezervacija robe</t>
  </si>
  <si>
    <t>Na temelju brojnih zahtjeva kupaca odlučili smo učiniti dostupnim sustav rezervacija na našem skladištu. Za bolju predožbu predstaviti ćemo sustav široko upotrebljavan od strane naših inozemnih kupaca</t>
  </si>
  <si>
    <t>Trgovci koji imaju vlastite prodavaonice naručuju robu kod nas, na primjer, odmah u rujnu nakon izlaska cjenika, a isporuku robe žele 15. prosinca.</t>
  </si>
  <si>
    <t>Ovo je jamstvo trgovcima da će dobiti sve što žele, robu neće morati nigdje skladištiti ili brinuti hoće li proizvodi na koje računaju, na primjer iz letka, biti rasprodani. Kupac dobiva robu koju je naručio na određeni dan prema dogovoru...</t>
  </si>
  <si>
    <t>U nastavku su pravila sukladno kojima roba može biti rezervirana u našem skladištu:</t>
  </si>
  <si>
    <t>Pravila:</t>
  </si>
  <si>
    <t>Palete</t>
  </si>
  <si>
    <t xml:space="preserve">Cijena prijevoza </t>
  </si>
  <si>
    <t>Cijena prijevoza je individualna i ovisi o ponudi ADR prijevoznika.</t>
  </si>
  <si>
    <t>Kadase roba prevozi ADR kamionom (nosivost 24 000 kg), kupac može robu istovariti besplatno na jednom mjestu, u maksimalnom trajanju od 4 sata. Za dulji istovar naplatiti će se naknada u iznosu od  800 CZK / sat čekanja, pri premještanju u drugo skladište naplatit će se naknada u iznosu od 100 CZK / km.</t>
  </si>
  <si>
    <t>Žalbeni postupak:</t>
  </si>
  <si>
    <t>Ovo je postupak za rješavanje prigovora zbog robe koja je zakazala prilikom ispucavanja. Nažalost, unatoč kontroli kvalitete, ove se žalbe ne mogu spriječiti unutar velikog obujma.</t>
  </si>
  <si>
    <t>Ukoliko odradi manje od 30% od pojedinog proizvoda, potrebno je donijeti proizvod koji nije odradio i isti će kupcu biti zamijenjen novim.</t>
  </si>
  <si>
    <t>Ukoliko je ispucalo od 30-50% proizvoda, tada će se proizvod kupcu zamijeniti novim, uz nadoplatu kupca od 30-50% od nabavne cijene, ovisno o tome koliko je pucnjeva odradilo.</t>
  </si>
  <si>
    <t>Ukoliko je ispucalo od 50-80% proizvoda, tada će se proizvod kupcu zamijeniti novim, uz nadoplatu kupca od 50-80% od nabavne cijene, ovisno o tome koliko je pucnjeva odradilo.</t>
  </si>
  <si>
    <t>Želimo uvesti red u rješavanje prigovora kada nam se dogodi da kupac, na primjer, donese vatrometnu kutiju od 100 pucnjeva, od toga je 90 pucnjeva odradilo, a želi novi proizvod.</t>
  </si>
  <si>
    <t>Konični vulkani (F100, F250, F500, F1000, F1500) ne mogu se reklamirati niti vratiti u sklopu povrata nakon sezone zbog razloga opisanih u dopisu od 28.01.2019.</t>
  </si>
  <si>
    <t>Nije moguće zatražiti reklamaciju zbog oštećenja izvoznog kartona ili vatrometne kutije tijekom transporta. Vanjsko pakiranje ne utječe na funkciju proizvoda i služi samo za zaštitu proizvoda tijekom transporta.</t>
  </si>
  <si>
    <t>Kupac koji želi dobiti kartone isključivo u savršenom stanju mora kupiti proizvode koji su zapakirani u zaštitnu kutiju - šifra proizvoda završava oznakom (T) ili organizirati preuzimanje i provjeru robe samostalno odmah po izdavanju iz našeg skladišta. Naknadne reklamacije neće se uzeti u obzir.</t>
  </si>
  <si>
    <t>Upute za upotrebu elektroničkog cjenika</t>
  </si>
  <si>
    <t>Novost je sustav obračunavanja popusta. Ako ste novi kupac, cjenik će sam izračunati vaš popust na temelju iznosa vaše narudžbe (za postojeće kupce primjenjuju se dodijeljeni popusti koje kupac upisuje u ćeliju D19).</t>
  </si>
  <si>
    <t>Cjenik je interaktivan što znači da preračunava cijenu sukladno popustu (potrebno je unijeti njegov iznos u odgovarajuće polje),  vrijednost u CZK i EUR, također izračunava težinu u kg, količinu robe u m3 i neto eksplozivnu masu</t>
  </si>
  <si>
    <t>Ako proizvoda koji želite nema na zalihi, pomoću filtera možete pronaći slične stavke u stupcu C, gdje su svi slični predmeti označeni istim brojem.</t>
  </si>
  <si>
    <t xml:space="preserve">Ovaj stupac predstavlja osnovu za kalkulaciju vrijednosti u EUR. </t>
  </si>
  <si>
    <t>Ćelija F20 automatski prikazuje trenutni tečaj sa sljedeće poveznice navedene ispod (prihvaćamo tečaj do maksimalno 26 CZK / 1 EUR).</t>
  </si>
  <si>
    <t>U stupcu J nalazi se podatak u koju kategoriju pirotehničkih sredstava pripada proizvod</t>
  </si>
  <si>
    <t>U stupac Z unosite svoju narudžbu - upisujete samo broj kartona koje želite naručiti</t>
  </si>
  <si>
    <t>Nakon što napravite narudžbu, vidjeti ćete sljedeće informacije u ovim stupcima:</t>
  </si>
  <si>
    <t>Ukupna vrijednost u CZK bez PDV-a</t>
  </si>
  <si>
    <t>Ukupna vrijednost u CZK s uključenim PDV-om</t>
  </si>
  <si>
    <t>Ukupna vrijednost u EUR bez PDV-a</t>
  </si>
  <si>
    <t>Ukupni obujam u m3.</t>
  </si>
  <si>
    <t>Ukupna težina u kg.</t>
  </si>
  <si>
    <t>Ukupna NEM neto eksplozivna težina pirotehničkih sredstava podijeljena sukladno ADR klasama</t>
  </si>
  <si>
    <t>Ukupna NEM - neto eksplozivna težina pirotehničkih sredstava za sve ADR klase.</t>
  </si>
  <si>
    <t>tellimuste saatmise kord:</t>
  </si>
  <si>
    <t>uuendusega reaalajas näha laoseisu, st. kõik, mida peate tegema, on olema võrgus ja kinnitama võimaluse "lubada redigeerimine" ja "sisu lubamine" pärast iga hinnakirja avamist näete, milliseid kaupu on laos või millal on laos !!!</t>
  </si>
  <si>
    <t>mustaga märgitud tooteid ei ole võimalik tellida kui neid tellimispäeval laos ei ole !!! See tagab, et klient tellib ainult laos olevaid tooteid, kiirendades seeläbi oluliselt tellimuse täitmist.</t>
  </si>
  <si>
    <t>meie töötaja uurib, milliseid tooteid ei pruugi laos olla, ja teavitab sellest klienti e-posti teel</t>
  </si>
  <si>
    <t>Klient otsustab, kas ta soovib tooteid oodata (kui neid pole laos) või soovib ta väljamüüdud tooted välja vahetada ja saadab oma lõpliku tellimuse e-posti teel, mis sisaldab vaid hetkel saadaval olevaid kaupu.</t>
  </si>
  <si>
    <t>meie töötaja laadib selle lõpliku tellimuse (vt punkt nr 3) meie süsteemi ja teavitab klienti kuupäevast, millal kaup transporditakse või on valmis järele tulemiseks</t>
  </si>
  <si>
    <t>Kliendid, kes ei järgi tellimust vastavalt ülaltoodule ja tulevad kauba järele ilma meie töötaja kinnituseta, kaupa ei laadita.</t>
  </si>
  <si>
    <t>Teie tellimus antakse kohe lattu töösse ja tellimusele ei ole enam võimalik enam midagi lisada. Kui klient tühistab tellimuse (või osa sellest), võetakse temalt käitlustasu 50% tühistatud kauba väärtusest.</t>
  </si>
  <si>
    <t>Kui soovite mõnda kaupa tellida, peate meie elektroonilises hinnakirjas looma uue tellimuse ja saatma selle uuesti e-posti teel. Kirjutage ainult need kaubad, mida soovite tellida.</t>
  </si>
  <si>
    <t>Me ei saa garanteerida, et tellitud kaup saadetakse koos algselt tellitud kaubaga!</t>
  </si>
  <si>
    <t>kaupade broneerimine</t>
  </si>
  <si>
    <t>Arvukate klientide soovide põhjal oleme otsustanud broneerimissüsteemi meie laos kättesaadavaks teha. Paremaks arusaamiseks tutvustan süsteemi, mida meie väliskliendid laialdaselt kasutavad.</t>
  </si>
  <si>
    <t>Kaupmehed, kellel on oma kauplused, tellivad meilt näiteks kaupu kohe pärast hinnakirja ilmumist septembris ja nad soovivad kauba kohale toimetada 15. detsembril.</t>
  </si>
  <si>
    <t>See tagab, et saadakse, mida soovitakse ja ei pea seda ladustama või muretsema selle pärast, kas ese, mida soovivad tellida,  ei müüdagi enam. Kokkulepitud päeval saab klient tellitud kauba kätte…</t>
  </si>
  <si>
    <t>Allpool on reeglid, mille alusel saab kaupu meie laos broneerida:</t>
  </si>
  <si>
    <t>Reeglid:</t>
  </si>
  <si>
    <t>Kaubaalused</t>
  </si>
  <si>
    <t>Transpordi hind</t>
  </si>
  <si>
    <t>Transpordi hind on individuaalne. Vastavalt vedaja ADR-pakkumisele.</t>
  </si>
  <si>
    <t>ADR-veokiga kauba saatmisel (kandevõime 24 000 kg) saab klient kauba ühes kohas tasuta maha laadida, max. 4 tundi. Pikema mahalaadimise korral on tasuline määr 800 CZK / tund ootamist, teise lattu kolides võetakse 100 CZK / km.</t>
  </si>
  <si>
    <t>Kaebuste esitamise kord</t>
  </si>
  <si>
    <t>See on protseduur toimimata toodete kaebuse lahendamiseks. Kahjuks ei saa hoolimata kvaliteedikontrollist neid kaebusi ära hoida.</t>
  </si>
  <si>
    <t>Kui toimib vähem kui 30% tootest, asendame kliendile toote uuega, tooge toimimata toode meile ja see asendatakse.</t>
  </si>
  <si>
    <t>Kui toimib 30-50% tootest, siis asendatakse see uue tootega, mille ostuhinna lisatasu on 30-50%, sõltuvalt sellest, kui palju laske toode lasi.</t>
  </si>
  <si>
    <t>Kui toode toimis 50–80% tootest, asendatakse see uue tootega, mille ostuhinna lisatasu on 50–80%, sõltuvalt sellest, mitu lasku toode lasi.</t>
  </si>
  <si>
    <t>Soovime luua kaebuste lahenduse korda, näiteks klient toob 100 lasuga toote, millest 90 lasku on toiminud ja soovib uut toodet.</t>
  </si>
  <si>
    <t>Koonilisi vulkaane (F100, F250, F500, F1000, F1500) ei saa pärast hooaega tagasisaatmise raames taotleda ega tagastada - põhjused, mis on kirjas 28. jaanuarist 2019.</t>
  </si>
  <si>
    <t>Kahjustatud pakendi tõttu ei ole võimalik tagastada. Värviline eksportpapp ei mõjuta toote funktsiooni ja on mõeldud ainult toote kaitsmiseks transpordi ajal.</t>
  </si>
  <si>
    <t>Klient, kes soovib saada vaid täiuslikke kaste, peab ostma tooteid, mis on pakendatud kaitsekarpi (tootekood lõpeb (T) või korraldama kauba transpordi meie laost. Hilisemaid kaebusi arvesse ei võeta.</t>
  </si>
  <si>
    <t>Elektroonilise hinnakirja kasutamise juhised</t>
  </si>
  <si>
    <t>Uuendatud on allahindluste arvutamise süsteem. Kui olete uus klient, arvutab hinnakiri ise teie allahindluse teie tellimuse summa põhjal (olemasolevatele klientidele kehtivad eraldi allahindlused, mille klient kirjutab lahtrisse D19).</t>
  </si>
  <si>
    <t>Hinnakiri on interaktiivne, st. et see arvutab allahindluse (summa tuleb sisestada vastavasse lahtrisse), hinna Tšehhi kroonides ja eurodes, arvutab kaalu kilogrammides, kauba mahu m3 ja pürotehnilise aine netokaalu.</t>
  </si>
  <si>
    <t>Kui soovitud kaupa pole laos, võite filtri abil leida veerust C, kus kõik sarnased kaubad on tähistatud sama numbriga.</t>
  </si>
  <si>
    <t>See veerg on aluseks eurodes arvutamiseks.</t>
  </si>
  <si>
    <t>Lahter F20 kuvab automaatselt järgmisel lehel leitava vahetuskursi (maksimaalne vahetuskurss, millega aktsepteerime EUR-i, on 26 CZK / 1 EUR).</t>
  </si>
  <si>
    <t>Veerust J leiate toote ohukategooria, kuhu toode kuulub.</t>
  </si>
  <si>
    <t>Veergu Z kirjutage oma tellimus - kirjutage ainult number tellitud kastide arvuga.</t>
  </si>
  <si>
    <t>Pärast tellimuse esitamist näete seda teavet järgmistes veergudes:</t>
  </si>
  <si>
    <t>Hind kokku Tšehhi kroonides ilma käibemaksuta.</t>
  </si>
  <si>
    <t>Hind kokku Tšehhi kroonides käibemaksuga.</t>
  </si>
  <si>
    <t>Hind kokku eurodes ilma käibemaksuta.</t>
  </si>
  <si>
    <t>Kogumaht m3.</t>
  </si>
  <si>
    <t>Kogumass kilogrammides.</t>
  </si>
  <si>
    <t>Kogu pürotehnilise aine NEC-netomass jagatud ADR-klassidega.</t>
  </si>
  <si>
    <t>Pürotehnilise aine NEC-netomass jagatud ADR-klassidega.</t>
  </si>
  <si>
    <t>YES</t>
  </si>
  <si>
    <t>JA</t>
  </si>
  <si>
    <t>TAK</t>
  </si>
  <si>
    <t>ĐÚNG</t>
  </si>
  <si>
    <t>TAIP</t>
  </si>
  <si>
    <t>DA</t>
  </si>
  <si>
    <t>SÌ</t>
  </si>
  <si>
    <t>JAH</t>
  </si>
  <si>
    <t>estonština</t>
  </si>
  <si>
    <t>sõitev+vilistav tank( vulkaan+praksuv kahuripauk)</t>
  </si>
  <si>
    <t>väike hai vulkaaniga, pakend sisaldab 3 erineva värviga haid(roheline,kollane,roosa)</t>
  </si>
  <si>
    <t>keerlev punane/roheline/kollane maapealne pööris</t>
  </si>
  <si>
    <t>keerlev värviline ja praksuv ratas lõpus suitsuga</t>
  </si>
  <si>
    <t>suur keerlev punane/roheline/kollane maapealne pööris</t>
  </si>
  <si>
    <t>vilistav keerlev efekt lõpus praksuv</t>
  </si>
  <si>
    <t>suur keerlev punane+praksuv maapealne pööris</t>
  </si>
  <si>
    <t>praksuv efekt, pikkus 20cm</t>
  </si>
  <si>
    <t>praksuvad pallid</t>
  </si>
  <si>
    <t>praksuv pall 1g, diameeter 23mm</t>
  </si>
  <si>
    <t>vile</t>
  </si>
  <si>
    <t>paugunöör</t>
  </si>
  <si>
    <t>värviline fontään praksuga</t>
  </si>
  <si>
    <t>väike valge  sähvatus</t>
  </si>
  <si>
    <t>laste peovulkaan( värviline) koos valgustava käevõruga</t>
  </si>
  <si>
    <t>värvilised paukherned ( diameeter 9mm)</t>
  </si>
  <si>
    <t>mustad paukherned ( diameeter 14mm)</t>
  </si>
  <si>
    <t>kuldne lendav mesilane</t>
  </si>
  <si>
    <t>vilistav herilane</t>
  </si>
  <si>
    <t>hõbedane keerlev saba</t>
  </si>
  <si>
    <t>roheline keerlev saba rohelise särvatusega</t>
  </si>
  <si>
    <t>hõbedane keerlev saba praginaga</t>
  </si>
  <si>
    <t>hõbedane keerlev saba valge sähvatuse ja punase pärliga</t>
  </si>
  <si>
    <t>punase sabaga punane pragin</t>
  </si>
  <si>
    <t>vilistav lennuk punase tule ja praginga(2 tk)+ vilistav lennuk rohelise tule ja praginaga+ sähvatus (2 tk)</t>
  </si>
  <si>
    <t>lendav värviline brokaat( 1 tk), lendav värviline pragin (  tk)</t>
  </si>
  <si>
    <t>vilistav lendav taldrik rohelise tulega</t>
  </si>
  <si>
    <t>vilistav lendav taldrik sabaga, efekti kõrgus 65m</t>
  </si>
  <si>
    <t>lastepakk sisaldab: DP1FD- 1x,DP1FR-1x,DP1BP- 3x,BK1B-1x,BK1P-1x,DP1CB-1x,DP1B-1x,DP1R-2x, S12S-1x</t>
  </si>
  <si>
    <t>8 aknaga kalender lastele 24.12-31.12</t>
  </si>
  <si>
    <t>perepakk sisaldab: 4 rocket,DP1BP-2x,DP1B-1x,S12S-1x,P1-1x,BK1B-1x,DP1R-1x,DP1VC-1x,DP1CB-1x,K01M-1x,R4420B- 2x</t>
  </si>
  <si>
    <t>perepakk sisaldab: 1x-VP16A,DP1VC, LM2V 1 single pc, R4420B 2 single pc, R12T1 4 sinlge pc</t>
  </si>
  <si>
    <t>kuldsed säraküünlad, pikkus 70cm, säravmaterjali pikkus 55cm, säravmaterjali diameeter on 4,5mm</t>
  </si>
  <si>
    <t>kuldsed säraküünlad, pikkus 40cm, säravmaterjali pikkus 32,5cm, säravmaterjali diameeter on 3,7mm</t>
  </si>
  <si>
    <t>kuldsed säraküünlad, pikkus 28cm, säravmaterjali pikkus 20,5cm, säravmaterjali diameeter on 3mm</t>
  </si>
  <si>
    <t>kuldsed säraküünlad, pikkus 90cm, säravmaterjali pikkus 61cm, säravmaterjali diameeter on 4,8mm</t>
  </si>
  <si>
    <t>kuldsed säraküünlad, pikkus 90cm, säravmaterjali pikkus 5cm, säravmaterjali diameeter on 4,8mm</t>
  </si>
  <si>
    <t>kuldsed säraküünlad, pikkus 70cm, säravmaterjali pikkus 45cm, säravmaterjali diameeter on 4,5mm</t>
  </si>
  <si>
    <t>kuldsed säraküünlad, pikkus 40cm, säravmaterjali pikkus 26cm, säravmaterjali diameeter on 3,7mm</t>
  </si>
  <si>
    <t>kuldsed säraküünlad, pikkus 28cm, säravmaterjali pikkus 17cm, säravmaterjali diameeter on 3mm</t>
  </si>
  <si>
    <t>kuldsed säraküünlad, pikkus 16cm, säravmaterjali pikkus 8,5cm, säravmaterjali diameeter on 2,5mm</t>
  </si>
  <si>
    <t>neoon säraküünlad (roosa, kollane, roheline, sinine) pikkus 28cm, säravmaterjali pikkus 17cm ja diameeter 3mm</t>
  </si>
  <si>
    <t>neoon säraküünlad (punane, kollane, roheline, sinine) pikkus 40cm, säravmaterjali pikkus 26cm ja diameeter 3,7mm</t>
  </si>
  <si>
    <t>praksuvad kuldsed säraküünlad, pikkus 40cm, säravmaterjali pikkus 26cm, säravmaterjali diameeter on 3,7mm</t>
  </si>
  <si>
    <t>kuldsed säraküünlad number 1 kujuga</t>
  </si>
  <si>
    <t>kuldsed säraküünlad südame kujuga</t>
  </si>
  <si>
    <t>kuldsed säraküünlad tähe kujuga</t>
  </si>
  <si>
    <t>kuldsed säraküünlad( segatult numbrid 0-9, süda, täht)</t>
  </si>
  <si>
    <t>ümmargused tossupommid ( punane, roheline, kollane, sinine, valge, roosa)</t>
  </si>
  <si>
    <t>suitsuküünal ( oranž, lilla, valge, must)</t>
  </si>
  <si>
    <t>suitsuküünal ( sinine, punane, kollane, roheline)</t>
  </si>
  <si>
    <t>muti peletus suits( suits + hais)</t>
  </si>
  <si>
    <t>suitsuküünal - valge</t>
  </si>
  <si>
    <t>suitsuküünal - punane</t>
  </si>
  <si>
    <t>suitsuküünal - sinine</t>
  </si>
  <si>
    <t>suitsuküünal - kollane</t>
  </si>
  <si>
    <t>suitsuküünal - roheline</t>
  </si>
  <si>
    <t>suitsuküünal - oranž</t>
  </si>
  <si>
    <t>suitsuküünal( suits tuleb mõlemast otsast) - valge</t>
  </si>
  <si>
    <t>suitsuküünal( suits tuleb mõlemast otsast) - punane</t>
  </si>
  <si>
    <t>suitsuküünal( suits tuleb mõlemast otsast) - sinine</t>
  </si>
  <si>
    <t>suitsuküünal splindi tõmbamisega - valge</t>
  </si>
  <si>
    <t>suitsuküünal splindi tõmbamisega - punane</t>
  </si>
  <si>
    <t>suitsuküünal splindi tõmbamisega - sinine</t>
  </si>
  <si>
    <t>suitsuküünal splindi tõmbamisega -kollane</t>
  </si>
  <si>
    <t>suitsuküünal splindi tõmbamisega - roheline</t>
  </si>
  <si>
    <t>suitsuküünal splindi tõmbamisega - oranž</t>
  </si>
  <si>
    <t>suitsuküünal splindi tõmbamisega - must</t>
  </si>
  <si>
    <t>suitsuküünal( suits tuleb mõlemast otsast) splindi tõmbamisega - valge</t>
  </si>
  <si>
    <t>suitsuküünal( suits tuleb mõlemast otsast) splindi tõmbamisega - punane</t>
  </si>
  <si>
    <t>suitsuküünal( suits tuleb mõlemast otsast) splindi tõmbamisega - sinine</t>
  </si>
  <si>
    <t>suitsuküünal( suits tuleb mõlemast otsast) splindi tõmbamisega - kollane</t>
  </si>
  <si>
    <t>suitsuküünal( suits tuleb mõlemast otsast) splindi tõmbamisega -roheline</t>
  </si>
  <si>
    <t>suitsuküünal( suits tuleb mõlemast otsast) splindi tõmbamisega - oranž</t>
  </si>
  <si>
    <t>suitsuküünal( suits tuleb mõlemast otsast) splindi tõmbamisega - must</t>
  </si>
  <si>
    <t>suitsuküünal kraapijaga - valge</t>
  </si>
  <si>
    <t>suitsuküünal kraapijaga - punane</t>
  </si>
  <si>
    <t>suitsuküünal kraapijaga - sinine</t>
  </si>
  <si>
    <t>suitsuküünal kraapijaga - kollane</t>
  </si>
  <si>
    <t>suitsuküünal kraapijaga - roheline</t>
  </si>
  <si>
    <t>suitsuküünal kraapijaga - oranž</t>
  </si>
  <si>
    <t>suitsuküünal kraapijaga - must</t>
  </si>
  <si>
    <t>suitsuküünal kraapijaga - roosa</t>
  </si>
  <si>
    <t>suitsuküünal süütenööriga - valge</t>
  </si>
  <si>
    <t>suitsuküünal süütenööriga - punane</t>
  </si>
  <si>
    <t>suitsuküünal süütenööriga -sinine</t>
  </si>
  <si>
    <t>suitsuküünal süütenööriga - sinine</t>
  </si>
  <si>
    <t>suitsuküünal süütenööriga - kollane</t>
  </si>
  <si>
    <t>suitsuküünal süütenööriga - roheline</t>
  </si>
  <si>
    <t>suitsuküünal süütenööriga - oranž</t>
  </si>
  <si>
    <t>käes hoitav suitsuküünal splindi tõmbamisega - kollane</t>
  </si>
  <si>
    <t>käes hoitav suitsuküünal splindi tõmbamisega - roheline</t>
  </si>
  <si>
    <t>käes hoitav suitsuküünal splindi tõmbamisega - oranž</t>
  </si>
  <si>
    <t>käes hoitav suitsuküünal splindi tõmbamisega - must</t>
  </si>
  <si>
    <t>käes hoitav suitsuküünal  - valge</t>
  </si>
  <si>
    <t>käes hoitav suitsuküünal  - punane</t>
  </si>
  <si>
    <t>käes hoitav suitsuküünal  - sinine</t>
  </si>
  <si>
    <t>käes hoitav suitsuküünal  - kollane</t>
  </si>
  <si>
    <t>käes hoitav suitsuküünal  -roheline</t>
  </si>
  <si>
    <t>käes hoitav suitsuküünal  - oranž</t>
  </si>
  <si>
    <t>käes hoitav suitsuküünal  - must</t>
  </si>
  <si>
    <t>punane tõrvik+valge suits</t>
  </si>
  <si>
    <t>rohelie tõrvik+valge suits</t>
  </si>
  <si>
    <t>valge tõrvik+valge suits</t>
  </si>
  <si>
    <t>kollane tõrvik+valge suits</t>
  </si>
  <si>
    <t>sinine tõrvik+valge suits</t>
  </si>
  <si>
    <t>punane tõrvik</t>
  </si>
  <si>
    <t>värviline tõrvik(punane, roheline, valge, lilla, kollane)</t>
  </si>
  <si>
    <t>valge sähvatus</t>
  </si>
  <si>
    <t>punane sähvatus + suits</t>
  </si>
  <si>
    <t>fontäänide segu, 2 tk F1U ja 2 tk F1K</t>
  </si>
  <si>
    <t>fontäänide segu, 2 tk F2DF ja 2 tk F2DD</t>
  </si>
  <si>
    <t>värviline( punane, roheline, sinine)+ pragisev miin</t>
  </si>
  <si>
    <t>värvilised ja pragisevad otsad, vilega komeet</t>
  </si>
  <si>
    <t>6 erinevat värvilist efekti</t>
  </si>
  <si>
    <t>värvilised otsad+tugevad pragisevad otsad</t>
  </si>
  <si>
    <t>tugevad pragisevad otsad</t>
  </si>
  <si>
    <t>värvilised otsad+ pragisevad otsad</t>
  </si>
  <si>
    <t>erinevad efektid</t>
  </si>
  <si>
    <t>pragisev fontään</t>
  </si>
  <si>
    <t>4 erinevat värvilist efekti</t>
  </si>
  <si>
    <t>keerev fontään</t>
  </si>
  <si>
    <t>suur keerev fontään( küljelt/ kõrgusesse efekt)</t>
  </si>
  <si>
    <t>värvilised otsad, efekti kõrgus 3m</t>
  </si>
  <si>
    <t>topelt pragisevad otsad, efekti kõrgus 3m</t>
  </si>
  <si>
    <t>hõbedased otsad, efekti kõrgus 4m</t>
  </si>
  <si>
    <t>hõbedased pragisevad otsad, efekti kõrgus 4m</t>
  </si>
  <si>
    <t>värvilised otsad, efekti kõrgus 4m</t>
  </si>
  <si>
    <t>pragisevad+punased, rohelised, sinised otsad, efekti kõrgus 5m</t>
  </si>
  <si>
    <t>hõbedased pragisevad otsad, efekti kõrgus 5m</t>
  </si>
  <si>
    <t>hõbedased otsad, efekti kõrgus 5m</t>
  </si>
  <si>
    <t>värvilised otsad, efekti kõrgus 5m</t>
  </si>
  <si>
    <t>hõbedased pragisevad otsad, efekti kõrgus 6m</t>
  </si>
  <si>
    <t>hõbedased otsad, efekti kõrgus 6m</t>
  </si>
  <si>
    <t>värvilised otsad, efekti kõrgus 6m</t>
  </si>
  <si>
    <t>hõbedased otsad, efekti kõrgus 7m</t>
  </si>
  <si>
    <t>värvilised otsad, efekti kõrgus 7m</t>
  </si>
  <si>
    <t xml:space="preserve">siseruumides kasutatav fontään, põlev ja keerlev küünal + mängib sünnipäeva laulu </t>
  </si>
  <si>
    <t xml:space="preserve">hõbedane fontään( külmad sädemed) hügieenitunnistus! </t>
  </si>
  <si>
    <t>hõbedane fontään( külmad sädemed) pikkus 20cm, hügieenitunnistus! Hõbedases paberis</t>
  </si>
  <si>
    <t>hõbedane fontään( külmad sädemed) pikkus 30cm, hügieenitunnistus! kuldses paberis</t>
  </si>
  <si>
    <t>hõbedane fontään( külmad sädemed) pikkus 120cm, hügieenitunnistus! kuldses paberis</t>
  </si>
  <si>
    <t>hõbedane fontään( külmad sädemed) pikkus 20cm, hügieenitunnistus! kuldses paberis</t>
  </si>
  <si>
    <t>hõbedane fontään( külmad sädemed) pikkus 12cm, hügieenitunnistus!  Number 0</t>
  </si>
  <si>
    <t>hõbedane fontään( külmad sädemed) pikkus 12cm, hügieenitunnistus!  Number 1</t>
  </si>
  <si>
    <t>hõbedane fontään( külmad sädemed) pikkus 12cm, hügieenitunnistus!  Number 2</t>
  </si>
  <si>
    <t>hõbedane fontään( külmad sädemed) pikkus 12cm, hügieenitunnistus!  Number 3</t>
  </si>
  <si>
    <t>hõbedane fontään( külmad sädemed) pikkus 12cm, hügieenitunnistus!  Number 4</t>
  </si>
  <si>
    <t>hõbedane fontään( külmad sädemed) pikkus 12cm, hügieenitunnistus!  Number 5</t>
  </si>
  <si>
    <t>hõbedane fontään( külmad sädemed) pikkus 12cm, hügieenitunnistus!  Number 6</t>
  </si>
  <si>
    <t>hõbedane fontään( külmad sädemed) pikkus 12cm, hügieenitunnistus!  Number 7</t>
  </si>
  <si>
    <t>hõbedane fontään( külmad sädemed) pikkus 12cm, hügieenitunnistus!  Number 8</t>
  </si>
  <si>
    <t>hõbedane fontään( külmad sädemed) pikkus 12cm, hügieenitunnistus!  Number 9</t>
  </si>
  <si>
    <t>hõbedane fontään( külmad sädemed) pikkus 12cm, hügieenitunnistus!  Numbrid 0-9</t>
  </si>
  <si>
    <t>pikkus 40 cm, läikivad värvilised paberid</t>
  </si>
  <si>
    <t>pikkus 40 cm, hõbedased südamed+roosi lehed</t>
  </si>
  <si>
    <t>pikkus 40 cm, EUR rahatähed</t>
  </si>
  <si>
    <t>pikkus 80 cm,läikivad värvilised paberid</t>
  </si>
  <si>
    <t>pikkus 80 cm,läikivad kuldsed paberid</t>
  </si>
  <si>
    <t>pikkus 80 cm, EUR rahatähed</t>
  </si>
  <si>
    <t>20 lasku värviline saba, pikkus 44 cm</t>
  </si>
  <si>
    <t>40 lasku värviline saba, pikkus 70 cm</t>
  </si>
  <si>
    <t>10 lasku värviline saba, pikkus 54 cm</t>
  </si>
  <si>
    <t>20 lasku pragisev komeet, pikkus 54 cm</t>
  </si>
  <si>
    <t>20 lasku pragisev komeet, pikkus 70 cm</t>
  </si>
  <si>
    <t>20 lasku värviline saba, pikkus 60 cm</t>
  </si>
  <si>
    <t>10 lasku värviline saba+ 10 lasku pragisev komeet , pikkus 65 cm</t>
  </si>
  <si>
    <t>Multi pakk koosneb 20 lasuga rooma küünlast pikkusega 60 cm(R5420K-2 tk, R6020B, R6520BK, R7020BK-2 tkc)</t>
  </si>
  <si>
    <t>Multi pakk koosneb 20 lasuga rooma küünlast pikkusega 70 cm ( R7020K - 3 tk, R6020B, R6520BK,R7020BK )</t>
  </si>
  <si>
    <t>8 lasku hõbedane saba+saluut praginaga pikkus 58 cm</t>
  </si>
  <si>
    <t>8 lasku ,3 erinevat efekti pikkus 60cm</t>
  </si>
  <si>
    <t>multi pakk koosneb 8 lasuga rooma küünlast: R5808D, R6008E, R6008K,R7508E</t>
  </si>
  <si>
    <t>8 lasku vilistav saba pikkus 65 cm</t>
  </si>
  <si>
    <t>8 lasku ,3 erinevat efekti pikkus 75 cm</t>
  </si>
  <si>
    <t>8 lasku ,4 erinevat efekti pikkus 75 cm</t>
  </si>
  <si>
    <t>8 lasku ,brokaat saba+ brokaat pikkus 75 cm</t>
  </si>
  <si>
    <t>rooma küünal 91 lasku, 4 erinevat efekti</t>
  </si>
  <si>
    <t>hõbedane miin punane saba saluut</t>
  </si>
  <si>
    <t>2 erinevat värvi langevarju</t>
  </si>
  <si>
    <t>vilistav saba</t>
  </si>
  <si>
    <t>4 erinevat värvilist efekti- ilma helita</t>
  </si>
  <si>
    <t>vile+fontään+miin</t>
  </si>
  <si>
    <t>6 erinevat värvilist efekti 50mm toru diameeter ( kõrge kvaliteet)</t>
  </si>
  <si>
    <t>18 erinevat värvilist 50mm efekti silinder pomm)- professionaalne kvaliteet</t>
  </si>
  <si>
    <t>roheline pöörlev praginaga</t>
  </si>
  <si>
    <t>punane+tugev pragin</t>
  </si>
  <si>
    <t>roheline+ tugev pragin</t>
  </si>
  <si>
    <t>kraapijaga väike pauguti, helitugevus 112dB 8m kaugusel</t>
  </si>
  <si>
    <t>kraapijaga pauguti, helitugevus 116dB 8m kaugusel</t>
  </si>
  <si>
    <t>kraapijaga pauguti (topelt), helitugevus 116dB+116dB 8m kaugusel</t>
  </si>
  <si>
    <t>kraapijaga pauguti, helitugevus 119dB 8m kaugusel, toodetud Euroopas, plastik kate</t>
  </si>
  <si>
    <t>kraapijaga pauguti, helitugevus 120dB 8m kaugusel, toodetud Euroopas, plastik kate</t>
  </si>
  <si>
    <t>helitugevus 114dB 8m kaugusel</t>
  </si>
  <si>
    <t>helitugevus 117dB 8m kaugusel</t>
  </si>
  <si>
    <t>helitugevus 119dB 8m kaugusel</t>
  </si>
  <si>
    <t>helitugevus 120dB 15m kaugusel roheline tuli alguses</t>
  </si>
  <si>
    <t>helitugevus 120dB 8m kaugusel, toodetud Euroopas, plastik kate</t>
  </si>
  <si>
    <t>helitugevus 120dB 8m kaugusel (musta püssirohuga)</t>
  </si>
  <si>
    <t>helitugevus 120dB 15m kaugusel, toodetud Euroopas, plastik kate</t>
  </si>
  <si>
    <t>helitugevus 117dB 15m kaugusel roheline tuli alguses</t>
  </si>
  <si>
    <t>helitugevus 118dB 15m kaugusel, plastik kate</t>
  </si>
  <si>
    <t>helitugevus 120dB 15m kaugusel</t>
  </si>
  <si>
    <t>helitugevus 120dB 15m kaugusel punane tuli alguses</t>
  </si>
  <si>
    <t>30 gr välgupulbrit helitugevus 142dB 15m kaugusel, toodetud Euroopas</t>
  </si>
  <si>
    <t>50 gr välgupulbrit helitugevus 159dB 15m kaugusel, toodetud Euroopas</t>
  </si>
  <si>
    <t>60 gr välgupulbrit helitugevus 160dB 15m kaugusel, toodetud Euroopas</t>
  </si>
  <si>
    <t>100 gr välgupulbrit helitugevus 170dB 15m kaugusel, toodetud Euroopas</t>
  </si>
  <si>
    <t>pragisev pall 3 gr diameeter 38mm</t>
  </si>
  <si>
    <t>pragisev pall 15 gr diameeter 38mm</t>
  </si>
  <si>
    <t>pragisev pall 15 gr ( topelt efekt) diameeter 42mm</t>
  </si>
  <si>
    <t>70 lasku pikkus 16 cm väikesed paugutid</t>
  </si>
  <si>
    <t>200 lasku pikkus 62 cm keskmised paugutid</t>
  </si>
  <si>
    <t>500 lasku pikkus 155 cm keskmised paugutid</t>
  </si>
  <si>
    <t>1000 lasku pikkus 310 cm keskmised paugutid</t>
  </si>
  <si>
    <t xml:space="preserve">1750 väikesed +200 keskmised +19 suured paugutid pikkus 5,25 m </t>
  </si>
  <si>
    <t xml:space="preserve">3500 väikesed +400 keskmised +19 suured paugutid pikkus 10,5 m </t>
  </si>
  <si>
    <t>signaalrakett 15 mm  plahvatusega</t>
  </si>
  <si>
    <t>vile+saluut</t>
  </si>
  <si>
    <t>väike langevarjuga rakett</t>
  </si>
  <si>
    <t>vilistav saba+värvilised otsad</t>
  </si>
  <si>
    <t>vilistav saba hõbedase sädelusega</t>
  </si>
  <si>
    <t>rakett 42 cm värvilised otsad</t>
  </si>
  <si>
    <t>rakett 72 cm värvilised otsad</t>
  </si>
  <si>
    <t>vlistava sabaga pragisev saluut</t>
  </si>
  <si>
    <t>6 erinevat värvilist efekti- ilma helita</t>
  </si>
  <si>
    <t>hõbedase sabaga pragisev saluut (2 gr välgupulbrit</t>
  </si>
  <si>
    <t>7 erinevat värvilist efekti</t>
  </si>
  <si>
    <t>9 erinevat värvilist efekti</t>
  </si>
  <si>
    <t>21 erinevat värvilist efekti</t>
  </si>
  <si>
    <t>33 erinevat värvilist efekti</t>
  </si>
  <si>
    <t>5 erinevat värvilist efekti</t>
  </si>
  <si>
    <t>hõbedase sabaga pragisev saluut (5 gr välgupulbrit)</t>
  </si>
  <si>
    <t>11 erinevat värvilist efekti</t>
  </si>
  <si>
    <t>12 erinevat värvilist efekti</t>
  </si>
  <si>
    <t>18 erinevat värvilist efekti</t>
  </si>
  <si>
    <t>tipp kvaliteet 170 cm pikkune rakett, 3 erinevat värvilist efekti</t>
  </si>
  <si>
    <t>tipp kvaliteet 170 cm pikkune rakett, 2 erinevat värvilist efekti</t>
  </si>
  <si>
    <t>vilistava hõbedase sabaga saluut</t>
  </si>
  <si>
    <t>värviline ja pragisev komeet</t>
  </si>
  <si>
    <t>10 erinevat värvilist efekti</t>
  </si>
  <si>
    <t>20 erinevat värvilist efekti</t>
  </si>
  <si>
    <t>3 erinevat värvilist efekti</t>
  </si>
  <si>
    <t xml:space="preserve">hõbedane miin punase sabaga saluut </t>
  </si>
  <si>
    <t>hõbedane miin punase sabaga saluut ( tugev)</t>
  </si>
  <si>
    <t>punane laine praginaga, hõbedane miin punase sabaga saluut</t>
  </si>
  <si>
    <t>hõbedane laine rohelise sädelusega, oranž sabaga oranži krüsanteemiga</t>
  </si>
  <si>
    <t>brokaat lillade otstega</t>
  </si>
  <si>
    <t>sinine palm kuldse vilkuva südamikuga</t>
  </si>
  <si>
    <t>8 erinevat värvilist efekti</t>
  </si>
  <si>
    <t>9 erinevat värvilist efekti saluut finaal</t>
  </si>
  <si>
    <t>5 erinevat värvilist efekti( 10 lasku korraga)</t>
  </si>
  <si>
    <t>13 erinevat värvilist efekti</t>
  </si>
  <si>
    <t>16 erinevat värvilist efekti, 64 lasku, 40 lasku ( lehvik), 18 lasku( W lehvik), 12 lasku ( V lehvik)</t>
  </si>
  <si>
    <t>16 erinevat värvilist efekti</t>
  </si>
  <si>
    <t>24 erinevat värvilist efekti</t>
  </si>
  <si>
    <t>32 erinevat värvilist efekti</t>
  </si>
  <si>
    <t>40 erinevat värvilist efekti</t>
  </si>
  <si>
    <t>46 erinevat värvilist efekti</t>
  </si>
  <si>
    <t>26 erinevat värvilist efekti</t>
  </si>
  <si>
    <t>39 erinevat värvilist efekti</t>
  </si>
  <si>
    <t>52 erinevat värvilist efekti</t>
  </si>
  <si>
    <t>80 erinevat värvilist efekti</t>
  </si>
  <si>
    <t>hõbedane miin punase sabaga saluut</t>
  </si>
  <si>
    <t>7 erinevat värvilist efekti- ilma helita</t>
  </si>
  <si>
    <t>7 erinevat värvilist efekti( signature kvaliteet) pakend sisaldab kleepse erinevatele vanustele.</t>
  </si>
  <si>
    <t>28 lasku kuldset brokaati punase/sinisega, 21 lasku hõbedane miin punase sabaga saluut</t>
  </si>
  <si>
    <t>14 erinevat värvilist efekti</t>
  </si>
  <si>
    <t>11 erinevat värvilist efekti( efekt vahetub iga lask)</t>
  </si>
  <si>
    <t>40 lasku kuldset brokaati punase/sinisega, 48 lasku hõbedane miin punase sabaga saluut</t>
  </si>
  <si>
    <t>6 erinevat sinist efekti+3 rida hõbedane miin punase sabaga saluut</t>
  </si>
  <si>
    <t>28 erinevat värvilist efekti</t>
  </si>
  <si>
    <t>30 erinevat värvilist efekti</t>
  </si>
  <si>
    <t>4 erinevat värvilist efekti ( efekt vahetub iga lask)</t>
  </si>
  <si>
    <t>kuldse sabaga brokaat praginaga</t>
  </si>
  <si>
    <t>hõbedane miin punase sabaga hõbedane krüsanteem</t>
  </si>
  <si>
    <t>värviline daalia</t>
  </si>
  <si>
    <t>hõbedase sabaga hõbedane palm lilla otstega</t>
  </si>
  <si>
    <t>krüsanteem värviliste otstega</t>
  </si>
  <si>
    <t>5 erinevat värvilist efekti- ilma helita</t>
  </si>
  <si>
    <t>5 erinevat värvilist efekti( efekt vahetub iga lask)</t>
  </si>
  <si>
    <t>brokaat+lilla</t>
  </si>
  <si>
    <t>sinise sabaga valge vilkuv paju</t>
  </si>
  <si>
    <t>6 erinevat värvilist efekti( efekt vahetub iga lask)</t>
  </si>
  <si>
    <t>7 erinevat värvilist efekti( efekt vahetub iga lask)</t>
  </si>
  <si>
    <t>punase sabaga super valge sähvimine</t>
  </si>
  <si>
    <t>värvilise sabaga punane pärl/kuldne kummituspomm</t>
  </si>
  <si>
    <t>punase sädelusega paju</t>
  </si>
  <si>
    <t>kuldne Ti-paju</t>
  </si>
  <si>
    <t>8 erinevat värvilist efekti( efekt vahetub iga lask)</t>
  </si>
  <si>
    <t>15 erinevat värvilist efekti</t>
  </si>
  <si>
    <t>kuldne paju</t>
  </si>
  <si>
    <t>5 erinevat värvilist efekti - ilma helita</t>
  </si>
  <si>
    <t>10 erinevat värvilist efekti(pakendis kleepsud erinevatele vanustele)</t>
  </si>
  <si>
    <t>hõbedase sabaga saluut</t>
  </si>
  <si>
    <t>valge miin+punase sabaga saluut(10-ne kaupa)</t>
  </si>
  <si>
    <t>hõbedane sabaga saluut</t>
  </si>
  <si>
    <t>hõbedane pragisev fontään+8 erinevat värvilist efekti</t>
  </si>
  <si>
    <t>7 erinevat värvilist efekti finaaliks saluut</t>
  </si>
  <si>
    <t>42 erinevat värvilist efekti</t>
  </si>
  <si>
    <t>19 erinevat värvilist efekti</t>
  </si>
  <si>
    <t>34 erinevat värvilist efekti</t>
  </si>
  <si>
    <t>22 erinevat värvilist efekti</t>
  </si>
  <si>
    <t>2xfontään+25 erinevat värvilist efekti</t>
  </si>
  <si>
    <t>17 erinevat värvilist efekti</t>
  </si>
  <si>
    <t>38 erinevat värvilist efekti</t>
  </si>
  <si>
    <t>punane saba</t>
  </si>
  <si>
    <t>roheline saba</t>
  </si>
  <si>
    <t>kollane saba</t>
  </si>
  <si>
    <t>kuldne saba</t>
  </si>
  <si>
    <t>punane sädelusega paju saba</t>
  </si>
  <si>
    <t>roheline sädelusega paju saba</t>
  </si>
  <si>
    <t>hõbedane sädelusega paju saba</t>
  </si>
  <si>
    <t>pragisev saba</t>
  </si>
  <si>
    <t>valge sädelev miin</t>
  </si>
  <si>
    <t>punase saba rohelise sädelusega miin</t>
  </si>
  <si>
    <t>meresinine+punane sädelusega miin</t>
  </si>
  <si>
    <t>hõbedase sädelusega miin roheline komeet</t>
  </si>
  <si>
    <t>erilist värvi vilkuv miin</t>
  </si>
  <si>
    <t>sinine punaseks rosett+punane lillaks rosett</t>
  </si>
  <si>
    <t>punase sabaga valge sädelus+rohelise sabaga valge sädelus</t>
  </si>
  <si>
    <t>punase sabaga pragin+rohelise sabaga pragin</t>
  </si>
  <si>
    <t>värvilised otsad+pragisev saba</t>
  </si>
  <si>
    <t>punase sabaga hilisem pragin</t>
  </si>
  <si>
    <t>5 rida: vilega saba purskab punast sädelust, valget sädelust, siniseid otsi</t>
  </si>
  <si>
    <t>valge vilkuv miin punase/rohelise/sinise/lilla/kollase sabaga</t>
  </si>
  <si>
    <t>valge vilkuva miini sabaga lillade otstega</t>
  </si>
  <si>
    <t>punane&amp;roheline sadu+komeet</t>
  </si>
  <si>
    <t>hõbedane pragina miin punase/rohelise/sinise/lilla sabaga valge vilkumine</t>
  </si>
  <si>
    <t>suur kuldne palm komeet+sinised otsad</t>
  </si>
  <si>
    <t>valge vilkuv fontään</t>
  </si>
  <si>
    <t>kuldne kroon kuldse särava vilkumisega</t>
  </si>
  <si>
    <t>violetne lill brokaadiga</t>
  </si>
  <si>
    <t>kuldne sädelev pragin</t>
  </si>
  <si>
    <t>hilisem pragisev paju värvilised langevad lehed sinisega</t>
  </si>
  <si>
    <t>brokaat  punaste otsatega+ valge vilkumine</t>
  </si>
  <si>
    <t>lilla roheline daalia+ praginapilved</t>
  </si>
  <si>
    <t>kuldne kookos+ roheline vilkumine</t>
  </si>
  <si>
    <t>punane kookos+valge vilkumine</t>
  </si>
  <si>
    <t>valge sädelus/ oranž laine+roheline sädelus- 10 lasku korraga</t>
  </si>
  <si>
    <t>punase sabaga brokaat+ sinine- 10 lasku korraga</t>
  </si>
  <si>
    <t>laseb kahes suunas: keskel kuldne paju+ pragisev komeet- 10 lasku korraga</t>
  </si>
  <si>
    <t>laseb kahes suunas: keskel hõbedane plm oranži otstega+ brokaat paju tähega- 10 lasku korraga</t>
  </si>
  <si>
    <t>pragisev +sinise otsaga miin oranž laine+ roheline sädelus- 10 lasku korraga</t>
  </si>
  <si>
    <t>pragisev saba punase sabaga daalia krüsanteem- 10 lasku korraga</t>
  </si>
  <si>
    <t>sinise sabaga brokaat kroon</t>
  </si>
  <si>
    <t>pragisev krüsanteemi miin brokaat kroon+ sädelev ots - 10 lasku korraga</t>
  </si>
  <si>
    <t>sinine+punane miin krüsanteemiga- 10 lasku korraga</t>
  </si>
  <si>
    <t>brokaat, roheline, lilla- 10 lasku korraga</t>
  </si>
  <si>
    <t>sinise sabaga hobuse saba- 10 lasku korraga</t>
  </si>
  <si>
    <t>hõbedase sädeluse bukett hõbdase sädelusega- 10 lasku korraga</t>
  </si>
  <si>
    <t>pragisev paju+virsiku punane- 10 lasku korraga</t>
  </si>
  <si>
    <t>punase otsaga pragisev paju- 10 lasku korraga</t>
  </si>
  <si>
    <t>kuldne kookos+ roheline vilkuv- 10 lasku korraga</t>
  </si>
  <si>
    <t>punane pragisev kookos+ valge vilkuv- 10 lasku korraga</t>
  </si>
  <si>
    <t>lilla kollane daalia+hõbedane krüsanteem- 10 lasku korraga</t>
  </si>
  <si>
    <t>roheline sädelev paju+kuldne vilkuv- 10 lasku korraga</t>
  </si>
  <si>
    <t>valge vilkuv miin punane vilkuv- 10 lasku korraga</t>
  </si>
  <si>
    <t>brokaat+valge vilkuv- 10 lasku korraga</t>
  </si>
  <si>
    <t>brokaat+lilla- 10 lasku korraga</t>
  </si>
  <si>
    <t>punane roheline sinine+ vihm- 10 lasku korraga</t>
  </si>
  <si>
    <t>punane kookos+roheline+ hõbedane krüsanteem- 10 lasku korraga</t>
  </si>
  <si>
    <t>brokaat+oranžid otsad- 10 lasku korraga</t>
  </si>
  <si>
    <t>punane komeetsaba, punane saba punase lainega valge vilkuv- 10 lasku korraga</t>
  </si>
  <si>
    <t>brokaat praginaga- 10 lasku korraga</t>
  </si>
  <si>
    <t>päevalill punane sinine, punane vilkuv saba- 10 lasku korraga</t>
  </si>
  <si>
    <t>lilla rosett+lilla saba brokaat kroon lilla daaliaga- 10 lasku korraga</t>
  </si>
  <si>
    <t>lilla saba lilla rosett</t>
  </si>
  <si>
    <t>sinise sabaga lill</t>
  </si>
  <si>
    <t>pragisev krüsanteem+ sinine miin kuldse komeediga</t>
  </si>
  <si>
    <t>hõbedane saba punane laine praksuga</t>
  </si>
  <si>
    <t>pragisev krüsanteem miin brokaat krooniga+ sädelev ots</t>
  </si>
  <si>
    <t>sinine+punane sädelusega miin krüsanteem</t>
  </si>
  <si>
    <t>brokaat, roheline, lilla</t>
  </si>
  <si>
    <t>sinine saba hobuse sabaga</t>
  </si>
  <si>
    <t>hõbedane sädelev bukett purskab hõbedast sädelust</t>
  </si>
  <si>
    <t xml:space="preserve">pragisev paju+virsiku punane </t>
  </si>
  <si>
    <t>punase otsaga pragisev paju</t>
  </si>
  <si>
    <t>kuldne kookos+ roheline vilkuv</t>
  </si>
  <si>
    <t>punane pragin kookos+valge vilkuv</t>
  </si>
  <si>
    <t>brokaat pragina lill+sinine ots</t>
  </si>
  <si>
    <t>lilla kollane daalia+hõbedane krüsanteem</t>
  </si>
  <si>
    <t>roheline sädelev paju+roheline vilkuv</t>
  </si>
  <si>
    <t>valge vilkuv miin punase vilkumisega</t>
  </si>
  <si>
    <t>roosa+vihm</t>
  </si>
  <si>
    <t>punane roheline sinine+vihm</t>
  </si>
  <si>
    <t xml:space="preserve">punane kookos+ roheline+hõbedane krüsanteem </t>
  </si>
  <si>
    <t>brokaat+oranž ots</t>
  </si>
  <si>
    <t>päevalill punane sinine, punane vilkuv saba</t>
  </si>
  <si>
    <t>sinine miin  komeet punase otsaga</t>
  </si>
  <si>
    <t>punane komeet vihm</t>
  </si>
  <si>
    <t>punane, roheline, kollane, valge, lilla miin</t>
  </si>
  <si>
    <t>kuldne sädelev paju sinise buketiga</t>
  </si>
  <si>
    <t>brokaat bukett brokaat krooniga</t>
  </si>
  <si>
    <t>kuldne brokaat miin</t>
  </si>
  <si>
    <t>1-20 lasku pragisev paju saba+ punane vilkuv miin, 21-50 lasku pragisev paju+punane vilkuv</t>
  </si>
  <si>
    <t>sinine ots hõbedaga</t>
  </si>
  <si>
    <t>roheline vihm</t>
  </si>
  <si>
    <t>punane kookos+ pragisev üks pool/ roheline kookos+pragisev teine pool</t>
  </si>
  <si>
    <t>punase lainega saba</t>
  </si>
  <si>
    <t>kollane saba+kollane kookos+hõbedane krüsanteem</t>
  </si>
  <si>
    <t>sinise sabaga hobuse saba</t>
  </si>
  <si>
    <t>kahel pool: hõbedase sabaga lill rohelise sädelsega keskel: punase sabaga punane palm praksudega</t>
  </si>
  <si>
    <t>sinise sabaga siniste otstega valge vilkuv, punased otsad valge vilkuv</t>
  </si>
  <si>
    <t>punane roheline rosett</t>
  </si>
  <si>
    <t>kuldse sabaga kuldne rosett- 8 lasku korraga</t>
  </si>
  <si>
    <t>brokaat kroon miin- 13 lasku korraga</t>
  </si>
  <si>
    <t>kuldse sabaga hobuse saba- 13 lasku korraga</t>
  </si>
  <si>
    <t>hõbedase sabaga hõbedane pragisev paju- 13 lasku korraga</t>
  </si>
  <si>
    <t>punase sabaga keskelt vilkuv laine- 13 lasku korraga</t>
  </si>
  <si>
    <t>kuldse sabaga kuldne rosett- 13 lasku korraga</t>
  </si>
  <si>
    <t>brokaat kroon sabaga brokaat kroon- 19 lasku korraga</t>
  </si>
  <si>
    <t>hõbedase sabaga  hõbedane pragisev paju- 19 lasku korraga</t>
  </si>
  <si>
    <t>kuldne/brokaat kroon miin- 19 lasku korraga</t>
  </si>
  <si>
    <t>punase sädelusega miin punase komeediga- 19 lasku korraga</t>
  </si>
  <si>
    <t>hõbedase sädelusega miin rohelelise sädelusega komeet - 19 lasku korraga</t>
  </si>
  <si>
    <t>hõbedase sädelusega miin punase rosetiga - 19 lasku korraga</t>
  </si>
  <si>
    <t>hõbedase sädelusega miin rohelise rosetiga - 19 lasku korraga</t>
  </si>
  <si>
    <t>kollase, roosa, meresinise hõbedase sädelusega miin- 19 lasku korraga</t>
  </si>
  <si>
    <t>hõbdane komee punase otsaga- 19 lasku korraga</t>
  </si>
  <si>
    <t>sinine miin rohelise komeediga- 19 lasku korraga</t>
  </si>
  <si>
    <t>punanse sädelusega miin kuldse sädelusega komeet punase sädelusega otsas- 19 lasku korraga</t>
  </si>
  <si>
    <t>hõbedase sädelusega miin lilla komeet- 19 lasku korraga</t>
  </si>
  <si>
    <t>punase sädelusega saba hõbedase sädelusega kosk- 19 lasku korraga</t>
  </si>
  <si>
    <t>vilistav saba punase miiniga- 19 lasku korraga</t>
  </si>
  <si>
    <t>hõbedane tiigrisaba ja punane rosett- 19 lasku korraga</t>
  </si>
  <si>
    <t>punane vilkuv saba punase vilkuva pajuga - 5 lasku korraga</t>
  </si>
  <si>
    <t>pragisev saba - 5 lasku korraga</t>
  </si>
  <si>
    <t>roheline roseti miin - 5 lasku korraga</t>
  </si>
  <si>
    <t>brokaat saba - 5 lasku korraga</t>
  </si>
  <si>
    <t>lilla punane kollane roheline valge roseti miin - 5 lasku korraga</t>
  </si>
  <si>
    <t>pragisev roseti miin - 5 lasku korraga</t>
  </si>
  <si>
    <t>pragisev paju</t>
  </si>
  <si>
    <t>punane pragin</t>
  </si>
  <si>
    <t>hõbedane vilkuv paju</t>
  </si>
  <si>
    <t>hõbedane laine punaseks</t>
  </si>
  <si>
    <t>rohelise sabaga roheline laine praginaga</t>
  </si>
  <si>
    <t>hõbedase sabaga hõbedane palm</t>
  </si>
  <si>
    <t>hõbedase sabaga hõbedane vilkuv</t>
  </si>
  <si>
    <t>hõbedase sabaga hõbedane saluut</t>
  </si>
  <si>
    <t>MULTIPAKK sisaldab: S2A,B,D,E,F,G,H,CH,J,N,O</t>
  </si>
  <si>
    <t>värviline krüsanteem</t>
  </si>
  <si>
    <t>hõbedane vilkuv fontään</t>
  </si>
  <si>
    <t>rohelise sabaga punane laine praginaga</t>
  </si>
  <si>
    <t>krüsanteem siniste otstega</t>
  </si>
  <si>
    <t>punane pojeng keskel hõbedane palm</t>
  </si>
  <si>
    <t>praksuv paju</t>
  </si>
  <si>
    <t>veesinine pojeng brokaat otstega</t>
  </si>
  <si>
    <t>krüsanteem lillade otstega</t>
  </si>
  <si>
    <t>kuldne TI-paju</t>
  </si>
  <si>
    <t>brokaat kroon rosett</t>
  </si>
  <si>
    <t>roosa daalia roosade otstega</t>
  </si>
  <si>
    <t>brokaat valge sädelusega</t>
  </si>
  <si>
    <t>lilla laine rohelise sädelusega</t>
  </si>
  <si>
    <t>lilla ring krüsanteem otstega</t>
  </si>
  <si>
    <t>veripunane+hõbedane vilkuv</t>
  </si>
  <si>
    <t>punane  hõbedase vilkuva otsaga</t>
  </si>
  <si>
    <t>kollane rosett+lilla rosett</t>
  </si>
  <si>
    <t>punane lainega rosett</t>
  </si>
  <si>
    <t>multipakk kõrgem kvaliteet: sisaldab: hõbedase sabaga punane laine praginaga, lille kroon krüsanteem ja siniste otstega, praksuv paju,kuldne Ti-paju, hõbedase sabaga hõbedane palm</t>
  </si>
  <si>
    <t>multipakk sisaldab: S4W kuldne laine punaseks, S4N/A kuldne Ti-paju, S4R roheline pojeng brokaat, S4C sädelev palm</t>
  </si>
  <si>
    <t>punane/kollane daalia</t>
  </si>
  <si>
    <t>punane laine praginaga</t>
  </si>
  <si>
    <t>sädelev palm</t>
  </si>
  <si>
    <t>kuldne paju värvilise sädelusega</t>
  </si>
  <si>
    <t>hõbedane krüsanteem hõbedane pragisev palm</t>
  </si>
  <si>
    <t>lille kroon punase sädelusega otstes</t>
  </si>
  <si>
    <t>pool punane/roheline rosett</t>
  </si>
  <si>
    <t>pragisev nishiki kamuro</t>
  </si>
  <si>
    <t>hõbedane kroon punaste otstega</t>
  </si>
  <si>
    <t xml:space="preserve">hõbedane vilkuv </t>
  </si>
  <si>
    <t>eriline vilkuvate punaste otstega</t>
  </si>
  <si>
    <t>roheline pojeng brokaadiga</t>
  </si>
  <si>
    <t>hõbedane laine siniseks praginaga</t>
  </si>
  <si>
    <t>lilla rosett</t>
  </si>
  <si>
    <t>brokaat rosett</t>
  </si>
  <si>
    <t>kuldne laine punaseks</t>
  </si>
  <si>
    <t>hõbedane paju punaste otstega</t>
  </si>
  <si>
    <t>hõbedase sabaga punase pojengi hõbedase palmiga</t>
  </si>
  <si>
    <t>komeet punase otsaga punane siniseks krüsanteemiks punased otsad</t>
  </si>
  <si>
    <t>punane pojeng brokaat</t>
  </si>
  <si>
    <t>palm rohelise pojengiga</t>
  </si>
  <si>
    <t>krüsanteem sinise ringiga</t>
  </si>
  <si>
    <t>punasne vilkuv paju</t>
  </si>
  <si>
    <t>punane kolme mõõgaga mees</t>
  </si>
  <si>
    <t>oranž laine roheliseks</t>
  </si>
  <si>
    <t>brokaat värviliste otstega</t>
  </si>
  <si>
    <t>pragisev laine punaseks</t>
  </si>
  <si>
    <t>hõbedane pragisev vihm</t>
  </si>
  <si>
    <t>pragisev kosk</t>
  </si>
  <si>
    <t>pragisev paju rosett</t>
  </si>
  <si>
    <t>hõbedane ring+ punane rosett( silinder )</t>
  </si>
  <si>
    <t>hõbedane pragisev punane vilkuv hõbedane pragisev tiigrisaba</t>
  </si>
  <si>
    <t>multipakk kõrgem kvaliteet: sisaldab: S4L veripunane+hõbedane vilkuv,S4CH lille kroon punase sädelusega, S4Z/8 brokaad värviliste otstega, S4Z/7 Oranžlaine roheliseks</t>
  </si>
  <si>
    <t>pragisev rosett</t>
  </si>
  <si>
    <t>hõbedane ämblik vilkumisega</t>
  </si>
  <si>
    <t>hõbedane sädelus punase rosetiga</t>
  </si>
  <si>
    <t>brokaat kroon</t>
  </si>
  <si>
    <t>sinise vilkumisega hõbedane ring brokaat praksu ringiga</t>
  </si>
  <si>
    <t>brokaat siniseks rohelise sädelusega</t>
  </si>
  <si>
    <t>pragisev värviliste otstega vilkumine</t>
  </si>
  <si>
    <t>multipakk koosneb: S5K brokaad kroon( 3 tk) S5Q brokaat kroon kaheksa nurga krüsanteemiga ( 3tk), S5N sinine hõbedane ring brokaat krüsanteemi ring( 3 tk),S5O brokaat praksud sinisega rohelised sädelevad otsad(3 tk ),S5P hõbedane punaseks ujuvad otsad sinised vilked( 2 tk) S5B pragisev rosett( 2tk)</t>
  </si>
  <si>
    <t>multipakk koosneb: S6CH kuldne laine lilla pojengi topelt ringidega oranži vilkuvate otstega( 2tk),S6H värviline krüsanteem(2 tk), S6S hõbedase sabaga hõbedane palm(2 tk), S6O värviline daalia(1 tk), S6K punase sädelusega brokaat ( 2 tk)</t>
  </si>
  <si>
    <t>krüsanteem punaste uitavate otstega</t>
  </si>
  <si>
    <t>paju fontään</t>
  </si>
  <si>
    <t>kummitus hõbedane punaseks</t>
  </si>
  <si>
    <t>punane sädelus rbokaadiks</t>
  </si>
  <si>
    <t>nishiki kamuro vilkuvate otstega</t>
  </si>
  <si>
    <t>hõbedane sädelus</t>
  </si>
  <si>
    <t>roheline ring pragiseva rosetiga</t>
  </si>
  <si>
    <t>punased, rohelised, kollased langevad lehed</t>
  </si>
  <si>
    <t>super hobuse saba</t>
  </si>
  <si>
    <t>kuldne paju pragisevate otstega</t>
  </si>
  <si>
    <t>kuldne laine lilla pojengi topelt ringidega oranži vilkuvate otstega</t>
  </si>
  <si>
    <t>hõbedane saba tuhande punase lainega</t>
  </si>
  <si>
    <t>värviline daalia vilkuvate otstega</t>
  </si>
  <si>
    <t>brokaat vilkuvate otstega</t>
  </si>
  <si>
    <t>brokaat kroon siniseks ja punaseks punaste vilkuvate otstega</t>
  </si>
  <si>
    <t>Fiiberklaas toru, hävimatu, õhuke toru, kõrgus 38cm, paksus 2,2mm</t>
  </si>
  <si>
    <t>Fiiberklaas toru, hävimatu, õhuke toru, kõrgus 40cm, paksus 2,5mm</t>
  </si>
  <si>
    <t>Fiiberklaas toru, hävimatu, õhuke toru, kõrgus 50cm, paksus 3mm</t>
  </si>
  <si>
    <t>Fiiberklaas toru, hävimatu, õhuke toru, kõrgus 60cm, paksus 3.5mm</t>
  </si>
  <si>
    <t>Fiiberklaas toru, hävimatu, õhuke toru, kõrgus 80cm, paksus 4mm</t>
  </si>
  <si>
    <t>Fiiberklaas toru, hävimatu, õhuke toru, kõrgus 90cm, paksus 4mm</t>
  </si>
  <si>
    <t>hõbedane jet 5m - elektriline süüde</t>
  </si>
  <si>
    <t>hõbedane jet 8m - elektriline süüde</t>
  </si>
  <si>
    <t>hõbedane fontään-ilma suitsuta, efekti kõrgus 2m, elektriline süüde</t>
  </si>
  <si>
    <t>hõbedane fontään-ilma suitsuta, efekti kõrgus 3m, elektriline süüde</t>
  </si>
  <si>
    <t>hõbedane fontään-ilma suitsuta, efekti kõrgus 5m, elektriline süüde</t>
  </si>
  <si>
    <t>hõbedane fontään-ilma suitsuta, efekti kõrgus 6m, elektriline süüde</t>
  </si>
  <si>
    <t>topelt südamega 8st fontäänist päikeseratas</t>
  </si>
  <si>
    <t>väli kosk pikkus 20m, hõbedane ( efekti kõrgus 9m)</t>
  </si>
  <si>
    <t>elektriline sütik 30cm</t>
  </si>
  <si>
    <t>elektriline sütik 100cm</t>
  </si>
  <si>
    <t>elektriline sütik 200cm</t>
  </si>
  <si>
    <t>elektriline sütik 300cm</t>
  </si>
  <si>
    <t>elektriline sütik 500cm</t>
  </si>
  <si>
    <t>must plastik ühendus ots, patareide omavahel ühendamiseks</t>
  </si>
  <si>
    <t>must plastik ühendus pesa, patareide omavahel ühendamiseks</t>
  </si>
  <si>
    <t xml:space="preserve">Cu topelt kaabel 0.6mm sise diameeter, 1.1mm välis diameeter, ilutulestiku elektriliseks süütamiseks </t>
  </si>
  <si>
    <t>EST</t>
  </si>
  <si>
    <t>Strobo/välk</t>
  </si>
  <si>
    <t>(ÁFA NÉLKÜL)</t>
  </si>
  <si>
    <t>(ÁFÁVAL)</t>
  </si>
  <si>
    <t>EFFEKTUS LEÍRÁSA</t>
  </si>
  <si>
    <t>RAKTÁRON</t>
  </si>
  <si>
    <t>FOGYÓBAN</t>
  </si>
  <si>
    <t>ELADVA</t>
  </si>
  <si>
    <t>NEMLEHET MEGRENDELNI</t>
  </si>
  <si>
    <t>IDE KATTINTVA VÁLASZTJA KI A LEHETŐSÉGET</t>
  </si>
  <si>
    <t>RAKLAPON</t>
  </si>
  <si>
    <t>UTOLSÓ</t>
  </si>
  <si>
    <t>KRT</t>
  </si>
  <si>
    <t>KEVESEBB MINT 1 KRT</t>
  </si>
  <si>
    <t>MAGYAR</t>
  </si>
  <si>
    <t>Srpski</t>
  </si>
  <si>
    <t>Latvietis</t>
  </si>
  <si>
    <t>LV</t>
  </si>
  <si>
    <t>HUN</t>
  </si>
  <si>
    <t>česky</t>
  </si>
  <si>
    <t>anglicky</t>
  </si>
  <si>
    <t>německy</t>
  </si>
  <si>
    <t>chorvatsky</t>
  </si>
  <si>
    <t>italsky</t>
  </si>
  <si>
    <t>polsky</t>
  </si>
  <si>
    <t>lotyština</t>
  </si>
  <si>
    <t>estonsky</t>
  </si>
  <si>
    <t>maďarsky</t>
  </si>
  <si>
    <t>Bērnu pirotehnika</t>
  </si>
  <si>
    <t>Lidojoša lieta</t>
  </si>
  <si>
    <t>Ģimenes paka</t>
  </si>
  <si>
    <t xml:space="preserve">Ekskluzīvas brīnumsveces </t>
  </si>
  <si>
    <t>Brīnumsveces</t>
  </si>
  <si>
    <t>Īpašas brīnumsveces</t>
  </si>
  <si>
    <t>Dūmi ar skrāpj uzgali</t>
  </si>
  <si>
    <t>Šavienu caurule (3šv) 20mm caurule</t>
  </si>
  <si>
    <t>Šavienu caurule (3šv) 30mm caurule</t>
  </si>
  <si>
    <t>Artilēriju bumba (komplekta ar cauruli)</t>
  </si>
  <si>
    <t>Skrāpejama petarde</t>
  </si>
  <si>
    <t>Baterija ar petardem</t>
  </si>
  <si>
    <t>Apģērbi</t>
  </si>
  <si>
    <t>Dumbum apģerbi ierobežota tīražā</t>
  </si>
  <si>
    <t>Cits</t>
  </si>
  <si>
    <t>Dažādu kalibru baterija līdz 30mm</t>
  </si>
  <si>
    <t>109šv baterija caurule, 20+25+30mm caurule 1.3g</t>
  </si>
  <si>
    <t>Multi kalibra baterija vairāk nekā 30mm</t>
  </si>
  <si>
    <t>Romiešu ugunis 8šv (30mm)</t>
  </si>
  <si>
    <t>135šv baterija caurule, 20mm caurule + apļveidīgs</t>
  </si>
  <si>
    <t xml:space="preserve">25šv baterija caurule, 30mm caurule </t>
  </si>
  <si>
    <t xml:space="preserve">49šv baterija caurule, 30mm caurule </t>
  </si>
  <si>
    <t xml:space="preserve">50šv baterija caurule, 30mm caurule </t>
  </si>
  <si>
    <t>50šv baterija caurule, 30mm caurule + apļveidīgs</t>
  </si>
  <si>
    <t>8šv baterija caurule, 30mm caurule + apļveidīgs</t>
  </si>
  <si>
    <t>13šv baterija caurule, 30mm caurule + apļveidīgs</t>
  </si>
  <si>
    <t>19šv baterija caurule, 30mm caurule + apļveidīgs</t>
  </si>
  <si>
    <t>5šv baterija caurule, 50mm caurule + apļveidīgs</t>
  </si>
  <si>
    <t>Neiznicināma caurule</t>
  </si>
  <si>
    <t>Interjer, strūklaka, ūdenskritumi, strūklas</t>
  </si>
  <si>
    <t>svilpšana tanks (strūklaka+sprakšķošas svilpe no lielgabala)</t>
  </si>
  <si>
    <t>Haizivs mazulis ar strūklaku, paka ir 3 dažādas krāsainas haizivis (zaļa, dzeltena, rozā)</t>
  </si>
  <si>
    <t>Rotējošs sarkans/zaļš/dzeltens - zemes efekts</t>
  </si>
  <si>
    <t>Krasaina rotējoša un sprakšķoša riteņveida ar dūmu efektu nobeiguma</t>
  </si>
  <si>
    <t>Liels rotējošs sarkans/zaļš/dzeltens - zemes efekts</t>
  </si>
  <si>
    <t xml:space="preserve">Rotējošs svilpojošs efekts ar spakšķošu zvaigzni </t>
  </si>
  <si>
    <t>Liels rotējošs caurulvedigs sarkans + sprakšķošo - zemes efektu</t>
  </si>
  <si>
    <t>krākšķu efekts, garums 20cm</t>
  </si>
  <si>
    <t xml:space="preserve">krakšķu granulas </t>
  </si>
  <si>
    <t>krākšķu bumba 1g, diametra 23cm</t>
  </si>
  <si>
    <t>Svilpis</t>
  </si>
  <si>
    <t>Spargstošajs diegs</t>
  </si>
  <si>
    <t xml:space="preserve">Krasaina strūklaka ar krākšķu zvaigzni </t>
  </si>
  <si>
    <t>Mazs balts stroboskops (mirgojošs efekts)</t>
  </si>
  <si>
    <t>Bernu svētku lāpa (krasaina) ar spīdīgu aproci</t>
  </si>
  <si>
    <t>Krasainie metamie sprakšķi (diametrs 9mm)</t>
  </si>
  <si>
    <t>Melni metamie sprakšķi (diametrs 14mm)</t>
  </si>
  <si>
    <t>Zelta lidojoša bite</t>
  </si>
  <si>
    <t>Spvilpojoša lapsene</t>
  </si>
  <si>
    <t xml:space="preserve">Sudraba rotējoša aste </t>
  </si>
  <si>
    <t>Zaļa rotējošā aste uz zaļu mirdzumu</t>
  </si>
  <si>
    <t>Sudraba rotējošā aste uz krakšķi</t>
  </si>
  <si>
    <t>Sudraba rotējošā aste uz bālto mirdzumu ar sarkano pērli</t>
  </si>
  <si>
    <t>Sarkana aste uz sarkano vilni ar krākšķīgo nobeigumu</t>
  </si>
  <si>
    <t>Svilpoša lidmašina ar sarkano gaismu un krāšķīgiem zvaigznēm (2gab) + svilpošā lidmašīna ar zaļo gaismu un krakšķi+mirdzošie zvaigzni (2 gab)</t>
  </si>
  <si>
    <t>Lidojošs/pulsejošs krasu efektrs ar blokādes vainagu (1gab), lidojošs/pulsejošs krasu efekts ar sprakšķigo zvaigzni (1gab)</t>
  </si>
  <si>
    <t>Svilpojoša lidojoša plate ar zaļo gaismu</t>
  </si>
  <si>
    <t>Svilpojoša lidojoša plate ar asti+brokādes vainagu, efekta augstums 45m</t>
  </si>
  <si>
    <t>Bērnu paka, satur: DP1FD- 1x,DP1FR-1x,DP1BP- 3x,BK1B-1x,BK1P-1x,DP1CB-1x,DP1B-1x,DP1R-2x, S12S-1x</t>
  </si>
  <si>
    <t xml:space="preserve">Limejošs bērnu kalendārs ar 8 logiem </t>
  </si>
  <si>
    <t>Ģīmenes komplekts, satur: 4 raķētes: DP1BP-2x,DP1B-1x,S12S-1x,P1-1x,BK1B-1x,DP1R-1x,DP1VC-1x,DP1CB-1x,K01M-1x,R4420B- 2x</t>
  </si>
  <si>
    <t xml:space="preserve">Ģīmenes komplekts, satur: 1x-VP16A,DP1VC, LM2V 1 single pc, R4420B 2 single pc, R12T1 4 sinlge pc, </t>
  </si>
  <si>
    <t>Zelta brīnumsvece, garums 70cm, brīnumsveces garums 55cm, brīnumsvece diametra masa 4,5mm</t>
  </si>
  <si>
    <t>Zelta brīnumsvece, garums 40cm, brīnumsveces garums 32,5cm, brīnumsvece diametra masa 3,7mm</t>
  </si>
  <si>
    <t>Zelta brīnumsvece, garums 28cm, brīnumsveces garums 20,5cm, brīnumsvece diametra masa 3mm</t>
  </si>
  <si>
    <t>Zelta brīnumsvece, garums 90cm, brīnumsveces garums 61cm, brīnumsvece diametra masa 4,8mm</t>
  </si>
  <si>
    <t>Zelta brinumsvece, garums 90cm, brinumsveces garums 55cm, brinumsvece diametra masa 4,8mm</t>
  </si>
  <si>
    <t>Zelta brinumsvece, garums 70cm, brinumsveces garums 45cm, brinumsvece diametra masa 4,5mm</t>
  </si>
  <si>
    <t>Zelta brinumsvece, garums 40cm, brinumsveces garums 26cm, brinumsvece diametra masa 3,7mm</t>
  </si>
  <si>
    <t>Zelta brinumsvece, garums 28cm, brinumsveces garums 17cm, brinumsvece diametra masa 3mm</t>
  </si>
  <si>
    <t>Zelta brinumsvece, garums 16cm, brinumsveces garums 8,5cm, brinumsvece diametra masa 2,5mm</t>
  </si>
  <si>
    <t>Neona brīnumsvece (sarkana, dzeltena, zaļā, zila), garums 40cm, brīnumsveces garums 26cm, brīnumsvece diametra masa 3,7mm</t>
  </si>
  <si>
    <t>Neona brīnumsvece (sarkana, dzeltena, zaļā, zila), garums 40cm, brīnumsveces garums 26cm, brīnumsveces diametra masa 3,7mm</t>
  </si>
  <si>
    <t>Krakšķīša zelta brīnumsvece, garums 40cm, brīnumsveces garums 26cm, brīnumsveces materiala massa 3,7mm</t>
  </si>
  <si>
    <t>Zelta brīnumsvece forma ciparā 1</t>
  </si>
  <si>
    <t>Zelta brīnumsvece sidrs forma</t>
  </si>
  <si>
    <t xml:space="preserve">Zelta brīnumsvece zvaigznes forma </t>
  </si>
  <si>
    <t>Zelta brīnumsvece(cipāru miks 0-9, sirds, zvaigzne)</t>
  </si>
  <si>
    <t xml:space="preserve">Apaļi krāsainie dūmi(sarkans, zaļš, dzeltens, zilā, bālts, rozā) </t>
  </si>
  <si>
    <t>Dūmu caurule (zilā, sarkanā, dzeltenā, zaļā)</t>
  </si>
  <si>
    <t>Dūmu caurule (orandža, violēta, bālta, mēlna)</t>
  </si>
  <si>
    <t>Dūmu caurule ( zilā, sarkanā, dzeltenā, zaļā)</t>
  </si>
  <si>
    <t>Noraidošie kurmju dūmi( smārža + dūmi)</t>
  </si>
  <si>
    <t>Dūmu caurule - bālta krāsa</t>
  </si>
  <si>
    <t>Dumu caurule - sarkana krāsa</t>
  </si>
  <si>
    <t>Dūmu caurule - sarkana krāsa</t>
  </si>
  <si>
    <t>Dūmu caurule - zila krāsa</t>
  </si>
  <si>
    <t>Dūmu caurule - dzeltena krāsa</t>
  </si>
  <si>
    <t>Dūmu caurule - zaļa krāsa</t>
  </si>
  <si>
    <t>Dūmu caurule - orandža krāsa</t>
  </si>
  <si>
    <t>Dūmu caurule (dūmo no divām pusēs) - bālta krāsa</t>
  </si>
  <si>
    <t>Dūmu caurule (dūmo no divām pusēs) - sarkana krāsa</t>
  </si>
  <si>
    <t>Dūmu caurule (dūmo no divām pusēs) - zila krāsa</t>
  </si>
  <si>
    <t>Dūmu caurule ar vilkšānas uzsākšanas sistemu - Bālta krāsa</t>
  </si>
  <si>
    <t>Dūmu caurule ar vilkšānas uzsākšanas sistemu - sarkana krāsa</t>
  </si>
  <si>
    <t>Dūmu caurule ar vilkšānas uzsākšanas sistemu - zila krāsa</t>
  </si>
  <si>
    <t>Dūmu caurule ar vilkšānas uzsākšanas sistemu - dzeltena krāsa</t>
  </si>
  <si>
    <t>Dūmu caurule ar vilkšānas uzsākšanas sistemu - zaļa krāsa</t>
  </si>
  <si>
    <t>Dūmu caurule ar vilkšānas uzsākšanas sistemu - orandža krāsa</t>
  </si>
  <si>
    <t>Dūmu caurule ar vilkšānas uzsākšanas sistemu - melna krāsa</t>
  </si>
  <si>
    <t>Dūmu caurule (dūmo no divām pusēm) ar vilkšānas uzsākšanas sistemu - bālta krāsa</t>
  </si>
  <si>
    <t>Dūmu caurule (dūmo no divām pusēm) ar vilkšānas uzsākšanas sistemu - sarkana krāsa</t>
  </si>
  <si>
    <t>Dūmu caurule (dūmo no divām pusēm) ar vilkšānas uzsākšanas sistemu - zila krāsa</t>
  </si>
  <si>
    <t>Dūmu caurule (dūmo no divām pusēm) ar vilkšānas uzsākšanas sistemu - dzeltena krāsa</t>
  </si>
  <si>
    <t>Dūmu caurule (dūmo no divām pusēm) ar vilkšānas uzsākšanas sistemu - zaļa krāsa</t>
  </si>
  <si>
    <t>Dūmu caurule (dūmo no divām pusēm) ar vilkšānas uzsākšanas sistemu - orandža krāsa</t>
  </si>
  <si>
    <t>Dūmu caurule (dūmo no divām pusēm) ar vilkšānas uzsākšanas sistemu - melna krāsa</t>
  </si>
  <si>
    <t>Dūmu caurule ar skrāpēj galvu - bālta krāsa</t>
  </si>
  <si>
    <t>Dūmu caurule ar skrāpēj galvu - sarkana krāsa</t>
  </si>
  <si>
    <t>Dūmu caurule ar skrāpēj galvu - zila krāsa</t>
  </si>
  <si>
    <t>Dūmu caurule ar skrāpēj galvu - dzeltena krāsa</t>
  </si>
  <si>
    <t>Dūmu caurule ar skrāpēj galvu - zaļa krāsa</t>
  </si>
  <si>
    <t>Dūmu caurule ar skrāpēj galvu - orandža krāsa</t>
  </si>
  <si>
    <t>Dūmu caurule ar skrāpēj galvu - melna krāsa</t>
  </si>
  <si>
    <t>Dūmu caurule ar skrāpēj galvu - roza krāsa</t>
  </si>
  <si>
    <t>Dūmu caurule ar sviras aizdedzi - bālta krāsa</t>
  </si>
  <si>
    <t>Dūmu caurule ar sviras aizdedzi - sarkana krāsa</t>
  </si>
  <si>
    <t>Dūmu caurule ar sviras aizdedzi - zila krāsa</t>
  </si>
  <si>
    <t>Dūmu caurule ar sviras aizdedzi - dzeltena krāsa</t>
  </si>
  <si>
    <t>Dūmu caurule ar sviras aizdedzi - zaļa krāsa</t>
  </si>
  <si>
    <t>Dūmu caurule ar sviras aizdedzi - orandžā krāsa</t>
  </si>
  <si>
    <t>Dūmu caurule ar sviras aizdedzi - orandža krāsa</t>
  </si>
  <si>
    <t>Rokās turama dūmu caurule ar vilkšānas uzsākšānas sistemu - dzeltena krāsa</t>
  </si>
  <si>
    <t>Rokās turama dūmu caurule ar vilkšānas uzsākšānas sistemu - zaļa krāsa</t>
  </si>
  <si>
    <t>Rokās turama dūmu caurule ar vilkšānas uzsākšānas sistemu - orandža krāsa</t>
  </si>
  <si>
    <t>Rokās turama dūmu caurule ar vilkšānas uzsākšānas sistemu - melna krāsa</t>
  </si>
  <si>
    <t>Rokās turama dūmu caurule - bālta krāsa</t>
  </si>
  <si>
    <t>Rokās turama dūmu caurule - sarksana krāsa</t>
  </si>
  <si>
    <t>Rokās turama dūmu caurule - zila krāsa</t>
  </si>
  <si>
    <t>Rokās turama dūmu caurule - dzeltena krāsa</t>
  </si>
  <si>
    <t>Rokās turama dūmu caurule - zaļa krāsa</t>
  </si>
  <si>
    <t>Rokās turama dūmu caurule - orandža krāsa</t>
  </si>
  <si>
    <t>Rokās turama dūmu caurule - melna krāsa</t>
  </si>
  <si>
    <t>Sarkana lāpa + bāltie dūmi</t>
  </si>
  <si>
    <t>Zaļa lāpa + bāltie dūmi</t>
  </si>
  <si>
    <t>Bālta lāpa + bāltie dūmi</t>
  </si>
  <si>
    <t>Dzeltena lāpa + bāltie dūmi</t>
  </si>
  <si>
    <t>Zila lāpa + bāltie dūmi</t>
  </si>
  <si>
    <t xml:space="preserve">Sarkana lāpa </t>
  </si>
  <si>
    <t>Krasaina lāpa (sarkans, bālts, violets, dzeltens)</t>
  </si>
  <si>
    <t>Bālta zibspuldze</t>
  </si>
  <si>
    <t>Sarkana zibspuldze + dūmi</t>
  </si>
  <si>
    <t>Strūklaku miks, iepakojumā ir 2 gabali F10 un 2 gabali F1K</t>
  </si>
  <si>
    <t>Strūklaku miks, iepakojumā ir 2 gabali F2DF un 2 gabali F2DD</t>
  </si>
  <si>
    <t>Krāsaina gaisma (sarkana, zaļa, zila) + krāukšķīgo mīnu</t>
  </si>
  <si>
    <t>Krasaina zvaigzne, krākšķīga zvaigzne, svīlpojoša komēta</t>
  </si>
  <si>
    <t>6 dažādu krāsu efekts</t>
  </si>
  <si>
    <t>Krāsaina zvaigzne + liela krāukšķīga zvaigzne</t>
  </si>
  <si>
    <t>liela krāukšķīga zvaigzne</t>
  </si>
  <si>
    <t>Krasains efekts + krāukšķīga zvaigzne</t>
  </si>
  <si>
    <t>Multi-efekts</t>
  </si>
  <si>
    <t>Krāukšķīga strūklala</t>
  </si>
  <si>
    <t>rotojoša strūklaka</t>
  </si>
  <si>
    <t>Liela rotojošā strūklaka (uz malām/uz augšu efekts)</t>
  </si>
  <si>
    <t xml:space="preserve">Krasaina zvaigzne, 3m augstuma efekts </t>
  </si>
  <si>
    <t>Dubult krāukšķīga zvaigzne, 3m augstuma efekts</t>
  </si>
  <si>
    <t>Sudraba zvaigzne, 4m augstuma efekts</t>
  </si>
  <si>
    <t>sudraba krāukšķīga zvaigzne, 4m efekts</t>
  </si>
  <si>
    <t xml:space="preserve">Krasaina zvaigzne, 4m augstuma efekts </t>
  </si>
  <si>
    <t>Sudraba krākšķīga zvaigzne, 5m augstuma effekts</t>
  </si>
  <si>
    <t>Sudraba zvaigzne, 5m augstuma efekts</t>
  </si>
  <si>
    <t>Krāsaina zvaigzne, 5m augstuma efekts</t>
  </si>
  <si>
    <t>Sudraba krākšķīga zvaigzne, 6m augstuma effekts</t>
  </si>
  <si>
    <t>Sudraba zvaigzne, 6m augstuma efekts</t>
  </si>
  <si>
    <t>Krasaina zvaigzne, 6m augstuma efekts</t>
  </si>
  <si>
    <t>Sudraba zvaigzne, 7m augstuma efekts</t>
  </si>
  <si>
    <t>Krasaina zvaigzne, 7m augstuma efekts</t>
  </si>
  <si>
    <t>Iekštelpu strūklaka, degoša un virpuļojoša svece + atskāņo dzimšānas dienas dziesmu</t>
  </si>
  <si>
    <t xml:space="preserve">Sudraba zvaigzne (aukstais uguns) garums 10cm, higiēniski sertifīcēta </t>
  </si>
  <si>
    <t>Sudraba zvaigzne (aukstais uguns) garums 20cm, higiēniski sertifīcēta. Sudraba papīrs uz katru gb</t>
  </si>
  <si>
    <t>Sudraba zvaigzne (aukstais uguns) garums 30cm, higiēniski sertifīcēta. Zelta papīrs uz katru gb</t>
  </si>
  <si>
    <t>Sudraba zvaigzne (aukstais uguns) garums 12cm, higiēniski sertifīcēta. Zelta papīrs uz katru gb</t>
  </si>
  <si>
    <t>Sudraba zvaigzne (aukstais uguns) garums 20, higiēniski sertifīcēta. Zelta papīrs uz katru gb</t>
  </si>
  <si>
    <t>Sudraba zvaigzne (aukstais uguns) garums 20cm, higiēniski sertifīcēta. Paka satur numuru 0</t>
  </si>
  <si>
    <t>Sudraba zvaigzne (aukstais uguns) garums 20cm, higiēniski sertifīcēta. Paka satur numuru 1</t>
  </si>
  <si>
    <t>Sudraba zvaigzne (aukstais uguns) garums 20cm, higiēniski sertifīcēta. Paka satur numuru 2</t>
  </si>
  <si>
    <t>Sudraba zvaigzne (aukstais uguns) garums 20cm, higiēniski sertifīcēta. Paka satur numuru 3</t>
  </si>
  <si>
    <t>Sudraba zvaigzne (aukstais uguns) garums 20cm, higiēniski sertifīcēta. Paka satur numuru 4</t>
  </si>
  <si>
    <t>Sudraba zvaigzne (aukstais uguns) garums 20cm, higiēniski sertifīcēta. Paka satur numuru 5</t>
  </si>
  <si>
    <t>Sudraba zvaigzne (aukstais uguns) garums 20cm, higiēniski sertifīcēta. Paka satur numuru 6</t>
  </si>
  <si>
    <t>Sudraba zvaigzne (aukstais uguns) garums 20cm, higiēniski sertifīcēta. Paka satur numuru 7</t>
  </si>
  <si>
    <t>Sudraba zvaigzne (aukstais uguns) garums 20cm, higiēniski sertifīcēta. Paka satur numuru 8</t>
  </si>
  <si>
    <t>Sudraba zvaigzne (aukstais uguns) garums 20cm, higiēniski sertifīcēta. Paka satur numuru 9</t>
  </si>
  <si>
    <t>Sudraba zvaigzne (aukstais uguns) garums 20cm, higiēniski sertifīcēta. Paka satur numuru 0-9</t>
  </si>
  <si>
    <t>Garums 40cm, spīdīga krāsa papīrs</t>
  </si>
  <si>
    <t>garums 40cm, sudraba sirds + rožu lapas</t>
  </si>
  <si>
    <t>garums 40cm, EUR banknotes</t>
  </si>
  <si>
    <t>Garums 80cm, spīdīga krāsa papīrs</t>
  </si>
  <si>
    <t>Garums 80cm, Spīdīga zelta papīrs</t>
  </si>
  <si>
    <t>Garums 80cm, EUR banknotes</t>
  </si>
  <si>
    <t>20šv krasaina aste, 44cm garuma</t>
  </si>
  <si>
    <t>40šv krasaina aste, 70cm garuma</t>
  </si>
  <si>
    <t>10šv krasaina aste, 54cm garuma</t>
  </si>
  <si>
    <t>20šv krākšķīga komēta, 54cm garuma</t>
  </si>
  <si>
    <t>20šv krākšķīga komēta, 70cm garuma</t>
  </si>
  <si>
    <t>20šv krasaina aste, 60cm garums</t>
  </si>
  <si>
    <t>10šv krasaina aste + 10šv krākšķīga komēta, 65cm garuma</t>
  </si>
  <si>
    <t>Jaukta paciņa ar 20šv romiešu ugunim, garums 60cm ( iekļauts  R5420K-2pc, R6020B, R6520BK, R7020BK-2pc)</t>
  </si>
  <si>
    <t>Jaukta paciņa ar 20šv romiešu ugunim, garums 70cm ( iekļauts ,3pc of R7020K, R6020B, R6520BK,R7020BK)</t>
  </si>
  <si>
    <t>8šv sudraba aste + titānu salūts ar krākšķi, 58cm garuma</t>
  </si>
  <si>
    <t>8šv 3 dažādu krāšu efektu, 60cm garums</t>
  </si>
  <si>
    <t>Jaukta paciņa satur 8šv romiešu uguni ieskaitot: R5808D, R6008E, R6008K,R7508E</t>
  </si>
  <si>
    <t>8šv sudraba svīlpojoša aste, 65cm garums</t>
  </si>
  <si>
    <t>8šv 3 dažadu krāsu efekts, 75cm garums</t>
  </si>
  <si>
    <t>8šv 4 dažadu krāsu efekts, 75cm garums</t>
  </si>
  <si>
    <t>8šv, Brokādes aste + brodākes vainags, 75cm garums</t>
  </si>
  <si>
    <t>Romiešu ugunis 91šv, 4 dažadu krāsu</t>
  </si>
  <si>
    <t>Sudraba mīna uz sarkano asti uz titānu salūtu</t>
  </si>
  <si>
    <t>2 dažadu krāšu izpletņi</t>
  </si>
  <si>
    <t>Svīlpojoša aste</t>
  </si>
  <si>
    <t>4 dažadu krāsu efekts</t>
  </si>
  <si>
    <t>4 dažadu krāsu efekts - bez skāņas</t>
  </si>
  <si>
    <t>Sudraba mīna uz sarkano asti uz titāna salūtu</t>
  </si>
  <si>
    <t>svīlpojoša + strūklaka + mīna</t>
  </si>
  <si>
    <t>6 dažādi efekti, diametrā 50mm(augstaka kvālītate)</t>
  </si>
  <si>
    <t>18 dažadu krāsuefekts, 50mm (sīlindra būmba) - profesionāļu kvālītate</t>
  </si>
  <si>
    <t>Zaļa rotējoša ar krākšķi</t>
  </si>
  <si>
    <t>Sarkana krāsa + liels krākšķis</t>
  </si>
  <si>
    <t>Zaļa krāsa + liels krākšķis</t>
  </si>
  <si>
    <t xml:space="preserve">Zaļa krāsa + liels krākšķis </t>
  </si>
  <si>
    <t>Skrāpējama maza petarde, skaļuma stīprums 112dB no 8m</t>
  </si>
  <si>
    <t>Skrāpējama petarde, skaļuma stīprums 116dB no 8m</t>
  </si>
  <si>
    <t>Skrāpējama petarde (dubults), skaļuma stīprums 116+116dB no 8M</t>
  </si>
  <si>
    <t>Skrāpējama petarde (dubults), skaļuma stīprums 119dB no 15m, rāžots Eiropa, plastmasās apvelka</t>
  </si>
  <si>
    <t>Skaļuma jauda 114dB no 8m</t>
  </si>
  <si>
    <t>Skaļuma jaudas 117dB no 8m</t>
  </si>
  <si>
    <t>Skaļuma jauda 117dB no 8m</t>
  </si>
  <si>
    <t>Skaļuma jauda 119dB no 8m</t>
  </si>
  <si>
    <t>Skaļuma jauda 120dB no 8m, ražots Eiropa, plastmasās apvelka</t>
  </si>
  <si>
    <t>Skaļuma jauda 112dB no 8m (melns pulverīs)</t>
  </si>
  <si>
    <t>Skaļuma jauda 120dB no 15m, ražots Eiropa, plastmasās apvelka</t>
  </si>
  <si>
    <t>Skaļuma jauda 117dB no 15m ar zaļo krāsu no sakuma</t>
  </si>
  <si>
    <t>Skaļuma jauda 118dB no 15m, plastmasās apvelka</t>
  </si>
  <si>
    <t>Skaļuma jauda 120dB no 15m</t>
  </si>
  <si>
    <t>Skaļuma jauda120dB no 15m</t>
  </si>
  <si>
    <t>Skaļuma jauda 120dB no 15m ar zaļo krāsu no sakuma</t>
  </si>
  <si>
    <t>Skaļuma jauda 1209dB no 15m</t>
  </si>
  <si>
    <t>Skaļuma jauda 120dB no 15m ar sarkano krāsu no sakuma</t>
  </si>
  <si>
    <t>30g uzliesmojušs pulveris, skaļuma jauda 142dB no 15m,ražots Eiropa</t>
  </si>
  <si>
    <t>50g uzliesmojušo pulveri, skaļuma jauda 159dB no 15m,ražots Eiropa</t>
  </si>
  <si>
    <t>60g uzliesmojušo pulveri, skaļuma jauda 160dB no 15m,ražots Eiropa</t>
  </si>
  <si>
    <t>100g uzliesmojušo pulveri, skaļuma jauda 170dB no 15m,ražots Eiropa</t>
  </si>
  <si>
    <t>Krākšķīga bumba 3g, diametra 38mm</t>
  </si>
  <si>
    <t>Krākšķīga bumba 15g, diametra 38mm</t>
  </si>
  <si>
    <t>Krākšķīga bumba 15g, (dubult efekts) diametra 42mm</t>
  </si>
  <si>
    <t>70šv, garums 16cm, svinīgie krākšķi no mazām petārdem</t>
  </si>
  <si>
    <t>200šv, garums 62cm, svinīgie krākšķi no videjām petārdem</t>
  </si>
  <si>
    <t>500šv, garums 155cm, svinīgie krākšķi no videjām petārdem</t>
  </si>
  <si>
    <t>1000šv, garums 310cm, svinīgie krākšķi no mazām petārdem</t>
  </si>
  <si>
    <t>1750šv mazie krākšķi + 200šv videji krākšķi + 19šv lielie krākšķi, garums 5,25m</t>
  </si>
  <si>
    <t>3500šv mazie krākšķi+ 400šv videji krākšķi + 19šv lielie krākšķi, garums 10,5m</t>
  </si>
  <si>
    <t>Signālu kasetne 15mm ar sprādzienu</t>
  </si>
  <si>
    <t>Svīlpojošs + blīķšķis</t>
  </si>
  <si>
    <t>Maza izmēra raķēte ar izpletni</t>
  </si>
  <si>
    <t xml:space="preserve">svīlpjoša aste + krasaina zvaigzne </t>
  </si>
  <si>
    <t>svīlpjoša aste uz sudraba mirdzumiem</t>
  </si>
  <si>
    <t xml:space="preserve">42cm augsta raķēte, krasaina zvaigzne </t>
  </si>
  <si>
    <t xml:space="preserve">72cm augsta raķēte, krasaina zvaigzne </t>
  </si>
  <si>
    <t>Svīlpojoša aste uz titāna salūtu ar krākšķi</t>
  </si>
  <si>
    <t>6 dažadu krāsu efekts - bez skaņas</t>
  </si>
  <si>
    <t>sudraba aste uz titāna salūtu ar krākšķi (2g uzliesmojušo pulveri)</t>
  </si>
  <si>
    <t>7 dažadu krāsu efekts</t>
  </si>
  <si>
    <t>9 dažadu krāsu efekts</t>
  </si>
  <si>
    <t>21 dažadu krāsu efekts</t>
  </si>
  <si>
    <t>33 dažadu krāsu efekts</t>
  </si>
  <si>
    <t>5 dažadu krāsu efekts</t>
  </si>
  <si>
    <t>sudraba aste uz titāna salūtu ar krākšķi (5g uzliesmojušo pulveri)</t>
  </si>
  <si>
    <t>11 dažadu krāsu efekts</t>
  </si>
  <si>
    <t>12 dažadu krāsu efekts</t>
  </si>
  <si>
    <t>18 dažadu krāsu efekts</t>
  </si>
  <si>
    <t>170cm augstums, augstakas kvalītates hroma raķēte, 2 dažadu krāsu efekts</t>
  </si>
  <si>
    <t>170cm augstums, augstakas kvalītates hroma raķēte, 3 dažadu krāsu efekts</t>
  </si>
  <si>
    <t>T-Krekls Dumbum, 180g</t>
  </si>
  <si>
    <t>T-Krekls POLO Dumbum, 225g</t>
  </si>
  <si>
    <t>Vilnas jaka Dumbum, 600g</t>
  </si>
  <si>
    <t>Beisbola cepure Dumbum</t>
  </si>
  <si>
    <t>Ziemas cepure Dumbum, Beanie</t>
  </si>
  <si>
    <t>Dumbum T-krekls M - ierobežota tīražā</t>
  </si>
  <si>
    <t>Dumbum T-krekls L - ierobežota tīražā</t>
  </si>
  <si>
    <t>Dumbum T-krekls XL - ierobežota tīražā</t>
  </si>
  <si>
    <t>Dumbum T-krekls XXL - ierobežota tīražā</t>
  </si>
  <si>
    <t>Dumbum T-krekls POLO M - ierobežota tīražā</t>
  </si>
  <si>
    <t>Dumbum T-krekls POLO L - ierobežota tīražā</t>
  </si>
  <si>
    <t>Dumbum T-krekls POLO XL - ierobežota tīražā</t>
  </si>
  <si>
    <t>Dumbum T-krekls POLO XXL - ierobežota tīražā</t>
  </si>
  <si>
    <t>Dumbum veste mīksta auduma M - eirobežota tīraža</t>
  </si>
  <si>
    <t>Dumbum veste mīksta auduma L - eirobežota tīraža</t>
  </si>
  <si>
    <t>Dumbum veste mīksta auduma XL - eirobežota tīraža</t>
  </si>
  <si>
    <t>Dumbum veste mīIksta auduma XXL - eirobežota tīraža</t>
  </si>
  <si>
    <t>Dumbum vilnas jaka M ierobežota tīražā</t>
  </si>
  <si>
    <t>Dumbum vilnas jaka L ierobežota tīražā</t>
  </si>
  <si>
    <t>Dumbum vilnas jaka XL ierobežota tīražā</t>
  </si>
  <si>
    <t>Dumbum vilnas jaka XXL ierobežota tīražā</t>
  </si>
  <si>
    <t>Dumbum hudi ar kapuci M ierobežota tīražā</t>
  </si>
  <si>
    <t>Dumbum hudi ar kapuci L ierobežota tīražā</t>
  </si>
  <si>
    <t>Dumbum hudi ar kapuci XL ierobežota tīražā</t>
  </si>
  <si>
    <t>Dumbum hudi ar kapuci XXL ierobežota tīražā</t>
  </si>
  <si>
    <t>Beisbola cepure Dumbum - ierobežõta tīražā</t>
  </si>
  <si>
    <t>Ziemas cepure Dumbum - Ierobežõta tīražā</t>
  </si>
  <si>
    <t>Enerģijas dzēriens 250ml, ražots EU</t>
  </si>
  <si>
    <t>Šampanietis Dumbum (Bohemia sekt) - 0,2L, ražots Čehu republika</t>
  </si>
  <si>
    <t>Roll - up plakāts Dumbum, izmers 200x85cm</t>
  </si>
  <si>
    <t>Roll-up plakāts bez skaņas uguņošana, izmers 200x85cm</t>
  </si>
  <si>
    <t>Roll - up plakāts Paraksta diapazons, izmers 200x85cm</t>
  </si>
  <si>
    <t>Reklāmas statīvs A1, izmers 84x60cm, ara lietošanāi</t>
  </si>
  <si>
    <t>Posteris, izmers 84x60cm, vertīkals</t>
  </si>
  <si>
    <t>Posterīs, izmers 98x68cm, plats</t>
  </si>
  <si>
    <t>Posterīs Dumbum, izmers 84x60cm, vertīkals</t>
  </si>
  <si>
    <t>Turbo-uguns šķiltavas Dumbum</t>
  </si>
  <si>
    <t>USB šķiltavas Dumbum</t>
  </si>
  <si>
    <t>Uzlīme Dumbum, izmers 17x15cm</t>
  </si>
  <si>
    <t>Iepirkšānas soma Klasek/Dumbum, izmers 50x40cm</t>
  </si>
  <si>
    <t>Iepirkšānas soma Dumbum, izmers 45x34cm</t>
  </si>
  <si>
    <t>Keramikas krūze Dumbum</t>
  </si>
  <si>
    <t>Peles paliktnis Dumbum</t>
  </si>
  <si>
    <t>Lietussargs Dumbum</t>
  </si>
  <si>
    <t>Auto smaržās Dumbum, ar aromatu no Invictus</t>
  </si>
  <si>
    <t>Prezentacīju statīvs priekš dzirksteles</t>
  </si>
  <si>
    <t>Šaušanas mašīna ar 4 pozicījam, attalīnāto kontroli, 4gb elektriskas aizdiedzes</t>
  </si>
  <si>
    <t>Iepakojūms satur 5m 2mm zaļu drošinatāju</t>
  </si>
  <si>
    <t>Sudraba svīlpojoša aste uz salūtu</t>
  </si>
  <si>
    <t>Krasaina un sprakšķiga komēta</t>
  </si>
  <si>
    <t>10 dažadu krāsu efekts</t>
  </si>
  <si>
    <t>20 dažadu krāsu efekts</t>
  </si>
  <si>
    <t>3 dažadu krāsu efekts</t>
  </si>
  <si>
    <t>Sudraba mīna uz sarkano asti uz titāna salūtu (stipra izlase)</t>
  </si>
  <si>
    <t>Sarkanais vilnis ar krākšķīgu iekšu, sudraba mīne uz sarkano asti uz titāna salūtu</t>
  </si>
  <si>
    <t>Sudraba vilnis ar spidīgo pistoli, orandžo asti uz orandzo pērli uz krizantēmu</t>
  </si>
  <si>
    <t>Brokāde kronis uz violētu</t>
  </si>
  <si>
    <t>Zila pālma ar zelta mirdzumu vidu</t>
  </si>
  <si>
    <t>Brokādes kronis uz violeto</t>
  </si>
  <si>
    <t>8 dažadu krāsu efekts</t>
  </si>
  <si>
    <t>9 dažadu krāsu efekts ar titānu salūtu fināla</t>
  </si>
  <si>
    <t>5 dažadu krāsu efekts ( kopa 10šv)</t>
  </si>
  <si>
    <t>13 dažadu krāsu efekts</t>
  </si>
  <si>
    <t xml:space="preserve">16 dasžādu krāsu efekts, 64šv (standarta caurule), 40šv (vēdeklis), 18šv (W vēdeklis)12šv(V vēdeklis) </t>
  </si>
  <si>
    <t>sudraba mīne uz sarkano asti uz titāna salūtu</t>
  </si>
  <si>
    <t>16 dažadu krāsu efekts</t>
  </si>
  <si>
    <t>20- dažadu krāsu efekts</t>
  </si>
  <si>
    <t>24 dažadu krāsu efekts</t>
  </si>
  <si>
    <t>32 dažadu krāsu efekts</t>
  </si>
  <si>
    <t>40 dažadu krāsu efekts</t>
  </si>
  <si>
    <t>26 dažadu krāsu efekts</t>
  </si>
  <si>
    <t>39 dažadu krāsu efekts</t>
  </si>
  <si>
    <t>52 dažadu krāsu efekts</t>
  </si>
  <si>
    <t>80 dažadu krāsu efekts</t>
  </si>
  <si>
    <t>Sudraba mīne uz sarkano asti uz titāna salūtu</t>
  </si>
  <si>
    <t>Svīlpoša aste</t>
  </si>
  <si>
    <t>7 dažadu krāsu efekts bez skaņas</t>
  </si>
  <si>
    <t>7 dažadu krāsu efekts (paraksta kvalītāte) komlekts satur uzlīmes dažadiem vēcumiem</t>
  </si>
  <si>
    <t>28šv zelta brodākes kronis uz sarkano/zilo, 21šv sudraba mīne uz titāna salūtu</t>
  </si>
  <si>
    <t>14 dažadu krāsu efekts</t>
  </si>
  <si>
    <t>11 dažadu krāsu efekts (efekti mainas kātru šavienu)</t>
  </si>
  <si>
    <t>40šv zelta brokādes kronis uz sarkano/zilo, 48šv sudraba mīne uz sarkano asti uz titāna salūtu</t>
  </si>
  <si>
    <t>6 dažādu zila krāsa efekti + 3 rindas sudraba mīnes uz sarkano asti un titāna salūtu</t>
  </si>
  <si>
    <t>10 dažādu krāsu efekts</t>
  </si>
  <si>
    <t>Sudraba mīne uz sarkano asti uz titana salūtu</t>
  </si>
  <si>
    <t>30 dažadu krāsu efekts</t>
  </si>
  <si>
    <t>4 dažadu krāsu efekts (efekts mainas kartu šavienu)</t>
  </si>
  <si>
    <t>Brokādes aste uz brokādes kroni ar krakšķi</t>
  </si>
  <si>
    <t>Sudraba mīne uz sarkano asti uz sudraba krizantēmu</t>
  </si>
  <si>
    <t>Krasaina dālija</t>
  </si>
  <si>
    <t>Sudraba aste uz sudraba pālmu uz violeto</t>
  </si>
  <si>
    <t>Krāsainas pērles uz krizantēmu</t>
  </si>
  <si>
    <t>5 dažadu krāsu efekts (bez skaņas)</t>
  </si>
  <si>
    <t>5 dažadu krāsu efekts (efekts mainas kartu šavienu)</t>
  </si>
  <si>
    <t>Brokāde + violets</t>
  </si>
  <si>
    <t>Zila aste uz Balto mirdzošo vītolu</t>
  </si>
  <si>
    <t>6 dažadu krāsu efekts</t>
  </si>
  <si>
    <t>6 dažadu krāsu efekts(efekts mainas katru šāvienu)</t>
  </si>
  <si>
    <t>7 dažadu krāsu efekts (efekts maians katru šāvienu)</t>
  </si>
  <si>
    <t>Sarkana aste uz super sarkano mirdzumu</t>
  </si>
  <si>
    <t>Krasaina aste uz krasaino pērli ar sarkano/zelta spoku</t>
  </si>
  <si>
    <t>sarkans mirdzošs vītols</t>
  </si>
  <si>
    <t>Liela zelta vītols</t>
  </si>
  <si>
    <t>8 dažadu krāsu efekts (efekts mainas kartu šavienu)</t>
  </si>
  <si>
    <t>Liels zelta vītols</t>
  </si>
  <si>
    <t>5 dažadu krāsu efekts - bez skaņas</t>
  </si>
  <si>
    <t>15 dažadu krāsu efekts</t>
  </si>
  <si>
    <t>10 dažadu krāsu efekts, paka satur uzlīmes ar dažadiem vēcumiem</t>
  </si>
  <si>
    <t>10 dažadu krāsu efekts, paka satur uzlīmes uz dažādiem vēcumiem</t>
  </si>
  <si>
    <t>Sudraba aste uz titāna salūtu</t>
  </si>
  <si>
    <t>Bālta mīne +sarkana aste uz titāna salūtu (katrā mortieri satur 10šv)</t>
  </si>
  <si>
    <t>Sudraba krākšķīga strūklaka + 8 dažadu krāsu efekts</t>
  </si>
  <si>
    <t>7 dažadu krāsu efekts ar titāna salūtu nobeigumu</t>
  </si>
  <si>
    <t>28 dažadu krāsu efekts</t>
  </si>
  <si>
    <t>42 dažadu krāsu efekts</t>
  </si>
  <si>
    <t>19 dažadu krāsu efekts</t>
  </si>
  <si>
    <t>34 dažadu krāsu efekts</t>
  </si>
  <si>
    <t>22 dažadu krāsu efekts</t>
  </si>
  <si>
    <t>2x strūklakas + 25 dažadu krāsu efekts</t>
  </si>
  <si>
    <t>17 dažadu krāsu efekts</t>
  </si>
  <si>
    <t>Sarkana aste</t>
  </si>
  <si>
    <t>Zaļa aste</t>
  </si>
  <si>
    <t>Dzeltena aste</t>
  </si>
  <si>
    <t>Zelta aste</t>
  </si>
  <si>
    <t>Sarkana mīrdzoša vītola aste</t>
  </si>
  <si>
    <t>Zaļa mīrdzoša vītal aste</t>
  </si>
  <si>
    <t>Sudraba mīrdzoša vītola aste</t>
  </si>
  <si>
    <t>Krākšķīga aste</t>
  </si>
  <si>
    <t>Sarkana mīrdzoša vītolu aste</t>
  </si>
  <si>
    <t>Zaļa mīrdzoša vītolu aste</t>
  </si>
  <si>
    <t xml:space="preserve">Bālta mīrdzoša mīna  </t>
  </si>
  <si>
    <t>Sarkana aste uz zaļo mirdzošu mīnu</t>
  </si>
  <si>
    <t>Jūras zils + sarkana mirdzoša mīne</t>
  </si>
  <si>
    <t>Sudraba mirdzoša mīne ar zaļo komētu</t>
  </si>
  <si>
    <t>Īpaša krāsa mīrdzoša mīna</t>
  </si>
  <si>
    <t>Zila uz sarkano krusteni + sarkana uz violeto krustini</t>
  </si>
  <si>
    <t>sarkana aste uz bālto mirdzošo + zaļa aste uz krākšķīga aste</t>
  </si>
  <si>
    <t>Sarkana aste uz krākšķīgo asti + zaļa aste uz krākšķīgo asti</t>
  </si>
  <si>
    <t>Krasainas zvaigznes + krākšķīga aste</t>
  </si>
  <si>
    <t>Sarkana aste uz novilcinātu petardi</t>
  </si>
  <si>
    <t>5 linijas: svīlpoša aste atstaro sarkano mirdzumu, balto mirdzumu, zilo zvaigzni</t>
  </si>
  <si>
    <t>Balta mīrdzoša mīna sarkana/zaļa/zila/violeta/gaiši dzeltana aste</t>
  </si>
  <si>
    <t>Bālta mirdzoša aste uz violeto</t>
  </si>
  <si>
    <t>sarkans un zaļs lietus + komēta</t>
  </si>
  <si>
    <t>Sudraba krizantēma mīne sarkana/zaļa/zila/violeta aste uz bālto mirdzumu</t>
  </si>
  <si>
    <t>Liela zelta pālma komēta + zila pērle</t>
  </si>
  <si>
    <t>Bālta mirdzoša strūklaka</t>
  </si>
  <si>
    <t>Zelta kronis ar zelta spīdigu papild efektu</t>
  </si>
  <si>
    <t>Zelta dzirksteles petardes</t>
  </si>
  <si>
    <t>Novilcināta petarde vītols, krasaina kritošas lapas ar zilo</t>
  </si>
  <si>
    <t>brokādes kronis uz sarkano asti + balts mirdzums</t>
  </si>
  <si>
    <t>Violeta zaļa dālija + lietus</t>
  </si>
  <si>
    <t>Zelta kokosrieksts + zaļs mirdzums</t>
  </si>
  <si>
    <t>Sarkans kokosrieksts + bālts mirdzums</t>
  </si>
  <si>
    <t>Violeta puķe ar brokādes kroņis</t>
  </si>
  <si>
    <t>Bālts mirdzums/orandža vilnis + zaļš mirdzums 10šv kopa</t>
  </si>
  <si>
    <t>sarkana aste uz brokādes kroņi + zila10šv kopa</t>
  </si>
  <si>
    <t>2 puses: zvaigzne vidu:zelta vītols + krākšķīga krizantēma 10šv kopa</t>
  </si>
  <si>
    <t>2 puses: sudraba, vidus: sudraba pālma uz orandžu + brokāde vītola puķe 10šv kopa</t>
  </si>
  <si>
    <t>krākšķīs + zila aste mīne uz orandžu vilni + zaļš mirdzums 10šv kopa</t>
  </si>
  <si>
    <t>krākšķīgs + zila aste mīne uz orandžu vilni + zaļš mirdzumu 10šv kopa</t>
  </si>
  <si>
    <t>Zila aste uz puķes vainagu 10šv kopa</t>
  </si>
  <si>
    <t>krākšķīga krizantēma mīnes aste uz brokādes kroņi + mirdzoša zvaigzne 10šv kopa</t>
  </si>
  <si>
    <t>Zila + sarkana mīrdzoša mīne uz krizantēmu kopa 10šv</t>
  </si>
  <si>
    <t>karaliskajs brokādes kroņis, zaļa, violeta 10šv kopa</t>
  </si>
  <si>
    <t>Zila aste uz novilcināto zirga asti 10šv kopa</t>
  </si>
  <si>
    <t>Sudraba mīrdzoša buķete uz novilcinatu sudraba spīdigu 10šv kopa</t>
  </si>
  <si>
    <t>krākšķīgs vītols + persiku sarkans  10šv kopa</t>
  </si>
  <si>
    <t>sarkans un krākšķīga vītols 10šv kopa</t>
  </si>
  <si>
    <t>titana zelta kokosrieksts + zaļš mirdzums 10šv kopa</t>
  </si>
  <si>
    <t>sarkans krākšķīgs kokosrieksts + balts mirdzums 10švkopa</t>
  </si>
  <si>
    <t>violeta citrona dālija + sudraba krizantēma 10šv kopa</t>
  </si>
  <si>
    <t>zaļa mīrdzoša vītols + zelta mirdzums 10šv kopa</t>
  </si>
  <si>
    <t>bālta mīrdzoša mīne uz sarkano mīrdzoša 10šv kopa</t>
  </si>
  <si>
    <t xml:space="preserve">brokāde + balts mīrdzums 10šv kopa </t>
  </si>
  <si>
    <t>Karalīskais brokādes papils efekts + violets 10šv kopa</t>
  </si>
  <si>
    <t>Sarkans zila zaļš +  lietus 10šv kopa</t>
  </si>
  <si>
    <t>sarkans kokosrieksts + zaļš + sudraba krizantēma 10šv kopa</t>
  </si>
  <si>
    <t>Karalīska brokādes + orandža pērle 10šv kopa</t>
  </si>
  <si>
    <t>Sarkana komētas aste, sarkana aste uz sarkana vilni ar mirdzumu 10 šv kopa</t>
  </si>
  <si>
    <t>karalīska brokāde ar krākšķi 10šv kopa</t>
  </si>
  <si>
    <t>saulespuķe ar sarkano zilo, sarkano mīrdzuma asti 10 šv kopa</t>
  </si>
  <si>
    <t>Violeta krustiņa + violeta aste uz brokādes kroņa ar violeto dāliju 10 šv kopa</t>
  </si>
  <si>
    <t>Violeta aste uz violeto krustinu ( C tipa-atvēras vidu)</t>
  </si>
  <si>
    <t>zila aste uz puķes kroņi</t>
  </si>
  <si>
    <t>krākšķīga krizantēma + zila mīna aste uz zelta komētu</t>
  </si>
  <si>
    <t>sudraba aste uz sarkano vilni ar krākšķi</t>
  </si>
  <si>
    <t>krākšķīga krizantēma uz brokādes kroņi + mīrdzojošas zvaigznes</t>
  </si>
  <si>
    <t>zila + sarkana mīrdzojoša mīna uz krizantēmu</t>
  </si>
  <si>
    <t>karaliskajs brokādes kroņis, zaļa, viloeta</t>
  </si>
  <si>
    <t>zila aste uz novilcinatu zirga asti</t>
  </si>
  <si>
    <t>sudrba mīrdzinoša buķete uz novilcinātu sudraba mīrdzumu</t>
  </si>
  <si>
    <t>krākšķīgs vītols + persiku sarkans</t>
  </si>
  <si>
    <t>sarkans krākšķīgs vītols</t>
  </si>
  <si>
    <t>titana zelta kokosrieksts + zaļš mirdzums</t>
  </si>
  <si>
    <t xml:space="preserve">sarkans krākšķīgs kokosrieksts + bālts mīrdzums </t>
  </si>
  <si>
    <t xml:space="preserve">Brokāde krākšķīga puķe + zila pērle </t>
  </si>
  <si>
    <t>violeta citrusa dālija + sudraba krizantēma</t>
  </si>
  <si>
    <t>zaļš mīrdzīgs vītols + zaļš mirdzums</t>
  </si>
  <si>
    <t>bālta mīrdzuma mīna uz sakrano mīrdzumu</t>
  </si>
  <si>
    <t>karalīska brokādes papild efekts + violeta</t>
  </si>
  <si>
    <t>rozā + liels lietus</t>
  </si>
  <si>
    <t>sarkans zaļs zila + liels lietus</t>
  </si>
  <si>
    <t xml:space="preserve">sarkans kokosrioeksts + zaļa + sudraba krizantēma </t>
  </si>
  <si>
    <t xml:space="preserve">karalīska brokāde +orandža pērle </t>
  </si>
  <si>
    <t>saulespuķe ar sarkano zilo, sarkano mirdzošo asti</t>
  </si>
  <si>
    <t>zila mīna aste uzsarkano komēta zvaigzne</t>
  </si>
  <si>
    <t>sarkana komēta lietus</t>
  </si>
  <si>
    <t>sarkans, zaļš, dzeltens, bālts, viloeta mīne</t>
  </si>
  <si>
    <t>zelta mirdzošs vītols ar zila buķeti</t>
  </si>
  <si>
    <t>Brokādes kronis buķete uz karalisko brokādes kroni</t>
  </si>
  <si>
    <t>zelta brokādes mīna</t>
  </si>
  <si>
    <t>1-20šv krākšķīga vītola aste + sarkana mirdzuma mīna, 21-50šv krākšķīgs vītols + sarkana mīrdzums</t>
  </si>
  <si>
    <t>zila pistole sudraba zivs</t>
  </si>
  <si>
    <t>zaļa lietus</t>
  </si>
  <si>
    <t>sarkans kokosrieksts + krākšķīgs viena puse/ zaļš kokosrieksts + krākšķīgs viena puse</t>
  </si>
  <si>
    <t>sarkans vilnis aste</t>
  </si>
  <si>
    <t xml:space="preserve">citrusa aste + citrusa kokosrieksts + sudraba krizanēma </t>
  </si>
  <si>
    <t>zila aste uz novilcinātu zigra asti</t>
  </si>
  <si>
    <t xml:space="preserve">divas puses: sudraba aste uz puķes vainagu zaļa mīrdzumu, vidu sarkana aste uz sarkanu pālmu ar krākšķi </t>
  </si>
  <si>
    <t>zila aste uz zilo zvaigzni mīrdzumu, sarkana zvaigzne bālta mīrdzums</t>
  </si>
  <si>
    <t>sarkana zaļa krustiņa</t>
  </si>
  <si>
    <t>zelta aste uz zelta krustiņu 8 šv kopa</t>
  </si>
  <si>
    <t>brokādes kroņa mīne 13 šv</t>
  </si>
  <si>
    <t>zelta aste uz zirga asti 13šv</t>
  </si>
  <si>
    <t>sudraba aste uz sudraba krākšķīgo vītolu 13šv</t>
  </si>
  <si>
    <t>sarkana aste ar vilni uz mirdzošo cēntru 13šv</t>
  </si>
  <si>
    <t>zelta aste ar zelta krustiņu ( C caurule)</t>
  </si>
  <si>
    <t>brokādes kroņa aste uz brokādes kroni 19šv</t>
  </si>
  <si>
    <t>sudraba aste uz sudrba krākšķīgo vītolu 19šv</t>
  </si>
  <si>
    <t>zelta/brokāde kroņa mīne 19šv</t>
  </si>
  <si>
    <t>sarkana spīduma mīne ar zaļo mīrdzumu komētu 19šv</t>
  </si>
  <si>
    <t>sudraba spīdiga mīna uz sarkano krustiņu 19 šv</t>
  </si>
  <si>
    <t>sudraba spīdiga mīna uz zaļo krustņu 19šv</t>
  </si>
  <si>
    <t>Citrons, roza, jūras zila ar sudraba spīduma mīne 19šv</t>
  </si>
  <si>
    <t>sudraba komēta ar sarkanu galu 19šv</t>
  </si>
  <si>
    <t xml:space="preserve">zila mīna ar zaļo komētu 19šv </t>
  </si>
  <si>
    <t>sarkana spīduma mīne uz zelta spīduma komētu ar sakano spīduma galu 19šv</t>
  </si>
  <si>
    <t>sudraba spīduma mīna ar violetu komētu 19šv</t>
  </si>
  <si>
    <t>sarkana spīduma aste uz sudraba spīduma ūdenskrītūmu 19šv</t>
  </si>
  <si>
    <t>svīlpojoša aste ar sarkano mīnu 19šv</t>
  </si>
  <si>
    <t>sudraba tīģera aste un sarkana krustiņa 19šv</t>
  </si>
  <si>
    <t xml:space="preserve">Sakrana mirgojoša aste uz sarkano mirdojošu vītolu 5šv </t>
  </si>
  <si>
    <t>sprakšķīga aste 5šv</t>
  </si>
  <si>
    <t>zaļa krustiņa mīna 5šv</t>
  </si>
  <si>
    <t>brokādes aste 5šv</t>
  </si>
  <si>
    <t>violeta sarkans citrona zaļš bālts krustiņa mīnsa 5 šv</t>
  </si>
  <si>
    <t xml:space="preserve">sprakšķiga krustiņa 5 šv </t>
  </si>
  <si>
    <t>novilcināta petarde vītols</t>
  </si>
  <si>
    <t xml:space="preserve">sarkana krizantēma </t>
  </si>
  <si>
    <t>sudraba mirgojošs vītols</t>
  </si>
  <si>
    <t>sudraba vilnis uz sarkano</t>
  </si>
  <si>
    <t>zaļa aste uz zaļo vilni ar sprakšķi</t>
  </si>
  <si>
    <t>krasaina dālija</t>
  </si>
  <si>
    <t>sudraba aste uz sudraba palma koku</t>
  </si>
  <si>
    <t>zelta milzīgs vītols</t>
  </si>
  <si>
    <t>sudraba aste uz sudraba mīrdzumu</t>
  </si>
  <si>
    <t>sudraba aste uz titāna salūtu</t>
  </si>
  <si>
    <t>Mikseta kaste satur 1 paku ar S2A,B,D,E,F,G,H,CH,J,L,N,O</t>
  </si>
  <si>
    <t>krasaina krizantēma</t>
  </si>
  <si>
    <t xml:space="preserve">sudraba spīdigs strūklaka </t>
  </si>
  <si>
    <t>sudraba aste uz sarkano vilni ar sprakšķi</t>
  </si>
  <si>
    <t>Kroņa krizantēma uz zilo</t>
  </si>
  <si>
    <t>sarkana peonija ar sudraba pālma kodolu</t>
  </si>
  <si>
    <t>novilcināta sprakšķigs vītols</t>
  </si>
  <si>
    <t>ūdens krāsa pions ar brokādes papild efektu</t>
  </si>
  <si>
    <t>ktizantēma uz violetu</t>
  </si>
  <si>
    <t>zelta mīlzīgs vītols</t>
  </si>
  <si>
    <t>brokādes kroņa krustiņa</t>
  </si>
  <si>
    <t>roza dālija ar roza papild efektu</t>
  </si>
  <si>
    <t>sudraba aste uz sudraba pālmu koku</t>
  </si>
  <si>
    <t>brokādes kroņis ar bālto spīdumu</t>
  </si>
  <si>
    <t>violeto vilni ar zaļo spīdumu</t>
  </si>
  <si>
    <t>violets gredzēnsar krizantēmu papild efektu</t>
  </si>
  <si>
    <t>asins sarkans + sudraba mirdzumu</t>
  </si>
  <si>
    <t>sarkans kokos ar sudraba mirdzumu papild efektu</t>
  </si>
  <si>
    <t>citrona krustiņa + violeta krustiņa</t>
  </si>
  <si>
    <t>sarkana vilnis krustiņa</t>
  </si>
  <si>
    <t>sarkans/citrona dālija</t>
  </si>
  <si>
    <t>sarkans vilnis ar sprakšķi</t>
  </si>
  <si>
    <t>spīdigs pālmu koks</t>
  </si>
  <si>
    <t>zelta titāna vītols ar asorti krasainu spīdumu</t>
  </si>
  <si>
    <t>Titāna krizantēma sprakšķiga uz titāna sprakšķigo pālmu</t>
  </si>
  <si>
    <t>sudraba midzoša strūklaka</t>
  </si>
  <si>
    <t>Puķes vainags ar sarkano spīdigu papild efektu</t>
  </si>
  <si>
    <t>puse sarkanas/zaļa krustiņa</t>
  </si>
  <si>
    <t>sprakšķiga nishiki kamuro</t>
  </si>
  <si>
    <t>sudraba vainags ar sarkano papild efektu</t>
  </si>
  <si>
    <t>asins sarkans + sudraba mirdzums</t>
  </si>
  <si>
    <t>sudraba mirdzums</t>
  </si>
  <si>
    <t>īpašāis mīrdzuma sarkans</t>
  </si>
  <si>
    <t>zaļa peonija ar korolas papild efektu ar brokādes milzumu</t>
  </si>
  <si>
    <t>sudraba vilnis uz zilo ar sprakšķi</t>
  </si>
  <si>
    <t>violeta krustiņa</t>
  </si>
  <si>
    <t>brokādes kronis krustiņa</t>
  </si>
  <si>
    <t>zeklta vilnis uz sarkano</t>
  </si>
  <si>
    <t>sudraba vītols ar sarkanu papild efektu</t>
  </si>
  <si>
    <t>sudraba aste uz sarkano peoniju ar sudraba pālmu papild efektu</t>
  </si>
  <si>
    <t>sarkans, orandžigs uz sarkanu uz zilo krizantēmu uz sarkanu zirnekļa grēdzenu</t>
  </si>
  <si>
    <t>sarkana peonija uz brokādi</t>
  </si>
  <si>
    <t>palmu papild efekts ar udens peoniju</t>
  </si>
  <si>
    <t>zils gredzens ar krizantēmu papild efektu</t>
  </si>
  <si>
    <t>sarkans mīrdzuma vītols</t>
  </si>
  <si>
    <t>sarkans tris zobēnu vīrs</t>
  </si>
  <si>
    <t>orandža vilnis uz zaļo</t>
  </si>
  <si>
    <t>brokādes kroņis uz krāsaino</t>
  </si>
  <si>
    <t>sprakšķigs vilnis uz sarkano</t>
  </si>
  <si>
    <t>sudraba kokos ar sprakķšīgo lietus papild efektu</t>
  </si>
  <si>
    <t>sprakšķigs udenskrītums</t>
  </si>
  <si>
    <t>sprakšķigs vītols krustiņa</t>
  </si>
  <si>
    <t>sudraba drākona gredzēns + sakrans krustiņa ( cilinders)</t>
  </si>
  <si>
    <t>sudraba sprakšķigs kokos ar sarkano mīrdzumu uz sudraba sprakšķigo tīgera asti</t>
  </si>
  <si>
    <t>Sprakšķiga krustiņa</t>
  </si>
  <si>
    <t>sudraba zirneklis ar papild mirdzumu</t>
  </si>
  <si>
    <t>sudraba spīdigs sarkana kokos krustiņa</t>
  </si>
  <si>
    <t>Sprakšķiga liela krizantēma</t>
  </si>
  <si>
    <t>brokādes kronis</t>
  </si>
  <si>
    <t>zils papild efekts sudraba gredzēns uz brokādes kronis ar gredzenu krizantēmu papild efektu</t>
  </si>
  <si>
    <t>brokākes novilcināta petarde uz zilo ar zaļo spīdigo papild efektu</t>
  </si>
  <si>
    <t>sprakšķigs koks ar krasainu mirdzumu papild efektu</t>
  </si>
  <si>
    <t xml:space="preserve">krizantēma uz sarkano klīstoša  zvaigzne </t>
  </si>
  <si>
    <t>lieli lietus vītols strūklaka</t>
  </si>
  <si>
    <t>spoku sudraba uz sarkano</t>
  </si>
  <si>
    <t>sarknas spīdums ar brokādes kriņi</t>
  </si>
  <si>
    <t>sudraba aste uz sudraba pālmu</t>
  </si>
  <si>
    <t>nishiki kamuro mirdzoša papild efekts</t>
  </si>
  <si>
    <t>sudraba spīdums</t>
  </si>
  <si>
    <t>zaļš gredzēns ar krizantēmu sprakķšigo krustiņu</t>
  </si>
  <si>
    <t>sarkans zaļš dzeltens kritošās lapas</t>
  </si>
  <si>
    <t>supērīga zirga aste</t>
  </si>
  <si>
    <t>zelta titāna vītols ar sprakšķigo papild efektu</t>
  </si>
  <si>
    <t>zelta vilnis ar violetu peoniju dubult gredzēns uz ipāšu orandžu mirdzuma papild efektu</t>
  </si>
  <si>
    <t>sudraba aste uz 1000 sarkanu vilni</t>
  </si>
  <si>
    <t>sudraba spīdums sarkans kokosa krustiņa</t>
  </si>
  <si>
    <t>krāsaian dālija ar mirdzuma papild efektu</t>
  </si>
  <si>
    <t>brokādes kokos ar mirdzuma papild efektu</t>
  </si>
  <si>
    <t>brokādes vainags uz zilo uz sarkano mirdzumu ar sarkano mirdzuma papild efektu</t>
  </si>
  <si>
    <t>neiznīcināms, plāna caurule, augstums 38cm, biezums 2,2mm</t>
  </si>
  <si>
    <t>neiznīcināms, plāna caurule, augstums 40cm, biezums 2,5mm</t>
  </si>
  <si>
    <t>neiznīcināms, plāna caurule, augstums 50cm, biezums 3 mm</t>
  </si>
  <si>
    <t>neiznīcināms, plāna caurule, augstums 60cm, biezums 3,5mm</t>
  </si>
  <si>
    <t>neiznīcināms, plāna caurule, augstums 80cm, biezums 4mm</t>
  </si>
  <si>
    <t>neiznīcināms, plāna caurule, augstums 90cm, biezums 4 mm</t>
  </si>
  <si>
    <t>sudraba uguns 5m - elektriskajs aizdedzinātājs</t>
  </si>
  <si>
    <t>sudraba uguns 8m - elektriskajs aizdedzinātājs</t>
  </si>
  <si>
    <t>sudraba strūklaka - bez dūmu, efekta augstums 2m, elektriskajs aizdedzinātājs</t>
  </si>
  <si>
    <t>sudraba strūklaka - bez dūmu, efekta augstums 3m, elektriskajs aizdedzinātājs</t>
  </si>
  <si>
    <t>sudraba strūklaka - bez dūmu, efekta augstums 5m, elektriskajs aizdedzinātājs</t>
  </si>
  <si>
    <t>sudraba strūklaka - bez dūmu, efekta augstums 6m, elektriskajs aizdedzinātājs</t>
  </si>
  <si>
    <t>Dubult sirds ar 8 gab sudraba strūklaku</t>
  </si>
  <si>
    <t>Arā uzdenkrītums 20m garums, sudraba krāsa (9m efekta augtums)</t>
  </si>
  <si>
    <t>elektīskajs palaidējs garums 30cm</t>
  </si>
  <si>
    <t>elektīskajs palaidējs, garums 100 cm</t>
  </si>
  <si>
    <t>elektīskajs palaidējs, garums 200 cm</t>
  </si>
  <si>
    <t>elektīskajs palaidējs, garums 300cm</t>
  </si>
  <si>
    <t>elektīskajs palaidējs, garums 500cm</t>
  </si>
  <si>
    <t>melns pulvēris, savienojūma daļa, gatāvots lai savienotu proddukcīju</t>
  </si>
  <si>
    <t>melns pulvēris, savienojūmakontaktligzda, gatāvots la savienotu produkcīju</t>
  </si>
  <si>
    <t>IGEN</t>
  </si>
  <si>
    <t>(bez PVN)</t>
  </si>
  <si>
    <t>(ar PVN)</t>
  </si>
  <si>
    <t>(jāaizpilda automātiski)</t>
  </si>
  <si>
    <t>ADR sertifikāts</t>
  </si>
  <si>
    <t>Iepakojums kastītē</t>
  </si>
  <si>
    <t>BAM sertifikāts</t>
  </si>
  <si>
    <t>Kopā</t>
  </si>
  <si>
    <t>kopā [kg]</t>
  </si>
  <si>
    <t>kopā [m3]</t>
  </si>
  <si>
    <t>Cena EUR pēc atlaides</t>
  </si>
  <si>
    <t>Cena CZK</t>
  </si>
  <si>
    <t>pēc atlaides</t>
  </si>
  <si>
    <t>pirms atlaides</t>
  </si>
  <si>
    <t>ilgums sekundēs</t>
  </si>
  <si>
    <t>Cenrāža atjaunināšanas datums:</t>
  </si>
  <si>
    <t>Valoda</t>
  </si>
  <si>
    <t>Kataloga numurs</t>
  </si>
  <si>
    <t>Klases briesmas</t>
  </si>
  <si>
    <t>maza iepakojuma</t>
  </si>
  <si>
    <t>Iespējama pārdošana vienā iepakojumā</t>
  </si>
  <si>
    <t>Produkta nosaukums</t>
  </si>
  <si>
    <t>Pasūtītas kastītes</t>
  </si>
  <si>
    <t>Kastīšu skaits paletē</t>
  </si>
  <si>
    <t>Efekta apraksts</t>
  </si>
  <si>
    <t>Situācija krājumā</t>
  </si>
  <si>
    <t>Ilgums</t>
  </si>
  <si>
    <t>liela iepakojuma</t>
  </si>
  <si>
    <t>UZ KRĀJUMA</t>
  </si>
  <si>
    <t>PĒDĒJĀS DAĻAS</t>
  </si>
  <si>
    <t>IZPĀRDOTS</t>
  </si>
  <si>
    <t>NEPIEEJAMS!</t>
  </si>
  <si>
    <t>Nospiediet šeit, lai izvēlētos iespēju!</t>
  </si>
  <si>
    <t>kas.</t>
  </si>
  <si>
    <t>Mazāk par 1 kastīte!</t>
  </si>
  <si>
    <t>PĒDĒJAIS</t>
  </si>
  <si>
    <t>Kā PVN maksātājs mēs par iepriekš minētajām cenām iekasējam 21% PVN.</t>
  </si>
  <si>
    <t>KAT F4 un T2 iegādei nepieciešama kvalificētas personas licence!</t>
  </si>
  <si>
    <t>Klientiem ar atlaidi vairāk nekā 50% minimālais pirkums ir 10 000 CZK.</t>
  </si>
  <si>
    <t>Visas cenas šajā cenrādī ir bez piegādes (EXW Incoterms 2010), ti, klientam pašam ir jāmaksā par transportu.</t>
  </si>
  <si>
    <t>Pasūtīt var tikai veselas eksporta kastes.</t>
  </si>
  <si>
    <t>Elementi, kas atzīmēti A kolonnā, piemēram, JĀ - pat pēc iesaiņošanas ir iespējams pasūtīt papildu 20%.</t>
  </si>
  <si>
    <t>Preces, kuru pašlaik nav noliktavā, nevar pasūtīt. Pasūtījuma lauks ir iezīmēts melnā krāsā.</t>
  </si>
  <si>
    <t>Izvēlieties transporta veidu</t>
  </si>
  <si>
    <t>Punktu aprēķins pēc ADR:</t>
  </si>
  <si>
    <t>Ja rezultāts ir mazāks par 1000, tas nozīmē, ka tas ir pārāk mazs transports bez ADR automašīnas.</t>
  </si>
  <si>
    <t>Jūs esat pasūtījis</t>
  </si>
  <si>
    <t>kastītes, kuras iesaiņosim uz paletēm.</t>
  </si>
  <si>
    <t>preču kastes ar bezmaksas iekraušanu.</t>
  </si>
  <si>
    <t>Jūs pasūtāt preci, kuras nav noliktavā</t>
  </si>
  <si>
    <t>noņemiet to no pasūtījuma!</t>
  </si>
  <si>
    <t>JĀ</t>
  </si>
  <si>
    <t>bilde</t>
  </si>
  <si>
    <t>tilpums m3</t>
  </si>
  <si>
    <t>maiņas kurss</t>
  </si>
  <si>
    <t>uz paliktņiem</t>
  </si>
  <si>
    <t>száguldó fütyülő tank /szökőkút+recsegő ágyú lövés/</t>
  </si>
  <si>
    <t xml:space="preserve">baby shark szökőkúttal, 3 külömböző színű cápa a kartonban /zöld, sárga, lila/
</t>
  </si>
  <si>
    <t>forgó piros/zöld/sárga effektus- földszínti effektus</t>
  </si>
  <si>
    <t>forgó színes és recsegő karika füst effektussal a végén</t>
  </si>
  <si>
    <t>nagy forgó piros/zöld/sárga effektus- földszínti effektus</t>
  </si>
  <si>
    <t>fütyülő forgó effektus recsegő csillagokkal</t>
  </si>
  <si>
    <t>forgó piros-recsegő effektus -  földszínti effektus</t>
  </si>
  <si>
    <t>recsegő effektus, hossz 20cm</t>
  </si>
  <si>
    <t>recsegő színes szemcsék</t>
  </si>
  <si>
    <t>recsegő ballonok 1g, átmerő 23mm</t>
  </si>
  <si>
    <t>fütyülő cső</t>
  </si>
  <si>
    <t>durranó madzagok</t>
  </si>
  <si>
    <t>színes szökőkút recsegő csillagokkal</t>
  </si>
  <si>
    <t>kis fehér stroboszkóp</t>
  </si>
  <si>
    <t>gyerek párty fáklya /színes/ világító karkötővel</t>
  </si>
  <si>
    <t>színes robbanó patronok /átmérő 9mm/</t>
  </si>
  <si>
    <t>fekete robbanó patronok /átmérő 14mm/</t>
  </si>
  <si>
    <t>arany repülő méhe</t>
  </si>
  <si>
    <t>fütyülő darázs</t>
  </si>
  <si>
    <t>ezüst forgó csóva</t>
  </si>
  <si>
    <t>zöld forgó csóva zöld villogó csillagokkal</t>
  </si>
  <si>
    <t>ezüst forgó csóva recsegő csillagokkal</t>
  </si>
  <si>
    <t>ezüst forgó csóva + piros gyönygyök fehŕ villogó középpel</t>
  </si>
  <si>
    <t>piros csóva piros hullámal és recsegő középpel</t>
  </si>
  <si>
    <t>fütyülő repülő piros fénnyel és recsegő csillagokkal /2db/+fütyülő repülő zöld fénnyel és recsegő villogó csillagokkal /2db/</t>
  </si>
  <si>
    <t>repülő/pulzáló színes effektus brokát koronával /1db/, repülő/pulzáló színes effektus recsegő csillagokkal</t>
  </si>
  <si>
    <t>fütyülő repülő csészealj zöld fénnyel</t>
  </si>
  <si>
    <t>fütyülő repülő csészealj csóvával+brokát korona, effektus magassága 45m</t>
  </si>
  <si>
    <t>gyerek naptár 8 ajándékot rejtett ablakkal dec. 24 - dec.31-ig</t>
  </si>
  <si>
    <t>arany csillagszóró, hossza 70cm, szikrázó anyagrész 55cm, átmérő 4,5mm</t>
  </si>
  <si>
    <t>arany csillagszóró, hossza 40cm, szikrázó anyagrész 32,5cm, átmérő 3,7mm</t>
  </si>
  <si>
    <t>arany csillagszóró, hossza 28cm, szikrázó anyagrész 20,5cm, átmérő 3mm</t>
  </si>
  <si>
    <t>arany csillagszóró, hossza 90cm, szikrázó anyagrész 61cm, átmérő 4,8mm</t>
  </si>
  <si>
    <t>arany csillagszóró, hossza 90cm, szikrázó anyagrész 55cm, átmérő 4,8mm</t>
  </si>
  <si>
    <t>arany csillagszóró, hossza 70cm, szikrázó anyagrész 45cm, átmérő 4,5mm</t>
  </si>
  <si>
    <t>arany csillagszóró, hossza 40cm, szikrázó anyagrész 26cm, átmérő 3,7mm</t>
  </si>
  <si>
    <t>arany csillagszóró, hossza 28cm, szikrázó anyagrész 17cm, átmérő 3mm</t>
  </si>
  <si>
    <t>arany csillagszóró, hossza 16cm, szikrázó anyagrész 8,5cm, átmérő 2,5mm</t>
  </si>
  <si>
    <t>neon csillagszórók /rózsaszín, sárga, zöld, kék/, hossza 28cm, szikrázó anyagrész 17cm, átmérő 3mm</t>
  </si>
  <si>
    <t>neon csillagszórók /rózsaszín, sárga, zöld, kék/, hossza 40cm, szikrázó anyagrész 26cm, átmérő 3,7mm</t>
  </si>
  <si>
    <t>recsegő arany csillagszórók hossza 40cm, szikrázó anyagrész 26cm, átmérő 3,7mm</t>
  </si>
  <si>
    <t>arany csillagszóró 1-es szám alakú</t>
  </si>
  <si>
    <t>arany csillagszóró szív alakú</t>
  </si>
  <si>
    <t>arany csillagszóró csillag alakú</t>
  </si>
  <si>
    <t>arany csillagszóró /mix 0-9 es szám, szív, csillag alakú/</t>
  </si>
  <si>
    <t>színes füstgolyók /piros, zöld, sárga, kék, fehér, lila/</t>
  </si>
  <si>
    <t>füstbomba /tubus/- kék, piros, sárga, zöld</t>
  </si>
  <si>
    <t>füstbomba /tubus/- narancssárga, lila, fehér, fekete</t>
  </si>
  <si>
    <t>vakondriasztó füstbomba /füst+bűz/</t>
  </si>
  <si>
    <t>füstbomba /tubus/- fehér színű</t>
  </si>
  <si>
    <t>füstbomba /tubus/- piros színű</t>
  </si>
  <si>
    <t>füstbomba /tubus/- kék színű</t>
  </si>
  <si>
    <t>füstbomba /tubus/- sárga színű</t>
  </si>
  <si>
    <t>füstbomba /tubus/- zöld színű</t>
  </si>
  <si>
    <t>füstbomba /tubus/- narancssárga színű</t>
  </si>
  <si>
    <t>füstbomba /tubus két oldalról füstöl/- fehér színű</t>
  </si>
  <si>
    <t>füstbomba /tubus két oldalról füstöl/- piros színű</t>
  </si>
  <si>
    <t>füstbomba /tubus két oldalról füstöl/- kék színű</t>
  </si>
  <si>
    <t>füstbomba /tubus/ rántó gyújtóval- fehér színű</t>
  </si>
  <si>
    <t>füstbomba /tubus/ rántó gyújtóval- piros színű</t>
  </si>
  <si>
    <t>füstbomba /tubus/ rántó gyújtóval- kék színű</t>
  </si>
  <si>
    <t>füstbomba /tubus/ rántó gyújtóval- sárga színű</t>
  </si>
  <si>
    <t>füstbomba /tubus/ rántó gyújtóval- zöld színű</t>
  </si>
  <si>
    <t>füstbomba /tubus/ rántó gyújtóval- narancssárga színű</t>
  </si>
  <si>
    <t>füstbomba /tubus/ rántó gyújtóval- fekete színű</t>
  </si>
  <si>
    <t>füstbomba /tubus két oldalról füstöl/ rántó gyújtóval- fehér színű</t>
  </si>
  <si>
    <t>füstbomba /tubus két oldalról füstöl/ rántó gyújtóval- piros színű</t>
  </si>
  <si>
    <t>füstbomba /tubus két oldalról füstöl/ rántó gyújtóval- kék színű</t>
  </si>
  <si>
    <t>füstbomba /tubus két oldalról füstöl/ rántó gyújtóval- sárga színű</t>
  </si>
  <si>
    <t>füstbomba /tubus két oldalról füstöl/ rántó gyújtóval- zöld színű</t>
  </si>
  <si>
    <t>füstbomba /tubus két oldalról füstöl/ rántó gyújtóval- narancssárga színű</t>
  </si>
  <si>
    <t>füstbomba /tubus két oldalról füstöl/ rántó gyújtóval- fekete színű</t>
  </si>
  <si>
    <t>dörzsfejes füstbomba- fehér színű</t>
  </si>
  <si>
    <t>dörzsfejes füstbomba- piros színű</t>
  </si>
  <si>
    <t>dörzsfejes füstbomba- kék színű</t>
  </si>
  <si>
    <t>dörzsfejes füstbomba- sárga színű</t>
  </si>
  <si>
    <t>dörzsfejes füstbomba- zöld színű</t>
  </si>
  <si>
    <t>dörzsfejes füstbomba- narancssárga színű</t>
  </si>
  <si>
    <t>dörzsfejes füstbomba- fekete színű</t>
  </si>
  <si>
    <t>dörzsfejes füstbomba- rózsa színű</t>
  </si>
  <si>
    <t>füstbomba indítókarral- fehér színű</t>
  </si>
  <si>
    <t>füstbomba indítókarral- piros színű</t>
  </si>
  <si>
    <t>füstbomba indítókarral- kék színű</t>
  </si>
  <si>
    <t>füstbomba indítókarral- sárga színű</t>
  </si>
  <si>
    <t>füstbomba indítókarral- zöld színű</t>
  </si>
  <si>
    <t>füstbomba indítókarral- narancssárga színű</t>
  </si>
  <si>
    <t>kézi füstfáklya rántó gyújtóval - sárga színű</t>
  </si>
  <si>
    <t>kézi füstfáklya rántó gyújtóval - zöld színű</t>
  </si>
  <si>
    <t>kézi füstfáklya rántó gyújtóval - narancssárga színű</t>
  </si>
  <si>
    <t>kézi füstfáklya rántó gyújtóval - fekete színű</t>
  </si>
  <si>
    <t>kézi füstfáklya - fehér színű</t>
  </si>
  <si>
    <t>kézi füstfáklya - piros színű</t>
  </si>
  <si>
    <t>kézi füstfáklya - kék színű</t>
  </si>
  <si>
    <t>kézi füstfáklya - sárga színű</t>
  </si>
  <si>
    <t>kézi füstfáklya - zöld színű</t>
  </si>
  <si>
    <t>kézi füstfáklya - narancssárga színű</t>
  </si>
  <si>
    <t>kézi füstfáklya - fekete színű</t>
  </si>
  <si>
    <t>fáklya piros fény+ fehér füst</t>
  </si>
  <si>
    <t>fáklya zöld fény+ fehér füst</t>
  </si>
  <si>
    <t>fáklya fehér fény+ fehér füst</t>
  </si>
  <si>
    <t>fáklya sárga fény+ fehér füst</t>
  </si>
  <si>
    <t>fáklya kék fény+ fehér füst</t>
  </si>
  <si>
    <t>piros fáklya</t>
  </si>
  <si>
    <t>színes fákla /piros, zöld, fehér, lila, sárga/</t>
  </si>
  <si>
    <t>fehér stroboszkóp</t>
  </si>
  <si>
    <t>erős piros villogó fény+fehér füst</t>
  </si>
  <si>
    <t>szökőkút mix, a csomag tartalmaz 2db f1u, 2db f1k</t>
  </si>
  <si>
    <t>szökőkút mix, a csomag tartalmaz 2db f2df, 2db f2dd</t>
  </si>
  <si>
    <t>színes fény /piros, kék, zöld/+recsegő mozsár</t>
  </si>
  <si>
    <t>színes csillagok, recsegő csillagok és fütyülő üstökösök</t>
  </si>
  <si>
    <t>6 külömböző színű effektus</t>
  </si>
  <si>
    <t>színes csillagok+erős recsegő csillagok</t>
  </si>
  <si>
    <t>erős recsegő csillagok</t>
  </si>
  <si>
    <t>színes effektus+recsegő csillagok</t>
  </si>
  <si>
    <t>multieffektusú</t>
  </si>
  <si>
    <t>recsegő szökőkút</t>
  </si>
  <si>
    <t>4 külömböző színű effektus</t>
  </si>
  <si>
    <t>forgó szökőkút</t>
  </si>
  <si>
    <t>nagy forgó szökőkút /effektus oldalra/fel/</t>
  </si>
  <si>
    <t>színes csillagok, 3m magas effektus</t>
  </si>
  <si>
    <t>dupla recsegő csillagok, 3m magas effektus</t>
  </si>
  <si>
    <t>ezüst csillagok, 4m magas effektus</t>
  </si>
  <si>
    <t>ezüst recsegő csillagok, 4m magas effektus</t>
  </si>
  <si>
    <t>színes csillagok, 4m magas effektus</t>
  </si>
  <si>
    <t>recsegő csillagok+színes csillagok, 5m magas effektus</t>
  </si>
  <si>
    <t>ezüst recsegő csillagok, 5m magas effektus</t>
  </si>
  <si>
    <t>ezüst csillagok, 5m magas effektus</t>
  </si>
  <si>
    <t>színes csillagok, 5m magas effektus</t>
  </si>
  <si>
    <t>ezüst recsegő csillagok, 6m magas effektus</t>
  </si>
  <si>
    <t>ezüst csillagok, 6m magas effektus</t>
  </si>
  <si>
    <t>színes csillagok, 6m magas effektus</t>
  </si>
  <si>
    <t>ezüst csillagok, 7m magas effektus</t>
  </si>
  <si>
    <t>színes csillagok, 7m magas effektus</t>
  </si>
  <si>
    <t>beltéri szökőkút, égő forgó gyertyákkal+happy birthday dallam</t>
  </si>
  <si>
    <t>ezüst csillagok /hideg láng/, hossza 10cm, élelmiszeri vizsga!</t>
  </si>
  <si>
    <t>ezüst csillagok /hideg láng/, hossza 20cm, élelmiszeri vizsga! ezüst papír 1db részére</t>
  </si>
  <si>
    <t>ezüst csillagok /hideg láng/, hossza 30cm, élelmiszeri vizsga! arany papír 1db részére</t>
  </si>
  <si>
    <t>ezüst csillagok /hideg láng/, hossza 12cm, élelmiszeri vizsga! arany papír 1db részére</t>
  </si>
  <si>
    <t>ezüst csillagok /hideg láng/, hossza 20cm, élelmiszeri vizsga! arany papír 1db részére</t>
  </si>
  <si>
    <t xml:space="preserve">ezüst csillagok /hideg láng/, hossza 12cm, élelmiszeri vizsga! a csomag a 0 számot tartalmazza </t>
  </si>
  <si>
    <t xml:space="preserve">ezüst csillagok /hideg láng/, hossza 12cm, élelmiszeri vizsga! a csomag az 1 számot tartalmazza </t>
  </si>
  <si>
    <t xml:space="preserve">ezüst csillagok /hideg láng/, hossza 12cm, élelmiszeri vizsga! a csomag a 2 számot tartalmazza </t>
  </si>
  <si>
    <t xml:space="preserve">ezüst csillagok /hideg láng/, hossza 12cm, élelmiszeri vizsga! a csomag a 3 számot tartalmazza </t>
  </si>
  <si>
    <t xml:space="preserve">ezüst csillagok /hideg láng/, hossza 12cm, élelmiszeri vizsga! a csomag a 4 számot tartalmazza </t>
  </si>
  <si>
    <t xml:space="preserve">ezüst csillagok /hideg láng/, hossza 12cm, élelmiszeri vizsga! a csomag az 5 számot tartalmazza </t>
  </si>
  <si>
    <t xml:space="preserve">ezüst csillagok /hideg láng/, hossza 12cm, élelmiszeri vizsga! a csomag a 6 számot tartalmazza </t>
  </si>
  <si>
    <t xml:space="preserve">ezüst csillagok /hideg láng/, hossza 12cm, élelmiszeri vizsga! a csomag a 7 számot tartalmazza </t>
  </si>
  <si>
    <t xml:space="preserve">ezüst csillagok /hideg láng/, hossza 12cm, élelmiszeri vizsga! a csomag a 8 számot tartalmazza </t>
  </si>
  <si>
    <t xml:space="preserve">ezüst csillagok /hideg láng/, hossza 12cm, élelmiszeri vizsga! a csomag a 9 számot tartalmazza </t>
  </si>
  <si>
    <t xml:space="preserve">ezüst csillagok /hideg láng/, hossza 12cm, élelmiszeri vizsga! mix csomag  0-9 számot tartalmazza </t>
  </si>
  <si>
    <t>40cm hossz, fényes színes papírdarabkák</t>
  </si>
  <si>
    <t>40cm hossz , ezüst szívecskék+rózsa szirmok</t>
  </si>
  <si>
    <t>40cm hossz, eurós bankjegyek</t>
  </si>
  <si>
    <t>80cm hossz, fényes színes papírdarabkák</t>
  </si>
  <si>
    <t>80cm hossz, fényes arany papírdarabkák</t>
  </si>
  <si>
    <t>80cm hossz, eurós bankjegyek</t>
  </si>
  <si>
    <t>20 lövet színes gömbök, 44cm hosszú</t>
  </si>
  <si>
    <t>40 lövet színes gömbök, 70cm hosszú</t>
  </si>
  <si>
    <t>10 lövet színes gömbök, 54cm hosszú</t>
  </si>
  <si>
    <t>20 lövet recsegő üstökösök, 54cm hosszú</t>
  </si>
  <si>
    <t>20 lövet recsegő üstökösök, 70cm hosszú</t>
  </si>
  <si>
    <t>20 lövet színes gömbök, 60cm hosszú</t>
  </si>
  <si>
    <t>10 lövet színes gömbök+10 lövet recsegő üstökösök 65cm hosszú</t>
  </si>
  <si>
    <t>20 lövetű római gyertya mix (r5420k-2db,r6020b,r6520bk,r7020bk-2db), 60cm hosszú</t>
  </si>
  <si>
    <t>20 lövetű római gyertya mix (r7020k,r6020b,r6520bk,r7020bk 3 daradjával), 70cm hosszú</t>
  </si>
  <si>
    <t>8 lövet ezüst csóva+titánium robbanás recsegő csillagokkal, 58cm hosszú</t>
  </si>
  <si>
    <t>8 lövet, 3 külömböző effektus felváltva minden lövés után, 60cm hosszú</t>
  </si>
  <si>
    <t>8 lövetű római gyertya mix (r5808d, r6008e, r6008k,r7508e 1 daradjával), 60cm hosszú</t>
  </si>
  <si>
    <t>8 lövet ezüst fütyülő csóva, 65cm hosszú</t>
  </si>
  <si>
    <t>8 lövet, 3 külömböző effektus felváltva minden lövés után, 75cm hosszú</t>
  </si>
  <si>
    <t>8 lövet, 4 külömböző színű effektus, 75cm hosszú</t>
  </si>
  <si>
    <t>8 lövet, brokát csóva+brokát korona, 75cm hosszú</t>
  </si>
  <si>
    <t>római gyertya 91 lövet, 4 külömböző színű effektus</t>
  </si>
  <si>
    <t>ezüst mozsár+piros csóva titánium robbanással</t>
  </si>
  <si>
    <t>színes fény ejtőernyőn /2db/</t>
  </si>
  <si>
    <t>fütyülő csóva</t>
  </si>
  <si>
    <t>4 külömböző színű effektus-hang nélkül</t>
  </si>
  <si>
    <t>ezüst mozsarak+piros csóvával titánium robbanással</t>
  </si>
  <si>
    <t>sikoly+szökőkút+mozsár</t>
  </si>
  <si>
    <t>6 külömböző színű effektus, átmerő 50mm /top minőség/</t>
  </si>
  <si>
    <t>18 külömböző színű effektus, átmerő 50mm /henger bomba/-profi minőség</t>
  </si>
  <si>
    <t>zöld forgó szökőkút recsegő csillagokkal</t>
  </si>
  <si>
    <t>piros fény + erősen recsegő csillagok</t>
  </si>
  <si>
    <t>zöld fény + erősen recsegő csillagok</t>
  </si>
  <si>
    <t>dörzsfejes petárda kicsi, robbanás ereje 112db 8m ről</t>
  </si>
  <si>
    <t>dörzsfejes petárda nagy, robbanás ereje 116db 8m ről</t>
  </si>
  <si>
    <t>dörzsfejes petárda nagy/2 durranás/, robbanás ereje 116+116db 8m ről</t>
  </si>
  <si>
    <t>dörzsfejes petárda robbanás ereje 119db 15m ről eu ban gyártott, műanyag lezáró</t>
  </si>
  <si>
    <t>dörzsfejes petárda robbanás ereje 120db 15m ről eu ban gyártott, műanyag lezáró</t>
  </si>
  <si>
    <t>robbanás ereje 114db 8 méterről</t>
  </si>
  <si>
    <t>robbanás ereje 117db 8 méterről</t>
  </si>
  <si>
    <t>robbanás ereje 119db 8 méterről</t>
  </si>
  <si>
    <t>robbanás ereje 120db 8m ről eu ban gyártott, műanyag lezáró</t>
  </si>
  <si>
    <t>robbanás ereje 120db 8m ről /fekete poros petárda/</t>
  </si>
  <si>
    <t>robbanás ereje 120db 15m ről eu ban gyártott, műanyag lezáró</t>
  </si>
  <si>
    <t>robbanás ereje 117db 15 méterről zöld fénnyel az elején</t>
  </si>
  <si>
    <t>robbanás ereje 118db 15m ről, műanyag lezáró</t>
  </si>
  <si>
    <t>robbanás ereje 120db 15 méterről</t>
  </si>
  <si>
    <t>robbanás ereje 120db 15 méterről zöld fénnyel az elején</t>
  </si>
  <si>
    <t>30g hatóanyag, 142db 15m ről, eu ban gyártott</t>
  </si>
  <si>
    <t>50g hatóanyag, 159db 15m ről, eu ban gyártott</t>
  </si>
  <si>
    <t>60g hatóanyag, 160db 15m ről, eu ban gyártott</t>
  </si>
  <si>
    <t>100g hatóanyag, 170db 15m ről, eu ban gyártott</t>
  </si>
  <si>
    <t>recsegő ballonok 3g, átmerő 38mm</t>
  </si>
  <si>
    <t>recsegő ballonok 15g, átmerő 38mm</t>
  </si>
  <si>
    <t>recsegő ballonok 15g /dupla effektus/, átmerő 42mm</t>
  </si>
  <si>
    <t>70 lövet, hossza 16cm, kis méretű petárdákat tartalmazó szőnyeg</t>
  </si>
  <si>
    <t>200 lövet, hossza 62cm, közepes méretű petárdákat tartalmazó szőnyeg</t>
  </si>
  <si>
    <t>500 lövet, hossza 155cm, közepes méretű petárdákat tartalmazó szőnyeg</t>
  </si>
  <si>
    <t>1000 lövet, hossza 310cm, közepes méretű petárdákat tartalmazó szőnyeg</t>
  </si>
  <si>
    <t>1750 lövet kis petárda+200 lövet közepes petárda+19 lövet nagy méretű petárda, hossza 5,25m</t>
  </si>
  <si>
    <t>3500 lövet kis petárda+400 lövet közepes petárda+19 lövet nagy méretű petárda, hossza 10,5m</t>
  </si>
  <si>
    <t>jelpatron 15mm robbanással</t>
  </si>
  <si>
    <t>fütyülő rakéta robbanással</t>
  </si>
  <si>
    <t>ejtőernyős rakéta</t>
  </si>
  <si>
    <t>fütyülő csóva+színes gömbök</t>
  </si>
  <si>
    <t>fütyülő csóva+ezüst villogó csillagok</t>
  </si>
  <si>
    <t>42cm magas, színes gömbök</t>
  </si>
  <si>
    <t>72cm magas, színes gömbök</t>
  </si>
  <si>
    <t>nagy fütyülő rakéta robbanással és recsegő csillagokkal</t>
  </si>
  <si>
    <t>6 külömböző színű effektus- hang nélkül</t>
  </si>
  <si>
    <t>ezüst csóva titánium durranással és recsegő csillagokkal /2g hatóanyag/</t>
  </si>
  <si>
    <t>7 külömböző színű effektus</t>
  </si>
  <si>
    <t>9 külömböző színű effektus</t>
  </si>
  <si>
    <t>21 külömböző színű effektus</t>
  </si>
  <si>
    <t>33 külömböző színű effektus</t>
  </si>
  <si>
    <t>5 külömböző színű effektus</t>
  </si>
  <si>
    <t>ezüst csóva titánium durranással és recsegő csillagokkal /5g hatóanyag/</t>
  </si>
  <si>
    <t>11 külömböző színű effektus</t>
  </si>
  <si>
    <t>12 külömböző színű effektus</t>
  </si>
  <si>
    <t>18 külömböző színű effektus</t>
  </si>
  <si>
    <t>170cm magas, a legjobb minőségű króm rakéták, 2 külömböző színű effektus</t>
  </si>
  <si>
    <t>170cm magas, a legjobb minőségű króm rakéták, 3 külömböző színű effektus</t>
  </si>
  <si>
    <t>dumbum póló, anyagminőség 180g</t>
  </si>
  <si>
    <t>dumbum galléros póló anyagminőség 225g</t>
  </si>
  <si>
    <t>dumbum polár dzseki, anyagminőség 600g</t>
  </si>
  <si>
    <t>dumbum sapka</t>
  </si>
  <si>
    <t>dumbum téli sapka</t>
  </si>
  <si>
    <t>dumbum póló m - limitált kiádás</t>
  </si>
  <si>
    <t>dumbum póló l - limitált kiádás</t>
  </si>
  <si>
    <t>dumbum póló xl - limitált kiádás</t>
  </si>
  <si>
    <t>dumbum póló xxl - limitált kiádás</t>
  </si>
  <si>
    <t>dumbum galléros póló m - limitált kiadás</t>
  </si>
  <si>
    <t>dumbum galléros póló l - limitált kiadás</t>
  </si>
  <si>
    <t>dumbum galléros póló xl - limitált kiadás</t>
  </si>
  <si>
    <t>dumbum galléros póló xxl - limitált kiadás</t>
  </si>
  <si>
    <t>dumbum mellény softshell m - limitált kiádás</t>
  </si>
  <si>
    <t>dumbum mellény softshell l - limitált kiádás</t>
  </si>
  <si>
    <t>dumbum mellény softshell xl - limitált kiádás</t>
  </si>
  <si>
    <t>dumbum mellény softshell xxl - limitált kiádás</t>
  </si>
  <si>
    <t>dumbum polár dzseki m - limitált kiadás</t>
  </si>
  <si>
    <t>dumbum polár dzseki l - limitált kiadás</t>
  </si>
  <si>
    <t>dumbum polár dzseki xl - limitált kiadás</t>
  </si>
  <si>
    <t>dumbum polár dzseki xxl - limitált kiadás</t>
  </si>
  <si>
    <t>dumbum melegítő kapucnival m - limitált kiadás</t>
  </si>
  <si>
    <t>dumbum melegítő kapucnival l - limitált kiadás</t>
  </si>
  <si>
    <t>dumbum melegítő kapucnival xl - limitált kiadás</t>
  </si>
  <si>
    <t>dumbum melegítő kapucnival xxl - limitált kiadás</t>
  </si>
  <si>
    <t>dumbum sapka - limitált kiádás</t>
  </si>
  <si>
    <t>dumbum téli sapka - limitált kiádás</t>
  </si>
  <si>
    <t>energiaital 250ml, eu ban gyártott</t>
  </si>
  <si>
    <t>dumbum pezsgő /bohemia sekt/ - 0,2l</t>
  </si>
  <si>
    <t>méret 200x85cm /roll up dumbum/ - szabadonálló</t>
  </si>
  <si>
    <t>méret 200x85cm /roll up no sound fireworks/ - szabadonálló</t>
  </si>
  <si>
    <t>méret 200x85cm /roll up signature range/ - szabadonálló</t>
  </si>
  <si>
    <t>méret 84x60cm - szabadonálló külső reklám</t>
  </si>
  <si>
    <t>méret 84x60cm /álló/</t>
  </si>
  <si>
    <t>méret 98x68cm /fekvő/</t>
  </si>
  <si>
    <t>öngyújtó turbólánggal dumbum</t>
  </si>
  <si>
    <t>usb öngyújtó dumbum</t>
  </si>
  <si>
    <t>matrica dumbum, méret 17x15cm</t>
  </si>
  <si>
    <t>bevásárló táska klásek/dumbum, méret 50x40cm</t>
  </si>
  <si>
    <t>bevásárló táska dumbum, méret 45x34cm</t>
  </si>
  <si>
    <t>kerámia csésze dumbum</t>
  </si>
  <si>
    <t>egérpad dumbum</t>
  </si>
  <si>
    <t>esernyő dumbum</t>
  </si>
  <si>
    <t>autóillatosító, invictus</t>
  </si>
  <si>
    <t>bemutató állvány csillagszórókra /üres/</t>
  </si>
  <si>
    <t>indító berendezés távvezérléssel /4 pozíció/+ távirányító+4db izzógyújtó</t>
  </si>
  <si>
    <t>2mm zöld gyújtózsinór, csomagolás 5m</t>
  </si>
  <si>
    <t>ezüst fütyülő üstökösök durranással</t>
  </si>
  <si>
    <t>színes és recsegő üstökösök</t>
  </si>
  <si>
    <t>10 külömböző színű effektus</t>
  </si>
  <si>
    <t>20 külömböző színű effektus</t>
  </si>
  <si>
    <t>3 külömböző színű effektus</t>
  </si>
  <si>
    <t>ezüst mozsár piros csóvával és titánium robbanással</t>
  </si>
  <si>
    <t>ezüst mozsár piros csóvával és titánium robbanással /strong edition/</t>
  </si>
  <si>
    <t>piros hullám recsegő középpel, ezüst mozsár piros csóvával és titánium robbanással</t>
  </si>
  <si>
    <t>ezüst hullám zöld végekkel és villogó középpel, narancsárga csóva narancssárga gyönygyökkel és recsegő csillagokkal</t>
  </si>
  <si>
    <t>brokát korona lila végekkel</t>
  </si>
  <si>
    <t>kék pálma arany villogó középpel</t>
  </si>
  <si>
    <t>8 külömböző színű effektus</t>
  </si>
  <si>
    <t>9 külömböző színű effektus titánium szalut sortűzzel a végén</t>
  </si>
  <si>
    <t>5 külömböző színű effektus /sortűz 10-10 lövettel/</t>
  </si>
  <si>
    <t>13 külömböző színű effektus</t>
  </si>
  <si>
    <t>10 külömböző színű effektus, 64 lövet /egyenes mozsár/, 40 lövet /ferde mozsár/, 18 lövet /w mozsár/, 12 lövet /v mozsár/</t>
  </si>
  <si>
    <t>16 külömböző színű effektus</t>
  </si>
  <si>
    <t>24 külömböző színű effektus</t>
  </si>
  <si>
    <t>32 külömböző színű effektus</t>
  </si>
  <si>
    <t>40 külömböző színű effektus</t>
  </si>
  <si>
    <t>26 külömböző színű effektus</t>
  </si>
  <si>
    <t>39 külömböző színű effektus</t>
  </si>
  <si>
    <t>52 külömböző színű effektus</t>
  </si>
  <si>
    <t>80 külömböző színű effektus</t>
  </si>
  <si>
    <t>5 külömböző színű effektus, kézzel gyártott</t>
  </si>
  <si>
    <t>fütyülő üstökös</t>
  </si>
  <si>
    <t>7 külömböző színű effektus - hang nélkül</t>
  </si>
  <si>
    <t>7 külömböző színű effektus, kézzel gyártott</t>
  </si>
  <si>
    <t>7 külömböző színű effektus /signature minőség/,  a karton külömböző évszámú matricát tartalmaz</t>
  </si>
  <si>
    <t>28 lövet arany brokát korona piros/kék végekkel, 21 lövet ezüst mozsár piros csóvával és titánium robbanással</t>
  </si>
  <si>
    <t>14 külömböző színű effektus</t>
  </si>
  <si>
    <t>11 külömböző színű effektus felváltva minden lövés után</t>
  </si>
  <si>
    <t>40 lövet arany brokát korona piros/kék végekkel, 48 lövet ezüst mozsár piros csóvával és titánium robbanással</t>
  </si>
  <si>
    <t>6 külömböző kék effektus + 3 sor ezüst mozsár piros csóvával és titánium robbanással</t>
  </si>
  <si>
    <t>28 külömböző színű effektus</t>
  </si>
  <si>
    <t>30 külömböző színű effektus</t>
  </si>
  <si>
    <t>4 külömböző színű effektus felváltva minden lövés után</t>
  </si>
  <si>
    <t>brokát csóva+brokát korona recsegő csillagokkal</t>
  </si>
  <si>
    <t>ezüst mozsár piros csóvával+ezűst krizantém</t>
  </si>
  <si>
    <t>ezüst csóva+ezüst pálma lila középpel</t>
  </si>
  <si>
    <t>teljesszínű csokor recsegő csillagokkal</t>
  </si>
  <si>
    <t>5 külömböző színű effektus - hang nélkül</t>
  </si>
  <si>
    <t>5 külömböző színű effektus felváltva minden lövés után</t>
  </si>
  <si>
    <t>ezüst mozsarak piros csóvával és titánium robbanással</t>
  </si>
  <si>
    <t>kék csóva fehér villogó fűzfával</t>
  </si>
  <si>
    <t>6 külömböző színű effektus felváltva minden lövés után</t>
  </si>
  <si>
    <t>7 külömböző színű effektus felváltva minden lövés után</t>
  </si>
  <si>
    <t>piros csóva fehér villogó csillagokkal</t>
  </si>
  <si>
    <t>színes csóva színes gyönygyökkel és piros/arany késleltetett középpel</t>
  </si>
  <si>
    <t>piros villogó fűzfa</t>
  </si>
  <si>
    <t>arany villogó fűzfa</t>
  </si>
  <si>
    <t>8 külömböző színű effektus felváltva minden lövés után</t>
  </si>
  <si>
    <t>15 külömböző színű effektus</t>
  </si>
  <si>
    <t>10 külömböző színű effektus, kézzel gyártott</t>
  </si>
  <si>
    <t>10 külömböző színű effektus, a karton külömböző évszámú matricát tartalmaz</t>
  </si>
  <si>
    <t>ezüst csóva titánium robbanással</t>
  </si>
  <si>
    <t>fehér mozsár piros csóvával és titánium robbanással /minden mozsár 10 lövetet tartalmaz/</t>
  </si>
  <si>
    <t>ezüst recsegő szökőkút+8 külömböző színű effektus</t>
  </si>
  <si>
    <t>7 külömböző színű effektus titánium szalut sortűzzel a végén</t>
  </si>
  <si>
    <t>42 külömböző színű effektus</t>
  </si>
  <si>
    <t>19 külömböző színű effektus</t>
  </si>
  <si>
    <t>34 külömböző színű effektus</t>
  </si>
  <si>
    <t>22 külömböző színű effektus</t>
  </si>
  <si>
    <t>2 x szökőkút + 25 külömböző színű effektus</t>
  </si>
  <si>
    <t>17 külömböző színű effektus</t>
  </si>
  <si>
    <t>38 külömböző színű effektus</t>
  </si>
  <si>
    <t>piros csóva</t>
  </si>
  <si>
    <t>zöld csóva</t>
  </si>
  <si>
    <t>sárga csóva</t>
  </si>
  <si>
    <t>arany csóva</t>
  </si>
  <si>
    <t>piros villogó csóva</t>
  </si>
  <si>
    <t>zöld villogó csóva</t>
  </si>
  <si>
    <t>ezüst villogó csóva</t>
  </si>
  <si>
    <t>recsegő csóva</t>
  </si>
  <si>
    <t>arany brokát mozsár</t>
  </si>
  <si>
    <t>piros zöld crozettek</t>
  </si>
  <si>
    <t>Gyerek tüzijáték</t>
  </si>
  <si>
    <t>Repülő tárgyak</t>
  </si>
  <si>
    <t>Családi csomagok</t>
  </si>
  <si>
    <t>Exkluzív csillagszórók</t>
  </si>
  <si>
    <t>Csillagszórók</t>
  </si>
  <si>
    <t>Speciális csillagszórók</t>
  </si>
  <si>
    <t>Füstbomba gyújtózsinórral</t>
  </si>
  <si>
    <t>Füstbomba rántógyújtóval</t>
  </si>
  <si>
    <t>Füstbomba dörzsfejes</t>
  </si>
  <si>
    <t>Füstbomba indítókarral</t>
  </si>
  <si>
    <t>Füstfáklyák</t>
  </si>
  <si>
    <t>Fáklyák</t>
  </si>
  <si>
    <t>Stroboszkópok</t>
  </si>
  <si>
    <t>Szökőkutak</t>
  </si>
  <si>
    <t>Vulkánok</t>
  </si>
  <si>
    <t>Beltéri szökőkutak</t>
  </si>
  <si>
    <t>Római gyergyák 7mm</t>
  </si>
  <si>
    <t>Római gyergyák 10mm</t>
  </si>
  <si>
    <t>Római gyergyák 20mm</t>
  </si>
  <si>
    <t>Római gyergyák 30mm</t>
  </si>
  <si>
    <t>Római gyergya telepek</t>
  </si>
  <si>
    <t>Vetőcsövek f2</t>
  </si>
  <si>
    <t>Vetőcső (3 lövet), 20mm mozsár</t>
  </si>
  <si>
    <t>Vetőcső (3 lövet), 30mm mozsár</t>
  </si>
  <si>
    <t>Vetőcsövek f3</t>
  </si>
  <si>
    <t>Szökőkut+mozsár</t>
  </si>
  <si>
    <t>Golyósbomba szett mozsárral</t>
  </si>
  <si>
    <t>Dörzsfejes petárdák</t>
  </si>
  <si>
    <t>Gyújtózsinóros petárdák f2</t>
  </si>
  <si>
    <t>Gyújtózsinóros petárdák f3</t>
  </si>
  <si>
    <t>Gyújtózsinóros petárdák p1</t>
  </si>
  <si>
    <t>Gyújtózsinóros petárdák f4+t2</t>
  </si>
  <si>
    <t>Petárda telepek</t>
  </si>
  <si>
    <t>Rakéta szettek f2-1.4g</t>
  </si>
  <si>
    <t>Rakéta szettek 1.3g+1.4g</t>
  </si>
  <si>
    <t>Ruhák</t>
  </si>
  <si>
    <t>Ruhák dumbum limitált edíció</t>
  </si>
  <si>
    <t>Reklám cikkek</t>
  </si>
  <si>
    <t>Bemutató álványok</t>
  </si>
  <si>
    <t>Egyéb</t>
  </si>
  <si>
    <t>Rakéta telepek 100 lövet, 8mm mozsár-1.4g</t>
  </si>
  <si>
    <t>Rakéta telepek 300 lövet, 8mm mozsár-1.4g</t>
  </si>
  <si>
    <t>Rakéta telepek 1000 lövet, 8mm mozsár-1.4g</t>
  </si>
  <si>
    <t>Telepek 100 lövet, 8mm mozsár-1.4g</t>
  </si>
  <si>
    <t>Telepek 16 lövet, 14mm mozsár-1.4g</t>
  </si>
  <si>
    <t>Telepek 100 lövet, 14mm mozsár-1.3g</t>
  </si>
  <si>
    <t>Telepek 100 lövet, 14mm mozsár-1.4g</t>
  </si>
  <si>
    <t>Telepek 208 lövet, 14mm egyenes+ferde mozsár-1.4g</t>
  </si>
  <si>
    <t>Telepek 9 lövet, 20mm mozsár-1.3g</t>
  </si>
  <si>
    <t>Telepek 9 lövet, 20mm mozsár-1.4g</t>
  </si>
  <si>
    <t>Telepek 16 lövet, 20mm mozsár-1.3g</t>
  </si>
  <si>
    <t>Telepek 16 lövet, 20mm mozsár-1.4g</t>
  </si>
  <si>
    <t>Telepek 16 lövet, 20mm ferde mozsár-1.3g</t>
  </si>
  <si>
    <t>Telepek 25 lövet, 20mm mozsár-1.3g</t>
  </si>
  <si>
    <t>Telepek 25 lövet, 20mm mozsár-1.4g</t>
  </si>
  <si>
    <t>Telepek 49 lövet, 20mm mozsár-1.3g</t>
  </si>
  <si>
    <t>Telepek 49 lövet, 20mm mozsár-1.4g</t>
  </si>
  <si>
    <t>Telepek 49 lövet, 20mm ferde mozsár-1.3g</t>
  </si>
  <si>
    <t>Telepek 49 lövet, 20mm ferde mozsár-1.4g</t>
  </si>
  <si>
    <t>Telepek 64 lövet, 20mm mozsár-1.3g</t>
  </si>
  <si>
    <t>Telepek 64 lövet, 20mm mozsár-1.4g</t>
  </si>
  <si>
    <t>Telepek 66 lövet, 20mm i+v+w+ferde mozsár-1.3g</t>
  </si>
  <si>
    <t>Telepek 66 lövet, 20mm i+v+w+ferde mozsár-1.4g</t>
  </si>
  <si>
    <t>Telepek 90 lövet, 20mm mozsár-1.3g</t>
  </si>
  <si>
    <t>Telepek 100 lövet, 20mm mozsár-1.4g</t>
  </si>
  <si>
    <t>Telepek 100 lövet, 20mm mozsár multiirányú-1.4g</t>
  </si>
  <si>
    <t>Telepek 100 lövet, 20mm ferde mozsár-1.3g</t>
  </si>
  <si>
    <t>Telepek 130 lövet, 20mm mozsár-1.3g</t>
  </si>
  <si>
    <t>Telepek 134 lövet, 20mm i+v+w+ferde mozsár-1.3g</t>
  </si>
  <si>
    <t>Telepek 135 lövet, 20mm ferde mozsár-1.3g</t>
  </si>
  <si>
    <t>Telepek 200 lövet, 20mm mozsár-1.3g</t>
  </si>
  <si>
    <t>Telepek 200 lövet, 20mm mozsár multiirányú-1.3g</t>
  </si>
  <si>
    <t>Összetett tüzijáték 20mm - f2 - 1.4g</t>
  </si>
  <si>
    <t>Összetett tüzijáték 20mm /védő csomagolásban/- f2 - 1.4g</t>
  </si>
  <si>
    <t>Összetett tüzijáték 20mm - f2 - 1.3g</t>
  </si>
  <si>
    <t>Összetett tüzijáték 20mm /védő csomagolásban/- f2 - 1.3g</t>
  </si>
  <si>
    <t>Összetett tüzijáték - f3 - 1.3g</t>
  </si>
  <si>
    <t>Összetett tüzijáték /védő csomagolásban/- f3 - 1.3g</t>
  </si>
  <si>
    <t xml:space="preserve">Kerti tüzijáték - 2 modul 2 műanyag csatlakozóval /start+vége/ a soros átkötéshez - 1.3g </t>
  </si>
  <si>
    <t>Telepek 16 lövet, 25mm mozsár-1.3g</t>
  </si>
  <si>
    <t>Telepek 16 lövet, 25mm mozsár-1.4g</t>
  </si>
  <si>
    <t>Telepek 25 lövet, 25mm mozsár-1.3g</t>
  </si>
  <si>
    <t>Telepek 25 lövet, 25mm mozsár-1.4g</t>
  </si>
  <si>
    <t>Telepek 25 lövet, 25mm ferde mozsár-1.3g</t>
  </si>
  <si>
    <t>Telepek 25 lövet, 25mm ferde mozsár-1.4g</t>
  </si>
  <si>
    <t>Telepek 48 lövet, 25mm egyenes+ferde mozsár-1.3g</t>
  </si>
  <si>
    <t>Telepek 49 lövet, 25mm mozsár- f2 - 1.3g</t>
  </si>
  <si>
    <t>Telepek 49 lövet, 25mm mozsár- f2 - 1.4g</t>
  </si>
  <si>
    <t>Telepek 49 lövet, 25mm mozsár- f3 - 1.3g</t>
  </si>
  <si>
    <t>Telepek 49 lövet, 25mm ferde mozsár-1.3g</t>
  </si>
  <si>
    <t>Telepek 64 lövet, 25mm mozsár multiirányú-1.3g</t>
  </si>
  <si>
    <t>Telepek 88 lövet, 25mm mozsár-1.3g</t>
  </si>
  <si>
    <t>Telepek 89 lövet, 25mm i+w+ferde mozsár-1.3g</t>
  </si>
  <si>
    <t>Telepek 100 lövet, 25mm mozsár-1.3g</t>
  </si>
  <si>
    <t>Összetett tüzijáték 25mm - f2 - 1.4g</t>
  </si>
  <si>
    <t>Összetett tüzijáték 25mm /védő csomagolásban/- f2 - 1.4g</t>
  </si>
  <si>
    <t>Összetett tüzijáték 25mm - f2 - 1.3g</t>
  </si>
  <si>
    <t>Összetett tüzijáték 25mm /védő csomagolásban/- f2 - 1.3g</t>
  </si>
  <si>
    <t>Összetett tüzijáték 25mm - f3 - 1.3g</t>
  </si>
  <si>
    <t>Összetett tüzijáték 25mm /védő csomagolásban/- f3 - 1.3g</t>
  </si>
  <si>
    <t>Telepek 300 lövet, 25mm mozsár-1.3g</t>
  </si>
  <si>
    <t>Telepek 16 lövet, 30mm mozsár-1.3g</t>
  </si>
  <si>
    <t>Telepek 16 lövet, 30mm mozsár-1.4g</t>
  </si>
  <si>
    <t>Telepek 19 lövet, 30mm mozsár-1.3g</t>
  </si>
  <si>
    <t>Telepek 19 lövet, 30mm mozsár-1.4g</t>
  </si>
  <si>
    <t>Telepek 25 lövet, 30mm mozsár f3 - 1.3g</t>
  </si>
  <si>
    <t>Telepek 25 lövet, 30mm mozsár f2 - 1.4g</t>
  </si>
  <si>
    <t>Telepek 25 lövet, 30mm mozsár-1.3g</t>
  </si>
  <si>
    <t>Telepek 25 lövet, 30mm mozsár-1.4g</t>
  </si>
  <si>
    <t>Telepek 25 lövet, 30mm ferde mozsár-1.3g</t>
  </si>
  <si>
    <t>Telepek 25 lövet, 30mm ferde mozsár-1.4g</t>
  </si>
  <si>
    <t>Telepek 29 lövet, 30mm v+w+ferde mozsár-1.3g</t>
  </si>
  <si>
    <t>Telepek 29 lövet, 30mm v+w+ferde mozsár-1.4g</t>
  </si>
  <si>
    <t>Telepek 36 lövet, 30mm mozsár-1.3g</t>
  </si>
  <si>
    <t>Telepek 36 lövet, 30mm ferde mozsár-1.3g</t>
  </si>
  <si>
    <t>Telepek 49 lövet, 30mm mozsár-1.3g</t>
  </si>
  <si>
    <t>Telepek 49 lövet, 30mm ferde mozsár-1.3g</t>
  </si>
  <si>
    <t>Telepek 50 lövet, 30mm mozsár-1.3g</t>
  </si>
  <si>
    <t>Telepek 64 lövet, 30mm mozsár-1.3g</t>
  </si>
  <si>
    <t>Telepek 64 lövet, 30mm ferde mozsár-1.3g</t>
  </si>
  <si>
    <t>Telepek 64 lövet, 30mm egyenes+ferde mozsár-1.3g</t>
  </si>
  <si>
    <t>Telepek 64 lövet, 30mm egyenes+ferde+v+w mozsár-1.3g</t>
  </si>
  <si>
    <t>Összetett tüzijáték 30mm - f2 - 1.4g</t>
  </si>
  <si>
    <t>Összetett tüzijáték 30mm /védő csomagolásban/- f2 - 1.4g</t>
  </si>
  <si>
    <t>Összetett tüzijáték 30mm - f3 - 1.3g</t>
  </si>
  <si>
    <t>Összetett tüzijáték 30mm /védő csomagolásban/- f3 - 1.3g</t>
  </si>
  <si>
    <t>Telepek 200 lövet, 30mm mozsár-1.3g</t>
  </si>
  <si>
    <t>Telepek 16 lövet, 50mm mozsár-1.3g</t>
  </si>
  <si>
    <t>Telepek 25 lövet, 45mm mozsár-1.3g</t>
  </si>
  <si>
    <t>Telepek 25 lövet, 50mm mozsár-1.3g</t>
  </si>
  <si>
    <t>Telepek 35 lövet, 45mm mozsár-1.3g</t>
  </si>
  <si>
    <t>Telepek 36 lövet, 45mm mozsár-1.3g</t>
  </si>
  <si>
    <t>Telepek 36 lövet, 50mm mozsár-1.3g</t>
  </si>
  <si>
    <t>Összetett tüzijáték 45+50mm  - 1.3g</t>
  </si>
  <si>
    <t>Összetett tüzijáték 45+50mm /védő csomagolásban/ - 1.3g</t>
  </si>
  <si>
    <t>Mozsár telepek 250 lövet, 50mm mozsár-1.3g</t>
  </si>
  <si>
    <t>Telepek 24 lövet, 63mm mozsár-1.3g</t>
  </si>
  <si>
    <t>Telepek 49 lövet, 63mm mozsár-1.3g</t>
  </si>
  <si>
    <t>Telepek 16 lövet, 75mm mozsár-1.3g</t>
  </si>
  <si>
    <t>Telepek 25 lövet, 75mm mozsár-1.3g</t>
  </si>
  <si>
    <t>Multikaliberű telepek 30mm-ig</t>
  </si>
  <si>
    <t>Telepek 33 lövet, 20+25mm egyenes+ferde+v+s mozsár-1.3g</t>
  </si>
  <si>
    <t>Telepek 39 lövet, 20+25+30mm ferde+v+w mozsár-1.3g</t>
  </si>
  <si>
    <t>Telepek 39 lövet, 20+25+30mm ferde+v+w mozsár-1.4g</t>
  </si>
  <si>
    <t>Telep + szökőkút 40 lövet, 20+25+30mm mozsár - 1.3g</t>
  </si>
  <si>
    <t>Telepek 41 lövet, 20+25+30mm egyenes+ferde+s+v mozsár-1.3g</t>
  </si>
  <si>
    <t>Telepek 41 lövet, 20+25+30mm egyenes+ferde+s+v mozsár-1.4g</t>
  </si>
  <si>
    <t>Telepek 50 lövet, 20+25+30mm egyenes+ferde+s mozsár-1.3g</t>
  </si>
  <si>
    <t>Telepek 50 lövet, 20+25+30mm egyenes+ferde+s mozsár-1.4g</t>
  </si>
  <si>
    <t>Telepek 52 lövet, 14+20mm mozsár-1.3g</t>
  </si>
  <si>
    <t>Telepek 52 lövet, 14+20mm mozsár-1.4g</t>
  </si>
  <si>
    <t>Telepek 64 lövet, 20+25mm mozsár-1.3g</t>
  </si>
  <si>
    <t>Telepek 64 lövet, 20+25mm mozsár-1.4g</t>
  </si>
  <si>
    <t>Telepek 64 lövet, 25+30mm mozsár-1.3g</t>
  </si>
  <si>
    <t>Telepek 68 lövet, 20+25+30mm mozsár /multiirányú/-1.3g</t>
  </si>
  <si>
    <t>Telepek 68 lövet, 20+25+30mm mozsár /multiirányú/-1.4g</t>
  </si>
  <si>
    <t>Telepek 100 lövet, 20+25+30mm egyenes+ferde+s mozsár-1.3g</t>
  </si>
  <si>
    <t>Telepek 106 lövet, 20+25+30mm egyenes+ferde+s mozsár-1.3g</t>
  </si>
  <si>
    <t>Telepek 109 lövet, 20+25+30mm mozsár-1.3g</t>
  </si>
  <si>
    <t>Összetett tüzijáték multikaliber- f2 - 1.4g</t>
  </si>
  <si>
    <t>Összetett tüzijáték /védő csomagolásban/ multikaliber f2 - 1.4g</t>
  </si>
  <si>
    <t>Összetett tüzijáték multikaliber- f2 - 1.3g</t>
  </si>
  <si>
    <t>Összetett tüzijáték /védő csomagolásban/ multikaliber f2 - 1.3g</t>
  </si>
  <si>
    <t>Összetett tüzijáték multikaliber /20-30mm/ f3 - 1.3g</t>
  </si>
  <si>
    <t>Összetett tüzijáték /védő csomagolásban/ multikaliber /20-30mm/f3 - 1.3g</t>
  </si>
  <si>
    <t>Multikaliberű telepek 30mm- től</t>
  </si>
  <si>
    <t>Telepek 23 lövet, 30+50mm mozsár-1.3g</t>
  </si>
  <si>
    <t>Telepek 24 lövet, 20+24+30+40mm mozsár-1.3g</t>
  </si>
  <si>
    <t>Telepek 36 lövet, 36+50mm mozsár-1.3g</t>
  </si>
  <si>
    <t>Telepek 42 lövet, 25+40mm egyenes+ferde mozsár-1.3g</t>
  </si>
  <si>
    <t>Telepek 42 lövet, 30+50mm mozsár-1.3g</t>
  </si>
  <si>
    <t>Telepek 47 lövet, 30+50mm egyenes+ferde mozsár-1.3g</t>
  </si>
  <si>
    <t>Telepek 62 lövet, 20+25+30+48mm egyenes+ferde+s mozsár-1.3g</t>
  </si>
  <si>
    <t>Telepek 63 lövet, 25+45mm egyenes+ferde mozsár-1.3g</t>
  </si>
  <si>
    <t>Telepek 66 lövet, 20+25+30+48mm mozsár-1.3g</t>
  </si>
  <si>
    <t>Telep + szökőkút 78 lövet, 20+25+30+40mm mozsár - 1.3g</t>
  </si>
  <si>
    <t>Összetett tüzijáték multikaliber /30-50mm/ f3 - 1.3g</t>
  </si>
  <si>
    <t>Összetett tüzijáték /védő csomagolásban/ multikaliber /30-50mm/f3 - 1.3g</t>
  </si>
  <si>
    <t>Multikaliberű telepek /töbféle átmerő+külömböző szőgű mozsarak/f4 - 1.3g</t>
  </si>
  <si>
    <t>Római gyergyák 8 lövet /30mm/</t>
  </si>
  <si>
    <t>Vetőcsövek 30mm</t>
  </si>
  <si>
    <t>Vetőcsövek 50mm</t>
  </si>
  <si>
    <t>Telepek 135 lövet, 20mm ferde mozsár</t>
  </si>
  <si>
    <t>Telepek 25 lövet, 30mm mozsár</t>
  </si>
  <si>
    <t>Telepek 49 lövet, 30mm mozsár</t>
  </si>
  <si>
    <t>Telepek 50 lövet, 30mm mozsár</t>
  </si>
  <si>
    <t>Telepek 50 lövet, 30mm ferde mozsár</t>
  </si>
  <si>
    <t>Telepek 50 lövet, 30mm s mozsár</t>
  </si>
  <si>
    <t>Telepek 50 lövet, 30mm v mozsár</t>
  </si>
  <si>
    <t>Telepek 50 lövet, 30mm w mozsár</t>
  </si>
  <si>
    <t>Telepek 50 lövet, 30mm x mozsár</t>
  </si>
  <si>
    <t>Telepek 8 lövet, 30mm ferde mozsár</t>
  </si>
  <si>
    <t>Telepek 13 lövet, 30mm ferde mozsár</t>
  </si>
  <si>
    <t>Telepek 19 lövet, 30mm ferde mozsár</t>
  </si>
  <si>
    <t>Telepek 5 lövet, 50mm ferde mozsár</t>
  </si>
  <si>
    <t>Golyósbombák 50mm</t>
  </si>
  <si>
    <t>Golyósbombák 75mm</t>
  </si>
  <si>
    <t>Golyósbombák 75mm, prémium minőség</t>
  </si>
  <si>
    <t>Golyósbombák 100mm</t>
  </si>
  <si>
    <t>Golyósbombák 100mm, prémium minőség</t>
  </si>
  <si>
    <t>Golyósbombák 125mm, prémium minőség</t>
  </si>
  <si>
    <t>Golyósbombák 150mm</t>
  </si>
  <si>
    <t>Golyósbombák 150mm, prémium minőség</t>
  </si>
  <si>
    <t>Örökös mozsarak</t>
  </si>
  <si>
    <t>Beltéri szökőkutak, gejzírek, vízesések</t>
  </si>
  <si>
    <t>Laste pürotehnika</t>
  </si>
  <si>
    <t>Lendavad tooted</t>
  </si>
  <si>
    <t>Perepakid</t>
  </si>
  <si>
    <t>Eksklusiivsed säraküünlad</t>
  </si>
  <si>
    <t>Säraküünlad</t>
  </si>
  <si>
    <t>Erilised säraküünlad</t>
  </si>
  <si>
    <t>Süütenööriga suits</t>
  </si>
  <si>
    <t>Splindiga suits</t>
  </si>
  <si>
    <t>Kraapijaga suits</t>
  </si>
  <si>
    <t>Elektrilise sütikuga suits</t>
  </si>
  <si>
    <t>Suitsutõrvik</t>
  </si>
  <si>
    <t>Tõrvik</t>
  </si>
  <si>
    <t>Fontään</t>
  </si>
  <si>
    <t>Vulkaan</t>
  </si>
  <si>
    <t>Sisevulkaan</t>
  </si>
  <si>
    <t>Konfett</t>
  </si>
  <si>
    <t>Rooma küünal 7mm</t>
  </si>
  <si>
    <t>Rooma küünal 10mm</t>
  </si>
  <si>
    <t>Rooma küünal 20mm</t>
  </si>
  <si>
    <t>Rooma küünal 30mm</t>
  </si>
  <si>
    <t>Rooma küünla patarei</t>
  </si>
  <si>
    <t>Patarei f2</t>
  </si>
  <si>
    <t>Patarei 3lasku, 20mm kaliiber</t>
  </si>
  <si>
    <t>Patarei 3lasku, 30mm kaliiber</t>
  </si>
  <si>
    <t>Patarei f3</t>
  </si>
  <si>
    <t>Fontään+miin</t>
  </si>
  <si>
    <t>Fontään plahvatusega</t>
  </si>
  <si>
    <t>Kraapijaga pauguti</t>
  </si>
  <si>
    <t>Süütenööriga pauguti f2</t>
  </si>
  <si>
    <t>Süütenööriga pauguti f3</t>
  </si>
  <si>
    <t>Süütenööriga pauguti p1</t>
  </si>
  <si>
    <t>Süütenööriga pauguti f4+p2</t>
  </si>
  <si>
    <t>Pauguti patarei</t>
  </si>
  <si>
    <t>Raketi komplekt f2-1.4g</t>
  </si>
  <si>
    <t>Raketi komplekt 1.3g+1.4g</t>
  </si>
  <si>
    <t>Riided</t>
  </si>
  <si>
    <t>Riided dumbum limiteeritud kogus</t>
  </si>
  <si>
    <t>Reklaamtooted</t>
  </si>
  <si>
    <t>Esitlusseinad</t>
  </si>
  <si>
    <t>Teised</t>
  </si>
  <si>
    <t>24 lasku vilepatarei, 8mm-1.4g</t>
  </si>
  <si>
    <t>100 lasku patarei, 8mm-1.4g</t>
  </si>
  <si>
    <t>208 lasku patarei, 14mm tava+lehvik-1.4g</t>
  </si>
  <si>
    <t>9lasku patarei 20mm-1.3g</t>
  </si>
  <si>
    <t>16 lasku patarei, 20 mm lehvik-1.3g</t>
  </si>
  <si>
    <t>66 lasku patarei, 20 mm i+v+w+lehvik-1.3g</t>
  </si>
  <si>
    <t>100 lasku patarei, 20 mm ( igas suunas)-1.4g</t>
  </si>
  <si>
    <t>Ühendatud patarei 20 mm- f2-1.4g</t>
  </si>
  <si>
    <t>Ühendatud patarei 20 mm ( kaitsva pakendiga )- f2-1.4g</t>
  </si>
  <si>
    <t>Multikaliiber patarei kuni 30mm</t>
  </si>
  <si>
    <t>Multikaliiber patarei üle 30mm</t>
  </si>
  <si>
    <t>78 lasku patarei+ fontään, 20+25+30+40 mm-1.3g</t>
  </si>
  <si>
    <t>Multikaliiber patarei ( suurem kaliiber ja erinevad nurga) f4-1.3g</t>
  </si>
  <si>
    <t>Rooma küünal 8 lasku</t>
  </si>
  <si>
    <t>Pomm 75mm- kõrgem kvaliteet</t>
  </si>
  <si>
    <t>Pomm 100 mm</t>
  </si>
  <si>
    <t>Hävitamatud torud</t>
  </si>
  <si>
    <t>Sise, fontäänid, jetid, kosed</t>
  </si>
  <si>
    <t>(automatikusan töltődik ki)</t>
  </si>
  <si>
    <t>ADR tanusítvány</t>
  </si>
  <si>
    <t>Csomagolás a kartonban</t>
  </si>
  <si>
    <t>BAM tanusítvány</t>
  </si>
  <si>
    <t>CBM
térfogat m3</t>
  </si>
  <si>
    <t>összesen</t>
  </si>
  <si>
    <t>összesen /kg/</t>
  </si>
  <si>
    <t>összesen /m3/</t>
  </si>
  <si>
    <t>Összesen
NEM [kg]</t>
  </si>
  <si>
    <t>Ár EUR</t>
  </si>
  <si>
    <t>Ár EUR kedvezmény után</t>
  </si>
  <si>
    <t>Ár CZK</t>
  </si>
  <si>
    <t>kedvezmény után</t>
  </si>
  <si>
    <t>kedvezmény előtt</t>
  </si>
  <si>
    <t>idő másodpercben</t>
  </si>
  <si>
    <t>Dátum árlista frissítése</t>
  </si>
  <si>
    <t>Nyelv mutáció</t>
  </si>
  <si>
    <t>Katalógus szám</t>
  </si>
  <si>
    <t>Biztonsági osztály</t>
  </si>
  <si>
    <t>Árfolyam</t>
  </si>
  <si>
    <t>kis csomagolás</t>
  </si>
  <si>
    <t>Eladás csomagonként is</t>
  </si>
  <si>
    <t>Termék neve</t>
  </si>
  <si>
    <t>Rendelve karton</t>
  </si>
  <si>
    <t>térfogat m3</t>
  </si>
  <si>
    <t>Kartonmennyiség a raklapon</t>
  </si>
  <si>
    <t>Effektus leírása</t>
  </si>
  <si>
    <t>Hozzáférés</t>
  </si>
  <si>
    <t>Effektus hossza</t>
  </si>
  <si>
    <t>nagy csomagolás</t>
  </si>
  <si>
    <t>Mint ÁFA fizetők a feltüntetett árakhoz 21% áfát számolunk</t>
  </si>
  <si>
    <t>A KAT. F4 és T2 vásárlásához szükséges pyrotechnikai igazolvány illetve megfelelő szakmai képesítéssel rendelkező személy</t>
  </si>
  <si>
    <t>Azoknak az ügyfeleknek akik kedvezménye 50% felett van a minimális egyszeri vásárlás értéke 10.000czk</t>
  </si>
  <si>
    <t>Minden ár ebben az árlistában szállitás nelkül van (exw incoterms 2010), ami azt jelenti hogy a szállitást az ügyfélnek kell fizetnie</t>
  </si>
  <si>
    <t>Csak egész export kartonokat lehet rendelni</t>
  </si>
  <si>
    <t>Azok a termékek ahl az a oszlopban az IGEN felirat szerepel- lehet rendelni csomagonként is 20% felárral</t>
  </si>
  <si>
    <t>Azok a termékek amik jelenleg nincsenek raktáron, nemlehet megrendelni, a rendelési ablak fekete</t>
  </si>
  <si>
    <t>Választja ki a szállitás módját</t>
  </si>
  <si>
    <t>Pontok számolása ADR szerint</t>
  </si>
  <si>
    <t>Ha az eredmény nagyobb mint 1000 akkor kötelező az adr szĺlitás</t>
  </si>
  <si>
    <t>Megrendelve</t>
  </si>
  <si>
    <t>karton, amit raklapon csomagolunk</t>
  </si>
  <si>
    <t>karton, áru szabadon rakva</t>
  </si>
  <si>
    <t>Olyan terméket rendel ami nics raktáron!</t>
  </si>
  <si>
    <t>törölje a rendelésből!</t>
  </si>
  <si>
    <t>Các mặt hàng được đánh dấu trong cột A "ĐÚNG" (có thể) - cũng có thể được đặt theo gói với phụ phí 20%</t>
  </si>
  <si>
    <t>A-veerus märgitud JAH on võimalik peale pakkimist tellida veel täiendavalt 20%</t>
  </si>
  <si>
    <t>Klásek Trading  s.r.o , K Zyfu 1083,Ostrava-Hrabová 720 00, Czech republic, info@klasektrading.cz ,  office: +420 799 999 333, storage: +420 799 799 733</t>
  </si>
  <si>
    <t xml:space="preserve">pfeifendes Flugzeug mit rotem Licht und knackenden Sternen (2 Stück) + pfeifendes Flugzeug mit grünem Licht und knackenden Sternen (2 Stück) </t>
  </si>
  <si>
    <t xml:space="preserve">Fliegender / pulsierender Farbeffekt mit Brokatkrone (1 Stück), Fliegender / pulsierender Farbeffekt mit knackenden Sternen (1 Stück) </t>
  </si>
  <si>
    <t>Silberne Sterne (kaltes Feuer), Länge 12cm, Lebensmittelattest! Das Paket enthält eine Reihe 0</t>
  </si>
  <si>
    <t>Silberne Sterne (kaltes Feuer), Länge 12cm, Lebensmittelattest! Das Paket enthält eine Reihe 1</t>
  </si>
  <si>
    <t>Silberne Sterne (kaltes Feuer), Länge 12cm, Lebensmittelattest! Das Paket enthält eine Reihe 2</t>
  </si>
  <si>
    <t>Silberne Sterne (kaltes Feuer), Länge 12cm, Lebensmittelattest! Das Paket enthält eine Reihe 3</t>
  </si>
  <si>
    <t>Silberne Sterne (kaltes Feuer), Länge 12cm, Lebensmittelattest! Das Paket enthält eine Reihe 4</t>
  </si>
  <si>
    <t>Silberne Sterne (kaltes Feuer), Länge 12cm, Lebensmittelattest! Das Paket enthält eine Reihe 5</t>
  </si>
  <si>
    <t>Silberne Sterne (kaltes Feuer), Länge 12cm, Lebensmittelattest! Das Paket enthält eine Reihe 6</t>
  </si>
  <si>
    <t>Silberne Sterne (kaltes Feuer), Länge 12cm, Lebensmittelattest! Das Paket enthält eine Reihe 7</t>
  </si>
  <si>
    <t>Silberne Sterne (kaltes Feuer), Länge 12cm, Lebensmittelattest! Das Paket enthält eine Reihe 8</t>
  </si>
  <si>
    <t>Silberne Sterne (kaltes Feuer), Länge 12cm, Lebensmittelattest! Das Paket enthält eine Reihe 9</t>
  </si>
  <si>
    <t>Silberne Sterne (kaltes Feuer), Länge 12cm, Lebensmittelattest! Das Paket enthält eine mix Reihe 0-9</t>
  </si>
  <si>
    <t>K0203(2)</t>
  </si>
  <si>
    <t>Die Neuheit ist die Online-Verfügbarkeit des Lagers, dh. Alles, was Sie tun müssen, ist online zu sein und die Option "Bearbeitung zulassen" und "Inhalt zulassen" zu bestätigen. Nach jedem Öffnen der Preisliste können Sie sehen, welche Waren auf Lager sind oder wann sie auf Lager sein werden !!!</t>
  </si>
  <si>
    <t>Es ist nicht möglich, schwarz markierte Artikel zu bestellen, die am Tag der Bestellung nicht auf Lager sind !!! Dies garantiert, dass der Kunde nur Artikel bestellt, die auf Lager sind, wodurch der Abschluss der Bestellung erheblich beschleunigt wird.</t>
  </si>
  <si>
    <t>2. Unser Mitarbeiter wird herausfinden, welche Artikel möglicherweise nicht auf Lager sind, und den Kunden per E-Mail darüber informieren.</t>
  </si>
  <si>
    <t>3. Der Kunde entscheidet, ob er auf die Ware warten möchte (falls diese nicht auf Lager ist) oder ob er die ausverkaufte Ware ersetzen möchte und sendet seine endgültige Bestellung per E-Mail, die nur die Ware enthält die Waren, die derzeit verfügbar sind.</t>
  </si>
  <si>
    <t>4. Unser Mitarbeiter lädt diese endgültige Bestellung (siehe Punkt 3) in unser System hoch und informiert den Kunden über das Datum, an dem die Ware versendet oder zur Abholung bereit ist.</t>
  </si>
  <si>
    <t>Siuntimo tvarka:</t>
  </si>
  <si>
    <t xml:space="preserve">Naujovė yra sandėlio prieinamumas internetu, viskas, ką turite padaryti, tai prisijungti ir patvirtinti parinktį „leisti redaguoti“ (update) ir „leisti turinį“. Kiekvieną kartą atidarius kaioraštį galite pamatyti, kokių prekių yra sandėlyje ar kada jų bus !!! </t>
  </si>
  <si>
    <t xml:space="preserve">Negalima užsisakyti juodai langelyje pažymėtų prekių , kurių užsakymo dieną nėra sandėlyje !!! Tai garantuos, kad klientas užsakys tik sandėlyje esančias prekes, taip pagreitindamas užsakymo užbaigimą. </t>
  </si>
  <si>
    <t>2. mūsų darbuotojas sužinos, kurių daiktų gali nebebūti sandėlyje ir apie tai klientą informuos elektroniniu paštu</t>
  </si>
  <si>
    <t xml:space="preserve">3. Klientas nusprendžia, ar jis nori laukti prekių (jei jų nėra sandėlyje), ar nori pakeisti išparduotas prekes ir išsiūsti savo galutinį užsakymą elektroniniu paštu, kuriame bus tik šiuo metu esančios prekės. </t>
  </si>
  <si>
    <t xml:space="preserve">4. mūsų darbuotojas įkelia šį galutinį užsakymą (žr. 3 punktą) į mūsų sistemą ir informuoja klientą apie datą, kada prekės bus išsiųstos arba parengtos atsiimti. </t>
  </si>
  <si>
    <t xml:space="preserve">Klientams, kurie neatliks užsakymo pagal aukščiau išdėstytas taisykles ir atvyks atsiimti prekių be mūsų darbuotojo patvirtinimo, prekės nebus pakrautos / atiduodamos. </t>
  </si>
  <si>
    <t xml:space="preserve">Jūsų užsakymas perduodamas į sandėlį, kad būtų galima nedelsiant jį paruošti, ir nebeįmanoma nieko pridėti prie šio užsakymo, bet kokia forma. Jei klientas atšaukia užsakymą (ar jo dalį), jam bus taikomas 50% atšauktų prekių vertės tvarkymo mokestis. </t>
  </si>
  <si>
    <t xml:space="preserve">Jei norite užsisakyti tik kai kurias prekes, mūsų elektroniniame kainoraštyje turite sukurti naują užsakymą ir išsiųsti jį dar kartą elektroniniu paštu. Šiame užsakyme rašykite tik tas prekes, kurias norite užsisakyti. </t>
  </si>
  <si>
    <t xml:space="preserve">Mes negalime garantuoti, kad užsakytos prekės bus išsiųstos kartu su pirmu užsakymu! </t>
  </si>
  <si>
    <t xml:space="preserve">Prekių rezervavimas </t>
  </si>
  <si>
    <t xml:space="preserve">Remdamiesi daugybės klientų pageidavimu, nusprendėme rezervavimo sistemą padaryti prieinamą  mūsų sandėlyje. Aiškesniam supratimui pristatau sistemą, kurią plačiai naudoja mūsų užsienio klientai. </t>
  </si>
  <si>
    <t>Prekybininkai, turintys savo parduotuves, užsisako prekes iš mūsų, pavyzdžiui, iškart rugsėjį po kainoraščio pasirodymo / atnaujinimo ir nori prekių pristatymo gruodžio 15 d.</t>
  </si>
  <si>
    <t>Tai garantuoja, kad jie gaus viską, ko nori, ir nereikės niekur laikyti / sandeliuoti prekių, ar nerimauti  jog prekė, kurios jie tikisi (pavyzdžiui, iš informacinio lapelio), nebus išparduota. Sutartą dieną klientas gaus užsakytas prekes…</t>
  </si>
  <si>
    <t>Žemiau pateikiamos taisyklės, pagal kurias prekes galima užsisakyti mūsų sandėlyje:</t>
  </si>
  <si>
    <t>Taisyklės:</t>
  </si>
  <si>
    <t>Paletės</t>
  </si>
  <si>
    <t>Transporto Kaina :</t>
  </si>
  <si>
    <t>Transporto kaina yra individuali. Pagal iš vežėjo gautą ADR prekių pervežimo pasiūlymą.</t>
  </si>
  <si>
    <t>Siunčiant prekes mūsų ADR sunkvežimiu (keliamoji galia iki 24 000 kg), klientas gali nemokamai iškrauti prekes vienoje vietoje, maks. per 4 valandos iškrovimui. Ilgesniam iškrovimui taikomas 800 CZK kronų / valandos laukimo tarifas, jei prekes reikia vežti ir  į kitą sandėlį - 100 CZK / km. tarifas.</t>
  </si>
  <si>
    <t>Skundų procedūra / pateikimas :</t>
  </si>
  <si>
    <t xml:space="preserve">Tai yra skundų dėl neiššovusių prekių sprendimo procedūra. Deja, nepaisant kokybės kontrolės, šių skundų negalima išvengti didesniu mastu. </t>
  </si>
  <si>
    <t>Jei iššaus mažiau nei 30% gaminio, mes pakeisime produktą nauju, ir susigražinsime sau neiššovusią dalį.</t>
  </si>
  <si>
    <t xml:space="preserve">Jei iššaus 30-50% gaminio, klientui jis bus pakeistas nauju su 30-50% pirkimo kainos priemoka, priklausomai nuo to, kiek šūvių klientui  išsišovė. </t>
  </si>
  <si>
    <t xml:space="preserve">Jei iššaus 50–80% produkto, jis klientui bus pakeistas nauju su 50–80% priemoka užpirkimo kaina, atsižvelgiant į tai, kiek šūvių klientui  išsišovė. </t>
  </si>
  <si>
    <t xml:space="preserve">Norime sutvarkyti skundų sprendimą, kai nutinka, kad, pavyzdžiui, klientas grąžina 100 šūvių prekę iš kurios iššovė - 90 šūvių ir nori naujos prekės. </t>
  </si>
  <si>
    <t xml:space="preserve">Kūginiai ugnies vulkanai (F100, F250, F500, F1000, F1500) negali būti grąžinti kaip dalis grąžinimo po sezono - priežastys, aprašytos elektroniniame laiške nuo 2019 01 28. </t>
  </si>
  <si>
    <t xml:space="preserve">Negalima pareikalauti sugrąžinti sulankstytus fejerverkus dėl pažeistų eksporto dėžių . Spalvotas eksporto kartonas neturi įtakos produkto funkcijai ir yra skirtas tik apsaugoti gaminį gabenant. </t>
  </si>
  <si>
    <t>Klientas, norintis turėti tik tobulas tvarkingas dėžutes, turi nusipirkti produktus, supakuotus į apsauginę dėžę (prekės kodas baigiasi (T), arba pasirūpinti, kad prekės būtų paimtos tiesiogiai iš mūsų, kai jos bus paimtos iš mūsų sandėlio. Tolesni skundai nebus priimami.</t>
  </si>
  <si>
    <t>Elektroninio kainoraščio naudojimo instrukcijos</t>
  </si>
  <si>
    <t>Naujovė yra nuolaidų skaičiavimo sistema. Jei esate naujas klientas, pats kainoraštis apskaičiuos jūsų nuolaidą pagal jūsų užsakymo sumą (esamiems klientams taikomos paskirtos nuolaidos, kurias klientas įrašo D19 langelyje).</t>
  </si>
  <si>
    <t xml:space="preserve">Kainoraštis yra interaktyvus, jis apskaičiuoja nuolaidą automatiškai (būtina įrašyti jos sumą į atitinkamą lauką), informaciją apie kainas CZK ir EUR, taip pat apskaičiuoja svorį kg, prekių tūrį m3 ir grynąjį pirotechnikos svorį. </t>
  </si>
  <si>
    <t xml:space="preserve">Jei norimos prekės nėra sandėlyje, naudokite filtrą, norėdami rasti panašių prekių C stulpelyje, kur visos panašios prekės pažymėtos tuo pačiu numeriu. </t>
  </si>
  <si>
    <t>Šis stulpelis yra pagrindinis skaičiavimams eurais.</t>
  </si>
  <si>
    <t>Langelyje F20 bus automatiškai parodytas dabartinis valiutos kursas, nurodytas kitame puslapyje (maksimalus valiutos keitimo kursas, kuriuo mes priimame eurą, yra 26 CZK / 1 EUR).</t>
  </si>
  <si>
    <t>J stulpelyje rasite informaciją apie pavojingumo kategoriją, kuriai priklauso prekė.</t>
  </si>
  <si>
    <t xml:space="preserve">Z stulpelyje parašykite savo užsakymą - įrašykite tik norimų užsakyti dėžių skaičių </t>
  </si>
  <si>
    <t>AB stulpelyje galite rasti esamą prekių kiekį.</t>
  </si>
  <si>
    <t>Pateikę užsakymą, šią informaciją pamatysite šiuose stulpeliuose:</t>
  </si>
  <si>
    <t xml:space="preserve">Bendra kaina CZK be PVM. </t>
  </si>
  <si>
    <t xml:space="preserve">Bendra kaina CZK su PVM. </t>
  </si>
  <si>
    <t xml:space="preserve">Bendra kaina EUR be PVM. </t>
  </si>
  <si>
    <t>Bendras tūris m3.</t>
  </si>
  <si>
    <t>Bendras svoris kg.</t>
  </si>
  <si>
    <t>Bendras NEC grynasis pirotechnikos gaminių svoris, padalintas ADR klasėmis.</t>
  </si>
  <si>
    <t>Bendras NEC grynasis visų ADR klasių pirotechnikos gaminių svoris.</t>
  </si>
  <si>
    <t>A MEGRENDELÉS ELKÜLDÉSÉNEK FOLYAMATA:</t>
  </si>
  <si>
    <t>ÚJDONSÁG AZ ONLINE ÁRUKÉSZLET, ELÉG ONLINE MÓDBAN LEIGAZOLNI A  ,,povolit úpravy” MAJD A "povolit obsah". AZ ÁRLISTA MINDEN MEGNYITÁSÁNÁL LÁTNI FOGJA AZ ELÉRHETŐ ÁRUKÉSZLETET ILL MIKOR LESZ RAKTÁRON!!!!</t>
  </si>
  <si>
    <t>NEM LEHET OLYAN TÉTELT RENDELNI AHOL A CELLA FEKETE SZÍNŰ, AMELYEK A RENDELÉS NAPJÁN NINCSENEK RAKTÁRON!!! EZ BIZTOSÍTJA HOGY AZ ÜGYFÉL CSAK AZOKAT A TÉTELEKET RENDELI AMIK RAKTÁRON VANNAK, ÍGY LÉNYEGESEN MEGGYORSUL A MEGRENDELÉS BEFEJEZÉSE.</t>
  </si>
  <si>
    <t>2. AZ ALKALMAZOTTUNK ELLENŐRZI ESETLEG  MELYIK TÉTELEK FOGYTAK EL ÉS ERRŐL ÉRTESÍTI AZ ÜGYFELET EMAILBAN.</t>
  </si>
  <si>
    <t>3. AZ ÜGYFÉL ELDÖNTHETI, HOGY A HIÁNYZÓ ÁRURA VÁRNI FOG /HA NINCS MÁR RAKTÁRON/ VAGY A HIÁNZÓ ÁRUT HELYETTESÍTI MÁS TERMÉKKEL, AMIT EMAILBAN ELKÜLD MINT VÉGLEGES RENDELÉST AMELYBEN CSAK OLYAN TERMÉKEK SZEREPELNEK AMELYEK RAKTÁRON VANNAK.</t>
  </si>
  <si>
    <t>4. AZ ALKALMAZOTTUNK EZT A VÉGLEGES RENDELÉST HELYEZI A RENDSZERBE /LÁSD A 3. PONTOT/ ÉS ÉRTESÍTI AZ ÜGYFELET AZ ÁRU KISZĹLITÁSÁRÓL ILL AZ ÁRU ÁTVEHETÉSÉRŐL.</t>
  </si>
  <si>
    <t>AZOK AZ ÜGYFELEK AKIK NEMTARTJÁK BE A FENTI SZABÁLYOKAT ÉS IDŐ ELŐTT ÉRKEZNEK AZ ÁRUÉRT, ILL. AZ ALKALMAZOTTUNK IGAZOLÁSA NÉLKÜL, AZ ÁRU NEMKERÜL KIADÁSRA A RAKTÁRBÓL</t>
  </si>
  <si>
    <t>AZ ÖN RENDELÉSE TOVÁBBÍTVA VAN A RAKTÁRBA ELŐKÉSZITÉSRE RÖGTÖN AZ ÉRKEZÉSE UTÁN, EZUTÁN MÁR NEM LETSÉGES HOZZÁ ADÁS SEMILYEN MÁS MÓDON. HA AZ ÜGYFÉL A RENDELÉST TÖRLI /VAGY CSAK RÉSZBEN TÖRLI/ KEZELÉSI KÖTSÉG LESZ KISZÁMLÁZVA, MÉGPEDIG A TÖRÖLT ÁRUNAK AZ 50% ÉRTÉKE.</t>
  </si>
  <si>
    <t>HA VALAMI ÁRUT HOZZÁ AKAR RENDELNI AZ ELŐZŐ RENDELÉSHEZ, EZT EGY ÚJ RENDELÉSBEN KELL LEADNI AZ ELEKTRONIKUS ÁRLISTÁNKBAN ÉS ÚJRA ELKÜLDENI EMAILBAN, EBBE A RENDELÉSBE KIZÁRÓLAG CSAK AZT AZ ÁRUT ÍRJA BE AMIT HOZZÁ SZERETNE RENDELNI.</t>
  </si>
  <si>
    <t>NEMTUDJUK GARANTÁLNI HOGY A HOZZÁ RENDELT ÁRU EGYSZERRE KERÜL KISZÁLLITÁSRA AZ ELŐZŐ RENDELÉSSEL</t>
  </si>
  <si>
    <t>ÁRUFOGLALÁS</t>
  </si>
  <si>
    <t>AZ ÜGYFELEINK KÜLÖN KÉRÉSÉRE ÜZEMBE HELYEZTÜNK EGY ÁRU FOGLALÓ RENDSZERT A RAKTÁRUNKON. A MEGÉRTÉSÉHEZ BEMUTATJUK A RENDSZER MŰKÖDÉSÉT AMIT A KÜLFÖLDI ÜGYFELEINK ELŐSZERETETTEL HASZNÁLNAK</t>
  </si>
  <si>
    <t>AZOK AZ ÜZLETEMBEREK AKIKNEK SAJÁT ÜZLETÜK VAN ÉS AZ ÁRUT NÁLUNK MEGRENDELIK PLD. SZEPTEMBERBEN AHOGY MEGJELENIK AZ ÚJ ÁRLISTA, ÚGY HOGY SZÁLLITÁS IDEJE PLD DECEMBER 15.E</t>
  </si>
  <si>
    <t>ÍGY BIZTOSÍTJÁK HOGY AZ ÁRU AMIT MEGRENDELNEK MEG IS KAPJÁK, ÉS MÉG RAKTÁROZNIUK SEM KELL VAGY FÉLNI HOGY VALAMELYIK TÉTEL AMIVEL SZÁMOLNAK ELFOGY. A MEGADOTT  NAPON A LETARTOTT ÁRU KISZÁLLITÁSRA KERÜL.</t>
  </si>
  <si>
    <t>LEJEBB VANNAK A SZABÁLYOK AMELYEK SZERINT AZ ÁRUT A RAKTÁRUNKON LEFOGLALHATJA.</t>
  </si>
  <si>
    <t>SZÁLLÍTÁS DÍJA</t>
  </si>
  <si>
    <t>RAKLAPOS SZÁLLÍTÁS DÍJA ADR LIMITEN FELÜL /ÉRVÉNYES CSAK CSEHORSZÁG TERÜLETÉN/</t>
  </si>
  <si>
    <t>RENDELÉSEK LEZÁRÁSI IDŐPONTJA: PÉNTEK</t>
  </si>
  <si>
    <t>MAXIMÁLISAN 5 EURO RAKLAP, NAGYOBB TÉTELNÉL A SZÁLLÍTÁSI DÍJ A FUVAROZÓ CÉG ÁRAJÁNLATA SZERINT LESSZ SZÁMLÁZVA, FIGYELEMBE VÉVE A LEGJOBB AJÁNLATOT AZ ADOTT SZÁLLÍTÁSRA.</t>
  </si>
  <si>
    <t>AMENNYIBEN AZ ÁRUT A SAJÁT ADR AUTÓNK SZÁLLÍTJA /TEHERBÍRÁS 1450KG/, A SZÁLLÍTÁSI DÍJ 18KĆ/KM ODA-VISSZA ÚT.</t>
  </si>
  <si>
    <t>AMENNYIBEN AZ ÁRUT ADR KAMIONNAL /TEHERBÍRÁS 24 000KG/ SZÁLLÍTJUK A DÍJTALAN LERAKODÁSI IDŐ MAX 4 ÓRA LEHET. HA A KIRAKODÁS TOVÁBB TART, MINDEN ELEZDETT ÓRÁÉRT PLUSZ 800KĆ FOGUNK SZÁMLÁZNI. MINDEN PLUSSZ KIRAKODÓHELYRE AZ ÁTÁLLÁS DÍJA PLUSZ 100KĆ/KM.</t>
  </si>
  <si>
    <t>REKLAMÁCIÓ</t>
  </si>
  <si>
    <t>ELKÜLDJÜK ÖNNEK A REKLAMÁCIÓ MEGOLDÁSÁNAK ELJÁRÁSÁT A NEMKILÖVÖTT TELEPEKNÉL. EZEKET A REKLAMÁCIÓKAT SAJNOS A LEGSZIGORÚBB MINŐSÉG ELLENŐRZÉSEK MELETT SEM TUDJUK MEGAKADÁLYOZNI.</t>
  </si>
  <si>
    <t>HA A TERMÉKNEK KEVESEBB MINT 30% MŰKÖDÖTT EL, EZ ESETBEN A TERMÉKET KICSERÉLJÜK ÚJ DARABRA, A HIBÁS TERMÉKET VISSZA HOZZA ÉS KAP ÉRTE EGY ÚJ DARABOT.</t>
  </si>
  <si>
    <t>HA A TERMÉKNEK 30-50% MŰKÖDÖTT EL, EZ ESETBEN A TERMÉKET KICSERÉLJÜK ÚJ DARABRA 30-50% HOZZÁFIZETÉSSEL A BESZERZÉSI ÁRBÓL AZOK SZERINT, MENNYI A NEM KILÖVÖTT MOZSÁR, A HIBÁS TERMÉKET VISSZA HOZZA ÉS KAP ÉRTE EGY ÚJ DARABOT 30-50% HOZZÁFIZETÉSSEL.</t>
  </si>
  <si>
    <t>HA A TERMÉKNEK 50-80% MŰKÖDÖTT EL, EZ ESETBEN A TERMÉKET KICSERÉLJÜK ÚJ DARABRA 50-80% HOZZÁFIZETÉSSEL A BESZERZÉSI ÁRBÓL AZOK SZERINT, MENNYI A NEM KILÖVÖTT MOZSÁR, A HIBÁS TERMÉKET VISSZA HOZZA ÉS KAP ÉRTE EGY ÚJ DARABOT 50-80% HOZZÁFIZETÉSSEL.</t>
  </si>
  <si>
    <t>EZZEL A LÉPÉSSEL RENDET AKARUNK TEREMTENI A REKLAMÁCIÓK MEGOLDÁSÁNÁL MIKOR PLD. AZ ÜGYFÉL VISZA HOZ EGY 100 LÖVETŰ TELEPET AHOL 90 LÖVET KILŐTT ÉS ÚJ DARABRA AKARJA CSERÉLNI.</t>
  </si>
  <si>
    <t>VULKÁNOKAT (F100,F250,F500,F1000,F1500) NEMLEHET REKLAMÁLNI SEM VISZA ADNI A SZEZON VÉGÉN - AZ OKOT EMAIL BAN KÖZÖLTÜK 2019 JAN. 28-ÁN.</t>
  </si>
  <si>
    <t>NEMFOGADUNK EL REKLAMÁCIÓT A SÉRÜLT EXPORTKARTONOKRA AZ ÖSSZETETT TÜZIJÁTÉKOKNÁL. A SZÍNES KARTON KIZÁRÓLAG A TERMÉK MEGVÉDÉSÉRE SZOLGÁL A SZÁLLÍTÁS KÖZBEN ÉS SEMMI HATÁSA NINCS A TERMÉK MŰKÖDÉSÉRE.</t>
  </si>
  <si>
    <t>HA AZ ÜGYFÉL KIZÁRÓLAG HIBÁTLAN KARTONOKAT SZERETNE, EZ ESETBEN OLYAN KARTONOKAT KELL RENDELNIE AMELYEK VÉDŐCSOMAGOLÁSBAN VANNAK CSOMAGOLVA, A TERMÉKKÓD VÉGE (T) VEL JELÖLVE. VAGY AZ ÁRUT SZEMÉLYESEN VESZI ÁT A RAKTÁRUNKBAN. A KÉSŐBBI REKLAMÁCIÓKAT NEMVESZÜK FIGYELEMBE.</t>
  </si>
  <si>
    <t>UTASÍTÁS AZ ELEKTRONIKUS ÁRLISTA HASZNÁLATÁHOZ</t>
  </si>
  <si>
    <t>ÚJDONSÁG AZ AUTOMATIKUS KEDVEZMÉNY SZÁMOLÁSA. HA ÖN ÚJ ÜGYFÉL, A RENDSZER KISZÁMOLJA A KEDVEZMÉNYT A RENDELÉS MENNYISÉGE SZERINT. /A TÖRZSVÁSÁRLÓK A MEGBESZÉLT KETVEZMÉNYT A D19 CELLÁBA ÍRJÁK BE/.</t>
  </si>
  <si>
    <t>AZ ÁRLISTA INTERAKTÍV, TEHÁT MAGÁTÓL SZÁMOLJA A KEDVEZMÉNYT (A KEDVEZMÉNY ÉRTÉKÉT A MEGFELELŐ CELLÁBA KELL BEÍRNI, ILL A RENDELÉS MENNYISÉGE SZERINT AUTOMATIKUSAN KISZÁMOLJA A KEDVEZMÉNYT),AZ ÁRAT CZK ÉS EUR BAN, MINT A SÚLYT, TÉRFOGATOT M3 BEN VALAMINT A HATÓANYAG NETTÓ SÚLYÁT.</t>
  </si>
  <si>
    <t>HA A TERMÉK AMELYET SZERETNE NINCS RAKTÁRON, A FILTER SEGÍTSÉGÉVEL AZ AC OSZLOPBAN MEGKERESHETI A HASONLÓ TERMÉKEKET AHOL A HASONLÓ TERMÉKEK EGYFORMA SZÁMOKKAL VANNAK JELÖLVE.</t>
  </si>
  <si>
    <t>EZ AZ OSZLOP AZ ALAPJA AZ ÁRKALKULÁCIÓNAK EUR BAN.</t>
  </si>
  <si>
    <t>AZ ÁRFOLYAM A F20 CELLÁBAN AUTOMATIKUSAN SZÁMOLÓDIK AMIT MEGTALÁL AZ ALÁBBI LINKEN. /A MAXIMÁLIS ÁRFOLYAM AMIN AZ EUR-T ELFOGADJUK 26KĆ/1EUR/. DEVIZA VÉTELI ÁRFOLYAMON</t>
  </si>
  <si>
    <t>A J OSZLOPBAN A TERMÉKEK OSTÁLY BESOROLÁSÁRÓL TALÁL INFORMÁCIÓT, MELYIK KATEGÓRIÁBA TARTOZNAK.</t>
  </si>
  <si>
    <t>A Z OSZLOPBA ÍRJA BE A RENDELT MENNYISÉGET- CSAK SZÁMOT ÍRJON MELY A RENDELT KARTON MENNYISÉGET JELENTI. A KIVÉTELT AZOK A TERMÉKEK JELENTIK AHOL AZ A OSZLOPBAN AZ "ANO" VAL JELÖLTEK /FELTÉTELEK A FENTIEKBEN/.</t>
  </si>
  <si>
    <t>A RENDELÉS BEFEJEZTÉVEL LÁTHATJA A KÖVETKEZŐ OSZLOPOKBAN EZEKET A INFORMÁCIÓKAT:</t>
  </si>
  <si>
    <t>VÉGÖSSZEG CZK ÁFA NÉLKÜL</t>
  </si>
  <si>
    <t>VÉGÖSSZEG CZK ÁFÁVAL</t>
  </si>
  <si>
    <t>VÉGÖSSZEG EUR ÁFA NÉLKÜL</t>
  </si>
  <si>
    <t>TELJES TÉRFOGAT M3</t>
  </si>
  <si>
    <t>TELJES SÚLY KG</t>
  </si>
  <si>
    <t>TELJES NEC - NETTÓ SÚLY ELOSZTVA ADR OSZTÁLY SZERINT</t>
  </si>
  <si>
    <t>TELJES NEC - NETTÓ SÚLY EGYÜTT MINDEN ADR OSTÁLY</t>
  </si>
  <si>
    <t xml:space="preserve"> kalendarz z 8 okienkami </t>
  </si>
  <si>
    <t>5/40/6</t>
  </si>
  <si>
    <t>LM0SW(1)</t>
  </si>
  <si>
    <t>P8DCH(CH)</t>
  </si>
  <si>
    <t>48/3</t>
  </si>
  <si>
    <t>20/3</t>
  </si>
  <si>
    <t>12/6/6</t>
  </si>
  <si>
    <t>PL,LT</t>
  </si>
  <si>
    <t>CZ,SK,PL,EN,LT,DE,DK,EST,HU,FR,IT,NL,HR,SRB</t>
  </si>
  <si>
    <t>CZ,SK,PL,LT,EN,LV,HU,DE,EST,IT,SRB,SLO,HR,FR,NL</t>
  </si>
  <si>
    <t>dūmi ar zaļo degli</t>
  </si>
  <si>
    <t>dūmi ar vilkšanas palaidēju</t>
  </si>
  <si>
    <t>dūmi ar aizdedzes sviru</t>
  </si>
  <si>
    <t>dūmu lāpa</t>
  </si>
  <si>
    <t>lāpa</t>
  </si>
  <si>
    <t>strobo</t>
  </si>
  <si>
    <t>strūklaka</t>
  </si>
  <si>
    <t>vūlkans</t>
  </si>
  <si>
    <t>interjera strūklala</t>
  </si>
  <si>
    <t>konffeti</t>
  </si>
  <si>
    <t>romiešu ugunis 7mm</t>
  </si>
  <si>
    <t>romiešu ugunis 10mm</t>
  </si>
  <si>
    <t>romiešu ugunis 20mm</t>
  </si>
  <si>
    <t>romiešu ugunis 30mm</t>
  </si>
  <si>
    <t>romiešu ugunis batareja</t>
  </si>
  <si>
    <t>Šavienu caurule F2</t>
  </si>
  <si>
    <t>Šavienu caurule F3</t>
  </si>
  <si>
    <t>strūklala + mīne</t>
  </si>
  <si>
    <t>strūklaka ar sprādzienu</t>
  </si>
  <si>
    <t>Petarde ar zaļo degli F2</t>
  </si>
  <si>
    <t>Petarde ar zaļo degli F3</t>
  </si>
  <si>
    <t>Petarde ar zaļo degli P1</t>
  </si>
  <si>
    <t>Petarde ar zaļo degli F4+T2</t>
  </si>
  <si>
    <t>Raķetes komplekts F2-1.4G</t>
  </si>
  <si>
    <t>Raķetes komplekts 1.3G+1.4G</t>
  </si>
  <si>
    <t>reklāmas lietas</t>
  </si>
  <si>
    <t>prezēntāciju stends</t>
  </si>
  <si>
    <t>100šv raķešu baterija, 8mm caurule - 1.4G</t>
  </si>
  <si>
    <t>300šv raķešu baterija, 8mm caurule - 1.4G</t>
  </si>
  <si>
    <t>1000šv raķešu baterija, 8mm caurule - 1.4G</t>
  </si>
  <si>
    <t>100šv baterija no caurules, 8mm caurule - 1.4G</t>
  </si>
  <si>
    <t>16šv baterija no caurules, 14mm caurule - 1.4G</t>
  </si>
  <si>
    <t>100šv baterija no caurules, 14mm caurule - 1.4G</t>
  </si>
  <si>
    <t>208šv baterija no caurules, 14mm caurule - 1.4G + apļveidīga caurule</t>
  </si>
  <si>
    <t>9šv baterija no caurules, 20mm caurule - 1.3G</t>
  </si>
  <si>
    <t>9šv baterija no caurules, 20mm caurule - 1.4G</t>
  </si>
  <si>
    <t>16šv baterija no caurules, 20mm caurule - 1.3G</t>
  </si>
  <si>
    <t>16šv baterija no caurules, 20mm caurule - 1.4G</t>
  </si>
  <si>
    <t>16šv baterija no caurules, 20mm caurule - 1.3G + apļveidīga caurule</t>
  </si>
  <si>
    <t>25šv baterija no caurules, 20mm caurule - 1.3G</t>
  </si>
  <si>
    <t>25šv baterija no caurules, 20mm caurule - 1.4G</t>
  </si>
  <si>
    <t>49šv baterija no caurules, 20mm caurule - 1.3G</t>
  </si>
  <si>
    <t>49šv baterija no caurules, 20mm caurule - 1.4G</t>
  </si>
  <si>
    <t>49šv baterija no caurules, 20mm caurule - 1.3G + apļveidīga caurule</t>
  </si>
  <si>
    <t>49šv baterija no caurules, 20mm caurule - 1.4G + apļveidīga caurule</t>
  </si>
  <si>
    <t>64šv baterija no caurules, 20mm caurule - 1.3G</t>
  </si>
  <si>
    <t>64šv baterija no caurules, 20mm caurule - 1.4G</t>
  </si>
  <si>
    <t>66šv baterija no caurules, 20mm caurule - 1.3G + apļveidīga caurule</t>
  </si>
  <si>
    <t>90šv baterija no caurules, 20mm caurule - 1.3G</t>
  </si>
  <si>
    <t>100šv baterija no caurules, 20mm caurule - 1.4G</t>
  </si>
  <si>
    <t>100šv baterija no caurules, 20mm caurule - 1.4G + visos vīrzienos</t>
  </si>
  <si>
    <t>100šv baterija no caurules, 20mm caurule - 1.3G + apļveidīga caurule</t>
  </si>
  <si>
    <t>130šv baterija no caurules, 20mm caurule - 1.3G</t>
  </si>
  <si>
    <t>134šv baterija no caurules, 20mm caurule - 1.3G + apļveidīga caurule</t>
  </si>
  <si>
    <t>135šv baterija no caurules, 20mm caurule - 1.3G + apļveidīga caurule</t>
  </si>
  <si>
    <t>200šv baterija no caurules, 20mm caurule - 1.3G</t>
  </si>
  <si>
    <t>200šv baterija no caurules, 20m caurule - 1.3G + visos vīrzienos</t>
  </si>
  <si>
    <t>Gatava uguņošanas pirotehnika 20mm - F2 - 1.4G</t>
  </si>
  <si>
    <t xml:space="preserve">Gatava uguņošanas pirotehnika 20mm - F2 - 1.4G + aizsardzības iepakojumu </t>
  </si>
  <si>
    <t>Gatava uguņošanas pirotehnika 20mm - F2 - 1.3G</t>
  </si>
  <si>
    <t xml:space="preserve">Gatava uguņošanas pirotehnika 20mm - F2 - 1.3G + aizsardzības iepakojumu </t>
  </si>
  <si>
    <t>16šv baterija no caurules, 25mm caurule - 1.3G</t>
  </si>
  <si>
    <t>16šv baterija no caurules, 25mm caurule - 1.4G</t>
  </si>
  <si>
    <t>25šv baterija no caurules, 25mm caurule - 1.3G</t>
  </si>
  <si>
    <t>25šv baterija no caurules, 25mm caurule - 1.4G</t>
  </si>
  <si>
    <t>25šv baterija no caurules, 25mm caurule - 1.3G + apļveidīga caurule</t>
  </si>
  <si>
    <t>48šv baterija no caurules, 25mm caurule - 1.3G +  apļveidīga caurule</t>
  </si>
  <si>
    <t>49šv baterija no caurules, 25mm caurule - 1.3G - F2</t>
  </si>
  <si>
    <t>49šv baterija no caurules, 25mm caurule - 1.4G + F2</t>
  </si>
  <si>
    <t>49šv baterija no caurules, 25mm caurule - 1.3G + F3</t>
  </si>
  <si>
    <t>49šv baterija no caurules, 25mm caurule - 1.3G +  apļveidīga caurule</t>
  </si>
  <si>
    <t>64šv baterija no caurules, 25mm caurule - 1.3G + visos virzienos</t>
  </si>
  <si>
    <t>88šv baterija no caurules, 25mm caurule - 1.3G</t>
  </si>
  <si>
    <t>89šv baterija no caurules, 25mm caurule - 1.3G +  apļveidīga caurule</t>
  </si>
  <si>
    <t>100šv baterija no caurules, 25mm caurule - 1.3G</t>
  </si>
  <si>
    <t>Gatava uguņošanas pirotehnika 25mm - F2 - 1.4G</t>
  </si>
  <si>
    <t xml:space="preserve">Gatava uguņošanas pirotehnika 25mm - F2 - 1.4G + aizsardzības iepakojumu </t>
  </si>
  <si>
    <t>Gatava uguņošanas pirotehnika 25mm - F2 - 1.3G</t>
  </si>
  <si>
    <t xml:space="preserve">Gatava uguņošanas pirotehnika 25mm - F2 - 1.3G + aizsardzības iepakojumu </t>
  </si>
  <si>
    <t>Gatava uguņošanas pirotehnika 25mm - F3 - 1.3G</t>
  </si>
  <si>
    <t xml:space="preserve">Gatava uguņošanas pirotehnika 25mm - F3 - 1.3G + aizsardzības iepakojumu </t>
  </si>
  <si>
    <t>300šv baterija no caurules, 25mm caurule - 1.3G</t>
  </si>
  <si>
    <t>16šv baterija no caurules, 30mm caurule - 1.3G</t>
  </si>
  <si>
    <t>16šv baterija no caurules, 30mm caurule - 1.4G</t>
  </si>
  <si>
    <t>19šv baterija no caurules, 30mm caurule - 1.3G</t>
  </si>
  <si>
    <t>19šv baterija no caurules, 30mm caurule - 1.4G</t>
  </si>
  <si>
    <t>25šv baterija no caurules, 30mm caurule - 1.3G + F3</t>
  </si>
  <si>
    <t>25šv baterija no caurules, 30mm caurule - 1.4G + F2</t>
  </si>
  <si>
    <t>25šv baterija no caurules, 30mm caurule - 1.3G</t>
  </si>
  <si>
    <t>25šv baterija no caurules, 30mm caurule - 1.4G</t>
  </si>
  <si>
    <t>25šv baterija no caurules, 30mm caurule - 1.4G +  apļveidīga caurule</t>
  </si>
  <si>
    <t>29šv baterija no caurules, 30mm caurule - 1.3G +  apļveidīga caurule</t>
  </si>
  <si>
    <t>29šv baterija no caurules, 30mm caurule - 1.4G +  apļveidīga caurule</t>
  </si>
  <si>
    <t>36šv baterija no caurules, 30mm caurule - 1.3G</t>
  </si>
  <si>
    <t>36šv baterija no caurules, 30mm caurule - 1.3G +  apļveidīga caurule</t>
  </si>
  <si>
    <t>49šv baterija no caurules, 30mm caurule - 1.3G</t>
  </si>
  <si>
    <t>49šv baterija no caurules, 30mm caurule - 1.3G +  apļveidīga caurule</t>
  </si>
  <si>
    <t>50šv baterija no caurules, 30mm caurule - 1.3G</t>
  </si>
  <si>
    <t>64šv baterija no caurules, 30mm caurule - 1.3G</t>
  </si>
  <si>
    <t>65šv baterija no caurules, 30mm caurule - 1.3G +  apļveidīga caurule</t>
  </si>
  <si>
    <t>64šv baterija no caurules, 30mm caurule - 1.3G +  apļveidīga caurule</t>
  </si>
  <si>
    <t xml:space="preserve">Gatava uguņošanas pirotehnika 30mm - F2 - 1.4G </t>
  </si>
  <si>
    <t xml:space="preserve">Gatava uguņošanas pirotehnika 30mm - F2 - 1.4G + aizsardzības iepakojumu </t>
  </si>
  <si>
    <t>Gatava uguņošanas pirotehnika 30mm - F3 - 1.3G</t>
  </si>
  <si>
    <t xml:space="preserve">Gatava uguņošanas pirotehnika 30mm - F3 - 1.3G + aizsardzības iepakojumu </t>
  </si>
  <si>
    <t>200šv baterija no caurules, 30mm caurule - 1.3G</t>
  </si>
  <si>
    <t>16šv baterija, 50mm caurule - 1.3G</t>
  </si>
  <si>
    <t>25šv baterija, 45mm caurule - 1.3G</t>
  </si>
  <si>
    <t>25šv baterija, 50mm caurule - 1.3G</t>
  </si>
  <si>
    <t>35šv baterija, 45mm caurule - 1.3G</t>
  </si>
  <si>
    <t>36šv baterija, 45mm caurule - 1.3G</t>
  </si>
  <si>
    <t>36šv baterija, 50mm caurule - 1.3G</t>
  </si>
  <si>
    <t>Gatava uguņošanas pirotehnika 45 + 50mm - 1.3G</t>
  </si>
  <si>
    <t>Gatava uguņošanas pirotehnika 45 + 50mm - 1.3G + aizsardzības iepakojumu</t>
  </si>
  <si>
    <t>250šv baterija mīnu, 50mm caurule - 1.3G</t>
  </si>
  <si>
    <t>24šv baterija, 63mm caurule - 1.3G</t>
  </si>
  <si>
    <t>49šv baterija, 63mm caurule - 1.3G</t>
  </si>
  <si>
    <t>16šv baterija, 75mm caurule - 1.3G</t>
  </si>
  <si>
    <t>25šv baterija, 75mm caurule - 1.3G</t>
  </si>
  <si>
    <t>33šv baterija caurule 20+25mm caurule + apļveidīga +V+S - 1.3G</t>
  </si>
  <si>
    <t>39šv baterija caurule 20+25+30mm caurule + apļveidīga +V+w - 1.3G</t>
  </si>
  <si>
    <t>39šv baterija caurule 20+25+30mm caurule + apļveidīga +V+w - 1.4G</t>
  </si>
  <si>
    <t>40šv baterija + strūklaka, 20+25+30mm caurule - 1.3G</t>
  </si>
  <si>
    <t>41šv baterija caurule 20+25+30mm caurule + apļveidīga +V+S - 1.3G</t>
  </si>
  <si>
    <t>41šv baterija caurule 20+25+30mm caurule + apļveidīga +V+S - 1.4G</t>
  </si>
  <si>
    <t>50šv baterija caurule 20+25+30mm caurule + apļveidīga +S - 1.3G</t>
  </si>
  <si>
    <t>50šv baterija caurule 20+25+30mm caurule + apļveidīga +S - 1.4G</t>
  </si>
  <si>
    <t>52šv baterija, 14+20mm caurule - 1.3G</t>
  </si>
  <si>
    <t>52šv baterija, 14+20mm caurule - 1.4G</t>
  </si>
  <si>
    <t>64šv baterija caurule, 20+25mm caurule 1.4G</t>
  </si>
  <si>
    <t>64šv baterija caurule, 25+30mm caurule 1.3G</t>
  </si>
  <si>
    <t>68šv baterija caurule, 20+25+30mm(visos virzienos) 1.3G</t>
  </si>
  <si>
    <t>68šv baterija caurule, 20+25+30mm (visos virzienos) 1.4G</t>
  </si>
  <si>
    <t>100šv baterija, 20+25+30mm standatra + apļveidīgs +S caurule 1.3G</t>
  </si>
  <si>
    <t>106šv baterija, 20+25+30mm standarta +  apļveidīgs +S caurule 1.3G</t>
  </si>
  <si>
    <t xml:space="preserve">Gatava uguņošanas pirotehnika, multi kalibra, F2 - 1.4G </t>
  </si>
  <si>
    <t>Gatava uguņošanas pirotehnika, multi kalibra 30mm - F2 - 1.4G + aizsardzības iepakojumu</t>
  </si>
  <si>
    <t xml:space="preserve">Gatava uguņošanas pirotehnika, multi kalibra 30mm - F2 - 1.3G </t>
  </si>
  <si>
    <t>Gatava uguņošanas pirotehnika, multi kalibra 30mm - F2 - 1.3G + aizsardzības iepakojumu</t>
  </si>
  <si>
    <t xml:space="preserve">Gatava uguņošanas pirotehnika, multi kalibra 20-30mm - F3 - 1.3G </t>
  </si>
  <si>
    <t>Gatava uguņošanas pirotehnika, multi kalibra 30mm - F3 - 1.3G + aizsardzības iepakojumu</t>
  </si>
  <si>
    <t>22šv baterija, 20+50 mm caurule 1.3G</t>
  </si>
  <si>
    <t>24šv baterija, 20+24+30+40 mm caurule 1.3G</t>
  </si>
  <si>
    <t>36šv baterija, 36+50 mm caurule 1.3G</t>
  </si>
  <si>
    <t>42šv baterija, 25+40 mm caurule 1.3G + apļveidīga caurule</t>
  </si>
  <si>
    <t>42šv baterija, 30+50 mm caurule 1.3G</t>
  </si>
  <si>
    <t>47šv baterija, 30+50 mm caurule 1.3G + apļveidīga caurule</t>
  </si>
  <si>
    <t>62šv baterija, 20+25+30+48 mm caurule 1.3G + apļveidīga caurule</t>
  </si>
  <si>
    <t>63šv baterija, 25+45 mm caurule 1.3G + apļveidīga caurule</t>
  </si>
  <si>
    <t>66šv baterija, 20+25+30+48 mm caurule 1.3G</t>
  </si>
  <si>
    <t>78šv baterija + strūklaka, 20+25+30+40 mm caurule 1.3G</t>
  </si>
  <si>
    <t xml:space="preserve">Gatava uguņošanas pirotehnika, multi kalibra,(30-50mm) F3 - 1.3G </t>
  </si>
  <si>
    <t>Gatava uguņošanas pirotehnika, multi kalibra,(30-50mm) F3 - 1.3G+aizsardzīgs iepakojums</t>
  </si>
  <si>
    <t>Multi kalibra baterija(vairak caurules un dažādi lenķi) F4 - 1.3G</t>
  </si>
  <si>
    <t>caurule 30mm</t>
  </si>
  <si>
    <t>caurule 50mm</t>
  </si>
  <si>
    <t xml:space="preserve">50šv baterija caurule, 30mm S caurule </t>
  </si>
  <si>
    <t xml:space="preserve">50šv baterija caurule, 30mm V caurule </t>
  </si>
  <si>
    <t xml:space="preserve">50šv baterija caurule, 30mm W caurule </t>
  </si>
  <si>
    <t xml:space="preserve">50šv baterija caurule, 30mm X caurule </t>
  </si>
  <si>
    <t>caurule 75mm</t>
  </si>
  <si>
    <t>caurule 75mm premium kvalitātes</t>
  </si>
  <si>
    <t>caurule 100mm</t>
  </si>
  <si>
    <t>caurule 100mm premium kvalitātes</t>
  </si>
  <si>
    <t>caurule 125mm premium kvalitātes</t>
  </si>
  <si>
    <t>caurule 150mm</t>
  </si>
  <si>
    <t xml:space="preserve">caurule 150mm premium kvalitātes </t>
  </si>
  <si>
    <t>Dimovi</t>
  </si>
  <si>
    <t>Fumogeni</t>
  </si>
  <si>
    <t>Dūmai</t>
  </si>
  <si>
    <t>Khói</t>
  </si>
  <si>
    <t>Dūmi</t>
  </si>
  <si>
    <t>Füstbombák</t>
  </si>
  <si>
    <t>Petarde sa zelenim fitiljom 1.1G</t>
  </si>
  <si>
    <t>Petardi con miccia verde 1.1g</t>
  </si>
  <si>
    <t>Petardos su žaliu uždegimo fitiliu 1.1G</t>
  </si>
  <si>
    <t>Petarde sa zelenim fitiljem 1.1</t>
  </si>
  <si>
    <t>Pháo cùng ngòi đốt xanh 1.1G</t>
  </si>
  <si>
    <t>Petardes ar zaļo degli 1.1G</t>
  </si>
  <si>
    <t>Petárdák gyújtózsinórral 1.1g</t>
  </si>
  <si>
    <t>Setovi raketa 1.4G</t>
  </si>
  <si>
    <t>Assortimento razzi 1.4g</t>
  </si>
  <si>
    <t>Raketų rinkinys 1.4G</t>
  </si>
  <si>
    <t>Setovi Raketa 1.4</t>
  </si>
  <si>
    <t>Bộ tên lửa 1.4G</t>
  </si>
  <si>
    <t>Raķešu komplekts 1.4G</t>
  </si>
  <si>
    <t>Rakéta szettek 1.4g</t>
  </si>
  <si>
    <t>Setovi raketa 1.3G</t>
  </si>
  <si>
    <t>Assortimento razzi 1.3g</t>
  </si>
  <si>
    <t>Raketų rinkinys 1.3G</t>
  </si>
  <si>
    <t>Setovi Raketa 1.3</t>
  </si>
  <si>
    <t>Bộ tên lửa 1.3G</t>
  </si>
  <si>
    <t>Raķešu komplekts 1.3G</t>
  </si>
  <si>
    <t>Rakéta szettek 1.3g</t>
  </si>
  <si>
    <t>Vatrometna kutija 36 pucnjeva, 50mm cijev-1.3G, 1.1G</t>
  </si>
  <si>
    <t xml:space="preserve">Batteria 36 colpi, mortaio 50mm-1.3g, 1.1g </t>
  </si>
  <si>
    <t>36 šūvių baterija, 50mm vamzdžiai - 1.3G,1.1G</t>
  </si>
  <si>
    <t>36s Baterije, cev 50mm - 1.3G, 1.1G</t>
  </si>
  <si>
    <t>"Compact" 36 phát đạn, đường kính 50mm-1.3G, 1.1G</t>
  </si>
  <si>
    <t>36šv baterija caurule, 50mm caurule  1.3G, 1.1G</t>
  </si>
  <si>
    <t>Profesionalna pirotehnika</t>
  </si>
  <si>
    <t>Prodotti pirotecnici professionale</t>
  </si>
  <si>
    <t>Profesionali pirotechnika</t>
  </si>
  <si>
    <t>Pháo hoa chuyên nghiệp</t>
  </si>
  <si>
    <t xml:space="preserve">Profesionāla pirotehnika </t>
  </si>
  <si>
    <t>Professionaalne pürotehnika</t>
  </si>
  <si>
    <t>Profeszionális pyrotechnika</t>
  </si>
  <si>
    <t>Vatrometna kutija 49 pucnjeva, 50mm cijev-1.1G</t>
  </si>
  <si>
    <t xml:space="preserve">Batteria 49 colpi, mortaio 50mm-1.1g </t>
  </si>
  <si>
    <t>49 šūvių baterija, 50mm vamzdžiai - 1.1G</t>
  </si>
  <si>
    <t>49s Baterije, cev 50mm, 1.1G</t>
  </si>
  <si>
    <t>"Compact" 49 phát đạn, đường kính 50mm-1.1G</t>
  </si>
  <si>
    <t>49šv baterija caurule, 50mm caurule  1.1G</t>
  </si>
  <si>
    <t>Telepek 49 lövet, 50mm mozsár-1.1g</t>
  </si>
  <si>
    <t>komplekt toruga</t>
  </si>
  <si>
    <t>100 lasku vilepatarei, 8mm-1.4G</t>
  </si>
  <si>
    <t>300 lasku vilepatarei, 8mm-1.4G</t>
  </si>
  <si>
    <t>1000 lasku vilepatarei, 8mm-1.4G</t>
  </si>
  <si>
    <t>16 lasku patarei, 14mm-1.4G</t>
  </si>
  <si>
    <t>100 lasku patarei, 14mm-1.3G</t>
  </si>
  <si>
    <t>9 lasku patarei, 20mm-1.4G</t>
  </si>
  <si>
    <t>16 lasku patarei, 20mm-1.3G</t>
  </si>
  <si>
    <t>16 lasku patarei, 20mm-1.4G</t>
  </si>
  <si>
    <t>25 lasku patarei, 20mm-1.3G</t>
  </si>
  <si>
    <t>25 lasku patarei, 20mm-1.4G</t>
  </si>
  <si>
    <t>49 lasku patarei, 20mm-1.3G</t>
  </si>
  <si>
    <t>49 lasku patarei, 20mm-1.4G</t>
  </si>
  <si>
    <t>49 lasku patarei, 20mm lehvik-1.3G</t>
  </si>
  <si>
    <t>49 lasku patarei, 20mm lehvik-1.4G</t>
  </si>
  <si>
    <t>64 lasku patarei, 20mm-1.3G</t>
  </si>
  <si>
    <t>64 lasku patarei, 20mm-1.4G</t>
  </si>
  <si>
    <t>66 lasku patarei, 20 mm I+V+W+lehvik-1.4G</t>
  </si>
  <si>
    <t>90 lasku patarei, 20mm-1.3G</t>
  </si>
  <si>
    <t>100 lasku patarei, 20mm-1.4G</t>
  </si>
  <si>
    <t>100 lasku patarei, 20mm lehvik-1.3G</t>
  </si>
  <si>
    <t>130 lasku patarei, 20mm-1.3G</t>
  </si>
  <si>
    <t>134 lasku patarei, 20 mm I+V+W+lehvik-1.3G</t>
  </si>
  <si>
    <t>135 lasku patarei, 20mm lehvik-1.3G</t>
  </si>
  <si>
    <t>200 lasku patarei, 20mm-1.3G</t>
  </si>
  <si>
    <t>ühendatud patarei 20 mm ( kaitsva pakendiga )- F2-1.4G</t>
  </si>
  <si>
    <t>ühendatud patarei 20 mm- F2-1.3G</t>
  </si>
  <si>
    <t>ühendatud patarei 20 mm ( kaitsva pakendiga )- F2-1.3G</t>
  </si>
  <si>
    <t>ühendatud patarei - F3-1.3G</t>
  </si>
  <si>
    <t>ühendatud patarei ( kaitsva pakendiga )- F3-1.3G</t>
  </si>
  <si>
    <t>16 lasku patarei, 2mm-1.4G</t>
  </si>
  <si>
    <t>25 lasku patarei, 25mm-1.3G</t>
  </si>
  <si>
    <t>25 lasku patarei, 25mm-1.4G</t>
  </si>
  <si>
    <t>25 lasku patarei, 25mm lehvik-1.3G</t>
  </si>
  <si>
    <t>48 lasku patarei, 25mm tava+lehvik-1.3G</t>
  </si>
  <si>
    <t>49 lasku patarei, 25mm-F2-1.3G</t>
  </si>
  <si>
    <t>49 lasku patarei, 25mm -F2-1.4G</t>
  </si>
  <si>
    <t>49 lasku patarei, 25mm -F3-1.3G</t>
  </si>
  <si>
    <t>49 lasku patarei, 25mm lehvik-1.3G</t>
  </si>
  <si>
    <t>64 lasku patarei, 25 mm ( igas suunas)-1.3G</t>
  </si>
  <si>
    <t>88 lasku patarei, 25mm-1.3G</t>
  </si>
  <si>
    <t>89 lasku patarei, 25 mm I+W+lehvik-1.3G</t>
  </si>
  <si>
    <t>100 lasku patarei, 25mm-1.3G</t>
  </si>
  <si>
    <t>ühendatud patarei 25mm- F2-1.4G</t>
  </si>
  <si>
    <t>ühendatud patarei ( kaitsva pakendiga ) 25mm- F2-1.4G</t>
  </si>
  <si>
    <t>ühendatud patarei 25mm - F2-1.3G</t>
  </si>
  <si>
    <t>ühendatud patarei ( kaitsva pakendiga ) 25mm- F2-1.3G</t>
  </si>
  <si>
    <t>ühendatud patarei 25mm- F3-1.3G</t>
  </si>
  <si>
    <t>ühendatud patarei ( kaitsva pakendiga ) 25mm- F3-1.3G</t>
  </si>
  <si>
    <t>300 lasku patarei, 25mm-1.3G</t>
  </si>
  <si>
    <t>16 lasku patarei, 30mm-1.3G</t>
  </si>
  <si>
    <t>16 lasku patarei, 30mm-1.4G</t>
  </si>
  <si>
    <t>19 lasku patarei, 30mm-1.3G</t>
  </si>
  <si>
    <t>19 lasku patarei, 30mm-1.4G</t>
  </si>
  <si>
    <t>25 lasku patarei, 30mm-F3-1.3G</t>
  </si>
  <si>
    <t>25 lasku patarei, 30mm-F2-1.4G</t>
  </si>
  <si>
    <t>25 lasku patarei, 30mm-1.3G</t>
  </si>
  <si>
    <t>25 lasku patarei, 30mm-1.4G</t>
  </si>
  <si>
    <t>25 lasku patarei, 30mm lehvik-1.4G</t>
  </si>
  <si>
    <t>29 lasku patarei, 30 mm V+W+lehvik-1.3G</t>
  </si>
  <si>
    <t>29 lasku patarei, 30 mm V+W+lehvik-1.4G</t>
  </si>
  <si>
    <t>36 lasku patarei, 30mm-1.3G</t>
  </si>
  <si>
    <t>36 lasku patarei, 30mm lehvik-1.3G</t>
  </si>
  <si>
    <t>49 lasku patarei, 30mm-1.3G</t>
  </si>
  <si>
    <t>49 lasku patarei, 30mm lehvik-1.3G</t>
  </si>
  <si>
    <t>50 lasku patarei, 30mm-1.3G</t>
  </si>
  <si>
    <t>64 lasku patarei, 30mm lehvik-1.3G</t>
  </si>
  <si>
    <t>64 lasku patarei, 30mm tava+lehvik-1.3G</t>
  </si>
  <si>
    <t>64 lasku patarei, 30mm tava+lehvik+V+W-1.3G</t>
  </si>
  <si>
    <t>ühendatud patarei 30mm - F2-1.4G</t>
  </si>
  <si>
    <t>ühendatud patarei 30mm - F3-1.3G</t>
  </si>
  <si>
    <t>ühendatud patarei ( kaitsva pakendiga ) 30mm- F3-1.3G</t>
  </si>
  <si>
    <t>200 lasku patarei, 30mm-1.3G</t>
  </si>
  <si>
    <t>16 lasku patarei, 50mm-1.3G</t>
  </si>
  <si>
    <t>25 lasku patarei 45mm-1.3G</t>
  </si>
  <si>
    <t>25 lasku patarei, 50mm-1.3G</t>
  </si>
  <si>
    <t>35 lasku patarei, 45mm-1.3G</t>
  </si>
  <si>
    <t>36 lasku patarei, 45mm-1.3G</t>
  </si>
  <si>
    <t>36 lasku patarei50mm-1.3G</t>
  </si>
  <si>
    <t>ühendatud patarei 45+50mm-1.3G</t>
  </si>
  <si>
    <t>ühendatud patarei ( kaitsva pakendiga ) 45+50mm-1.3G</t>
  </si>
  <si>
    <t>250 lasku miinipatarei, 50mm-1.3G</t>
  </si>
  <si>
    <t>24 lasku patarei 63mm-1.3G</t>
  </si>
  <si>
    <t>49 lasku patarei 63mm-1.3G</t>
  </si>
  <si>
    <t>16 lasku patarei 75mm-1.3G</t>
  </si>
  <si>
    <t>25 lasku patarei 75mm-1.3G</t>
  </si>
  <si>
    <t>33 lasku patarei, 25+30mm tava+lehvik+V+S-1.3G</t>
  </si>
  <si>
    <t>39 lasku patarei, 20+25+30mm lehvik+V+W-1.3G</t>
  </si>
  <si>
    <t>39 lasku patarei, 20+25+30mm lehvik+V+W-1.4G</t>
  </si>
  <si>
    <t>40 lasku patarei+fontään, 20+25+30mm 1.3G</t>
  </si>
  <si>
    <t>41 lasku patarei, 20+25+30mm tava+lehvik+S+V-1.3G</t>
  </si>
  <si>
    <t>41 lasku patarei, 20+25+30mm tava+lehvik+S+V-1.4G</t>
  </si>
  <si>
    <t>50 lasku patarei, 20+25+30mm tava+lehvik+S-1.3G</t>
  </si>
  <si>
    <t>50 lasku patarei, 20+25+30mm tava+lehvik+S-1.4G</t>
  </si>
  <si>
    <t>52 lasku patarei, 14+20mm 1.3G</t>
  </si>
  <si>
    <t>52 lasku patarei, 14+20mm 1.4G</t>
  </si>
  <si>
    <t>64 lasku patarei, 20+25mm 1.3G</t>
  </si>
  <si>
    <t>64 lasku patarei, 20+25mm 1.4G</t>
  </si>
  <si>
    <t>64 lasku patarei, 25+30mm 1.3G</t>
  </si>
  <si>
    <t>68 lasku patarei, 20+25+30mm (igas suunas) 1.3G</t>
  </si>
  <si>
    <t>68 lasku patarei, 20+25+30mm (igas suunas) 1.4G</t>
  </si>
  <si>
    <t>100 lasku patarei, 20+25+30mm tava+lehvik+S-1.3G</t>
  </si>
  <si>
    <t>106 lasku patarei, 20+25+30mm tava+lehvik+S-1.3G</t>
  </si>
  <si>
    <t>109 lasku patarei, 20+25+30mm 1.3G</t>
  </si>
  <si>
    <t>ühendatud patarei multi kaliiber - F2-1.4G</t>
  </si>
  <si>
    <t>ühendatud patarei ( kaitsva pakendiga ) multi kaliiber- F2-1.4G</t>
  </si>
  <si>
    <t>ühendatud patarei multi kaliiber - F2-1.3G</t>
  </si>
  <si>
    <t>ühendatud patarei ( kaitsva pakendiga ) multi kaliiber- F2-1.3G</t>
  </si>
  <si>
    <t>ühendatud patarei multi kaliiber (20-30mm) - F3-1.3G</t>
  </si>
  <si>
    <t>ühendatud patarei ( kaitsva pakendiga ) multi kaliiber (20-30mm)- F3-1.3G</t>
  </si>
  <si>
    <t>23 lasku patarei 30+50mm-1.3G</t>
  </si>
  <si>
    <t>24 lasku patarei 20+24+30+40mm-1.3G</t>
  </si>
  <si>
    <t>36 lasku patarei 36+50mm-1.3G</t>
  </si>
  <si>
    <t>42 lasku patarei 25+40mm tava+lehvik -1.3G</t>
  </si>
  <si>
    <t>42 lasku patarei 30+50mm-1.3G</t>
  </si>
  <si>
    <t>47 lasku patarei 30+50mm tava+lehvik-1.3G</t>
  </si>
  <si>
    <t>62 lasku patarei 20+25+30+48mm tava+lehvik+S-1.3G</t>
  </si>
  <si>
    <t>63 lasku patarei 25+45mm tava+lehvik-1.3G</t>
  </si>
  <si>
    <t>66 lasku patarei 20+25+30+48mm-1.3G</t>
  </si>
  <si>
    <t>ühendatud patarei 30+50mm F3-1.3G</t>
  </si>
  <si>
    <t>ühendatud patarei (kaitsva pakendiga) 30+50mm F3-1.3G</t>
  </si>
  <si>
    <t>üksik lask 30mm</t>
  </si>
  <si>
    <t>üksik lask 50mm</t>
  </si>
  <si>
    <t>135 lasku patarei, 20mm lehvik</t>
  </si>
  <si>
    <t>25 lasku patarei 30mm</t>
  </si>
  <si>
    <t>49 lasku patarei 30mm</t>
  </si>
  <si>
    <t>50 lasku patarei 30mm</t>
  </si>
  <si>
    <t>50 lasku patarei 30mm lehvik</t>
  </si>
  <si>
    <t>50 lasku patarei 30mm S</t>
  </si>
  <si>
    <t>50 lasku patarei 30mm V</t>
  </si>
  <si>
    <t>50 lasku patarei 30mm W</t>
  </si>
  <si>
    <t>50 lasku patarei 30mm X</t>
  </si>
  <si>
    <t>8 lasku patarei, 30mm lehvik</t>
  </si>
  <si>
    <t>13 lasku patarei, 30mm lehvik</t>
  </si>
  <si>
    <t>19 lasku patarei, 30mm lehvik</t>
  </si>
  <si>
    <t>5 lasku patarei, 50mm lehvik</t>
  </si>
  <si>
    <t>pomm 50mm</t>
  </si>
  <si>
    <t>pomm 75mm</t>
  </si>
  <si>
    <t>pomm 100mm esmaklassiline kvaliteet</t>
  </si>
  <si>
    <t>pomm 125mm esmaklassiline kvaliteet</t>
  </si>
  <si>
    <t>pomm 150mm</t>
  </si>
  <si>
    <t>pomm 150 esmaklassiline kvaliteet</t>
  </si>
  <si>
    <t>suits</t>
  </si>
  <si>
    <t>pauguti rohelise süütenööriga</t>
  </si>
  <si>
    <t>Raketi komplekt 1.4G</t>
  </si>
  <si>
    <t>Raketi komplekt 1.3G</t>
  </si>
  <si>
    <t>100 lasku patarei 14mm-1.4G</t>
  </si>
  <si>
    <t>Garden Fireworks- kaks patareid kahe plastik ühendusega( start+end) kokku ühendamiseks</t>
  </si>
  <si>
    <t>25 lasku patarei 25mm lehvik-1.4G</t>
  </si>
  <si>
    <t>25 lasku patarei 30mm lehvik-1.3G</t>
  </si>
  <si>
    <t>36 lasku patarei 50mm-1.3G.1.1G</t>
  </si>
  <si>
    <t>49 lasku patarei 50mm-1.1G</t>
  </si>
  <si>
    <t>csomag tartalma: dp1fd- 1x,dp1fr-1x,dp1bp- 3x,bk1b-1x,bk1p-1x,dp1cb-1x,dp1b-1x,dp1r-2x, s12s-1x</t>
  </si>
  <si>
    <t>vylupovací dětský kalendář s 8 okýnky</t>
  </si>
  <si>
    <t>peel-off children's calendar with 8 windows</t>
  </si>
  <si>
    <t xml:space="preserve">Peel-Off-Kinderkalender mit 8 Fenstern </t>
  </si>
  <si>
    <t xml:space="preserve">dječji adventski kalendar sa 8 prozora </t>
  </si>
  <si>
    <t xml:space="preserve">calendario per bambini con 8 finestre </t>
  </si>
  <si>
    <t xml:space="preserve">Dečji kalendar sa odlepljivanjem, 8 prozora </t>
  </si>
  <si>
    <t>mở lịch "quà" trẻ em với 8 cửa sổ vào</t>
  </si>
  <si>
    <t xml:space="preserve">nulupamas vaikų kalendorius su 8 langeliais </t>
  </si>
  <si>
    <t xml:space="preserve"> kalendarz z 8 okienkami w dniach 24.12-31.12</t>
  </si>
  <si>
    <t>Limejošs bērnu kalendārs ar 8 logiem un 24.12-31.12</t>
  </si>
  <si>
    <t>csomag tartalma: 4 rakéta,dp1bp-2x,dp1b-1x,s12s-1x,p1-1x,bk1b-1x,dp1r-1x,dp1vc-1x,dp1cb-1x,k01m-1x,r4420b- 2x</t>
  </si>
  <si>
    <t>csomag tartalma: 1 csomag-vp16a,dp1vc, lm2v 1db, r4420b 2db, r12t1 4db</t>
  </si>
  <si>
    <t>INTERAKTIVNÍ</t>
  </si>
  <si>
    <t>Odběr nad</t>
  </si>
  <si>
    <t>VEŠKERÉ OBJEDNÁVKY ZASÍLEJTE POUZE NA ADRESU:</t>
  </si>
  <si>
    <t>JB</t>
  </si>
  <si>
    <t xml:space="preserve">Platí: 01.09.2021 - 31.08.2022 </t>
  </si>
  <si>
    <t>Lze objednat maximálně toto množství.</t>
  </si>
  <si>
    <t>ČESKY</t>
  </si>
  <si>
    <t xml:space="preserve">Pokud zákazník svými odběry v daném období překročí vlastní množstevní slevu (odběry se sčítají), </t>
  </si>
  <si>
    <t>CENÍK</t>
  </si>
  <si>
    <t>price list</t>
  </si>
  <si>
    <t>Preisliste</t>
  </si>
  <si>
    <t>cennik</t>
  </si>
  <si>
    <t>cjenik</t>
  </si>
  <si>
    <t>INTERACTIVE</t>
  </si>
  <si>
    <t>INTERAKTIV</t>
  </si>
  <si>
    <t>interaktywny</t>
  </si>
  <si>
    <t>tương tác</t>
  </si>
  <si>
    <t>interaktyvus</t>
  </si>
  <si>
    <t>Kainoraštis</t>
  </si>
  <si>
    <t>bảng giá</t>
  </si>
  <si>
    <t>interaktivni</t>
  </si>
  <si>
    <t>interattivo</t>
  </si>
  <si>
    <t>listino prezzi</t>
  </si>
  <si>
    <t>interaktiivne</t>
  </si>
  <si>
    <t>hinnakiri</t>
  </si>
  <si>
    <t>interaktív</t>
  </si>
  <si>
    <t>árlista</t>
  </si>
  <si>
    <t xml:space="preserve">Es kann jede beliebige Nummer bestellt werden. </t>
  </si>
  <si>
    <t xml:space="preserve">Maximal kann diese Menge bestellt werden. </t>
  </si>
  <si>
    <t xml:space="preserve">Die letzten Stück auf Lager. </t>
  </si>
  <si>
    <t>Kann derzeit nicht bestellen.</t>
  </si>
  <si>
    <t xml:space="preserve">A maximum of this quantity can be ordered.
</t>
  </si>
  <si>
    <t xml:space="preserve">The last few pieces in stock.
</t>
  </si>
  <si>
    <t xml:space="preserve">Cannot order at this time. </t>
  </si>
  <si>
    <t xml:space="preserve">Any quantity can be ordered.
</t>
  </si>
  <si>
    <t xml:space="preserve">Istnieje możliwość zamówienia dowolnej ilości. </t>
  </si>
  <si>
    <t xml:space="preserve">Maksymalnie tę ilość można zamówić. </t>
  </si>
  <si>
    <t xml:space="preserve">Kilka ostatnich sztuk w magazynie. </t>
  </si>
  <si>
    <t>W tej chwili nie można zamówić.</t>
  </si>
  <si>
    <t xml:space="preserve">Bất kỳ số lượng có thể được đặt hàng. </t>
  </si>
  <si>
    <t xml:space="preserve">Số lượng tối đa có thể được đặt hàng. </t>
  </si>
  <si>
    <t xml:space="preserve">Những miếng cuối cùng trong kho. </t>
  </si>
  <si>
    <t>Không thể đặt hàng vào lúc này.</t>
  </si>
  <si>
    <t xml:space="preserve">Galima užsisakyti bet kokį kiekį. </t>
  </si>
  <si>
    <t xml:space="preserve">Didžiausias kiekis, kurį galima užsisakyti. </t>
  </si>
  <si>
    <t xml:space="preserve">Paskutiniai gabalai sandėlyje. </t>
  </si>
  <si>
    <t>Šiuo metu negalima užsisakyti.</t>
  </si>
  <si>
    <t xml:space="preserve">Može se naručiti bilo koja količina. </t>
  </si>
  <si>
    <t xml:space="preserve">Maksimalna količina koja se može naručiti. </t>
  </si>
  <si>
    <t xml:space="preserve">Posljednji komadi na zalihi. </t>
  </si>
  <si>
    <t>Trenutno nije dostupno.</t>
  </si>
  <si>
    <t>Trenutno nedostupno.</t>
  </si>
  <si>
    <t>Svaka količina se može naručiti.</t>
  </si>
  <si>
    <t>Maksimalna količina koja se može naručiti.</t>
  </si>
  <si>
    <t>Poslednji komadi na lageru.</t>
  </si>
  <si>
    <t xml:space="preserve">Qualsiasi quantità può essere ordinata. </t>
  </si>
  <si>
    <t xml:space="preserve">La quantità massima ordinabile. </t>
  </si>
  <si>
    <t xml:space="preserve">Ultimi pezzi in magazzino. </t>
  </si>
  <si>
    <t>Attualmente non disponibile.</t>
  </si>
  <si>
    <t xml:space="preserve">Tellida saab mis tahes kogust. </t>
  </si>
  <si>
    <t xml:space="preserve">Maksimaalne kogus, mida saab tellida. </t>
  </si>
  <si>
    <t xml:space="preserve">Viimased tükid laos. </t>
  </si>
  <si>
    <t>Hetkel kättesaamatu.</t>
  </si>
  <si>
    <t xml:space="preserve">Bármilyen mennyiség megrendelhető. </t>
  </si>
  <si>
    <t xml:space="preserve">A megrendelhető maximális mennyiség. </t>
  </si>
  <si>
    <t xml:space="preserve">Utolsó darabok raktáron. </t>
  </si>
  <si>
    <t>Jelenleg nem elérhető.</t>
  </si>
  <si>
    <t xml:space="preserve">Jebkuru daudzumu var pasūtīt. </t>
  </si>
  <si>
    <t xml:space="preserve">Maksimālais daudzums, ko var pasūtīt. </t>
  </si>
  <si>
    <t xml:space="preserve">Pēdējie gabali noliktavā. </t>
  </si>
  <si>
    <t>Pašlaik nav pieejams.</t>
  </si>
  <si>
    <t>Lze objednat libovolný počet.</t>
  </si>
  <si>
    <t>Posledních pár kousků skladem.</t>
  </si>
  <si>
    <t>Nelze v tuto chvíli objednat.</t>
  </si>
  <si>
    <t>Sleva v %</t>
  </si>
  <si>
    <t>Podnikáme udržitelně</t>
  </si>
  <si>
    <t>dostane za dané období příslušnou slevu i zpětně. Odběrem zboží se myslí částka bez DPH po odečtení slevy.</t>
  </si>
  <si>
    <t>Vepsáním vaší slevy do buňky D19 se ceník automaticky přepočítá, případně se sleva vypčte sama podle aktuální objednávky.</t>
  </si>
  <si>
    <t>Ha az ügyfél túllépi a saját mennyiségi kedvezményét az adott időszakban történt rendelésekkel (a rendelések összegét összeadjuk),</t>
  </si>
  <si>
    <t>a megfelelő kedvezményt visszamenőlegesen megkapja az adott időszakra. Az áru átvételének értendő az ÁFA nélküli összeg a kedvezmény levonása után.</t>
  </si>
  <si>
    <t>Az árengedménynek a D19 cellába történő beírásával az árjegyzék automatikusan újraszámításra kerül, vagy a kedvezmény az aktuális rendelés összege szerint kerül kiszámításra.</t>
  </si>
  <si>
    <t>You have used up your discount by exceeding your purchase limits(purchases of goods add up),</t>
  </si>
  <si>
    <t>you will receive the relevant discout for the given period back. Purchase of goods it means the amount without VAT after deduction of the discount.</t>
  </si>
  <si>
    <t>Enter your discount in the cell D19 the price list will be automatically recalculated. The discount is also calculated itself according to the current order.</t>
  </si>
  <si>
    <t>Hai utilizzato lo sconto superando i limiti di acquisto (gli acquisti di beni si sommano),</t>
  </si>
  <si>
    <t>riceverai lo sconto pertinente per il periodo specificato. Acquisto di beni significa l'importo senza IVA previa detrazione dello sconto.</t>
  </si>
  <si>
    <t>Immettere lo sconto nella cella D19, il listino prezzi verrà ricalcolato automaticamente. Lo sconto viene calcolato anche in base all'ordine corrente.</t>
  </si>
  <si>
    <t xml:space="preserve">Odobreni popust koristi se sve do prelaska tj. ostvarenja nove razine kupnje (iznosi pojedinačnih kupnji se zbrajaju), te će sukladno tome kupac </t>
  </si>
  <si>
    <t>Unosom popusta u ćeliju D19 u cjeniku će se automatski preračunati cijene. Popust se također računa automatski sukladno trenutnoj narudžbi.</t>
  </si>
  <si>
    <t xml:space="preserve">dobiti odgovarajući popust za određeno prethodno razdoblje. Ukupni iznos kupnje podrazumjeva iznos bez poreza na dodanu vrijednost nakon odbitka iznosa popusta. </t>
  </si>
  <si>
    <t>kancelář:</t>
  </si>
  <si>
    <t>○</t>
  </si>
  <si>
    <t>Česká republika</t>
  </si>
  <si>
    <t xml:space="preserve">  ○ IČO: 26848643  ○  DIČ: CZ26848643</t>
  </si>
  <si>
    <t>sklad:</t>
  </si>
  <si>
    <t>office:</t>
  </si>
  <si>
    <t>storage:</t>
  </si>
  <si>
    <t>Czech republic</t>
  </si>
  <si>
    <t xml:space="preserve">  ○ IN: 26848643  ○ VAT: CZ26848643</t>
  </si>
  <si>
    <t>SEND ALL ORDERS ONLY TO E-MAIL ADRESS:</t>
  </si>
  <si>
    <t>Tel.1:</t>
  </si>
  <si>
    <t>Tel.2:</t>
  </si>
  <si>
    <t>Polska</t>
  </si>
  <si>
    <t>Dotyczy wszystkich zakupów w danym roku (zakupy towarów sumują się),</t>
  </si>
  <si>
    <t>Zakup towaru to kwota netto (bez VAT) po odliczeniu rabatu.</t>
  </si>
  <si>
    <t>Wpisz swój rabat w komórce D19 cennik zostanie automatycznie przeliczony. Rabat naliczany jest również dla pozycji zamówienia.</t>
  </si>
  <si>
    <t>NIP: 645-22-55-919</t>
  </si>
  <si>
    <t>690-800-300</t>
  </si>
  <si>
    <t>WYŚLIJ WSZYSTKIE ZAMÓWIENIA TYLKO DO:</t>
  </si>
  <si>
    <t>570-120-130</t>
  </si>
  <si>
    <t>Klásek Trading  s.r.o.  ○</t>
  </si>
  <si>
    <t xml:space="preserve"> K Zyfu 1083, Ostrava-Hrabová 720 00 ○</t>
  </si>
  <si>
    <t xml:space="preserve">Grupa Etna Sp.z o.o. S.K.A. ○ </t>
  </si>
  <si>
    <t>Towarowa 22, 42-600 Tarnowskie Góry  ○</t>
  </si>
  <si>
    <t>Nếu khách hàng vượt quá số lượng chiết khấu của chính họ với các đăng ký của họ trong một khoảng thời gian nhất định (các đăng ký được cộng lại với nhau),</t>
  </si>
  <si>
    <t>anh ta sẽ nhận được khoản chiết khấu tương ứng cho khoảng thời gian hồi tố đó. Số tiền mua hàng là số tiền chưa bao gồm thuế GTGT sau khi đã trừ khoản chiết khấu.</t>
  </si>
  <si>
    <t>Bằng cách nhập chiết khấu của bạn vào ô D19, bảng giá sẽ được tự động tính lại hoặc chiết khấu sẽ được tính theo đơn hàng hiện tại.</t>
  </si>
  <si>
    <t xml:space="preserve">CHỈ GỬI TẤT CẢ ĐƠN HÀNG ĐẾN: </t>
  </si>
  <si>
    <t>đ.t. kho:</t>
  </si>
  <si>
    <t>văn phòng:</t>
  </si>
  <si>
    <t>Ostvarujete popust premašivši ograničenja kupovine (kupovina robe se sabira),</t>
  </si>
  <si>
    <t>dobićete odgovarajući popust za dati period unazad. Kupovina robe znači iznos bez PDV-a nakon odbitka popusta.</t>
  </si>
  <si>
    <t>Unesite popust u polje D19 i cenovnik će se automatski preračunati. Popust se takođe izračunava prema trenutnoj narudžbi.</t>
  </si>
  <si>
    <t>INVIA TUTTI GLI ORDINI SOLO ALL'INDIRIZZO E-MAIL:</t>
  </si>
  <si>
    <t>Repubblica Ceca</t>
  </si>
  <si>
    <t xml:space="preserve">  ○ IN: 26848643  ○ IVA: CZ26848643</t>
  </si>
  <si>
    <t>ufficio:</t>
  </si>
  <si>
    <t>archiviazione:</t>
  </si>
  <si>
    <t>SVE NARUDŽBE SLATI ISKLJUČIVO NA ADRESU E-POŠTE:</t>
  </si>
  <si>
    <t>ured:</t>
  </si>
  <si>
    <t>skladište:</t>
  </si>
  <si>
    <t>SENDEN SIE ALLE BESTELLUNGEN NUR AN DIE E-MAIL-ADRESSE:</t>
  </si>
  <si>
    <t>Tschechien</t>
  </si>
  <si>
    <t>○ IN: 26848643 ○ Umsatzsteuer: CZ26848643</t>
  </si>
  <si>
    <t>Büro:</t>
  </si>
  <si>
    <t>Lager:</t>
  </si>
  <si>
    <t>Geben Sie Ihren Rabatt in die Zelle D19 ein, die Preisliste wird automatisch neu berechnet. Der Rabatt berechnet sich auch selbst nach der aktuellen Bestellung.</t>
  </si>
  <si>
    <t>Sie haben Ihren Rabatt aufgebraucht, indem Sie Ihre Einkaufslimits überschritten haben (Wareneinkäufe summieren sich),</t>
  </si>
  <si>
    <t xml:space="preserve">Sie erhalten den entsprechenden Rabatt für den angegebenen Zeitraum zurück. Warenkauf bedeutet den Betrag ohne Mehrwertsteuer nach Abzug des Skontos. </t>
  </si>
  <si>
    <t>Robbanás szökőkút</t>
  </si>
  <si>
    <t>DUMMIES</t>
  </si>
  <si>
    <t>CZ,SK,PL,DE,LT,EST,EN,LV</t>
  </si>
  <si>
    <t xml:space="preserve">                                          </t>
  </si>
  <si>
    <t>Novinky</t>
  </si>
  <si>
    <t>designy</t>
  </si>
  <si>
    <t>snaga zvuka 120dB na udaljenosti 15m sa crvenim svjetlosnim efektom na početku</t>
  </si>
  <si>
    <t>potenza sonora 120dB da 15m con luce rosso all'inizio</t>
  </si>
  <si>
    <t>petardy lontowe z czarwonym błyskiem, głośność 120dB z 15m</t>
  </si>
  <si>
    <t xml:space="preserve">8 aknaga kalender lastele </t>
  </si>
  <si>
    <t xml:space="preserve">gyerek naptár 8 ajándékot rejtett ablakkal </t>
  </si>
  <si>
    <t>cz</t>
  </si>
  <si>
    <t>de</t>
  </si>
  <si>
    <t>cro</t>
  </si>
  <si>
    <t>pl</t>
  </si>
  <si>
    <t>hu</t>
  </si>
  <si>
    <t>Jūs išnaudojote savo nuolaidą viršiję pirkimo limitus (prekių pirkimai sumuojasi)</t>
  </si>
  <si>
    <t>Už atitinkamą laikotarpį gausite atitinkamą nuolaidą. Prekių pirkimas reiškia sumą be PVM, atskaičius nuolaidą.</t>
  </si>
  <si>
    <t>D19 langelyje įveskite savo nuolaidą. Kainoraštis bus automatiškai perskaičiuotas. Nuolaida taip pat apskaičiuojama pagal dabartinę tvarką.</t>
  </si>
  <si>
    <t>VISI UŽSAKYMAI TURI BŪTI SIUNČIAMI ŠIUO ELEKTRONINIO PAŠTO ADRESU:</t>
  </si>
  <si>
    <t>Ofisas:</t>
  </si>
  <si>
    <t>Sandėlis:</t>
  </si>
  <si>
    <t>Olete oma allahindluse ära kasutanud, ületades ostupiiranguid (kaupade ostud kokku)</t>
  </si>
  <si>
    <t>Saate vastava allahindluse antud perioodi eest tagasi. Kauba ostmine tähendab summat ilma käibemaksuta pärast allahindluse mahaarvamist.</t>
  </si>
  <si>
    <t>Sisestage oma allahindlus lahtrisse D19. Hinnakiri arvutatakse automaatselt ümber. Soodustus arvutatakse ka ise vastavalt kehtivale järjekorrale.</t>
  </si>
  <si>
    <t>Tellimused saata ainult e-maili teel:</t>
  </si>
  <si>
    <t>kontor:</t>
  </si>
  <si>
    <t>ladu:</t>
  </si>
  <si>
    <t>Jūs esat izmantojis atlaidi, pārsniedzot pirkumu ierobežojumus (preču pirkumi summējas),</t>
  </si>
  <si>
    <t>Jūs saņemsit attiecīgo atlaidi par konkrēto periodu atpakaļ. Preču iegādes summa ir bez PVN pēc atlaides atskaitīšanas.</t>
  </si>
  <si>
    <t>Ievadiet atlaidi šūnā D19, cenrādis tiks automātiski pārrēķināts. Arī atlaide tiek aprēķināta pati pēc pašreizējā pasūtījuma.</t>
  </si>
  <si>
    <t>SŪTĪT VISUS PASŪTĪJUMUS TIKAI UZ E-PASTU</t>
  </si>
  <si>
    <t>offis:</t>
  </si>
  <si>
    <t>veikals:</t>
  </si>
  <si>
    <t>INTEREKTĪVAJS</t>
  </si>
  <si>
    <t>Atlaide[%]</t>
  </si>
  <si>
    <t>Discount</t>
  </si>
  <si>
    <t>Rabatt</t>
  </si>
  <si>
    <t>Rabat</t>
  </si>
  <si>
    <t>Chiết khấu</t>
  </si>
  <si>
    <t>Nuolaida</t>
  </si>
  <si>
    <t>Popust</t>
  </si>
  <si>
    <t>Sconto</t>
  </si>
  <si>
    <t>allahindlus</t>
  </si>
  <si>
    <t>Kedvezmény</t>
  </si>
  <si>
    <t>RSD6</t>
  </si>
  <si>
    <t>pískající raketa s explozí- vyrobeno v Evropě</t>
  </si>
  <si>
    <t>long whistling tail to titanium salute- Made in EU</t>
  </si>
  <si>
    <t>Pfeifrakete mit Explosion - made in Europe</t>
  </si>
  <si>
    <r>
      <t xml:space="preserve">kancelář: </t>
    </r>
    <r>
      <rPr>
        <b/>
        <sz val="10"/>
        <rFont val="Arial"/>
        <family val="2"/>
        <charset val="238"/>
      </rPr>
      <t>+420 799 999 333</t>
    </r>
    <r>
      <rPr>
        <sz val="10"/>
        <rFont val="Arial"/>
        <family val="2"/>
        <charset val="238"/>
      </rPr>
      <t xml:space="preserve"> ○ sklad: </t>
    </r>
    <r>
      <rPr>
        <b/>
        <sz val="10"/>
        <rFont val="Arial"/>
        <family val="2"/>
        <charset val="238"/>
      </rPr>
      <t>+420 799 799 733</t>
    </r>
  </si>
  <si>
    <t>zużycie ponad</t>
  </si>
  <si>
    <t>vertė aukščiau</t>
  </si>
  <si>
    <t>vrijednost iznad</t>
  </si>
  <si>
    <t>vrednost iznad</t>
  </si>
  <si>
    <t>valore sopra</t>
  </si>
  <si>
    <t>väärtus üleval</t>
  </si>
  <si>
    <t>fenti érték</t>
  </si>
  <si>
    <t>vērtība augstāk</t>
  </si>
  <si>
    <t>value above</t>
  </si>
  <si>
    <t>Wert oben</t>
  </si>
  <si>
    <t>giá trị trên</t>
  </si>
  <si>
    <t>KK2021</t>
  </si>
  <si>
    <t>DP1FD</t>
  </si>
  <si>
    <t>Jelikož ceny dopravy a zboží jsou velice nestabilní, vyhrazujeme si právo na změnu cen i během období platnosti ceníku.</t>
  </si>
  <si>
    <t xml:space="preserve">Transport- und Güterpreise sind sehr volatil. Preisänderungen (auch während der Geltungsdauer der Preisliste) behalten wir uns vor. </t>
  </si>
  <si>
    <t xml:space="preserve">Transporta un preču cenas ir ļoti svārstīgas. Mēs paturam tiesības mainīt cenas (pat cenrāža derīguma termiņa laikā). </t>
  </si>
  <si>
    <t xml:space="preserve">A szállítás és az áruk nagyon ingadozóak. Az árváltoztatás jogát fenntartjuk (még az árlista érvényességi ideje alatt is). </t>
  </si>
  <si>
    <t xml:space="preserve">Transpordi ja kaupade hinnad on väga kõikuvad. Jätame endale õiguse hindu muuta (isegi hinnakirja kehtivusaja jooksul). </t>
  </si>
  <si>
    <t xml:space="preserve">I prezzi dei trasporti e delle merci sono molto volatili. Ci riserviamo il diritto di modificare i prezzi (anche durante il periodo di validità del listino). </t>
  </si>
  <si>
    <t>Cene transporta i robe su veoma promenljive. Zadržavamo pravo promene cena (čak i tokom perioda važenja cenovnika).</t>
  </si>
  <si>
    <t xml:space="preserve">Cijene transporta i robe vrlo su nestabilne. Zadržavamo pravo promjene cijena (čak i za vrijeme važenja cjenika). </t>
  </si>
  <si>
    <t xml:space="preserve">Transporto ir prekių kainos yra labai nepastovios. Pasiliekame teisę keisti kainas (net ir kainoraščio galiojimo laikotarpiu). </t>
  </si>
  <si>
    <t xml:space="preserve">Giá cả vận tải và hàng hóa rất dễ biến động. Chúng tôi có quyền thay đổi giá (kể cả trong thời gian bảng giá có hiệu lực). </t>
  </si>
  <si>
    <t xml:space="preserve">Ceny transportu i towarów są bardzo zmienne. Zastrzegamy sobie prawo do zmiany cen (nawet w okresie obowiązywania cennika). </t>
  </si>
  <si>
    <t xml:space="preserve">Transport and goods prices are very volatile. We reserve the right to change prices (even during the period of validity of the price list). </t>
  </si>
  <si>
    <t>picture</t>
  </si>
  <si>
    <t>Bild</t>
  </si>
  <si>
    <t>Volumen m3</t>
  </si>
  <si>
    <t>Datum</t>
  </si>
  <si>
    <t>Date</t>
  </si>
  <si>
    <t>Data</t>
  </si>
  <si>
    <t>Ngày tháng</t>
  </si>
  <si>
    <t>Kuupäev</t>
  </si>
  <si>
    <t>Dátum</t>
  </si>
  <si>
    <t>Datums</t>
  </si>
  <si>
    <t>Termín další dostupnosti zboží</t>
  </si>
  <si>
    <t>Turpmākas pieejamības datums</t>
  </si>
  <si>
    <t>További elérhetőség dátuma</t>
  </si>
  <si>
    <t>Az áruk további elérhetőségének dátuma</t>
  </si>
  <si>
    <t>La data di ulteriore disponibilità di beni</t>
  </si>
  <si>
    <t>Datum dalje dostupnosti robe</t>
  </si>
  <si>
    <t>Datum daljnje dostupnosti robe</t>
  </si>
  <si>
    <t>Tolesnio prekių prieinamumo data</t>
  </si>
  <si>
    <t>Ngày sẵn có hơn nữa hàng hóa</t>
  </si>
  <si>
    <t>Termin dalszej dostępności towaru</t>
  </si>
  <si>
    <t>Das Datum der weiteren Warenverfügbarkeit</t>
  </si>
  <si>
    <t>The date of further availability of goods</t>
  </si>
  <si>
    <t>Klásek Trading  s.r.o. , K Zyfu 1083, Ostrava-Hrabová 720 00,Česká republika  ○ IČO: 26848643  ○  DIČ: CZ26848643</t>
  </si>
  <si>
    <t>info@klasekpyrotechnics.cz</t>
  </si>
  <si>
    <t>Prodej po kusech</t>
  </si>
  <si>
    <t>ii</t>
  </si>
  <si>
    <t>listino prezzi di PRENOTAZIONE</t>
  </si>
  <si>
    <t>BRONEERIMINE hinnakiri</t>
  </si>
  <si>
    <t>FOGLALÁSI árlista</t>
  </si>
  <si>
    <t xml:space="preserve">cenrādis </t>
  </si>
  <si>
    <t>REZERVĀCIJA cenrādis</t>
  </si>
  <si>
    <t>cenovnik</t>
  </si>
  <si>
    <t>REZERVACIONI cenovnik</t>
  </si>
  <si>
    <t>cjenik REZERVACIJE</t>
  </si>
  <si>
    <t>REZERVACIJA Kainoraštis</t>
  </si>
  <si>
    <t>bảng giá SỰ ĐẶT CHỖ</t>
  </si>
  <si>
    <t>cennik REZERWACYJNY</t>
  </si>
  <si>
    <t>RESERVIERUNGSPREISLISTE</t>
  </si>
  <si>
    <t>RESERVATION FORM price list</t>
  </si>
  <si>
    <t>REZERVAČNÍ ceník</t>
  </si>
  <si>
    <t>dariulucky@gmail.com</t>
  </si>
  <si>
    <t>nápověda</t>
  </si>
  <si>
    <t>palīdzēt</t>
  </si>
  <si>
    <t>segítség</t>
  </si>
  <si>
    <t>abi</t>
  </si>
  <si>
    <t>aiuto</t>
  </si>
  <si>
    <t>pomoc</t>
  </si>
  <si>
    <t>pomoć</t>
  </si>
  <si>
    <t>padėti</t>
  </si>
  <si>
    <t>sự giúp đỡ</t>
  </si>
  <si>
    <t>Hilfe</t>
  </si>
  <si>
    <t>help</t>
  </si>
  <si>
    <t>Termín uzavření objednávek: úterý</t>
  </si>
  <si>
    <t>Termín rozvozu palet k zákazníkovi: pondělí / úterý</t>
  </si>
  <si>
    <t>Hạn chót đặt hàng: Thứ ba</t>
  </si>
  <si>
    <t>Ngày giao pallet cho khách hàng: Thứ hai / Thứ ba</t>
  </si>
  <si>
    <t>ÁRUSZÁLLÍTÁS AZ ÜGYFELEKHEZ: Hétfő és kedd</t>
  </si>
  <si>
    <t>1 paleta(do 500kg) - 2300,- Kč</t>
  </si>
  <si>
    <t>1 raklap (500 kg -ig) 2300 CZK</t>
  </si>
  <si>
    <t>1 pallet (lên đến 500kg) - 2300 CZK</t>
  </si>
  <si>
    <t>2 paleta(do 750kg) - 2600,- Kč</t>
  </si>
  <si>
    <t>1 pallet (lên đến 750kg) 2600,- CZK</t>
  </si>
  <si>
    <t>1 raklap (750 kg -ig) - 2600 CZK</t>
  </si>
  <si>
    <t xml:space="preserve">   </t>
  </si>
  <si>
    <t>1. AZ ÜGYFÉL A RENDELÉSÉT A KITÖLTÖTT ELEKTRONIKUS ÁRLISTÁBAN ADJA LE /MÁS FORMÁTUM NEMLESZ ELFOGADVA/ AZ info@klasektrading.cz EMAIL CÍMRE A KELLŐ INFORMÁCIÓVAL AZ ÁRU FELRAKÁSÁRÓL, RAKLAPON VAGY SZABADON (LÁSD A 1703 CELLÁT), SZÁLLITÁS MÓDJA, ESETLEG A SZÁLLITÁS CÍMÉT.</t>
  </si>
  <si>
    <t xml:space="preserve">Cena w PLN </t>
  </si>
  <si>
    <t>Cena w PLN po rabacie</t>
  </si>
  <si>
    <t>etnafajerwerki@grupaetna.pl</t>
  </si>
  <si>
    <t>PLZ420</t>
  </si>
  <si>
    <t>Plašič zvěře- silná rána každých 35min</t>
  </si>
  <si>
    <t>MojeBanka Business</t>
  </si>
  <si>
    <t>Zavolejte nám</t>
  </si>
  <si>
    <t>KB Rádce</t>
  </si>
  <si>
    <t>kategorie</t>
  </si>
  <si>
    <t>pro</t>
  </si>
  <si>
    <t>ceník</t>
  </si>
  <si>
    <t>DP1Z50</t>
  </si>
  <si>
    <t>72/6</t>
  </si>
  <si>
    <t>DP1FM</t>
  </si>
  <si>
    <t>VP70W</t>
  </si>
  <si>
    <t>Prskavky 70cm - Wedding serie</t>
  </si>
  <si>
    <t>VP40W</t>
  </si>
  <si>
    <t>Prskavky 40cm - Wedding serie</t>
  </si>
  <si>
    <t>100/10</t>
  </si>
  <si>
    <t xml:space="preserve">Colour Vulkán 100g </t>
  </si>
  <si>
    <t xml:space="preserve">Double crackling Vulkán 100g </t>
  </si>
  <si>
    <t xml:space="preserve">Silver stars Vulkán 250g </t>
  </si>
  <si>
    <t xml:space="preserve">Silver crackling Vulkán 250g </t>
  </si>
  <si>
    <t>C1923XMF/C</t>
  </si>
  <si>
    <t>DORAZÍ</t>
  </si>
  <si>
    <t>WILL COME</t>
  </si>
  <si>
    <t>KOMMT</t>
  </si>
  <si>
    <t>PRZYJDZIE</t>
  </si>
  <si>
    <t>ANH ẤY SẼ TỚI</t>
  </si>
  <si>
    <t>ATVYKS</t>
  </si>
  <si>
    <t>DOĆI ĆE</t>
  </si>
  <si>
    <t>ĆE DOĆI</t>
  </si>
  <si>
    <t>VERRÀ</t>
  </si>
  <si>
    <t>TULEB</t>
  </si>
  <si>
    <t>JÖNNI FOG</t>
  </si>
  <si>
    <t>Viņš nāk</t>
  </si>
  <si>
    <t>K-C10025BPW/C14</t>
  </si>
  <si>
    <t>K-C10030XF/C14</t>
  </si>
  <si>
    <t>K-C1003BB/C</t>
  </si>
  <si>
    <t>K-C1003BO/C</t>
  </si>
  <si>
    <t>K-C1003BP/C</t>
  </si>
  <si>
    <t>K-C1003BPF/C</t>
  </si>
  <si>
    <t>K-C1003BPW/C14</t>
  </si>
  <si>
    <t>K-C1003NO/C14</t>
  </si>
  <si>
    <t>K-C1003SIG/C</t>
  </si>
  <si>
    <t>K-C1003W/C</t>
  </si>
  <si>
    <t>K-C10545GI/C</t>
  </si>
  <si>
    <t>K-C12230XPT/C14</t>
  </si>
  <si>
    <t>K-C128XMB/C</t>
  </si>
  <si>
    <t>K-C128XMPT/C</t>
  </si>
  <si>
    <t>K-C13220B/C14</t>
  </si>
  <si>
    <t>K-C13220TS/C14(T)</t>
  </si>
  <si>
    <t>K-C132XMPT/C</t>
  </si>
  <si>
    <t>K-C132XMPT/C14</t>
  </si>
  <si>
    <t>K-C14025XFS/C</t>
  </si>
  <si>
    <t>K-C14025XFS/C14</t>
  </si>
  <si>
    <t>K-C1503BPF/C</t>
  </si>
  <si>
    <t>K-C1503X/C</t>
  </si>
  <si>
    <t>K-C150MF/C</t>
  </si>
  <si>
    <t>K-C175MSIG/C</t>
  </si>
  <si>
    <t>K-C18020SIG/C</t>
  </si>
  <si>
    <t>K-C188MF/C</t>
  </si>
  <si>
    <t>K-C20020XPR/C14</t>
  </si>
  <si>
    <t>K-C20025BPF/C</t>
  </si>
  <si>
    <t>K-C20025F/C</t>
  </si>
  <si>
    <t>K-C2003BP/C</t>
  </si>
  <si>
    <t>K-C200MF/C</t>
  </si>
  <si>
    <t>K-C200MNID/C</t>
  </si>
  <si>
    <t>K-C204XMPT/C14</t>
  </si>
  <si>
    <t>K-C212MF/C</t>
  </si>
  <si>
    <t>K-C216XMFS/C</t>
  </si>
  <si>
    <t>K-C216XMFS/C14</t>
  </si>
  <si>
    <t>K-C219XMPT/C</t>
  </si>
  <si>
    <t>K-C222MF/C</t>
  </si>
  <si>
    <t>K-C222MNID/C</t>
  </si>
  <si>
    <t>K-C222MNPT/C</t>
  </si>
  <si>
    <t>K-C223XMK/C</t>
  </si>
  <si>
    <t>K-C223XMK/C14</t>
  </si>
  <si>
    <t>K-C25220XFS/C14</t>
  </si>
  <si>
    <t>K-C25620F/C</t>
  </si>
  <si>
    <t>K-C2563F/C</t>
  </si>
  <si>
    <t>K-C26020F/C</t>
  </si>
  <si>
    <t>K-C26420N/C</t>
  </si>
  <si>
    <t>K-C30025BPW/C</t>
  </si>
  <si>
    <t>K-C30025F/C</t>
  </si>
  <si>
    <t>K-C30025NID/C</t>
  </si>
  <si>
    <t>K-C39020F/C</t>
  </si>
  <si>
    <t>K-C40025F/C</t>
  </si>
  <si>
    <t>K-C503BPW/C14</t>
  </si>
  <si>
    <t>K-C503ME/C14</t>
  </si>
  <si>
    <t>K-C503NID/C14</t>
  </si>
  <si>
    <t>K-C505V/C</t>
  </si>
  <si>
    <t>K-C505X/C</t>
  </si>
  <si>
    <t>K-C52020F/C</t>
  </si>
  <si>
    <t>K-C755R/C</t>
  </si>
  <si>
    <t>K-C84M12E/C</t>
  </si>
  <si>
    <t>K-C84M12F/C</t>
  </si>
  <si>
    <t>K-C84M12S/C</t>
  </si>
  <si>
    <t>K-C84MC/C</t>
  </si>
  <si>
    <t>K-C9625MF/C14</t>
  </si>
  <si>
    <t>K-C9825C/C14</t>
  </si>
  <si>
    <t>Paletových souborů</t>
  </si>
  <si>
    <t>Maximální výška palety = 180 cm!</t>
  </si>
  <si>
    <t>Maximale Palettenhöhe = 180 cm!</t>
  </si>
  <si>
    <t>Maksimālais paletes augstums = 180 cm!</t>
  </si>
  <si>
    <t>Maximális raklap magasság = 180 cm!</t>
  </si>
  <si>
    <t>Maksimaalne kaubaaluse kõrgus = 180 cm!</t>
  </si>
  <si>
    <t>Altezza massima del pallet = 180 cm!</t>
  </si>
  <si>
    <t>Maksimalna visina palete = 180 cm!</t>
  </si>
  <si>
    <t>Maksimalus padėklo aukštis = 180 cm!</t>
  </si>
  <si>
    <t>Chiều cao pallet tối đa = 180 cm!</t>
  </si>
  <si>
    <t>Maksymalna wysokość palety = 180 cm!</t>
  </si>
  <si>
    <t>Maximum pallet height = 180 cm!</t>
  </si>
  <si>
    <t>Designové kartony</t>
  </si>
  <si>
    <t>Design cartons</t>
  </si>
  <si>
    <t>Kartony projektowe</t>
  </si>
  <si>
    <t>Thiết kế thùng giấy</t>
  </si>
  <si>
    <t>Dizajn kartonskih kutija</t>
  </si>
  <si>
    <t>Scatoloni di design</t>
  </si>
  <si>
    <t>Dizaino dėžutės</t>
  </si>
  <si>
    <t>Disainkarbid</t>
  </si>
  <si>
    <t>Design kartonok</t>
  </si>
  <si>
    <t>Dizaina kartona kastes</t>
  </si>
  <si>
    <t>Kartons gestalten</t>
  </si>
  <si>
    <t>Każdemu klientowi przyznany został rabat na podstawie zakupów od 01.01.2021 do 31.12.2021.</t>
  </si>
  <si>
    <t>Kiekvienam klientui buvo suteikta nuolaida pagal pirkimą nuo 2021 09 01 iki 2022 08 31.</t>
  </si>
  <si>
    <t>A kiosztott ügyfélkedvezményt 2021.09.01-től 2022.8.31-ig kötött rendelések alapján számítjuk ki.</t>
  </si>
  <si>
    <t>P6A14F3(R)</t>
  </si>
  <si>
    <t>Nelze reklamovat rychlejší dobu trvání u baterií a složených ohňostrojů. Při mnoha procesech, které nejsou pod naši kontrolou( vykládka u zákazníka, uložení ve skladu zákazníka, manipulace se zakoupeným zbožím atd.) může dojít k poškození výrobků, kdy dojde k vysypání výmetných složí do spodní části baterie a následně toto zapříčiní zrychlení doby trvání efektu, kdy jednotlivé rány střílí ve větším tempu.</t>
  </si>
  <si>
    <t>Nebude uznáno video, na kterém je vidět pouze selhání výrobku během střelby, kdy nelze identifikovat, o který výrobek se jedná!</t>
  </si>
  <si>
    <t>Nelze reklamovat u baterií roztrženou červenou vrchní fólii. Kdo nechce tento typ vrchní strany (velice náchylné na roztrhnutí), tak si tento typ výrobků neobjednává a místo toho zvolí vrchní stranu z papíru (s designem). V ceníku jsou tyto výrobky označeny jako F = fólie / D = design</t>
  </si>
  <si>
    <t>Konické vulkány(F100, F250, F500, F1000, F1500) nelze reklamovat ani vracet v rámci vratek po sezoně - důvody popsány v emailu 28.1.2019.</t>
  </si>
  <si>
    <t>Se il cliente ha la merce imballata su pallet, è obbligato a ritirare la merce sul pallet dal magazzino. Non è possibile richiedere il carico gratuito quando la merce è su bancale.</t>
  </si>
  <si>
    <t>L'altezza di un pallet non supererà i 180 cm. Se il cliente vuole sfruttare al meglio il mezzo di trasporto, deve ordinare la merce in congedo.</t>
  </si>
  <si>
    <t>When sending goods by ADR truck (load capacity 24,000 kg), the customer can unload the goods in one place free of charge, max. 4 hours. For longer unloading, the charged rate will be 800 CZK / hour of waiting, when moving to another warehouse, 100 CZK / km will be charged.</t>
  </si>
  <si>
    <t>Bei Versendung der Ware per ADR-LKW (Tragfähigkeit 24.000 kg) kann der Kunde die Ware an einem Ort kostenfrei, maximal 4 Stunden, entladen. Bei längerem Entladen beträgt der berechnete Preis 800 CZK / Stunde Wartezeit, beim Umzug in ein anderes Lager werden 100 CZK / km berechnet.</t>
  </si>
  <si>
    <t>Prilikom slanja robe ADR kamionom (nosivost 24.000 kg), kupac može besplatno istovariti robu na jednom mjestu, maksimalno 4 sata. Za duži istovar naplaćuje se 800 CZK/sat čekanja, pri prelasku u drugo skladište naplaćuje se 100 CZK/km.</t>
  </si>
  <si>
    <t>In caso di invio di merce con camion ADR (capacità di carico 24.000 kg), il cliente può scaricare gratuitamente la merce in un unico luogo, max 4 ore. Per lo scarico più lungo, la tariffa addebitata sarà di 800 CZK / ora di attesa, per il trasferimento in un altro magazzino verranno addebitati 100 CZK / km.</t>
  </si>
  <si>
    <t>Siunčiant prekes ADR sunkvežimiu (keliamoji galia 24 000 kg), klientas gali nemokamai iškrauti prekes vienoje vietoje, max 4 val. Už ilgesnį iškrovimą imamas 800 CZK / laukimo valanda, perkeliant į kitą sandėlį - 100 CZK / km.</t>
  </si>
  <si>
    <t>Wysyłając towar ciężarówką ADR (ładowność 24 000 kg) Klient może bezpłatnie rozładować towar w jednym miejscu, maksymalnie 4 godziny. Przy dłuższym rozładunku naliczona stawka wyniesie 800 CZK/godzinę oczekiwania, przy przeprowadzce do innego magazynu zostanie naliczona opłata 100 CZK/km.</t>
  </si>
  <si>
    <t>Kauba saatmisel ADR veoautoga (kandevõime 24 000 kg) saab klient kauba ühes kohas tasuta maha laadida, max 4 tundi. Pikema mahalaadimise korral on tasu 800 CZK / ootetund, teise lattu kolimisel tuleb tasuda 100 CZK / km.</t>
  </si>
  <si>
    <t>Faster durations cannot be claimed for batteries and compound fireworks. Many processes that are not under our control (unloading at the customer, storage in the customer's warehouse, handling of purchased goods, etc.) can damage the products. The explosiv material will be dumped to the bottom of the battery and this will speed up the duration of the effect, when the individual shots fire at a greater pace.</t>
  </si>
  <si>
    <t>Für Batterien und Verbundfeuerwerkskörper können keine kürzeren Laufzeiten geltend gemacht werden. Viele Prozesse, die nicht unter unserer Kontrolle stehen (Entladung beim Kunden, Lagerung im Lager des Kunden, Handling der eingekauften Ware, etc.) können die Produkte beschädigen. Das Explosivstoff wird auf den Boden der Batterie geworfen und dies beschleunigt die Wirkungsdauer, wenn die einzelnen Schüsse mit höherer Geschwindigkeit abgefeuert werden.</t>
  </si>
  <si>
    <t>Akkumulátorok és összetett tűzijátékok esetében nem igényelhető gyorsabb időtartam. Számos, nem a mi ellenőrzésünk alatt álló folyamat (kirakodás a vevőnél, tárolás a vevő raktárában, vásárolt áruk kezelése stb.) károsíthatja a termékeket. A robbanóanyag az akkumulátor aljára kerül, és ez felgyorsítja a hatás időtartamát, amikor az egyes lövések nagyobb ütemben adnak le.</t>
  </si>
  <si>
    <t>Không thể yêu cầu thời lượng nhanh hơn đối với pin và pháo hoa hỗn hợp. Nhiều quy trình không nằm trong tầm kiểm soát của chúng tôi (dỡ hàng tại khách hàng, bảo quản trong kho của khách hàng, xử lý hàng hóa đã mua, v.v.) có thể làm hỏng sản phẩm. Thuốc nổ sẽ được đổ xuống đáy pin và điều này sẽ tăng tốc thời gian của hiệu ứng, khi các phát bắn riêng lẻ bắn với tốc độ lớn hơn.</t>
  </si>
  <si>
    <t>W przypadku baterii i złożonych fajerwerków nie można żądać krótszego czasu trwania. Wiele procesów, które nie są pod naszą kontrolą (rozładunek u klienta, składowanie w magazynie klienta, obsługa zakupionych towarów itp.) może spowodować uszkodzenie produktów. Materiał wybuchowy zostanie zrzucony na dno baterii, co przyspieszy czas trwania efektu, gdy poszczególne strzały strzelają w większym tempie.</t>
  </si>
  <si>
    <t>Brže trajanje se ne može zahtevati za baterije i složeni vatromet. Mnogi procesi koji nisu pod našom kontrolom (istovar kod kupca, skladištenje u skladištu kupca, rukovanje kupljenom robom itd.) mogu oštetiti proizvode. Eksplozivni materijal će biti bačen na dno baterije i to će ubrzati trajanje efekta, kada pojedinačni hitci ispaljuju većim tempom.</t>
  </si>
  <si>
    <t>Patareide ja kombineeritud ilutulestiku puhul ei saa taotleda kiiremat kestust. Paljud protsessid, mis ei ole meie kontrolli all (mahalaadimine kliendi juures, ladustamine kliendi laos, ostetud kaupade käitlemine jne), võivad tooteid kahjustada. Plahvatusohtlik materjal heidetakse aku põhja ja see kiirendab efekti kestust, kui üksikud lasud tulistavad suurema tempoga.</t>
  </si>
  <si>
    <t>Negalima reikalauti, kad baterijų ir sudėtinių fejerverkų trukmė būtų ilgesnė. Daugelis procesų, kurių mes nekontroliuojame (iškrovimas pas klientą, sandėliavimas kliento sandėlyje, įsigytų prekių tvarkymas ir kt.), gali sugadinti gaminius. Sprogstamoji medžiaga bus išpilta į baterijos dugną ir tai pagreitins efekto trukmę, kai atskiri šūviai šaudys didesniu tempu.</t>
  </si>
  <si>
    <t>Non è possibile richiedere durate più rapide per batterie e fuochi d'artificio composti. Molte lavorazioni che non sono sotto il nostro controllo (scarico presso il cliente, stoccaggio nel magazzino del cliente, movimentazione della merce acquistata, ecc.) possono danneggiare i prodotti. Il materiale esplosivo verrà scaricato sul fondo della batteria e questo accelererà la durata dell'effetto, quando i singoli colpi sparano a un ritmo maggiore.</t>
  </si>
  <si>
    <t>Za baterije i složeni vatromet ne može se zahtijevati brža trajanja. Mnogi procesi koji nisu pod našom kontrolom (istovar kod kupca, skladištenje u skladištu kupca, rukovanje kupljenom robom i sl.) mogu oštetiti proizvode. Eksplozivni materijal će biti bačen na dno baterije i to će ubrzati trajanje efekta, kada se pojedinačni meci ispaljuju većim tempom.</t>
  </si>
  <si>
    <t xml:space="preserve">Pokud dojde k totální explozi baterie nebo složeného ohňostroje, bude reklamace uznána pouze po předložení detailní fotodokumentace ihned po incidentu, ze které bude patrné, co se s výrobkem stalo. </t>
  </si>
  <si>
    <t>Ukoliko dođe do potpune eksplozije baterije ili složenog vatrometa, reklamacija će se uvažiti tek nakon dostave detaljne fotodokumentacije neposredno nakon incidenta iz koje se vidi što se dogodilo s proizvodom.</t>
  </si>
  <si>
    <t>In caso di esplosione totale della batteria o di fuochi d'artificio composti, il reclamo sarà accettato solo dietro presentazione di una dettagliata documentazione fotografica subito dopo l'incidente, che mostrerà cosa è successo al prodotto.</t>
  </si>
  <si>
    <t>Jei įvyksta visiškas baterijos sprogimas ar kombinuotas fejerverkas, skundas priimamas tik iškart po įvykio pateikiant išsamią fotodokumentaciją, kurioje bus matyti, kas atsitiko su gaminiu.</t>
  </si>
  <si>
    <t>W przypadku całkowitego wybuchu baterii lub fajerwerków złożonych reklamacja zostanie przyjęta dopiero po złożeniu szczegółowej dokumentacji fotograficznej bezpośrednio po zdarzeniu, która pokaże, co się stało z produktem.</t>
  </si>
  <si>
    <t>Ukoliko dođe do potpune eksplozije baterije ili složenog vatrometa, reklamacija će se uvažiti tek nakon dostavljanja detaljne fotodokumentacije neposredno nakon incidenta, koja će pokazati šta se dogodilo sa proizvodom.</t>
  </si>
  <si>
    <t>Kui toimub aku totaalne plahvatus või kombineeritud ilutulestik, võetakse kaebus vastu vaid üksikasjaliku fotodokumentatsiooni esitamisel vahetult pärast juhtumit, millelt on näha, mis tootega juhtus.</t>
  </si>
  <si>
    <t>Nếu có một vụ nổ toàn bộ pin hoặc pháo hoa hỗn hợp, khiếu nại sẽ chỉ được chấp nhận khi gửi tài liệu ảnh chi tiết ngay sau sự cố, trong đó sẽ cho biết điều gì đã xảy ra với sản phẩm.</t>
  </si>
  <si>
    <t>Az akkumulátor teljes felrobbanása vagy az összetett tűzijáték esetén a reklamációt csak az eset után azonnal benyújtott részletes fényképes dokumentáció esetén fogadjuk el, amelyből kiderül, mi történt a termékkel.</t>
  </si>
  <si>
    <t>Im Falle einer Totalexplosion der Batterie oder des Verbundfeuerwerks wird die Reklamation nur nach Vorlage einer ausführlichen Fotodokumentation unmittelbar nach dem Vorfall akzeptiert, aus der hervorgeht, was mit dem Produkt passiert ist.</t>
  </si>
  <si>
    <t>If there is a total explosion of the battery or compound fireworks, the complaint will be accepted only upon submission of detailed photo documentation immediately after the incident, which will show what happened to the product.</t>
  </si>
  <si>
    <t>Torn red top foil cannot be claimed for batteries. If you do not want this type of top side (very prone to tearing), you do not order this type of product. Instead, it chooses the top of the paper (with design). In the price list, these products are marked as F = foil / D = design</t>
  </si>
  <si>
    <t>Eingerissene rote Deckfolie kann nicht für Batterien reklamiert werden. Wenn Sie diese Art von Oberseite (sehr reißanfällig) nicht wünschen, bestellen Sie diese Art von Produkt nicht. Stattdessen wählt es die Oberseite des Papiers (mit Design). In der Preisliste sind diese Produkte gekennzeichnet mit F = Folie / D = Design</t>
  </si>
  <si>
    <t>Elszakadt piros felső fólia akkumulátorra nem igényelhető. Ha nem szeretne ilyen típusú felsőt (nagyon hajlamos a szakadásra), akkor ne rendelje meg ezt a fajta terméket. Ehelyett a papír tetejét választja (a tervezéssel). Az árlistában ezek a termékek F = fólia / D = design jelzéssel vannak ellátva</t>
  </si>
  <si>
    <t>Không thể xác nhận giấy bạc trên cùng màu đỏ bị rách cho pin. Nếu bạn không muốn loại mặt trên (rất dễ bị rách), bạn không đặt hàng loại sản phẩm này. Thay vào đó, nó chọn phần trên cùng của tờ giấy (có thiết kế). Trong bảng giá, các sản phẩm này được đánh dấu là F = foil / D = design</t>
  </si>
  <si>
    <t>Rebenenud punast pealmist fooliumi ei saa akudele nõuda. Kui te seda tüüpi pealmist külge ei soovi (väga rebenemisohtlik), siis te seda tüüpi toodet ei telli. Selle asemel valib see paberi ülaosa (koos kujundusega). Hinnakirjas on need tooted märgitud F = foolium / D = disain</t>
  </si>
  <si>
    <t>Pocepana crvena gornja folija se ne može zahtevati za baterije. Ako ne želite ovu vrstu gornje strane (veoma sklonu kidanju), ne naručujete ovu vrstu proizvoda. Umesto toga, bira vrh papira (sa dizajnom). U cenovniku ovi proizvodi su označeni kao F = folija / D = dizajn</t>
  </si>
  <si>
    <t>Rozdartej czerwonej folii górnej nie można zgłaszać w przypadku baterii. Jeśli nie chcesz tego typu blatu (bardzo podatnego na rozdarcia), nie zamawiasz tego typu produktu. Zamiast tego wybiera górę papieru (z projektem). W cenniku produkty te oznaczone są jako F = folia / D = wzór</t>
  </si>
  <si>
    <t>Suplėšyta raudona viršutinė folija negali būti taikoma akumuliatoriams. Jei nenorite tokio tipo viršutinės pusės (labai linkusios plyšti), tokio tipo gaminių neužsisakykite. Vietoj to jis pasirenka popieriaus viršų (su dizainu). Kainyne šie gaminiai pažymėti F = folija / D = dizainas</t>
  </si>
  <si>
    <t>La lamina superiore rossa strappata non può essere rivendicata per le batterie. Se non desideri questo tipo di lato superiore (molto soggetto a strappi), non ordinate questo tipo di prodotto. Invece, sceglie la parte superiore della carta (con il disegno). Nel listino questi prodotti sono contrassegnati come F = foil / D = design</t>
  </si>
  <si>
    <t>Poderana crvena gornja folija ne može se tražiti za baterije. Ako ne želite ovakvu gornju stranu (jako sklonu kidanju), ne naručujete ovu vrstu proizvoda. Umjesto toga, odabire gornji dio papira (s dizajnom). U cjeniku ovi proizvodi su označeni kao F = folija / D = dizajn</t>
  </si>
  <si>
    <t>A video showing only the failure of the product during shooting will not be recognized and it is not possible to identify which product it is!</t>
  </si>
  <si>
    <t>Ein Video, das nur den Ausfall des Produkts während der Aufnahme zeigt, wird nicht erkannt und es ist nicht möglich, zu erkennen, um welches Produkt es sich handelt!</t>
  </si>
  <si>
    <t>Video koji prikazuje samo kvar proizvoda tijekom snimanja neće biti prepoznat i nije moguće identificirati o kojem se proizvodu radi!</t>
  </si>
  <si>
    <t>Un video che mostra solo il guasto del prodotto durante le riprese non verrà riconosciuto e non è possibile identificare di che prodotto si tratta!</t>
  </si>
  <si>
    <t>Vaizdo įrašas, kuriame rodomas tik gaminio gedimas filmavimo metu, nebus atpažintas ir neįmanoma atpažinti, koks tai produktas!</t>
  </si>
  <si>
    <t>Film przedstawiający jedynie awarię produktu podczas fotografowania nie zostanie rozpoznany i nie jest możliwe zidentyfikowanie, który to produkt!</t>
  </si>
  <si>
    <t>Video koji prikazuje samo kvar proizvoda tokom snimanja neće biti prepoznat i nije moguće identifikovati o kom proizvodu se radi!</t>
  </si>
  <si>
    <t>Videot, mis näitab ainult toote riket pildistamise ajal, ei tuvastata ja pole võimalik tuvastada, millise tootega on tegu!</t>
  </si>
  <si>
    <t>Video chỉ hiển thị lỗi của sản phẩm trong quá trình quay sẽ không được nhận dạng và không thể xác định được đó là sản phẩm nào!</t>
  </si>
  <si>
    <t>Azt a videót, amelyen csak a termék forgatás közbeni meghibásodása látható, a rendszer nem ismeri fel, és nem lehet azonosítani, hogy melyik termékről van szó!</t>
  </si>
  <si>
    <t>data</t>
  </si>
  <si>
    <t>skrýt</t>
  </si>
  <si>
    <t>sloupec</t>
  </si>
  <si>
    <t>pucketajući efekt, dužina 50cm</t>
  </si>
  <si>
    <t>effetto crepitio, lunghezza 50cm</t>
  </si>
  <si>
    <t>efekt trzeszczący, długość 50cm</t>
  </si>
  <si>
    <t>krekling efekat dužine 50cm</t>
  </si>
  <si>
    <t>traškantis efektas, 50cm ilgio</t>
  </si>
  <si>
    <t>krākšķu efekts, garums 50cm</t>
  </si>
  <si>
    <t>praksuv efekt, pikkus 50cm</t>
  </si>
  <si>
    <t>recsegő effektus, hossz 50cm</t>
  </si>
  <si>
    <t>práskající granule</t>
  </si>
  <si>
    <t>2 color fountain with crackling stars</t>
  </si>
  <si>
    <t>dvou barevná fontána s práskajícími hvězdami</t>
  </si>
  <si>
    <t>2 Farbfontäne mit knallenden Sternen</t>
  </si>
  <si>
    <t>fontana a 2 colore con stelle scoppiettanti</t>
  </si>
  <si>
    <t>2 kolorowa fontanna z trzaskającymi gwiazdami</t>
  </si>
  <si>
    <t>color fountain with shining stars</t>
  </si>
  <si>
    <t>barevná fontána s blikajícími hvězdami</t>
  </si>
  <si>
    <t>crackling and strobe torch</t>
  </si>
  <si>
    <t>práskající a blikající pochodeň</t>
  </si>
  <si>
    <t>Knisternde und blinkende Fackel</t>
  </si>
  <si>
    <t>pucketajuća i trepereća baklja</t>
  </si>
  <si>
    <t>torcia scoppiettante e lampeggiante</t>
  </si>
  <si>
    <t>trzeszcząca i migająca pochodnia</t>
  </si>
  <si>
    <t>pucketajuća i trepereća baklja</t>
  </si>
  <si>
    <t>đuốc nổ lách tách và nhấp nháy</t>
  </si>
  <si>
    <t>traškantis ir mirksintis fakelas</t>
  </si>
  <si>
    <t>sprakšķ un mirgo lāpa</t>
  </si>
  <si>
    <t>särisev ja vilkuv tõrvik</t>
  </si>
  <si>
    <t>recsegő és villogó fáklya</t>
  </si>
  <si>
    <t>scatcher petard, sound power 110dB from 8m(black powder)</t>
  </si>
  <si>
    <t>škrtací petarda velká, síla výbuchu 110dB z 8m(černoprachová petarda)</t>
  </si>
  <si>
    <t xml:space="preserve">Großer Reibkopfknaller, Explosionskraft 110dB von 8m(schwarz powder) </t>
  </si>
  <si>
    <t>petarda, aktivacija kresom, snaga zvuka 110dB na udaljenosti 8m (crni barut)</t>
  </si>
  <si>
    <t>petard scatcher, potenza sonora 110dB da 8m (polvere nera)</t>
  </si>
  <si>
    <t>petardy na draskę, głośność 110dB z 8m (czarny proch)</t>
  </si>
  <si>
    <t>Petarda na trenje, jačina pucnja 110dB na 8m (crni barut)</t>
  </si>
  <si>
    <t>pháo quẹt nhỏ, sức nổ 110dB từ 8m (pháo bột đen)</t>
  </si>
  <si>
    <t>nukrapštoma petarda, garso galia 110dB nuo 8m (juodi milteliai)</t>
  </si>
  <si>
    <t>Skrāpējama petarde, Skaļuma jauda 110dB no 8m(melns pulverīs)</t>
  </si>
  <si>
    <t>kraapijaga pauguti, helitugevus 110dB 8m kaugusel (musta püssirohuga)</t>
  </si>
  <si>
    <t>dörzsfejes petárda nagy, robbanás ereje 110db 8m ről /fekete poros petárda/</t>
  </si>
  <si>
    <t>snaga zvuka 117dB na udaljenosti 15m sa zelenim svjetlosnim efektom na početku</t>
  </si>
  <si>
    <t>sound power 117dB from 15m with red light on the start</t>
  </si>
  <si>
    <t>síla výbuchu 117dB z 15m s červenýnm světlem na začátku</t>
  </si>
  <si>
    <t>Explosionskraft 117dB von 15m mit rots Licht</t>
  </si>
  <si>
    <t>snaga zvuka 117dB na udaljenosti 15m, sa crvenim svjetlosnim efektom na početku</t>
  </si>
  <si>
    <t>potenza sonora 117dB da 15m con luce rossa all'inizio</t>
  </si>
  <si>
    <t>petardy lontowe z czerwonym błyskiem, głośność 117dB z 15m</t>
  </si>
  <si>
    <t>Petarda sa crvenim bljeskom na početku, jačina zvuka 117dB na 15m</t>
  </si>
  <si>
    <t>sức nổ 117dB từ 15m, với lửa đỏ ở lúc đầu</t>
  </si>
  <si>
    <t>Skaļuma jauda 117dB no 15m ar sarkano krāsu no sakuma</t>
  </si>
  <si>
    <t>helitugevus 117dB 15m kaugusel punane tuli alguses</t>
  </si>
  <si>
    <t>tube 50pcs petard, gunfire immitation,</t>
  </si>
  <si>
    <t>tuba s 50ks petard- imitace střelby</t>
  </si>
  <si>
    <t>Tube mit 50 Stk. Knallkörper - Imitation des Schießens</t>
  </si>
  <si>
    <t>50 komada petardi, imitacija rafalne pucnjave</t>
  </si>
  <si>
    <t>tubo 50pcs petard, immitamento di spari,</t>
  </si>
  <si>
    <t>karabinek w tubie 50 strzałów</t>
  </si>
  <si>
    <t>redenik u tubi 50kom.</t>
  </si>
  <si>
    <t>tuba với 50 chiếc pháo nổ- bắn giả</t>
  </si>
  <si>
    <t>50 vienetų vamzdinė petarda, imituoja šūvio garsą</t>
  </si>
  <si>
    <t>Cilindriska petārde 50gb, šaviena imitācija</t>
  </si>
  <si>
    <t>50 paugutit, tulistamise immitatsioon</t>
  </si>
  <si>
    <t>henger 50db petárdával-lövés sorozat utánzata</t>
  </si>
  <si>
    <t>tube 150pcs petard, gunfire immitation</t>
  </si>
  <si>
    <t>tuba s 150ks petard- imitace střelby</t>
  </si>
  <si>
    <t>Tube mit 150 Stk. Knallkörper - Imitation des Schießens</t>
  </si>
  <si>
    <t>150 komada petardi, imitacija rafalne pucnjave</t>
  </si>
  <si>
    <t>tubo 150pcs petard, immitamento di spari</t>
  </si>
  <si>
    <t>karabinek w tubie 150 strzałów</t>
  </si>
  <si>
    <t>redenik u tubi 150kom.</t>
  </si>
  <si>
    <t>tuba với 150 chiếc pháo nổ- bắn giả</t>
  </si>
  <si>
    <t>150 vienetų vamzdinė petarda, imituoja šūvio garsą</t>
  </si>
  <si>
    <t>Cilindriska petārde 150gb , šaviena imitācija</t>
  </si>
  <si>
    <t>150 paugutit, tulistamise immitatsioon</t>
  </si>
  <si>
    <t>henger 150db petárdával-lövés sorozat utánzata</t>
  </si>
  <si>
    <t>scare the animals - a strong blow every 35min</t>
  </si>
  <si>
    <t>erschrecken die Tiere - ein starker Schlag alle 35 Minuten</t>
  </si>
  <si>
    <t>plašenje životinja - snažna eksplozija svakih 35 minuta</t>
  </si>
  <si>
    <t>spaventare gli animali - un duro colpo ogni 35 minuti</t>
  </si>
  <si>
    <t>odstraszacz dzikich zwierząt – głośny huk co  35min</t>
  </si>
  <si>
    <t>plaši životinje - jak udarac svakih 35 minuta</t>
  </si>
  <si>
    <t>Trò chơi bù nhìn - thổi mạnh sau mỗi 35 phút</t>
  </si>
  <si>
    <t>Gąsdinti gyvūnams - stiprus sprogimas kas 35 minučių intervalu. (Gaminys Ūkininkaujantiems ir kt)</t>
  </si>
  <si>
    <t>Nobiede dzivnīekus - stiprs sprādziens kartas 35 min</t>
  </si>
  <si>
    <t>loomapeletaja- kõva pauk iga 35 minuti järel</t>
  </si>
  <si>
    <t>vadriasztó-erős durranás minden 35 percben</t>
  </si>
  <si>
    <t>Signální patrona 15mm s explozí</t>
  </si>
  <si>
    <t>product catalog 2019</t>
  </si>
  <si>
    <t>katalog produktů 2019</t>
  </si>
  <si>
    <t>Produktkatalog 2019</t>
  </si>
  <si>
    <t xml:space="preserve"> prodotti 2019</t>
  </si>
  <si>
    <t>katalog produktów 2020/21</t>
  </si>
  <si>
    <t>Catalog 2019</t>
  </si>
  <si>
    <t>Produkta katalogs 2019</t>
  </si>
  <si>
    <t>termékkatalógus 2019</t>
  </si>
  <si>
    <t>24 različitih efekata u boji</t>
  </si>
  <si>
    <t>24 różnokolorowych efektów (produkowane ręcznie)</t>
  </si>
  <si>
    <t>logická hodnota</t>
  </si>
  <si>
    <t>F14R F</t>
  </si>
  <si>
    <t>https://youtu.be/7VjovCRBPv4</t>
  </si>
  <si>
    <t>Před započetím práce s našim I-ceníkem si prohlédněte tento video návod, který Vám pomůže náš Iceník pochopit:</t>
  </si>
  <si>
    <t>Bevor Sie mit der Arbeit mit unserer I-Preisliste beginnen, sehen Sie sich diese Videoanleitung an, damit Sie unsere I-Preisliste verstehen:</t>
  </si>
  <si>
    <t>Mielőtt elkezdené dolgozni I-árlistánkkal, tekintse meg ezt a videós útmutatót, amely segít megérteni az I-árlistánkat:</t>
  </si>
  <si>
    <t>Trước khi bạn bắt đầu làm việc với bảng giá I của chúng tôi, hãy xem hướng dẫn bằng video này để giúp bạn hiểu bảng giá I của chúng tôi:</t>
  </si>
  <si>
    <t>Enne kui hakkate meie I-hinnakirjaga töötama, vaadake seda videojuhendit, mis aitab teil mõista meie I-hinnakirja:</t>
  </si>
  <si>
    <t>Zanim zaczniesz pracować z naszym I-cennikiem, obejrzyj ten przewodnik wideo, który pomoże Ci zrozumieć nasz I-cennik:</t>
  </si>
  <si>
    <t>Prieš pradėdami dirbti su mūsų I kainoraščiu, peržiūrėkite šį vaizdo įrašą, kuris padės suprasti mūsų I kainoraštį:</t>
  </si>
  <si>
    <t>Prima di iniziare a lavorare con il nostro listino prezzi I, dai un'occhiata a questa guida video per aiutarti a comprendere il nostro listino prezzi I:</t>
  </si>
  <si>
    <t>Prije nego počnete raditi s našim I-cjenikom, pogledajte ovaj video vodič koji će vam pomoći razumjeti naš I-cjenik:</t>
  </si>
  <si>
    <t>Before you start working with our I-price list, take a look at this video guide to help you understand our I-price list:</t>
  </si>
  <si>
    <t>Objednávka bude vložena do našeho systému až po přijetí 100% platby na náš účet (pokud u nás nemá otevřený kredit, opravňující ho k odběru s odloženou splatností).</t>
  </si>
  <si>
    <t>The order will be placed in our system only after receiving 100% payment to our account (if he does not have an open credit with us, entitling him to take with deferred maturity).</t>
  </si>
  <si>
    <t>Die Bestellung wird in unserem System erst aufgegeben, wenn die Zahlung zu 100% auf unserem Konto eingegangen ist (sofern er keinen offenen Kredit bei uns hat, der ihn zur Aufnahme mit aufgeschobener Laufzeit berechtigt).</t>
  </si>
  <si>
    <t>Narudžba će biti postavljena u naš sustav tek nakon što primimo 100% uplate na naš račun (ako kod nas nema otvoren kredit, koji mu daje pravo da uzme s odgođenim dospijećem).</t>
  </si>
  <si>
    <t>L'ordine verrà inserito nel nostro sistema solo dopo aver ricevuto il pagamento del 100% sul nostro conto (se non ha un credito aperto con noi, che gli dà diritto a prendere con scadenza differita).</t>
  </si>
  <si>
    <t>Užsakymas bus pateiktas mūsų sistemoje tik gavus 100% apmokėjimą į mūsų sąskaitą (jei jis pas mus neturi atviro kredito, suteikiančio teisę imti su atidėtu terminu).</t>
  </si>
  <si>
    <t>Zamówienie zostanie złożone w naszym systemie dopiero po otrzymaniu 100% wpłaty na nasze konto (jeżeli nie posiada u nas otwartego kredytu, uprawniającego do zaciągnięcia z odroczonym terminem zapadalności).</t>
  </si>
  <si>
    <t>Tellimus esitatakse meie süsteemi alles pärast 100% makse laekumist meie kontole (kui tal ei ole meie juures avatud krediiti, mis annab õiguse võtta edasilükatud tähtajaga).</t>
  </si>
  <si>
    <t>Đơn hàng sẽ được đặt trong hệ thống của chúng tôi chỉ sau khi nhận được 100% tiền thanh toán vào tài khoản của chúng tôi (nếu anh ta không có một khoản tín dụng mở với chúng tôi, cho phép anh ta nhận với thời gian đáo hạn trả chậm).</t>
  </si>
  <si>
    <t>A rendelés csak a 100%-os befizetés számlánkra történő beérkezése után kerül feladásra rendszerünkben (ha nincs nálunk nyitott, halasztott lejáratú felvételre jogosító hitele).</t>
  </si>
  <si>
    <t>Conical volcanoes (F100, F250, F500, F1000, F1500) cannot be claimed or returned as part of returns after the season○   the reasons described in the email from 28.1.2019.</t>
  </si>
  <si>
    <t>In column Z write your order○   write only a number expressing the number of ordered cartons.</t>
  </si>
  <si>
    <t>○        na objednané zboží, bude vystavena zálohová faktura na 100% hodnoty rezervovaného zboží a až po zaplacení této zálohy na náš účet, bude zboží rezervováno (pokud u nás zákazník nemá otevřený kredit).</t>
  </si>
  <si>
    <t>red foil</t>
  </si>
  <si>
    <t>rote Folie</t>
  </si>
  <si>
    <t>czerwona folia</t>
  </si>
  <si>
    <t>giấy bạc đỏ</t>
  </si>
  <si>
    <t>raudona folija</t>
  </si>
  <si>
    <t>crvena folija</t>
  </si>
  <si>
    <t>lamina rossa</t>
  </si>
  <si>
    <t>punane foolium</t>
  </si>
  <si>
    <t>piros fólia</t>
  </si>
  <si>
    <t>sarkana folija</t>
  </si>
  <si>
    <t>papírový design</t>
  </si>
  <si>
    <t>paper design</t>
  </si>
  <si>
    <t>Papierdesign</t>
  </si>
  <si>
    <t>projekt papieru</t>
  </si>
  <si>
    <t>thiết kế giấy</t>
  </si>
  <si>
    <t>popieriaus dizainas</t>
  </si>
  <si>
    <t>dizajn papira</t>
  </si>
  <si>
    <t>disegno di carta</t>
  </si>
  <si>
    <t>paberikujundus</t>
  </si>
  <si>
    <t>papír tervezés</t>
  </si>
  <si>
    <t>papīra dizains</t>
  </si>
  <si>
    <t>design</t>
  </si>
  <si>
    <t>Entwurf</t>
  </si>
  <si>
    <t>projekt</t>
  </si>
  <si>
    <t>thiết kế</t>
  </si>
  <si>
    <t>dizainas</t>
  </si>
  <si>
    <t>oblikovati</t>
  </si>
  <si>
    <t>dizajn</t>
  </si>
  <si>
    <t>disain</t>
  </si>
  <si>
    <t>tervezés</t>
  </si>
  <si>
    <t>dizains</t>
  </si>
  <si>
    <t>horního víka</t>
  </si>
  <si>
    <t>top side</t>
  </si>
  <si>
    <t>Oberseite</t>
  </si>
  <si>
    <t>górna strona</t>
  </si>
  <si>
    <t>mặt trên</t>
  </si>
  <si>
    <t>viršutinė pusė</t>
  </si>
  <si>
    <t>gornja strana</t>
  </si>
  <si>
    <t>lato superiore</t>
  </si>
  <si>
    <t>ülemine pool</t>
  </si>
  <si>
    <t>augšpusē</t>
  </si>
  <si>
    <t>ADR</t>
  </si>
  <si>
    <t>Kategorie</t>
  </si>
  <si>
    <t>K-C150MPT/C</t>
  </si>
  <si>
    <t>K-C19220F/C</t>
  </si>
  <si>
    <t>K-C2003U/C</t>
  </si>
  <si>
    <t>K-C204XMPT/C</t>
  </si>
  <si>
    <t>K-C253XMPT/C</t>
  </si>
  <si>
    <t>K-C2563XMF/C</t>
  </si>
  <si>
    <t>K-C40020XPR/C14</t>
  </si>
  <si>
    <t>K-C53620F/C</t>
  </si>
  <si>
    <t>SS50K E</t>
  </si>
  <si>
    <t>červená fólie</t>
  </si>
  <si>
    <t>CDK1</t>
  </si>
  <si>
    <t>CDK1(1)</t>
  </si>
  <si>
    <t>CST12S</t>
  </si>
  <si>
    <t>RDG60B</t>
  </si>
  <si>
    <t>RDG60C</t>
  </si>
  <si>
    <t>RDG60M</t>
  </si>
  <si>
    <t>RDG60ZL</t>
  </si>
  <si>
    <t>RDG60ZE</t>
  </si>
  <si>
    <t>RDG60O</t>
  </si>
  <si>
    <t>RDG60CER</t>
  </si>
  <si>
    <t>RDG25B</t>
  </si>
  <si>
    <t>RDG25C</t>
  </si>
  <si>
    <t>RDG25M</t>
  </si>
  <si>
    <t>RDG25ZL</t>
  </si>
  <si>
    <t>RDG25ZE</t>
  </si>
  <si>
    <t>RDG25O</t>
  </si>
  <si>
    <t>RDG25CER</t>
  </si>
  <si>
    <t>RDP60ZL</t>
  </si>
  <si>
    <t>RDP60ZE</t>
  </si>
  <si>
    <t>RDP60O</t>
  </si>
  <si>
    <t>RDP60CER</t>
  </si>
  <si>
    <t>Profi Fireworks show 252</t>
  </si>
  <si>
    <t>Profi Fireworks show 192</t>
  </si>
  <si>
    <t>Profi Fireworks show 150</t>
  </si>
  <si>
    <t>Profi Fireworks show 200</t>
  </si>
  <si>
    <t>logika prod.</t>
  </si>
  <si>
    <t>zbývá VK</t>
  </si>
  <si>
    <t>logika rezervace</t>
  </si>
  <si>
    <t>Nelze předobjednat položku, která je skladem!</t>
  </si>
  <si>
    <t>Nelze předobjednat položku, která letos nedorazí!</t>
  </si>
  <si>
    <t>POZOR! Rozdílné datum doručení! Objednejte v oddělené objednávce! Datum dodání se musí shodovat!</t>
  </si>
  <si>
    <t>skupin</t>
  </si>
  <si>
    <t>STAV</t>
  </si>
  <si>
    <t>NAZEV</t>
  </si>
  <si>
    <t>INCTN</t>
  </si>
  <si>
    <t>CZKN</t>
  </si>
  <si>
    <t>EURN</t>
  </si>
  <si>
    <t>KAT</t>
  </si>
  <si>
    <t>JAZYKYV</t>
  </si>
  <si>
    <t>JAZYKYM</t>
  </si>
  <si>
    <t>DESIGN</t>
  </si>
  <si>
    <t>CAS</t>
  </si>
  <si>
    <t>FOTO</t>
  </si>
  <si>
    <t>VIDEO</t>
  </si>
  <si>
    <t>POPIS</t>
  </si>
  <si>
    <t>PAL</t>
  </si>
  <si>
    <t>CCZKB</t>
  </si>
  <si>
    <t>CCZKS</t>
  </si>
  <si>
    <t>TOTAL</t>
  </si>
  <si>
    <t>HM</t>
  </si>
  <si>
    <t>KUB</t>
  </si>
  <si>
    <t>NEQ</t>
  </si>
  <si>
    <t>BAL</t>
  </si>
  <si>
    <t>NEW</t>
  </si>
  <si>
    <t>NEM</t>
  </si>
  <si>
    <t>M</t>
  </si>
  <si>
    <t>SDV</t>
  </si>
  <si>
    <t>s přirážkou 8%</t>
  </si>
  <si>
    <t>mit einem Zuschlag von 8%</t>
  </si>
  <si>
    <t>with a surcharge of 8%</t>
  </si>
  <si>
    <t>z dopłatą 8%</t>
  </si>
  <si>
    <t>với phụ phí 8%</t>
  </si>
  <si>
    <t>su 8% priemoka</t>
  </si>
  <si>
    <t>uz nadoplatu od 8%</t>
  </si>
  <si>
    <t>uz doplatu od 8%</t>
  </si>
  <si>
    <t>con un supplemento dell'8%</t>
  </si>
  <si>
    <t>lisatasuga 8%</t>
  </si>
  <si>
    <t>8%-os felárral</t>
  </si>
  <si>
    <t>ar piemaksu 8%</t>
  </si>
  <si>
    <t>Finální součet Vaši objednávky naleznete zde:</t>
  </si>
  <si>
    <t>Die Endsumme Ihrer Bestellung finden Sie hier:</t>
  </si>
  <si>
    <t>Jūsu pasūtījuma galīgo summu var atrast šeit:</t>
  </si>
  <si>
    <t>Megrendelésed végösszegét itt találod:</t>
  </si>
  <si>
    <t>Tellimuse lõpliku summa leiate siit:</t>
  </si>
  <si>
    <t>La somma finale del tuo ordine può essere trovata qui:</t>
  </si>
  <si>
    <t>Konačan iznos vaše porudžbine možete pronaći ovde:</t>
  </si>
  <si>
    <t>Konačan iznos vaše narudžbe možete pronaći ovdje:</t>
  </si>
  <si>
    <t>Galutinę užsakymo sumą galite rasti čia:</t>
  </si>
  <si>
    <t>Tổng đơn hàng cuối cùng của bạn có thể được tìm thấy tại đây:</t>
  </si>
  <si>
    <t>Ostateczną sumę zamówienia znajdziesz tutaj:</t>
  </si>
  <si>
    <t>The final sum of your order can be found here:</t>
  </si>
  <si>
    <t>Až na základě tohoto potvrzení si zákazník může zboží vyzvednout.</t>
  </si>
  <si>
    <t xml:space="preserve">Only on the basis of this confirmation can the customer pick up the goods. </t>
  </si>
  <si>
    <t xml:space="preserve">Nur aufgrund dieser Bestätigung kann der Kunde die Ware abholen. </t>
  </si>
  <si>
    <t xml:space="preserve">Samo na temelju naše potvrde kupac može preuzeti robu. </t>
  </si>
  <si>
    <t>Tik gavęs šį patvirtinimą klientas gali atsiimti prekes.</t>
  </si>
  <si>
    <t xml:space="preserve">Tylko na podstawie tego potwierdzenia klient może odebrać towar. </t>
  </si>
  <si>
    <t xml:space="preserve">Ainult kinnituse alusel saab klient kaubale järele tulla. </t>
  </si>
  <si>
    <t xml:space="preserve">Chỉ trên cơ sở xác nhận này, khách hàng mới có thể lấy hàng. </t>
  </si>
  <si>
    <t xml:space="preserve">AZ ÜGYFÉL CSAK ENNEK AZ IGAZOLÁSNAK ALAPJÁN VEHETI ÁT AZ ÁRUT. </t>
  </si>
  <si>
    <t>RDP60C</t>
  </si>
  <si>
    <t>RDP60M</t>
  </si>
  <si>
    <t>ruční dýmová pochodeň s trhací pojistkou-červená barva</t>
  </si>
  <si>
    <t>ruční dýmová pochodeň s trhací pojistkou-modrá barva</t>
  </si>
  <si>
    <t>hand held smoke with pulling initiate system - red color</t>
  </si>
  <si>
    <t>Handrauchfackel mit Zuginitiatorsystem - rote Farbe</t>
  </si>
  <si>
    <t xml:space="preserve">ručni dim sa aktivacijom povlačenjem - crvena boja </t>
  </si>
  <si>
    <t xml:space="preserve"> tenutoin mano con sistema di avvio di trazione - fumo colore rosso</t>
  </si>
  <si>
    <t>świeca dymna z uchwytem, odpalana ręcznie - kolor czerwony</t>
  </si>
  <si>
    <t>ngọn đuốc khói tay, congòi nổ - màu đỏ</t>
  </si>
  <si>
    <t>rankose laikomi dūmai, uzsidegantis istraukus zieda arba uzdegami su fitiliu, raudonos spalvos</t>
  </si>
  <si>
    <t>käes hoitav suitsuküünal splindi tõmbamisega - punane</t>
  </si>
  <si>
    <t>kézi füstfáklya rántó gyújtóval - piros színű</t>
  </si>
  <si>
    <t>Rokās turama dūmu caurule ar vilkšānas uzsākšānas sistemu - sarkana krāsa</t>
  </si>
  <si>
    <t>hand held smoke with pulling initiate system - blue color</t>
  </si>
  <si>
    <t>Handrauchfackel mit Zuginitiatorsystem - blaue Farbe</t>
  </si>
  <si>
    <t xml:space="preserve">ručni dim sa aktivacijom povlačenjem - plava boja </t>
  </si>
  <si>
    <t xml:space="preserve"> tenutoin mano con sistema di avvio di trazione - fumo colore blu</t>
  </si>
  <si>
    <t>świeca dymna z uchwytem, odpalana ręcznie – kolor niebieski</t>
  </si>
  <si>
    <t>ngọn đuốc khói tay, congòi nổ - màu xanh lam</t>
  </si>
  <si>
    <t>rankose laikomi dūmai, uzsidegantis istraukus zieda arba uzdegami su fitiliu, mėlynos spalvos</t>
  </si>
  <si>
    <t>käes hoitav suitsuküünal splindi tõmbamisega - sinine</t>
  </si>
  <si>
    <t>kézi füstfáklya rántó gyújtóval - kék színű</t>
  </si>
  <si>
    <t>Rokās turama dūmu caurule ar vilkšānas uzsākšānas sistemu - zilakrāsa</t>
  </si>
  <si>
    <t>C493GH E</t>
  </si>
  <si>
    <t>C255BP E</t>
  </si>
  <si>
    <t>C253NO14 E</t>
  </si>
  <si>
    <t>Baterie</t>
  </si>
  <si>
    <t>Batterien</t>
  </si>
  <si>
    <t>Battery</t>
  </si>
  <si>
    <t>Vatrometna kutija</t>
  </si>
  <si>
    <t>Batteria</t>
  </si>
  <si>
    <t>šūvių baterija</t>
  </si>
  <si>
    <t>Wyrzutnie rurowe</t>
  </si>
  <si>
    <t>Baterije</t>
  </si>
  <si>
    <t>"Compact"</t>
  </si>
  <si>
    <t>baterija</t>
  </si>
  <si>
    <t>patarei</t>
  </si>
  <si>
    <t>Telepek</t>
  </si>
  <si>
    <t>Postup při rezervaci zboží, které je skladem:</t>
  </si>
  <si>
    <t>A raktáron lévő áruk lefoglalásának menete:</t>
  </si>
  <si>
    <t>Thủ tục đặt hàng nhập kho:</t>
  </si>
  <si>
    <t>Laos olevate kaupade broneerimise kord:</t>
  </si>
  <si>
    <t>Noliktavā esošo preču rezervēšanas kārtība:</t>
  </si>
  <si>
    <t>Procedura rezerwacji towarów znajdujących się w magazynie:</t>
  </si>
  <si>
    <t>Prekių, kurios yra sandėlyje, užsakymo tvarka:</t>
  </si>
  <si>
    <t>Procedura per la prenotazione della merce in giacenza:</t>
  </si>
  <si>
    <t>Postupak rezervacije robe koja je na zalihama:</t>
  </si>
  <si>
    <t>Ablauf für die Buchung von Lagerware:</t>
  </si>
  <si>
    <t>Procedure for booking goods that are in stock:</t>
  </si>
  <si>
    <t>Postup při rezervaci zboží, které není skladem:</t>
  </si>
  <si>
    <t xml:space="preserve">○        je možné rezervovat také zboží, které je teprve na cestě(není skladem) </t>
  </si>
  <si>
    <t>○        není možné rezervovat žádné jiné zboží než to, co je v záložce Reservation</t>
  </si>
  <si>
    <t>○        v rámci jedné rezervace, je možné rezervovat  pouze zboží se stejným dnem doručení na náš sklad</t>
  </si>
  <si>
    <t>○        pro rezervace platí ceny, které jsou uvedeny v záložce Reservation a upozorňujeme, že tyto ceny jsou o 8% vyšší než naše standartní ceny</t>
  </si>
  <si>
    <t xml:space="preserve">○        po přijetí rezervace bude vystavena zálohová faktura na 100% hodnotu zboží se splatností 1 den (pokud u nás nemá zákazník otevřený kredit, opravňující ho k odběru s odloženou splatností). </t>
  </si>
  <si>
    <t>○        rezervované zboží bude opravdu zarezervováno až po zaslání potvrzení platby zákazníkem.</t>
  </si>
  <si>
    <t>○        it is also possible to book goods that are still on the way (not in stock)</t>
  </si>
  <si>
    <t>○        es ist auch möglich, Waren zu buchen, die noch unterwegs sind (nicht auf Lager)</t>
  </si>
  <si>
    <t>○        također je moguće rezervirati robu koja je još na putu (nije na zalihi)</t>
  </si>
  <si>
    <t>○        è possibile prenotare anche merce ancora in arrivo (non in stock)</t>
  </si>
  <si>
    <t>○        Taip pat galima užsisakyti prekes, kurios dar yra pakeliui (ne sandėlyje)</t>
  </si>
  <si>
    <t>○        istnieje również możliwość rezerwacji towarów, które są jeszcze w drodze (nie na stanie)</t>
  </si>
  <si>
    <t>○        iespējams rezervēt arī preces, kas vēl ir ceļā (nav noliktavā)</t>
  </si>
  <si>
    <t>○        on võimalik broneerida ka kaupa, mis on veel teel (pole laos)</t>
  </si>
  <si>
    <t>○        cũng có thể đặt hàng vẫn còn trên đường (không có trong kho)</t>
  </si>
  <si>
    <t>○        Lehetőség van még úton lévő áruk lefoglalására (nincs raktáron)</t>
  </si>
  <si>
    <t>○        it is not possible to reserve any goods other than what is in the Reservation tab</t>
  </si>
  <si>
    <t>○        Es ist nicht möglich, andere Waren zu reservieren als die, die auf der Registerkarte „Reservierung“ aufgeführt sind</t>
  </si>
  <si>
    <t>○        nije moguće rezervirati bilo koju drugu robu osim one koja se nalazi na kartici Rezervacija</t>
  </si>
  <si>
    <t>○        non è possibile prenotare merce diversa da quella presente nella scheda Prenotazione</t>
  </si>
  <si>
    <t>○        negalima rezervuoti jokių prekių, išskyrus tas, kurios yra skirtuke Rezervacija</t>
  </si>
  <si>
    <t>○        nie ma możliwości rezerwacji innego towaru niż ten, który znajduje się w zakładce Rezerwacja</t>
  </si>
  <si>
    <t>○        nav iespējams rezervēt citas preces, izņemot tās, kas ir norādītas cilnē Rezervācija</t>
  </si>
  <si>
    <t>○        ei ole võimalik broneerida muid kaupu peale selle, mis on vahekaardil Broneering</t>
  </si>
  <si>
    <t>○        không thể đặt trước bất kỳ hàng hóa nào ngoài những hàng hóa có trong tab Đặt chỗ</t>
  </si>
  <si>
    <t>○        a Foglalás fülön kívül más árut nem lehet lefoglalni</t>
  </si>
  <si>
    <t>○        within one reservation, it is possible to book only goods with the same delivery date to our warehouse</t>
  </si>
  <si>
    <t>○        Innerhalb einer Reservierung ist es möglich, nur Waren mit demselben Lieferdatum in unser Lager zu buchen</t>
  </si>
  <si>
    <t>○        unutar jedne rezervacije moguće je rezervirati samo robu s istim rokom isporuke u naše skladište</t>
  </si>
  <si>
    <t>○        all'interno di un'unica prenotazione è possibile prenotare solo merce con la stessa data di consegna presso il nostro magazzino</t>
  </si>
  <si>
    <t>○        per vieną rezervaciją galima užsisakyti tik prekes su ta pačia pristatymo data į mūsų sandėlį</t>
  </si>
  <si>
    <t>○        w ramach jednej rezerwacji można zarezerwować tylko towary z tym samym terminem dostawy do naszego magazynu</t>
  </si>
  <si>
    <t>○        Ühe broneeringu raames on võimalik meie lattu broneerida ainult sama tarnekuupäevaga kaupu</t>
  </si>
  <si>
    <t>○        trong một lần đặt trước, chỉ có thể đặt hàng có cùng ngày giao hàng đến kho của chúng tôi</t>
  </si>
  <si>
    <t>○        Egy foglaláson belül csak azonos szállítási dátumú árut lehet lefoglalni raktárunkba</t>
  </si>
  <si>
    <t>○        the prices listed in the Reservation tab apply to reservations and please note that these prices are 8% higher than our standard prices</t>
  </si>
  <si>
    <t>○        die auf der Registerkarte „Reservierung“ aufgeführten Preise gelten für Reservierungen und bitte beachten Sie, dass diese Preise 8 % über unseren Standardpreisen liegen</t>
  </si>
  <si>
    <t>○        Cijene navedene na kartici Rezervacija odnose se na rezervacije i imajte na umu da su ove cijene 8% više od naših standardnih cijena</t>
  </si>
  <si>
    <t>○        i prezzi elencati nella scheda Prenotazione si applicano alle prenotazioni e si prega di notare che questi prezzi sono superiori dell'8% rispetto ai nostri prezzi standard</t>
  </si>
  <si>
    <t>○        Rezervacijos skirtuke nurodytos kainos taikomos rezervacijai ir atkreipkite dėmesį, kad šios kainos yra 8 % didesnės nei mūsų standartinės kainos</t>
  </si>
  <si>
    <t>○        ceny podane w zakładce Rezerwacja dotyczą rezerwacji i należy pamiętać, że ceny te są o 8% wyższe niż nasze standardowe ceny</t>
  </si>
  <si>
    <t>○        vahekaardil Broneering toodud hinnad kehtivad broneeringutele ja pange tähele, et need hinnad on 8% kõrgemad kui meie tavahinnad</t>
  </si>
  <si>
    <t>○        giá được liệt kê trong tab Đặt chỗ áp dụng cho các đặt chỗ và xin lưu ý rằng giá này cao hơn 8% so với giá tiêu chuẩn của chúng tôi</t>
  </si>
  <si>
    <t>○        a Foglalás lapon feltüntetett árak érvényesek a foglalásokra, és kérjük, vegye figyelembe, hogy ezek az árak 8%-kal magasabbak, mint a normál áraink</t>
  </si>
  <si>
    <t>○        upon receipt of the reservation, an advance invoice will be issued for 100% of the value of the goods with a maturity of 1 day (if the customer does not have an open credit with us, entitling him to take delivery with a deferred maturity).</t>
  </si>
  <si>
    <t>○        bei Eingang des Vorbehalts wird eine Vorausrechnung über 100 % des Warenwertes mit einer Laufzeit von 1 Tag (sofern der Kunde bei uns kein offenes Guthaben hat, das ihn zur Abnahme mit aufgeschobener Fälligkeit berechtigt) ausgestellt ).</t>
  </si>
  <si>
    <t>○        po primitku rezervacije izdat će se predračun za 100% vrijednosti robe s rokom dospijeća od 1 dana (ako kupac nema otvoren kredit kod nas, koji mu daje pravo na preuzimanje s odgođenim rokom dospijeća ).</t>
  </si>
  <si>
    <t>○        al ricevimento della prenotazione verrà emessa fattura anticipata pari al 100% del valore della merce con scadenza 1 giorno (se il cliente non ha un credito aperto con noi, dandogli diritto alla consegna con scadenza differita ).</t>
  </si>
  <si>
    <t>○        gavus rezervaciją, išrašoma išankstinė sąskaita 100% prekių vertės, kurios terminas 1 diena (jei klientas pas mus neturi atviro kredito, suteikiančio teisę atsiimti pristatymą su atidėtu terminu ).</t>
  </si>
  <si>
    <t>○        po otrzymaniu rezerwacji zostanie wystawiona faktura zaliczkowa na 100% wartości towaru z terminem zapadalności 1 dnia (jeśli klient nie posiada u nas kredytu otwartego, uprawniającego do przyjęcia dostawy z odroczonym terminem zapadalności ).</t>
  </si>
  <si>
    <t>○        broneeringu laekumisel väljastatakse 1-päevase tähtajaga ettemaksu arve 100% kauba väärtusest (kui kliendil ei ole meie juures avatud krediiti, mis annab õiguse edasilükatud tähtajaga tarne vastu võtta ).</t>
  </si>
  <si>
    <t>○        khi nhận đặt trước sẽ xuất hóa đơn ứng trước 100% giá trị hàng có thời gian đáo hạn 1 ngày (nếu khách hàng không có tín dụng mở với chúng tôi, được quyền nhận hàng trả chậm ).</t>
  </si>
  <si>
    <t>○        a foglalás kézhezvételekor az áru értékének 100%-áról előleg számlát állítunk ki 1 napos futamidővel (ha a vásárlónak nincs nálunk nyitott hitele, amely halasztott futamidejű szállításra jogosít ).</t>
  </si>
  <si>
    <t>○        the reserved goods will really be reserved only after sending the payment confirmation by the customer.</t>
  </si>
  <si>
    <t>○        Die Vorbehaltsware wird erst nach Zusendung der Zahlungsbestätigung durch den Kunden tatsächlich reserviert.</t>
  </si>
  <si>
    <t>○        rezervirana roba će stvarno biti rezervirana tek nakon slanja potvrde plaćanja od strane kupca.</t>
  </si>
  <si>
    <t>○        la merce riservata sarà effettivamente riservata solo dopo l'invio della conferma di pagamento da parte del cliente.</t>
  </si>
  <si>
    <t>○        rezervuotos prekės tikrai bus rezervuotos tik klientui atsiuntus mokėjimo patvirtinimą.</t>
  </si>
  <si>
    <t>○        towar zastrzeżony zostanie faktycznie zarezerwowany dopiero po przesłaniu przez klienta potwierdzenia płatności.</t>
  </si>
  <si>
    <t>○        broneeritud kaup reserveeritakse reaalselt alles peale kliendipoolse maksekinnituse saatmist.</t>
  </si>
  <si>
    <t>○        Hàng đã đặt trước chỉ thực sự được đặt sau khi khách hàng gửi xác nhận thanh toán.</t>
  </si>
  <si>
    <t>○        a lefoglalt áruk tényleges lefoglalása csak a fizetési visszaigazolás vásárló általi elküldése után történik meg.</t>
  </si>
  <si>
    <t>○        Výška jedné palety nebude vyšší než 180cm. Pokud chce zákazník maximálně využít dopravního prostředku, tak si musí objednat zboží na volno.</t>
  </si>
  <si>
    <t>○        Pokud si zákazník nechá zabalit zboží na palety, je povinen si zboží na paletě vyzvednout ze skladu, není možné požadovat naloženi na volno, když je zboží na paletách.</t>
  </si>
  <si>
    <t>○        Pokud zákazník doručí paletu osobně zpět, bude mu vystaven dobropis na tyto palety ve stejné ceně, za kterou mu byly palety fakturovány.</t>
  </si>
  <si>
    <t>○        Zákazník může palety zaslat zpět také spediční službou(na vlastní náklady) a dobropis mu bude vystaven po doručení palet na náš sklad.</t>
  </si>
  <si>
    <t>○        Není možné palety posílat zpět po řídiči/spediční službě, která zboží dovezla!</t>
  </si>
  <si>
    <t>Ve sloupci AD naleznete aktuální skladovou dostupnost.</t>
  </si>
  <si>
    <t>In column AD you can find current stock availability.</t>
  </si>
  <si>
    <t>U stupcu AD nalazi se podatak o trenutno dostupnoj količini proizvoda ( u kartonima)</t>
  </si>
  <si>
    <t>W kolumnie AD można znaleźć aktualną dostępność magazynową.</t>
  </si>
  <si>
    <t>Veergust AD leiate laovarude hetke seisu.</t>
  </si>
  <si>
    <t>AZ AD OSZLOPBAN LÁTHATJA A RAKTÁR KÉSZLETET</t>
  </si>
  <si>
    <t xml:space="preserve">Sloupec AE → cena za položku v CZK bez DPH </t>
  </si>
  <si>
    <t xml:space="preserve">Cột AE → giá mỗi mặt hàng tính bằng CZK chưa có VAT </t>
  </si>
  <si>
    <t>Sloupec AF → cena za položku v CZK včetně DPH</t>
  </si>
  <si>
    <t>Cột AF → giá mỗi mặt hàng tính bằng CZK bao gồm VAT</t>
  </si>
  <si>
    <t>Sloupec AG → cena za položku v EUR bez DPH</t>
  </si>
  <si>
    <t>Cột AG → giá mỗi mặt hàng tính bằng EUR chưa có VAT</t>
  </si>
  <si>
    <t>Sloupec AH → váha za položku v kg</t>
  </si>
  <si>
    <t>Cột AH → trọng lượng mỗi mặt hàng tính bằng kg</t>
  </si>
  <si>
    <t>Sloupec AI → objem za položku v m3</t>
  </si>
  <si>
    <t>Cột AI → khối lượng mỗi mục tính bằng m3</t>
  </si>
  <si>
    <t>Sloupec AJ → NEC - čistá váha pyrotechnických složí položek ADR třídy 1.1G</t>
  </si>
  <si>
    <t>Cột AJ → NEC - trọng lượng của chế phẩm pháo hoa của các mặt hàng ADR cấp 1.1G</t>
  </si>
  <si>
    <t>Sloupec AK → NEC - čistá váha pyrotechnických složí položek ADR třídy 1.3G</t>
  </si>
  <si>
    <t>Cột AK → NEC - trọng lượng của chế phẩm pháo hoa của các vật phẩm ADR cấp 1.3G</t>
  </si>
  <si>
    <t>Sloupec AL → NEC - čistá váha pyrotechnických složí položek ADR třídy 1.4G</t>
  </si>
  <si>
    <t>Cột AL → NEC - trọng lượng của chế phẩm pháo hoa của các hạng mục ADR cấp 1.4G</t>
  </si>
  <si>
    <t>Sloupec AM → NEC - čistá váha pyrotechnických složí celkem za všechny ADR třídy</t>
  </si>
  <si>
    <t>Cột AM → NEC - trọng lượng của các chế phẩm pháo hoa cho tất cả các loại ADR</t>
  </si>
  <si>
    <t>Spalte AE → Preis pro Artikel in CZK exkl. MwSt.</t>
  </si>
  <si>
    <t>Stupac AE → cijena proizvoda u CZK bez PDV-a</t>
  </si>
  <si>
    <t>Kolumna AE → cena za sztukę w CZK netto.</t>
  </si>
  <si>
    <t>Veerg AE → kauba hind Tšehhi kroonides, ilma käibemaksuta.</t>
  </si>
  <si>
    <t>OSZLOP AE → A TÉTEL ÁRA CZK BAN ÁFA NÉLKÜL</t>
  </si>
  <si>
    <t>Spalte AF → Preis pro Artikel in CZK inkl. Gesetzl. MwSt.</t>
  </si>
  <si>
    <t>Stupac AF → cijena proizvoda u CZK sa uključenim PDV-om</t>
  </si>
  <si>
    <t>Kolumna AF → cena za sztukę w CZK brutto.</t>
  </si>
  <si>
    <t>Veerg AF → kauba hind Tšehhi kroonides, käibemaksuga.</t>
  </si>
  <si>
    <t>OSZLOP AF → A TÉTEL ÁRA CZK BAN ÁFÁVAL</t>
  </si>
  <si>
    <t>Spalte AG → Preis pro Artikel in EUR ohne MwSt.</t>
  </si>
  <si>
    <t>Stupac AG → cijena proizvoda u EUR bez PDV-a</t>
  </si>
  <si>
    <t>Stulpelis AG → prekės kaina EUR be PVM.</t>
  </si>
  <si>
    <t>Kolumna AG → cena za sztukę w EUR netto.</t>
  </si>
  <si>
    <t>Veerg AG → kauba hind eurodes, ilma käibemaksuta.</t>
  </si>
  <si>
    <t>OSZLOP AG → A TÉTEL ÁRA EUR BAN ÁFA NÉLKÜL</t>
  </si>
  <si>
    <t>Säule AH → Gewicht pro Artikel in kg.</t>
  </si>
  <si>
    <t>Stupac AH → težina proizvoda u kg.</t>
  </si>
  <si>
    <t>Kolumna AH → waga jednej sztuki w kg.</t>
  </si>
  <si>
    <t>Veerg AH → kaal toote kohta kilogrammides</t>
  </si>
  <si>
    <t>OSZLOP AH → A TÉTEL SÚLYA KG BAN</t>
  </si>
  <si>
    <t>Spalte AI → Volumen pro Artikel in m3.</t>
  </si>
  <si>
    <t>Stupac AI → obujam proizvoda u m3.</t>
  </si>
  <si>
    <t>Kolumna AI → objętość na sztukę wm3.</t>
  </si>
  <si>
    <t>Veerg AI → maht toote kohta m3-des.</t>
  </si>
  <si>
    <t>OSZLOP AI → A TÉTEL TÉRFOGATA M3 BEN</t>
  </si>
  <si>
    <t xml:space="preserve">Stupac AJ → NEM → neto eksplozivna težina za proizvod prema ADR klasi 1.1G </t>
  </si>
  <si>
    <t xml:space="preserve">Stupac AK → NEM → neto eksplozivna težina za proizvod prema ADR klasi 1.3G </t>
  </si>
  <si>
    <t xml:space="preserve">Stupac AL → NEM → neto eksplozivna težina za proizvod prema ADR klasi 1.4G </t>
  </si>
  <si>
    <t>Stupac AM → NEM → ukupna neto eksplozivna težina za sve ADR klase</t>
  </si>
  <si>
    <t>Säule AJ → NEC - Nettogewicht pyrotechnischer Zusammensetzungen von Gegenständen der ADR-Klasse 1.1G.</t>
  </si>
  <si>
    <t>Kolumna AJ → NEC - masa netto zamówiona dla pozycji ADR Klasa 1.1G.</t>
  </si>
  <si>
    <t>Veerg AJ → NEC - ADR-klassi 1.1G toodete pürotehnilise aine netomass.</t>
  </si>
  <si>
    <t>OSZLOP AJ → NEC - A TÉTELEK NETTÓ HATÓANYAG SÚLYA ADR OSTÁLY 1.1G</t>
  </si>
  <si>
    <t>Spalte AK → NEC - Nettogewicht der pyrotechnischen Zusammensetzungen von Gegenständen der ADR-Klasse 1.3G.</t>
  </si>
  <si>
    <t>Kolumna AK → NEC - masa netto zamówienia dla pozycji ADR Klasa 1.3G.</t>
  </si>
  <si>
    <t>Veerg AK → NEC - ADR-klassi 1.3G toodete pürotehnilise aine netomass.</t>
  </si>
  <si>
    <t>OSZLOP AK → NEC - A TÉTELEK NETTÓ HATÓANYAG SÚLYA ADR OSTÁLY 1.3G</t>
  </si>
  <si>
    <t>Säule AL → NEC - Nettogewicht pyrotechnischer Zusammensetzungen von Gegenständen der ADR-Klasse 1.4G.</t>
  </si>
  <si>
    <t>Kolumna AL → NEC - masa netto zamówienia  dla pozycji ADR Klasa 1.4G.</t>
  </si>
  <si>
    <t>Veerg AL → NEC - ADR-klassi 1.4G toodete pürotehnilise aine netomass</t>
  </si>
  <si>
    <t>OSZLOP AL → NEC - A TÉTELEK NETTÓ HATÓANYAG SÚLYA ADR OSTÁLY 1.4G</t>
  </si>
  <si>
    <t>Spalte AM → NEC - Nettogewicht der pyrotechnischen Gegenstände zusammen für alle ADR-Klassen.</t>
  </si>
  <si>
    <t>Kolumna AM → NEC - waga netto artykułów pirotechnicznych łącznie dla wszystkich klas ADR.</t>
  </si>
  <si>
    <t>Veerg AM → NEC - pürotehniliste toodete netomass kokku kõigi ADR-klasside jaoks.</t>
  </si>
  <si>
    <t>OSZLOP AK → NEC - A TÉTELEK NETTÓ HATÓANYAG SÚLYA EGYÜTT MINDEN ADR OSTÁLYÉ</t>
  </si>
  <si>
    <t>Column AE → price per item in CZK excl. VAT.</t>
  </si>
  <si>
    <t xml:space="preserve">AE stulpelis → prekės kaina CZK be PVM. </t>
  </si>
  <si>
    <t>Column AF → price per item in CZK incl. VAT.</t>
  </si>
  <si>
    <t>AF stulpelis → prekės kaina CZK su PVM.</t>
  </si>
  <si>
    <t>Column AG → price per item in EUR excl. VAT.</t>
  </si>
  <si>
    <t>Column AH → weight per item in kg.</t>
  </si>
  <si>
    <t>AH stulpelis → prekės svoris kg.</t>
  </si>
  <si>
    <t>Column AI → volume per item in m3.</t>
  </si>
  <si>
    <t>AI stulpelis → prekės tūris m3.</t>
  </si>
  <si>
    <t>Column AJ → NEC - net weight of pyrotechnic compositions of ADR Class 1.1G items.</t>
  </si>
  <si>
    <t>AJ stulpelis → NEC - ADR 1.1G klasės gaminių pirotechnikos gaminių grynasis svoris.</t>
  </si>
  <si>
    <t>Column AK → NEC - net weight of pyrotechnic compositions of ADR Class 1.3G items.</t>
  </si>
  <si>
    <t>AK stulpelis → NEC - ADR 1.3G klasės gaminių pirotechnikos gaminių grynasis svoris.</t>
  </si>
  <si>
    <t>Column AL → NEC - net weight of pyrotechnic compositions of ADR Class 1.4G items.</t>
  </si>
  <si>
    <t>AL → NEC stulpelis → grynasis ADR 1.4G klasės pirotechnikos gaminių svoris.</t>
  </si>
  <si>
    <t>Column AM → NEC - net weight of pyrotechnic items together for all ADR classes.</t>
  </si>
  <si>
    <t>AM stulpelis → NEC - grynasis pirotechnikos gaminių svoris kartu visoms ADR klasėms.</t>
  </si>
  <si>
    <t>○        the customer will only place an order for the goods he wants to reserve (only the goods that are currently in stock can be booked)</t>
  </si>
  <si>
    <t>○        for booked goods, an advance invoice will be issued for 100% of the value of the booked goods, and the goods will be booked only after payment of this advance on our account (if the customer does not have an open credit with us).</t>
  </si>
  <si>
    <t>○        the goods will be physically prepared for pallets with size 120x80cm and height 180cm and weight up to 750kg, so that the reserved goods are on as few pallets as possible, but with the above mentioned size. If a small quantity of forexample 2 cartons are ordered, they will be placed on the euro pallet and the following fee will be charged.</t>
  </si>
  <si>
    <t>○        on the day of dispatch will be calculated how many days the pallet was stored and the amount for storage will be added to the final invoice for the goods</t>
  </si>
  <si>
    <t>○        reservation cannot be changed! If the customer does not collect the whole ordered goods, the cancellation fee is 50% of the value of the goods ordered by the customer, but has not been taken</t>
  </si>
  <si>
    <t>○        each reservation must be shipped in whole (only part of the reserved goods cannot be taken), it means all reserved euro pallets will be picked up at once.</t>
  </si>
  <si>
    <t>○        reserved goods will be shipped only on pallets.</t>
  </si>
  <si>
    <t>Procedure for booking goods that are not in stock:</t>
  </si>
  <si>
    <t>○        The height of one pallet will not exceed 180 cm. If the customer wants to make the most of the means of transport, he must order the goods on leave.</t>
  </si>
  <si>
    <t>○        If the customer has the goods packed on pallets, he is obliged to pick up the goods on the pallet from the warehouse. It is not possible to require free loading when the goods are on pallets.</t>
  </si>
  <si>
    <t>○        If the customer delivers the pallet back in person, a credit note will be issued for these pallets at the same price at which the pallets were invoiced.</t>
  </si>
  <si>
    <t>○        The customer can also send the pallets back by forwarding service (at his/her own expense) and a credit note will be issued to him after delivery of the pallets to our warehouse.</t>
  </si>
  <si>
    <t>○        It is not possible to send pallets back to the driver / forwarding service that imported the goods!</t>
  </si>
  <si>
    <t>○        Der Kunde gibt nur eine Bestellung für die Waren auf, die er reservieren möchte (nur die Waren, die derzeit auf Lager sind, können gebucht werden).</t>
  </si>
  <si>
    <t>○        Für gebuchte Waren wird eine Vorabrechnung über 100% des Wertes der gebuchten Ware ausgestellt, und die Ware wird erst nach Zahlung dieses Vorschusses auf unserem Konto gebucht (Wenn der Kunde bei uns kein offenes Guthaben hat).</t>
  </si>
  <si>
    <t>○        Die Ware wird physisch für Paletten mit einer Größe von 120 x 80 cm und einer Höhe von 180 cm und einem Gewicht von bis zu 750 kg vorbereitet, damit sich die reservierten Waren auf möglichst wenigen Paletten befinden, jedoch mit der oben genannten Größe. Wenn eine kleine Menge von beispielsweise 2 Kartons bestellt wird, werden diese auf die Euro-Palette gelegt und die folgende Gebühr wird erhoben.</t>
  </si>
  <si>
    <t>○        Am Tag des Versands wird berechnet, wie viele Tage die Palette gelagert wurde, und der Lagerungsbetrag wird der endgültigen Rechnung für die Ware hinzugefügt.</t>
  </si>
  <si>
    <t>○        Reservierung kann nicht geändert werden! Wenn der Kunde nicht die gesamte bestellte Ware abholt, beträgt die Stornogebühr 50% des Wertes der vom Kunden bestellten Ware, wurde jedoch nicht übernommen.</t>
  </si>
  <si>
    <t>○        Jede Reservierung muss vollständig versandt werden (nur ein Teil der reservierten Waren kann nicht entgegengenommen werden). Dies bedeutet, dass alle reservierten Euro-Paletten auf einmal abgeholt werden.</t>
  </si>
  <si>
    <t>○        Reservierte Waren werden nur auf Paletten versendet.</t>
  </si>
  <si>
    <t>○        Die Höhe einer Palette darf 180 cm nicht überschreiten. Will der Kunde das Transportmittel optimal nutzen, muss er die beurlaubte Ware bestellen.</t>
  </si>
  <si>
    <t>○        Lässt der Kunde die Ware auf Paletten verpacken, ist er verpflichtet, die Ware auf der Palette aus dem Lager abzuholen. Eine freie Verladung ist nicht möglich, wenn sich die Ware auf Paletten befindet.</t>
  </si>
  <si>
    <t>○        Wenn der Kunde die Palette persönlich zurückliefert, wird für diese Paletten eine Gutschrift zum gleichen Preis ausgestellt, zu dem die Paletten in Rechnung gestellt wurden.</t>
  </si>
  <si>
    <t>○        Der Kunde kann die Paletten auch per Speditionsservice (auf eigene Kosten) zurücksenden. Nach Lieferung der Paletten an unser Lager wird ihm eine Gutschrift ausgestellt.</t>
  </si>
  <si>
    <t>○        Es ist nicht möglich, Paletten an den Fahrer / Speditionsdienst zurückzusenden, der die Waren importiert hat!</t>
  </si>
  <si>
    <t>○        Kupac će napraviti narudžbu samo za robu koju želi rezervirati (može se rezervirati samo ona roba koja je trenutno na zalihi)</t>
  </si>
  <si>
    <t>○        Za rezerviranu robu izdat će se predračun za 100% vrijednosti rezervirane robe, a roba će biti rezervirana tek nakon uplate ovog predujma na naš račun (Ako kupac nema otvoren kredit kod nas).</t>
  </si>
  <si>
    <t>○        Roba će se u skaldištu fizički pripremiti na palete veličine 120x80cm, visine 180cm te težine do 750kg, tako da rezervirana roba bude smještena na što manje paleta prethodno navedene veličine. Ako se naruči manja količina kartona na primjer 2 komada, isti će se staviti na euro paletu i naplatit će se sljedeća naknada.</t>
  </si>
  <si>
    <t>○        Na dan otpreme izračunat će se koliko dana je paleta bila uskladištena i iznos za skladištenje bit će dodan konačnom računu za robu</t>
  </si>
  <si>
    <t>○        Rezervacija se ne može promijeniti! Ako kupac ne preuzme cijelu naručenu robu, naknada za otkazivanje iznosi 50% vrijednosti robe koju je kupac naručio, ali nije preuzeo</t>
  </si>
  <si>
    <t>○        Svaka rezervacija mora se preuzeti u cijelosti (ne može se uzeti samo dio rezervirane robe), što znači da će se sve rezervirane euro palete isporučiti ili preuzeti odjednom.</t>
  </si>
  <si>
    <t>○        Rezervirana roba isporučiti će se isključivo na paletama.</t>
  </si>
  <si>
    <t>○        Visina jedne palete neće prelaziti 180 cm. Ako kupac želi maksimalno iskoristiti prijevozno sredstvo, robu mora naručiti na dopustu.</t>
  </si>
  <si>
    <t>○        Ukoliko kupac ima robu pakiranu na paletama, dužan je robu na paleti preuzeti iz skladišta. Nije moguće zahtijevati besplatan utovar kada je roba na paletama.</t>
  </si>
  <si>
    <t>○        Ako kupac izvrši povrat paleta natrag osobno,  izdati će mu se odobrenje za te palete po istoj cijeni po kojoj su palete fakturirane.</t>
  </si>
  <si>
    <t>○        Kupac također može poslati palete natrag dostavnom službon na svoj trošak, a odobrenje za njih biti će izdano nakon dostave paleta u naše skladište.</t>
  </si>
  <si>
    <t>○        Nije moguće poslati palete natrag po vozaču / prijevozniku koji je dostavio robu kupcu!</t>
  </si>
  <si>
    <t>○        klientas pateikia užsakymą tik toms prekėms  kurias nori užsakyti (galima užsisakyti tik tas prekes, kurios šiuo metu yra sandėlyje)</t>
  </si>
  <si>
    <t>○        už užsakytas prekes bus išrašyta išankstinė sąskaita 100% užsakytų prekių vertės, o prekės bus rezervuotos tik sumokėjus šį avansą į mūsų sąskaitą (Jei klientas pas mus neturi atviro kredito).</t>
  </si>
  <si>
    <t>○        Prekės bus sudėtos ant palečių kurių dydis 120x80cm, aukštis 180cm ir svoris iki 750kg, kad užsakytos prekės būtų sudėtos ant kuo mažesnio skaičiaus palečių tačiau tik su aukščiau paminėto dydžio palečių. Užsisakius nedidelį kiekį, pavyzdžiui 2 dėžutės, jos bus dedamos ant euro paletės ir bus imamas toks mokestis:</t>
  </si>
  <si>
    <t>○        išsiuntimo dieną bus suskaičiuota, kiek dienų paletė buvo laikoma, o sandėliavimo suma bus pridėta prie galutinės sąskaitos už prekes.</t>
  </si>
  <si>
    <t>○        Užsakymo pakeisti negalima! Jei klientas neatsiima visų užsakytų prekių, atšaukimo mokestis yra 50% kliento užsakytų prekių vertės.</t>
  </si>
  <si>
    <t xml:space="preserve">○        Kiekvienas užsakymas turi būti išsiųstas pilnas (negalima paimti tik dalies užsakytų prekių), tai reiškia, kad visi užsakyti euro padėklai turi būti paimti vienu metu. </t>
  </si>
  <si>
    <t>○        Užsakytos prekės bus siunčiamos tik ant palečių.</t>
  </si>
  <si>
    <t>○        Vieno padėklo aukštis neviršys 180 cm. Jei klientas nori maksimaliai išnaudoti transporto priemones, jis privalo užsakyti prekes atostogoms.</t>
  </si>
  <si>
    <t>○        Jeigu klientas turi prekes supakuotas ant padėklų, jis privalo pasiimti ant padėklo esančias prekes iš sandėlio. Neįmanoma reikalauti nemokamo pakrovimo, kai prekės yra ant padėklų.</t>
  </si>
  <si>
    <t>○        Jei klientas grąžins paletes asmeniškai atgal,  tai už jas bus suteiktas kreditas pagal anksčiau išrašytą sąskaitoje sumą.</t>
  </si>
  <si>
    <t>○        Klientas taip pat gali atsiųsti paletes atgal (savo sąskaita) ir pristačius paletes į mūsų sandėlį, jam bus išrašyta kreditinė saskaita.</t>
  </si>
  <si>
    <t xml:space="preserve">○        Negalima siųsti palečių atgal su prekes pristačiusiu mūsų vairuotoju! </t>
  </si>
  <si>
    <t>○        klient złoży zamówienie tylko na towar, który chce zarezerwować (można rezerwować tylko te towary, które są aktualnie na stanie)</t>
  </si>
  <si>
    <t>○        towar zostanie fizycznie przygotowany do palet o wymiarach 120x80cm i wysokości 180cm oraz wadze do 750kg tak, aby towar zamówiony znajdował się na jak najmniejszej liczbie palet, ale o w /w wymiarach. W przypadku zamówienia małej ilości, np. 2 kartony, zostaną one umieszczone na europalecie i zostanie naliczona następująca opłata.</t>
  </si>
  <si>
    <t>○        w dniu wysyłki, zostanie wyliczone ile dni była składowana paleta i kwota za magazyn zostanie doliczona do faktury końcowej za towar</t>
  </si>
  <si>
    <t>○        rezerwacji nie można zmienić! Jeśli klient nie odbierze całego zamówionego towaru, opłata za anulowanie wynosi 50% wartości towaru zamówionego przez klienta, który nie został odebrany</t>
  </si>
  <si>
    <t>○        każda rezerwacja musi być wysłana w całości (tylko część zarezerwowanego towaru nie może zostać odebrana), oznacza to, że wszystkie zarezerwowane europalety zostaną odebrane od razu.</t>
  </si>
  <si>
    <t>○        towar zarezerwowany zostanie wysłany tylko na paletach.</t>
  </si>
  <si>
    <t>○        Wysokość jednej palety nie przekroczy 180 cm. Jeśli klient chce jak najlepiej wykorzystać środek transportu, musi zamówić towar na urlopie.</t>
  </si>
  <si>
    <t>○        Jeżeli Klient posiada towar zapakowany na paletach, jest zobowiązany do odbioru towaru na palecie z magazynu. Nie ma możliwości wymagania wolnego załadunku, gdy towar znajduje się na paletach.</t>
  </si>
  <si>
    <t>○        Jeśli klient osobiście dostarczy paletę, zostanie wystawiona faktura korygująca na te palety, po tej samej cenie, na jaką palety zostały zafakturowane.</t>
  </si>
  <si>
    <t>○        Klient może również odesłać palety usługą spedycyjną (na własny koszt), a faktura korygująca zostanie wystawiona po dostarczeniu palet do naszego magazynu.</t>
  </si>
  <si>
    <t>○        Nie ma możliwości odesłania palet do firmy spedycyjnej, która dostarczała towar!</t>
  </si>
  <si>
    <t>○        klient esitab tellimuse ainult nende kaupade jaoks, mida ta soovib broneerida (broneerida saab ainult hetkel laos olevaid kaupu)</t>
  </si>
  <si>
    <t>○        kaup valmistatakse füüsiliselt ette kaubaaluste jaoks, mille suurus on 120x80cm ja kõrgus 180cm ning kaal kuni 750kg, nii et reserveeritud kaubad oleksid võimalikult vähestel kaubaalustel, kuid ülalnimetatud suurusega. Kui tellitakse väike kogus näiteks 2 karpi, asetatakse need euroalusele ja nõutakse järgmist tasu.</t>
  </si>
  <si>
    <t>○        lähetuspäeval arvutatakse mitu päeva kaubaalust ladustati ja ladustamissumma lisatakse kauba lõpparvele</t>
  </si>
  <si>
    <t>○        broneeringut ei saa muuta! Kui klient ei võta kogu tellimust, on tühistamistasu 50% kliendi tellitud kauba väärtusest, mida pole võetud</t>
  </si>
  <si>
    <t>○        iga broneering tuleb transportida tervikuna (ainult osa broneeritud kaubast ei saa võtta), see tähendab, et kõik broneeritud euroalused võetakse korraga peale.</t>
  </si>
  <si>
    <t>○        broneeritud kaupu saadetakse ainult kaubaalustel</t>
  </si>
  <si>
    <t>○        Ühe kaubaaluse kõrgus ei tohi ületada 180 cm. Kui klient soovib transpordivahendit maksimaalselt ära kasutada, peab ta kauba puhkusele tellima.</t>
  </si>
  <si>
    <t>○        Kui klient laseb kauba alustele pakkida, on ta kohustatud alusele olevale kaubale laost järele tulema. Tasuta laadimist ei ole võimalik nõuda, kui kaup on alustel.</t>
  </si>
  <si>
    <t>○        Kui klient toimetab kaubaalused isiklikult tagasi, väljastatakse nende kaubaaluste eest kreeditarve sama hinnaga, millega kaubaaluste eest arve esitati.</t>
  </si>
  <si>
    <t>○        Samuti saab klient kaubaaluseid tagasi saata kulleriga (omal kulul) ja pärast kaubaaluste meie lattu toimetamist väljastatakse talle kreeditarve.</t>
  </si>
  <si>
    <t>○        Kauba importinud juhiga / kullerfirmaga ei ole võimalik kaubaaluseid tagasi saata!</t>
  </si>
  <si>
    <t>○        khách hàng chỉ gửi đơn hàng cho hàng muốn đặt trước (chỉ hàng đang còn hàng mới được đặt trước)</t>
  </si>
  <si>
    <t>○        Đối với hàng đặt trước sẽ được xuất hóa đơn ứng trước 100% giá trị hàng đặt trước và chỉ sau khi thanh toán khoản tạm ứng này vào tài khoản của chúng tôi thì hàng mới được đặt trước (Nếu khách hàng không có tín dụng mở với chúng tôi).</t>
  </si>
  <si>
    <t>○        Hàng hóa sẽ được chuẩn bị vật lý trên các pallet có kích thước 120x80cm và cao 180cm và trọng lượng lên đến 750kg, do đó hàng hóa dự trữ được đặt trên ít pallet nhất có thể, nhưng tuân thủ các kích thước trên. Nếu số lượng nhỏ, ví dụ 2 thùng, được đặt hàng, chúng sẽ được đặt trên một pallet euro và sẽ được tính phí bên dưới.</t>
  </si>
  <si>
    <t>○        vào ngày gửi hàng, nó sẽ được tính toán bao nhiêu ngày pallet đã được lưu trữ và số lượng lưu trữ sẽ được thêm vào hóa đơn cuối cùng cho hàng hóa</t>
  </si>
  <si>
    <t>○        không thể thay đổi hàng đã đặt ! Nếu khách hàng không lấy toàn bộ hàng đã đặt thì phí hủy là 50% giá trị hàng mà khách đã đặt nhưng không lấy.</t>
  </si>
  <si>
    <t>○        Mỗi hàng đặt trước phải được vận chuyển toàn bộ (không thể chỉ lấy một phần hàng đã đặt trước), tức là. tất cả các pallet euro dự trữ sẽ bị xóa ngay lập tức</t>
  </si>
  <si>
    <t>○        hàng hóa đặt trước sẽ chỉ được vận chuyển trên pallet</t>
  </si>
  <si>
    <t>○        Chiều cao của một pallet sẽ không vượt quá 180 cm. Nếu khách hàng muốn tận dụng tối đa phương tiện vận chuyển thì phải đặt hàng nghỉ.</t>
  </si>
  <si>
    <t>○        Nếu khách hàng có hàng hóa đóng trên pallet, khách hàng có nghĩa vụ lấy hàng trên pallet từ kho. Không thể yêu cầu xếp hàng miễn phí khi hàng hóa trên pallet.</t>
  </si>
  <si>
    <t>○        Nếu khách hàng giao lại pallet trực tiếp, một giấy báo có sẽ được phát hành cho các pallet này với cùng mức giá mà các pallet đã được lập hóa đơn.</t>
  </si>
  <si>
    <t>○        Khách hàng cũng có thể gửi lại các pallet bằng dịch vụ giao nhận (với chi phí của mình) và một giấy báo có sẽ được cấp cho khách hàng sau khi giao pallet đến kho của chúng tôi.</t>
  </si>
  <si>
    <t>○        Không thể gửi pallet trở lại tài xế / dịch vụ giao nhận đã nhập hàng!</t>
  </si>
  <si>
    <t>○        az ügyfél elküldi a rendelést csak arra az árura amit leakar foglalni /lefoglalni csak azt az árut lehet amelyik már raktáron van/</t>
  </si>
  <si>
    <t>○        a megrendelt árura kiállitunk egy számlát az áru 100% értékében mint előleget majd az előleg kifizetése után az árut letartjuk az őn részére (ha az ügyfélnek nincs nyitott hitele nálunk).</t>
  </si>
  <si>
    <t>○        az árut megkészítjük és csomagoljuk raklapon 120x80cm, magasság 180cm max 750kg, úgy hogy az áru minnél kevesebb raklapra férjen rá a méreteken belül. ha a rendelt mennyiség kevés pld. 2 karton ez esetben ez egy raklapra kerül amiért az alábbiak szerint fogjuk a raktározási díjat felszámolni.</t>
  </si>
  <si>
    <t>○        a kiszállitás napján a raktározási időt kiszámítjuk és hozzászámoljuk az ön számlájához.</t>
  </si>
  <si>
    <t>Szabályok:</t>
  </si>
  <si>
    <t>○        nemlehet változtatni a letartott áru mennyiségen. ha az ügyfél nemveszi át a rendelt mennyiséget, 50% sztornó költséget fogunk felszámítani azokért az árukért amit rendelt és nemvett át.</t>
  </si>
  <si>
    <t>○        minden foglalást csak egészében lehet elvinni /nem lehet csak az egy részét/, minden letartot raklapot egyszerre kell elvinni.</t>
  </si>
  <si>
    <t>○        a letartott raktározott áru kizárólag raklapokon lesz kiszállítva.</t>
  </si>
  <si>
    <t>Raklapok</t>
  </si>
  <si>
    <t>○        egy raklap magassága nem haladhatja meg a 180 cm-t. ha a vásárló a legtöbbet szeretné kihozni a szállítóeszközből, akkor szabadságra kell rendelnie az árut.</t>
  </si>
  <si>
    <t>○        ha a vásárló az árut raklapra csomagolja, köteles a raklapon lévő árut a raktárból átvenni. nem lehet ingyenes berakodást előírni, ha az áru raklapon van.</t>
  </si>
  <si>
    <t>○        amennyiben az ügyfél viszajutattja a raklapokat személyesen, ezek jóvá lesznek írva ugyanazon az áron ahogy kilettek számlázva.</t>
  </si>
  <si>
    <t>○        az ügyfél a raklapokat vissza küldheti más módon is /a saját költségére/. a raklapokat azonnal jóváírjuk ahogy a raktárunkra érkeznek.</t>
  </si>
  <si>
    <t xml:space="preserve">○        nemlehet a raklapokat viszaküldeni azzal az autóval amelyik az árut kiszállítja! </t>
  </si>
  <si>
    <t>Your order is handed over to the warehouse for immediate preparation upon receipt and it is no longer possible to add anything to the order in any form. If the customer cancels the order (or part of it), he/she will be charged a handling fee of 50% of the value of the canceled goods.</t>
  </si>
  <si>
    <t>The novelty is the online availability of the warehouse, ie. all you have to do is be online and confirm the option to "allow editing" and „allow content“  after each opening of the Price list you can see what goods are in stock or when will it be in stock !!!</t>
  </si>
  <si>
    <t>It is not possible to order items marked in black, which are not in stock on the day of ordering !!! This will guarantee that the customer will only order items that are in stock, thus significantly speeding up the completion of the order.</t>
  </si>
  <si>
    <t>2. our employee will find out which items may not be in stock and will inform the customer about this by email</t>
  </si>
  <si>
    <t>3. The customer decides whether he/she wants to wait for the goods (if they are not in stock) or whether he/she wants to replace the sold-out goods and sends his/her final order by email, which will include only the goods that are currently available.</t>
  </si>
  <si>
    <t>4. our employee uploads this final order (see point no. 3) to our system and informs the customer about the date when the goods will be shipped or ready for pickup.</t>
  </si>
  <si>
    <t>Slevový systém na řádku 1509</t>
  </si>
  <si>
    <t>Discount system on line 1509</t>
  </si>
  <si>
    <t>Rabattsystem auf Linie 1509</t>
  </si>
  <si>
    <t>System rabatowy na linii 1509</t>
  </si>
  <si>
    <t>Hệ thống chiết khấu trên đường dây 1509</t>
  </si>
  <si>
    <t>Nuolaidų sistema 1509 linijoje</t>
  </si>
  <si>
    <t>Sustav popusta na liniji 1509</t>
  </si>
  <si>
    <t>Sistem popusta na liniji 1509</t>
  </si>
  <si>
    <t>Sistema di sconti sulla linea 1509</t>
  </si>
  <si>
    <t>Soodustussüsteem real 1509</t>
  </si>
  <si>
    <t>Kedvezményrendszer a 1509 -es vonalon</t>
  </si>
  <si>
    <t>Atlaižu sistēma 1509. rindā</t>
  </si>
  <si>
    <t>○        zboží bude uskladněno v našem skladu od data nachystání do požadované expedice, za poplatek 9 Kč / 1 euro paleta / 1 den</t>
  </si>
  <si>
    <t>○        the goods will be stored in our warehouse from the date of preparation to the required dispatch, for a fee of 9 CZK / 1 euro pallet / 1 day</t>
  </si>
  <si>
    <t>○        Die Ware wird vom Datum der Vorbereitung bis zum erforderlichen Versand gegen eine Gebühr von 9 CZK / 1 Euro Palette / 1 Tag in unserem Lager gelagert.</t>
  </si>
  <si>
    <t>○        Roba će se čuvati u našem skladištu od datuma pripreme do potrebne otpreme uz naknadu od 9 CZK / 1 euro paleta / 1 dan</t>
  </si>
  <si>
    <t xml:space="preserve">○        Prekės bus laikomos mūsų sandėlyje nuo paruošimo dienos iki išsiuntimo dienos, už 9 CZK kronos / 1 euro paletė / 1 dienos mokestį. </t>
  </si>
  <si>
    <t>○        towar będzie przechowywany w naszym magazynie od dnia przygotowania do wymaganej wysyłki za opłatą 9 CZK / 1 europaleta / 1 dzień</t>
  </si>
  <si>
    <t>○        kaupu hoitakse meie laos alates valmistamise kuupäevast kuni vajaliku lähetamiseni, tasu on 9 CZK / 1 euro kaubaalus / 1 päev</t>
  </si>
  <si>
    <t>○        hàng hóa sẽ được lưu trữ trong kho của chúng tôi kể từ ngày chuẩn bị đến khi gửi đi theo yêu cầu, với mức phí 9 CZK / 1 euro pallet / 1 ngày</t>
  </si>
  <si>
    <t>○        az áru a mi raktárunkban lesz raktározva a megkészítés idejétől a kért szállitási időpontig a következő díj szerint 9kć/ 1 euro raklap/ 1 nap</t>
  </si>
  <si>
    <t>Sloupec S - zde naleznete informaci o tom, z jakého materiálu je vyrobena vrchní strana u baterii viz řádek 89 s vysvětlením.</t>
  </si>
  <si>
    <t>Kolumna S - tutaj znajdziesz informację, z jakiego materiału wykonana jest górna część baterii, objaśnienie w wierszu 89.</t>
  </si>
  <si>
    <t>Spalte S - hier finden Sie Informationen darüber, aus welchem ​​Material die Oberseite der Batterie besteht, Erläuterung siehe Zeile 89.</t>
  </si>
  <si>
    <t>Column S - here you will find information on what material the top of the battery is made of, see line 89 for an explanation.</t>
  </si>
  <si>
    <t>Stupac S - ovdje ćete pronaći informacije o tome od kojeg je materijala izrađen gornji dio baterije, pogledajte redak 89 za objašnjenje.</t>
  </si>
  <si>
    <t>S stulpelis – čia rasite informaciją, iš kokios medžiagos pagamintas akumuliatoriaus viršus, paaiškinimą rasite 89 eilutėje.</t>
  </si>
  <si>
    <t>Veerg S – siit leiad infot, mis materjalist on aku pealmine osa, vt selgitust real 89.</t>
  </si>
  <si>
    <t>Cột S - ở đây bạn sẽ tìm thấy thông tin về vật liệu làm từ chất liệu gì của đỉnh pin, xem dòng 89 để được giải thích.</t>
  </si>
  <si>
    <t>S oszlop - itt talál információt arról, hogy az akkumulátor teteje milyen anyagból készült, a magyarázatot lásd a 89. sorban.</t>
  </si>
  <si>
    <t>Sloupec Q + R -  zde naleznete info, v jakém jazyku jsou návody na výrobku</t>
  </si>
  <si>
    <t>Q + R oszlop - itt találja az információkat, hogy a termék használati útmutatója milyen nyelven készült</t>
  </si>
  <si>
    <t>Cột Q + R - tại đây bạn sẽ tìm thấy thông tin hướng dẫn sản phẩm bằng ngôn ngữ nào</t>
  </si>
  <si>
    <t>Q + R veerg – siit leiate infot, mis keeles on tootejuhised</t>
  </si>
  <si>
    <t>Kolumna Q + R - tutaj znajdziesz informacje w jakim języku są instrukcje produktu</t>
  </si>
  <si>
    <t>Q + R stulpelis - čia rasite informaciją, kokia kalba yra produkto instrukcijos</t>
  </si>
  <si>
    <t>Q + R stupac - ovdje ćete pronaći informacije na kojem su jeziku upute za proizvod</t>
  </si>
  <si>
    <t>Q + R - Spalte - hier finden Sie Informationen, in welcher Sprache die Produktanweisungen sind</t>
  </si>
  <si>
    <t>Q + R column - here you will find info in which language the product instructions are</t>
  </si>
  <si>
    <t>Odesláním objednávky zákazník zároveň potvrzuje, že se seznámil se všemi obchodními podmínkami, které jsou napsány na této stránce a souhlasí s nimi.</t>
  </si>
  <si>
    <t>By sending the order, the customer also confirms that he has read all the business conditions that are written on this page and agrees with them.</t>
  </si>
  <si>
    <t>Mit dem Absenden der Bestellung bestätigt der Kunde auch, dass er alle Geschäftsbedingungen, die auf dieser Seite geschrieben sind, gelesen hat und mit ihnen einverstanden ist.</t>
  </si>
  <si>
    <t>Slanjem narudžbe kupac također potvrđuje da je pročitao sve uvjete poslovanja koji su napisani na ovoj stranici i da se s njima slaže.</t>
  </si>
  <si>
    <t>Con l'invio dell'ordine, il cliente conferma inoltre di aver preso visione di tutte le condizioni commerciali che sono scritte in questa pagina e di accettarle.</t>
  </si>
  <si>
    <t>Klientas išsiųsdamas užsakymą taip pat patvirtina, kad susipažino su visomis verslo sąlygomis, kurios yra surašytos šiame puslapyje ir su jomis sutinka.</t>
  </si>
  <si>
    <t>Wysyłając zamówienie, klient potwierdza również, że zapoznał się ze wszystkimi warunkami handlowymi, które są napisane na tej stronie i zgadza się z nimi.</t>
  </si>
  <si>
    <t>Tellimust saates kinnitab klient ühtlasi, et on tutvunud kõigi äritingimustega, mis sellel lehel kirjas on ning nõustub nendega.</t>
  </si>
  <si>
    <t>Bằng cách gửi đơn đặt hàng, khách hàng cũng xác nhận rằng anh ta đã đọc tất cả các điều kiện kinh doanh được viết trên trang này và đồng ý với họ.</t>
  </si>
  <si>
    <t>A megrendelő a megrendelés elküldésével egyben kijelenti, hogy az ezen az oldalon található összes üzleti feltételt elolvasta és azokkal egyetért.</t>
  </si>
  <si>
    <t>Pokud zákazník chce reklamovat dodané množství zboží, musí tak učinit během vykládky zboží a musí o tom učinit záznam do přepravního listu CMR. Na pozdější reklamace nebude brán zřetel.</t>
  </si>
  <si>
    <t>RD8</t>
  </si>
  <si>
    <t>KK2022</t>
  </si>
  <si>
    <t>C253SIG B</t>
  </si>
  <si>
    <t>RDG40</t>
  </si>
  <si>
    <t>Conic fountains 25</t>
  </si>
  <si>
    <t>Dumbum rocket with scream</t>
  </si>
  <si>
    <t>Dumbum 16</t>
  </si>
  <si>
    <t>Best price-Frozen 16</t>
  </si>
  <si>
    <t>Best price 25</t>
  </si>
  <si>
    <t>Signature range 25</t>
  </si>
  <si>
    <t>Best price 100</t>
  </si>
  <si>
    <t>Best price-Frozen 100</t>
  </si>
  <si>
    <t>Best price Slow motion 100</t>
  </si>
  <si>
    <t>New identity series 100</t>
  </si>
  <si>
    <t>Best price Wild fire multi 100</t>
  </si>
  <si>
    <t>Best price multi shape 100</t>
  </si>
  <si>
    <t>Profi show multi shape 100</t>
  </si>
  <si>
    <t>Profi show multi shape 200</t>
  </si>
  <si>
    <t>Fireworks show 128</t>
  </si>
  <si>
    <t>Profi show multi shape 400</t>
  </si>
  <si>
    <t>Best price 49</t>
  </si>
  <si>
    <t>Profi Fireworks show 96</t>
  </si>
  <si>
    <t>Signature range 98ran</t>
  </si>
  <si>
    <t>Best price Wild fire 100</t>
  </si>
  <si>
    <t>Profi Fireworks show 140</t>
  </si>
  <si>
    <t>Best price 16</t>
  </si>
  <si>
    <t>Signature range 16sh</t>
  </si>
  <si>
    <t>Best price 19</t>
  </si>
  <si>
    <t>Best price-Frozen 25</t>
  </si>
  <si>
    <t>New identity series 50</t>
  </si>
  <si>
    <t>Signature range 50</t>
  </si>
  <si>
    <t>Big Brother F2</t>
  </si>
  <si>
    <t>Pyrotechnology 2020 39sh</t>
  </si>
  <si>
    <t>Pyrotechnology 2020 68sh</t>
  </si>
  <si>
    <t>Pyrotechnology 2020 100sh</t>
  </si>
  <si>
    <t>B</t>
  </si>
  <si>
    <t>A</t>
  </si>
  <si>
    <t>CZ,PL,NL,SK,DE</t>
  </si>
  <si>
    <t>CZ,SK,PL,LT,DE,EN,NL,FR</t>
  </si>
  <si>
    <t>CZ,SK,DE,PL,LT,EN,FR,IT</t>
  </si>
  <si>
    <t>jeden barevný designový papírový obal dva dorty dohromady (poslal jsem vám tuto fotografii)</t>
  </si>
  <si>
    <t>zlatý holografický papír</t>
  </si>
  <si>
    <t>UPOZORNĚNÍ!</t>
  </si>
  <si>
    <t>NOTICE!</t>
  </si>
  <si>
    <t>NOTIZ!</t>
  </si>
  <si>
    <t>OBAVIJEST!</t>
  </si>
  <si>
    <t>AVVISO!</t>
  </si>
  <si>
    <t>PASTEBĖTI!</t>
  </si>
  <si>
    <t>ZAUWAŻYĆ!</t>
  </si>
  <si>
    <t>ОБЈАВА!</t>
  </si>
  <si>
    <t>PAZIŅOJUMS!</t>
  </si>
  <si>
    <t>MÄRKUS!</t>
  </si>
  <si>
    <t>ĐỂ Ý!</t>
  </si>
  <si>
    <t>ÉRTESÍTÉS!</t>
  </si>
  <si>
    <t>Přišli jsme na jeden drobný problém, který se děje u nových ceníků = Rezervační ceník a Ceník ve kterém je pouze zboží skladem</t>
  </si>
  <si>
    <t>We found one small problem that happens with the new price lists = Reservation price list and Price list in which only goods are in stock</t>
  </si>
  <si>
    <t>Wir haben ein kleines Problem gefunden, das mit den neuen Preislisten auftritt = Reservierungspreisliste und Preisliste, in denen nur Waren auf Lager sind</t>
  </si>
  <si>
    <t>Pronašli smo jedan mali problem koji se događa s novim cjenicima = Rezervacijski cjenik i Cjenik u kojem je samo roba na stanju</t>
  </si>
  <si>
    <t>Abbiamo riscontrato un piccolo problema che si verifica con i nuovi listini prezzi = Listino Prenotazione e Listino prezzi in cui sono disponibili solo merci</t>
  </si>
  <si>
    <t>Mes nustatėme vieną nedidelę problemą, kuri atsitinka su naujais kainoraščiais = rezervacijos kainoraštis ir kainoraštis, kuriame yra tik prekės</t>
  </si>
  <si>
    <t>Znaleźliśmy jeden mały problem, który pojawia się z nowymi cennikami = Cennik rezerwacji i Cennik, w którym tylko towary są w magazynie</t>
  </si>
  <si>
    <t>Пронашли смо један мали проблем који се дешава са новим ценовницима = Ценовник резервација и Ценовник у коме је само роба на лагеру</t>
  </si>
  <si>
    <t>Mēs atradām vienu nelielu problēmu, kas notiek ar jaunajiem cenrāžiem = Rezervācijas cenrādis un Cenrādis, kurā noliktavā ir tikai preces</t>
  </si>
  <si>
    <t>Leidsime ühe väikese probleemi, mis juhtub uute hinnakirjadega = Broneeringu hinnakiri ja Hinnakiri, milles ainult kaup on laos</t>
  </si>
  <si>
    <t>Chúng tôi đã tìm thấy một vấn đề nhỏ xảy ra với các bảng giá mới = Bảng giá đặt trước và Bảng giá trong đó chỉ có hàng trong kho</t>
  </si>
  <si>
    <t>Találtunk egy kis problémát, ami az új árlistáknál előfordul = Foglalási árlista és Árlista, amelyben csak áruk vannak raktáron</t>
  </si>
  <si>
    <t>Tyto ceníky se několikrát denně aktualizují a je třeba, aby jste objednávku dokončili a odeslali nám ihned.</t>
  </si>
  <si>
    <t>These price lists are updated several times a day and you need to complete the order and send it to us immediately.</t>
  </si>
  <si>
    <t>Diese Preislisten werden mehrmals täglich aktualisiert und Sie müssen die Bestellung sofort abschließen und an uns senden.</t>
  </si>
  <si>
    <t>Ovi cjenici se ažuriraju nekoliko puta dnevno, a narudžbu morate odmah izvršiti i poslati nam.</t>
  </si>
  <si>
    <t>Questi listini vengono aggiornati più volte al giorno ed è necessario completare l'ordine e inviarcelo immediatamente.</t>
  </si>
  <si>
    <t>Šie kainoraščiai yra atnaujinami kelis kartus per dieną ir jums reikia nedelsiant užpildyti užsakymą ir atsiųsti mums.</t>
  </si>
  <si>
    <t>Cenniki te są aktualizowane kilka razy dziennie i musisz sfinalizować zamówienie i niezwłocznie je do nas wysłać.</t>
  </si>
  <si>
    <t>Ови ценовници се ажурирају неколико пута дневно и потребно је да завршите поруџбину и одмах нам је пошаљете.</t>
  </si>
  <si>
    <t>Šie cenrāži tiek atjaunināti vairākas reizes dienā, un jums ir nepieciešams pabeigt pasūtījumu un nekavējoties nosūtīt to mums.</t>
  </si>
  <si>
    <t>Need hinnakirjad uuenevad mitu korda päevas ning Teil tuleb tellimus vormistada ja see meile koheselt saata.</t>
  </si>
  <si>
    <t>Các bảng giá này được cập nhật nhiều lần trong ngày và bạn cần hoàn thành đơn hàng và gửi ngay cho chúng tôi.</t>
  </si>
  <si>
    <t>Ezek az árlisták naponta többször frissülnek, és Önnek azonnal el kell küldenie a megrendelést.</t>
  </si>
  <si>
    <t>Pokud totiž budete objednávku dělat např. 2 dny = ceníky se mezitím aktualizují a rozhází se Vám řádky a ve výsledku nám pošlete objednávku na jiné zboží, než jste původně chtěli objednat! Je to způsobeno aktualizací dat a může dojít k automatickému posunutí řádků, tím pádem k totální změně objednávaného zboží.</t>
  </si>
  <si>
    <t>If you place an order for e.g. 2 days = the price lists will be updated in the meantime and the lines will be scattered and as a result you will send us an order for a different product than you originally wanted to order! This is due to the updating of the data and the rows may be automatically moved, thus completely changing the ordered goods.</t>
  </si>
  <si>
    <t>Wenn Sie eine Bestellung für z.B. 2 Tage aufgeben = die Preislisten werden in der Zwischenzeit aktualisiert und die Zeilen werden verstreut und Sie senden uns daher eine Bestellung für ein anderes Produkt als Sie ursprünglich bestellen wollten! Dies liegt an der Aktualisierung der Daten und es kann zu einer automatischen Verschiebung der Zeilen, also einer Gesamtänderung der bestellten Ware kommen.</t>
  </si>
  <si>
    <t>Ako naručite na npr. 2 dana = cjenici će se u međuvremenu ažurirati i redovi će biti raštrkani i kao rezultat toga poslat ćete nam narudžbu za drugačiji proizvod od onoga koji ste prvotno htjeli naručiti! To je zbog ažuriranja podataka i redovi se mogu automatski pomicati, čime se potpuno mijenja naručena roba.</t>
  </si>
  <si>
    <t>Se effettui un ordine ad esempio per 2 giorni = i listini verranno nel frattempo aggiornati e le righe saranno sparse e di conseguenza ci invierai un ordine per un prodotto diverso da quello che volevi ordinare in origine! Ciò è dovuto all'aggiornamento dei dati e le righe possono essere spostate automaticamente, modificando così completamente la merce ordinata.</t>
  </si>
  <si>
    <t>Jei pateikiate užsakymą, pvz., 2 dienoms = tuo tarpu kainoraščiai bus atnaujinti, o eilutės bus išsklaidytos, todėl atsiųsite mums kitokios prekės užsakymą, nei iš pradžių norėjote užsisakyti! Taip yra dėl duomenų atnaujinimo ir eilutės gali būti automatiškai perkeliamos, taip visiškai pakeičiant užsakytas prekes.</t>
  </si>
  <si>
    <t>Jeśli złożysz zamówienie na np. 2 dni = cenniki zostaną w międzyczasie zaktualizowane, a wiersze rozrzucone i w efekcie wyślesz nam zamówienie na inny produkt niż pierwotnie chciałeś zamówić! Dzieje się tak dzięki aktualizacji danych, a wiersze mogą być automatycznie przesuwane, co całkowicie zmienia zamawiany towar.</t>
  </si>
  <si>
    <t>Ако наручите нпр. 2 дана = ценовник ће бити ажуриран у међувремену и редови ће бити разбацани и као резултат ћете нам послати поруџбину за другачији производ него што сте првобитно желели! То је због ажурирања података и редови се могу аутоматски померати, чиме се потпуно мења наручена роба.</t>
  </si>
  <si>
    <t>Ja veicat pasūtījumu, piemēram, uz 2 dienām = cenrāži tikmēr tiks atjaunināti un rindas būs izkaisītas, kā rezultātā jūs nosūtīsiet mums pasūtījumu citai precei, nekā jūs sākotnēji vēlējāties pasūtīt! Tas ir saistīts ar datu atjaunošanu un rindas var tikt automātiski pārvietotas, tādējādi pilnībā mainot pasūtītās preces.</t>
  </si>
  <si>
    <t>Kui vormistate tellimuse nt 2 päevaks = hinnakirjad uuendatakse vahepeal ja read lähevad laiali ning selle tulemusena saadate meile tellimuse erinevale tootele, kui algselt tellida soovisite! See on tingitud andmete uuendamisest ja ridu võidakse automaatselt liigutada, muutes seega täielikult tellitud kaubad.</t>
  </si>
  <si>
    <t>Nếu bạn đặt hàng trong 2 ngày, ví dụ: bảng giá sẽ được cập nhật trong thời gian chờ đợi và các dòng sẽ bị phân tán và kết quả là bạn sẽ gửi cho chúng tôi đơn đặt hàng cho một sản phẩm khác với sản phẩm bạn muốn đặt ban đầu! Điều này là do việc cập nhật dữ liệu và các hàng có thể được tự động di chuyển, do đó thay đổi hoàn toàn hàng hóa đã đặt.</t>
  </si>
  <si>
    <t>Ha pl. 2 napra ad le rendelést = az árlisták időközben frissülnek és a sorok szétszórtak és ennek eredményeként más termékre küldi el a rendelést, mint amit eredetileg meg akart rendelni! Ennek oka az adatok frissítése, és előfordulhat, hogy a sorok automatikusan eltolódnak, így teljesen megváltozik a megrendelt áru.</t>
  </si>
  <si>
    <t xml:space="preserve">Pokud chcete objednávku vyplňovat průběžně, musíte použít ceník General Iprice list! </t>
  </si>
  <si>
    <t>If you want to fill out the order continuously, you must use the General Iprice list!</t>
  </si>
  <si>
    <t>Wenn Sie die Bestellung fortlaufend ausfüllen möchten, müssen Sie die allgemeine IPreisliste verwenden!</t>
  </si>
  <si>
    <t>Ukoliko narudžbu želite ispunjavati kontinuirano, morate koristiti Opći Icjenik!</t>
  </si>
  <si>
    <t>Se vuoi compilare l'ordine in modo continuativo, devi utilizzare il listino prezzi Generale!</t>
  </si>
  <si>
    <t>Jei norite nuolat pildyti užsakymą, turite naudotis Bendruoju kainų sąrašu!</t>
  </si>
  <si>
    <t>Jeśli chcesz wypełniać zamówienie w sposób ciągły, musisz skorzystać z Cennika Ogólnego!</t>
  </si>
  <si>
    <t>Ако желите да испуњавате поруџбину континуирано, морате користити Општи Иценовник!</t>
  </si>
  <si>
    <t>Ja vēlaties pasūtījumu aizpildīt nepārtraukti, jāizmanto Vispārējā cenu saraksts!</t>
  </si>
  <si>
    <t>Kui soovid tellimust pidevalt täita, tuleb kasutada Üldhinnakirja!</t>
  </si>
  <si>
    <t>Nếu bạn muốn điền đơn hàng liên tục, bạn phải sử dụng danh sách Iprice Chung!</t>
  </si>
  <si>
    <t>Ha folyamatosan szeretné kitölteni a megrendelést, akkor az Általános Iárjegyzéket kell használnia!</t>
  </si>
  <si>
    <t>Rezervační a ceník se zbožím, které je skladem použijte jen tehdy, když chcete objednávku udělat a ihned odeslat.</t>
  </si>
  <si>
    <t>Use the reservation and price list with goods that are in stock only if you want to place an order and send it immediately.</t>
  </si>
  <si>
    <t>Verwenden Sie die Reservierungs- und Preisliste mit Lagerware nur, wenn Sie eine Bestellung aufgeben und sofort versenden möchten.</t>
  </si>
  <si>
    <t>Koristite rezervaciju i cjenik s robom koja je na zalihi samo ako želite izvršiti narudžbu i poslati je odmah.</t>
  </si>
  <si>
    <t>Utilizza la prenotazione e il listino prezzi con merce in giacenza solo se desideri effettuare un ordine e spedirlo immediatamente.</t>
  </si>
  <si>
    <t>Rezervaciją ir kainoraštį su prekėmis, kurios yra sandėlyje, naudokite tik tuo atveju, jei norite pateikti užsakymą ir išsiųsti iš karto.</t>
  </si>
  <si>
    <t>Korzystaj z rezerwacji i cennika z towarami, które są na stanie tylko wtedy, gdy chcesz złożyć zamówienie i od razu je wysłać.</t>
  </si>
  <si>
    <t>Користите резервацију и ценовник са робом која је на лагеру само ако желите да наручите и пошаљете је одмах.</t>
  </si>
  <si>
    <t>Izmantojiet rezervāciju un cenrādi ar precēm, kas ir noliktavā, tikai tad, ja vēlaties veikt pasūtījumu un nosūtīt to nekavējoties.</t>
  </si>
  <si>
    <t>Kasutage broneeringut ja hinnakirja laos olevate kaupade puhul ainult siis, kui soovite vormistada tellimust ja saata see kohe ära.</t>
  </si>
  <si>
    <t>Sử dụng bảng giá và đặt trước với hàng hóa chỉ có trong kho nếu bạn muốn đặt hàng và gửi hàng ngay lập tức.</t>
  </si>
  <si>
    <t>A raktáron lévő áruknál csak akkor használja a foglalást és árlistát, ha megrendelést szeretne leadni és azonnal elküldeni.</t>
  </si>
  <si>
    <t>Co dělat, když nefungují hypertextové odkazy ve starším Excelu?</t>
  </si>
  <si>
    <t>What to do if hyperlinks do not work in older Excel?</t>
  </si>
  <si>
    <t>Was tun, wenn Hyperlinks in älterem Excel nicht funktionieren?</t>
  </si>
  <si>
    <t>Što učiniti ako hiperveze ne rade u starijem Excelu?</t>
  </si>
  <si>
    <t>Cosa fare se i collegamenti ipertestuali non funzionano nel vecchio Excel?</t>
  </si>
  <si>
    <t>Ką daryti, jei hipersaitai neveikia senesnėje „Excel“?</t>
  </si>
  <si>
    <t>Co zrobić, jeśli hiperłącza nie działają w starszym programie Excel?</t>
  </si>
  <si>
    <t>Шта учинити ако хипервезе не раде у старијем Екцел-у?</t>
  </si>
  <si>
    <t>Ko darīt, ja vecākajā programmā Excel hipersaites nedarbojas?</t>
  </si>
  <si>
    <t>Mida teha, kui hüperlingid vanemas Excelis ei tööta?</t>
  </si>
  <si>
    <t>Phải làm gì nếu siêu liên kết không hoạt động trong Excel cũ hơn?</t>
  </si>
  <si>
    <t>Mi a teendő, ha a hiperhivatkozások nem működnek a régebbi Excelben?</t>
  </si>
  <si>
    <t>Procedura per l'invio di un ordine:</t>
  </si>
  <si>
    <t>Процедура за слање поруџбине:</t>
  </si>
  <si>
    <t>Pasūtījuma nosūtīšanas procedūra:</t>
  </si>
  <si>
    <t>Пре него што почнете да радите са нашом И-ценовником, погледајте овај видео водич, који ће вам помоћи да разумете наш Иценик:</t>
  </si>
  <si>
    <t>Pirms sākat strādāt ar mūsu I-cenu sarakstu, noskatieties šo video ceļvedi, kas palīdzēs izprast mūsu Iceník:</t>
  </si>
  <si>
    <t>1. zákazník pošle svou objednávku vyplněnou v našem elektronickém ceníku (jiný formát nebude přijat) na emailovou adresu info@klasektrading.cz s informací, o způsobu naložení zboží tzn. na paletách nebo na volno(viz. buňka číslo 1424), způsob dopravy a popř. adresou doručení.</t>
  </si>
  <si>
    <t>1. the customer sends his order filled in our electronic price list (other format will not be accepted) to the email address info@klasektrading.cz with information about the method of loading the goods, ie. on pallets or on leave (see cell number 1424), mode of transport and possibly delivery address.</t>
  </si>
  <si>
    <t>1. Der Kunde sendet seine in unserer elektronischen Preisliste ausgefüllte Bestellung (anderes Format wird nicht akzeptiert) an die E-Mail-Adresse info@klasektrading.cz mit Informationen über die Art des Ladens der Waren, d. H. auf Paletten oder frei Karton (siehe Zellennummer 1424), Transportart und möglicherweise Lieferadresse.</t>
  </si>
  <si>
    <t>1. Kupac dostavlja svoju narudžbu ispunjenu u našem elektroničkom cjeniku (drugi formati neće biti prihvaćeni) na adresu e-pošte info@klasektrading.cz sa podacima o načinu utovara robe, tj. na paletama ili bez, slobodni utovar (vidi ćeliju 1424), način prijevoza i eventualno adresu za dostavu.</t>
  </si>
  <si>
    <t>1. il cliente invia il suo ordine compilato nel nostro listino elettronico (non saranno accettati altri formati) all'indirizzo e-mail info@klasektrading.cz con le informazioni sul metodo di carico della merce, ad es. su pallet o sfuso (vedi cell numero 1424), modalità di trasporto e indirizzo di consegna.</t>
  </si>
  <si>
    <t xml:space="preserve">1. Klientas siunčia savo užsakymą, užpildytą mūsų elektroniniame kainoraštyje (kitas formatas nebus priimtas) elektroninio pašto adresu info@klasektrading.cz, su informacija apie prekių pakrovimo būdą  ant palečių arba laisvu būdu, (žr. langelio numerį 1424) transporto rūšį ir galbūt pristatymo adresą. </t>
  </si>
  <si>
    <t>1. Klient przesyła swoje zamówienie wypełnione naszym cennikiem elektronicznym (inny format nie będzie akceptowany) na adres e-mail info@klasektrading.cz z informacją o sposobie załadunku towaru tj. na paletach lub luzem (patrz komórka 1424), rodzaj transportu i ewentualnie adres dostawy.</t>
  </si>
  <si>
    <t>1. купац шаље своју поруџбину попуњену у нашем електронском ценовнику (други формати неће бити прихваћени) на мејл адресу инфо@класектрадинг.цз са информацијама о начину утовара робе, тј. на палетама или растресито (види број ћелије 1424), начин транспорта и адреса испоруке.</t>
  </si>
  <si>
    <t>1. klients nosūta savu pasūtījumu, kas aizpildīts mūsu elektroniskajā cenrādī (citi formāti netiks pieņemti) uz e-pasta adresi info@klasektrading.cz ar informāciju par preču iekraušanas veidu, t.i. uz paletēm vai brīvi (skatīt šūnas numuru 1424), transportēšanas veids un piegādes adrese.</t>
  </si>
  <si>
    <t>klient saadab oma tellimuse, mis on täidetud meie elektroonilises hinnakirjas (muud vormingut ei aktsepteerita) e-posti aadressile info@klasektrading.cz teabega kauba laadimise viisist, st. kaubaalustel või puhkusel (vt lahtrinumber 1424), transpordiliik ja võimalik tarneaadress.</t>
  </si>
  <si>
    <t>1. khách hàng gửi đơn đặt hàng của mình đã điền trong bảng giá điện tử của chúng tôi (định dạng khác sẽ không được chấp nhận) đến địa chỉ email info@klasektrading.cz kèm theo thông tin về phương thức tải hàng, tức là. trên pallet hoặc rời (xem số ô 1424), phương thức vận chuyển và có thể địa chỉ giao hàng.</t>
  </si>
  <si>
    <t>La novità è la disponibilità online del magazzino, ovverosia devi solo essere online e confermare l'opzione "consenti modifica" e "consenti contenuto". Dopo ogni apertura di Icenik, puoi vedere quali merci sono in stock o quando sarà disponibile!!!</t>
  </si>
  <si>
    <t>Нова карактеристика је онлајн доступност складишта, тј. само треба да будете онлајн и потврдите опцију „дозволи уређивање“ и „дозволи садржај“. Након сваког отварања Иценика можете видети која роба има на залихама или када ће бити на лагеру!!!</t>
  </si>
  <si>
    <t>Jaunā iespēja ir noliktavas tiešsaistes pieejamība, t.i. jums vienkārši jābūt tiešsaistē un jāapstiprina opcijas "atļaut rediģēšanu" un "atļaut saturu". Pēc katras Iceník atvēršanas jūs varat redzēt, kādas preces ir noliktavā vai kad būs noliktavā!!!</t>
  </si>
  <si>
    <t>Non è possibile ordinare articoli contrassegnati in nero che non sono in stock il giorno dell'ordine!!! Ciò garantirà che il cliente ordini solo gli articoli in stock e accelererà notevolmente il completamento dell'ordine.</t>
  </si>
  <si>
    <t>Није могуће наручити црно означене артикле који нису на лагеру на дан поруџбине!!! Ово ће осигурати да купац наручује само артикле који су на лагеру и значајно ће убрзати завршетак поруџбине.</t>
  </si>
  <si>
    <t>Nav iespējams pasūtīt melni marķētas preces, kuras pasūtīšanas dienā nav noliktavā!!! Tas nodrošinās, ka klients pasūta tikai preces, kas ir noliktavā, un ievērojami paātrinās pasūtījuma izpildi.</t>
  </si>
  <si>
    <t>2. un nostro dipendente scoprirà quali articoli potrebbero non essere disponibili e informerà il cliente tramite e-mail</t>
  </si>
  <si>
    <t>2. наш запосленик ће сазнати који артикли можда нису на лагеру и обавестиће купца о томе путем е-поште</t>
  </si>
  <si>
    <t>2. Mūsu darbinieks noskaidros, kuras preces, iespējams, nav noliktavā un informēs klientu par to pa e-pastu</t>
  </si>
  <si>
    <t>3. il cliente decide se desidera attendere la merce (se non è in stock) o se vuole in qualche modo sostituire la merce esaurita e invia il suo ordine finale via e-mail, che conterrà solo la merce attualmente a disposizione.</t>
  </si>
  <si>
    <t>3. купац одлучује да ли жели да сачека робу (ако је нема на лагеру) или жели некако да замени распродату робу и шаље своју коначну поруџбину путем мејла, која ће садржати само робу која се тренутно налази доступан.</t>
  </si>
  <si>
    <t>3. klients izlemj, vai viņš vēlas sagaidīt preces (ja tās nav noliktavā), vai arī vēlas kaut kādā veidā aizstāt izpārdotās preces un nosūta savu gala pasūtījumu uz e-pastu, kurā būs tikai tās preces, kas šobrīd ir pieejams.</t>
  </si>
  <si>
    <t>4. un nostro dipendente carica questo ordine finale (vedi punto n. 3) nel nostro sistema e informa il cliente della data di spedizione della merce o pronto per essere ritirato.</t>
  </si>
  <si>
    <t>4. наш запослени поставља ову коначну поруџбину (види тачку бр. 3) у наш систем и обавештава купца о датуму када ће роба бити испоручена или спреман за подизање.</t>
  </si>
  <si>
    <t>4. mūsu darbinieks augšupielādē šo gala pasūtījumu (skat. punktu nr. 3) mūsu sistēmā un informē klientu par datumu, kad preces tiks nosūtītas vai gatavs paņemšanai.</t>
  </si>
  <si>
    <t>Solo sulla base di tale conferma il cliente potrà ritirare la merce.</t>
  </si>
  <si>
    <t>Само на основу ове потврде купац може преузети робу.</t>
  </si>
  <si>
    <t>Tikai pamatojoties uz šo apstiprinājumu, klients var paņemt preces.</t>
  </si>
  <si>
    <t>Поруџбина ће бити унета у наш систем тек након што прими 100% уплате на наш рачун (осим ако код нас нема отворен кредит који му даје право на куповину са одложеним плаћањем).</t>
  </si>
  <si>
    <t>Pasūtījums tiks ievadīts mūsu sistēmā tikai pēc 100% maksājuma saņemšanas mūsu kontā (ja vien viņam nav atvērts kredīts pie mums, kas dod tiesības veikt pirkumu ar atlikto maksājumu).</t>
  </si>
  <si>
    <t>I clienti che non procedono all'ordine secondo quanto sopra e vengono a ritirare la merce senza conferma da parte di un nostro addetto, la merce non verrà caricata.</t>
  </si>
  <si>
    <t>Купци који не наставе са поруџбином у складу са наведеним и дођу по робу без потврде нашег радника, роба неће бити утоварена.</t>
  </si>
  <si>
    <t>Klientiem, kuri neturpina pasūtījuma izpildi saskaņā ar augstāk minēto un ierodas pēc preces bez apstiprinājuma no mūsu darbinieka, preces netiks iekrautas.</t>
  </si>
  <si>
    <t>Слањем поруџбине купац такође потврђује да се упознао са свим условима написаним на овој страници и да је сагласан са њима.</t>
  </si>
  <si>
    <t>Nosūtot pasūtījumu, klients arī apliecina, ka ir iepazinies ar visiem šajā lapā rakstītajiem noteikumiem un nosacījumiem un tiem piekrīt.</t>
  </si>
  <si>
    <t>Il tuo ordine viene inviato al magazzino subito dopo il suo ricevimento e non è possibile aggiungere nulla all'ordine in nessuna forma. Se il cliente annulla l'ordine (o parte di esso), gli verrà addebitata una commissione di gestione del 50% del valore della merce annullata.</t>
  </si>
  <si>
    <t>Ваша поруџбина се шаље у складиште одмах по пријему и није могуће ништа додати наруџбини у било ком облику. Ако купац откаже поруџбину (или њен део), биће му наплаћена накнада за руковање од 50% вредности отказане робе.</t>
  </si>
  <si>
    <t>Jūsu pasūtījums tiek nosūtīts uz noliktavu uzreiz pēc tā saņemšanas un pasūtījumam nav iespējams neko pievienot nekādā veidā. Ja klients atceļ pasūtījumu (vai tā daļu), no viņa tiks iekasēta apstrādes maksa 50% apmērā no atceltās preces vērtības.</t>
  </si>
  <si>
    <t>Se desideri riordinare alcuni prodotti, devi creare un nuovo ordine nel nostro listino elettronico e inviarlo nuovamente tramite e-mail. In questo ordine, scrivi solo la merce che desideri ordinare.</t>
  </si>
  <si>
    <t>Ако желите да препоручите неку робу, морате креирати нову поруџбину у нашем електронском ценовнику и послати је поново путем е-поште. У овом редоследу упишите само робу коју желите да наручите.</t>
  </si>
  <si>
    <t>Ja vēlaties pārsūtīt dažas preces, jums ir jāizveido jauns pasūtījums mūsu elektroniskajā cenrādī un jānosūta vēlreiz pa e-pastu. Šajā secībā ierakstiet tikai tās preces, kuras vēlaties pasūtīt.</t>
  </si>
  <si>
    <t>Non possiamo garantire che le merci arretrate vengano inviate insieme alla merce inizialmente ordinata!</t>
  </si>
  <si>
    <t>Не можемо да гарантујемо да ће роба која је наручена назад бити послата заједно са првобитно нарученом робом!</t>
  </si>
  <si>
    <t>Mēs nevaram garantēt, ka pēcpasūtītās preces tiks nosūtītas kopā ar sākotnēji pasūtītajām precēm!</t>
  </si>
  <si>
    <t>Sold by packs</t>
  </si>
  <si>
    <t>Verkauft in Packungen</t>
  </si>
  <si>
    <t>Prodaje se u paketima</t>
  </si>
  <si>
    <t>Venduto a confezioni</t>
  </si>
  <si>
    <t>Parduodama pakuotėmis</t>
  </si>
  <si>
    <t>Sprzedawane w paczkach</t>
  </si>
  <si>
    <t>Продаје се у пакетима</t>
  </si>
  <si>
    <t>Pārdod pa iepakojumiem</t>
  </si>
  <si>
    <t>Müüakse pakkide kaupa</t>
  </si>
  <si>
    <t>Kiszerelésben eladó</t>
  </si>
  <si>
    <t>Je možno objednávat z ceníku "Goods wich is only on shop.xlsx" po menším množství než exportní karton.</t>
  </si>
  <si>
    <t>It is possible to order from the "Goods wich is only on shop.xlsx" price list in smaller quantities than the export carton.</t>
  </si>
  <si>
    <t>Es ist möglich, aus der "Goods wich is only on shop.xlsx"-Preisliste kleinere Mengen als den Exportkarton zu bestellen.</t>
  </si>
  <si>
    <t>Iz cjenika "Goods wich is only on shop.xlsx" moguće je naručiti u manjim količinama od izvoznog kartona.</t>
  </si>
  <si>
    <t>È possibile ordinare dal listino "Goods wich is only on shop.xlsx" in quantità inferiori rispetto al cartone di esportazione.</t>
  </si>
  <si>
    <t>Galima užsisakyti iš "Goods wich is only on shop.xlsx" kainoraščio mažesniais kiekiais nei eksporto dėžutė.</t>
  </si>
  <si>
    <t>Istnieje możliwość zamówienia z cennika "Goods wich is only on shop.xlsx" mniejszych ilości niż karton eksportowy.</t>
  </si>
  <si>
    <t>Из ценовника "Роба која је само на схоп.клск" могуће је наручити за мању количину од извозног картона.</t>
  </si>
  <si>
    <t>No "Goods wich is only on shop.xlsx" cenrāža ir iespējams pasūtīt mazākos daudzumos nekā eksporta kartona kastīte.</t>
  </si>
  <si>
    <t>"Goods wich is only on shop.xlsx" hinnakirjast on võimalik tellida väiksemas koguses kui ekspordikarp.</t>
  </si>
  <si>
    <t>Có thể đặt hàng từ bảng giá "Goods wich is only on shop.xlsx" với số lượng ít hơn thùng carton xuất khẩu.</t>
  </si>
  <si>
    <t>A "Goods wich is only on shop.xlsx" árlistáról az export kartonnál kisebb mennyiségben is lehet rendelni.</t>
  </si>
  <si>
    <t>If you wish to order goods in pieces, you must send a separate order for these goods, which will contain only the items you want to order in pieces (the smallest sales package must always be ordered).</t>
  </si>
  <si>
    <t>Wenn Sie Waren in Stücken bestellen möchten, müssen Sie für diese Waren eine separate Bestellung aufgeben, die nur die Artikel enthält, die Sie in Stücken bestellen möchten (es muss immer die kleinste Verkaufsverpackung bestellt werden).</t>
  </si>
  <si>
    <t>Ako želite naručiti robu u komadima, morate poslati posebnu narudžbu za tu robu, koja će sadržavati samo artikle koje želite naručiti u komadima (uvijek se mora naručiti najmanje prodajno pakiranje).</t>
  </si>
  <si>
    <t>Se desideri ordinare la merce a pezzi, devi inviare un ordine separato per queste merci, che conterrà solo gli articoli che desideri ordinare a pezzi (il pacchetto di vendita più piccolo deve sempre essere ordinato).</t>
  </si>
  <si>
    <t>Jei norite užsisakyti prekes vienetais, turite atsiųsti atskirą šių prekių užsakymą, kuriame bus tik prekės, kurias norite užsakyti vienetais (visada reikia užsakyti mažiausią pardavimo pakuotę).</t>
  </si>
  <si>
    <t>Jeśli chcesz zamówić towar na sztuki, musisz wysłać osobne zamówienie na te towary, które będzie zawierało tylko te elementy, które chcesz zamówić na sztuki (zawsze należy zamówić najmniejsze opakowanie sprzedażowe).</t>
  </si>
  <si>
    <t>Ако желите да наручите робу у комаду, морате послати посебну поруџбину за ову робу, која ће садржати само артикле које желите да наручите у комадима (увек се мора наручити најмањи продајни пакет).</t>
  </si>
  <si>
    <t>Ja vēlaties pasūtīt preces gabalos, šīm precēm ir jānosūta atsevišķs pasūtījums, kurā būs tikai tās preces, kuras vēlaties pasūtīt gabalos (vienmēr jāpasūta mazākā pārdošanas paka).</t>
  </si>
  <si>
    <t>Kui soovite tellida kaupa tükkidena, tuleb nendele kaupadele saata eraldi tellimus, mis sisaldab ainult neid kaupu, mida soovite tellida tükkidena (tellida tuleb alati väikseim müügipakk).</t>
  </si>
  <si>
    <t>Nếu bạn muốn đặt hàng theo từng phần, bạn phải gửi một đơn đặt hàng riêng cho những hàng hóa này, đơn đặt hàng này sẽ chỉ chứa các mặt hàng bạn muốn đặt theo từng phần (phải luôn đặt gói bán hàng nhỏ nhất).</t>
  </si>
  <si>
    <t>Ha darabos árut szeretne rendelni, ezekre az árukra külön rendelést kell küldenie, amely csak a darabonként rendelni kívánt tételeket tartalmazza (mindig a legkisebb értékesítési csomagot kell megrendelni).</t>
  </si>
  <si>
    <t>A handling fee of 20% of your price will be charged for ordered goods in pieces, i.e. your discount x 1.2 = the price of the goods that you order in pieces will be deducted from the basic price.</t>
  </si>
  <si>
    <t>Für stückweise bestellte Ware, d.h. Ihr Rabatt x 1,2 = der Preis der Ware, die Sie stückweise bestellen, wird vom Grundpreis abgezogen.</t>
  </si>
  <si>
    <t>Za naručenu robu u komadima naplaćuje se manipulativna naknada od 20% vaše cijene, tj. vaš popust x 1,2 = cijena robe koju naručujete u komadima odbit će se od osnovne cijene.</t>
  </si>
  <si>
    <t>Una commissione di gestione del 20% del prezzo verrà addebitata per le merci ordinate in pezzi, ad es. il tuo sconto x 1,2 = il prezzo della merce ordinata a pezzi verrà detratto dal prezzo base.</t>
  </si>
  <si>
    <t>Užsakytas prekes vienetais bus imamas 20% jūsų kainos tvarkymo mokestis, t.y. jūsų nuolaida x 1,2 = prekių, kurias užsakote vienetais, kaina bus išskaičiuota iš bazinės kainos.</t>
  </si>
  <si>
    <t>Za zamówiony towar w sztukach zostanie naliczona opłata manipulacyjna w wysokości 20% Twojej ceny, tj. Twój rabat x 1,2 = cena zamówionego towaru w sztukach zostanie odjęta od ceny podstawowej.</t>
  </si>
  <si>
    <t>За наручену робу у комаду биће наплаћена накнада за руковање од 20% ваше цене, тј. ваш попуст к 1,2 = цена робе коју наручујете у комадима биће одузета од основне цене.</t>
  </si>
  <si>
    <t>Par pasūtītajām precēm gabalos tiks iekasēta apstrādes maksa 20% apmērā no jūsu cenas, t.i. jūsu atlaide x 1,2 = preces, kuras pasūtāt gabalos, cena tiks atskaitīta no pamatcenas.</t>
  </si>
  <si>
    <t>Tükkides tellitud kauba eest võetakse käsitlustasu 20% Teie hinnast, s.o. teie allahindlus x 1,2 = põhihinnast arvestatakse maha tükikaupa tellitud kauba hind.</t>
  </si>
  <si>
    <t>Phí xử lý 20% giá của bạn sẽ được tính cho hàng hóa được đặt hàng theo từng phần, tức là chiết khấu của bạn x 1,2 = giá của hàng hóa mà bạn đặt theo từng phần sẽ được trừ vào giá cơ bản.</t>
  </si>
  <si>
    <t>A darabonként megrendelt árukért az árának 20%-a kezelési költséget számítunk fel, pl. kedvezménye x 1,2 = a darabban megrendelt áru ára levonásra kerül az alapárból.</t>
  </si>
  <si>
    <t>V tomto ceníku se zobrazí pouze položky, které jsou skladem pouze na prodejně a současně již nejsou na hlavním skladu.</t>
  </si>
  <si>
    <t>In this price list, only items that are in stock only at the store and are no longer in the main warehouse will be displayed.</t>
  </si>
  <si>
    <t>In dieser Preisliste werden nur Artikel angezeigt, die nur in der Filiale und nicht mehr im Hauptlager vorrätig sind.</t>
  </si>
  <si>
    <t>U ovom cjeniku bit će prikazani samo artikli koji su na zalihi samo u trgovini, a više nisu na glavnom skladištu.</t>
  </si>
  <si>
    <t>In questo listino verranno visualizzati solo gli articoli che sono in stock solo nel negozio e non sono più nel magazzino principale.</t>
  </si>
  <si>
    <t>Šiame kainoraštyje bus rodomos tik prekės, kurios yra sandėlyje tik parduotuvėje ir nebėra pagrindiniame sandėlyje.</t>
  </si>
  <si>
    <t>W tym cenniku będą wyświetlane tylko pozycje, które są na stanie tylko w sklepie i nie znajdują się już w magazynie głównym.</t>
  </si>
  <si>
    <t>У овом ценовнику биће приказани само артикли који су на лагеру само у продавници и који се више не налазе у главном магацину.</t>
  </si>
  <si>
    <t>Šajā cenrādī tiks attēlotas tikai preces, kuras ir tikai veikala noliktavā un vairs nav galvenajā noliktavā.</t>
  </si>
  <si>
    <t>Selles hinnakirjas kuvatakse ainult need kaubad, mis on laos ainult poes ja mida enam põhilaos ei ole.</t>
  </si>
  <si>
    <t>Trong bảng giá này chỉ hiển thị những mặt hàng còn hàng duy nhất tại cửa hàng và không còn ở kho chính.</t>
  </si>
  <si>
    <t>Ebben az árlistában csak azok a cikkek jelennek meg, amelyek csak az üzletben vannak raktáron és már nincsenek a főraktárban.</t>
  </si>
  <si>
    <t>Příklady vyplnění objednávky v ceníku "Goods which is only on shop.xlsx":</t>
  </si>
  <si>
    <t>Examples of filling out an order in the "Goods wich is only on shop.xlsx" price list:</t>
  </si>
  <si>
    <t>Beispiele für das Ausfüllen einer Bestellung in der Preisliste "Goods wich is only on shop.xlsx":</t>
  </si>
  <si>
    <t>Primjeri ispunjavanja narudžbe u cjeniku "Goods wich is only on shop.xlsx":</t>
  </si>
  <si>
    <t>Esempi di compilazione di un ordine nel listino "Goods wich is only on shop.xlsx":</t>
  </si>
  <si>
    <t>Užsakymo užpildymo "Goods wich is only on shop.xlsx" kainoraštyje pavyzdžiai:</t>
  </si>
  <si>
    <t>Przykłady wypełnienia zamówienia w cenniku "Goods wich is only on shop.xlsx":</t>
  </si>
  <si>
    <t>Примери попуњавања поруџбине у ценовнику „Роба која је само на схоп.клск“:</t>
  </si>
  <si>
    <t>Pasūtījuma aizpildīšanas piemēri "Goods wich is only on shop.xlsx" cenrādī:</t>
  </si>
  <si>
    <t>Näited tellimuse täitmisest hinnakirjas "Goods wich is only on shop.xlsx":</t>
  </si>
  <si>
    <t>Ví dụ về việc điền đơn đặt hàng trong bảng giá "Goods wich is only on shop.xlsx":</t>
  </si>
  <si>
    <t>Példák a megrendelés kitöltésére az "Goods wich is only on shop.xlsx" árlistában:</t>
  </si>
  <si>
    <t>you want to order 5 packs of item DP1R, which is packed 25/20/6, so you order 0.2 cartons</t>
  </si>
  <si>
    <t>Sie möchten 5 Packungen des Artikels DP1R bestellen, der 25/20/6 verpackt ist, also bestellen Sie 0,2 Kartons</t>
  </si>
  <si>
    <t>želite naručiti 5 paketa artikla DP1R, koji je pakiran 25/20/6, dakle naručite 0,2 kartona</t>
  </si>
  <si>
    <t>vuoi ordinare 5 confezioni dell'articolo DP1R, che è imballato 25/20/6, quindi ordini 0,2 cartoni</t>
  </si>
  <si>
    <t>norite užsisakyti 5 pakuotes prekės DP1R, kuri supakuota 25/20/6, todėl užsakote 0,2 kartono</t>
  </si>
  <si>
    <t>chcesz zamówić 5 paczek artykułu DP1R, który jest pakowany 25/20/6, więc zamawiasz 0,2 kartonu</t>
  </si>
  <si>
    <t>желите да наручите 5 паковања артикла ДП1Р који је упакован 25/20/6, па наручите 0,2 картона</t>
  </si>
  <si>
    <t>vēlaties pasūtīt 5 iepakojumus ar preci DP1R, kas ir iepakots 25/20/6, tāpēc pasūtāt 0,2 kastītes</t>
  </si>
  <si>
    <t>kui soovite tellida 5 pakki kaupa DP1R, mis on pakitud 25/20/6, seega tellite 0,2 karpi</t>
  </si>
  <si>
    <t>bạn muốn đặt 5 gói hàng DP1R đóng gói 25/20/6 nên bạn đặt hàng 0,2 thùng</t>
  </si>
  <si>
    <t>5 csomag DP1R terméket szeretne rendelni, amely 25/20/6, tehát 0,2 kartont rendel</t>
  </si>
  <si>
    <t>you want to order 1 pc of item C1625B which is packed 12/1 so you order 0.0833 carton</t>
  </si>
  <si>
    <t>Sie möchten 1 Stück des Artikels C1625B bestellen, der 12/1 verpackt ist, also bestellen Sie 0,0833 Karton</t>
  </si>
  <si>
    <t>želite naručiti 1 kom artikla C1625B koji je pakiran 12/1 pa naručite 0,0833 kartona</t>
  </si>
  <si>
    <t>si desidera ordinare 1 pezzo dell'articolo C1625B che è imballato 12/1 in modo da ordinare 0,0833 cartoni</t>
  </si>
  <si>
    <t>norite užsisakyti 1 vnt prekės C1625B, kuri supakuota 12/1, todėl užsakote 0,0833 dėžutę</t>
  </si>
  <si>
    <t>chcesz zamówić 1 szt. elementu C1625B, który jest pakowany 12/1, więc zamawiasz karton 0,0833</t>
  </si>
  <si>
    <t>желите да наручите 1 ком артикла Ц1625Б који је упакован 12/1 тако да наручите 0,0833 картона</t>
  </si>
  <si>
    <t>Jūs vēlaties pasūtīt 1 gab preces C1625B, kas ir iepakots 12/1, lai jūs pasūtāt 0,0833 kastīti</t>
  </si>
  <si>
    <t>Kui soovite tellida 1 tk kaupa C1625B, mis on pakitud 12/1, nii et tellite 0,0833 karpi</t>
  </si>
  <si>
    <t>bạn muốn đặt 1 cái mặt hàng C1625B được đóng gói 12/1 nên bạn đặt hàng thùng 0.0833</t>
  </si>
  <si>
    <t>1 db C1625B terméket szeretne rendelni, amely 12/1-re van csomagolva, ezért 0,0833 kartondobozt rendel</t>
  </si>
  <si>
    <t>We believe that this step will expand the availability of our goods even for smaller customers who cannot order some items in whole export cartons.</t>
  </si>
  <si>
    <t>Wir glauben, dass dieser Schritt die Verfügbarkeit unserer Waren auch für kleinere Kunden erweitert, die einige Artikel nicht in ganzen Exportkartons bestellen können.</t>
  </si>
  <si>
    <t>Vjerujemo da ćemo ovim korakom proširiti dostupnost naše robe i za manje kupce koji neke artikle ne mogu naručiti u cijelim izvoznim kartonima.</t>
  </si>
  <si>
    <t>Riteniamo che questo passaggio amplierà la disponibilità delle nostre merci anche per i clienti più piccoli che non possono ordinare alcuni articoli in interi cartoni per l'esportazione.</t>
  </si>
  <si>
    <t>Tikime, kad šis žingsnis padidins mūsų prekių prieinamumą net ir smulkesniems klientams, kurie negali užsisakyti kai kurių prekių ištisose eksporto dėžutėse.</t>
  </si>
  <si>
    <t>Wierzymy, że ten krok zwiększy dostępność naszych towarów nawet dla mniejszych klientów, którzy nie mogą zamówić niektórych artykułów w całych kartonach eksportowych.</t>
  </si>
  <si>
    <t>Верујемо да ће овај корак проширити доступност наше робе чак и за мање купце који не могу да наруче неке артикле у целим извозним картонима.</t>
  </si>
  <si>
    <t>Mēs uzskatām, ka šis solis paplašinās mūsu preču pieejamību pat mazākiem klientiem, kuri nevar pasūtīt atsevišķas preces veselās eksporta kastēs.</t>
  </si>
  <si>
    <t>Usume, et see samm laiendab meie kaupade saadavust ka väiksematele klientidele, kes ei saa tellida mõnda kaupa terves ekspordikarbis.</t>
  </si>
  <si>
    <t>Chúng tôi tin rằng bước này sẽ mở rộng sự sẵn có của hàng hóa của chúng tôi ngay cả đối với những khách hàng nhỏ hơn, những người không thể đặt một số mặt hàng trong các thùng hàng xuất khẩu nguyên chiếc.</t>
  </si>
  <si>
    <t>Úgy gondoljuk, hogy ez a lépés még a kisebb vásárlók számára is kibővíti áruink elérhetőségét, akik bizonyos tételeket nem tudnak teljes export kartonban rendelni.</t>
  </si>
  <si>
    <t>Prenotazione della merce</t>
  </si>
  <si>
    <t>Резервација робе</t>
  </si>
  <si>
    <t>Preču rezervēšana</t>
  </si>
  <si>
    <t>Sulla base delle numerose richieste dei clienti, abbiamo deciso di avviare un sistema di prenotazione presso il nostro magazzino. Per una migliore idea, presenterò un sistema ampiamente utilizzato dai nostri clienti esteri.</t>
  </si>
  <si>
    <t>На основу бројних захтева купаца, одлучили смо да покренемо систем резервација у нашем магацину. За бољу идеју, представићу систем који увелико користе наши страни купци.</t>
  </si>
  <si>
    <t>Pamatojoties uz daudzajiem klientu pieprasījumiem, mēs nolēmām mūsu noliktavā iedarbināt rezervēšanas sistēmu. Labākai idejai es iepazīstināšu ar sistēmu, kuru plaši izmanto mūsu ārvalstu klienti.</t>
  </si>
  <si>
    <t>I commercianti che hanno i propri negozi ordinano le merci da noi, ad esempio, immediatamente a settembre dopo la pubblicazione del listino prezzi, dicendo che desiderano consegnare la merce solo, ad esempio, il 15 dicembre.</t>
  </si>
  <si>
    <t>Трговци који имају своје продавнице наручују робу код нас, на пример, одмах у септембру по објављивању ценовнику, рекавши да желе да испоруче робу само, на пример, 15. децембра.</t>
  </si>
  <si>
    <t>Tirgotāji, kuriem ir savi veikali, preces pie mums pasūta, piemēram, uzreiz septembrī pēc cenrāža publicēšanas, sakot, ka vēlas preces piegādāt tikai, piemēram, 15. decembrī.</t>
  </si>
  <si>
    <t>Con questo, hanno la garanzia di ottenere tutto ciò che vogliono e non devono riporre la merce da nessuna parte o preoccuparsi che l'articolo su cui contano, ad esempio, nel volantino, non si esaurisca. Il giorno concordato, trascorso il quale il cliente riceverà la merce ordinata...</t>
  </si>
  <si>
    <t>Овим им је загарантовано да ће добити све што желе и не морају нигде да складиште робу, нити да брину да се артикал на који рачунају, на пример, у флајеру, неће распродати. Договореног дана, након чега ће купац добити робу коју је наручио…</t>
  </si>
  <si>
    <t>Ar to viņi garantēti saņems visu, ko vēlas, un viņiem nav nekur jāglabā preces vai jāuztraucas, ka prece, ar kuru viņi rēķinās, piemēram, skrejlapā, netiks izpārdota. Norunātajā dienā, pēc kuras klients saņems pasūtītās preces…</t>
  </si>
  <si>
    <t>Di seguito le regole in base alle quali è possibile prenotare la merce presso il nostro magazzino:</t>
  </si>
  <si>
    <t>Испод су правила по којима је могуће резервисати робу у нашем магацину:</t>
  </si>
  <si>
    <t>Zemāk ir noteikumi, saskaņā ar kuriem ir iespējams rezervēt preces mūsu noliktavā:</t>
  </si>
  <si>
    <t>Процедура за резервисање робе која је на залихама:</t>
  </si>
  <si>
    <t>○        il cliente invia un ordine solo per la merce che desidera prenotare (è possibile prenotare solo la merce attualmente in stock)</t>
  </si>
  <si>
    <t>○        купац шаље поруџбину само за робу коју жели да резервише (могу се резервисати само роба која је тренутно на лагеру)</t>
  </si>
  <si>
    <t>○        klients nosūta pasūtījumu tikai tām precēm, kuras vēlas rezervēt (rezervēt var tikai tās preces, kuras šobrīd ir noliktavā)</t>
  </si>
  <si>
    <t>○        per la merce ordinata verrà emessa fattura anticipata pari al 100% del valore della merce riservata e solo dopo il versamento di tale anticipo sul nostro conto, la merce verrà riservata (se il cliente non ha credito aperto con noi ).</t>
  </si>
  <si>
    <t>○        w przypadku zarezerwowanego towaru faktura zaliczkowa zostanie wystawiona na 100% wartości zarezerwowanego towaru, a towar zostanie zablokowany dopiero po wpłacie na nasze konto (Jeśli klient nie ma u nas otwartego kredytu).</t>
  </si>
  <si>
    <t>○        за наручену робу, биће издата авансна фактура за 100% вредности резервисане робе и тек након уплате овог аванса на наш рачун роба ће бити резервисана (ако купац нема отворен кредит код нас ).</t>
  </si>
  <si>
    <t>○        par pasūtītajām precēm tiks izrakstīts avansa rēķins 100% apmērā no rezervēto preču vērtības un tikai pēc šī avansa iemaksas mūsu kontā preces tiks rezervētas (ja klientam pie mums nav atvērts kredīts ).</t>
  </si>
  <si>
    <t>○        broneeritud kaupade kohta väljastatakse ettemaksuarve 100% ulatuses broneeritud kauba väärtusest ja kaup broneeritakse alles pärast selle ettemakse tasumist meie kontole (Kui kliendil ei ole meie juures avatud krediiti).</t>
  </si>
  <si>
    <t>○        la merce verrà preparata fisicamente su pallet di dimensioni 120x80cm e 180cm di altezza e di peso fino a 750kg in modo tale che la merce riservata si trovi sul minor numero possibile di pallet, ma nel rispetto delle dimensioni sopra indicate. Se viene ordinata una piccola quantità, ad esempio 2 cartoni, verranno posizionati su un europallet e verrà addebitato il costo elencato di seguito.</t>
  </si>
  <si>
    <t>○        роба ће се физички припремати на палетама димензија 120к80цм и висине 180цм и тежине до 750кг на начин да се резервисана роба налази на што мањем броју палета, али у складу са горе наведеним димензијама. Ако се наручи мала количина, на пример 2 картона, они ће бити стављени на евро палету и биће наплаћена доле наведена накнада.</t>
  </si>
  <si>
    <t>○        preces tiks fiziski sagatavotas uz paletēm ar izmēriem 120x80cm un 180cm augstumā un svarā līdz 750kg tā, lai rezervētās preces atrastos uz pēc iespējas mazāka skaita palešu, bet ievērojot augstāk minētos izmērus. Ja tiek pasūtīts neliels daudzums, piemēram, 2 kartona kastes, tās tiks novietotas uz eiro paletes un tiks iekasēta tālāk norādītā maksa.</t>
  </si>
  <si>
    <t>○        la merce sarà stoccata nel nostro magazzino dalla data di preparazione fino alla spedizione richiesta, al costo di 9 CZK / 1 euro pallet / 1 giorno</t>
  </si>
  <si>
    <t>○        роба ће бити ускладиштена у нашем складишту од датума припреме до тражене пошиљке, уз накнаду од 9 ЦЗК / 1 евро палета / 1 дан</t>
  </si>
  <si>
    <t>○        preces tiks uzglabātas mūsu noliktavā no sagatavošanas datuma līdz pieprasītajam sūtījumam, par maksu 9 CZK / 1 eiro palete / 1 diena</t>
  </si>
  <si>
    <t>○        il giorno della spedizione verrà calcolato il numero di giorni in cui il pallet è stato immagazzinato e l'importo per lo stoccaggio verrà aggiunto alla fattura finale della merce</t>
  </si>
  <si>
    <t>○        на дан отпреме, број дана складиштења палета биће израчунат и износ за складиштење ће бити додат коначној фактури за робу</t>
  </si>
  <si>
    <t>○        nosūtīšanas dienā tiks aprēķināts, cik dienu palete tika uzglabāta, un uzglabāšanas summa tiks pievienota gala rēķinam par precēm</t>
  </si>
  <si>
    <t>Regole:</t>
  </si>
  <si>
    <t>Правила:</t>
  </si>
  <si>
    <t>Noteikumi:</t>
  </si>
  <si>
    <t>○        la prenotazione non può essere modificata! Se il cliente non ritira tutta la merce ordinata, la penale di cancellazione è del 50% del valore della merce che il cliente ha ordinato ma non ha ritirato.</t>
  </si>
  <si>
    <t>○        резервација се не може променити! Уколико купац не преузме сву наручену робу, накнада за отказивање износи 50% од вредности робе коју је наручио, а није наплатио.</t>
  </si>
  <si>
    <t>○        rezervāciju nevar mainīt! Ja klients neizņem visas pasūtītās preces, atcelšanas maksa ir 50% no to preču vērtības, kuras klients pasūtīja, bet nesaņēma.</t>
  </si>
  <si>
    <t>○        ogni prenotazione deve essere evasa nella sua interezza (non è possibile prendere solo parte della merce riservata), ovverosia tutti gli europallet riservati verranno rimossi immediatamente</t>
  </si>
  <si>
    <t>○        свака резервација мора бити отпремљена у целини (није могуће узети само део резервисане робе), тј. све резервисане евро палете ће бити уклоњене одједном</t>
  </si>
  <si>
    <t>○        katra rezervācija ir jānosūta pilnībā (nav iespējams paņemt tikai daļu no rezervētajām precēm), t.i. visas rezervētās eiro paletes tiks izņemtas uzreiz</t>
  </si>
  <si>
    <t>○        la merce prenotata verrà spedita solo su pallet</t>
  </si>
  <si>
    <t>○        резервисана роба ће се слати само на палетама</t>
  </si>
  <si>
    <t>○        rezervētās preces tiks nosūtītas tikai uz paletēm</t>
  </si>
  <si>
    <t>Vorgehensweise bei der Reservierung von nicht vorrätiger Ware:</t>
  </si>
  <si>
    <t>Procedura za rezervaciju robe koja nije na skladištu:</t>
  </si>
  <si>
    <t>Procedura per la prenotazione di merce non in giacenza:</t>
  </si>
  <si>
    <t>Prekių, kurių sandėlyje nėra, rezervavimo tvarka:</t>
  </si>
  <si>
    <t>Procedura rezerwacji towarów, których nie ma w magazynie:</t>
  </si>
  <si>
    <t>Процедура за резервисање робе која није на залихама:</t>
  </si>
  <si>
    <t>Noliktavā neesošo preču rezervēšanas kārtība:</t>
  </si>
  <si>
    <t>Kaupade, mida laos ei ole, broneerimise kord:</t>
  </si>
  <si>
    <t>Thủ tục đặt trước hàng hóa không có trong kho:</t>
  </si>
  <si>
    <t>A raktáron nem lévő áruk lefoglalásának menete:</t>
  </si>
  <si>
    <t>○        такође је могуће резервисати робу која је још на путу (није на лагеру)</t>
  </si>
  <si>
    <t>○        je možné rezervovat jen takové zboží, které přijde do 20dní na sklad - Celá nabídka těchto položek je v ceníku "Reservation form"</t>
  </si>
  <si>
    <t>○        it is possible to reserve only those goods that arrive in stock within 20 days - The entire offer of these items is in the "Reservation form" price list</t>
  </si>
  <si>
    <t>○        Es ist möglich, nur solche Waren zu buchen, die innerhalb von 20 Tagen ins Lager kommen - Das gesamte Angebot dieser Artikel befindet sich in der Preisliste "Reservation form"</t>
  </si>
  <si>
    <t>○        moguće je rezervirati samo onu robu koja stigne na zalihu unutar 20 dana - Cjelokupna ponuda ovih artikala nalazi se u cjeniku "Reservation form"</t>
  </si>
  <si>
    <t>○        è possibile prenotare solo la merce che arriva in stock entro 20 giorni - L'intera offerta di questi articoli è nel listino "Reservation form"</t>
  </si>
  <si>
    <t>○        rezervuoti galima tik tas prekes, kurios į sandėlį patenka per 20 dienų – Visas šių prekių pasiūlymas yra „Reservation form“ kainoraštyje</t>
  </si>
  <si>
    <t>○        możliwa jest rezerwacja tylko tych towarów, które pojawią się w magazynie w ciągu 20 dni — cała oferta tych pozycji znajduje się w cenniku „Reservation form”</t>
  </si>
  <si>
    <t>○        могуће је резервисати само ону робу која стигне на лагер у року од 20 дана – Целокупна понуда ових артикала је у ценовнику „Резервациони образац“</t>
  </si>
  <si>
    <t>○        ir iespējams rezervēt tikai tās preces, kas noliktavā nonāk 20 dienu laikā - Viss šo preču piedāvājums ir cenrādī "Rezervācijas forma"</t>
  </si>
  <si>
    <t>○        on võimalik broneerida ainult neid kaupu, mis saabuvad laost 20 päeva jooksul - kogu nende kaupade pakkumine on "Reservation form" hinnakirjas</t>
  </si>
  <si>
    <t>○        chỉ có thể đặt trước những hàng hóa về kho trong vòng 20 ngày - Toàn bộ ưu đãi của những mặt hàng này nằm trong bảng giá "Reservation form"</t>
  </si>
  <si>
    <t>○        csak a 20 napon belül raktáron lévő árukat lehet lefoglalni - Ezen termékek teljes kínálata a „Reservation form” árlistában található</t>
  </si>
  <si>
    <t>○        није могуће резервисати ниједну другу робу осим оне која се налази на картици Резервације</t>
  </si>
  <si>
    <t>○        у оквиру једне резервације, могуће је резервисати само робу са истим даном испоруке у наше складиште</t>
  </si>
  <si>
    <t>○        vienas rezervācijas ietvaros ir iespējams rezervēt tikai preces ar to pašu piegādes dienu mūsu noliktavā</t>
  </si>
  <si>
    <t>○        за резервације важе цене приказане на картици Резервације и имајте на уму да су ове цене 8% више од наших стандардних цена</t>
  </si>
  <si>
    <t>○        rezervācijām tiek piemērotas cenas, kas norādītas cilnē Rezervācija, un, lūdzu, ņemiet vērā, ka šīs cenas ir par 8% augstākas nekā mūsu standarta cenas.</t>
  </si>
  <si>
    <t>○        Pokud zákazník doručí paletu osobně zpět, bude mu vystaven dobropis na tyto palety ve stejné ceně, za kterou mu byly palety fakturovány (350Kč).</t>
  </si>
  <si>
    <t>○        If the customer personally delivers the pallet back, he will be issued a credit note for these pallets at the same price for which the pallets were invoiced to him (CZK 350).</t>
  </si>
  <si>
    <t>○        Wenn der Kunde die Palette persönlich zurückliefert, wird ihm für diese Paletten eine Gutschrift zum gleichen Preis ausgestellt, zu dem ihm die Paletten in Rechnung gestellt wurden (350 CZK).</t>
  </si>
  <si>
    <t>○        Ako kupac osobno vrati paletu, bit će mu izdano knjižno odobrenje za te palete po istoj cijeni za koju su mu palete fakturirane (350 CZK).</t>
  </si>
  <si>
    <t>○        Se il cliente riconsegna personalmente il pallet, gli verrà emessa una nota di credito per questi pallet allo stesso prezzo per il quale i pallet gli sono stati fatturati (CZK 350).</t>
  </si>
  <si>
    <t>○        Jei klientas asmeniškai pristato padėklą atgal, jam bus išrašytas šių padėklų kredito pažyma už tą pačią kainą, už kurią jam buvo išrašyta sąskaita už padėklus (350 CZK).</t>
  </si>
  <si>
    <t>○        Jeśli klient osobiście zwróci paletę, zostanie mu wystawiona nota kredytowa na te palety w tej samej cenie, za którą palety zostały mu zafakturowane (350 CZK).</t>
  </si>
  <si>
    <t>○ Ако купац лично врати палету, биће му издато кредитно писмо за ове палете по истој цени за коју су му палете фактурисане (350 ЦЗК).</t>
  </si>
  <si>
    <t>○ Ja klients personīgi piegādā paleti atpakaļ, viņam par šīm paletēm tiks izsniegta kredītrēķina par tādu pašu cenu, par kādu viņam tika izrakstīts rēķins par paletēm (CZK 350).</t>
  </si>
  <si>
    <t>○        Kui klient toimetab kaubaaluse isiklikult tagasi, väljastatakse talle nende aluste kohta kreeditarve sama hinnaga, mille eest talle aluste eest arve esitati (350 CZK).</t>
  </si>
  <si>
    <t>○        Nếu khách hàng đích thân giao lại pallet, anh ta sẽ được cấp một thư báo ghi có cho những pallet này với cùng mức giá mà các pallet đã được lập hóa đơn cho anh ta (350 K).</t>
  </si>
  <si>
    <t>○        Ha a vevő személyesen szállítja vissza a raklapot, akkor ezekről a raklapokról jóváírást állítanak ki, ugyanazon az áron, mint amennyiért a raklapokat kiszámlázták neki (350 CZK).</t>
  </si>
  <si>
    <t>○        након прихватања резервације, биће издата авансна фактура за 100% вредности робе са роком доспећа од 1 дана (ако купац нема отворен кредит код нас, који му даје право на куповину са одложеним роком доспећа).</t>
  </si>
  <si>
    <t>○        pēc rezervācijas pieņemšanas tiks izrakstīts avansa rēķins par 100% no preces vērtības ar atmaksas termiņu 1 diena (ja klientam pie mums nav atvērts kredīts, kas dod tiesības iegādāties ar nokavētu termiņu).</t>
  </si>
  <si>
    <t>○        резервисана роба ће бити заиста резервисана тек након што купац пошаље потврду плаћања.</t>
  </si>
  <si>
    <t>○        rezervētās preces tiks reāli rezervētas tikai pēc tam, kad klients būs nosūtījis maksājuma apstiprinājumu.</t>
  </si>
  <si>
    <t>Паллетс</t>
  </si>
  <si>
    <t>Paletes</t>
  </si>
  <si>
    <t>○        Pokud je zboží posláno zákazníkovi na paletě, tak tyto palety jsou součástí faktury za zboží. (350 Kč)</t>
  </si>
  <si>
    <t>○        If the goods are sent to the customer on a pallet, then these pallets are part of the invoice for the goods.</t>
  </si>
  <si>
    <t>○        Wenn die Ware auf einer Palette an den Kunden gesendet wird, sind diese Paletten Teil der Rechnung für die Ware. (350 CZK)</t>
  </si>
  <si>
    <t>○        Ako se roba kupcu šalje na paletama, tada su one sastavni dio računa za robu (350 CZK)</t>
  </si>
  <si>
    <t>○        Se le merci vengono inviate al cliente su un pallet, questi pallet fanno parte della fattura della merce. (350 CZK)</t>
  </si>
  <si>
    <t>○        Jei prekės klientui siunčiamos ant paletės tai šios paletės yra taippat skaičiuojamos, kaip prekių sąskaitos dalis.(350 CZK)</t>
  </si>
  <si>
    <t>○        Jeżeli towar wysyłany jest do klienta na palecie, wówczas palety te są częścią faktury za towar. (350 CZK)</t>
  </si>
  <si>
    <t>○        Ако се роба шаље купцу на палети, онда су ове палете део фактуре за робу. (350 CZK)</t>
  </si>
  <si>
    <t>○        Ja preces klientam tiek nosūtītas uz paletes, tad šīs paletes ir daļa no preču rēķina. (350 CZK)</t>
  </si>
  <si>
    <t>○        Kui kaup saadetakse kliendile euroalusel, siis on need kaubaalused osa kauba arvest. (350 CZK)</t>
  </si>
  <si>
    <t>○        Nếu hàng hóa được gửi cho khách hàng trên pallet euro, thì những pallet này là một phần của hóa đơn cho hàng hóa. (350 CZK)</t>
  </si>
  <si>
    <t>○        amennyiben az áru raklapokon van szállitva, ezek a raklapok szerepelnek a kiállitott számlán is. (350 CZK)</t>
  </si>
  <si>
    <t>○        Висина једне палете неће бити већа од 180 цм. Уколико купац жели да максимално искористи превозно средство, робу мора наручити бесплатно.</t>
  </si>
  <si>
    <t>○        Vienas paletes augstums nedrīkst būt lielāks par 180 cm. Ja klients vēlas maksimāli izmantot transporta līdzekli, viņam preces jāpasūta bez maksas.</t>
  </si>
  <si>
    <t>○        Ако купац има упаковану робу на палетама, дужан је да преузме робу на палети из магацина, није могуће захтевати бесплатан утовар када је роба на палетама.</t>
  </si>
  <si>
    <t>○        Ja klientam preces ir iepakotas uz paletēm, viņam ir pienākums izņemt preces uz paletes no noliktavas, nav iespējams pieprasīt bezmaksas iekraušanu, ja preces atrodas uz paletēm.</t>
  </si>
  <si>
    <t>○        Se il cliente restituisce personalmente il pallet, gli verrà emessa una nota di credito per quei pallet allo stesso prezzo in cui è stato fatturato per i pallet.</t>
  </si>
  <si>
    <t>○        Ако купац лично врати палету, биће му издато кредитно писмо за те палете по истој цени по којој су му биле фактурисане за палете.</t>
  </si>
  <si>
    <t>○        Ja klients personīgi piegādās paleti atpakaļ, viņam par šīm paletēm tiks izsniegta kredītrēķina par tādu pašu cenu, kāda tika izrakstīta par paletēm.</t>
  </si>
  <si>
    <t>○        Il cliente può rispedire i bancali anche tramite un servizio di spedizione (a proprie spese) e gli verrà rilasciata una nota di credito dopo che i bancali saranno stati consegnati al nostro magazzino.</t>
  </si>
  <si>
    <t>○        Клијент такође може послати палете назад од стране шпедитерске службе (о свом трошку) и кредитно писмо ће му бити издато након што палете буду испоручене у наше складиште.</t>
  </si>
  <si>
    <t>○        Klients var arī nosūtīt paletes atpakaļ ar ekspedīcijas servisa palīdzību (par saviem līdzekļiem), un pēc palešu nogādāšanas mūsu noliktavā viņam tiks izsniegta kredītvēsture.</t>
  </si>
  <si>
    <t>○        Non è possibile rispedire i pallet all'autista/servizio di spedizione che ha importato la merce!</t>
  </si>
  <si>
    <t>○        Није могуће послати палете назад возачу/шпедитеру који је увезао робу!</t>
  </si>
  <si>
    <t>○        Paletes nav iespējams nosūtīt atpakaļ šoferim/ekspedīcijas dienestam, kurš ievedis preces!</t>
  </si>
  <si>
    <t>Spese di spedizione</t>
  </si>
  <si>
    <t>Трошак отпремања</t>
  </si>
  <si>
    <t>Pārvadājuma maksa</t>
  </si>
  <si>
    <t>U paletových přeprav je cena pro dopravu v České republice cca 2000Kč/ paleta  a bude vždy vybrána nejlevnější možnost, která bude dostupná na trhu.</t>
  </si>
  <si>
    <t>For pallet transport, the price for transport in the Czech Republic is about 2000 CZK/pallet, and the cheapest option available on the market will always be chosen.</t>
  </si>
  <si>
    <t>Für den Palettentransport beträgt der Preis für den Transport in der Tschechischen Republik etwa 2000 CZK/Palette, und es wird immer die billigste auf dem Markt verfügbare Option gewählt.</t>
  </si>
  <si>
    <t>Za paletni prijevoz cijena prijevoza u Češkoj je oko 2000 CZK/paleta, a uvijek će se odabrati najjeftinija opcija dostupna na tržištu.</t>
  </si>
  <si>
    <t>Per il trasporto di pallet, il prezzo per il trasporto nella Repubblica Ceca è di circa 2000 CZK/pallet e verrà sempre scelta l'opzione più economica disponibile sul mercato.</t>
  </si>
  <si>
    <t>Padėklų gabenimui kaina pervežimui Čekijoje yra apie 2000 CZK/padėklai, visada bus pasirenkamas pigiausias rinkoje esantis variantas.</t>
  </si>
  <si>
    <t>W przypadku transportu paletowego cena za transport na terenie Czech wynosi około 2000 CZK/paletę i zawsze wybierana będzie najtańsza opcja dostępna na rynku.</t>
  </si>
  <si>
    <t>За транспорт палета, цена транспорта у Чешкој је око 2000 ЦЗК/палета, а увек ће се бирати најјефтинија опција доступна на тржишту.</t>
  </si>
  <si>
    <t>Palešu transportēšanai cena par transportu Čehijā ir aptuveni 2000 CZK/palete, un vienmēr tiks izvēlēts lētākais tirgū pieejamais variants.</t>
  </si>
  <si>
    <t>Kaubaaluste transpordi puhul on transpordi hind Tšehhis ca 2000 CZK/alus ning alati valitakse odavaim turul saadaolev variant.</t>
  </si>
  <si>
    <t>Đối với vận chuyển bằng pallet, giá vận chuyển ở Cộng hòa Séc là khoảng 2000 K / pallet, và sẽ luôn được lựa chọn phương án rẻ nhất trên thị trường.</t>
  </si>
  <si>
    <t>Raklap szállítás esetén a csehországi szállítás ára körülbelül 2000 CZK/raklap, és mindig a piacon elérhető legolcsóbb megoldást választjuk.</t>
  </si>
  <si>
    <t>Pokud zákazník, chce dopravu zařídit od nás, nemůžeme čekat na potvrzení ceny od zákazníka a automaticky volíme nejlevnější možnost a zboží posíláme.</t>
  </si>
  <si>
    <t>If the customer wants to arrange the transport from us, we cannot wait for the confirmation of the price from the customer and automatically choose the cheapest option and send the goods.</t>
  </si>
  <si>
    <t>Wenn der Kunde den Transport von uns arrangieren möchte, können wir nicht auf die Preisbestätigung des Kunden warten und wählen automatisch die günstigste Option und versenden die Ware.</t>
  </si>
  <si>
    <t>Ukoliko kupac želi organizirati prijevoz od nas, mi ne možemo čekati potvrdu cijene od kupca i automatski biramo najjeftiniju opciju i šaljemo robu.</t>
  </si>
  <si>
    <t>Se il cliente desidera organizzare il trasporto da noi, non possiamo attendere la conferma del prezzo da parte del cliente e scegliere automaticamente l'opzione più economica e inviare la merce.</t>
  </si>
  <si>
    <t>Jeigu klientas nori pasirūpinti transportu pas mus, negalime laukti kainos patvirtinimo iš kliento ir automatiškai pasirinkti pigiausią variantą bei išsiųsti prekes.</t>
  </si>
  <si>
    <t>Jeśli klient chce u nas zorganizować transport, nie możemy czekać na potwierdzenie ceny od klienta i automatycznie wybrać najtańszą opcję i wysłać towar.</t>
  </si>
  <si>
    <t>Уколико купац жели да организује превоз од нас, не можемо да чекамо потврду цене од купца и аутоматски изаберемо најјефтинију опцију и пошаљемо робу.</t>
  </si>
  <si>
    <t>Ja klients vēlas noorganizēt transportu no mums, mēs nevaram gaidīt cenas apstiprinājumu no klienta un automātiski izvēlēties lētāko variantu un nosūtīt preces.</t>
  </si>
  <si>
    <t>Kui klient soovib transporti korraldada meie juurest, ei saa me oodata kliendilt hinna kinnitust ning valida automaatselt soodsaima variandi ja kauba teele panna.</t>
  </si>
  <si>
    <t>Nếu khách hàng muốn sắp xếp vận chuyển từ chúng tôi, chúng tôi không thể đợi xác nhận giá từ khách hàng và tự động chọn phương án rẻ nhất và gửi hàng.</t>
  </si>
  <si>
    <t>Ha a megrendelő tőlünk szeretné megszervezni a szállítást, nem tudjuk megvárni az ár visszaigazolását, és automatikusan kiválasztjuk a legolcsóbb opciót és elküldjük az árut.</t>
  </si>
  <si>
    <t>When sending goods by our ADR vehicle (load capacity 1,450 kg), we charge a transport fee of CZK 18/km for the journey there and back.</t>
  </si>
  <si>
    <t>Beim Versand von Waren mit unserem ADR-Fahrzeug (Tragfähigkeit 1.450 kg) berechnen wir eine Transportgebühr von 18 CZK/km für die Hin- und Rückfahrt.</t>
  </si>
  <si>
    <t>Prilikom slanja robe našim ADR vozilom (nosivost 1.450 kg) naplaćujemo prijevoz od 18 CZK/km za putovanje tamo i natrag.</t>
  </si>
  <si>
    <t>In caso di spedizione di merci con il nostro veicolo ADR (capacità di carico 1.450 kg), addebitiamo una tassa di trasporto di 18 CZK/km per il viaggio di andata e ritorno.</t>
  </si>
  <si>
    <t>Siunčiant prekes mūsų ADR transporto priemone (keliamoji galia 1450 kg), už kelionę ten ir atgal imame 18 CZK/km transportavimo mokestį.</t>
  </si>
  <si>
    <t>Przy wysyłaniu towaru naszym pojazdem ADR (ładowność 1450 kg) pobieramy opłatę transportową w wysokości 18 CZK/km za przejazd tam iz powrotem.</t>
  </si>
  <si>
    <t>Приликом слања робе нашим АДР возилом (носивост 1.450 кг), наплаћујемо превоз од 18 ЦЗК/км за путовање тамо и назад.</t>
  </si>
  <si>
    <t>Sūtot preces ar mūsu ADR transportlīdzekli (kravnesība 1450 kg), mēs iekasējam transporta maksu CZK 18/km par braucienu turp un atpakaļ.</t>
  </si>
  <si>
    <t>Kauba saatmisel meie ADR sõidukiga (kandevõime 1450 kg) võtame kohale- ja tagasisõidu eest transporditasu 18 CZK/km.</t>
  </si>
  <si>
    <t>Приликом слања робе АДР камионом (носивост 24.000Кг), купац може бесплатно истоварити робу на једном месту, максимално 4 сата. За дужи истовар наплаћује се 800 ЦЗК/сат чекања, при преласку у друго складиште наплаћује се 100 ЦЗК/км.</t>
  </si>
  <si>
    <t>Sūtot preces ar ADR kravas auto (kravnesība 24 000Kg), klients var izkraut preces vienuviet bez maksas, maksimāli 4 stundas. Par ilgāku izkraušanu tiks iekasēta likme 800 CZK/stunda gaidīšanas, pārceļoties uz citu noliktavu 100 CZK/km.</t>
  </si>
  <si>
    <t>Rimostranza</t>
  </si>
  <si>
    <t>Жалба</t>
  </si>
  <si>
    <t>Sūdzība</t>
  </si>
  <si>
    <t>Ti stiamo inviando la procedura per la gestione dei reclami sui compatti non sparati. Sfortunatamente, nonostante il controllo di qualità, questi reclami non possono essere prevenuti nel contesto di un grande volume.</t>
  </si>
  <si>
    <t>Шаљемо вам процедуру за решавање рекламација на непаљене компакте. Нажалост, упркос контроли квалитета, ове жалбе се не могу спречити у контексту великог обима.</t>
  </si>
  <si>
    <t>Mēs nosūtām jums procedūru sūdzību izskatīšanai par neapdedzinātiem kompaktiem. Diemžēl, neskatoties uz kvalitātes kontroli, šīs sūdzības nevar novērst liela apjoma kontekstā.</t>
  </si>
  <si>
    <t>Se viene cotto meno del 30% del prodotto, sostituiremo il prodotto per il cliente con un nuovo pezzo, ci porteremo il pezzo crudo e verrà sostituito per te.</t>
  </si>
  <si>
    <t>Ако је мање од 30% производа испаљено, ми ћемо заменити производ за купца новим комадом, донети непечени комад код нас и биће замењен за вас.</t>
  </si>
  <si>
    <t>Ja ir izšauts mazāk par 30% preci klientam apmainīsim pret jaunu gabalu, nesadedzināto atvedīsim pie mums un tas tiks apmainīts pret jums.</t>
  </si>
  <si>
    <t>Se è stato sparato il 30-50% del prodotto, lo sostituiremo con un pezzo nuovo per il cliente con un pagamento aggiuntivo del 30-50% del prezzo di acquisto a seconda di quanti colpi il cliente ha sparato, portare il pezzo crudo a noi e sarà scambiato per te con un pagamento aggiuntivo del 30-50% del prezzo.</t>
  </si>
  <si>
    <t>Ако је испаљено 30-50% производа, ми ћемо га заменити за нови комад за купца уз доплату од 30-50% купопродајне цене у зависности од тога колико је хитаца купац испалио, донети неиспаљени комад нама и биће замењен за вас уз доплату од 30-50% ваше цене.</t>
  </si>
  <si>
    <t>Ja ir izšauts 30-50% preces, tad klientam to apmainīsim pret jaunu gabalu ar papildus samaksu 30-50% no pirkuma cenas atkarībā no tā, cik šāvienu klients ir izšāvis, atnesiet neizšauto gabalu mums un tas tiks apmainīts pret jums ar papildus samaksu 30-50% apmērā no jūsu cenas.</t>
  </si>
  <si>
    <t>Se il 50-80% del prodotto è stato cotto, lo sostituiremo per il cliente con un nuovo pezzo con un pagamento aggiuntivo del 50-80% del prezzo di acquisto, a seconda di quanti colpi il cliente ha sparato, portare il pezzo crudo a noi e sarà scambiato per te con un pagamento aggiuntivo del 50-80% del prezzo</t>
  </si>
  <si>
    <t>Ако је испаљено 50-80% производа, замењујемо га за купца новим комадом уз доплату од 50-80% купопродајне цене, зависно од тога колико је метака купац испалио, донети неиспаљени комад нама и биће замењен за вас уз доплату од 50-80% цене</t>
  </si>
  <si>
    <t>Ja 50-80% preces ir izšautas, apmainīsim klientam pret jaunu gabalu ar papildus samaksu 50-80% no pirkuma cenas atkarībā no tā, cik patronu klients ir izšāvis, atnesiet neizdedzināto gabalu pie mums un tas tiks apmainīts pret jums ar papildus samaksu 50-80% no cenas</t>
  </si>
  <si>
    <t>Con questo vogliamo mettere ordine alla soluzione dei reclami, quando ci capita ad esempio che un cliente porti una compatta da 100 colpi, di cui sono stati sparati 90 colpi e vuole un pezzo nuovo.</t>
  </si>
  <si>
    <t>Овим желимо да уведемо ред у решавање рекламација, када нам се деси да, на пример, купац донесе компакт од 100 метака, од чега је испаљено 90 метака и жели нови комад.</t>
  </si>
  <si>
    <t>Ar to vēlamies ieviest kārtību sūdzību risināšanā, kad mums gadās, ka, piemēram, klients atnes 100 patronu kompaktu, no kura ir izšautas 90 patronas un viņš vēlas jaunu gabalu.</t>
  </si>
  <si>
    <t>I vulcani conici (F100, F250, F500, F1000, F1500) non possono essere rivendicati o restituiti come parte dei resi dopo la stagione - motivi descritti nell'e-mail del 28/01/2019.</t>
  </si>
  <si>
    <t>Конусни вулкани (Ф100, Ф250, Ф500, Ф1000, Ф1500) се не могу тражити или вратити као део поврата након сезоне - разлози описани у е-поруци 28.1.2019.</t>
  </si>
  <si>
    <t>Konusveida vulkānus (F100, F250, F500, F1000, F1500) nevar pieprasīt vai atdot kā daļu no atgriešanas pēc sezonas — iemesli aprakstīti e-pastā 28.01.2019.</t>
  </si>
  <si>
    <t>Non è possibile rivendicare i cartoni di esportazione danneggiati per i fuochi d'artificio assemblati. Il cartone colorato per l'esportazione non ha alcun effetto sulla funzione del prodotto e serve solo a proteggere il prodotto durante il trasporto</t>
  </si>
  <si>
    <t>Није могуће потраживати оштећене извозне кутије за састављени ватромет. Картон за извоз у боји нема утицаја на функцију производа и служи само за заштиту производа током транспорта</t>
  </si>
  <si>
    <t>Samontētajām uguņošanas ierīcēm nav iespējams pieprasīt bojātas eksporta kartona kastes. Krāsainā eksporta kartona kārba neietekmē produkta darbību un kalpo tikai produkta aizsardzībai transportēšanas laikā</t>
  </si>
  <si>
    <t>Un cliente che desidera solo cartoni impeccabili deve acquistare prodotti confezionati in un cartone protettivo. Il codice prodotto termina con (T), o al momento del ritiro presso il nostro magazzino, organizzare il ritiro della merce presso la nostra sede. I reclami successivi non saranno presi in considerazione.</t>
  </si>
  <si>
    <t>Купац који жели само беспрекорне картоне мора да купи производе који су упаковани у заштитну кутију. Шифра производа се завршава са (Т), или приликом преузимања из нашег складишта договорите преузимање робе код нас. Касније жалбе неће бити узете у обзир.</t>
  </si>
  <si>
    <t>Klientam, kurš vēlas tikai nevainojamas kartona kārbas, jāiegādājas produkti, kas ir iepakoti aizsargkārbā. Produkta kods beidzas ar (T) vai saņemot no mūsu noliktavas, vienojieties par preču paņemšanu pie mums. Vēlāk iesniegtās sūdzības netiks ņemtas vērā.</t>
  </si>
  <si>
    <t>Nevar pieprasīt ātrāku akumulatora un kompozītmateriālu uguņošanas laiku. Daudzu procesu laikā, kas nav mūsu kontrolē (izkraušana pie klienta, uzglabāšana klienta noliktavā, iegādāto preču apstrāde u.c.) var tikt bojāti produkti, kad akumulatora apakšējā daļā tiek iebērti atkritumi un pēc tam tas izraisa efekta ilguma paātrinājumu, kad atsevišķi šāvieni tiek raidīti ātrāk.</t>
  </si>
  <si>
    <t>Akumulatora pilnīgas eksplozijas vai saliktas uguņošanas gadījumā pretenzija tiks pieņemta tikai pēc detalizētas fotodokumentācijas iesniegšanas uzreiz pēc notikušā, kurā būs redzams, kas noticis ar preci.</t>
  </si>
  <si>
    <t>Video, kurā redzama tikai produkta kļūme filmēšanas laikā, kur nav iespējams identificēt, par kuru preci ir runa, netiks pieņemts!</t>
  </si>
  <si>
    <t>Par akumulatoriem nevar pretendēt uz saplēstu sarkanu augšējo plēvi. Ja nevēlaties šāda veida augšpusi (ļoti pakļauta plīsumiem), tad nepasūtiet šāda veida izstrādājumus un tā vietā izvēlieties papīra augšējo pusi (ar dizainu). Cenrādī šie produkti ir atzīmēti kā F = folija / D = dizains</t>
  </si>
  <si>
    <t>If the customer wants to claim the quantity of goods delivered, he must do so during the unloading of the goods and must make a record of this in the CMR consignment note. Later complaints will not be taken into account.</t>
  </si>
  <si>
    <t>Will der Kunde die gelieferte Warenmenge reklamieren, muss er dies beim Entladen der Ware tun und dies im CMR-Frachtbrief vermerken. Spätere Reklamationen werden nicht berücksichtigt.</t>
  </si>
  <si>
    <t>Ako kupac želi zatražiti isporučenu količinu robe, mora to učiniti tijekom istovara robe i to mora zabilježiti u CMR tovarnom listu. Naknadne reklamacije nećemo uzeti u obzir.</t>
  </si>
  <si>
    <t>Se il cliente desidera reclamare la quantità di merce consegnata, deve farlo durante lo scarico della merce e deve registrarlo nella lettera di vettura CMR. I reclami successivi non saranno presi in considerazione.</t>
  </si>
  <si>
    <t>Jei klientas nori pretenduoti į pristatytų prekių kiekį, jis turi tai padaryti prekių iškrovimo metu ir apie tai padaryti įrašą CMR važtaraštyje. Į vėlesnius skundus nebus atsižvelgiama.</t>
  </si>
  <si>
    <t>Jeżeli klient chce reklamować ilość dostarczonego towaru, musi to zrobić podczas rozładunku towaru i musi to odnotować w liście przewozowym CMR. Późniejsze reklamacje nie będą uwzględniane.</t>
  </si>
  <si>
    <t>Уколико купац жели да затражи испоручену количину робе, то мора учинити током истовара робе и то мора да забележи у ЦМР товарном листу. Касније жалбе неће бити узете у обзир.</t>
  </si>
  <si>
    <t>Ja klients vēlas pretendēt uz piegādāto preču daudzumu, viņam tas jādara preču izkraušanas laikā un par to jāizdara ieraksts CMR pavadzīmē. Vēlāk iesniegtās sūdzības netiks ņemtas vērā.</t>
  </si>
  <si>
    <t>Kui klient soovib nõuda tarnitud kauba kogust, peab ta seda tegema kauba mahalaadimise ajal ning tegema selle kohta märke CMR-saatelehele. Hilisemaid kaebusi ei võeta arvesse.</t>
  </si>
  <si>
    <t>Nếu khách hàng muốn yêu cầu số lượng hàng đã giao thì phải thực hiện trong quá trình dỡ hàng và phải ghi lại việc này trong phiếu gửi hàng CMR. Các khiếu nại sau này sẽ không được tính đến.</t>
  </si>
  <si>
    <t>Ha a megrendelő a kiszállított áru mennyiségét igényli, azt az áru kirakodása során kell megtennie, és erről a CMR fuvarlevélben rögzítenie kell. A későbbi panaszokat nem veszik figyelembe.</t>
  </si>
  <si>
    <t>Istruzioni per l'utilizzo del listino elettronico</t>
  </si>
  <si>
    <t>Упутство за коришћење електронског ценовника</t>
  </si>
  <si>
    <t>Norādījumi elektroniskā cenrāža lietošanai</t>
  </si>
  <si>
    <t>Il sistema di calcolo dello sconto è nuovo. Se sei un nuovo cliente, il listino calcolerà automaticamente il tuo sconto in base all'importo del tuo abbonamento (gli sconti assegnati si applicano ai clienti esistenti, che i clienti scrivono nella cella D19).</t>
  </si>
  <si>
    <t>Нов је систем обрачуна попуста. Ако сте нови купац, ценовник ће аутоматски израчунати ваш попуст на основу износа ваше претплате (додељени попусти важе за постојеће купце, које купци уписују у ћелију Д19).</t>
  </si>
  <si>
    <t>Atlaižu aprēķināšanas sistēma ir jauna. Ja esat jauns klients, cenrādis automātiski aprēķinās jūsu atlaidi, pamatojoties uz jūsu abonementa summu (piešķirtās atlaides attiecas uz esošajiem klientiem, kuras klienti ieraksta šūnā D19).</t>
  </si>
  <si>
    <t>Il listino prezzi è interattivo, cioè che ricalcola lo sconto stesso (è necessario inserire il suo importo nell'apposito campo, oppure si calcolerà da solo in base all'entità dell'ordine), dati prezzo in CZK ed EUR, calcola anche il peso in kg, il volume di merce in m3 e il peso netto dei componenti pirotecnici.</t>
  </si>
  <si>
    <t>Ценовник је интерактиван, тј. да сам прерачунава попуст (потребно је унети његов износ у одговарајуће поље, или ће сам израчунати према величини поруџбине), податке о цени у ЦЗК и ЕУР, такође израчунава тежину у кг, запремину робе у м3 и нето масе пиротехничких компоненти.</t>
  </si>
  <si>
    <t>Cenrādis ir interaktīvs, t.i. ka pats pārrēķina atlaidi (jāievada tās summa attiecīgajā laukā, vai arī pats aprēķinās pēc pasūtījuma lieluma), cenas datus CZK un EUR, aprēķina arī svaru kg, apjomu preču daudzums m3 un pirotehnisko komponentu neto svars.</t>
  </si>
  <si>
    <t>Nejprodávanější výrobky jsou označeny ve sloupci A takto:</t>
  </si>
  <si>
    <t>The best-selling products are marked in column A as follows:</t>
  </si>
  <si>
    <t>Die meistverkauften Produkte sind in Spalte A wie folgt gekennzeichnet:</t>
  </si>
  <si>
    <t>U stupcu A označeni su najprodavaniji proizvodi kako slijedi:</t>
  </si>
  <si>
    <t>I prodotti più venduti sono contrassegnati nella colonna A come segue:</t>
  </si>
  <si>
    <t>Perkamiausios prekės A stulpelyje pažymėtos taip:</t>
  </si>
  <si>
    <t>Najlepiej sprzedające się produkty są oznaczone w kolumnie A w następujący sposób:</t>
  </si>
  <si>
    <t>Најпродаванији производи су означени у колони А на следећи начин:</t>
  </si>
  <si>
    <t>Vislabāk pārdotās preces A slejā ir atzīmētas šādi:</t>
  </si>
  <si>
    <t>Enimmüüdud tooted on veerus A märgitud järgmiselt:</t>
  </si>
  <si>
    <t>Các sản phẩm bán chạy nhất được đánh dấu trong cột A như sau:</t>
  </si>
  <si>
    <t>A legkelendőbb termékek az A oszlopban az alábbiak szerint vannak jelölve:</t>
  </si>
  <si>
    <t>Akční ceny jsou označeny takto:</t>
  </si>
  <si>
    <t>Promotional prices are marked as follows:</t>
  </si>
  <si>
    <t>Aktionspreise sind wie folgt gekennzeichnet:</t>
  </si>
  <si>
    <t>Promotivne cijene su označene na sljedeći način:</t>
  </si>
  <si>
    <t>I prezzi promozionali sono contrassegnati come segue:</t>
  </si>
  <si>
    <t>Akcijos kainos pažymėtos taip:</t>
  </si>
  <si>
    <t>Ceny promocyjne oznaczone są w następujący sposób:</t>
  </si>
  <si>
    <t>Промотивне цене су означене на следећи начин:</t>
  </si>
  <si>
    <t>Akcijas cenas ir norādītas šādi:</t>
  </si>
  <si>
    <t>Kampaaniahinnad on märgitud järgmiselt:</t>
  </si>
  <si>
    <t>Giá khuyến mại được đánh dấu như sau:</t>
  </si>
  <si>
    <t>Az akciós árakat a következőképpen jelöljük:</t>
  </si>
  <si>
    <t>Se l'articolo desiderato non è disponibile, è possibile aiutare il filtro a cercare articoli simili nella colonna AC, dove tutti gli articoli simili sono contrassegnati con lo stesso numero.</t>
  </si>
  <si>
    <t>Ако артикл који желите није на лагеру, могуће је помоћи филтеру да тражи сличне артикле у колони АЦ, где су сви слични артикли означени истим бројем.</t>
  </si>
  <si>
    <t>Ja vēlamā prece nav noliktavā, ir iespējams palīdzēt filtram meklēt līdzīgas preces ailē AC, kur visas līdzīgās preces ir atzīmētas ar vienu un to pašu numuru.</t>
  </si>
  <si>
    <t>Questa colonna è la base per i calcoli in EUR.</t>
  </si>
  <si>
    <t>Ова колона је основа за обрачун у ЕУР.</t>
  </si>
  <si>
    <t>Šī kolonna ir pamats aprēķiniem EUR.</t>
  </si>
  <si>
    <t>Il tasso di cambio viene ricalcolato automaticamente nella cella F20 e puoi trovarlo nella pagina sottostante (il tasso di cambio massimo per il quale accettiamo EUR è 26 CZK/1 EUR). ACQUISTO tasso CAMBIO ESTERO.</t>
  </si>
  <si>
    <t>Курс валуте се аутоматски прерачунава у ћелији Ф20 и можете га пронаћи на страници испод (максимални курс за који прихватамо ЕУР је 26 ЦЗК/1 ЕУР). КУПОВИНА ДЕВИЗНОГ курса.</t>
  </si>
  <si>
    <t>Valūtas kurss tiek automātiski pārrēķināts šūnā F20, un to varat atrast zemāk esošajā lapā (maksimālais maiņas kurss, par kuru mēs pieņemam EUR, ir 26 CZK/1 EUR). IEGĀDĀJIES VALŪTAS kurss.</t>
  </si>
  <si>
    <t>хттп://ввв.кб.цз/курзовни-листек/цс/рл/индек.к</t>
  </si>
  <si>
    <t>http://www.kb.cz/kurzovni-listek/cs/rl/index.x</t>
  </si>
  <si>
    <t>Nella colonna J troverai informazioni sulla categoria di pericolo a cui appartiene il prodotto.</t>
  </si>
  <si>
    <t>У колони Ј ћете наћи информације о категорији опасности којој производ припада.</t>
  </si>
  <si>
    <t>J ailē atradīsit informāciju par bīstamības kategoriju, kurai produkts pieder.</t>
  </si>
  <si>
    <t>Scrivi il tuo ordine nella colonna Z - scrivi solo il numero che esprime il numero di cartoni ordinati. Fanno eccezione gli elementi contrassegnati con "SI" nella colonna A (condizioni sopra elencate).</t>
  </si>
  <si>
    <t>Упишите своју поруџбину у колону З - упишите само број који изражава број наручених картона. Изузеци су ставке означене са „ДА“ у колони А (услови наведени горе).</t>
  </si>
  <si>
    <t>Ierakstiet savu pasūtījumu ailē Z - ierakstiet tikai numuru, kas izsaka pasūtīto kartona kastīšu skaitu. Izņēmumi ir vienumi, kas A slejā atzīmēti ar "JĀ" (iepriekš minētie nosacījumi).</t>
  </si>
  <si>
    <t>Puoi trovare la disponibilità attuale delle scorte nella colonna AD.</t>
  </si>
  <si>
    <t>Можете пронаћи тренутну доступност залиха у колони АД.</t>
  </si>
  <si>
    <t>Pašreizējo krājumu pieejamību varat atrast slejā AD.</t>
  </si>
  <si>
    <t>Colonna S - qui puoi trovare informazioni sul materiale di cui è fatta la parte superiore della batteria, vedi riga 89 con una spiegazione.</t>
  </si>
  <si>
    <t>Колона С - овде можете пронаћи информације о томе од ког материјала је направљен горњи део батерије, погледајте ред 89 са објашњењем.</t>
  </si>
  <si>
    <t>S kolonna - šeit var atrast informāciju par to, no kāda materiāla ir izgatavota akumulatora augšdaļa, skatīt 89. rindu ar skaidrojumu.</t>
  </si>
  <si>
    <t>Colonna Q + R - qui puoi trovare informazioni sulla lingua delle istruzioni sul prodotto</t>
  </si>
  <si>
    <t>К + Р колона - овде можете пронаћи информације о језику упутстава на производу</t>
  </si>
  <si>
    <t>Q + R kolonna - šeit varat atrast informāciju par produkta instrukciju valodu</t>
  </si>
  <si>
    <t>Dopo aver completato l'ordine, vedrai le seguenti informazioni nelle seguenti colonne:</t>
  </si>
  <si>
    <t>Након завршетка поруџбине, видећете следеће информације у следећим колонама:</t>
  </si>
  <si>
    <t>Pēc pasūtījuma aizpildīšanas šādās kolonnās redzēsiet šādu informāciju:</t>
  </si>
  <si>
    <t>Colonna AE → prezzo per articolo in CZK senza IVA</t>
  </si>
  <si>
    <t>Колона АЕ → цена по артиклу у ЦЗК без ПДВ-а</t>
  </si>
  <si>
    <t>Aile AE → cena par preci CZK bez PVN</t>
  </si>
  <si>
    <t>Colonna AF → prezzo per articolo in CZK IVA inclusa</t>
  </si>
  <si>
    <t>Колона АФ ​​→ цена по артиклу у ЦЗК укључујући ПДВ</t>
  </si>
  <si>
    <t>Kolonna AF → cena par preci CZK, ieskaitot PVN</t>
  </si>
  <si>
    <t>Colonna AG → prezzo per articolo in EUR IVA esclusa</t>
  </si>
  <si>
    <t>Колона АГ → цена по артиклу у ЕУР без ПДВ-а</t>
  </si>
  <si>
    <t>Aile AG → cena par preci EUR bez PVN</t>
  </si>
  <si>
    <t>Colonna AH → peso per articolo in kg</t>
  </si>
  <si>
    <t>Колона АХ → тежина по артиклу у кг</t>
  </si>
  <si>
    <t>Kolonna AH → vienas vienības svars kg</t>
  </si>
  <si>
    <t>Colonna AI → volume per articolo in m3</t>
  </si>
  <si>
    <t>Колона АИ → запремина по артиклу у м3</t>
  </si>
  <si>
    <t>Kolonna AI → tilpums uz vienu vienību m3</t>
  </si>
  <si>
    <t>Colonna AJ → NEC - peso netto degli articoli a composizione pirotecnica di classe ADR 1.1G</t>
  </si>
  <si>
    <t>Колона АЈ → НЕЦ - нето тежина предмета пиротехничког састава АДР класе 1.1Г</t>
  </si>
  <si>
    <t>Kolonna AJ → NEC - ADR klases 1.1G pirotehniskā sastāva priekšmetu neto svars</t>
  </si>
  <si>
    <t>Colonna AK → NEC - peso netto di articoli a composizione pirotecnica di classe ADR 1.3G</t>
  </si>
  <si>
    <t>Колона АК → НЕЦ - нето тежина предмета пиротехничког састава АДР класе 1.3Г</t>
  </si>
  <si>
    <t>Aile AK → NEC - ADR klases 1.3G pirotehniskā sastāva priekšmetu neto svars</t>
  </si>
  <si>
    <t>Colonna AL → NEC - peso netto articoli a composizione pirotecnica di classe ADR 1.4G</t>
  </si>
  <si>
    <t>Колона АЛ → НЕЦ - нето тежина предмета пиротехничког састава АДР класе 1.4Г</t>
  </si>
  <si>
    <t>Aile AL → NEC - ADR klases 1.4G pirotehniskā sastāva priekšmetu neto svars</t>
  </si>
  <si>
    <t>Colonna AM → NEC - peso netto totale dei componenti pirotecnici per tutte le classi ADR</t>
  </si>
  <si>
    <t>Колона АМ → НЕЦ - укупна нето тежина пиротехничких компоненти за све АДР класе</t>
  </si>
  <si>
    <t>Aile AM ​​→ NEC - pirotehnisko komponentu neto svars kopā visām ADR klasēm</t>
  </si>
  <si>
    <t>Celkové shrnutí vaší objednávky najdete na řádku 1422, kde jsou tyto informace :</t>
  </si>
  <si>
    <t>For a complete summary of your order, see line 1422 for the following information:</t>
  </si>
  <si>
    <t>Eine vollständige Zusammenfassung Ihrer Bestellung finden Sie in Zeile 1422 für die folgenden Informationen:</t>
  </si>
  <si>
    <t>Potpuni sažetak vaše narudžbe potražite u retku 1422</t>
  </si>
  <si>
    <t>Il riepilogo generale del tuo ordine è disponibile alla riga 1422, dove si trovano le seguenti informazioni:</t>
  </si>
  <si>
    <t>Norėdami gauti išsamią užsakymo santrauką, 1422 eilutėje rasite šią informaciją:</t>
  </si>
  <si>
    <t>Pełne podsumowanie zamówienia można znaleźć w wierszu 1422 zawierającym następujące informacje:</t>
  </si>
  <si>
    <t>Укупан резиме ваше поруџбине може се наћи на реду 1422, где се налазе следеће информације:</t>
  </si>
  <si>
    <t>Jūsu pasūtījuma kopējo kopsavilkumu var atrast 1422. rindā, kur atrodama šāda informācija:</t>
  </si>
  <si>
    <t>Tellimuse kokkuvõtte saamiseks vaadake realt 1422 järgmist teavet:</t>
  </si>
  <si>
    <t>Bạn có thể tìm thấy bản tóm tắt đầy đủ về đơn đặt hàng của mình trên dòng 1422, nơi có thông tin sau:</t>
  </si>
  <si>
    <t>VÉGLEGES ÖSSZEFOGLALÁST A RENDELÉSÉRŐL AZ 1422-ÖS SORBAN TALÁLJA MEG, AHOL A KÖVETKEZŐ INFORMÁCIÓKAT LÁTJA:</t>
  </si>
  <si>
    <t>prezzo totale in CZK senza IVA</t>
  </si>
  <si>
    <t>укупна цена у ЦЗК без ПДВ-а</t>
  </si>
  <si>
    <t>kopējā cena CZK bez PVN</t>
  </si>
  <si>
    <t>prezzo totale in CZK con IVA</t>
  </si>
  <si>
    <t>укупна цена у ЦЗК са ПДВ-ом</t>
  </si>
  <si>
    <t>kopējā cena CZK ar PVN</t>
  </si>
  <si>
    <t>prezzo totale in EUR senza IVA</t>
  </si>
  <si>
    <t>укупна цена у ЕУР без ПДВ-а</t>
  </si>
  <si>
    <t>kopējā cena EUR bez PVN</t>
  </si>
  <si>
    <t>volume totale in m3</t>
  </si>
  <si>
    <t>укупна запремина у м3</t>
  </si>
  <si>
    <t>kopējais tilpums m3</t>
  </si>
  <si>
    <t>peso totale in kg</t>
  </si>
  <si>
    <t>укупна тежина у кг</t>
  </si>
  <si>
    <t>kopējais svars kg</t>
  </si>
  <si>
    <t>NEC totale - peso netto delle mescole pirotecniche diviso per classi ADR</t>
  </si>
  <si>
    <t>укупна НЕЦ - нето тежина пиротехничких једињења подељена по АДР класама</t>
  </si>
  <si>
    <t>kopējais NEC - pirotehnisko savienojumu neto svars dalīts ar ADR klasēm</t>
  </si>
  <si>
    <t>NEC totale - peso netto dei componenti pirotecnici per tutte le classi ADR</t>
  </si>
  <si>
    <t>укупна НЕЦ - нето тежина пиротехничких компоненти за све АДР класе</t>
  </si>
  <si>
    <t>kopējais NEC - pirotehnisko komponentu neto svars visām ADR klasēm</t>
  </si>
  <si>
    <t>The price of pallet transport in the above-limit regime, i.e. ADR mode (only valid for delivery within the Czech Republic)</t>
  </si>
  <si>
    <t>Der Preis für den Palettentransport im Regime der oberen Grenze, d.h. ADR-Modus (nur gültig für Lieferung innerhalb der Tschechischen Republik)</t>
  </si>
  <si>
    <t>Cijena paletnog prijevoza u nadlimitnom režimu, tj. ADR način (vrijedi samo za dostavu unutar Češke)</t>
  </si>
  <si>
    <t>Il prezzo del trasporto pallet nel regime di cui sopra, ovvero Modalità ADR (valida solo per la consegna all'interno della Repubblica Ceca)</t>
  </si>
  <si>
    <t>Padėklų vežimo kaina virš ribos režimu, t.y. ADR režimas (galioja tik pristatymui Čekijos Respublikoje)</t>
  </si>
  <si>
    <t>Cena transportu paletowego w reżimie powyżej limitu tj. Tryb ADR (dotyczy tylko dostawy na terenie Czech)</t>
  </si>
  <si>
    <t>Цена транспорта палета у надграничном режиму, тј. АДР режим (важи само за испоруку унутар Чешке Републике)</t>
  </si>
  <si>
    <t>Palešu transporta cena virslimita režīmā, t.i. ADR režīms (derīgs tikai piegādei Čehijas Republikā)</t>
  </si>
  <si>
    <t>Kaubaaluste transpordi hind üle piiri režiimis, s.o. ADR-režiim (kehtib ainult Tšehhi Vabariigi piires kohaletoimetamiseks)</t>
  </si>
  <si>
    <t>1 pallet (fino a 500 kg) - CZK 2.300</t>
  </si>
  <si>
    <t>1 палета (до 500 кг) - 2300 ЦЗК</t>
  </si>
  <si>
    <t>1 palete (līdz 500 kg) - CZK 2300</t>
  </si>
  <si>
    <t>2 pallet (fino a 750 kg) - CZK 2.600</t>
  </si>
  <si>
    <t>2 палете (до 750 кг) - 2600 ЦЗК</t>
  </si>
  <si>
    <t>2 paletes (līdz 750 kg) - CZK 2600</t>
  </si>
  <si>
    <t>Closing date for orders: Tuesday</t>
  </si>
  <si>
    <t>Bestellschluss: Dienstag</t>
  </si>
  <si>
    <t>Rok za narudžbe: utorak</t>
  </si>
  <si>
    <t>Data di chiusura degli ordini: martedì</t>
  </si>
  <si>
    <t>Užsakymų galutinis terminas: antradienis</t>
  </si>
  <si>
    <t>Termin składania zamówień: wtorek</t>
  </si>
  <si>
    <t>Крајњи рок за поруџбине: уторак</t>
  </si>
  <si>
    <t>Pasūtījumu iesniegšanas termiņš: otrdiena</t>
  </si>
  <si>
    <t>Tellimuste esitamise tähtaeg: teisipäev</t>
  </si>
  <si>
    <t>Date of delivery of pallets to the customer: Monday / Tuesday</t>
  </si>
  <si>
    <t>Liefertermin der Paletten beim Kunden: Montag / Dienstag</t>
  </si>
  <si>
    <t>Datum isporuke paleta kupcu: ponedjeljak / utorak</t>
  </si>
  <si>
    <t>Data di consegna dei pallet al cliente: lunedì/martedì</t>
  </si>
  <si>
    <t>Padėklų pristatymo klientui data: pirmadienis / antradienis</t>
  </si>
  <si>
    <t>Termin dostawy palet do klienta: poniedziałek/wtorek</t>
  </si>
  <si>
    <t>Датум испоруке палета купцу: понедељак / уторак</t>
  </si>
  <si>
    <t>Palešu piegādes datums klientam: pirmdiena / otrdiena</t>
  </si>
  <si>
    <t>Kaubaaluste kliendile üleandmise kuupäev: esmaspäev / teisipäev</t>
  </si>
  <si>
    <t>The maximum quantity is 5 euro pallets, in the case of a larger order, the transport fee will be calculated based on the offers of ADR carriers with an emphasis on the lowest possible transport price.</t>
  </si>
  <si>
    <t>Die maximale Menge beträgt 5 Europaletten, bei einer größeren Bestellung wird das Transportentgelt nach den Angeboten der ADR-Frachtführer mit Betonung auf den geringstmöglichen Transportpreis berechnet.</t>
  </si>
  <si>
    <t>Maksimalna količina je 5 euro paleta, u slučaju veće narudžbe naknada za prijevoz će se obračunavati na temelju ponuda ADR prijevoznika s naglaskom na najnižu moguću cijenu prijevoza.</t>
  </si>
  <si>
    <t>La quantità massima è di 5 euro pallet, in caso di ordine maggiore il costo del trasporto sarà calcolato in base alle offerte dei vettori ADR con particolare attenzione al prezzo di trasporto più basso possibile.</t>
  </si>
  <si>
    <t>Maksimalus kiekis – 5 euro padėklai, didesnio užsakymo atveju transportavimo mokestis bus skaičiuojamas pagal ADR vežėjų pasiūlymus akcentuojant kuo mažesnę transportavimo kainą.</t>
  </si>
  <si>
    <t>Maksymalna ilość to 5 europalet, w przypadku większego zamówienia opłata za transport zostanie obliczona na podstawie ofert przewoźników ADR z naciskiem na najniższą możliwą cenę transportu.</t>
  </si>
  <si>
    <t>Максимална количина је 5 евро палета, у случају веће поруџбине, накнада за транспорт ће се обрачунавати на основу понуда АДР превозника са акцентом на најнижу могућу цену транспорта.</t>
  </si>
  <si>
    <t>Maksimālais daudzums ir 5 eiro paletes, lielāka pasūtījuma gadījumā transporta maksa tiks aprēķināta pēc ADR pārvadātāju piedāvājumiem ar uzsvaru uz iespējami zemāko transporta cenu.</t>
  </si>
  <si>
    <t>Maksimaalne kogus on 5 euroalust, suurema tellimuse korral arvestatakse transporditasu ADR vedajate pakkumiste alusel rõhuga võimalikult madalale transpordihinnale.</t>
  </si>
  <si>
    <t>info</t>
  </si>
  <si>
    <t>Info</t>
  </si>
  <si>
    <r>
      <t xml:space="preserve">kancelář: </t>
    </r>
    <r>
      <rPr>
        <b/>
        <sz val="10"/>
        <color theme="1"/>
        <rFont val="Arial"/>
        <family val="2"/>
        <charset val="238"/>
      </rPr>
      <t>+420 799 999 333</t>
    </r>
    <r>
      <rPr>
        <sz val="10"/>
        <color theme="1"/>
        <rFont val="Arial"/>
        <family val="2"/>
        <charset val="238"/>
      </rPr>
      <t xml:space="preserve"> ○ sklad: </t>
    </r>
    <r>
      <rPr>
        <b/>
        <sz val="10"/>
        <color theme="1"/>
        <rFont val="Arial"/>
        <family val="2"/>
        <charset val="238"/>
      </rPr>
      <t>+420 799 799 733</t>
    </r>
  </si>
  <si>
    <t>OK</t>
  </si>
  <si>
    <t>DOPRODEJ</t>
  </si>
  <si>
    <t>CLEARANCE SALE</t>
  </si>
  <si>
    <t>AUSVERKAUF</t>
  </si>
  <si>
    <t>WYPRZEDAŻ</t>
  </si>
  <si>
    <t>BÁN RÕ RÀNG</t>
  </si>
  <si>
    <t>IŠPARDAVIMAS</t>
  </si>
  <si>
    <t>RASPRODAJA</t>
  </si>
  <si>
    <t>VENDITA DI LIQUIDAZIONE</t>
  </si>
  <si>
    <t>LÕPUMÜÜK</t>
  </si>
  <si>
    <t>VÉGKIÁRUSITÁS</t>
  </si>
  <si>
    <t>IZPĀRDOŠANA</t>
  </si>
  <si>
    <t>Odmítnout vše Přijmout vše</t>
  </si>
  <si>
    <t>Kalashnikov small-20cm</t>
  </si>
  <si>
    <t>Kalashnikov small-50cm</t>
  </si>
  <si>
    <t>D1M</t>
  </si>
  <si>
    <t>Scream rocket micro</t>
  </si>
  <si>
    <t>KKD1</t>
  </si>
  <si>
    <t>Klíčenka na krk Dumbum</t>
  </si>
  <si>
    <t>Scream 25</t>
  </si>
  <si>
    <t>Scream 100</t>
  </si>
  <si>
    <t>Scream 300</t>
  </si>
  <si>
    <t>Scream 1000</t>
  </si>
  <si>
    <t>Dumbum 16 (strong)</t>
  </si>
  <si>
    <t>Dumbum 16 (5sec)</t>
  </si>
  <si>
    <t>Signature range 49/20mm</t>
  </si>
  <si>
    <t>Emperor Fireworks</t>
  </si>
  <si>
    <t>C60020XPR/C</t>
  </si>
  <si>
    <t>Panda</t>
  </si>
  <si>
    <t>Dumbum 25</t>
  </si>
  <si>
    <t>RSSF2 E</t>
  </si>
  <si>
    <t>RS33R E</t>
  </si>
  <si>
    <t>C20814XPR14 E</t>
  </si>
  <si>
    <t>C1620M E</t>
  </si>
  <si>
    <t>C1620F14 E</t>
  </si>
  <si>
    <t>C2520SE E</t>
  </si>
  <si>
    <t>C4920K14 E</t>
  </si>
  <si>
    <t>C10020NID14 E</t>
  </si>
  <si>
    <t>C12820F/C14 E</t>
  </si>
  <si>
    <t>C4925G E</t>
  </si>
  <si>
    <t>K-C379XMK/C</t>
  </si>
  <si>
    <t>empty color carton</t>
  </si>
  <si>
    <t>Baterie raket 25-1000ran, 8mm moždíř-1.4G</t>
  </si>
  <si>
    <t>BEZ PALET</t>
  </si>
  <si>
    <t>WITHOUT PALLETS</t>
  </si>
  <si>
    <t>OHNE PALETTEN</t>
  </si>
  <si>
    <t>KHÔNG CÓ PALLET</t>
  </si>
  <si>
    <t>BE PALEČIŲ</t>
  </si>
  <si>
    <t>BEZ PALETA</t>
  </si>
  <si>
    <t>SENZA PALLET</t>
  </si>
  <si>
    <t>ILMA ALUSTETA</t>
  </si>
  <si>
    <t>RAKLAP NÉLKÜL</t>
  </si>
  <si>
    <t>BEZ PALETĒM</t>
  </si>
  <si>
    <t>ENGLISH</t>
  </si>
  <si>
    <t>DEUTSCH</t>
  </si>
  <si>
    <t>POLSKIE</t>
  </si>
  <si>
    <t>TIẾNG VIỆT</t>
  </si>
  <si>
    <t>LIETUVIS</t>
  </si>
  <si>
    <t>HRVATSKI</t>
  </si>
  <si>
    <t>SRPSKI</t>
  </si>
  <si>
    <t>ITALIANO</t>
  </si>
  <si>
    <t>EESTLANE</t>
  </si>
  <si>
    <t>LATVIETIS</t>
  </si>
  <si>
    <t>Rabaty przewidziane na zakup całoroczny od 01.01.2023 do 31.12.2023</t>
  </si>
  <si>
    <t>Feltételezett kedvezmények biztosítottak az egész éves gyűjtésre 2022.09.01-2023.08.31-ig</t>
  </si>
  <si>
    <t>golden holographic paper</t>
  </si>
  <si>
    <t>goldenes holografisches Papier</t>
  </si>
  <si>
    <t>złoty papier holograficzny</t>
  </si>
  <si>
    <t>giấy ba chiều vàng</t>
  </si>
  <si>
    <t>auksinis holografinis popierius</t>
  </si>
  <si>
    <t>zlatni holografski papir</t>
  </si>
  <si>
    <t>carta olografica dorata</t>
  </si>
  <si>
    <t>kuldne holograafiline paber</t>
  </si>
  <si>
    <t>arany holografikus papír</t>
  </si>
  <si>
    <t>zelta hologrāfiskais papīrs</t>
  </si>
  <si>
    <t>průhledná červená fólie bez papíru pod touto fólií</t>
  </si>
  <si>
    <t>transparent red foill without paper under this foill</t>
  </si>
  <si>
    <t>transparente rote Folie ohne Papier unter dieser Folie</t>
  </si>
  <si>
    <t>przezroczysta czerwona folia bez papieru pod tą folią</t>
  </si>
  <si>
    <t>giấy bạc màu đỏ trong suốt không có giấy dưới lớp giấy bạc này</t>
  </si>
  <si>
    <t>skaidri raudona folija be popieriaus po šia folija</t>
  </si>
  <si>
    <t>prozirna crvena folija bez papira ispod ove folije</t>
  </si>
  <si>
    <t>providna crvena folija bez papira ispod ove folije</t>
  </si>
  <si>
    <t>foglio rosso trasparente senza carta sotto questo foglio</t>
  </si>
  <si>
    <t>läbipaistev punane foolium ilma paberita selle fooliumi all</t>
  </si>
  <si>
    <t>átlátszó piros fólia papír nélkül e fólia alatt</t>
  </si>
  <si>
    <t>caurspīdīga sarkana folija bez papīra zem šīs folijas</t>
  </si>
  <si>
    <t>průhledná modrá fólie bez papíru pod touto fólií</t>
  </si>
  <si>
    <t>transparent blue foill without paper under this foill</t>
  </si>
  <si>
    <t>transparente blaue Folie ohne Papier unter dieser Folie</t>
  </si>
  <si>
    <t>przezroczysty niebieski folial bez papieru pod tym folial</t>
  </si>
  <si>
    <t>giấy bạc màu xanh trong suốt không có giấy dưới lớp giấy bạc này</t>
  </si>
  <si>
    <t>skaidri mėlyna folija be popieriaus po šia folija</t>
  </si>
  <si>
    <t>prozirna plava folija bez papira ispod ove folije</t>
  </si>
  <si>
    <t>providna plava folija bez papira ispod ove folije</t>
  </si>
  <si>
    <t>foglio blu trasparente senza carta sotto questo foglio</t>
  </si>
  <si>
    <t>läbipaistev sinine foolium ilma paberita selle fooliumi all</t>
  </si>
  <si>
    <t>átlátszó kék fólia papír nélkül e fólia alatt</t>
  </si>
  <si>
    <t>caurspīdīga zila folija bez papīra zem šīs folijas</t>
  </si>
  <si>
    <t>one colour design paper cover two cake together(I sent you photo of this)</t>
  </si>
  <si>
    <t>einfarbiges Designpapier Cover zwei Kuchen zusammen (ich habe Ihnen ein Foto davon geschickt)</t>
  </si>
  <si>
    <t>jeden kolor papieru do projektowania pokrywa dwa ciasta razem (wysłałem ci zdjęcie tego)</t>
  </si>
  <si>
    <t>một màu thiết kế giấy bìa hai chiếc bánh với nhau (Tôi đã gửi cho bạn ảnh của cái này)</t>
  </si>
  <si>
    <t>Vienos spalvos dizaino popierius uždengia du tortus kartu (išsiunčiau jums šios nuotrauką)</t>
  </si>
  <si>
    <t>jedna boja dizajnerskog papira omot dvije torte zajedno (poslao sam vam fotografiju ovoga)</t>
  </si>
  <si>
    <t>papir za dizajn jedne boje prekriva dve torte zajedno (poslao sam vam fotografiju ovoga)</t>
  </si>
  <si>
    <t>una carta di design a colori copre due torte insieme (ti ho inviato una foto di questo)</t>
  </si>
  <si>
    <t>ühevärviline disainpaber katab kaks kooki koos (saatsin teile foto sellest)</t>
  </si>
  <si>
    <t>egyszínű design papír borít két tortát együtt (erről küldtem képet)</t>
  </si>
  <si>
    <t>vienas krāsas dizaina papīra pārklāj divas kūkas kopā (es nosūtīju jums šo fotoattēlu)</t>
  </si>
  <si>
    <t>ANO, mám povolení k nákupu F4</t>
  </si>
  <si>
    <t>YES, i have F4 purchase permit</t>
  </si>
  <si>
    <t>Ja, ich habe eine F4-Erlaubnis</t>
  </si>
  <si>
    <t>TAK, mam pozwolenie na zakup F4</t>
  </si>
  <si>
    <t>CÓ, tôi có giấy phép mua F4</t>
  </si>
  <si>
    <t>TAIP, turiu F4 pirkimo leidimą</t>
  </si>
  <si>
    <t>DA, imam F4 dozvolu za kupnju</t>
  </si>
  <si>
    <t>DA, imam dozvolu za kupovinu F4</t>
  </si>
  <si>
    <t>SI, ho un permesso di acquisto F4</t>
  </si>
  <si>
    <t>JAH, mul on F4 ostuluba</t>
  </si>
  <si>
    <t>IGEN, van F4 vásárlási engedélyem</t>
  </si>
  <si>
    <t>JĀ, man ir F4 pirkuma atļauja</t>
  </si>
  <si>
    <t>Společně se svou objednávkou nám zašlete kopii Vašeho průkazu pro nákup kategorie F4.</t>
  </si>
  <si>
    <t>Together with your order, send us a copy of your F4 purchase card.</t>
  </si>
  <si>
    <t>Senden Sie uns zusammen mit Ihrer Bestellung eine Kopie Ihrer F4-Erlaubnis.</t>
  </si>
  <si>
    <t>Wraz z zamówieniem prześlij nam kopię swojej karty zakupowej F4.</t>
  </si>
  <si>
    <t>Cùng với đơn đặt hàng của bạn, hãy gửi cho chúng tôi bản sao thẻ mua hàng F4 của bạn.</t>
  </si>
  <si>
    <t>Kartu su užsakymu atsiųskite mums savo F4 pirkimo kortelės kopiją.</t>
  </si>
  <si>
    <t>Zajedno sa svojom narudžbom pošaljite nam kopiju svoje F4 kupovne kartice.</t>
  </si>
  <si>
    <t>Zajedno sa porudžbinom pošaljite nam kopiju vaše F4 kartice za kupovinu.</t>
  </si>
  <si>
    <t>Insieme al tuo ordine, inviaci una copia della tua carta acquisti F4.</t>
  </si>
  <si>
    <t>Koos tellimusega saatke meile oma F4 ostukaardi koopia.</t>
  </si>
  <si>
    <t>Rendelésével együtt küldje el nekünk F4 vásárlási kártyája másolatát.</t>
  </si>
  <si>
    <t>Kopā ar pasūtījumu nosūtiet mums F4 pirkuma kartes kopiju.</t>
  </si>
  <si>
    <t xml:space="preserve">Pokud chcete objednávat F4, musíte zatrhnout toto pole: </t>
  </si>
  <si>
    <t>If you want to order F4, you must check this box:</t>
  </si>
  <si>
    <t>Wenn Sie F4 bestellen möchten, müssen Sie dieses Kästchen ankreuzen:</t>
  </si>
  <si>
    <t>Jeśli chcesz zamówić F4, musisz zaznaczyć to pole:</t>
  </si>
  <si>
    <t>Nếu bạn muốn đặt hàng F4, bạn phải đánh dấu vào ô này:</t>
  </si>
  <si>
    <t>Jei norite užsisakyti F4, turite pažymėti šį langelį:</t>
  </si>
  <si>
    <t>Ako želite naručiti F4, morate potvrditi ovaj okvir:</t>
  </si>
  <si>
    <t>Ako želite da naručite F4,morate označiti ovo polje:</t>
  </si>
  <si>
    <t>Se vuoi ordinare F4, devi spuntare questa casella:</t>
  </si>
  <si>
    <t>Kui soovite tellida F4, peate märkima selle ruudu:</t>
  </si>
  <si>
    <t>Ha F4-et szeretne rendelni, jelölje be ezt a négyzetet:</t>
  </si>
  <si>
    <t>Ja vēlaties pasūtīt F4, jums ir jāatzīmē šī izvēles rūtiņa:</t>
  </si>
  <si>
    <t>Storage certificate</t>
  </si>
  <si>
    <t>Lagergurppezuordnung</t>
  </si>
  <si>
    <t>Świadectwo przechowywania</t>
  </si>
  <si>
    <t>chứng chỉ lưu trữ</t>
  </si>
  <si>
    <t>Sandėliavimo sertifikatas</t>
  </si>
  <si>
    <t>Potvrda o pohrani</t>
  </si>
  <si>
    <t xml:space="preserve">Sertifikat o skladištenju </t>
  </si>
  <si>
    <t>Certificato di archiviazione</t>
  </si>
  <si>
    <t>Ladustamissertifikaat</t>
  </si>
  <si>
    <t>Tárolási tanúsítvány</t>
  </si>
  <si>
    <t>Uzglabāšanas sertifikāts</t>
  </si>
  <si>
    <t>in Germany</t>
  </si>
  <si>
    <t>in Deutschland</t>
  </si>
  <si>
    <t>w Niemczech</t>
  </si>
  <si>
    <t>ở Đức</t>
  </si>
  <si>
    <t>Vokietijoje</t>
  </si>
  <si>
    <t>u Njemačkoj</t>
  </si>
  <si>
    <t>u Nemačkoj</t>
  </si>
  <si>
    <t>in Germania</t>
  </si>
  <si>
    <t>Saksamaal</t>
  </si>
  <si>
    <t>Németországban</t>
  </si>
  <si>
    <t>Vācijā</t>
  </si>
  <si>
    <t xml:space="preserve">CBM
tilpums m3 </t>
  </si>
  <si>
    <t xml:space="preserve">Kopā
NEM [kg] </t>
  </si>
  <si>
    <t>Nuolaidos pritaikomos perkant ištisus metus nuo 2022 09 01 iki 2023  08 31</t>
  </si>
  <si>
    <t xml:space="preserve">práskající efekt, délka 50cm </t>
  </si>
  <si>
    <t>crackling effect, lenght 50cm</t>
  </si>
  <si>
    <t>Knallender Effekt, Länge 50 cm</t>
  </si>
  <si>
    <t>hiệu ứng crackling, chiều dài 50 cm</t>
  </si>
  <si>
    <t>Bunter Brunnen mit funkelnden Sternen</t>
  </si>
  <si>
    <t>šarena fontana sa svjetlucavim zvijezdama</t>
  </si>
  <si>
    <t>fontana colorata con stelle scintillanti</t>
  </si>
  <si>
    <t>kolorowa fontanna z migoczącymi gwiazdami</t>
  </si>
  <si>
    <t>đài phun nước đầy màu sắc với những ngôi sao lấp lánh</t>
  </si>
  <si>
    <t>spalvingas fontanas su mirksinčiomis žvaigždėmis</t>
  </si>
  <si>
    <t>värviline purskkaev sädelevate tähtedega</t>
  </si>
  <si>
    <t>színes szökőkút csillogó csillagokkal</t>
  </si>
  <si>
    <t>krāsaina strūklaka ar mirdzošām zvaigznēm</t>
  </si>
  <si>
    <t>40mm barevné kulaté dýmovnice(červená,zelená,žlutá,modrá,bílá,růžová,fialová, oranžová)</t>
  </si>
  <si>
    <t>40mm round color smoke(red,green,yellow,blue,white,pink,purple, orange)</t>
  </si>
  <si>
    <t>40mm Farbige runde Rauchröhren (rot, grün, gelb, blau, weiß, lila, orange, rosa)</t>
  </si>
  <si>
    <t>40mm dimne kuglice(crvena, zelena, žuta, plava, bijela, roza,ljubičasta, narančasta)</t>
  </si>
  <si>
    <t>40mm fumo colore rotondo(rosso,verde,giallo,blu,bianco,rosa,viola, arancione)</t>
  </si>
  <si>
    <t>40mm kulki dymne mix kolor (czerwony, zielony, żółty, niebieski, biały, różowy, fioletowy, pomarańczowy)</t>
  </si>
  <si>
    <t>40mm boje: crvena, zelena, žuta, plava, bela, ružičasta, ljubičasta, narandžasta</t>
  </si>
  <si>
    <t>40mm khói tròn màu (đỏ, xanh lá, vàng, xanh dương, trắng, Hồng, tím, cam)</t>
  </si>
  <si>
    <t>40mm spalvoti apvalūs dūmai (raudonos, žalios, geltonos,violetinė, oranžinė, mėlynos ir rožinės spalvų)</t>
  </si>
  <si>
    <t>40mm ümmargused tossupommid ( punane, roheline, kollane, sinine, valge, roosa, lilla, oranž)</t>
  </si>
  <si>
    <t>40mm színes füstgolyók piros, zöld, sárga, kék, fehér, lila, rózsaszín, narancs</t>
  </si>
  <si>
    <t xml:space="preserve">40mm Apaļi krāsainie dūmi(sarkans, zaļš, dzeltens, zilā, bālts, rozā, violeta, oranža) </t>
  </si>
  <si>
    <t>60 různobarevných efektů</t>
  </si>
  <si>
    <t>60 different color effects</t>
  </si>
  <si>
    <t>60 verschiedenfarbige Effekte</t>
  </si>
  <si>
    <t>60 različitih efekata u boji</t>
  </si>
  <si>
    <t>60 diversi effetti di colore</t>
  </si>
  <si>
    <t>60 różnokolorowych efektów</t>
  </si>
  <si>
    <t>60 različita efekta u boji</t>
  </si>
  <si>
    <t>60 hiệu ứng nhiều màu</t>
  </si>
  <si>
    <t xml:space="preserve">60 Skirtingi spalvoti efektai. </t>
  </si>
  <si>
    <t>60 erinevat värvilist efekti</t>
  </si>
  <si>
    <t>60 külömböző színű effektus</t>
  </si>
  <si>
    <t>60 dažadu krāsu efekts</t>
  </si>
  <si>
    <t>zelené světlo se zlatým rozujícím chvostem</t>
  </si>
  <si>
    <t>green light and  golden rotating tail</t>
  </si>
  <si>
    <t>grüner Komet mit rotierendem Goldaufstieg</t>
  </si>
  <si>
    <t>zielone światło ze złotym kręcącym się ogonem</t>
  </si>
  <si>
    <t>Maketa výrobku - bez složí</t>
  </si>
  <si>
    <t>Product model - without explosives</t>
  </si>
  <si>
    <t>Produktmodell - ohne Sprengstoff</t>
  </si>
  <si>
    <t>Model proizvoda - bez eksploziva</t>
  </si>
  <si>
    <t>Modello del prodotto - senza esplosivi</t>
  </si>
  <si>
    <t>Model produktu - bez materiałów wybuchowych</t>
  </si>
  <si>
    <t xml:space="preserve">Model proizvoda - bez eksploziva </t>
  </si>
  <si>
    <t>Mô hình sản phẩm - không có chất nổ</t>
  </si>
  <si>
    <t>Gaminio modelis – be sprogstamųjų medžiagų</t>
  </si>
  <si>
    <t>Tootemudel – ilma lõhkeaineteta</t>
  </si>
  <si>
    <t>Termékmodell - robbanóanyag nélkül</t>
  </si>
  <si>
    <t>Produkta modelis - bez sprāgstvielām</t>
  </si>
  <si>
    <t>Kartonová krabice s designem výrobku</t>
  </si>
  <si>
    <t>Cardboard box with product design</t>
  </si>
  <si>
    <t>Karton mit Produktdesign</t>
  </si>
  <si>
    <t>Kartonska kutija s dizajnom proizvoda</t>
  </si>
  <si>
    <t>Scatola di cartone con design del prodotto</t>
  </si>
  <si>
    <t>Pudełko kartonowe z projektem produktu</t>
  </si>
  <si>
    <t>Kartonska kutija sa dizajnom proizvoda</t>
  </si>
  <si>
    <t>Hộp các tông với thiết kế sản phẩm</t>
  </si>
  <si>
    <t>Kartoninė dėžutė su gaminio dizainu</t>
  </si>
  <si>
    <t>Tootedisainiga pappkarp</t>
  </si>
  <si>
    <t>Kartondoboz termékdizájnnal</t>
  </si>
  <si>
    <t>Kartona kaste ar izstrādājuma dizainu</t>
  </si>
  <si>
    <t>K-C239MSIG/C</t>
  </si>
  <si>
    <t>Každá objednávka, kterou zákazník posílá musí být plně v souladu s kapacitou automobilu, do kterého chce zákazník objednávku naložit tzn. každá objednávka bude naložena najednou.</t>
  </si>
  <si>
    <t>Each order sent by the customer must be fully compatible with the capacity of the car in which the customer wants to load the order, i.e. each order will be loaded at once.</t>
  </si>
  <si>
    <t>Jede vom Kunden gesendete Bestellung muss vollständig mit der Kapazität des Autos kompatibel sein, in das der Kunde die Bestellung laden möchte, d.h. Jede Bestellung wird auf einmal geladen.</t>
  </si>
  <si>
    <t>Svaka narudžba koju šalje kupac mora biti u potpunosti kompatibilna s kapacitetom vozila u koje kupac želi utovariti narudžbu, tj. svaka će narudžba biti učitana odjednom.</t>
  </si>
  <si>
    <t>Ogni ordine inviato dal cliente deve essere pienamente compatibile con la capienza dell'auto in cui il cliente vuole caricare l'ordine, ovvero ogni ordine verrà caricato in una volta.</t>
  </si>
  <si>
    <t>Kiekvienas kliento siunčiamas užsakymas turi būti visiškai suderinamas su automobilio talpa, į kurią klientas nori pakrauti užsakymą, t.y. kiekvienas užsakymas bus įkeltas iš karto.</t>
  </si>
  <si>
    <t>Każde zamówienie wysłane przez klienta musi być w pełni zgodne z ładownością samochodu, w którym klient chce załadować zamówienie, tj. każde zamówienie zostanie załadowane od razu.</t>
  </si>
  <si>
    <t>Свака поруџбина коју пошаље купац мора бити у потпуности компатибилна са капацитетом аутомобила у који купац жели да утовари поруџбину, тј. свака поруџбина ће бити учитана одједном.</t>
  </si>
  <si>
    <t>Katram klienta sūtītajam pasūtījumam jābūt pilnībā savietojamam ar tās automašīnas ietilpību, kurā klients vēlas iekraut pasūtījumu, t.i. katrs pasūtījums tiks ielādēts uzreiz.</t>
  </si>
  <si>
    <t>Iga kliendi poolt saadetud tellimus peab täielikult ühilduma selle auto mahutavusega, kuhu klient soovib tellimust laadida, s.t. iga tellimus laaditakse korraga.</t>
  </si>
  <si>
    <t>Mỗi đơn hàng do khách hàng gửi phải hoàn toàn phù hợp với sức chứa của xe mà khách hàng muốn bốc hàng, tức là mỗi đơn hàng sẽ được tải cùng một lúc.</t>
  </si>
  <si>
    <t>Az ügyfél által feladott minden egyes megrendelésnek teljes mértékben kompatibilisnek kell lennie annak az autónak a kapacitásával, amelybe a megrendelést a megrendelő fel kívánja rakni, pl. minden rendelés egyszerre kerül betöltésre.</t>
  </si>
  <si>
    <t>Pokud automobil nebude mít kapacitu na to, aby si zákazník naložil celou svou objednávku a bude mu naložena pouze část objednaného zboží, budeme účtovat manipulační poplatek ve výši 10 000Kč.</t>
  </si>
  <si>
    <t>If the car does not have the capacity for the customer to load his entire order and only part of the ordered goods will be loaded, we will charge a handling fee of CZK 10,000.</t>
  </si>
  <si>
    <t>Wenn das Auto nicht über die Kapazität verfügt, dass der Kunde seine gesamte Bestellung laden kann, und nur ein Teil der bestellten Ware geladen wird, berechnen wir eine Bearbeitungsgebühr von 10.000 CZK.</t>
  </si>
  <si>
    <t>Ako vozilo nema kapacitet da kupac utovari cijelu svoju narudžbu i samo dio naručene robe će biti utovaren, naplatit ćemo manipulativnu naknadu od 10.000 CZK.</t>
  </si>
  <si>
    <t>Se l'auto non ha la capacità per il cliente di caricare l'intero ordine e verrà caricata solo una parte della merce ordinata, addebiteremo una commissione di gestione di CZK 10.000.</t>
  </si>
  <si>
    <t>Jei automobilis neturi galimybių klientui pakrauti viso savo užsakymo ir bus pakrauta tik dalis užsakytų prekių, taikysime 10 000 CZK tvarkymo mokestį.</t>
  </si>
  <si>
    <t>Jeżeli samochód nie ma możliwości załadowania przez klienta całego zamówienia i tylko część zamówionego towaru zostanie załadowana, pobieramy opłatę manipulacyjną w wysokości 10 000 CZK.</t>
  </si>
  <si>
    <t>Ако аутомобил нема капацитет да купац утовари целу своју поруџбину и само део наручене робе ће бити утоварен, ми ћемо наплатити накнаду за руковање од 10.000 ЦЗК.</t>
  </si>
  <si>
    <t>Ja automašīnai nav iespējas iekraut visu savu pasūtījumu un tiks iekrauta tikai daļa no pasūtītajām precēm, mēs iekasēsim apstrādes maksu 10 000 CZK.</t>
  </si>
  <si>
    <t>Kui autol ei ole mahti, et klient saaks kogu oma tellimust laadida ja peale laaditakse vaid osa tellitud kaubast, võtame käsitlustasu 10 000 CZK.</t>
  </si>
  <si>
    <t>Nếu nhà xe không đủ sức chứa để khách hàng có thể tải toàn bộ đơn hàng của mình và chỉ xếp một phần hàng đã đặt, chúng tôi sẽ tính phí bốc xếp là 10.000 K.</t>
  </si>
  <si>
    <t>Ha az autóban nincs kapacitás a vevő teljes rendelése betöltésére, és a megrendelt árunak csak egy része kerül felrakodásra, 10 000 CZK kezelési költséget számítunk fel.</t>
  </si>
  <si>
    <t>Poplatek ve výši 10 000Kč bude  pokrývat veškeré způsobené škody na manipulaci, duplicitní práci na dokladech, skladné atd. a není důležité, zda se jedná o 1 karton nebo 100 kartonu. Dále za toto zboží bude účtováno skladné</t>
  </si>
  <si>
    <t>A fee of CZK 10,000 will cover all damage caused by handling, duplicate work on documents, storage fees, etc. and it is not important whether it is 1 carton or 100 cartons. Furthermore, a storage fee will be charged for these goods</t>
  </si>
  <si>
    <t>Eine Gebühr von 10.000 CZK deckt alle Schäden ab, die durch Handhabung, doppelte Bearbeitung von Dokumenten, Lagergebühren usw. verursacht werden, und es spielt keine Rolle, ob es sich um 1 Karton oder 100 Kartons handelt. Außerdem wird für diese Ware eine Lagergebühr erhoben</t>
  </si>
  <si>
    <t>Naknada od 10.000 CZK će pokriti svu štetu nastalu rukovanjem, dvostrukim radom na dokumentima, troškovima skladištenja itd. i nije važno radi li se o 1 kartonu ili 100 kartona. Nadalje, za ovu robu će se naplatiti naknada za skladištenje</t>
  </si>
  <si>
    <t>Una commissione di 10.000 CZK coprirà tutti i danni causati dalla manipolazione, lavori duplicati su documenti, spese di archiviazione, ecc. e non è importante se si tratta di 1 cartone o 100 cartoni. Inoltre, per queste merci verrà addebitato un costo di deposito</t>
  </si>
  <si>
    <t>10 000 CZK mokestis padengs visą žalą, atsiradusią dėl tvarkymo, dokumentų pasikartojančių darbų, saugojimo mokesčius ir pan., ir nesvarbu, ar tai 1 dėžutė, ar 100 kartoninių dėžių. Be to, už šias prekes bus imamas saugojimo mokestis</t>
  </si>
  <si>
    <t>Opłata w wysokości 10 000 CZK pokryje wszelkie szkody spowodowane przeładunkiem, powielaniem prac na dokumentach, opłatami za przechowywanie itp. i nie ma znaczenia, czy jest to 1 karton, czy 100 kartonów. Ponadto za te towary zostanie naliczona opłata za przechowywanie</t>
  </si>
  <si>
    <t>Накнада од 10.000 ЦЗК покрива сву штету насталу руковањем, дуплим радом на документима, накнаде за складиштење итд. и није важно да ли је у питању 1 картон или 100 картона. Поред тога, за ову робу ће бити наплаћена накнада за складиштење</t>
  </si>
  <si>
    <t>Maksa 10 000 CZK apmērā segs visus bojājumus, kas radušies apstrādes, dokumentu dublikātu, uzglabāšanas nodevas utt. dēļ, un nav svarīgi, vai tā ir 1 kartona vai 100 kartona kastes. Turklāt par šīm precēm tiks iekasēta uzglabāšanas maksa</t>
  </si>
  <si>
    <t>Tasu 10 000 CZK katab kõik kahjud, mis on tekkinud käsitsemisest, dokumentide dubleerimisest, ladustamistasud jms ning ei ole oluline, kas tegemist on 1 kasti või 100 karbiga. Lisaks võetakse nende kaupade eest ladustamistasu</t>
  </si>
  <si>
    <t>Phí 10.000 K sẽ bao gồm tất cả các thiệt hại do xử lý, trùng lặp công việc trên tài liệu, phí lưu kho,… và không quan trọng là 1 thùng hay 100 thùng. Hơn nữa, một khoản phí lưu kho sẽ được tính cho những hàng hóa này</t>
  </si>
  <si>
    <t>A 10.000 CZK díj fedezi a kezelésből, sokszorosított iratkezelésből, tárolási díjakból stb. okozott károkat, és nem mindegy, hogy 1 kartonról vagy 100 kartonról van szó. Ezenkívül ezekért az árukért tárolási díjat kell fizetni</t>
  </si>
  <si>
    <t>Reklamaci uznáváme po dobu 12 měsíců od zakoupení výrobku. A pouze, pokud byly zapáleny obě zápalnice.</t>
  </si>
  <si>
    <t>We accept the complaint for 12 months from the purchase of the product. And only if both fuses were lit.</t>
  </si>
  <si>
    <t>Wir akzeptieren die Reklamation für 12 Monate ab Kauf des Produkts. Und nur wenn beide Anzündern leuchten.</t>
  </si>
  <si>
    <t>Prihvaćamo prigovor u periodu od 12 mjeseci od dana kupnje proizvoda. I to samo ako su oba osigurača gorjela.</t>
  </si>
  <si>
    <t>Accettiamo reclami per un periodo di 12 mesi dall'acquisto del prodotto. E solo se entrambe le micce erano accese.</t>
  </si>
  <si>
    <t>Mes priimame skundą 12 mėnesių nuo produkto įsigijimo. Ir tik tuo atveju, jei degė abu saugikliai.</t>
  </si>
  <si>
    <t>Reklamację przyjmujemy do 12 miesięcy od zakupu produktu. I tylko wtedy, gdy paliły się oba bezpieczniki.</t>
  </si>
  <si>
    <t>Рекламације прихватамо у периоду од 12 месеци од куповине производа. И то само ако су оба фитиља упаљена.</t>
  </si>
  <si>
    <t>Sūdzības pieņemam 12 mēnešus no preces iegādes brīža. Un tikai tad, ja bija iedegti abi drošinātāji.</t>
  </si>
  <si>
    <t>Kaebusi võtame vastu 12 kuud alates toote ostmisest. Ja ainult siis, kui mõlemad kaitsmed põlesid.</t>
  </si>
  <si>
    <t>A REKLAMÁCIÓK ELISMERÉSE 12 HÓNAP A VÁSÁRLÁS IDÖPONTJÁTÓL. És csak akkor, ha mindkét biztosíték égett.</t>
  </si>
  <si>
    <t>Batterien der raketen 25-1000 schuss, 8mm Mörser-1.4G</t>
  </si>
  <si>
    <t>25-1000sh Battery of rockets, 8mm mortars-1.4G</t>
  </si>
  <si>
    <t>Vatrometna kutija raketa 25-1000 pucnjeva, cijev 8mm-1.4G</t>
  </si>
  <si>
    <t>Batteria di fischi 25-1000 colpi, mortaio 8 mm-1.4g</t>
  </si>
  <si>
    <t>25-1000 šūvių raketų baterija, 8mm vamzdžiai - 1.4G</t>
  </si>
  <si>
    <t>Wyrzutnie 25-1000 strz. kaliber 8mm 1.4G</t>
  </si>
  <si>
    <t>25-1000s Baterije sa raketama, cev 8mm - 1.4G</t>
  </si>
  <si>
    <t>"Compact" 25-1000 phát đạn, đường kính 8mm-1.4G</t>
  </si>
  <si>
    <t>25-1000šv raķešu baterija, 8mm caurule - 1.4G</t>
  </si>
  <si>
    <t>Rakéta telepek 25-1000 lövet, 8mm mozsár-1.4g</t>
  </si>
  <si>
    <t>x</t>
  </si>
  <si>
    <t>DE</t>
  </si>
  <si>
    <t>HR</t>
  </si>
  <si>
    <t>HU</t>
  </si>
  <si>
    <t>JAZYKOVÉ</t>
  </si>
  <si>
    <t>MUTACE</t>
  </si>
  <si>
    <t>POZOR! Zde je zobrazeno pouze zboží s BAM certifikací!</t>
  </si>
  <si>
    <t>ATTENTION! Only goods with BAM certification are shown here!</t>
  </si>
  <si>
    <t>AUFMERKSAMKEIT! Hier werden nur Waren mit BAM-Zulassung gezeigt!</t>
  </si>
  <si>
    <t>UWAGA! Tutaj pokazane są tylko towary z certyfikatem BAM!</t>
  </si>
  <si>
    <t>CHÚ Ý! Chỉ hàng hóa có chứng nhận BAM mới được trưng bày ở đây!</t>
  </si>
  <si>
    <t>DĖMESIO! Čia rodomos tik prekės su BAM sertifikatu!</t>
  </si>
  <si>
    <t>PAŽNJA! Ovdje je prikazana samo roba s BAM certifikatom!</t>
  </si>
  <si>
    <t>ПАЖЊА! Овде је приказана само роба са БАМ сертификатом!</t>
  </si>
  <si>
    <t>ATTENZIONE! Qui vengono mostrati solo i prodotti con certificazione BAM!</t>
  </si>
  <si>
    <t>TÄHELEPANU! Siin kuvatakse ainult BAM sertifikaadiga kaupu!</t>
  </si>
  <si>
    <t>FIGYELEM! Itt csak a BAM minősítéssel rendelkező áruk jelennek meg!</t>
  </si>
  <si>
    <t>UZMANĪBU! Šeit tiek rādītas tikai preces ar BAM sertifikāciju!</t>
  </si>
  <si>
    <t>Euro</t>
  </si>
  <si>
    <t>Frachtpreis</t>
  </si>
  <si>
    <t>kostenlos Transport</t>
  </si>
  <si>
    <t>150 € pro Palette</t>
  </si>
  <si>
    <t>140 € pro Palette</t>
  </si>
  <si>
    <t>130 € pro Palette</t>
  </si>
  <si>
    <t>120 € pro Palette</t>
  </si>
  <si>
    <t>110 € pro Palette</t>
  </si>
  <si>
    <t>100 € pro Palette</t>
  </si>
  <si>
    <t>Liefertermin</t>
  </si>
  <si>
    <t>Ungefähr</t>
  </si>
  <si>
    <t>21. und 22. Dezember 2023</t>
  </si>
  <si>
    <t>Rabattsystem und Frachtpreis für Deutschland</t>
  </si>
  <si>
    <t>Insgesamt</t>
  </si>
  <si>
    <t>Möglichkeit Nummer 2 - kostenlos Transport Deutschland 2023</t>
  </si>
  <si>
    <t>Möglichkeit Nummer 1 - subventionierter Frachtpreis Deutschland 2023</t>
  </si>
  <si>
    <t xml:space="preserve"> subventionierter Frachtpreis</t>
  </si>
  <si>
    <t>Subventionierter Frachtpreis Deutschland 2023</t>
  </si>
  <si>
    <t>Kostenlos Frachtpreis</t>
  </si>
  <si>
    <t>Liefertermin: 21. / 22. 11. 2023</t>
  </si>
  <si>
    <t>Paletten Anzahl:</t>
  </si>
  <si>
    <t>Frachtpreis in €:</t>
  </si>
  <si>
    <t>ADR Gruppe:</t>
  </si>
  <si>
    <t xml:space="preserve">Kontakt Podpora English </t>
  </si>
  <si>
    <t xml:space="preserve">Tarify </t>
  </si>
  <si>
    <t xml:space="preserve">Produkty </t>
  </si>
  <si>
    <t xml:space="preserve">Běžný účet </t>
  </si>
  <si>
    <t xml:space="preserve">Multiměnový účet </t>
  </si>
  <si>
    <t xml:space="preserve">Kontokorent </t>
  </si>
  <si>
    <t xml:space="preserve">Další </t>
  </si>
  <si>
    <t xml:space="preserve">Debetní karty </t>
  </si>
  <si>
    <t xml:space="preserve">Kreditní karty </t>
  </si>
  <si>
    <t xml:space="preserve">Hypotéky </t>
  </si>
  <si>
    <t xml:space="preserve">Konsolidace půjček </t>
  </si>
  <si>
    <t xml:space="preserve">Spořicí účet </t>
  </si>
  <si>
    <t xml:space="preserve">Penzijní spoření </t>
  </si>
  <si>
    <t xml:space="preserve">Stavební spoření </t>
  </si>
  <si>
    <t xml:space="preserve">Termínovaný účet </t>
  </si>
  <si>
    <t xml:space="preserve">Pravidelné investování </t>
  </si>
  <si>
    <t xml:space="preserve">Jednorázové investování </t>
  </si>
  <si>
    <t xml:space="preserve">Investiční fondy </t>
  </si>
  <si>
    <t xml:space="preserve">Investiční zlato </t>
  </si>
  <si>
    <t xml:space="preserve">Cestovní pojištění </t>
  </si>
  <si>
    <t xml:space="preserve">Pojištění majetku </t>
  </si>
  <si>
    <t xml:space="preserve">Životní pojištění </t>
  </si>
  <si>
    <t xml:space="preserve">Pojištění k produktům </t>
  </si>
  <si>
    <t xml:space="preserve">Ceny a sazby </t>
  </si>
  <si>
    <t xml:space="preserve">Dokumenty </t>
  </si>
  <si>
    <t xml:space="preserve">Dotazy a návody </t>
  </si>
  <si>
    <t xml:space="preserve">Kurzovní lístek </t>
  </si>
  <si>
    <t xml:space="preserve">Transparentní účty </t>
  </si>
  <si>
    <t xml:space="preserve">Více informací </t>
  </si>
  <si>
    <t xml:space="preserve">O bance </t>
  </si>
  <si>
    <t>O bance</t>
  </si>
  <si>
    <t xml:space="preserve">Kariéra v KB </t>
  </si>
  <si>
    <t xml:space="preserve">Kontakty </t>
  </si>
  <si>
    <t xml:space="preserve">Novinky </t>
  </si>
  <si>
    <t xml:space="preserve">Udržitelnost v KB </t>
  </si>
  <si>
    <t xml:space="preserve">KB Rádce </t>
  </si>
  <si>
    <t xml:space="preserve">Pro investory </t>
  </si>
  <si>
    <t xml:space="preserve">Pro média </t>
  </si>
  <si>
    <t xml:space="preserve">Dokumenty ke stažení </t>
  </si>
  <si>
    <t xml:space="preserve">Povinně uveřejňované informace </t>
  </si>
  <si>
    <t xml:space="preserve">Stát se klientem </t>
  </si>
  <si>
    <t xml:space="preserve">Přihlásit </t>
  </si>
  <si>
    <t>Zrušit</t>
  </si>
  <si>
    <t xml:space="preserve">Občané změnit </t>
  </si>
  <si>
    <t xml:space="preserve">Podnikatelé a firmy </t>
  </si>
  <si>
    <t xml:space="preserve">Korporace a instituce </t>
  </si>
  <si>
    <t xml:space="preserve">Účty </t>
  </si>
  <si>
    <t xml:space="preserve">Karty </t>
  </si>
  <si>
    <t xml:space="preserve">Půjčky </t>
  </si>
  <si>
    <t xml:space="preserve">Spoření </t>
  </si>
  <si>
    <t xml:space="preserve">Investice </t>
  </si>
  <si>
    <t xml:space="preserve">Pojištění </t>
  </si>
  <si>
    <t>Stát se klientem</t>
  </si>
  <si>
    <t>Přihlášení do MojeBanka Business</t>
  </si>
  <si>
    <t xml:space="preserve">Kontakt </t>
  </si>
  <si>
    <t xml:space="preserve">Podpora </t>
  </si>
  <si>
    <t>English</t>
  </si>
  <si>
    <t>Detail kurzu eur</t>
  </si>
  <si>
    <t>Evropská unie</t>
  </si>
  <si>
    <t>Kurzovní lístek KB</t>
  </si>
  <si>
    <t>Odchylky ke kurzu ECB</t>
  </si>
  <si>
    <t>Kurzy pro vaši aplikaci</t>
  </si>
  <si>
    <t xml:space="preserve">Portál pro vývojáře </t>
  </si>
  <si>
    <t xml:space="preserve">Nabídka </t>
  </si>
  <si>
    <t xml:space="preserve">Osobní finance </t>
  </si>
  <si>
    <t xml:space="preserve">KB Privátní bankovnictví </t>
  </si>
  <si>
    <t xml:space="preserve">Investiční bankovnictví </t>
  </si>
  <si>
    <t xml:space="preserve">Nástroje a rady </t>
  </si>
  <si>
    <t xml:space="preserve">Valné hromady </t>
  </si>
  <si>
    <t xml:space="preserve">Povinné informace </t>
  </si>
  <si>
    <t>Stáhněte si naši aplikaci</t>
  </si>
  <si>
    <t>Nabídka</t>
  </si>
  <si>
    <t>Nástroje a rady</t>
  </si>
  <si>
    <t xml:space="preserve">Stáhněte si naši aplikaci </t>
  </si>
  <si>
    <t>Jsme na sítích</t>
  </si>
  <si>
    <t xml:space="preserve">Podmínky používání internetových stránek </t>
  </si>
  <si>
    <t xml:space="preserve">Prohlášení o přístupnosti </t>
  </si>
  <si>
    <t xml:space="preserve">Ochrana osobních údajů </t>
  </si>
  <si>
    <t xml:space="preserve">Bezpečnost </t>
  </si>
  <si>
    <t xml:space="preserve">Nastavení cookies </t>
  </si>
  <si>
    <t>Díky cookies pro vás bude prohlížení stránek příjemnější a jednodušší. Ke zpracování některých z nich potřebujeme váš souhlas, který dáte kliknutím na „Přijmout vše“. Pokud volitelné cookies povolit nechcete, klikněte na „Odmítnout vše”. Cookies můžete také odsouhlasit jednotlivě.</t>
  </si>
  <si>
    <t>Upravit nastavení</t>
  </si>
  <si>
    <t>Pobočky a bankomaty</t>
  </si>
  <si>
    <t xml:space="preserve">Pobočky a bankomaty </t>
  </si>
  <si>
    <t xml:space="preserve">Řekněte nám svůj názor </t>
  </si>
  <si>
    <t>Internetové bankovnictví</t>
  </si>
  <si>
    <t>MojeBanka a KB+</t>
  </si>
  <si>
    <t>Firemní bankovnictví</t>
  </si>
  <si>
    <t>Přihlášení do MojeBanka a KB+</t>
  </si>
  <si>
    <t>free-Verkauf</t>
  </si>
  <si>
    <t>KK2023</t>
  </si>
  <si>
    <t>Katalog Klásek 2023</t>
  </si>
  <si>
    <t>Střední a velké firmy, instituce</t>
  </si>
  <si>
    <t xml:space="preserve">Střední a velké firmy, instituce </t>
  </si>
  <si>
    <t xml:space="preserve">Půjčka na cokoli </t>
  </si>
  <si>
    <t xml:space="preserve">Účet od 15 do 26 let </t>
  </si>
  <si>
    <t xml:space="preserve">Osobní půjčka </t>
  </si>
  <si>
    <t xml:space="preserve">Půjčka na udržitelné bydlení </t>
  </si>
  <si>
    <t xml:space="preserve">Zjistit víc </t>
  </si>
  <si>
    <t>©2024 Komerční banka</t>
  </si>
  <si>
    <t>12/4.</t>
  </si>
  <si>
    <t xml:space="preserve">Colour Vulkán 250g </t>
  </si>
  <si>
    <t>Tričko I love Dumbum(bílé)-L</t>
  </si>
  <si>
    <t>MDLEZ1M</t>
  </si>
  <si>
    <t>Dumbum mikina se zipem a kapucí M - limited edition</t>
  </si>
  <si>
    <t>MDLEZ1L</t>
  </si>
  <si>
    <t>Dumbum mikina se zipem a kapucí L - limited edition</t>
  </si>
  <si>
    <t>MDLEZ1XL</t>
  </si>
  <si>
    <t>Dumbum mikina se zipem a kapucí XL - limited edition</t>
  </si>
  <si>
    <t>MDLEZ1XXL</t>
  </si>
  <si>
    <t>Dumbum mikina se zipem a kapucí XXL - limited edition</t>
  </si>
  <si>
    <t>RT1DU</t>
  </si>
  <si>
    <t>Reklamní tabule Dumbum</t>
  </si>
  <si>
    <t>New identity series 100/20mm /dummie</t>
  </si>
  <si>
    <t>Ghost  /dummie</t>
  </si>
  <si>
    <t>Best price Wild fire 100/25mm /empty color carton</t>
  </si>
  <si>
    <t>Fireworks show 100 /empty color carton</t>
  </si>
  <si>
    <t>Big Brother /empty color carton</t>
  </si>
  <si>
    <t>Best price 100/30mm /empty color carton</t>
  </si>
  <si>
    <t>Best price-Frozen 100/30mm /empty color carton</t>
  </si>
  <si>
    <t>No sound Fireworks /empty color carton</t>
  </si>
  <si>
    <t>Signature range 100ran /empty color carton</t>
  </si>
  <si>
    <t>Gigant 105 /empty color carton</t>
  </si>
  <si>
    <t>Pyrotechnology 2020 122sh /empty color carton</t>
  </si>
  <si>
    <t>Big sellers /empty color carton</t>
  </si>
  <si>
    <t>Pyrotechnology 2020 128sh /empty color carton</t>
  </si>
  <si>
    <t>Big and Bad /empty color carton</t>
  </si>
  <si>
    <t>Turbo 20mm shots 60 /empty color carton</t>
  </si>
  <si>
    <t>Pyrotechnology 2020 132sh /empty color carton</t>
  </si>
  <si>
    <t>Fireworks show 140 /empty color carton</t>
  </si>
  <si>
    <t>Profi Fireworks show 140 /empty color carton</t>
  </si>
  <si>
    <t>Best price-Frozen 150/30mm /empty color carton</t>
  </si>
  <si>
    <t>Fireworks show 150 /empty color carton</t>
  </si>
  <si>
    <t>Pyrotechnology 2020 150sh /empty color carton</t>
  </si>
  <si>
    <t>Signature range 180ran /empty color carton</t>
  </si>
  <si>
    <t>Fireworks show 192/20mm /empty color carton</t>
  </si>
  <si>
    <t>Profi show multi shape 200/20mm /empty color carton</t>
  </si>
  <si>
    <t>Best price 200/30mm /empty color carton</t>
  </si>
  <si>
    <t>Fireworks show 200 /empty color carton</t>
  </si>
  <si>
    <t>Pyrotechnology 2020 204sh /empty color carton</t>
  </si>
  <si>
    <t>Profi Fireworks show 212 /empty color carton</t>
  </si>
  <si>
    <t>Fireworks show 216 /empty color carton</t>
  </si>
  <si>
    <t>Pyrotechnology 2020 219sh /empty color carton</t>
  </si>
  <si>
    <t>Fireworks show 222 /empty color carton</t>
  </si>
  <si>
    <t>Pyrotechnology 2020 222sh /empty color carton</t>
  </si>
  <si>
    <t>King fireworks 223 /empty color carton</t>
  </si>
  <si>
    <t>Profi Fireworks show 252 /empty color carton</t>
  </si>
  <si>
    <t>Pyrotechnology 2020 253sh /empty color carton</t>
  </si>
  <si>
    <t>Fireworks show 256 /empty color carton</t>
  </si>
  <si>
    <t>Profi Fireworks show 256- I+V+W+FAN /empty color carton</t>
  </si>
  <si>
    <t>Fireworks show 260 /empty color carton</t>
  </si>
  <si>
    <t>Neverending Sky /empty color carton</t>
  </si>
  <si>
    <t>Best price Wild fire 300/25mm /empty color carton</t>
  </si>
  <si>
    <t>Fireworks show 300 /empty color carton</t>
  </si>
  <si>
    <t>King fireworks 379 /empty color carton</t>
  </si>
  <si>
    <t>Fireworks show 390 /empty color carton</t>
  </si>
  <si>
    <t>Profi show multi shape 400/20mm /empty color carton</t>
  </si>
  <si>
    <t>Fireworks show 400 /empty color carton</t>
  </si>
  <si>
    <t>Meteor new age F2 /empty color carton</t>
  </si>
  <si>
    <t>New identity series 50/30mm /empty color carton</t>
  </si>
  <si>
    <t>Vietnam  /empty color carton</t>
  </si>
  <si>
    <t>XXXL 50ran /empty color carton</t>
  </si>
  <si>
    <t>Fireworks show 520 /empty color carton</t>
  </si>
  <si>
    <t>Fireworks show 536 /empty color carton</t>
  </si>
  <si>
    <t>K-C6420DU/C</t>
  </si>
  <si>
    <t>Refresh  /empty color carton</t>
  </si>
  <si>
    <t>Fireworks show 84 /empty color carton</t>
  </si>
  <si>
    <t>Show time /empty color carton</t>
  </si>
  <si>
    <t>City of Earth   /empty color carton</t>
  </si>
  <si>
    <t>Profi Fireworks show 96 /empty color carton</t>
  </si>
  <si>
    <t>Crazy Night /empty color carton</t>
  </si>
  <si>
    <t>CZ,SK,PL,DE,LT,EN,HR,HU,DK</t>
  </si>
  <si>
    <t>CZ,LT</t>
  </si>
  <si>
    <t>CZ,SK,PL,DE,LT,HU,DK,HR,EN</t>
  </si>
  <si>
    <t>CZ,SK,EN,PL,DE,LT,HU,HR</t>
  </si>
  <si>
    <t>CZ,SK,EN,PL,DE,LT</t>
  </si>
  <si>
    <t>CZ,SK,PL,DE,LT,EN,HU</t>
  </si>
  <si>
    <t>CZ,SK,PL,EN,LT,DE,HR,DK,HU</t>
  </si>
  <si>
    <t>CZ,PL,SK,LT,DE,NL,EN</t>
  </si>
  <si>
    <t>CZ,PL,SK,LT,DE,NL,DK,HR,EN,FR</t>
  </si>
  <si>
    <t>CZ,SK,PL,DE,NL,DK,LT,EN,HR,FR</t>
  </si>
  <si>
    <t>SK,DE</t>
  </si>
  <si>
    <t>CZ,SK,EN,HU,HR,LT,PL,DE</t>
  </si>
  <si>
    <t>CZ,SK,HU,PL,LT,DE</t>
  </si>
  <si>
    <t>CZ,SK,PL,DE,LT,EN,HR</t>
  </si>
  <si>
    <t>CZ,SK,PL,DE,LT,EN,EST,HU,DK</t>
  </si>
  <si>
    <t>CZ,SK,PL,LT,DE,EN,</t>
  </si>
  <si>
    <t>CZ,SK,PL,DE,LT,EST,DK,EN,HR,HU,SRB,LV</t>
  </si>
  <si>
    <t>CZ,SK,PL,DE,LT,EN,LV,EST/úDEajznovétabulky.</t>
  </si>
  <si>
    <t>CZ,SK,PL,DE,LT/úDEajznovétabulky.</t>
  </si>
  <si>
    <t>CZ,SK,PL,DE,LT,EST,EN</t>
  </si>
  <si>
    <t>CZ,SK,PL,DE,LT,EN,EST,DK,LV,HR</t>
  </si>
  <si>
    <t>CZ,SK,EN,PL,LT,DE,LV,EST,HU</t>
  </si>
  <si>
    <t>CZ,PL,SK,LT</t>
  </si>
  <si>
    <t>CZ,PL,SK,DE,LT</t>
  </si>
  <si>
    <t>CZ,SK,LT,DE,PL</t>
  </si>
  <si>
    <t>CZ,SK,PL,LT,DE,FR,NL</t>
  </si>
  <si>
    <t>CZ,SK,DE,PL,LT,EN,HR,HU,SRB</t>
  </si>
  <si>
    <t>CZ,SK,PL,SRB,LT</t>
  </si>
  <si>
    <t>CZ,SK,EN,PL,LT</t>
  </si>
  <si>
    <t>CZ,SK,PL,HR,HU,DE,LT,EN,DK,SRB,NL</t>
  </si>
  <si>
    <t>CZ,SK,PL,EN,LT,NL,HR,DE,HU,DK,SRB</t>
  </si>
  <si>
    <t>CZ,SK,LT,PL,DE</t>
  </si>
  <si>
    <t>CZ,SK,PL,LT,NL,FR</t>
  </si>
  <si>
    <t>CZ,SKPL,DE,LT,EN</t>
  </si>
  <si>
    <t>CZ,SK,EN,LT,DE,SRB</t>
  </si>
  <si>
    <t>CZ,SK,PL,EN,DE,LT</t>
  </si>
  <si>
    <t>CZ,SK,PL,DE,IT,NL,EN,FR,LT</t>
  </si>
  <si>
    <t>CZ,SK,NL,DE,PL</t>
  </si>
  <si>
    <t>CZ,PL,SK,DE,NL,LT</t>
  </si>
  <si>
    <t>CZ,SK,PL,SRB</t>
  </si>
  <si>
    <t>CZ,SK,PL,DE,SRB</t>
  </si>
  <si>
    <t>CZ,SK,PL,NL,EN,HR,LT,DE</t>
  </si>
  <si>
    <t>CZ,DE,PL,SK,NL,LT,EN</t>
  </si>
  <si>
    <t>CZ,SK,PL,LT,DE,EN,EST</t>
  </si>
  <si>
    <t>CZ,SK,PL,LT,EN,DE</t>
  </si>
  <si>
    <t>CZ,SK,PL,LT,EN,DE,EST,IT,NL,HU,HR,LV,SLO,DK,FR</t>
  </si>
  <si>
    <t>CZ,SK,PL,LT,EN,DE,EST,HU,HR,NL,DK,IT,SRB,FR</t>
  </si>
  <si>
    <t>CZ,SK,PL,LT,DE,HU,EN</t>
  </si>
  <si>
    <t>CZ,SK,PL,HU,HR,DE,LT,EN,EST,FR,NL,IT</t>
  </si>
  <si>
    <t>CZ,SK,LT,PL</t>
  </si>
  <si>
    <t>CZ,SK,PL,LT,DE,HU,EST,FR</t>
  </si>
  <si>
    <t>CZ,SK,DE,EN,PL,LT</t>
  </si>
  <si>
    <t>CZ,Sk,DE,EN,PL,LT</t>
  </si>
  <si>
    <t>CZ,SK,PL,LT,HU,DE,EN</t>
  </si>
  <si>
    <t>CZ,SK,PL,EN,HU,LT,DE</t>
  </si>
  <si>
    <t>CZ,SK,PL,EN,FR,LT,DE</t>
  </si>
  <si>
    <t>CZ,SK,PL,LT,DE,EN,FR</t>
  </si>
  <si>
    <t>CZ,SK,PL,LT,DE,EN,HU</t>
  </si>
  <si>
    <t>CZ,SK,PL,EN,LT,DE</t>
  </si>
  <si>
    <t>CZ,SK,LT,PL,DE,EN</t>
  </si>
  <si>
    <t>CZ,SK,PL,LT,DE,EN,EST,FR,IT,DK</t>
  </si>
  <si>
    <t>CZ,SK,PL,LT,DE,EN,EST,HU,FR,NL</t>
  </si>
  <si>
    <t>CZ,SK,PL,LT,EN,DE,EST</t>
  </si>
  <si>
    <t>CZ,SK,PL,EN,DE,LT,EST,HR,FR,HU</t>
  </si>
  <si>
    <t>CZ,SK,PL,EN,DE,LT,EST,HR,FR,IT</t>
  </si>
  <si>
    <t>CZ,SK,EN,DE,PL,NL,DK,LT,FR,HU,IT,EST,HR,SRB</t>
  </si>
  <si>
    <t>CZ,SK,EN,PL,LT,DE,DK,HU,EST,LV,SRB,FR,IT,HR,RO</t>
  </si>
  <si>
    <t>CZ,SK,PL,LT,DE,EN,DK,HU,EST</t>
  </si>
  <si>
    <t>CZ,SK,PL,DE,EN,LT</t>
  </si>
  <si>
    <t>CZ,SK,FR,PL,EN,LT,NL</t>
  </si>
  <si>
    <t>CZ,SK,DE,PL,LT,IT,EN,FR</t>
  </si>
  <si>
    <t>CZ,SK,DK,PL,DE,FR,NL,IT,HR,SRB,EN,LT</t>
  </si>
  <si>
    <t>CZ,SK,PL,DE,LT,EN,DK</t>
  </si>
  <si>
    <t>CZ,SK,DK,PL,EN,LT,NL,DE,FR</t>
  </si>
  <si>
    <t>CZ,SK,DK,PL,DE,EN,NL,LT,FR</t>
  </si>
  <si>
    <t>CZ,SK,PL,LT,DE,EN,FR,NL</t>
  </si>
  <si>
    <t>CZ,SK,EN,DE,PL,LT</t>
  </si>
  <si>
    <t>CZ,SK,PL,DE,LT,EN,EST,HU,FR</t>
  </si>
  <si>
    <t>CZ,SK,PL,LT,DE,EN,DK</t>
  </si>
  <si>
    <t>CZ,SK,PL,FR,LT,NL,DE,EN</t>
  </si>
  <si>
    <t>CZ,SK,PL,FR,LT,EN,DE,NL</t>
  </si>
  <si>
    <t>CZ,SK,PL,DE,IT,LT,EN,NL,DK,EST,HU</t>
  </si>
  <si>
    <t>CZ,SK,PL,LT,DE,HR,EN,FR</t>
  </si>
  <si>
    <t>CZ,SK,PL,DE,LT,NL,EN,HU,EST</t>
  </si>
  <si>
    <t>CZ,SK,PL,DE,LT,EN,HU,EST,FR,IT</t>
  </si>
  <si>
    <t>CZ,SK,PL,LT,DE,EN,HR</t>
  </si>
  <si>
    <t>CZ,SK,PL,DE,LT,EN,HU,EST</t>
  </si>
  <si>
    <t>CZ,SK,PL,LT,DE,EN,IT,HU,FR,HR</t>
  </si>
  <si>
    <t>CZ,SK,PL,LT,DE,EST,EN,NU,FR,IT,HR</t>
  </si>
  <si>
    <t>CZ,SK,PL,LT,DE,EN,IT,HU,FR</t>
  </si>
  <si>
    <t>CZ,SK,PL,LT,DE,EST,EN,HR,FR,IT,HU,DK</t>
  </si>
  <si>
    <t>CZ,SK,PL,LT,DE,EN,HR,FR,IT,DK,EST</t>
  </si>
  <si>
    <t>CZ,SK,PL,LT,DE,EN,EST,HR</t>
  </si>
  <si>
    <t>CZ,SK,PL,LT,DE,EN,EST,FR</t>
  </si>
  <si>
    <t>CZ,SK,PL,LT,DE,EN,EST,FR,NL</t>
  </si>
  <si>
    <t>CZ,SK,PL,LT,EN,DE,HU,EST,IT,FR,HR,DK,NL</t>
  </si>
  <si>
    <t>CZ,SK,PL,LT,DE,EN,HU,EST,NL,DK,FR,HR,IT,SLO,SRB</t>
  </si>
  <si>
    <t>CZ,SK,PL,LT,NL,DK,EN,DE,EST,HR,SRB,FR,HU,IT,SLO,LV</t>
  </si>
  <si>
    <t>CZ,SK,PL,LT,EN,DE,IT,FR</t>
  </si>
  <si>
    <t>CZ,SK,PL,DE,FR,DK,NL,EN,LT,EST</t>
  </si>
  <si>
    <t>CZ,SK,PL,DE,FR,DK,NL,EN,LT,IT</t>
  </si>
  <si>
    <t>CZ,SK,PL,EN,DE,LT,NL,FR,HR,EST</t>
  </si>
  <si>
    <t>CZ,SK,PL,LT,EN,HU,DE,EST,IT,HR,FR</t>
  </si>
  <si>
    <t>CZ,SK,PL,LT,EN,DE,HR,DK,NL,EST,FR,IT,HU</t>
  </si>
  <si>
    <t>CZ,SK,PL,LT,EN,DE,LV,DK,NL,EST,FR,IT,HU</t>
  </si>
  <si>
    <t>CZ,SK,PL,DE,LT,EN,NL,EST,DK,FR</t>
  </si>
  <si>
    <t>CZ,SK,PL,LT,DE,HU,NL,FR,IT,EN,HR</t>
  </si>
  <si>
    <t>CZ,SK,PL,FR,LT,DK,NL,DE,EN</t>
  </si>
  <si>
    <t>CZ,SK,PL,LT,EN,NL,DE,FR</t>
  </si>
  <si>
    <t>CZ,SK,PL,LT,DE,FR,EN</t>
  </si>
  <si>
    <t>Logo Komerční banky</t>
  </si>
  <si>
    <t>Udržitelné bydlení</t>
  </si>
  <si>
    <t xml:space="preserve">D/BAM2494/18 </t>
  </si>
  <si>
    <t>BAM-F1-0383</t>
  </si>
  <si>
    <t>D/BAM-926/22</t>
  </si>
  <si>
    <t>BAM-F1-0384</t>
  </si>
  <si>
    <t>BAM-F1-0385</t>
  </si>
  <si>
    <t>D/BAM-928/22</t>
  </si>
  <si>
    <t>BAM-F2-2185</t>
  </si>
  <si>
    <t>BAM-F1-0387</t>
  </si>
  <si>
    <t>BAM-F2-2185 # D/BAM-930/22</t>
  </si>
  <si>
    <t>BAM-F1-0387 # D/BAM-926/22</t>
  </si>
  <si>
    <t>D/BAM-0862/22</t>
  </si>
  <si>
    <t>D/BAM-0863/22</t>
  </si>
  <si>
    <t>D/BAM-930/22</t>
  </si>
  <si>
    <t>BAM-F2-2187</t>
  </si>
  <si>
    <t>BAM-F2-2189</t>
  </si>
  <si>
    <t>BAM-F2-2188</t>
  </si>
  <si>
    <t>D/BAM-2495/18</t>
  </si>
  <si>
    <t>BAM-F2-2190</t>
  </si>
  <si>
    <t>BAM-F2-2191</t>
  </si>
  <si>
    <t>BAM-F1-0388</t>
  </si>
  <si>
    <t>BAM-F2-2193</t>
  </si>
  <si>
    <t>BAM-F2-2193 # D/BAM-0931/22</t>
  </si>
  <si>
    <t>BAM-F2-2194</t>
  </si>
  <si>
    <t>BAM-F2-2195</t>
  </si>
  <si>
    <t>D/BAM-1003/20</t>
  </si>
  <si>
    <t>D/BAM-0934/22</t>
  </si>
  <si>
    <t>D/BAM-0935/22</t>
  </si>
  <si>
    <t>D/BAM-927/22</t>
  </si>
  <si>
    <t>D/BAM-0089/20</t>
  </si>
  <si>
    <t>D/BAM-2497/18</t>
  </si>
  <si>
    <t xml:space="preserve">D/BAM-2495/18 </t>
  </si>
  <si>
    <t>BAM-F2-2196</t>
  </si>
  <si>
    <t>BAM-F2-2197</t>
  </si>
  <si>
    <t>D/BAM-2496/18</t>
  </si>
  <si>
    <t xml:space="preserve">D/BAM-1002/20 </t>
  </si>
  <si>
    <t>BAM-F2-2199</t>
  </si>
  <si>
    <t>BAM-F2-2200</t>
  </si>
  <si>
    <t>BAM-F2-2201</t>
  </si>
  <si>
    <t>BAM-F2-2202</t>
  </si>
  <si>
    <t>BAM-F2-2203</t>
  </si>
  <si>
    <t>D/BAM-2498/18</t>
  </si>
  <si>
    <t>D/BAM-0990/19</t>
  </si>
  <si>
    <t>D/BAM-0933/22</t>
  </si>
  <si>
    <t>BAM-F2-2209</t>
  </si>
  <si>
    <t>BAM-F2-2206</t>
  </si>
  <si>
    <t>BAM-F2-2208</t>
  </si>
  <si>
    <t>BAM-F2-2192</t>
  </si>
  <si>
    <t xml:space="preserve">2.6/0756/19 </t>
  </si>
  <si>
    <t>Touto barvou jsou označeny novinky 2024.</t>
  </si>
  <si>
    <t>Orange lines mark the news for 2024.</t>
  </si>
  <si>
    <t>Orangefarbene Linien kennzeichnen die Nachrichten für 2024.</t>
  </si>
  <si>
    <t>Pomarańczowe komórki oznaczają nowości na rok 2024.</t>
  </si>
  <si>
    <t>Màu này được đánh dấu là sản phẩm mới của năm 2024.</t>
  </si>
  <si>
    <t>Oranžinės linijos žymi 2024 m. naujienas</t>
  </si>
  <si>
    <t>Narančase linije označavaju novosti za 2024.</t>
  </si>
  <si>
    <t>Narandžaste linije označavaju vesti za 2024. godinu.</t>
  </si>
  <si>
    <t>Le linee arancioni segnano le novità per il 2024.</t>
  </si>
  <si>
    <t>oranzid jooned tähendavad uusi tooteid 2024</t>
  </si>
  <si>
    <t>Ezzel a színnel a 2024 újdonságok vannak jelölve</t>
  </si>
  <si>
    <t>Oranžas līnijas iezīmē 2024. gada jaunumus.</t>
  </si>
  <si>
    <t>Slevy jsou poskytovány při celoročním odběru a to od 01.09.2023 do 31.08.2024.</t>
  </si>
  <si>
    <t>Discounds provided for year-round purchase from 01.09.2023 to 31.08.2024</t>
  </si>
  <si>
    <t>Rabatte bei ganzjährigem Kauf vom 01.09.2023 bis 31.08.2024</t>
  </si>
  <si>
    <t>Giảm giá được cung cấp cho các giao dịch mua quanh năm từ 01.09.2023 đến 31.08.2024</t>
  </si>
  <si>
    <t>Navedeni popusti predviđeni su su za kupnju tijekom cijele godine tj. za razdoblje od 01.09.2023. do 31.08.2024.</t>
  </si>
  <si>
    <t>Popust predviđen za kupovinu cele godine od 01.09.2023 - 31.08.2024</t>
  </si>
  <si>
    <t>i sconti  previsti per l'acquisto tutto l'anno dal 01.09.2023 al 31.08.2024</t>
  </si>
  <si>
    <t>Aastaringseks ostmiseks ette nähtud allahindlused kehtivad ajavahemikul 01.09.2023 kuni 31.08.2024</t>
  </si>
  <si>
    <t>Atlaides, kas paredzētas pirkšanai visa gada garumā no 01.09.2023. Līdz 31.08.2024</t>
  </si>
  <si>
    <t xml:space="preserve">Platí: 01.01.2024 - 31.08.2024 </t>
  </si>
  <si>
    <t>Valid from: 01.01.2024 - 31.08.2024</t>
  </si>
  <si>
    <t>Gültig von: 01.01.2024 - 31.08.2024</t>
  </si>
  <si>
    <t>Obowiązuje od: 01.01.2024 - 31.08.2024</t>
  </si>
  <si>
    <t>Hợp lệ: 01.01.2024 - 31.08.2024</t>
  </si>
  <si>
    <t>Galioja: 01.01.2024 - 31.08.2024</t>
  </si>
  <si>
    <t>Vrijedi od: 01.01.2024 - 31.08.2024</t>
  </si>
  <si>
    <t>Valido dal: 01.01.2024 - 31.08.2024</t>
  </si>
  <si>
    <t>Kehtib alates: 01.01.2024 - 31.08.2024</t>
  </si>
  <si>
    <t>Spēkā kopš: 01.01.2024 - 31.08.2024</t>
  </si>
  <si>
    <t>Přidělená sleva zákazníka se počítá na základě odběru od 01.09.2022 do 31.8.2023.</t>
  </si>
  <si>
    <t>Each customer has been allocated a discount baseed on purchase from 01.09.2022 to 31.08.2023.</t>
  </si>
  <si>
    <t>Jeder Kunde erhält einen Rabatt basierend auf einem Einkauf vom 01.09.2022 bis 31.08.2023.</t>
  </si>
  <si>
    <t>Mức chiết khấu khách hàng được phân bổ được tính trên cơ sở mức tiêu thụ từ 01.09.2022 đến 31.08.2023.</t>
  </si>
  <si>
    <t>Svakom kupcu odobren je popust na osnovi ostvarene kupnje u periodu od 01.09.2022. do 31.08.2023.</t>
  </si>
  <si>
    <t>Svakom kupcu se dodeljuje popust na osnovu kupovine od 01.09.2022 do 31.08.2023.</t>
  </si>
  <si>
    <t>Ad ogni cliente è stato assegnato uno sconto in base all'acquisto dal 01.09.2022 al 31.08.2023.</t>
  </si>
  <si>
    <t>Igale kliendile on tehtud ostu alusel allahindlus ajavahemikul 01.09.2022 kuni 31.08.2023.</t>
  </si>
  <si>
    <t>Katram klientam ir piešķirta atlaide, pamatojoties uz pirkumu no 01.09.2022. Līdz 31.08.2023.</t>
  </si>
  <si>
    <t>Oranžové řádky označují novinky pro rok 2024.</t>
  </si>
  <si>
    <t>Orange lines indicate news for 2024.</t>
  </si>
  <si>
    <t>Orangefarbene Linien zeigen Neuigkeiten für 2024 an.</t>
  </si>
  <si>
    <t>Narančasto označena polja predstavljaju novosti u 2024.</t>
  </si>
  <si>
    <t>Le linee arancioni indicano novità per il 2024.</t>
  </si>
  <si>
    <t>Oranžinės linijos laukeliuose nurodo 2024 m. naujienas.</t>
  </si>
  <si>
    <t>Pomarańczowe pola oznaczają nowości na 2024 rok.</t>
  </si>
  <si>
    <t>Наранџасте линије означавају вести за 2024.</t>
  </si>
  <si>
    <t>Oranžās līnijas norāda uz 2024. gada jaunumiem.</t>
  </si>
  <si>
    <t>Oranžid jooned näitavad uusi tooteid 2024.</t>
  </si>
  <si>
    <t>Các đường màu cam cho biết tin tức cho năm 2024.</t>
  </si>
  <si>
    <t>A NARANCSSÁRGA SOROK A 2024 ÉV ÚJDONSÁGAIT JELÖLIK</t>
  </si>
  <si>
    <t>Nella colonna F, i prezzi prima dello sconto in CZK senza IVA sono validi dal 01/09/2024.</t>
  </si>
  <si>
    <t>F stulpelyje kainos iki nuolaidos CZK be PVM galioja nuo 2024-09-01.</t>
  </si>
  <si>
    <t>Nella colonna G, i prezzi dopo lo sconto in CZK senza IVA sono validi dal  01/09/2024.</t>
  </si>
  <si>
    <t xml:space="preserve">I stulpelyje kainos yra CZK kronomis po nuolaidos ir galioja nuo 2024 09 01 </t>
  </si>
  <si>
    <t>Ve sloupci F jsou ceny před slevou v CZK bez DPH platné od 1.1.2024.</t>
  </si>
  <si>
    <t>In column F, prices before discount in CZK are valid from  1.1.2024</t>
  </si>
  <si>
    <t>In Spalte F gelten die Preise vor Rabatt in CZK ab dem 1.1.2024.</t>
  </si>
  <si>
    <t>U stupcu F istaknute su cijene u CZK bez rabata i važeće od  1.1.2024.</t>
  </si>
  <si>
    <t>W kolumnie F ceny przed rabatem w CZK obowiązują od 1.1.2024</t>
  </si>
  <si>
    <t>U koloni F cene pre popusta u CZK bez PDV-a važe od 01.01.2024</t>
  </si>
  <si>
    <t>F ailē cenas pirms atlaides CZK bez PVN ir spēkā no 01.01.2024.</t>
  </si>
  <si>
    <t>Veerus F kehtivad hinnad enne allahindlust Tšehhi kroonides alates 1.1.2024</t>
  </si>
  <si>
    <t>Trong cột F, giá trước khi giảm giá bằng CZK chưa có VAT có giá trị từ 1.1.2024.</t>
  </si>
  <si>
    <t>Az F oszlopban a kedvezmény előtti árak áfa nélkül CZK-ban 2024.01.01-től érvényesek.</t>
  </si>
  <si>
    <t>Ve sloupci G jsou ceny po slevě v CZK bez DPH platné od 1.1.2024.</t>
  </si>
  <si>
    <t>In column I, prices after discount in CZK are valid from  1.1.2024</t>
  </si>
  <si>
    <t>In Spalte I gelten die Preise nach Rabatt in CZK ab dem 1.1.2024.</t>
  </si>
  <si>
    <t>U stupcu I, istaknute su cijene u CZK s rabatom i važeće od 1.1.2024.</t>
  </si>
  <si>
    <t>W kolumnie I ceny po rabacie w CZK obowiązują od 1.1.2024</t>
  </si>
  <si>
    <t>У колони Г цене након попуста у ЦЗК без ПДВ-а важе од 01.01.2024.</t>
  </si>
  <si>
    <t>G ailē cenas pēc atlaides CZK bez PVN ir spēkā no 2022. gada 1. 01. 2024.</t>
  </si>
  <si>
    <t>I veerus kehtivad hinnad pärast allahindlust Tšehhi kroonides alates 1.1.2024</t>
  </si>
  <si>
    <t>Trong cột G, giá sau khi chiết khấu tính bằng CZK chưa có thuế VAT có giá trị từ 1.1.2024.</t>
  </si>
  <si>
    <t>A G OSZLOPBAN AZ ÁRAK KEDVEZMÉNY UTÁN CZK BAN ÁFA NÉLKÜL ÉRVENYESEK 2024.01.01 TŐL.</t>
  </si>
  <si>
    <t>Möglichkeit Nummer 1 - subventionierter Frachtpreis Deutschland 2024</t>
  </si>
  <si>
    <t>Möglichkeit Nummer 2 - kostenlos Transport Deutschland 2024</t>
  </si>
  <si>
    <t>20. und 21. November 2024</t>
  </si>
  <si>
    <t>90/9</t>
  </si>
  <si>
    <t>Detail kurzu z 23. 2. 2024, 7:00</t>
  </si>
  <si>
    <t>KB 25,3392</t>
  </si>
  <si>
    <t>ČNB 25,3200</t>
  </si>
  <si>
    <t>Nakupujeme 24,4269</t>
  </si>
  <si>
    <t>Prodáváme 26,2514</t>
  </si>
  <si>
    <t>Nakupujeme 24,5790</t>
  </si>
  <si>
    <t>Prodáváme 26,0993</t>
  </si>
  <si>
    <t>Ver.:22-02-24-bGen.2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</si>
</sst>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6" formatCode="#,##0\ &quot;Kč&quot;;[Red]\-#,##0\ &quot;Kč&quot;"/>
    <numFmt numFmtId="44" formatCode="_-* #,##0.00\ &quot;Kč&quot;_-;\-* #,##0.00\ &quot;Kč&quot;_-;_-* &quot;-&quot;??\ &quot;Kč&quot;_-;_-@_-"/>
    <numFmt numFmtId="164" formatCode="_-* #,##0.00\ _K_č_-;\-* #,##0.00\ _K_č_-;_-* &quot;-&quot;??\ _K_č_-;_-@_-"/>
    <numFmt numFmtId="165" formatCode="0.0"/>
    <numFmt numFmtId="166" formatCode="0.0000"/>
    <numFmt numFmtId="168" formatCode="[$-405]General"/>
    <numFmt numFmtId="169" formatCode="#,##0\ _K_č"/>
    <numFmt numFmtId="170" formatCode="[$-415]General"/>
    <numFmt numFmtId="171" formatCode="_-* #,##0.00&quot; Kč&quot;_-;\-* #,##0.00&quot; Kč&quot;_-;_-* \-??&quot; Kč&quot;_-;_-@_-"/>
    <numFmt numFmtId="172" formatCode="_-* #,##0.00\ _K_č_-;\-* #,##0.00\ _K_č_-;_-* \-??\ _K_č_-;_-@_-"/>
    <numFmt numFmtId="173" formatCode="#,##0.00\ [$CZK]"/>
    <numFmt numFmtId="174" formatCode="#,##0\ [$CZK]"/>
    <numFmt numFmtId="175" formatCode="[$€-2]\ #,##0"/>
  </numFmts>
  <fonts count="143">
    <font>
      <sz val="11"/>
      <color theme="1"/>
      <name val="Calibri"/>
      <family val="2"/>
      <charset val="238"/>
      <scheme val="minor"/>
    </font>
    <font>
      <sz val="11"/>
      <color theme="1"/>
      <name val="Arial"/>
      <family val="2"/>
      <charset val="238"/>
    </font>
    <font>
      <sz val="11"/>
      <color theme="1"/>
      <name val="Arial"/>
      <family val="2"/>
      <charset val="238"/>
    </font>
    <font>
      <sz val="11"/>
      <color theme="1"/>
      <name val="Calibri"/>
      <family val="2"/>
      <charset val="238"/>
      <scheme val="minor"/>
    </font>
    <font>
      <sz val="11"/>
      <color theme="0"/>
      <name val="Calibri"/>
      <family val="2"/>
      <charset val="238"/>
      <scheme val="minor"/>
    </font>
    <font>
      <sz val="11"/>
      <color indexed="8"/>
      <name val="Calibri"/>
      <family val="2"/>
      <charset val="238"/>
    </font>
    <font>
      <sz val="11"/>
      <name val="Arial"/>
      <family val="2"/>
      <charset val="238"/>
    </font>
    <font>
      <sz val="9"/>
      <name val="Arial"/>
      <family val="2"/>
      <charset val="238"/>
    </font>
    <font>
      <sz val="10"/>
      <name val="Arial"/>
      <family val="2"/>
      <charset val="238"/>
    </font>
    <font>
      <u/>
      <sz val="10"/>
      <color indexed="12"/>
      <name val="Arial"/>
      <family val="2"/>
      <charset val="238"/>
    </font>
    <font>
      <sz val="8"/>
      <name val="Arial"/>
      <family val="2"/>
      <charset val="238"/>
    </font>
    <font>
      <sz val="12"/>
      <name val="Arial"/>
      <family val="2"/>
      <charset val="238"/>
    </font>
    <font>
      <b/>
      <sz val="12"/>
      <name val="Arial"/>
      <family val="2"/>
      <charset val="238"/>
    </font>
    <font>
      <b/>
      <sz val="9"/>
      <name val="Arial"/>
      <family val="2"/>
      <charset val="238"/>
    </font>
    <font>
      <sz val="10"/>
      <name val="Times New Roman CE"/>
      <family val="1"/>
      <charset val="238"/>
    </font>
    <font>
      <sz val="9"/>
      <color indexed="8"/>
      <name val="Arial"/>
      <family val="2"/>
      <charset val="238"/>
    </font>
    <font>
      <sz val="10"/>
      <name val="Helv"/>
      <family val="2"/>
    </font>
    <font>
      <sz val="10"/>
      <name val="Arial CE"/>
      <charset val="238"/>
    </font>
    <font>
      <sz val="10"/>
      <name val="Arial"/>
      <family val="2"/>
    </font>
    <font>
      <b/>
      <sz val="12"/>
      <name val="Arial"/>
      <family val="2"/>
    </font>
    <font>
      <u/>
      <sz val="10"/>
      <color indexed="12"/>
      <name val="Arial"/>
      <family val="2"/>
    </font>
    <font>
      <sz val="10"/>
      <name val="Times New Roman CE"/>
      <charset val="238"/>
    </font>
    <font>
      <sz val="10"/>
      <name val="Times New Roman CE"/>
      <charset val="134"/>
    </font>
    <font>
      <sz val="11"/>
      <color indexed="8"/>
      <name val="Calibri"/>
      <family val="2"/>
      <charset val="134"/>
    </font>
    <font>
      <sz val="12"/>
      <name val="宋体"/>
      <charset val="134"/>
    </font>
    <font>
      <u/>
      <sz val="11"/>
      <color indexed="12"/>
      <name val="Calibri"/>
      <family val="2"/>
      <charset val="238"/>
    </font>
    <font>
      <sz val="11"/>
      <name val="Calibri"/>
      <family val="2"/>
      <charset val="238"/>
    </font>
    <font>
      <u/>
      <sz val="11"/>
      <color indexed="12"/>
      <name val="宋体"/>
      <charset val="134"/>
    </font>
    <font>
      <sz val="11"/>
      <color indexed="8"/>
      <name val="Calibri"/>
      <family val="3"/>
      <charset val="134"/>
    </font>
    <font>
      <u/>
      <sz val="10"/>
      <color indexed="12"/>
      <name val="Arial"/>
      <family val="2"/>
      <charset val="1"/>
    </font>
    <font>
      <u/>
      <sz val="11"/>
      <color indexed="12"/>
      <name val="Calibri"/>
      <family val="2"/>
      <charset val="1"/>
    </font>
    <font>
      <sz val="11"/>
      <color indexed="8"/>
      <name val="Calibri"/>
      <family val="2"/>
      <charset val="1"/>
    </font>
    <font>
      <sz val="10"/>
      <name val="Arial"/>
      <family val="2"/>
      <charset val="1"/>
    </font>
    <font>
      <sz val="11"/>
      <color rgb="FF000000"/>
      <name val="Calibri"/>
      <family val="2"/>
      <charset val="238"/>
    </font>
    <font>
      <sz val="11"/>
      <color rgb="FF000000"/>
      <name val="Calibri"/>
      <family val="2"/>
      <charset val="134"/>
    </font>
    <font>
      <sz val="11"/>
      <color rgb="FF000000"/>
      <name val="Calibri"/>
      <family val="2"/>
    </font>
    <font>
      <u/>
      <sz val="11"/>
      <color theme="10"/>
      <name val="宋体"/>
      <charset val="134"/>
    </font>
    <font>
      <u/>
      <sz val="11"/>
      <color theme="10"/>
      <name val="Calibri"/>
      <family val="2"/>
      <scheme val="minor"/>
    </font>
    <font>
      <u/>
      <sz val="11"/>
      <color theme="10"/>
      <name val="Calibri"/>
      <family val="2"/>
      <charset val="238"/>
      <scheme val="minor"/>
    </font>
    <font>
      <sz val="11"/>
      <color theme="1"/>
      <name val="Calibri"/>
      <family val="2"/>
      <scheme val="minor"/>
    </font>
    <font>
      <sz val="11"/>
      <color theme="1"/>
      <name val="Calibri"/>
      <family val="2"/>
      <charset val="134"/>
      <scheme val="minor"/>
    </font>
    <font>
      <sz val="11"/>
      <color theme="1"/>
      <name val="Calibri"/>
      <family val="2"/>
      <charset val="238"/>
    </font>
    <font>
      <sz val="11"/>
      <color theme="1"/>
      <name val="Calibri"/>
      <family val="3"/>
      <charset val="134"/>
      <scheme val="minor"/>
    </font>
    <font>
      <sz val="9"/>
      <color theme="1"/>
      <name val="Arial"/>
      <family val="2"/>
      <charset val="238"/>
    </font>
    <font>
      <sz val="11"/>
      <color rgb="FFFF0000"/>
      <name val="Calibri"/>
      <family val="2"/>
      <charset val="238"/>
      <scheme val="minor"/>
    </font>
    <font>
      <sz val="11"/>
      <name val="Calibri"/>
      <family val="2"/>
      <charset val="238"/>
      <scheme val="minor"/>
    </font>
    <font>
      <b/>
      <sz val="11"/>
      <name val="Calibri"/>
      <family val="2"/>
      <charset val="238"/>
      <scheme val="minor"/>
    </font>
    <font>
      <b/>
      <sz val="9"/>
      <color theme="1"/>
      <name val="Arial"/>
      <family val="2"/>
      <charset val="238"/>
    </font>
    <font>
      <sz val="10"/>
      <color theme="0"/>
      <name val="Arial"/>
      <family val="2"/>
      <charset val="238"/>
    </font>
    <font>
      <sz val="8"/>
      <color theme="0"/>
      <name val="Arial"/>
      <family val="2"/>
      <charset val="238"/>
    </font>
    <font>
      <b/>
      <sz val="9"/>
      <color theme="0"/>
      <name val="Arial"/>
      <family val="2"/>
      <charset val="238"/>
    </font>
    <font>
      <b/>
      <sz val="12"/>
      <color theme="0"/>
      <name val="Arial"/>
      <family val="2"/>
      <charset val="238"/>
    </font>
    <font>
      <sz val="9"/>
      <color theme="0"/>
      <name val="Arial"/>
      <family val="2"/>
      <charset val="238"/>
    </font>
    <font>
      <sz val="11"/>
      <color theme="0"/>
      <name val="Arial"/>
      <family val="2"/>
      <charset val="238"/>
    </font>
    <font>
      <sz val="12"/>
      <color theme="0"/>
      <name val="Arial"/>
      <family val="2"/>
      <charset val="238"/>
    </font>
    <font>
      <sz val="12"/>
      <color theme="1"/>
      <name val="Arial"/>
      <family val="2"/>
      <charset val="238"/>
    </font>
    <font>
      <sz val="12"/>
      <color rgb="FF000000"/>
      <name val="Arial"/>
      <family val="2"/>
      <charset val="238"/>
    </font>
    <font>
      <b/>
      <sz val="11"/>
      <color rgb="FFFF0000"/>
      <name val="Calibri"/>
      <family val="2"/>
      <charset val="238"/>
      <scheme val="minor"/>
    </font>
    <font>
      <sz val="12"/>
      <color theme="9" tint="-0.249977111117893"/>
      <name val="Arial"/>
      <family val="2"/>
      <charset val="238"/>
    </font>
    <font>
      <b/>
      <sz val="14"/>
      <color rgb="FFFF0000"/>
      <name val="Calibri"/>
      <family val="2"/>
      <charset val="238"/>
      <scheme val="minor"/>
    </font>
    <font>
      <b/>
      <sz val="20"/>
      <color rgb="FFFF0000"/>
      <name val="Calibri"/>
      <family val="2"/>
      <charset val="238"/>
      <scheme val="minor"/>
    </font>
    <font>
      <b/>
      <sz val="9"/>
      <color rgb="FFFF0000"/>
      <name val="Arial"/>
      <family val="2"/>
      <charset val="238"/>
    </font>
    <font>
      <sz val="10"/>
      <color theme="1"/>
      <name val="Arial"/>
      <family val="2"/>
      <charset val="238"/>
    </font>
    <font>
      <b/>
      <sz val="12"/>
      <color theme="1"/>
      <name val="Arial"/>
      <family val="2"/>
      <charset val="238"/>
    </font>
    <font>
      <b/>
      <sz val="9"/>
      <color indexed="81"/>
      <name val="Tahoma"/>
      <family val="2"/>
      <charset val="238"/>
    </font>
    <font>
      <sz val="9"/>
      <color indexed="81"/>
      <name val="Tahoma"/>
      <family val="2"/>
      <charset val="238"/>
    </font>
    <font>
      <b/>
      <sz val="11"/>
      <color theme="0"/>
      <name val="Calibri"/>
      <family val="2"/>
      <charset val="238"/>
      <scheme val="minor"/>
    </font>
    <font>
      <sz val="9"/>
      <name val="Arial Unicode MS"/>
      <family val="2"/>
      <charset val="238"/>
    </font>
    <font>
      <sz val="8"/>
      <color theme="1"/>
      <name val="Arial"/>
      <family val="2"/>
      <charset val="238"/>
    </font>
    <font>
      <sz val="11"/>
      <color theme="1"/>
      <name val="Arial"/>
      <family val="2"/>
      <charset val="238"/>
    </font>
    <font>
      <b/>
      <sz val="8"/>
      <color theme="1"/>
      <name val="Arial"/>
      <family val="2"/>
      <charset val="238"/>
    </font>
    <font>
      <b/>
      <vertAlign val="superscript"/>
      <sz val="9"/>
      <name val="Arial"/>
      <family val="2"/>
      <charset val="238"/>
    </font>
    <font>
      <b/>
      <sz val="7"/>
      <name val="Arial"/>
      <family val="2"/>
      <charset val="238"/>
    </font>
    <font>
      <b/>
      <sz val="11"/>
      <color theme="1"/>
      <name val="Calibri"/>
      <family val="2"/>
      <charset val="238"/>
      <scheme val="minor"/>
    </font>
    <font>
      <sz val="11"/>
      <color rgb="FFFF0000"/>
      <name val="Arial"/>
      <family val="2"/>
      <charset val="238"/>
    </font>
    <font>
      <b/>
      <sz val="12"/>
      <color rgb="FFFF0000"/>
      <name val="Arial"/>
      <family val="2"/>
      <charset val="238"/>
    </font>
    <font>
      <b/>
      <sz val="11"/>
      <name val="Arial"/>
      <family val="2"/>
      <charset val="238"/>
    </font>
    <font>
      <b/>
      <sz val="16"/>
      <color rgb="FFFF0000"/>
      <name val="Arial"/>
      <family val="2"/>
      <charset val="238"/>
    </font>
    <font>
      <b/>
      <sz val="20"/>
      <color rgb="FFFF0000"/>
      <name val="Arial"/>
      <family val="2"/>
      <charset val="238"/>
    </font>
    <font>
      <sz val="12"/>
      <color rgb="FFFF0000"/>
      <name val="Arial"/>
      <family val="2"/>
      <charset val="238"/>
    </font>
    <font>
      <b/>
      <sz val="11"/>
      <color theme="1"/>
      <name val="Arial"/>
      <family val="2"/>
      <charset val="238"/>
    </font>
    <font>
      <b/>
      <sz val="14"/>
      <color rgb="FFFF0000"/>
      <name val="Arial"/>
      <family val="2"/>
      <charset val="238"/>
    </font>
    <font>
      <sz val="8"/>
      <name val="Calibri"/>
      <family val="2"/>
      <charset val="238"/>
      <scheme val="minor"/>
    </font>
    <font>
      <b/>
      <sz val="8"/>
      <color theme="0"/>
      <name val="Arial"/>
      <family val="2"/>
      <charset val="238"/>
    </font>
    <font>
      <b/>
      <sz val="8"/>
      <name val="Arial"/>
      <family val="2"/>
      <charset val="238"/>
    </font>
    <font>
      <sz val="8"/>
      <color rgb="FF000000"/>
      <name val="Segoe UI"/>
      <family val="2"/>
      <charset val="238"/>
    </font>
    <font>
      <sz val="9"/>
      <color theme="1"/>
      <name val="Arial Unicode MS"/>
      <family val="2"/>
      <charset val="238"/>
    </font>
    <font>
      <b/>
      <sz val="9"/>
      <color theme="1"/>
      <name val="Arial Unicode MS"/>
      <family val="2"/>
      <charset val="238"/>
    </font>
    <font>
      <b/>
      <sz val="9"/>
      <name val="Arial Unicode MS"/>
      <family val="2"/>
      <charset val="238"/>
    </font>
    <font>
      <b/>
      <sz val="9"/>
      <color rgb="FFFF0000"/>
      <name val="Arial Unicode MS"/>
      <family val="2"/>
      <charset val="238"/>
    </font>
    <font>
      <sz val="9"/>
      <color theme="1"/>
      <name val="Calibri"/>
      <family val="2"/>
      <charset val="238"/>
      <scheme val="minor"/>
    </font>
    <font>
      <sz val="9"/>
      <color rgb="FF000000"/>
      <name val="Arial Unicode MS"/>
      <family val="2"/>
      <charset val="238"/>
    </font>
    <font>
      <sz val="8"/>
      <name val="Arial Unicode MS"/>
      <family val="2"/>
      <charset val="238"/>
    </font>
    <font>
      <sz val="8"/>
      <color theme="1"/>
      <name val="Calibri"/>
      <family val="2"/>
      <charset val="238"/>
      <scheme val="minor"/>
    </font>
    <font>
      <sz val="22"/>
      <color theme="1"/>
      <name val="Calibri"/>
      <family val="2"/>
      <charset val="238"/>
      <scheme val="minor"/>
    </font>
    <font>
      <b/>
      <sz val="24"/>
      <color theme="1"/>
      <name val="Calibri"/>
      <family val="2"/>
      <charset val="238"/>
      <scheme val="minor"/>
    </font>
    <font>
      <b/>
      <sz val="20"/>
      <name val="Arial"/>
      <family val="2"/>
      <charset val="238"/>
    </font>
    <font>
      <sz val="12"/>
      <color theme="1"/>
      <name val="Calibri"/>
      <family val="2"/>
      <charset val="238"/>
      <scheme val="minor"/>
    </font>
    <font>
      <b/>
      <sz val="12"/>
      <name val="Calibri"/>
      <family val="2"/>
      <charset val="238"/>
      <scheme val="minor"/>
    </font>
    <font>
      <b/>
      <sz val="20"/>
      <color theme="1"/>
      <name val="Arial"/>
      <family val="2"/>
      <charset val="238"/>
    </font>
    <font>
      <b/>
      <sz val="10"/>
      <color theme="9" tint="-0.249977111117893"/>
      <name val="Arial"/>
      <family val="2"/>
      <charset val="238"/>
    </font>
    <font>
      <b/>
      <sz val="12"/>
      <color theme="9" tint="-0.249977111117893"/>
      <name val="Arial"/>
      <family val="2"/>
      <charset val="238"/>
    </font>
    <font>
      <b/>
      <sz val="11"/>
      <color theme="0"/>
      <name val="Arial"/>
      <family val="2"/>
      <charset val="238"/>
    </font>
    <font>
      <b/>
      <sz val="11"/>
      <color rgb="FFFFFF00"/>
      <name val="Arial"/>
      <family val="2"/>
      <charset val="238"/>
    </font>
    <font>
      <b/>
      <sz val="20"/>
      <color theme="0"/>
      <name val="Arial"/>
      <family val="2"/>
      <charset val="238"/>
    </font>
    <font>
      <b/>
      <sz val="16"/>
      <color theme="1"/>
      <name val="Arial"/>
      <family val="2"/>
      <charset val="238"/>
    </font>
    <font>
      <b/>
      <sz val="11"/>
      <color theme="3" tint="0.39997558519241921"/>
      <name val="Arial"/>
      <family val="2"/>
      <charset val="238"/>
    </font>
    <font>
      <b/>
      <sz val="16"/>
      <name val="Arial"/>
      <family val="2"/>
      <charset val="238"/>
    </font>
    <font>
      <b/>
      <sz val="12"/>
      <color theme="9"/>
      <name val="Arial"/>
      <family val="2"/>
      <charset val="238"/>
    </font>
    <font>
      <b/>
      <sz val="14"/>
      <color theme="1"/>
      <name val="Arial"/>
      <family val="2"/>
      <charset val="238"/>
    </font>
    <font>
      <b/>
      <sz val="10"/>
      <name val="Arial"/>
      <family val="2"/>
      <charset val="238"/>
    </font>
    <font>
      <sz val="10"/>
      <color rgb="FFFF0000"/>
      <name val="Arial"/>
      <family val="2"/>
      <charset val="238"/>
    </font>
    <font>
      <b/>
      <sz val="7"/>
      <color theme="1"/>
      <name val="Arial"/>
      <family val="2"/>
      <charset val="238"/>
    </font>
    <font>
      <sz val="12"/>
      <name val="Wingdings 3"/>
      <family val="1"/>
      <charset val="2"/>
    </font>
    <font>
      <u/>
      <sz val="10"/>
      <name val="Arial"/>
      <family val="2"/>
      <charset val="238"/>
    </font>
    <font>
      <u/>
      <sz val="8"/>
      <name val="Arial"/>
      <family val="2"/>
      <charset val="238"/>
    </font>
    <font>
      <sz val="8"/>
      <name val="Calibri"/>
      <family val="2"/>
      <charset val="238"/>
    </font>
    <font>
      <sz val="14"/>
      <color theme="1"/>
      <name val="Calibri"/>
      <family val="2"/>
      <charset val="238"/>
      <scheme val="minor"/>
    </font>
    <font>
      <b/>
      <sz val="8"/>
      <color rgb="FFFF0000"/>
      <name val="Arial"/>
      <family val="2"/>
      <charset val="238"/>
    </font>
    <font>
      <b/>
      <u/>
      <sz val="8"/>
      <color theme="9" tint="-0.249977111117893"/>
      <name val="Arial"/>
      <family val="2"/>
      <charset val="238"/>
    </font>
    <font>
      <sz val="8"/>
      <color rgb="FFFF0000"/>
      <name val="Arial"/>
      <family val="2"/>
      <charset val="238"/>
    </font>
    <font>
      <u/>
      <sz val="8"/>
      <color theme="1"/>
      <name val="Arial"/>
      <family val="2"/>
      <charset val="238"/>
    </font>
    <font>
      <sz val="9"/>
      <name val="Calibri"/>
      <family val="2"/>
      <charset val="238"/>
      <scheme val="minor"/>
    </font>
    <font>
      <u/>
      <sz val="9"/>
      <name val="Arial"/>
      <family val="2"/>
      <charset val="238"/>
    </font>
    <font>
      <b/>
      <sz val="10"/>
      <color theme="0"/>
      <name val="Arial"/>
      <family val="2"/>
      <charset val="238"/>
    </font>
    <font>
      <b/>
      <sz val="9"/>
      <color rgb="FFFFFF00"/>
      <name val="Arial"/>
      <family val="2"/>
      <charset val="238"/>
    </font>
    <font>
      <b/>
      <sz val="18"/>
      <color rgb="FFFFFF00"/>
      <name val="Arial"/>
      <family val="2"/>
      <charset val="238"/>
    </font>
    <font>
      <b/>
      <sz val="20"/>
      <color rgb="FFFFFF00"/>
      <name val="Arial"/>
      <family val="2"/>
      <charset val="238"/>
    </font>
    <font>
      <sz val="18"/>
      <color rgb="FFFFFF00"/>
      <name val="Arial"/>
      <family val="2"/>
      <charset val="238"/>
    </font>
    <font>
      <b/>
      <u/>
      <sz val="10"/>
      <color indexed="12"/>
      <name val="Arial"/>
      <family val="2"/>
      <charset val="238"/>
    </font>
    <font>
      <b/>
      <u/>
      <sz val="10"/>
      <color theme="9" tint="-0.249977111117893"/>
      <name val="Arial"/>
      <family val="2"/>
      <charset val="238"/>
    </font>
    <font>
      <b/>
      <u/>
      <sz val="9"/>
      <color theme="9" tint="-0.249977111117893"/>
      <name val="Arial"/>
      <family val="2"/>
      <charset val="238"/>
    </font>
    <font>
      <b/>
      <sz val="11"/>
      <color rgb="FFFF0000"/>
      <name val="Arial"/>
      <family val="2"/>
      <charset val="238"/>
    </font>
    <font>
      <b/>
      <i/>
      <sz val="8"/>
      <color rgb="FFFF0000"/>
      <name val="Arial"/>
      <family val="2"/>
      <charset val="238"/>
    </font>
    <font>
      <b/>
      <sz val="10"/>
      <color theme="1"/>
      <name val="Arial"/>
      <family val="2"/>
      <charset val="238"/>
    </font>
    <font>
      <u/>
      <sz val="10"/>
      <color theme="1"/>
      <name val="Arial"/>
      <family val="2"/>
      <charset val="238"/>
    </font>
    <font>
      <sz val="8"/>
      <color theme="1"/>
      <name val="Calibri"/>
      <family val="2"/>
      <charset val="238"/>
    </font>
    <font>
      <sz val="8"/>
      <color theme="1"/>
      <name val="Times New Roman"/>
      <family val="1"/>
      <charset val="238"/>
    </font>
    <font>
      <b/>
      <sz val="14"/>
      <color theme="1"/>
      <name val="Calibri"/>
      <family val="2"/>
      <charset val="238"/>
      <scheme val="minor"/>
    </font>
    <font>
      <b/>
      <sz val="12"/>
      <color theme="1"/>
      <name val="Calibri"/>
      <family val="2"/>
      <charset val="238"/>
      <scheme val="minor"/>
    </font>
    <font>
      <b/>
      <sz val="11"/>
      <color theme="1"/>
      <name val="Arial Black"/>
      <family val="2"/>
      <charset val="238"/>
    </font>
    <font>
      <b/>
      <sz val="18"/>
      <color theme="1"/>
      <name val="Arial Black"/>
      <family val="2"/>
      <charset val="238"/>
    </font>
    <font>
      <sz val="9"/>
      <color rgb="FFFFFF00"/>
      <name val="Arial"/>
      <family val="2"/>
      <charset val="238"/>
    </font>
  </fonts>
  <fills count="58">
    <fill>
      <patternFill patternType="none"/>
    </fill>
    <fill>
      <patternFill patternType="gray125"/>
    </fill>
    <fill>
      <patternFill patternType="solid">
        <fgColor theme="4" tint="-0.249977111117893"/>
        <bgColor indexed="64"/>
      </patternFill>
    </fill>
    <fill>
      <patternFill patternType="solid">
        <fgColor theme="0" tint="-4.9989318521683403E-2"/>
        <bgColor indexed="64"/>
      </patternFill>
    </fill>
    <fill>
      <patternFill patternType="solid">
        <fgColor theme="4" tint="0.79998168889431442"/>
        <bgColor indexed="64"/>
      </patternFill>
    </fill>
    <fill>
      <patternFill patternType="solid">
        <fgColor theme="4" tint="0.39997558519241921"/>
        <bgColor indexed="64"/>
      </patternFill>
    </fill>
    <fill>
      <patternFill patternType="solid">
        <fgColor theme="0" tint="-0.14999847407452621"/>
        <bgColor indexed="64"/>
      </patternFill>
    </fill>
    <fill>
      <patternFill patternType="solid">
        <fgColor theme="0"/>
        <bgColor indexed="64"/>
      </patternFill>
    </fill>
    <fill>
      <patternFill patternType="solid">
        <fgColor rgb="FFFFC000"/>
        <bgColor indexed="64"/>
      </patternFill>
    </fill>
    <fill>
      <patternFill patternType="solid">
        <fgColor rgb="FFFFFF00"/>
        <bgColor indexed="64"/>
      </patternFill>
    </fill>
    <fill>
      <patternFill patternType="solid">
        <fgColor theme="1"/>
        <bgColor indexed="64"/>
      </patternFill>
    </fill>
    <fill>
      <patternFill patternType="solid">
        <fgColor theme="1" tint="0.249977111117893"/>
        <bgColor indexed="64"/>
      </patternFill>
    </fill>
    <fill>
      <patternFill patternType="solid">
        <fgColor rgb="FFE95721"/>
        <bgColor indexed="64"/>
      </patternFill>
    </fill>
    <fill>
      <patternFill patternType="solid">
        <fgColor rgb="FFFFFF00"/>
        <bgColor auto="1"/>
      </patternFill>
    </fill>
    <fill>
      <gradientFill degree="180">
        <stop position="0">
          <color theme="0"/>
        </stop>
        <stop position="1">
          <color theme="1"/>
        </stop>
      </gradientFill>
    </fill>
    <fill>
      <patternFill patternType="solid">
        <fgColor theme="7"/>
        <bgColor indexed="64"/>
      </patternFill>
    </fill>
    <fill>
      <patternFill patternType="solid">
        <fgColor rgb="FFFF0000"/>
        <bgColor indexed="64"/>
      </patternFill>
    </fill>
    <fill>
      <patternFill patternType="solid">
        <fgColor theme="9" tint="0.79998168889431442"/>
        <bgColor indexed="64"/>
      </patternFill>
    </fill>
    <fill>
      <patternFill patternType="solid">
        <fgColor theme="0"/>
        <bgColor theme="0" tint="-0.14999847407452621"/>
      </patternFill>
    </fill>
    <fill>
      <patternFill patternType="solid">
        <fgColor theme="9" tint="0.79998168889431442"/>
        <bgColor theme="9" tint="0.79998168889431442"/>
      </patternFill>
    </fill>
    <fill>
      <gradientFill degree="90">
        <stop position="0">
          <color theme="0"/>
        </stop>
        <stop position="0.5">
          <color rgb="FF898477"/>
        </stop>
        <stop position="1">
          <color theme="0"/>
        </stop>
      </gradientFill>
    </fill>
    <fill>
      <gradientFill degree="90">
        <stop position="0">
          <color theme="0"/>
        </stop>
        <stop position="1">
          <color rgb="FF898477"/>
        </stop>
      </gradientFill>
    </fill>
    <fill>
      <gradientFill>
        <stop position="0">
          <color rgb="FF898477"/>
        </stop>
        <stop position="0.5">
          <color rgb="FF595959"/>
        </stop>
        <stop position="1">
          <color rgb="FF898477"/>
        </stop>
      </gradientFill>
    </fill>
    <fill>
      <gradientFill>
        <stop position="0">
          <color theme="9" tint="0.40000610370189521"/>
        </stop>
        <stop position="0.5">
          <color rgb="FFE95721"/>
        </stop>
        <stop position="1">
          <color theme="9" tint="0.40000610370189521"/>
        </stop>
      </gradientFill>
    </fill>
    <fill>
      <gradientFill>
        <stop position="0">
          <color rgb="FFFAC092"/>
        </stop>
        <stop position="0.5">
          <color rgb="FFE95721"/>
        </stop>
        <stop position="1">
          <color rgb="FFFAC092"/>
        </stop>
      </gradientFill>
    </fill>
    <fill>
      <gradientFill>
        <stop position="0">
          <color theme="0" tint="-5.0965910824915313E-2"/>
        </stop>
        <stop position="0.5">
          <color theme="0" tint="-0.1490218817712943"/>
        </stop>
        <stop position="1">
          <color theme="0" tint="-5.0965910824915313E-2"/>
        </stop>
      </gradientFill>
    </fill>
    <fill>
      <gradientFill type="path" left="0.5" right="0.5" top="0.5" bottom="0.5">
        <stop position="0">
          <color rgb="FFE95721"/>
        </stop>
        <stop position="1">
          <color rgb="FFFAC092"/>
        </stop>
      </gradientFill>
    </fill>
    <fill>
      <gradientFill type="path" left="0.5" right="0.5" top="0.5" bottom="0.5">
        <stop position="0">
          <color theme="9" tint="0.40000610370189521"/>
        </stop>
        <stop position="1">
          <color theme="9" tint="-0.25098422193060094"/>
        </stop>
      </gradientFill>
    </fill>
    <fill>
      <patternFill patternType="solid">
        <fgColor theme="9" tint="0.59996337778862885"/>
        <bgColor auto="1"/>
      </patternFill>
    </fill>
    <fill>
      <patternFill patternType="solid">
        <fgColor theme="9" tint="0.59999389629810485"/>
        <bgColor indexed="64"/>
      </patternFill>
    </fill>
    <fill>
      <patternFill patternType="solid">
        <fgColor rgb="FF92D050"/>
        <bgColor indexed="64"/>
      </patternFill>
    </fill>
    <fill>
      <gradientFill degree="180">
        <stop position="0">
          <color theme="9" tint="0.59999389629810485"/>
        </stop>
        <stop position="1">
          <color theme="9"/>
        </stop>
      </gradientFill>
    </fill>
    <fill>
      <gradientFill>
        <stop position="0">
          <color theme="9" tint="0.59999389629810485"/>
        </stop>
        <stop position="1">
          <color theme="9" tint="0.80001220740379042"/>
        </stop>
      </gradientFill>
    </fill>
    <fill>
      <gradientFill degree="180">
        <stop position="0">
          <color theme="0"/>
        </stop>
        <stop position="1">
          <color theme="9" tint="0.80001220740379042"/>
        </stop>
      </gradientFill>
    </fill>
    <fill>
      <gradientFill degree="90">
        <stop position="0">
          <color theme="0"/>
        </stop>
        <stop position="1">
          <color rgb="FF8E8E8E"/>
        </stop>
      </gradientFill>
    </fill>
    <fill>
      <gradientFill degree="270">
        <stop position="0">
          <color theme="0"/>
        </stop>
        <stop position="1">
          <color rgb="FF8E8E8E"/>
        </stop>
      </gradientFill>
    </fill>
    <fill>
      <gradientFill degree="180">
        <stop position="0">
          <color theme="0"/>
        </stop>
        <stop position="1">
          <color rgb="FF8E8E8E"/>
        </stop>
      </gradientFill>
    </fill>
    <fill>
      <patternFill patternType="solid">
        <fgColor theme="0"/>
        <bgColor auto="1"/>
      </patternFill>
    </fill>
    <fill>
      <gradientFill degree="90">
        <stop position="0">
          <color rgb="FF8E8E8E"/>
        </stop>
        <stop position="1">
          <color rgb="FF898477"/>
        </stop>
      </gradientFill>
    </fill>
    <fill>
      <gradientFill degree="270">
        <stop position="0">
          <color rgb="FF8E8E8E"/>
        </stop>
        <stop position="1">
          <color rgb="FF898477"/>
        </stop>
      </gradientFill>
    </fill>
    <fill>
      <gradientFill degree="90">
        <stop position="0">
          <color rgb="FF8E8E8E"/>
        </stop>
        <stop position="0.5">
          <color rgb="FF898477"/>
        </stop>
        <stop position="1">
          <color rgb="FF8E8E8E"/>
        </stop>
      </gradientFill>
    </fill>
    <fill>
      <patternFill patternType="solid">
        <fgColor theme="6" tint="0.59999389629810485"/>
        <bgColor indexed="64"/>
      </patternFill>
    </fill>
    <fill>
      <gradientFill degree="90">
        <stop position="0">
          <color theme="2" tint="-0.74901577806939912"/>
        </stop>
        <stop position="0.5">
          <color theme="1"/>
        </stop>
        <stop position="1">
          <color theme="2" tint="-0.74901577806939912"/>
        </stop>
      </gradientFill>
    </fill>
    <fill>
      <gradientFill type="path" left="0.5" right="0.5" top="0.5" bottom="0.5">
        <stop position="0">
          <color rgb="FFFFFF00"/>
        </stop>
        <stop position="1">
          <color theme="9"/>
        </stop>
      </gradientFill>
    </fill>
    <fill>
      <gradientFill>
        <stop position="0">
          <color rgb="FFD9D9D9"/>
        </stop>
        <stop position="0.5">
          <color rgb="FFA6A6A6"/>
        </stop>
        <stop position="1">
          <color rgb="FFD9D9D9"/>
        </stop>
      </gradientFill>
    </fill>
    <fill>
      <gradientFill type="path" left="0.5" right="0.5" top="0.5" bottom="0.5">
        <stop position="0">
          <color theme="9"/>
        </stop>
        <stop position="1">
          <color theme="9" tint="0.80001220740379042"/>
        </stop>
      </gradientFill>
    </fill>
    <fill>
      <gradientFill type="path" left="0.5" right="0.5" top="0.5" bottom="0.5">
        <stop position="0">
          <color rgb="FFFF7575"/>
        </stop>
        <stop position="1">
          <color theme="5" tint="0.80001220740379042"/>
        </stop>
      </gradientFill>
    </fill>
    <fill>
      <gradientFill type="path" left="0.5" right="0.5" top="0.5" bottom="0.5">
        <stop position="0">
          <color theme="9" tint="0.80001220740379042"/>
        </stop>
        <stop position="1">
          <color rgb="FFFFFF00"/>
        </stop>
      </gradientFill>
    </fill>
    <fill>
      <gradientFill degree="90">
        <stop position="0">
          <color theme="0" tint="-0.1490218817712943"/>
        </stop>
        <stop position="0.5">
          <color theme="1"/>
        </stop>
        <stop position="1">
          <color theme="0" tint="-0.1490218817712943"/>
        </stop>
      </gradientFill>
    </fill>
    <fill>
      <patternFill patternType="solid">
        <fgColor theme="0" tint="-4.9989318521683403E-2"/>
        <bgColor theme="9" tint="0.79998168889431442"/>
      </patternFill>
    </fill>
    <fill>
      <patternFill patternType="solid">
        <fgColor theme="0" tint="-0.1490218817712943"/>
        <bgColor indexed="64"/>
      </patternFill>
    </fill>
    <fill>
      <patternFill patternType="solid">
        <fgColor rgb="FF92D050"/>
        <bgColor auto="1"/>
      </patternFill>
    </fill>
    <fill>
      <patternFill patternType="solid">
        <fgColor rgb="FF92D050"/>
        <bgColor theme="9" tint="0.79998168889431442"/>
      </patternFill>
    </fill>
    <fill>
      <gradientFill type="path" left="0.5" right="0.5" top="0.5" bottom="0.5">
        <stop position="0">
          <color theme="0"/>
        </stop>
        <stop position="1">
          <color theme="0" tint="-0.34900967436750391"/>
        </stop>
      </gradientFill>
    </fill>
    <fill>
      <patternFill patternType="solid">
        <fgColor theme="0" tint="-0.14996795556505021"/>
        <bgColor indexed="64"/>
      </patternFill>
    </fill>
    <fill>
      <patternFill patternType="solid">
        <fgColor rgb="FFFFFF00"/>
        <bgColor rgb="FFFFFF00"/>
      </patternFill>
    </fill>
    <fill>
      <patternFill patternType="darkUp">
        <bgColor rgb="FFFFFF00"/>
      </patternFill>
    </fill>
    <fill>
      <patternFill patternType="solid">
        <fgColor theme="5" tint="0.79998168889431442"/>
        <bgColor indexed="64"/>
      </patternFill>
    </fill>
  </fills>
  <borders count="186">
    <border>
      <left/>
      <right/>
      <top/>
      <bottom/>
      <diagonal/>
    </border>
    <border>
      <left style="thin">
        <color indexed="64"/>
      </left>
      <right style="thin">
        <color indexed="64"/>
      </right>
      <top style="thin">
        <color indexed="64"/>
      </top>
      <bottom style="thin">
        <color indexed="64"/>
      </bottom>
      <diagonal/>
    </border>
    <border>
      <left style="thin">
        <color indexed="8"/>
      </left>
      <right style="thin">
        <color indexed="8"/>
      </right>
      <top style="thin">
        <color indexed="8"/>
      </top>
      <bottom style="thin">
        <color indexed="8"/>
      </bottom>
      <diagonal/>
    </border>
    <border>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style="thin">
        <color indexed="64"/>
      </right>
      <top/>
      <bottom/>
      <diagonal/>
    </border>
    <border>
      <left style="thin">
        <color indexed="64"/>
      </left>
      <right style="thin">
        <color indexed="64"/>
      </right>
      <top/>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top/>
      <bottom/>
      <diagonal/>
    </border>
    <border>
      <left/>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auto="1"/>
      </left>
      <right style="thin">
        <color auto="1"/>
      </right>
      <top style="double">
        <color auto="1"/>
      </top>
      <bottom style="thin">
        <color auto="1"/>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thin">
        <color indexed="64"/>
      </right>
      <top style="double">
        <color indexed="64"/>
      </top>
      <bottom/>
      <diagonal/>
    </border>
    <border>
      <left style="thick">
        <color rgb="FFE95721"/>
      </left>
      <right style="thick">
        <color rgb="FFE95721"/>
      </right>
      <top style="thick">
        <color rgb="FFE95721"/>
      </top>
      <bottom style="thick">
        <color rgb="FFE95721"/>
      </bottom>
      <diagonal/>
    </border>
    <border>
      <left style="thin">
        <color indexed="64"/>
      </left>
      <right style="thin">
        <color indexed="64"/>
      </right>
      <top/>
      <bottom style="double">
        <color indexed="64"/>
      </bottom>
      <diagonal/>
    </border>
    <border>
      <left/>
      <right style="double">
        <color auto="1"/>
      </right>
      <top/>
      <bottom/>
      <diagonal/>
    </border>
    <border>
      <left style="thin">
        <color indexed="64"/>
      </left>
      <right style="double">
        <color auto="1"/>
      </right>
      <top style="double">
        <color indexed="64"/>
      </top>
      <bottom/>
      <diagonal/>
    </border>
    <border>
      <left style="thin">
        <color indexed="64"/>
      </left>
      <right style="double">
        <color auto="1"/>
      </right>
      <top/>
      <bottom/>
      <diagonal/>
    </border>
    <border>
      <left style="thin">
        <color indexed="64"/>
      </left>
      <right style="double">
        <color auto="1"/>
      </right>
      <top/>
      <bottom style="double">
        <color indexed="64"/>
      </bottom>
      <diagonal/>
    </border>
    <border>
      <left/>
      <right style="double">
        <color auto="1"/>
      </right>
      <top style="medium">
        <color indexed="64"/>
      </top>
      <bottom/>
      <diagonal/>
    </border>
    <border>
      <left/>
      <right style="double">
        <color auto="1"/>
      </right>
      <top/>
      <bottom style="medium">
        <color indexed="64"/>
      </bottom>
      <diagonal/>
    </border>
    <border>
      <left/>
      <right style="thin">
        <color indexed="64"/>
      </right>
      <top style="double">
        <color auto="1"/>
      </top>
      <bottom/>
      <diagonal/>
    </border>
    <border>
      <left/>
      <right/>
      <top style="double">
        <color indexed="64"/>
      </top>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right/>
      <top/>
      <bottom style="double">
        <color indexed="64"/>
      </bottom>
      <diagonal/>
    </border>
    <border>
      <left/>
      <right style="thin">
        <color indexed="64"/>
      </right>
      <top/>
      <bottom style="medium">
        <color indexed="64"/>
      </bottom>
      <diagonal/>
    </border>
    <border>
      <left style="medium">
        <color indexed="64"/>
      </left>
      <right/>
      <top style="medium">
        <color indexed="64"/>
      </top>
      <bottom style="thin">
        <color indexed="64"/>
      </bottom>
      <diagonal/>
    </border>
    <border>
      <left style="thin">
        <color indexed="64"/>
      </left>
      <right/>
      <top style="double">
        <color indexed="64"/>
      </top>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thin">
        <color rgb="FFFF0000"/>
      </left>
      <right style="thin">
        <color rgb="FFFF0000"/>
      </right>
      <top style="double">
        <color rgb="FFFF0000"/>
      </top>
      <bottom style="double">
        <color rgb="FFFF0000"/>
      </bottom>
      <diagonal/>
    </border>
    <border>
      <left style="medium">
        <color indexed="64"/>
      </left>
      <right style="medium">
        <color indexed="64"/>
      </right>
      <top/>
      <bottom/>
      <diagonal/>
    </border>
    <border>
      <left style="medium">
        <color indexed="64"/>
      </left>
      <right style="thin">
        <color indexed="64"/>
      </right>
      <top style="medium">
        <color indexed="64"/>
      </top>
      <bottom style="dotted">
        <color indexed="64"/>
      </bottom>
      <diagonal/>
    </border>
    <border>
      <left style="thin">
        <color indexed="64"/>
      </left>
      <right style="thin">
        <color indexed="64"/>
      </right>
      <top style="medium">
        <color indexed="64"/>
      </top>
      <bottom style="dotted">
        <color indexed="64"/>
      </bottom>
      <diagonal/>
    </border>
    <border>
      <left style="thin">
        <color indexed="64"/>
      </left>
      <right style="medium">
        <color indexed="64"/>
      </right>
      <top style="medium">
        <color indexed="64"/>
      </top>
      <bottom style="dotted">
        <color indexed="64"/>
      </bottom>
      <diagonal/>
    </border>
    <border>
      <left style="medium">
        <color indexed="64"/>
      </left>
      <right style="thin">
        <color indexed="64"/>
      </right>
      <top style="dotted">
        <color indexed="64"/>
      </top>
      <bottom style="dotted">
        <color indexed="64"/>
      </bottom>
      <diagonal/>
    </border>
    <border>
      <left style="thin">
        <color indexed="64"/>
      </left>
      <right style="thin">
        <color indexed="64"/>
      </right>
      <top style="dotted">
        <color indexed="64"/>
      </top>
      <bottom style="dotted">
        <color indexed="64"/>
      </bottom>
      <diagonal/>
    </border>
    <border>
      <left style="thin">
        <color indexed="64"/>
      </left>
      <right style="medium">
        <color indexed="64"/>
      </right>
      <top style="dotted">
        <color indexed="64"/>
      </top>
      <bottom style="dotted">
        <color indexed="64"/>
      </bottom>
      <diagonal/>
    </border>
    <border>
      <left style="medium">
        <color indexed="64"/>
      </left>
      <right style="thin">
        <color indexed="64"/>
      </right>
      <top style="dotted">
        <color indexed="64"/>
      </top>
      <bottom style="double">
        <color indexed="64"/>
      </bottom>
      <diagonal/>
    </border>
    <border>
      <left style="thin">
        <color indexed="64"/>
      </left>
      <right style="thin">
        <color indexed="64"/>
      </right>
      <top style="dotted">
        <color indexed="64"/>
      </top>
      <bottom style="double">
        <color indexed="64"/>
      </bottom>
      <diagonal/>
    </border>
    <border>
      <left style="thin">
        <color indexed="64"/>
      </left>
      <right style="medium">
        <color indexed="64"/>
      </right>
      <top style="dotted">
        <color indexed="64"/>
      </top>
      <bottom style="double">
        <color indexed="64"/>
      </bottom>
      <diagonal/>
    </border>
    <border>
      <left style="thin">
        <color indexed="64"/>
      </left>
      <right/>
      <top style="double">
        <color auto="1"/>
      </top>
      <bottom style="double">
        <color indexed="64"/>
      </bottom>
      <diagonal/>
    </border>
    <border>
      <left/>
      <right/>
      <top style="double">
        <color auto="1"/>
      </top>
      <bottom style="double">
        <color indexed="64"/>
      </bottom>
      <diagonal/>
    </border>
    <border>
      <left/>
      <right style="thin">
        <color indexed="64"/>
      </right>
      <top style="double">
        <color auto="1"/>
      </top>
      <bottom style="double">
        <color indexed="64"/>
      </bottom>
      <diagonal/>
    </border>
    <border>
      <left style="mediumDashed">
        <color rgb="FFFF0000"/>
      </left>
      <right style="mediumDashed">
        <color rgb="FFFF0000"/>
      </right>
      <top style="mediumDashed">
        <color rgb="FFFF0000"/>
      </top>
      <bottom style="mediumDashed">
        <color rgb="FFFF0000"/>
      </bottom>
      <diagonal/>
    </border>
    <border>
      <left/>
      <right style="thin">
        <color indexed="64"/>
      </right>
      <top style="dotted">
        <color indexed="64"/>
      </top>
      <bottom style="dotted">
        <color indexed="64"/>
      </bottom>
      <diagonal/>
    </border>
    <border>
      <left style="thin">
        <color indexed="64"/>
      </left>
      <right/>
      <top style="dotted">
        <color indexed="64"/>
      </top>
      <bottom style="dotted">
        <color indexed="64"/>
      </bottom>
      <diagonal/>
    </border>
    <border>
      <left style="double">
        <color rgb="FFFF0000"/>
      </left>
      <right/>
      <top style="double">
        <color rgb="FFFF0000"/>
      </top>
      <bottom style="double">
        <color rgb="FFFF0000"/>
      </bottom>
      <diagonal/>
    </border>
    <border>
      <left/>
      <right/>
      <top style="double">
        <color rgb="FFFF0000"/>
      </top>
      <bottom style="double">
        <color rgb="FFFF0000"/>
      </bottom>
      <diagonal/>
    </border>
    <border>
      <left style="thin">
        <color rgb="FFFF0000"/>
      </left>
      <right style="thin">
        <color rgb="FFFF0000"/>
      </right>
      <top style="double">
        <color rgb="FFFF0000"/>
      </top>
      <bottom/>
      <diagonal/>
    </border>
    <border>
      <left style="thin">
        <color rgb="FFFF0000"/>
      </left>
      <right style="double">
        <color rgb="FFFF0000"/>
      </right>
      <top style="double">
        <color rgb="FFFF0000"/>
      </top>
      <bottom style="double">
        <color rgb="FFFF0000"/>
      </bottom>
      <diagonal/>
    </border>
    <border>
      <left style="double">
        <color rgb="FFFF0000"/>
      </left>
      <right/>
      <top style="double">
        <color rgb="FFFF0000"/>
      </top>
      <bottom style="thin">
        <color rgb="FFFF0000"/>
      </bottom>
      <diagonal/>
    </border>
    <border>
      <left/>
      <right style="thin">
        <color rgb="FFFF0000"/>
      </right>
      <top style="double">
        <color rgb="FFFF0000"/>
      </top>
      <bottom style="thin">
        <color rgb="FFFF0000"/>
      </bottom>
      <diagonal/>
    </border>
    <border>
      <left style="thin">
        <color rgb="FFFF0000"/>
      </left>
      <right/>
      <top style="double">
        <color rgb="FFFF0000"/>
      </top>
      <bottom style="thin">
        <color rgb="FFFF0000"/>
      </bottom>
      <diagonal/>
    </border>
    <border>
      <left/>
      <right style="double">
        <color rgb="FFFF0000"/>
      </right>
      <top style="double">
        <color rgb="FFFF0000"/>
      </top>
      <bottom style="thin">
        <color rgb="FFFF0000"/>
      </bottom>
      <diagonal/>
    </border>
    <border>
      <left style="double">
        <color rgb="FFFF0000"/>
      </left>
      <right/>
      <top style="thin">
        <color rgb="FFFF0000"/>
      </top>
      <bottom style="double">
        <color rgb="FFFF0000"/>
      </bottom>
      <diagonal/>
    </border>
    <border>
      <left/>
      <right style="thin">
        <color rgb="FFFF0000"/>
      </right>
      <top style="thin">
        <color rgb="FFFF0000"/>
      </top>
      <bottom style="double">
        <color rgb="FFFF0000"/>
      </bottom>
      <diagonal/>
    </border>
    <border>
      <left style="thin">
        <color rgb="FFFF0000"/>
      </left>
      <right/>
      <top style="thin">
        <color rgb="FFFF0000"/>
      </top>
      <bottom style="double">
        <color rgb="FFFF0000"/>
      </bottom>
      <diagonal/>
    </border>
    <border>
      <left/>
      <right style="double">
        <color rgb="FFFF0000"/>
      </right>
      <top style="thin">
        <color rgb="FFFF0000"/>
      </top>
      <bottom style="double">
        <color rgb="FFFF0000"/>
      </bottom>
      <diagonal/>
    </border>
    <border>
      <left style="thin">
        <color theme="1"/>
      </left>
      <right style="thin">
        <color theme="1"/>
      </right>
      <top style="thin">
        <color theme="1"/>
      </top>
      <bottom style="thin">
        <color theme="1"/>
      </bottom>
      <diagonal/>
    </border>
    <border>
      <left style="thin">
        <color theme="1"/>
      </left>
      <right/>
      <top style="thin">
        <color theme="1"/>
      </top>
      <bottom style="thin">
        <color theme="1"/>
      </bottom>
      <diagonal/>
    </border>
    <border>
      <left/>
      <right style="thin">
        <color theme="1"/>
      </right>
      <top style="thin">
        <color theme="1"/>
      </top>
      <bottom style="thin">
        <color theme="1"/>
      </bottom>
      <diagonal/>
    </border>
    <border>
      <left style="thin">
        <color theme="0"/>
      </left>
      <right/>
      <top style="double">
        <color rgb="FFFF0000"/>
      </top>
      <bottom style="double">
        <color rgb="FFFF0000"/>
      </bottom>
      <diagonal/>
    </border>
    <border>
      <left/>
      <right style="thin">
        <color theme="0"/>
      </right>
      <top style="double">
        <color rgb="FFFF0000"/>
      </top>
      <bottom style="double">
        <color rgb="FFFF0000"/>
      </bottom>
      <diagonal/>
    </border>
    <border>
      <left/>
      <right style="double">
        <color rgb="FFFF0000"/>
      </right>
      <top style="double">
        <color rgb="FFFF0000"/>
      </top>
      <bottom style="double">
        <color rgb="FFFF0000"/>
      </bottom>
      <diagonal/>
    </border>
    <border>
      <left style="thin">
        <color rgb="FFFF0000"/>
      </left>
      <right/>
      <top style="double">
        <color rgb="FFFF0000"/>
      </top>
      <bottom style="double">
        <color rgb="FFFF0000"/>
      </bottom>
      <diagonal/>
    </border>
    <border>
      <left style="thin">
        <color indexed="64"/>
      </left>
      <right/>
      <top/>
      <bottom style="mediumDashed">
        <color rgb="FFFF0000"/>
      </bottom>
      <diagonal/>
    </border>
    <border>
      <left style="thin">
        <color indexed="64"/>
      </left>
      <right style="thin">
        <color indexed="64"/>
      </right>
      <top/>
      <bottom style="mediumDashed">
        <color rgb="FFFF0000"/>
      </bottom>
      <diagonal/>
    </border>
    <border>
      <left style="thin">
        <color theme="1"/>
      </left>
      <right/>
      <top style="mediumDashed">
        <color rgb="FFFF0000"/>
      </top>
      <bottom style="thin">
        <color theme="1"/>
      </bottom>
      <diagonal/>
    </border>
    <border>
      <left style="double">
        <color indexed="64"/>
      </left>
      <right style="thin">
        <color indexed="64"/>
      </right>
      <top style="thin">
        <color indexed="64"/>
      </top>
      <bottom style="thin">
        <color indexed="64"/>
      </bottom>
      <diagonal/>
    </border>
    <border>
      <left style="double">
        <color indexed="64"/>
      </left>
      <right style="thin">
        <color indexed="64"/>
      </right>
      <top/>
      <bottom style="thin">
        <color indexed="64"/>
      </bottom>
      <diagonal/>
    </border>
    <border>
      <left style="mediumDashed">
        <color rgb="FFFF0000"/>
      </left>
      <right/>
      <top style="mediumDashed">
        <color rgb="FFFF0000"/>
      </top>
      <bottom/>
      <diagonal/>
    </border>
    <border>
      <left/>
      <right/>
      <top style="mediumDashed">
        <color rgb="FFFF0000"/>
      </top>
      <bottom/>
      <diagonal/>
    </border>
    <border>
      <left/>
      <right style="mediumDashed">
        <color rgb="FFFF0000"/>
      </right>
      <top style="mediumDashed">
        <color rgb="FFFF0000"/>
      </top>
      <bottom/>
      <diagonal/>
    </border>
    <border>
      <left style="mediumDashed">
        <color rgb="FFFF0000"/>
      </left>
      <right/>
      <top/>
      <bottom/>
      <diagonal/>
    </border>
    <border>
      <left/>
      <right style="mediumDashed">
        <color rgb="FFFF0000"/>
      </right>
      <top/>
      <bottom/>
      <diagonal/>
    </border>
    <border>
      <left style="mediumDashed">
        <color rgb="FFFF0000"/>
      </left>
      <right/>
      <top/>
      <bottom style="mediumDashed">
        <color rgb="FFFF0000"/>
      </bottom>
      <diagonal/>
    </border>
    <border>
      <left/>
      <right/>
      <top/>
      <bottom style="mediumDashed">
        <color rgb="FFFF0000"/>
      </bottom>
      <diagonal/>
    </border>
    <border>
      <left/>
      <right style="mediumDashed">
        <color rgb="FFFF0000"/>
      </right>
      <top/>
      <bottom style="mediumDashed">
        <color rgb="FFFF0000"/>
      </bottom>
      <diagonal/>
    </border>
    <border>
      <left style="double">
        <color rgb="FFFF0000"/>
      </left>
      <right/>
      <top/>
      <bottom style="double">
        <color rgb="FFFF0000"/>
      </bottom>
      <diagonal/>
    </border>
    <border>
      <left/>
      <right style="thin">
        <color rgb="FFFF0000"/>
      </right>
      <top/>
      <bottom style="double">
        <color rgb="FFFF0000"/>
      </bottom>
      <diagonal/>
    </border>
    <border>
      <left style="thin">
        <color rgb="FFFF0000"/>
      </left>
      <right/>
      <top/>
      <bottom style="double">
        <color rgb="FFFF0000"/>
      </bottom>
      <diagonal/>
    </border>
    <border>
      <left style="thin">
        <color rgb="FFFF0000"/>
      </left>
      <right style="thin">
        <color rgb="FFFF0000"/>
      </right>
      <top/>
      <bottom style="double">
        <color rgb="FFFF0000"/>
      </bottom>
      <diagonal/>
    </border>
    <border>
      <left style="thin">
        <color rgb="FFFF0000"/>
      </left>
      <right style="double">
        <color rgb="FFFF0000"/>
      </right>
      <top/>
      <bottom style="double">
        <color rgb="FFFF0000"/>
      </bottom>
      <diagonal/>
    </border>
    <border>
      <left/>
      <right style="thin">
        <color rgb="FFFF0000"/>
      </right>
      <top style="double">
        <color rgb="FFFF0000"/>
      </top>
      <bottom style="double">
        <color rgb="FFFF0000"/>
      </bottom>
      <diagonal/>
    </border>
    <border>
      <left style="thin">
        <color indexed="64"/>
      </left>
      <right/>
      <top style="thin">
        <color theme="9" tint="0.39997558519241921"/>
      </top>
      <bottom/>
      <diagonal/>
    </border>
    <border>
      <left style="double">
        <color theme="2" tint="-0.749961851863155"/>
      </left>
      <right style="double">
        <color theme="2" tint="-0.749961851863155"/>
      </right>
      <top style="double">
        <color theme="2" tint="-0.749961851863155"/>
      </top>
      <bottom/>
      <diagonal/>
    </border>
    <border>
      <left style="double">
        <color theme="2" tint="-0.749961851863155"/>
      </left>
      <right style="double">
        <color theme="2" tint="-0.749961851863155"/>
      </right>
      <top/>
      <bottom style="double">
        <color theme="2" tint="-0.749961851863155"/>
      </bottom>
      <diagonal/>
    </border>
    <border>
      <left style="thin">
        <color indexed="64"/>
      </left>
      <right/>
      <top style="thin">
        <color indexed="64"/>
      </top>
      <bottom style="double">
        <color indexed="64"/>
      </bottom>
      <diagonal/>
    </border>
    <border>
      <left style="thin">
        <color indexed="64"/>
      </left>
      <right style="thin">
        <color indexed="64"/>
      </right>
      <top style="double">
        <color theme="2" tint="-0.749961851863155"/>
      </top>
      <bottom style="double">
        <color indexed="64"/>
      </bottom>
      <diagonal/>
    </border>
    <border>
      <left/>
      <right style="thin">
        <color indexed="64"/>
      </right>
      <top style="thin">
        <color indexed="64"/>
      </top>
      <bottom style="double">
        <color indexed="64"/>
      </bottom>
      <diagonal/>
    </border>
    <border>
      <left style="thin">
        <color auto="1"/>
      </left>
      <right style="thin">
        <color auto="1"/>
      </right>
      <top style="thin">
        <color auto="1"/>
      </top>
      <bottom style="dashed">
        <color auto="1"/>
      </bottom>
      <diagonal/>
    </border>
    <border>
      <left style="thin">
        <color auto="1"/>
      </left>
      <right style="thin">
        <color auto="1"/>
      </right>
      <top style="dashed">
        <color auto="1"/>
      </top>
      <bottom style="dashed">
        <color auto="1"/>
      </bottom>
      <diagonal/>
    </border>
    <border>
      <left style="thin">
        <color auto="1"/>
      </left>
      <right style="thin">
        <color auto="1"/>
      </right>
      <top style="dashed">
        <color auto="1"/>
      </top>
      <bottom style="double">
        <color auto="1"/>
      </bottom>
      <diagonal/>
    </border>
    <border>
      <left style="thin">
        <color theme="9"/>
      </left>
      <right style="thin">
        <color theme="9"/>
      </right>
      <top style="thin">
        <color theme="9"/>
      </top>
      <bottom style="thin">
        <color theme="9"/>
      </bottom>
      <diagonal/>
    </border>
    <border>
      <left style="thick">
        <color theme="0"/>
      </left>
      <right/>
      <top/>
      <bottom/>
      <diagonal/>
    </border>
    <border>
      <left/>
      <right style="thick">
        <color theme="0"/>
      </right>
      <top/>
      <bottom/>
      <diagonal/>
    </border>
    <border>
      <left/>
      <right style="medium">
        <color theme="9" tint="-0.24994659260841701"/>
      </right>
      <top style="thin">
        <color theme="9" tint="-0.24994659260841701"/>
      </top>
      <bottom style="thin">
        <color theme="9" tint="-0.24994659260841701"/>
      </bottom>
      <diagonal/>
    </border>
    <border>
      <left style="thin">
        <color auto="1"/>
      </left>
      <right style="thin">
        <color auto="1"/>
      </right>
      <top style="thin">
        <color auto="1"/>
      </top>
      <bottom style="thin">
        <color auto="1"/>
      </bottom>
      <diagonal/>
    </border>
    <border>
      <left style="thin">
        <color auto="1"/>
      </left>
      <right style="hair">
        <color auto="1"/>
      </right>
      <top style="thin">
        <color auto="1"/>
      </top>
      <bottom/>
      <diagonal/>
    </border>
    <border>
      <left style="hair">
        <color auto="1"/>
      </left>
      <right style="thin">
        <color auto="1"/>
      </right>
      <top style="thin">
        <color auto="1"/>
      </top>
      <bottom/>
      <diagonal/>
    </border>
    <border>
      <left style="dotted">
        <color theme="9" tint="-0.24994659260841701"/>
      </left>
      <right/>
      <top style="dotted">
        <color theme="9" tint="-0.24994659260841701"/>
      </top>
      <bottom/>
      <diagonal/>
    </border>
    <border>
      <left/>
      <right/>
      <top style="dotted">
        <color theme="9" tint="-0.24994659260841701"/>
      </top>
      <bottom/>
      <diagonal/>
    </border>
    <border>
      <left/>
      <right style="dotted">
        <color theme="9" tint="-0.24994659260841701"/>
      </right>
      <top style="dotted">
        <color theme="9" tint="-0.24994659260841701"/>
      </top>
      <bottom/>
      <diagonal/>
    </border>
    <border>
      <left style="dotted">
        <color theme="9" tint="-0.24994659260841701"/>
      </left>
      <right/>
      <top/>
      <bottom/>
      <diagonal/>
    </border>
    <border>
      <left style="dotted">
        <color theme="9" tint="-0.24994659260841701"/>
      </left>
      <right/>
      <top/>
      <bottom style="dotted">
        <color theme="9" tint="-0.24994659260841701"/>
      </bottom>
      <diagonal/>
    </border>
    <border>
      <left/>
      <right/>
      <top/>
      <bottom style="dotted">
        <color theme="9" tint="-0.24994659260841701"/>
      </bottom>
      <diagonal/>
    </border>
    <border>
      <left style="dotted">
        <color rgb="FFFF0000"/>
      </left>
      <right style="dotted">
        <color rgb="FFFF0000"/>
      </right>
      <top style="dotted">
        <color rgb="FFFF0000"/>
      </top>
      <bottom style="dotted">
        <color rgb="FFFF0000"/>
      </bottom>
      <diagonal/>
    </border>
    <border>
      <left/>
      <right style="dotted">
        <color theme="9" tint="-0.24994659260841701"/>
      </right>
      <top/>
      <bottom/>
      <diagonal/>
    </border>
    <border>
      <left style="thick">
        <color rgb="FF8E8E8E"/>
      </left>
      <right/>
      <top style="thin">
        <color theme="9" tint="-0.24994659260841701"/>
      </top>
      <bottom style="thin">
        <color theme="9" tint="-0.24994659260841701"/>
      </bottom>
      <diagonal/>
    </border>
    <border>
      <left style="thin">
        <color indexed="64"/>
      </left>
      <right style="thin">
        <color indexed="64"/>
      </right>
      <top style="thin">
        <color indexed="64"/>
      </top>
      <bottom/>
      <diagonal/>
    </border>
    <border>
      <left/>
      <right/>
      <top style="thin">
        <color indexed="64"/>
      </top>
      <bottom/>
      <diagonal/>
    </border>
    <border>
      <left style="thin">
        <color theme="9"/>
      </left>
      <right/>
      <top style="thin">
        <color theme="9"/>
      </top>
      <bottom/>
      <diagonal/>
    </border>
    <border>
      <left style="thin">
        <color theme="9"/>
      </left>
      <right/>
      <top style="double">
        <color indexed="64"/>
      </top>
      <bottom/>
      <diagonal/>
    </border>
    <border>
      <left style="thin">
        <color theme="9"/>
      </left>
      <right/>
      <top style="thin">
        <color theme="9" tint="0.39997558519241921"/>
      </top>
      <bottom/>
      <diagonal/>
    </border>
    <border>
      <left style="thin">
        <color theme="9"/>
      </left>
      <right style="double">
        <color auto="1"/>
      </right>
      <top style="thin">
        <color theme="9" tint="0.39997558519241921"/>
      </top>
      <bottom/>
      <diagonal/>
    </border>
    <border>
      <left style="dashed">
        <color rgb="FFFF0000"/>
      </left>
      <right style="dashed">
        <color rgb="FFFF0000"/>
      </right>
      <top style="dashed">
        <color rgb="FFFF0000"/>
      </top>
      <bottom style="dashed">
        <color rgb="FFFF0000"/>
      </bottom>
      <diagonal/>
    </border>
    <border>
      <left style="hair">
        <color auto="1"/>
      </left>
      <right style="hair">
        <color auto="1"/>
      </right>
      <top style="hair">
        <color auto="1"/>
      </top>
      <bottom style="hair">
        <color auto="1"/>
      </bottom>
      <diagonal/>
    </border>
    <border>
      <left style="thin">
        <color indexed="64"/>
      </left>
      <right/>
      <top style="thin">
        <color indexed="64"/>
      </top>
      <bottom/>
      <diagonal/>
    </border>
    <border>
      <left style="thin">
        <color theme="9"/>
      </left>
      <right/>
      <top/>
      <bottom/>
      <diagonal/>
    </border>
    <border>
      <left/>
      <right style="thin">
        <color indexed="64"/>
      </right>
      <top style="thin">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right style="double">
        <color auto="1"/>
      </right>
      <top style="thin">
        <color auto="1"/>
      </top>
      <bottom style="thin">
        <color auto="1"/>
      </bottom>
      <diagonal/>
    </border>
    <border>
      <left/>
      <right/>
      <top style="thin">
        <color auto="1"/>
      </top>
      <bottom style="thin">
        <color auto="1"/>
      </bottom>
      <diagonal/>
    </border>
    <border>
      <left style="thin">
        <color auto="1"/>
      </left>
      <right style="thin">
        <color theme="0" tint="-0.14996795556505021"/>
      </right>
      <top style="thin">
        <color auto="1"/>
      </top>
      <bottom style="thin">
        <color auto="1"/>
      </bottom>
      <diagonal/>
    </border>
    <border>
      <left style="thin">
        <color theme="0" tint="-0.14996795556505021"/>
      </left>
      <right style="double">
        <color auto="1"/>
      </right>
      <top style="thin">
        <color auto="1"/>
      </top>
      <bottom style="thin">
        <color auto="1"/>
      </bottom>
      <diagonal/>
    </border>
    <border>
      <left style="thin">
        <color theme="1"/>
      </left>
      <right style="thin">
        <color theme="0" tint="-0.24994659260841701"/>
      </right>
      <top style="thin">
        <color auto="1"/>
      </top>
      <bottom style="thin">
        <color theme="1"/>
      </bottom>
      <diagonal/>
    </border>
    <border>
      <left style="thin">
        <color theme="0" tint="-0.24994659260841701"/>
      </left>
      <right style="thin">
        <color theme="0" tint="-0.24994659260841701"/>
      </right>
      <top style="thin">
        <color auto="1"/>
      </top>
      <bottom style="thin">
        <color theme="1"/>
      </bottom>
      <diagonal/>
    </border>
    <border>
      <left style="thin">
        <color theme="0" tint="-0.24994659260841701"/>
      </left>
      <right style="double">
        <color auto="1"/>
      </right>
      <top style="thin">
        <color auto="1"/>
      </top>
      <bottom style="thin">
        <color theme="1"/>
      </bottom>
      <diagonal/>
    </border>
    <border>
      <left style="thin">
        <color theme="0" tint="-0.14996795556505021"/>
      </left>
      <right/>
      <top style="thin">
        <color indexed="64"/>
      </top>
      <bottom style="thin">
        <color indexed="64"/>
      </bottom>
      <diagonal/>
    </border>
    <border>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theme="1"/>
      </top>
      <bottom style="thin">
        <color indexed="64"/>
      </bottom>
      <diagonal/>
    </border>
    <border>
      <left style="thick">
        <color auto="1"/>
      </left>
      <right style="hair">
        <color auto="1"/>
      </right>
      <top style="thin">
        <color auto="1"/>
      </top>
      <bottom style="thin">
        <color auto="1"/>
      </bottom>
      <diagonal/>
    </border>
    <border>
      <left style="hair">
        <color auto="1"/>
      </left>
      <right style="double">
        <color auto="1"/>
      </right>
      <top style="thin">
        <color auto="1"/>
      </top>
      <bottom style="thin">
        <color auto="1"/>
      </bottom>
      <diagonal/>
    </border>
    <border>
      <left style="thick">
        <color auto="1"/>
      </left>
      <right/>
      <top style="thin">
        <color indexed="64"/>
      </top>
      <bottom style="thin">
        <color indexed="64"/>
      </bottom>
      <diagonal/>
    </border>
    <border>
      <left style="hair">
        <color auto="1"/>
      </left>
      <right style="thick">
        <color auto="1"/>
      </right>
      <top style="thin">
        <color auto="1"/>
      </top>
      <bottom style="thin">
        <color auto="1"/>
      </bottom>
      <diagonal/>
    </border>
    <border>
      <left style="thick">
        <color auto="1"/>
      </left>
      <right style="hair">
        <color auto="1"/>
      </right>
      <top style="thin">
        <color auto="1"/>
      </top>
      <bottom style="thick">
        <color auto="1"/>
      </bottom>
      <diagonal/>
    </border>
    <border>
      <left style="hair">
        <color auto="1"/>
      </left>
      <right style="double">
        <color auto="1"/>
      </right>
      <top style="thin">
        <color auto="1"/>
      </top>
      <bottom style="thick">
        <color auto="1"/>
      </bottom>
      <diagonal/>
    </border>
    <border>
      <left style="thick">
        <color auto="1"/>
      </left>
      <right/>
      <top style="thin">
        <color auto="1"/>
      </top>
      <bottom style="thick">
        <color auto="1"/>
      </bottom>
      <diagonal/>
    </border>
    <border>
      <left/>
      <right/>
      <top style="thin">
        <color auto="1"/>
      </top>
      <bottom style="thick">
        <color auto="1"/>
      </bottom>
      <diagonal/>
    </border>
    <border>
      <left style="hair">
        <color auto="1"/>
      </left>
      <right style="thick">
        <color auto="1"/>
      </right>
      <top style="thin">
        <color auto="1"/>
      </top>
      <bottom style="thick">
        <color auto="1"/>
      </bottom>
      <diagonal/>
    </border>
    <border>
      <left style="thick">
        <color rgb="FF8E8E8E"/>
      </left>
      <right style="thin">
        <color theme="0" tint="-0.24994659260841701"/>
      </right>
      <top style="thin">
        <color theme="1"/>
      </top>
      <bottom style="thin">
        <color theme="1"/>
      </bottom>
      <diagonal/>
    </border>
    <border>
      <left style="thin">
        <color theme="0" tint="-0.24994659260841701"/>
      </left>
      <right style="thin">
        <color theme="0" tint="-0.24994659260841701"/>
      </right>
      <top style="thin">
        <color theme="1"/>
      </top>
      <bottom style="thin">
        <color theme="1"/>
      </bottom>
      <diagonal/>
    </border>
    <border>
      <left style="thin">
        <color theme="0" tint="-0.24994659260841701"/>
      </left>
      <right/>
      <top style="thin">
        <color theme="1"/>
      </top>
      <bottom style="thin">
        <color theme="1"/>
      </bottom>
      <diagonal/>
    </border>
    <border>
      <left/>
      <right/>
      <top/>
      <bottom style="dotted">
        <color rgb="FFFF0000"/>
      </bottom>
      <diagonal/>
    </border>
    <border>
      <left style="thin">
        <color theme="0" tint="-0.14996795556505021"/>
      </left>
      <right style="thin">
        <color theme="0" tint="-0.14996795556505021"/>
      </right>
      <top/>
      <bottom style="thin">
        <color indexed="64"/>
      </bottom>
      <diagonal/>
    </border>
    <border>
      <left style="double">
        <color auto="1"/>
      </left>
      <right/>
      <top style="double">
        <color auto="1"/>
      </top>
      <bottom/>
      <diagonal/>
    </border>
    <border>
      <left/>
      <right style="double">
        <color auto="1"/>
      </right>
      <top style="double">
        <color auto="1"/>
      </top>
      <bottom/>
      <diagonal/>
    </border>
    <border>
      <left style="double">
        <color indexed="64"/>
      </left>
      <right/>
      <top/>
      <bottom/>
      <diagonal/>
    </border>
    <border>
      <left style="double">
        <color auto="1"/>
      </left>
      <right/>
      <top/>
      <bottom style="double">
        <color indexed="64"/>
      </bottom>
      <diagonal/>
    </border>
    <border>
      <left/>
      <right style="double">
        <color auto="1"/>
      </right>
      <top/>
      <bottom style="double">
        <color indexed="64"/>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style="medium">
        <color indexed="64"/>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right style="medium">
        <color indexed="64"/>
      </right>
      <top/>
      <bottom style="medium">
        <color indexed="64"/>
      </bottom>
      <diagonal/>
    </border>
    <border>
      <left style="thick">
        <color auto="1"/>
      </left>
      <right style="thick">
        <color auto="1"/>
      </right>
      <top style="thick">
        <color auto="1"/>
      </top>
      <bottom style="double">
        <color auto="1"/>
      </bottom>
      <diagonal/>
    </border>
    <border>
      <left style="thick">
        <color auto="1"/>
      </left>
      <right style="hair">
        <color auto="1"/>
      </right>
      <top/>
      <bottom/>
      <diagonal/>
    </border>
    <border>
      <left style="hair">
        <color auto="1"/>
      </left>
      <right/>
      <top/>
      <bottom/>
      <diagonal/>
    </border>
    <border>
      <left style="double">
        <color auto="1"/>
      </left>
      <right style="hair">
        <color auto="1"/>
      </right>
      <top/>
      <bottom/>
      <diagonal/>
    </border>
    <border>
      <left style="hair">
        <color auto="1"/>
      </left>
      <right style="thick">
        <color auto="1"/>
      </right>
      <top/>
      <bottom/>
      <diagonal/>
    </border>
    <border>
      <left/>
      <right style="hair">
        <color auto="1"/>
      </right>
      <top/>
      <bottom/>
      <diagonal/>
    </border>
    <border>
      <left style="hair">
        <color auto="1"/>
      </left>
      <right style="double">
        <color auto="1"/>
      </right>
      <top/>
      <bottom/>
      <diagonal/>
    </border>
    <border>
      <left style="thin">
        <color auto="1"/>
      </left>
      <right style="thin">
        <color theme="0" tint="-0.14996795556505021"/>
      </right>
      <top style="thin">
        <color auto="1"/>
      </top>
      <bottom style="double">
        <color auto="1"/>
      </bottom>
      <diagonal/>
    </border>
    <border>
      <left style="thin">
        <color theme="0" tint="-0.14996795556505021"/>
      </left>
      <right style="thin">
        <color theme="0" tint="-0.14996795556505021"/>
      </right>
      <top style="thin">
        <color indexed="64"/>
      </top>
      <bottom style="double">
        <color auto="1"/>
      </bottom>
      <diagonal/>
    </border>
    <border>
      <left style="thin">
        <color theme="0" tint="-0.14996795556505021"/>
      </left>
      <right style="double">
        <color auto="1"/>
      </right>
      <top style="thin">
        <color auto="1"/>
      </top>
      <bottom style="double">
        <color auto="1"/>
      </bottom>
      <diagonal/>
    </border>
  </borders>
  <cellStyleXfs count="2076">
    <xf numFmtId="0" fontId="0" fillId="0" borderId="0"/>
    <xf numFmtId="164" fontId="5" fillId="0" borderId="0" applyFont="0" applyFill="0" applyBorder="0" applyAlignment="0" applyProtection="0"/>
    <xf numFmtId="164" fontId="5" fillId="0" borderId="0" applyFont="0" applyFill="0" applyBorder="0" applyAlignment="0" applyProtection="0"/>
    <xf numFmtId="172" fontId="5" fillId="0" borderId="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0" fontId="4" fillId="2" borderId="12">
      <alignment vertical="top" wrapText="1"/>
    </xf>
    <xf numFmtId="0" fontId="3" fillId="3" borderId="12">
      <alignment vertical="top" wrapText="1"/>
    </xf>
    <xf numFmtId="0" fontId="3" fillId="4" borderId="12">
      <alignment vertical="top" wrapText="1"/>
    </xf>
    <xf numFmtId="0" fontId="3" fillId="5" borderId="12">
      <alignment vertical="top" wrapText="1"/>
    </xf>
    <xf numFmtId="168" fontId="33" fillId="0" borderId="0"/>
    <xf numFmtId="168" fontId="34" fillId="0" borderId="0"/>
    <xf numFmtId="168" fontId="33" fillId="0" borderId="0"/>
    <xf numFmtId="168" fontId="33" fillId="0" borderId="0"/>
    <xf numFmtId="168" fontId="33" fillId="0" borderId="0"/>
    <xf numFmtId="168" fontId="33" fillId="0" borderId="0"/>
    <xf numFmtId="168" fontId="33" fillId="0" borderId="0"/>
    <xf numFmtId="168" fontId="33" fillId="0" borderId="0"/>
    <xf numFmtId="168" fontId="33" fillId="0" borderId="0"/>
    <xf numFmtId="168" fontId="33" fillId="0" borderId="0"/>
    <xf numFmtId="168" fontId="33" fillId="0" borderId="0"/>
    <xf numFmtId="168" fontId="33" fillId="0" borderId="0"/>
    <xf numFmtId="168" fontId="33" fillId="0" borderId="0"/>
    <xf numFmtId="168" fontId="33" fillId="0" borderId="0"/>
    <xf numFmtId="168" fontId="33" fillId="0" borderId="0"/>
    <xf numFmtId="168" fontId="33" fillId="0" borderId="0"/>
    <xf numFmtId="168" fontId="33" fillId="0" borderId="0"/>
    <xf numFmtId="168" fontId="33" fillId="0" borderId="0"/>
    <xf numFmtId="168" fontId="33" fillId="0" borderId="0"/>
    <xf numFmtId="168" fontId="33" fillId="0" borderId="0"/>
    <xf numFmtId="168" fontId="33" fillId="0" borderId="0"/>
    <xf numFmtId="168" fontId="33" fillId="0" borderId="0"/>
    <xf numFmtId="168" fontId="33" fillId="0" borderId="0"/>
    <xf numFmtId="168" fontId="33" fillId="0" borderId="0"/>
    <xf numFmtId="168" fontId="33" fillId="0" borderId="0"/>
    <xf numFmtId="168" fontId="33" fillId="0" borderId="0"/>
    <xf numFmtId="168" fontId="33" fillId="0" borderId="0"/>
    <xf numFmtId="168" fontId="33" fillId="0" borderId="0"/>
    <xf numFmtId="168" fontId="33" fillId="0" borderId="0"/>
    <xf numFmtId="168" fontId="33" fillId="0" borderId="0"/>
    <xf numFmtId="168" fontId="33" fillId="0" borderId="0"/>
    <xf numFmtId="168" fontId="33" fillId="0" borderId="0"/>
    <xf numFmtId="168" fontId="33" fillId="0" borderId="0"/>
    <xf numFmtId="168" fontId="33" fillId="0" borderId="0"/>
    <xf numFmtId="168" fontId="33" fillId="0" borderId="0"/>
    <xf numFmtId="168" fontId="33" fillId="0" borderId="0"/>
    <xf numFmtId="168" fontId="33" fillId="0" borderId="0"/>
    <xf numFmtId="168" fontId="33" fillId="0" borderId="0"/>
    <xf numFmtId="168" fontId="33" fillId="0" borderId="0"/>
    <xf numFmtId="168" fontId="33" fillId="0" borderId="0"/>
    <xf numFmtId="168" fontId="33" fillId="0" borderId="0"/>
    <xf numFmtId="168" fontId="33" fillId="0" borderId="0"/>
    <xf numFmtId="168" fontId="33" fillId="0" borderId="0"/>
    <xf numFmtId="168" fontId="33" fillId="0" borderId="0"/>
    <xf numFmtId="168" fontId="33" fillId="0" borderId="0"/>
    <xf numFmtId="168" fontId="33" fillId="0" borderId="0"/>
    <xf numFmtId="168" fontId="33" fillId="0" borderId="0"/>
    <xf numFmtId="168" fontId="33" fillId="0" borderId="0"/>
    <xf numFmtId="168" fontId="33" fillId="0" borderId="0"/>
    <xf numFmtId="168" fontId="33" fillId="0" borderId="0"/>
    <xf numFmtId="168" fontId="33" fillId="0" borderId="0"/>
    <xf numFmtId="168" fontId="35" fillId="0" borderId="0"/>
    <xf numFmtId="168" fontId="33" fillId="0" borderId="0"/>
    <xf numFmtId="168" fontId="33" fillId="0" borderId="0"/>
    <xf numFmtId="168" fontId="33" fillId="0" borderId="0"/>
    <xf numFmtId="168" fontId="33" fillId="0" borderId="0"/>
    <xf numFmtId="168" fontId="33" fillId="0" borderId="0"/>
    <xf numFmtId="168" fontId="33" fillId="0" borderId="0"/>
    <xf numFmtId="168" fontId="33" fillId="0" borderId="0"/>
    <xf numFmtId="168" fontId="33" fillId="0" borderId="0"/>
    <xf numFmtId="168" fontId="33" fillId="0" borderId="0"/>
    <xf numFmtId="168" fontId="33" fillId="0" borderId="0"/>
    <xf numFmtId="168" fontId="33" fillId="0" borderId="0"/>
    <xf numFmtId="168" fontId="33" fillId="0" borderId="0"/>
    <xf numFmtId="168" fontId="33" fillId="0" borderId="0"/>
    <xf numFmtId="168" fontId="33" fillId="0" borderId="0"/>
    <xf numFmtId="168" fontId="33" fillId="0" borderId="0"/>
    <xf numFmtId="168" fontId="33" fillId="0" borderId="0"/>
    <xf numFmtId="168" fontId="33" fillId="0" borderId="0"/>
    <xf numFmtId="168" fontId="33" fillId="0" borderId="0"/>
    <xf numFmtId="168" fontId="33" fillId="0" borderId="0"/>
    <xf numFmtId="168" fontId="33" fillId="0" borderId="0"/>
    <xf numFmtId="168" fontId="33" fillId="0" borderId="0"/>
    <xf numFmtId="168" fontId="33" fillId="0" borderId="0"/>
    <xf numFmtId="168" fontId="33" fillId="0" borderId="0"/>
    <xf numFmtId="168" fontId="33" fillId="0" borderId="0"/>
    <xf numFmtId="168" fontId="33" fillId="0" borderId="0"/>
    <xf numFmtId="168" fontId="33" fillId="0" borderId="0"/>
    <xf numFmtId="168" fontId="33" fillId="0" borderId="0"/>
    <xf numFmtId="168" fontId="33" fillId="0" borderId="0"/>
    <xf numFmtId="168" fontId="33" fillId="0" borderId="0"/>
    <xf numFmtId="168" fontId="33" fillId="0" borderId="0"/>
    <xf numFmtId="168" fontId="33" fillId="0" borderId="0"/>
    <xf numFmtId="168" fontId="33" fillId="0" borderId="0"/>
    <xf numFmtId="168" fontId="33" fillId="0" borderId="0"/>
    <xf numFmtId="168" fontId="33" fillId="0" borderId="0"/>
    <xf numFmtId="170" fontId="33" fillId="0" borderId="0"/>
    <xf numFmtId="170" fontId="33" fillId="0" borderId="0"/>
    <xf numFmtId="170" fontId="33" fillId="0" borderId="0"/>
    <xf numFmtId="170" fontId="33" fillId="0" borderId="0"/>
    <xf numFmtId="170" fontId="33" fillId="0" borderId="0"/>
    <xf numFmtId="170" fontId="33" fillId="0" borderId="0"/>
    <xf numFmtId="170" fontId="33" fillId="0" borderId="0"/>
    <xf numFmtId="170" fontId="33" fillId="0" borderId="0"/>
    <xf numFmtId="170" fontId="33" fillId="0" borderId="0"/>
    <xf numFmtId="170" fontId="33" fillId="0" borderId="0"/>
    <xf numFmtId="170" fontId="33" fillId="0" borderId="0"/>
    <xf numFmtId="170" fontId="33" fillId="0" borderId="0"/>
    <xf numFmtId="170" fontId="33" fillId="0" borderId="0"/>
    <xf numFmtId="170" fontId="33" fillId="0" borderId="0"/>
    <xf numFmtId="170" fontId="33" fillId="0" borderId="0"/>
    <xf numFmtId="170" fontId="33" fillId="0" borderId="0"/>
    <xf numFmtId="170" fontId="33" fillId="0" borderId="0"/>
    <xf numFmtId="170" fontId="33" fillId="0" borderId="0"/>
    <xf numFmtId="170" fontId="33" fillId="0" borderId="0"/>
    <xf numFmtId="170" fontId="33" fillId="0" borderId="0"/>
    <xf numFmtId="170" fontId="33" fillId="0" borderId="0"/>
    <xf numFmtId="170" fontId="33" fillId="0" borderId="0"/>
    <xf numFmtId="170" fontId="33" fillId="0" borderId="0"/>
    <xf numFmtId="170" fontId="33" fillId="0" borderId="0"/>
    <xf numFmtId="170" fontId="33" fillId="0" borderId="0"/>
    <xf numFmtId="168" fontId="33" fillId="0" borderId="0"/>
    <xf numFmtId="168" fontId="33" fillId="0" borderId="0"/>
    <xf numFmtId="168" fontId="33" fillId="0" borderId="0"/>
    <xf numFmtId="168" fontId="33" fillId="0" borderId="0"/>
    <xf numFmtId="168" fontId="33" fillId="0" borderId="0"/>
    <xf numFmtId="168" fontId="33" fillId="0" borderId="0"/>
    <xf numFmtId="168" fontId="33" fillId="0" borderId="0"/>
    <xf numFmtId="168" fontId="33" fillId="0" borderId="0"/>
    <xf numFmtId="168" fontId="33" fillId="0" borderId="0"/>
    <xf numFmtId="168" fontId="33" fillId="0" borderId="0"/>
    <xf numFmtId="168" fontId="33" fillId="0" borderId="0"/>
    <xf numFmtId="168" fontId="33" fillId="0" borderId="0"/>
    <xf numFmtId="168" fontId="33" fillId="0" borderId="0"/>
    <xf numFmtId="168" fontId="33" fillId="0" borderId="0"/>
    <xf numFmtId="168" fontId="33" fillId="0" borderId="0"/>
    <xf numFmtId="168" fontId="33" fillId="0" borderId="0"/>
    <xf numFmtId="168" fontId="33" fillId="0" borderId="0"/>
    <xf numFmtId="168" fontId="33" fillId="0" borderId="0"/>
    <xf numFmtId="168" fontId="33" fillId="0" borderId="0"/>
    <xf numFmtId="168" fontId="33" fillId="0" borderId="0"/>
    <xf numFmtId="168" fontId="33" fillId="0" borderId="0"/>
    <xf numFmtId="168" fontId="33" fillId="0" borderId="0"/>
    <xf numFmtId="168" fontId="33" fillId="0" borderId="0"/>
    <xf numFmtId="168" fontId="33" fillId="0" borderId="0"/>
    <xf numFmtId="0" fontId="5" fillId="0" borderId="0"/>
    <xf numFmtId="0" fontId="9" fillId="0" borderId="0" applyNumberFormat="0" applyFill="0" applyBorder="0" applyAlignment="0" applyProtection="0">
      <alignment vertical="top"/>
      <protection locked="0"/>
    </xf>
    <xf numFmtId="0" fontId="20"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0" fontId="9" fillId="0" borderId="0"/>
    <xf numFmtId="0" fontId="9"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0" fontId="9" fillId="0" borderId="0"/>
    <xf numFmtId="0" fontId="9"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0" fontId="9" fillId="0" borderId="0"/>
    <xf numFmtId="0" fontId="9"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0" fontId="9" fillId="0" borderId="0"/>
    <xf numFmtId="0" fontId="9"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0" fontId="9" fillId="0" borderId="0"/>
    <xf numFmtId="0" fontId="9"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0" fontId="9" fillId="0" borderId="0"/>
    <xf numFmtId="0" fontId="9"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0" fontId="9" fillId="0" borderId="0"/>
    <xf numFmtId="0" fontId="9"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0" fontId="9" fillId="0" borderId="0"/>
    <xf numFmtId="0" fontId="9"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0" fontId="9" fillId="0" borderId="0"/>
    <xf numFmtId="0" fontId="9"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0" fontId="29" fillId="0" borderId="0"/>
    <xf numFmtId="0" fontId="36" fillId="0" borderId="0" applyNumberFormat="0" applyFill="0" applyBorder="0" applyAlignment="0" applyProtection="0">
      <alignment vertical="top"/>
      <protection locked="0"/>
    </xf>
    <xf numFmtId="0" fontId="27" fillId="0" borderId="0"/>
    <xf numFmtId="0" fontId="37"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0" fillId="0" borderId="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25" fillId="0" borderId="0"/>
    <xf numFmtId="0" fontId="9"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44" fontId="22" fillId="0" borderId="0" applyFont="0" applyFill="0" applyBorder="0" applyAlignment="0" applyProtection="0"/>
    <xf numFmtId="44" fontId="14" fillId="0" borderId="0" applyFont="0" applyFill="0" applyBorder="0" applyAlignment="0" applyProtection="0"/>
    <xf numFmtId="44" fontId="21" fillId="0" borderId="0" applyFont="0" applyFill="0" applyBorder="0" applyAlignment="0" applyProtection="0"/>
    <xf numFmtId="171" fontId="5" fillId="0" borderId="0"/>
    <xf numFmtId="171"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5" fillId="0" borderId="0"/>
    <xf numFmtId="0" fontId="21" fillId="0" borderId="0"/>
    <xf numFmtId="0" fontId="1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5"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5"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5"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5"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5"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5" fillId="0" borderId="0">
      <alignment vertical="center"/>
    </xf>
    <xf numFmtId="0" fontId="3" fillId="0" borderId="0"/>
    <xf numFmtId="0" fontId="3" fillId="0" borderId="0"/>
    <xf numFmtId="0" fontId="3" fillId="0" borderId="0"/>
    <xf numFmtId="0" fontId="3" fillId="0" borderId="0"/>
    <xf numFmtId="0" fontId="3" fillId="0" borderId="0"/>
    <xf numFmtId="0" fontId="5" fillId="0" borderId="0"/>
    <xf numFmtId="0" fontId="24" fillId="0" borderId="0">
      <alignment vertical="center"/>
    </xf>
    <xf numFmtId="0" fontId="31" fillId="0" borderId="0"/>
    <xf numFmtId="0" fontId="24" fillId="0" borderId="0">
      <alignment vertical="center"/>
    </xf>
    <xf numFmtId="0" fontId="31" fillId="0" borderId="0"/>
    <xf numFmtId="0" fontId="39" fillId="0" borderId="0"/>
    <xf numFmtId="0" fontId="3" fillId="0" borderId="0"/>
    <xf numFmtId="0" fontId="3" fillId="0" borderId="0"/>
    <xf numFmtId="0" fontId="3" fillId="0" borderId="0"/>
    <xf numFmtId="0" fontId="3" fillId="0" borderId="0"/>
    <xf numFmtId="0" fontId="31" fillId="0" borderId="0"/>
    <xf numFmtId="0" fontId="8" fillId="0" borderId="0"/>
    <xf numFmtId="0" fontId="21" fillId="0" borderId="0"/>
    <xf numFmtId="0" fontId="14" fillId="0" borderId="0"/>
    <xf numFmtId="0" fontId="8" fillId="0" borderId="0"/>
    <xf numFmtId="0" fontId="8"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5" fillId="0" borderId="0"/>
    <xf numFmtId="0" fontId="8" fillId="0" borderId="0"/>
    <xf numFmtId="0" fontId="23"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6" fillId="0" borderId="0"/>
    <xf numFmtId="0" fontId="26" fillId="0" borderId="0"/>
    <xf numFmtId="0" fontId="8" fillId="0" borderId="0"/>
    <xf numFmtId="0" fontId="1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2" fillId="0" borderId="0"/>
    <xf numFmtId="0" fontId="1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2" fillId="0" borderId="0"/>
    <xf numFmtId="0" fontId="1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2" fillId="0" borderId="0"/>
    <xf numFmtId="0" fontId="1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 fillId="0" borderId="0"/>
    <xf numFmtId="0" fontId="3" fillId="0" borderId="0"/>
    <xf numFmtId="0" fontId="3" fillId="0" borderId="0"/>
    <xf numFmtId="0" fontId="3" fillId="0" borderId="0"/>
    <xf numFmtId="0" fontId="8" fillId="0" borderId="0"/>
    <xf numFmtId="0" fontId="8" fillId="0" borderId="0"/>
    <xf numFmtId="0" fontId="8" fillId="0" borderId="0"/>
    <xf numFmtId="0" fontId="1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5" fillId="0" borderId="0"/>
    <xf numFmtId="0" fontId="1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2" fillId="0" borderId="0"/>
    <xf numFmtId="0" fontId="40" fillId="0" borderId="0"/>
    <xf numFmtId="0" fontId="3" fillId="0" borderId="0"/>
    <xf numFmtId="0" fontId="40" fillId="0" borderId="0"/>
    <xf numFmtId="0" fontId="3" fillId="0" borderId="0"/>
    <xf numFmtId="0" fontId="3" fillId="0" borderId="0"/>
    <xf numFmtId="0" fontId="3" fillId="0" borderId="0"/>
    <xf numFmtId="0" fontId="3" fillId="0" borderId="0"/>
    <xf numFmtId="0" fontId="2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5" fillId="0" borderId="0"/>
    <xf numFmtId="0" fontId="3" fillId="0" borderId="0"/>
    <xf numFmtId="0" fontId="40" fillId="0" borderId="0"/>
    <xf numFmtId="0" fontId="3" fillId="0" borderId="0"/>
    <xf numFmtId="0" fontId="3" fillId="0" borderId="0"/>
    <xf numFmtId="0" fontId="3" fillId="0" borderId="0"/>
    <xf numFmtId="0" fontId="3" fillId="0" borderId="0"/>
    <xf numFmtId="0" fontId="2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23" fillId="0" borderId="0"/>
    <xf numFmtId="0" fontId="40" fillId="0" borderId="0"/>
    <xf numFmtId="0" fontId="3" fillId="0" borderId="0"/>
    <xf numFmtId="0" fontId="40" fillId="0" borderId="0"/>
    <xf numFmtId="0" fontId="3" fillId="0" borderId="0"/>
    <xf numFmtId="0" fontId="3" fillId="0" borderId="0"/>
    <xf numFmtId="0" fontId="3" fillId="0" borderId="0"/>
    <xf numFmtId="0" fontId="3" fillId="0" borderId="0"/>
    <xf numFmtId="0" fontId="2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5" fillId="0" borderId="0"/>
    <xf numFmtId="0" fontId="3" fillId="0" borderId="0"/>
    <xf numFmtId="0" fontId="40" fillId="0" borderId="0"/>
    <xf numFmtId="0" fontId="3" fillId="0" borderId="0"/>
    <xf numFmtId="0" fontId="3" fillId="0" borderId="0"/>
    <xf numFmtId="0" fontId="3" fillId="0" borderId="0"/>
    <xf numFmtId="0" fontId="3" fillId="0" borderId="0"/>
    <xf numFmtId="0" fontId="2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2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40" fillId="0" borderId="0"/>
    <xf numFmtId="0" fontId="3" fillId="0" borderId="0"/>
    <xf numFmtId="0" fontId="40" fillId="0" borderId="0"/>
    <xf numFmtId="0" fontId="3" fillId="0" borderId="0"/>
    <xf numFmtId="0" fontId="3" fillId="0" borderId="0"/>
    <xf numFmtId="0" fontId="3" fillId="0" borderId="0"/>
    <xf numFmtId="0" fontId="3" fillId="0" borderId="0"/>
    <xf numFmtId="0" fontId="2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5" fillId="0" borderId="0"/>
    <xf numFmtId="0" fontId="3" fillId="0" borderId="0"/>
    <xf numFmtId="0" fontId="40" fillId="0" borderId="0"/>
    <xf numFmtId="0" fontId="3" fillId="0" borderId="0"/>
    <xf numFmtId="0" fontId="3" fillId="0" borderId="0"/>
    <xf numFmtId="0" fontId="3" fillId="0" borderId="0"/>
    <xf numFmtId="0" fontId="3" fillId="0" borderId="0"/>
    <xf numFmtId="0" fontId="2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23" fillId="0" borderId="0"/>
    <xf numFmtId="0" fontId="40"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40" fillId="0" borderId="0"/>
    <xf numFmtId="0" fontId="3" fillId="0" borderId="0"/>
    <xf numFmtId="0" fontId="3" fillId="0" borderId="0"/>
    <xf numFmtId="0" fontId="3" fillId="0" borderId="0"/>
    <xf numFmtId="0" fontId="3" fillId="0" borderId="0"/>
    <xf numFmtId="0" fontId="2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5" fillId="0" borderId="0"/>
    <xf numFmtId="0" fontId="3" fillId="0" borderId="0"/>
    <xf numFmtId="0" fontId="14" fillId="0" borderId="0"/>
    <xf numFmtId="0" fontId="21" fillId="0" borderId="0"/>
    <xf numFmtId="0" fontId="40" fillId="0" borderId="0"/>
    <xf numFmtId="0" fontId="3" fillId="0" borderId="0"/>
    <xf numFmtId="0" fontId="3" fillId="0" borderId="0"/>
    <xf numFmtId="0" fontId="3" fillId="0" borderId="0"/>
    <xf numFmtId="0" fontId="3" fillId="0" borderId="0"/>
    <xf numFmtId="0" fontId="2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23" fillId="0" borderId="0"/>
    <xf numFmtId="0" fontId="3" fillId="0" borderId="0"/>
    <xf numFmtId="0" fontId="5" fillId="0" borderId="0"/>
    <xf numFmtId="0" fontId="3" fillId="0" borderId="0"/>
    <xf numFmtId="0" fontId="40" fillId="0" borderId="0"/>
    <xf numFmtId="0" fontId="3" fillId="0" borderId="0"/>
    <xf numFmtId="0" fontId="40" fillId="0" borderId="0"/>
    <xf numFmtId="0" fontId="3" fillId="0" borderId="0"/>
    <xf numFmtId="0" fontId="3" fillId="0" borderId="0"/>
    <xf numFmtId="0" fontId="3" fillId="0" borderId="0"/>
    <xf numFmtId="0" fontId="3" fillId="0" borderId="0"/>
    <xf numFmtId="0" fontId="2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5" fillId="0" borderId="0"/>
    <xf numFmtId="0" fontId="3" fillId="0" borderId="0"/>
    <xf numFmtId="0" fontId="40" fillId="0" borderId="0"/>
    <xf numFmtId="0" fontId="3" fillId="0" borderId="0"/>
    <xf numFmtId="0" fontId="3" fillId="0" borderId="0"/>
    <xf numFmtId="0" fontId="3" fillId="0" borderId="0"/>
    <xf numFmtId="0" fontId="3" fillId="0" borderId="0"/>
    <xf numFmtId="0" fontId="2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2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5" fillId="0" borderId="0"/>
    <xf numFmtId="0" fontId="40"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5" fillId="0" borderId="0"/>
    <xf numFmtId="0" fontId="41" fillId="0" borderId="0"/>
    <xf numFmtId="0" fontId="41" fillId="0" borderId="0"/>
    <xf numFmtId="0" fontId="41" fillId="0" borderId="0"/>
    <xf numFmtId="0" fontId="41" fillId="0" borderId="0"/>
    <xf numFmtId="0" fontId="41" fillId="0" borderId="0"/>
    <xf numFmtId="0" fontId="5" fillId="0" borderId="0"/>
    <xf numFmtId="0" fontId="41" fillId="0" borderId="0"/>
    <xf numFmtId="0" fontId="41" fillId="0" borderId="0"/>
    <xf numFmtId="0" fontId="41" fillId="0" borderId="0"/>
    <xf numFmtId="0" fontId="41" fillId="0" borderId="0"/>
    <xf numFmtId="0" fontId="5" fillId="0" borderId="0"/>
    <xf numFmtId="0" fontId="41" fillId="0" borderId="0"/>
    <xf numFmtId="0" fontId="41" fillId="0" borderId="0"/>
    <xf numFmtId="0" fontId="41" fillId="0" borderId="0"/>
    <xf numFmtId="0" fontId="41" fillId="0" borderId="0"/>
    <xf numFmtId="0" fontId="41" fillId="0" borderId="0"/>
    <xf numFmtId="0" fontId="5" fillId="0" borderId="0"/>
    <xf numFmtId="0" fontId="41" fillId="0" borderId="0"/>
    <xf numFmtId="0" fontId="41" fillId="0" borderId="0"/>
    <xf numFmtId="0" fontId="41" fillId="0" borderId="0"/>
    <xf numFmtId="0" fontId="41" fillId="0" borderId="0"/>
    <xf numFmtId="0" fontId="5" fillId="0" borderId="0"/>
    <xf numFmtId="0" fontId="3" fillId="0" borderId="0"/>
    <xf numFmtId="0" fontId="40" fillId="0" borderId="0"/>
    <xf numFmtId="0" fontId="3" fillId="0" borderId="0"/>
    <xf numFmtId="0" fontId="3" fillId="0" borderId="0"/>
    <xf numFmtId="0" fontId="3" fillId="0" borderId="0"/>
    <xf numFmtId="0" fontId="3" fillId="0" borderId="0"/>
    <xf numFmtId="0" fontId="2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5" fillId="0" borderId="0"/>
    <xf numFmtId="0" fontId="3" fillId="0" borderId="0"/>
    <xf numFmtId="0" fontId="40" fillId="0" borderId="0"/>
    <xf numFmtId="0" fontId="3" fillId="0" borderId="0"/>
    <xf numFmtId="0" fontId="3" fillId="0" borderId="0"/>
    <xf numFmtId="0" fontId="3" fillId="0" borderId="0"/>
    <xf numFmtId="0" fontId="3" fillId="0" borderId="0"/>
    <xf numFmtId="0" fontId="2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2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5" fillId="0" borderId="0"/>
    <xf numFmtId="0" fontId="14" fillId="0" borderId="0"/>
    <xf numFmtId="0" fontId="17" fillId="0" borderId="0"/>
    <xf numFmtId="0" fontId="16" fillId="0" borderId="0"/>
    <xf numFmtId="0" fontId="11" fillId="0" borderId="0">
      <alignment vertical="top"/>
    </xf>
    <xf numFmtId="0" fontId="12" fillId="0" borderId="0" applyNumberFormat="0" applyFont="0" applyFill="0" applyAlignment="0" applyProtection="0"/>
    <xf numFmtId="0" fontId="19" fillId="0" borderId="0" applyNumberFormat="0" applyFont="0" applyFill="0" applyAlignment="0" applyProtection="0"/>
    <xf numFmtId="0" fontId="12" fillId="0" borderId="0" applyNumberFormat="0" applyFont="0" applyFill="0" applyAlignment="0" applyProtection="0"/>
    <xf numFmtId="0" fontId="12" fillId="0" borderId="0" applyNumberFormat="0" applyFont="0" applyFill="0" applyAlignment="0" applyProtection="0"/>
    <xf numFmtId="0" fontId="12" fillId="0" borderId="0" applyNumberFormat="0" applyFont="0" applyFill="0" applyAlignment="0" applyProtection="0"/>
    <xf numFmtId="0" fontId="12" fillId="0" borderId="0" applyNumberFormat="0" applyFont="0" applyFill="0" applyAlignment="0" applyProtection="0"/>
    <xf numFmtId="0" fontId="12" fillId="0" borderId="0" applyNumberFormat="0" applyFont="0" applyFill="0" applyAlignment="0" applyProtection="0"/>
    <xf numFmtId="0" fontId="12" fillId="0" borderId="0" applyNumberFormat="0" applyFont="0" applyFill="0" applyAlignment="0" applyProtection="0"/>
    <xf numFmtId="0" fontId="12" fillId="0" borderId="0" applyNumberFormat="0" applyFont="0" applyFill="0" applyAlignment="0" applyProtection="0"/>
    <xf numFmtId="0" fontId="5" fillId="0" borderId="0"/>
    <xf numFmtId="0" fontId="12" fillId="0" borderId="0" applyNumberFormat="0" applyFont="0" applyFill="0" applyAlignment="0" applyProtection="0"/>
    <xf numFmtId="0" fontId="12" fillId="0" borderId="0" applyNumberFormat="0" applyFont="0" applyFill="0" applyAlignment="0" applyProtection="0"/>
    <xf numFmtId="0" fontId="12" fillId="0" borderId="0" applyNumberFormat="0" applyFont="0" applyFill="0" applyAlignment="0" applyProtection="0"/>
    <xf numFmtId="0" fontId="12" fillId="0" borderId="0" applyNumberFormat="0" applyFont="0" applyFill="0" applyAlignment="0" applyProtection="0"/>
    <xf numFmtId="0" fontId="5" fillId="0" borderId="0"/>
    <xf numFmtId="0" fontId="12" fillId="0" borderId="0" applyNumberFormat="0" applyFont="0" applyFill="0" applyAlignment="0" applyProtection="0"/>
    <xf numFmtId="0" fontId="12" fillId="0" borderId="0" applyNumberFormat="0" applyFont="0" applyFill="0" applyAlignment="0" applyProtection="0"/>
    <xf numFmtId="0" fontId="12" fillId="0" borderId="0" applyNumberFormat="0" applyFont="0" applyFill="0" applyAlignment="0" applyProtection="0"/>
    <xf numFmtId="0" fontId="12" fillId="0" borderId="0" applyNumberFormat="0" applyFont="0" applyFill="0" applyAlignment="0" applyProtection="0"/>
    <xf numFmtId="0" fontId="5" fillId="0" borderId="0"/>
    <xf numFmtId="0" fontId="12" fillId="0" borderId="0" applyNumberFormat="0" applyFont="0" applyFill="0" applyAlignment="0" applyProtection="0"/>
    <xf numFmtId="0" fontId="12" fillId="0" borderId="0" applyNumberFormat="0" applyFont="0" applyFill="0" applyAlignment="0" applyProtection="0"/>
    <xf numFmtId="0" fontId="12" fillId="0" borderId="0" applyNumberFormat="0" applyFont="0" applyFill="0" applyAlignment="0" applyProtection="0"/>
    <xf numFmtId="0" fontId="12" fillId="0" borderId="0" applyNumberFormat="0" applyFont="0" applyFill="0" applyAlignment="0" applyProtection="0"/>
    <xf numFmtId="0" fontId="12" fillId="0" borderId="0" applyNumberFormat="0" applyFont="0" applyFill="0" applyAlignment="0" applyProtection="0"/>
    <xf numFmtId="0" fontId="12" fillId="0" borderId="0" applyNumberFormat="0" applyFont="0" applyFill="0" applyAlignment="0" applyProtection="0"/>
    <xf numFmtId="0" fontId="5" fillId="0" borderId="0"/>
    <xf numFmtId="0" fontId="12" fillId="0" borderId="0" applyNumberFormat="0" applyFont="0" applyFill="0" applyAlignment="0" applyProtection="0"/>
    <xf numFmtId="0" fontId="12" fillId="0" borderId="0" applyNumberFormat="0" applyFont="0" applyFill="0" applyAlignment="0" applyProtection="0"/>
    <xf numFmtId="0" fontId="12" fillId="0" borderId="0" applyNumberFormat="0" applyFont="0" applyFill="0" applyAlignment="0" applyProtection="0"/>
    <xf numFmtId="0" fontId="12" fillId="0" borderId="0" applyNumberFormat="0" applyFont="0" applyFill="0" applyAlignment="0" applyProtection="0"/>
    <xf numFmtId="0" fontId="12" fillId="0" borderId="0" applyNumberFormat="0" applyFont="0" applyFill="0" applyAlignment="0" applyProtection="0"/>
    <xf numFmtId="0" fontId="12" fillId="0" borderId="0" applyNumberFormat="0" applyFont="0" applyFill="0" applyAlignment="0" applyProtection="0"/>
    <xf numFmtId="0" fontId="5" fillId="0" borderId="0"/>
    <xf numFmtId="0" fontId="12" fillId="0" borderId="0" applyNumberFormat="0" applyFont="0" applyFill="0" applyAlignment="0" applyProtection="0"/>
    <xf numFmtId="0" fontId="12" fillId="0" borderId="0" applyNumberFormat="0" applyFont="0" applyFill="0" applyAlignment="0" applyProtection="0"/>
    <xf numFmtId="0" fontId="12" fillId="0" borderId="0" applyNumberFormat="0" applyFont="0" applyFill="0" applyAlignment="0" applyProtection="0"/>
    <xf numFmtId="0" fontId="12" fillId="0" borderId="0" applyNumberFormat="0" applyFont="0" applyFill="0" applyAlignment="0" applyProtection="0"/>
    <xf numFmtId="0" fontId="5" fillId="0" borderId="0"/>
    <xf numFmtId="0" fontId="12" fillId="0" borderId="0" applyNumberFormat="0" applyFont="0" applyFill="0" applyAlignment="0" applyProtection="0"/>
    <xf numFmtId="0" fontId="12" fillId="0" borderId="0" applyNumberFormat="0" applyFont="0" applyFill="0" applyAlignment="0" applyProtection="0"/>
    <xf numFmtId="0" fontId="12" fillId="0" borderId="0" applyNumberFormat="0" applyFont="0" applyFill="0" applyAlignment="0" applyProtection="0"/>
    <xf numFmtId="0" fontId="12" fillId="0" borderId="0" applyNumberFormat="0" applyFont="0" applyFill="0" applyAlignment="0" applyProtection="0"/>
    <xf numFmtId="0" fontId="5" fillId="0" borderId="0"/>
    <xf numFmtId="0" fontId="12" fillId="0" borderId="0" applyNumberFormat="0" applyFont="0" applyFill="0" applyAlignment="0" applyProtection="0"/>
    <xf numFmtId="0" fontId="12" fillId="0" borderId="0" applyNumberFormat="0" applyFont="0" applyFill="0" applyAlignment="0" applyProtection="0"/>
    <xf numFmtId="0" fontId="12" fillId="0" borderId="0" applyNumberFormat="0" applyFont="0" applyFill="0" applyAlignment="0" applyProtection="0"/>
    <xf numFmtId="0" fontId="12" fillId="0" borderId="0" applyNumberFormat="0" applyFont="0" applyFill="0" applyAlignment="0" applyProtection="0"/>
    <xf numFmtId="0" fontId="12" fillId="0" borderId="0" applyNumberFormat="0" applyFont="0" applyFill="0" applyAlignment="0" applyProtection="0"/>
    <xf numFmtId="0" fontId="12" fillId="0" borderId="0" applyNumberFormat="0" applyFont="0" applyFill="0" applyAlignment="0" applyProtection="0"/>
    <xf numFmtId="0" fontId="5" fillId="0" borderId="0"/>
    <xf numFmtId="0" fontId="12" fillId="0" borderId="0" applyNumberFormat="0" applyFont="0" applyFill="0" applyAlignment="0" applyProtection="0"/>
    <xf numFmtId="0" fontId="12" fillId="0" borderId="0" applyNumberFormat="0" applyFont="0" applyFill="0" applyAlignment="0" applyProtection="0"/>
    <xf numFmtId="0" fontId="12" fillId="0" borderId="0" applyNumberFormat="0" applyFont="0" applyFill="0" applyAlignment="0" applyProtection="0"/>
    <xf numFmtId="0" fontId="12" fillId="0" borderId="0" applyNumberFormat="0" applyFont="0" applyFill="0" applyAlignment="0" applyProtection="0"/>
    <xf numFmtId="0" fontId="5" fillId="0" borderId="0"/>
    <xf numFmtId="0" fontId="12" fillId="0" borderId="0" applyNumberFormat="0" applyFont="0" applyFill="0" applyAlignment="0" applyProtection="0"/>
    <xf numFmtId="0" fontId="12" fillId="0" borderId="0" applyNumberFormat="0" applyFont="0" applyFill="0" applyAlignment="0" applyProtection="0"/>
    <xf numFmtId="0" fontId="12" fillId="0" borderId="0" applyNumberFormat="0" applyFont="0" applyFill="0" applyAlignment="0" applyProtection="0"/>
    <xf numFmtId="0" fontId="12" fillId="0" borderId="0" applyNumberFormat="0" applyFont="0" applyFill="0" applyAlignment="0" applyProtection="0"/>
    <xf numFmtId="0" fontId="5" fillId="0" borderId="0"/>
    <xf numFmtId="0" fontId="12" fillId="0" borderId="0" applyNumberFormat="0" applyFont="0" applyFill="0" applyAlignment="0" applyProtection="0"/>
    <xf numFmtId="0" fontId="12" fillId="0" borderId="0" applyNumberFormat="0" applyFont="0" applyFill="0" applyAlignment="0" applyProtection="0"/>
    <xf numFmtId="0" fontId="12" fillId="0" borderId="0" applyNumberFormat="0" applyFont="0" applyFill="0" applyAlignment="0" applyProtection="0"/>
    <xf numFmtId="0" fontId="12" fillId="0" borderId="0" applyNumberFormat="0" applyFont="0" applyFill="0" applyAlignment="0" applyProtection="0"/>
    <xf numFmtId="0" fontId="12" fillId="0" borderId="0" applyNumberFormat="0" applyFont="0" applyFill="0" applyAlignment="0" applyProtection="0"/>
    <xf numFmtId="0" fontId="12" fillId="0" borderId="0" applyNumberFormat="0" applyFont="0" applyFill="0" applyAlignment="0" applyProtection="0"/>
    <xf numFmtId="0" fontId="5" fillId="0" borderId="0"/>
    <xf numFmtId="0" fontId="12" fillId="0" borderId="0" applyNumberFormat="0" applyFont="0" applyFill="0" applyAlignment="0" applyProtection="0"/>
    <xf numFmtId="0" fontId="12" fillId="0" borderId="0" applyNumberFormat="0" applyFont="0" applyFill="0" applyAlignment="0" applyProtection="0"/>
    <xf numFmtId="0" fontId="12" fillId="0" borderId="0" applyNumberFormat="0" applyFont="0" applyFill="0" applyAlignment="0" applyProtection="0"/>
    <xf numFmtId="0" fontId="12" fillId="0" borderId="0" applyNumberFormat="0" applyFont="0" applyFill="0" applyAlignment="0" applyProtection="0"/>
    <xf numFmtId="0" fontId="12" fillId="0" borderId="0" applyNumberFormat="0" applyFont="0" applyFill="0" applyAlignment="0" applyProtection="0"/>
    <xf numFmtId="0" fontId="12" fillId="0" borderId="0" applyNumberFormat="0" applyFont="0" applyFill="0" applyAlignment="0" applyProtection="0"/>
    <xf numFmtId="0" fontId="5" fillId="0" borderId="0"/>
    <xf numFmtId="0" fontId="12" fillId="0" borderId="0" applyNumberFormat="0" applyFont="0" applyFill="0" applyAlignment="0" applyProtection="0"/>
    <xf numFmtId="0" fontId="12" fillId="0" borderId="0" applyNumberFormat="0" applyFont="0" applyFill="0" applyAlignment="0" applyProtection="0"/>
    <xf numFmtId="0" fontId="12" fillId="0" borderId="0" applyNumberFormat="0" applyFont="0" applyFill="0" applyAlignment="0" applyProtection="0"/>
    <xf numFmtId="0" fontId="12" fillId="0" borderId="0" applyNumberFormat="0" applyFont="0" applyFill="0" applyAlignment="0" applyProtection="0"/>
    <xf numFmtId="0" fontId="5" fillId="0" borderId="0"/>
    <xf numFmtId="0" fontId="12" fillId="0" borderId="0" applyNumberFormat="0" applyFont="0" applyFill="0" applyAlignment="0" applyProtection="0"/>
    <xf numFmtId="0" fontId="12" fillId="0" borderId="0" applyNumberFormat="0" applyFont="0" applyFill="0" applyAlignment="0" applyProtection="0"/>
    <xf numFmtId="0" fontId="12" fillId="0" borderId="0" applyNumberFormat="0" applyFont="0" applyFill="0" applyAlignment="0" applyProtection="0"/>
    <xf numFmtId="0" fontId="12" fillId="0" borderId="0" applyNumberFormat="0" applyFont="0" applyFill="0" applyAlignment="0" applyProtection="0"/>
    <xf numFmtId="0" fontId="5" fillId="0" borderId="0"/>
    <xf numFmtId="0" fontId="12" fillId="0" borderId="0" applyNumberFormat="0" applyFont="0" applyFill="0" applyAlignment="0" applyProtection="0"/>
    <xf numFmtId="0" fontId="12" fillId="0" borderId="0" applyNumberFormat="0" applyFont="0" applyFill="0" applyAlignment="0" applyProtection="0"/>
    <xf numFmtId="0" fontId="12" fillId="0" borderId="0" applyNumberFormat="0" applyFont="0" applyFill="0" applyAlignment="0" applyProtection="0"/>
    <xf numFmtId="0" fontId="12" fillId="0" borderId="0" applyNumberFormat="0" applyFont="0" applyFill="0" applyAlignment="0" applyProtection="0"/>
    <xf numFmtId="0" fontId="12" fillId="0" borderId="0" applyNumberFormat="0" applyFont="0" applyFill="0" applyAlignment="0" applyProtection="0"/>
    <xf numFmtId="0" fontId="12" fillId="0" borderId="0" applyNumberFormat="0" applyFont="0" applyFill="0" applyAlignment="0" applyProtection="0"/>
    <xf numFmtId="0" fontId="5" fillId="0" borderId="0"/>
    <xf numFmtId="0" fontId="12" fillId="0" borderId="0" applyNumberFormat="0" applyFont="0" applyFill="0" applyAlignment="0" applyProtection="0"/>
    <xf numFmtId="0" fontId="12" fillId="0" borderId="0" applyNumberFormat="0" applyFont="0" applyFill="0" applyAlignment="0" applyProtection="0"/>
    <xf numFmtId="0" fontId="12" fillId="0" borderId="0" applyNumberFormat="0" applyFont="0" applyFill="0" applyAlignment="0" applyProtection="0"/>
    <xf numFmtId="0" fontId="12" fillId="0" borderId="0" applyNumberFormat="0" applyFont="0" applyFill="0" applyAlignment="0" applyProtection="0"/>
    <xf numFmtId="0" fontId="5" fillId="0" borderId="0"/>
    <xf numFmtId="0" fontId="12" fillId="0" borderId="0" applyNumberFormat="0" applyFont="0" applyFill="0" applyAlignment="0" applyProtection="0"/>
    <xf numFmtId="0" fontId="12" fillId="0" borderId="0" applyNumberFormat="0" applyFont="0" applyFill="0" applyAlignment="0" applyProtection="0"/>
    <xf numFmtId="0" fontId="12" fillId="0" borderId="0" applyNumberFormat="0" applyFont="0" applyFill="0" applyAlignment="0" applyProtection="0"/>
    <xf numFmtId="0" fontId="12" fillId="0" borderId="0" applyNumberFormat="0" applyFont="0" applyFill="0" applyAlignment="0" applyProtection="0"/>
    <xf numFmtId="0" fontId="5" fillId="0" borderId="0"/>
    <xf numFmtId="0" fontId="12" fillId="0" borderId="1" applyNumberFormat="0" applyFont="0" applyFill="0" applyAlignment="0" applyProtection="0"/>
    <xf numFmtId="0" fontId="19" fillId="0" borderId="1" applyNumberFormat="0" applyFont="0" applyFill="0" applyAlignment="0" applyProtection="0"/>
    <xf numFmtId="0" fontId="12" fillId="0" borderId="1" applyNumberFormat="0" applyFont="0" applyFill="0" applyAlignment="0" applyProtection="0"/>
    <xf numFmtId="0" fontId="12" fillId="0" borderId="1" applyNumberFormat="0" applyFont="0" applyFill="0" applyAlignment="0" applyProtection="0"/>
    <xf numFmtId="0" fontId="12" fillId="0" borderId="1" applyNumberFormat="0" applyFont="0" applyFill="0" applyAlignment="0" applyProtection="0"/>
    <xf numFmtId="0" fontId="12" fillId="0" borderId="1" applyNumberFormat="0" applyFont="0" applyFill="0" applyAlignment="0" applyProtection="0"/>
    <xf numFmtId="0" fontId="12" fillId="0" borderId="1" applyNumberFormat="0" applyFont="0" applyFill="0" applyAlignment="0" applyProtection="0"/>
    <xf numFmtId="0" fontId="12" fillId="0" borderId="1" applyNumberFormat="0" applyFont="0" applyFill="0" applyAlignment="0" applyProtection="0"/>
    <xf numFmtId="0" fontId="12" fillId="0" borderId="1" applyNumberFormat="0" applyFont="0" applyFill="0" applyAlignment="0" applyProtection="0"/>
    <xf numFmtId="0" fontId="5" fillId="0" borderId="2"/>
    <xf numFmtId="0" fontId="12" fillId="0" borderId="1" applyNumberFormat="0" applyFont="0" applyFill="0" applyAlignment="0" applyProtection="0"/>
    <xf numFmtId="0" fontId="12" fillId="0" borderId="1" applyNumberFormat="0" applyFont="0" applyFill="0" applyAlignment="0" applyProtection="0"/>
    <xf numFmtId="0" fontId="12" fillId="0" borderId="1" applyNumberFormat="0" applyFont="0" applyFill="0" applyAlignment="0" applyProtection="0"/>
    <xf numFmtId="0" fontId="12" fillId="0" borderId="1" applyNumberFormat="0" applyFont="0" applyFill="0" applyAlignment="0" applyProtection="0"/>
    <xf numFmtId="0" fontId="5" fillId="0" borderId="2"/>
    <xf numFmtId="0" fontId="12" fillId="0" borderId="1" applyNumberFormat="0" applyFont="0" applyFill="0" applyAlignment="0" applyProtection="0"/>
    <xf numFmtId="0" fontId="12" fillId="0" borderId="1" applyNumberFormat="0" applyFont="0" applyFill="0" applyAlignment="0" applyProtection="0"/>
    <xf numFmtId="0" fontId="12" fillId="0" borderId="1" applyNumberFormat="0" applyFont="0" applyFill="0" applyAlignment="0" applyProtection="0"/>
    <xf numFmtId="0" fontId="12" fillId="0" borderId="1" applyNumberFormat="0" applyFont="0" applyFill="0" applyAlignment="0" applyProtection="0"/>
    <xf numFmtId="0" fontId="5" fillId="0" borderId="2"/>
    <xf numFmtId="0" fontId="12" fillId="0" borderId="1" applyNumberFormat="0" applyFont="0" applyFill="0" applyAlignment="0" applyProtection="0"/>
    <xf numFmtId="0" fontId="12" fillId="0" borderId="1" applyNumberFormat="0" applyFont="0" applyFill="0" applyAlignment="0" applyProtection="0"/>
    <xf numFmtId="0" fontId="12" fillId="0" borderId="1" applyNumberFormat="0" applyFont="0" applyFill="0" applyAlignment="0" applyProtection="0"/>
    <xf numFmtId="0" fontId="12" fillId="0" borderId="1" applyNumberFormat="0" applyFont="0" applyFill="0" applyAlignment="0" applyProtection="0"/>
    <xf numFmtId="0" fontId="12" fillId="0" borderId="1" applyNumberFormat="0" applyFont="0" applyFill="0" applyAlignment="0" applyProtection="0"/>
    <xf numFmtId="0" fontId="12" fillId="0" borderId="1" applyNumberFormat="0" applyFont="0" applyFill="0" applyAlignment="0" applyProtection="0"/>
    <xf numFmtId="0" fontId="5" fillId="0" borderId="2"/>
    <xf numFmtId="0" fontId="12" fillId="0" borderId="1" applyNumberFormat="0" applyFont="0" applyFill="0" applyAlignment="0" applyProtection="0"/>
    <xf numFmtId="0" fontId="12" fillId="0" borderId="1" applyNumberFormat="0" applyFont="0" applyFill="0" applyAlignment="0" applyProtection="0"/>
    <xf numFmtId="0" fontId="12" fillId="0" borderId="1" applyNumberFormat="0" applyFont="0" applyFill="0" applyAlignment="0" applyProtection="0"/>
    <xf numFmtId="0" fontId="12" fillId="0" borderId="1" applyNumberFormat="0" applyFont="0" applyFill="0" applyAlignment="0" applyProtection="0"/>
    <xf numFmtId="0" fontId="12" fillId="0" borderId="1" applyNumberFormat="0" applyFont="0" applyFill="0" applyAlignment="0" applyProtection="0"/>
    <xf numFmtId="0" fontId="12" fillId="0" borderId="1" applyNumberFormat="0" applyFont="0" applyFill="0" applyAlignment="0" applyProtection="0"/>
    <xf numFmtId="0" fontId="5" fillId="0" borderId="2"/>
    <xf numFmtId="0" fontId="12" fillId="0" borderId="1" applyNumberFormat="0" applyFont="0" applyFill="0" applyAlignment="0" applyProtection="0"/>
    <xf numFmtId="0" fontId="12" fillId="0" borderId="1" applyNumberFormat="0" applyFont="0" applyFill="0" applyAlignment="0" applyProtection="0"/>
    <xf numFmtId="0" fontId="12" fillId="0" borderId="1" applyNumberFormat="0" applyFont="0" applyFill="0" applyAlignment="0" applyProtection="0"/>
    <xf numFmtId="0" fontId="12" fillId="0" borderId="1" applyNumberFormat="0" applyFont="0" applyFill="0" applyAlignment="0" applyProtection="0"/>
    <xf numFmtId="0" fontId="5" fillId="0" borderId="2"/>
    <xf numFmtId="0" fontId="12" fillId="0" borderId="1" applyNumberFormat="0" applyFont="0" applyFill="0" applyAlignment="0" applyProtection="0"/>
    <xf numFmtId="0" fontId="12" fillId="0" borderId="1" applyNumberFormat="0" applyFont="0" applyFill="0" applyAlignment="0" applyProtection="0"/>
    <xf numFmtId="0" fontId="12" fillId="0" borderId="1" applyNumberFormat="0" applyFont="0" applyFill="0" applyAlignment="0" applyProtection="0"/>
    <xf numFmtId="0" fontId="12" fillId="0" borderId="1" applyNumberFormat="0" applyFont="0" applyFill="0" applyAlignment="0" applyProtection="0"/>
    <xf numFmtId="0" fontId="5" fillId="0" borderId="2"/>
    <xf numFmtId="0" fontId="12" fillId="0" borderId="1" applyNumberFormat="0" applyFont="0" applyFill="0" applyAlignment="0" applyProtection="0"/>
    <xf numFmtId="0" fontId="12" fillId="0" borderId="1" applyNumberFormat="0" applyFont="0" applyFill="0" applyAlignment="0" applyProtection="0"/>
    <xf numFmtId="0" fontId="12" fillId="0" borderId="1" applyNumberFormat="0" applyFont="0" applyFill="0" applyAlignment="0" applyProtection="0"/>
    <xf numFmtId="0" fontId="12" fillId="0" borderId="1" applyNumberFormat="0" applyFont="0" applyFill="0" applyAlignment="0" applyProtection="0"/>
    <xf numFmtId="0" fontId="12" fillId="0" borderId="1" applyNumberFormat="0" applyFont="0" applyFill="0" applyAlignment="0" applyProtection="0"/>
    <xf numFmtId="0" fontId="12" fillId="0" borderId="1" applyNumberFormat="0" applyFont="0" applyFill="0" applyAlignment="0" applyProtection="0"/>
    <xf numFmtId="0" fontId="5" fillId="0" borderId="2"/>
    <xf numFmtId="0" fontId="12" fillId="0" borderId="1" applyNumberFormat="0" applyFont="0" applyFill="0" applyAlignment="0" applyProtection="0"/>
    <xf numFmtId="0" fontId="12" fillId="0" borderId="1" applyNumberFormat="0" applyFont="0" applyFill="0" applyAlignment="0" applyProtection="0"/>
    <xf numFmtId="0" fontId="12" fillId="0" borderId="1" applyNumberFormat="0" applyFont="0" applyFill="0" applyAlignment="0" applyProtection="0"/>
    <xf numFmtId="0" fontId="12" fillId="0" borderId="1" applyNumberFormat="0" applyFont="0" applyFill="0" applyAlignment="0" applyProtection="0"/>
    <xf numFmtId="0" fontId="5" fillId="0" borderId="2"/>
    <xf numFmtId="0" fontId="12" fillId="0" borderId="1" applyNumberFormat="0" applyFont="0" applyFill="0" applyAlignment="0" applyProtection="0"/>
    <xf numFmtId="0" fontId="12" fillId="0" borderId="1" applyNumberFormat="0" applyFont="0" applyFill="0" applyAlignment="0" applyProtection="0"/>
    <xf numFmtId="0" fontId="12" fillId="0" borderId="1" applyNumberFormat="0" applyFont="0" applyFill="0" applyAlignment="0" applyProtection="0"/>
    <xf numFmtId="0" fontId="12" fillId="0" borderId="1" applyNumberFormat="0" applyFont="0" applyFill="0" applyAlignment="0" applyProtection="0"/>
    <xf numFmtId="0" fontId="5" fillId="0" borderId="2"/>
    <xf numFmtId="0" fontId="12" fillId="0" borderId="1" applyNumberFormat="0" applyFont="0" applyFill="0" applyAlignment="0" applyProtection="0"/>
    <xf numFmtId="0" fontId="12" fillId="0" borderId="1" applyNumberFormat="0" applyFont="0" applyFill="0" applyAlignment="0" applyProtection="0"/>
    <xf numFmtId="0" fontId="12" fillId="0" borderId="1" applyNumberFormat="0" applyFont="0" applyFill="0" applyAlignment="0" applyProtection="0"/>
    <xf numFmtId="0" fontId="12" fillId="0" borderId="1" applyNumberFormat="0" applyFont="0" applyFill="0" applyAlignment="0" applyProtection="0"/>
    <xf numFmtId="0" fontId="12" fillId="0" borderId="1" applyNumberFormat="0" applyFont="0" applyFill="0" applyAlignment="0" applyProtection="0"/>
    <xf numFmtId="0" fontId="12" fillId="0" borderId="1" applyNumberFormat="0" applyFont="0" applyFill="0" applyAlignment="0" applyProtection="0"/>
    <xf numFmtId="0" fontId="12" fillId="0" borderId="1" applyNumberFormat="0" applyFont="0" applyFill="0" applyAlignment="0" applyProtection="0"/>
    <xf numFmtId="0" fontId="5" fillId="0" borderId="2"/>
    <xf numFmtId="0" fontId="12" fillId="0" borderId="1" applyNumberFormat="0" applyFont="0" applyFill="0" applyAlignment="0" applyProtection="0"/>
    <xf numFmtId="0" fontId="12" fillId="0" borderId="1" applyNumberFormat="0" applyFont="0" applyFill="0" applyAlignment="0" applyProtection="0"/>
    <xf numFmtId="0" fontId="12" fillId="0" borderId="1" applyNumberFormat="0" applyFont="0" applyFill="0" applyAlignment="0" applyProtection="0"/>
    <xf numFmtId="0" fontId="12" fillId="0" borderId="1" applyNumberFormat="0" applyFont="0" applyFill="0" applyAlignment="0" applyProtection="0"/>
    <xf numFmtId="0" fontId="5" fillId="0" borderId="2"/>
    <xf numFmtId="0" fontId="12" fillId="0" borderId="1" applyNumberFormat="0" applyFont="0" applyFill="0" applyAlignment="0" applyProtection="0"/>
    <xf numFmtId="0" fontId="12" fillId="0" borderId="1" applyNumberFormat="0" applyFont="0" applyFill="0" applyAlignment="0" applyProtection="0"/>
    <xf numFmtId="0" fontId="12" fillId="0" borderId="1" applyNumberFormat="0" applyFont="0" applyFill="0" applyAlignment="0" applyProtection="0"/>
    <xf numFmtId="0" fontId="12" fillId="0" borderId="1" applyNumberFormat="0" applyFont="0" applyFill="0" applyAlignment="0" applyProtection="0"/>
    <xf numFmtId="0" fontId="5" fillId="0" borderId="2"/>
    <xf numFmtId="0" fontId="12" fillId="0" borderId="1" applyNumberFormat="0" applyFont="0" applyFill="0" applyAlignment="0" applyProtection="0"/>
    <xf numFmtId="0" fontId="12" fillId="0" borderId="1" applyNumberFormat="0" applyFont="0" applyFill="0" applyAlignment="0" applyProtection="0"/>
    <xf numFmtId="0" fontId="12" fillId="0" borderId="1" applyNumberFormat="0" applyFont="0" applyFill="0" applyAlignment="0" applyProtection="0"/>
    <xf numFmtId="0" fontId="12" fillId="0" borderId="1" applyNumberFormat="0" applyFont="0" applyFill="0" applyAlignment="0" applyProtection="0"/>
    <xf numFmtId="0" fontId="12" fillId="0" borderId="1" applyNumberFormat="0" applyFont="0" applyFill="0" applyAlignment="0" applyProtection="0"/>
    <xf numFmtId="0" fontId="12" fillId="0" borderId="1" applyNumberFormat="0" applyFont="0" applyFill="0" applyAlignment="0" applyProtection="0"/>
    <xf numFmtId="0" fontId="5" fillId="0" borderId="2"/>
    <xf numFmtId="0" fontId="12" fillId="0" borderId="1" applyNumberFormat="0" applyFont="0" applyFill="0" applyAlignment="0" applyProtection="0"/>
    <xf numFmtId="0" fontId="12" fillId="0" borderId="1" applyNumberFormat="0" applyFont="0" applyFill="0" applyAlignment="0" applyProtection="0"/>
    <xf numFmtId="0" fontId="12" fillId="0" borderId="1" applyNumberFormat="0" applyFont="0" applyFill="0" applyAlignment="0" applyProtection="0"/>
    <xf numFmtId="0" fontId="12" fillId="0" borderId="1" applyNumberFormat="0" applyFont="0" applyFill="0" applyAlignment="0" applyProtection="0"/>
    <xf numFmtId="0" fontId="12" fillId="0" borderId="1" applyNumberFormat="0" applyFont="0" applyFill="0" applyAlignment="0" applyProtection="0"/>
    <xf numFmtId="0" fontId="12" fillId="0" borderId="1" applyNumberFormat="0" applyFont="0" applyFill="0" applyAlignment="0" applyProtection="0"/>
    <xf numFmtId="0" fontId="5" fillId="0" borderId="2"/>
    <xf numFmtId="0" fontId="12" fillId="0" borderId="1" applyNumberFormat="0" applyFont="0" applyFill="0" applyAlignment="0" applyProtection="0"/>
    <xf numFmtId="0" fontId="12" fillId="0" borderId="1" applyNumberFormat="0" applyFont="0" applyFill="0" applyAlignment="0" applyProtection="0"/>
    <xf numFmtId="0" fontId="12" fillId="0" borderId="1" applyNumberFormat="0" applyFont="0" applyFill="0" applyAlignment="0" applyProtection="0"/>
    <xf numFmtId="0" fontId="12" fillId="0" borderId="1" applyNumberFormat="0" applyFont="0" applyFill="0" applyAlignment="0" applyProtection="0"/>
    <xf numFmtId="0" fontId="5" fillId="0" borderId="2"/>
    <xf numFmtId="0" fontId="12" fillId="0" borderId="1" applyNumberFormat="0" applyFont="0" applyFill="0" applyAlignment="0" applyProtection="0"/>
    <xf numFmtId="0" fontId="12" fillId="0" borderId="1" applyNumberFormat="0" applyFont="0" applyFill="0" applyAlignment="0" applyProtection="0"/>
    <xf numFmtId="0" fontId="12" fillId="0" borderId="1" applyNumberFormat="0" applyFont="0" applyFill="0" applyAlignment="0" applyProtection="0"/>
    <xf numFmtId="0" fontId="12" fillId="0" borderId="1" applyNumberFormat="0" applyFont="0" applyFill="0" applyAlignment="0" applyProtection="0"/>
    <xf numFmtId="0" fontId="5" fillId="0" borderId="2"/>
    <xf numFmtId="0" fontId="12" fillId="0" borderId="1" applyNumberFormat="0" applyFont="0" applyFill="0" applyAlignment="0" applyProtection="0"/>
    <xf numFmtId="0" fontId="12" fillId="0" borderId="1" applyNumberFormat="0" applyFont="0" applyFill="0" applyAlignment="0" applyProtection="0"/>
    <xf numFmtId="0" fontId="12" fillId="0" borderId="1" applyNumberFormat="0" applyFont="0" applyFill="0" applyAlignment="0" applyProtection="0"/>
    <xf numFmtId="0" fontId="12" fillId="0" borderId="1" applyNumberFormat="0" applyFont="0" applyFill="0" applyAlignment="0" applyProtection="0"/>
    <xf numFmtId="0" fontId="12" fillId="0" borderId="1" applyNumberFormat="0" applyFont="0" applyFill="0" applyAlignment="0" applyProtection="0"/>
    <xf numFmtId="0" fontId="12" fillId="0" borderId="1" applyNumberFormat="0" applyFont="0" applyFill="0" applyAlignment="0" applyProtection="0"/>
    <xf numFmtId="0" fontId="5" fillId="0" borderId="2"/>
    <xf numFmtId="0" fontId="12" fillId="0" borderId="1" applyNumberFormat="0" applyFont="0" applyFill="0" applyAlignment="0" applyProtection="0"/>
    <xf numFmtId="0" fontId="12" fillId="0" borderId="1" applyNumberFormat="0" applyFont="0" applyFill="0" applyAlignment="0" applyProtection="0"/>
    <xf numFmtId="0" fontId="12" fillId="0" borderId="1" applyNumberFormat="0" applyFont="0" applyFill="0" applyAlignment="0" applyProtection="0"/>
    <xf numFmtId="0" fontId="12" fillId="0" borderId="1" applyNumberFormat="0" applyFont="0" applyFill="0" applyAlignment="0" applyProtection="0"/>
    <xf numFmtId="0" fontId="5" fillId="0" borderId="2"/>
    <xf numFmtId="0" fontId="24" fillId="0" borderId="1" applyNumberFormat="0" applyFont="0" applyFill="0" applyAlignment="0" applyProtection="0">
      <alignment vertical="center"/>
    </xf>
    <xf numFmtId="0" fontId="24" fillId="0" borderId="1" applyNumberFormat="0" applyFont="0" applyFill="0" applyAlignment="0" applyProtection="0">
      <alignment vertical="center"/>
    </xf>
    <xf numFmtId="0" fontId="5" fillId="0" borderId="2"/>
    <xf numFmtId="0" fontId="12" fillId="0" borderId="1" applyNumberFormat="0" applyFont="0" applyFill="0" applyAlignment="0" applyProtection="0"/>
    <xf numFmtId="0" fontId="12" fillId="0" borderId="1" applyNumberFormat="0" applyFont="0" applyFill="0" applyAlignment="0" applyProtection="0"/>
    <xf numFmtId="0" fontId="12" fillId="0" borderId="1" applyNumberFormat="0" applyFont="0" applyFill="0" applyAlignment="0" applyProtection="0"/>
    <xf numFmtId="0" fontId="12" fillId="0" borderId="1" applyNumberFormat="0" applyFont="0" applyFill="0" applyAlignment="0" applyProtection="0"/>
    <xf numFmtId="0" fontId="5" fillId="0" borderId="2"/>
    <xf numFmtId="0" fontId="14" fillId="0" borderId="0"/>
    <xf numFmtId="0" fontId="14" fillId="0" borderId="0"/>
    <xf numFmtId="0" fontId="21" fillId="0" borderId="0"/>
    <xf numFmtId="0" fontId="21" fillId="0" borderId="0"/>
    <xf numFmtId="0" fontId="8" fillId="0" borderId="0"/>
    <xf numFmtId="0" fontId="42"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28" fillId="0" borderId="0">
      <alignment vertical="center"/>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4" fillId="0" borderId="0"/>
    <xf numFmtId="0" fontId="14" fillId="0" borderId="0"/>
    <xf numFmtId="0" fontId="21" fillId="0" borderId="0"/>
    <xf numFmtId="0" fontId="9"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0" fontId="9" fillId="0" borderId="0"/>
    <xf numFmtId="0" fontId="9"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0" fontId="9" fillId="0" borderId="0"/>
    <xf numFmtId="0" fontId="9"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0" fontId="9" fillId="0" borderId="0"/>
    <xf numFmtId="0" fontId="9"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0" fontId="9" fillId="0" borderId="0"/>
    <xf numFmtId="0" fontId="9"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0" fontId="9" fillId="0" borderId="0"/>
    <xf numFmtId="0" fontId="9"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0" fontId="9" fillId="0" borderId="0"/>
    <xf numFmtId="0" fontId="9"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0" fontId="9" fillId="0" borderId="0"/>
    <xf numFmtId="0" fontId="9"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0" fontId="9" fillId="0" borderId="0"/>
    <xf numFmtId="0" fontId="9"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0" fontId="9" fillId="0" borderId="0"/>
    <xf numFmtId="0" fontId="9"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0" fontId="9" fillId="0" borderId="0"/>
    <xf numFmtId="0" fontId="9"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0" fontId="9" fillId="0" borderId="0"/>
    <xf numFmtId="0" fontId="9"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0" fontId="9" fillId="0" borderId="0"/>
    <xf numFmtId="0" fontId="9"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0" fontId="9" fillId="0" borderId="0"/>
    <xf numFmtId="0" fontId="9"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0" fontId="9" fillId="0" borderId="0"/>
    <xf numFmtId="0" fontId="39" fillId="0" borderId="0"/>
    <xf numFmtId="0" fontId="39" fillId="0" borderId="0"/>
  </cellStyleXfs>
  <cellXfs count="1262">
    <xf numFmtId="0" fontId="0" fillId="0" borderId="0" xfId="0"/>
    <xf numFmtId="0" fontId="0" fillId="0" borderId="1" xfId="0" applyBorder="1"/>
    <xf numFmtId="0" fontId="0" fillId="0" borderId="0" xfId="0" applyAlignment="1">
      <alignment horizontal="center"/>
    </xf>
    <xf numFmtId="3" fontId="0" fillId="0" borderId="0" xfId="0" applyNumberFormat="1"/>
    <xf numFmtId="14" fontId="0" fillId="0" borderId="0" xfId="0" applyNumberFormat="1"/>
    <xf numFmtId="22" fontId="0" fillId="0" borderId="0" xfId="0" applyNumberFormat="1"/>
    <xf numFmtId="0" fontId="0" fillId="7" borderId="0" xfId="0" applyFill="1"/>
    <xf numFmtId="0" fontId="4" fillId="7" borderId="0" xfId="0" applyFont="1" applyFill="1" applyAlignment="1">
      <alignment horizontal="center"/>
    </xf>
    <xf numFmtId="0" fontId="45" fillId="7" borderId="0" xfId="0" applyFont="1" applyFill="1"/>
    <xf numFmtId="0" fontId="0" fillId="7" borderId="0" xfId="0" applyFill="1" applyAlignment="1">
      <alignment horizontal="center"/>
    </xf>
    <xf numFmtId="0" fontId="57" fillId="0" borderId="0" xfId="0" applyFont="1"/>
    <xf numFmtId="165" fontId="7" fillId="0" borderId="1" xfId="0" applyNumberFormat="1" applyFont="1" applyBorder="1" applyAlignment="1">
      <alignment horizontal="center"/>
    </xf>
    <xf numFmtId="0" fontId="46" fillId="0" borderId="1" xfId="0" applyFont="1" applyBorder="1" applyAlignment="1">
      <alignment horizontal="center"/>
    </xf>
    <xf numFmtId="0" fontId="43" fillId="0" borderId="0" xfId="0" applyFont="1" applyAlignment="1">
      <alignment horizontal="left" shrinkToFit="1"/>
    </xf>
    <xf numFmtId="0" fontId="13" fillId="6" borderId="10" xfId="0" applyFont="1" applyFill="1" applyBorder="1" applyAlignment="1">
      <alignment horizontal="center" vertical="center" shrinkToFit="1"/>
    </xf>
    <xf numFmtId="0" fontId="13" fillId="7" borderId="11" xfId="0" applyFont="1" applyFill="1" applyBorder="1" applyAlignment="1">
      <alignment horizontal="center" vertical="center" shrinkToFit="1"/>
    </xf>
    <xf numFmtId="0" fontId="43" fillId="12" borderId="1" xfId="1713" applyFont="1" applyFill="1" applyBorder="1" applyAlignment="1">
      <alignment horizontal="center" shrinkToFit="1"/>
    </xf>
    <xf numFmtId="0" fontId="7" fillId="0" borderId="1" xfId="1713" applyFont="1" applyBorder="1" applyAlignment="1">
      <alignment horizontal="center" shrinkToFit="1"/>
    </xf>
    <xf numFmtId="0" fontId="69" fillId="0" borderId="0" xfId="0" applyFont="1"/>
    <xf numFmtId="0" fontId="69" fillId="7" borderId="0" xfId="0" applyFont="1" applyFill="1"/>
    <xf numFmtId="0" fontId="69" fillId="7" borderId="0" xfId="0" applyFont="1" applyFill="1" applyAlignment="1">
      <alignment vertical="center"/>
    </xf>
    <xf numFmtId="0" fontId="6" fillId="7" borderId="0" xfId="0" applyFont="1" applyFill="1"/>
    <xf numFmtId="0" fontId="74" fillId="7" borderId="0" xfId="0" applyFont="1" applyFill="1"/>
    <xf numFmtId="0" fontId="44" fillId="7" borderId="0" xfId="0" applyFont="1" applyFill="1"/>
    <xf numFmtId="0" fontId="3" fillId="7" borderId="0" xfId="0" applyFont="1" applyFill="1"/>
    <xf numFmtId="0" fontId="8" fillId="7" borderId="0" xfId="357" applyFill="1"/>
    <xf numFmtId="0" fontId="0" fillId="0" borderId="3" xfId="0" applyBorder="1"/>
    <xf numFmtId="0" fontId="43" fillId="0" borderId="0" xfId="0" applyFont="1"/>
    <xf numFmtId="0" fontId="86" fillId="0" borderId="0" xfId="0" applyFont="1"/>
    <xf numFmtId="0" fontId="87" fillId="0" borderId="0" xfId="0" applyFont="1"/>
    <xf numFmtId="0" fontId="86" fillId="0" borderId="0" xfId="0" applyFont="1" applyAlignment="1">
      <alignment horizontal="center" shrinkToFit="1"/>
    </xf>
    <xf numFmtId="0" fontId="89" fillId="0" borderId="0" xfId="0" applyFont="1" applyAlignment="1">
      <alignment horizontal="center" shrinkToFit="1"/>
    </xf>
    <xf numFmtId="0" fontId="86" fillId="0" borderId="1" xfId="0" applyFont="1" applyBorder="1"/>
    <xf numFmtId="0" fontId="86" fillId="0" borderId="1" xfId="0" applyFont="1" applyBorder="1" applyAlignment="1">
      <alignment horizontal="left"/>
    </xf>
    <xf numFmtId="0" fontId="91" fillId="0" borderId="1" xfId="0" applyFont="1" applyBorder="1"/>
    <xf numFmtId="0" fontId="86" fillId="0" borderId="4" xfId="0" applyFont="1" applyBorder="1" applyAlignment="1">
      <alignment horizontal="left"/>
    </xf>
    <xf numFmtId="0" fontId="86" fillId="0" borderId="6" xfId="0" applyFont="1" applyBorder="1" applyAlignment="1">
      <alignment shrinkToFit="1"/>
    </xf>
    <xf numFmtId="0" fontId="86" fillId="0" borderId="6" xfId="0" applyFont="1" applyBorder="1" applyAlignment="1">
      <alignment horizontal="center" shrinkToFit="1"/>
    </xf>
    <xf numFmtId="0" fontId="86" fillId="0" borderId="11" xfId="0" applyFont="1" applyBorder="1" applyAlignment="1">
      <alignment horizontal="center" shrinkToFit="1"/>
    </xf>
    <xf numFmtId="0" fontId="86" fillId="0" borderId="50" xfId="0" applyFont="1" applyBorder="1" applyAlignment="1">
      <alignment shrinkToFit="1"/>
    </xf>
    <xf numFmtId="0" fontId="86" fillId="0" borderId="51" xfId="0" applyFont="1" applyBorder="1" applyAlignment="1">
      <alignment shrinkToFit="1"/>
    </xf>
    <xf numFmtId="0" fontId="86" fillId="0" borderId="51" xfId="0" applyFont="1" applyBorder="1" applyAlignment="1">
      <alignment horizontal="center" shrinkToFit="1"/>
    </xf>
    <xf numFmtId="0" fontId="67" fillId="0" borderId="51" xfId="0" applyFont="1" applyBorder="1" applyAlignment="1">
      <alignment horizontal="center" shrinkToFit="1"/>
    </xf>
    <xf numFmtId="168" fontId="67" fillId="0" borderId="51" xfId="15" applyFont="1" applyBorder="1" applyAlignment="1">
      <alignment horizontal="center" shrinkToFit="1"/>
    </xf>
    <xf numFmtId="0" fontId="86" fillId="0" borderId="51" xfId="0" applyFont="1" applyBorder="1" applyAlignment="1">
      <alignment horizontal="center"/>
    </xf>
    <xf numFmtId="0" fontId="86" fillId="0" borderId="52" xfId="0" applyFont="1" applyBorder="1" applyAlignment="1">
      <alignment horizontal="center" shrinkToFit="1"/>
    </xf>
    <xf numFmtId="0" fontId="67" fillId="0" borderId="53" xfId="0" applyFont="1" applyBorder="1" applyAlignment="1">
      <alignment shrinkToFit="1"/>
    </xf>
    <xf numFmtId="0" fontId="67" fillId="0" borderId="54" xfId="0" applyFont="1" applyBorder="1" applyAlignment="1">
      <alignment shrinkToFit="1"/>
    </xf>
    <xf numFmtId="0" fontId="86" fillId="0" borderId="54" xfId="0" applyFont="1" applyBorder="1" applyAlignment="1">
      <alignment horizontal="center" shrinkToFit="1"/>
    </xf>
    <xf numFmtId="0" fontId="67" fillId="0" borderId="54" xfId="0" applyFont="1" applyBorder="1" applyAlignment="1">
      <alignment horizontal="center" shrinkToFit="1"/>
    </xf>
    <xf numFmtId="168" fontId="67" fillId="0" borderId="54" xfId="15" applyFont="1" applyBorder="1" applyAlignment="1">
      <alignment horizontal="center" shrinkToFit="1"/>
    </xf>
    <xf numFmtId="0" fontId="86" fillId="0" borderId="54" xfId="0" applyFont="1" applyBorder="1" applyAlignment="1">
      <alignment horizontal="center"/>
    </xf>
    <xf numFmtId="0" fontId="86" fillId="0" borderId="55" xfId="0" applyFont="1" applyBorder="1" applyAlignment="1">
      <alignment horizontal="center" shrinkToFit="1"/>
    </xf>
    <xf numFmtId="0" fontId="0" fillId="0" borderId="54" xfId="0" applyBorder="1"/>
    <xf numFmtId="0" fontId="0" fillId="0" borderId="55" xfId="0" applyBorder="1"/>
    <xf numFmtId="0" fontId="87" fillId="0" borderId="56" xfId="0" applyFont="1" applyBorder="1" applyAlignment="1">
      <alignment horizontal="center" shrinkToFit="1"/>
    </xf>
    <xf numFmtId="0" fontId="87" fillId="0" borderId="57" xfId="0" applyFont="1" applyBorder="1" applyAlignment="1">
      <alignment horizontal="center" shrinkToFit="1"/>
    </xf>
    <xf numFmtId="0" fontId="86" fillId="0" borderId="57" xfId="0" applyFont="1" applyBorder="1" applyAlignment="1">
      <alignment horizontal="center" shrinkToFit="1"/>
    </xf>
    <xf numFmtId="0" fontId="0" fillId="0" borderId="57" xfId="0" applyBorder="1"/>
    <xf numFmtId="0" fontId="86" fillId="0" borderId="58" xfId="0" applyFont="1" applyBorder="1" applyAlignment="1">
      <alignment horizontal="center" shrinkToFit="1"/>
    </xf>
    <xf numFmtId="0" fontId="92" fillId="17" borderId="42" xfId="0" applyFont="1" applyFill="1" applyBorder="1" applyAlignment="1">
      <alignment horizontal="center"/>
    </xf>
    <xf numFmtId="0" fontId="93" fillId="17" borderId="42" xfId="0" applyFont="1" applyFill="1" applyBorder="1" applyAlignment="1">
      <alignment horizontal="center"/>
    </xf>
    <xf numFmtId="0" fontId="13" fillId="7" borderId="9" xfId="0" applyFont="1" applyFill="1" applyBorder="1" applyAlignment="1">
      <alignment horizontal="center" vertical="center" shrinkToFit="1"/>
    </xf>
    <xf numFmtId="0" fontId="13" fillId="6" borderId="15" xfId="0" applyFont="1" applyFill="1" applyBorder="1" applyAlignment="1">
      <alignment horizontal="center" vertical="center" shrinkToFit="1"/>
    </xf>
    <xf numFmtId="0" fontId="13" fillId="6" borderId="6" xfId="0" applyFont="1" applyFill="1" applyBorder="1" applyAlignment="1">
      <alignment horizontal="center" vertical="center" shrinkToFit="1"/>
    </xf>
    <xf numFmtId="0" fontId="13" fillId="6" borderId="0" xfId="0" applyFont="1" applyFill="1" applyAlignment="1">
      <alignment horizontal="center" vertical="center" shrinkToFit="1"/>
    </xf>
    <xf numFmtId="0" fontId="0" fillId="0" borderId="0" xfId="0" applyAlignment="1">
      <alignment shrinkToFit="1"/>
    </xf>
    <xf numFmtId="0" fontId="0" fillId="0" borderId="1" xfId="0" applyBorder="1" applyAlignment="1">
      <alignment horizontal="center"/>
    </xf>
    <xf numFmtId="0" fontId="0" fillId="0" borderId="62" xfId="0" applyBorder="1" applyAlignment="1">
      <alignment horizontal="center"/>
    </xf>
    <xf numFmtId="0" fontId="0" fillId="9" borderId="62" xfId="0" applyFill="1" applyBorder="1" applyAlignment="1">
      <alignment horizontal="center"/>
    </xf>
    <xf numFmtId="0" fontId="0" fillId="0" borderId="13" xfId="0" applyBorder="1" applyAlignment="1">
      <alignment horizontal="center" shrinkToFit="1"/>
    </xf>
    <xf numFmtId="0" fontId="0" fillId="0" borderId="7" xfId="0" applyBorder="1" applyAlignment="1">
      <alignment horizontal="center" shrinkToFit="1"/>
    </xf>
    <xf numFmtId="0" fontId="0" fillId="0" borderId="15" xfId="0" applyBorder="1" applyAlignment="1">
      <alignment horizontal="center" shrinkToFit="1"/>
    </xf>
    <xf numFmtId="0" fontId="0" fillId="9" borderId="63" xfId="0" applyFill="1" applyBorder="1" applyAlignment="1">
      <alignment horizontal="center" shrinkToFit="1"/>
    </xf>
    <xf numFmtId="0" fontId="0" fillId="9" borderId="64" xfId="0" applyFill="1" applyBorder="1" applyAlignment="1">
      <alignment horizontal="center" shrinkToFit="1"/>
    </xf>
    <xf numFmtId="0" fontId="73" fillId="9" borderId="63" xfId="0" applyFont="1" applyFill="1" applyBorder="1" applyAlignment="1">
      <alignment horizontal="center" shrinkToFit="1"/>
    </xf>
    <xf numFmtId="0" fontId="0" fillId="0" borderId="9" xfId="0" applyBorder="1" applyAlignment="1">
      <alignment horizontal="center" shrinkToFit="1"/>
    </xf>
    <xf numFmtId="0" fontId="0" fillId="7" borderId="71" xfId="0" applyFill="1" applyBorder="1" applyAlignment="1">
      <alignment horizontal="center" shrinkToFit="1"/>
    </xf>
    <xf numFmtId="0" fontId="0" fillId="7" borderId="72" xfId="0" applyFill="1" applyBorder="1" applyAlignment="1">
      <alignment horizontal="center" shrinkToFit="1"/>
    </xf>
    <xf numFmtId="0" fontId="0" fillId="7" borderId="75" xfId="0" applyFill="1" applyBorder="1" applyAlignment="1">
      <alignment horizontal="center" shrinkToFit="1"/>
    </xf>
    <xf numFmtId="0" fontId="0" fillId="7" borderId="76" xfId="0" applyFill="1" applyBorder="1" applyAlignment="1">
      <alignment horizontal="center" shrinkToFit="1"/>
    </xf>
    <xf numFmtId="0" fontId="0" fillId="0" borderId="48" xfId="0" applyBorder="1" applyAlignment="1">
      <alignment horizontal="center" shrinkToFit="1"/>
    </xf>
    <xf numFmtId="0" fontId="0" fillId="0" borderId="48" xfId="0" applyBorder="1" applyAlignment="1">
      <alignment horizontal="center"/>
    </xf>
    <xf numFmtId="0" fontId="0" fillId="0" borderId="68" xfId="0" applyBorder="1" applyAlignment="1">
      <alignment horizontal="center"/>
    </xf>
    <xf numFmtId="0" fontId="0" fillId="0" borderId="83" xfId="0" applyBorder="1" applyAlignment="1">
      <alignment horizontal="center" shrinkToFit="1"/>
    </xf>
    <xf numFmtId="0" fontId="0" fillId="7" borderId="15" xfId="0" applyFill="1" applyBorder="1"/>
    <xf numFmtId="0" fontId="13" fillId="7" borderId="0" xfId="0" applyFont="1" applyFill="1" applyAlignment="1">
      <alignment horizontal="center" vertical="center" shrinkToFit="1"/>
    </xf>
    <xf numFmtId="0" fontId="0" fillId="7" borderId="62" xfId="0" applyFill="1" applyBorder="1" applyAlignment="1">
      <alignment horizontal="center"/>
    </xf>
    <xf numFmtId="0" fontId="73" fillId="7" borderId="68" xfId="0" applyFont="1" applyFill="1" applyBorder="1" applyAlignment="1">
      <alignment horizontal="center" shrinkToFit="1"/>
    </xf>
    <xf numFmtId="0" fontId="7" fillId="7" borderId="1" xfId="1713" applyFont="1" applyFill="1" applyBorder="1" applyAlignment="1">
      <alignment horizontal="center" shrinkToFit="1"/>
    </xf>
    <xf numFmtId="0" fontId="43" fillId="7" borderId="1" xfId="1713" applyFont="1" applyFill="1" applyBorder="1" applyAlignment="1">
      <alignment horizontal="center" shrinkToFit="1"/>
    </xf>
    <xf numFmtId="165" fontId="43" fillId="7" borderId="1" xfId="0" applyNumberFormat="1" applyFont="1" applyFill="1" applyBorder="1" applyAlignment="1">
      <alignment horizontal="center"/>
    </xf>
    <xf numFmtId="165" fontId="7" fillId="7" borderId="1" xfId="0" applyNumberFormat="1" applyFont="1" applyFill="1" applyBorder="1" applyAlignment="1">
      <alignment horizontal="center"/>
    </xf>
    <xf numFmtId="0" fontId="73" fillId="7" borderId="0" xfId="0" applyFont="1" applyFill="1" applyAlignment="1">
      <alignment horizontal="right"/>
    </xf>
    <xf numFmtId="0" fontId="4" fillId="18" borderId="77" xfId="0" applyFont="1" applyFill="1" applyBorder="1" applyAlignment="1">
      <alignment horizontal="center" shrinkToFit="1"/>
    </xf>
    <xf numFmtId="0" fontId="4" fillId="7" borderId="77" xfId="0" applyFont="1" applyFill="1" applyBorder="1" applyAlignment="1">
      <alignment horizontal="center" shrinkToFit="1"/>
    </xf>
    <xf numFmtId="0" fontId="0" fillId="18" borderId="77" xfId="0" applyFill="1" applyBorder="1" applyAlignment="1">
      <alignment horizontal="center"/>
    </xf>
    <xf numFmtId="0" fontId="0" fillId="7" borderId="77" xfId="0" applyFill="1" applyBorder="1" applyAlignment="1">
      <alignment horizontal="center"/>
    </xf>
    <xf numFmtId="0" fontId="73" fillId="7" borderId="67" xfId="0" applyFont="1" applyFill="1" applyBorder="1" applyAlignment="1">
      <alignment horizontal="center" shrinkToFit="1"/>
    </xf>
    <xf numFmtId="0" fontId="13" fillId="6" borderId="84" xfId="0" applyFont="1" applyFill="1" applyBorder="1" applyAlignment="1">
      <alignment horizontal="center" vertical="center" shrinkToFit="1"/>
    </xf>
    <xf numFmtId="0" fontId="13" fillId="6" borderId="85" xfId="0" applyFont="1" applyFill="1" applyBorder="1" applyAlignment="1">
      <alignment horizontal="center" vertical="center" shrinkToFit="1"/>
    </xf>
    <xf numFmtId="0" fontId="0" fillId="7" borderId="1" xfId="0" applyFill="1" applyBorder="1"/>
    <xf numFmtId="0" fontId="0" fillId="7" borderId="70" xfId="0" applyFill="1" applyBorder="1" applyAlignment="1">
      <alignment horizontal="center" shrinkToFit="1"/>
    </xf>
    <xf numFmtId="0" fontId="0" fillId="7" borderId="74" xfId="0" applyFill="1" applyBorder="1" applyAlignment="1">
      <alignment horizontal="center" shrinkToFit="1"/>
    </xf>
    <xf numFmtId="0" fontId="0" fillId="7" borderId="86" xfId="0" applyFill="1" applyBorder="1" applyAlignment="1">
      <alignment shrinkToFit="1"/>
    </xf>
    <xf numFmtId="0" fontId="0" fillId="7" borderId="78" xfId="0" applyFill="1" applyBorder="1" applyAlignment="1">
      <alignment shrinkToFit="1"/>
    </xf>
    <xf numFmtId="0" fontId="0" fillId="7" borderId="1" xfId="0" applyFill="1" applyBorder="1" applyAlignment="1">
      <alignment shrinkToFit="1"/>
    </xf>
    <xf numFmtId="0" fontId="0" fillId="7" borderId="4" xfId="0" applyFill="1" applyBorder="1" applyAlignment="1">
      <alignment shrinkToFit="1"/>
    </xf>
    <xf numFmtId="0" fontId="0" fillId="7" borderId="87" xfId="0" applyFill="1" applyBorder="1" applyAlignment="1">
      <alignment shrinkToFit="1"/>
    </xf>
    <xf numFmtId="0" fontId="0" fillId="7" borderId="14" xfId="0" applyFill="1" applyBorder="1" applyAlignment="1">
      <alignment shrinkToFit="1"/>
    </xf>
    <xf numFmtId="0" fontId="0" fillId="7" borderId="88" xfId="0" applyFill="1" applyBorder="1" applyAlignment="1">
      <alignment shrinkToFit="1"/>
    </xf>
    <xf numFmtId="0" fontId="0" fillId="0" borderId="6" xfId="0" applyBorder="1"/>
    <xf numFmtId="0" fontId="0" fillId="16" borderId="0" xfId="0" applyFill="1"/>
    <xf numFmtId="0" fontId="93" fillId="7" borderId="42" xfId="0" applyFont="1" applyFill="1" applyBorder="1" applyAlignment="1">
      <alignment horizontal="center"/>
    </xf>
    <xf numFmtId="0" fontId="0" fillId="7" borderId="83" xfId="0" applyFill="1" applyBorder="1" applyAlignment="1">
      <alignment horizontal="center" shrinkToFit="1"/>
    </xf>
    <xf numFmtId="0" fontId="0" fillId="7" borderId="48" xfId="0" applyFill="1" applyBorder="1" applyAlignment="1">
      <alignment horizontal="center" shrinkToFit="1"/>
    </xf>
    <xf numFmtId="0" fontId="0" fillId="7" borderId="68" xfId="0" applyFill="1" applyBorder="1" applyAlignment="1">
      <alignment horizontal="center" shrinkToFit="1"/>
    </xf>
    <xf numFmtId="0" fontId="0" fillId="7" borderId="99" xfId="0" applyFill="1" applyBorder="1" applyAlignment="1">
      <alignment horizontal="center" shrinkToFit="1"/>
    </xf>
    <xf numFmtId="0" fontId="0" fillId="7" borderId="100" xfId="0" applyFill="1" applyBorder="1" applyAlignment="1">
      <alignment horizontal="center" shrinkToFit="1"/>
    </xf>
    <xf numFmtId="0" fontId="0" fillId="7" borderId="101" xfId="0" applyFill="1" applyBorder="1" applyAlignment="1">
      <alignment horizontal="center" shrinkToFit="1"/>
    </xf>
    <xf numFmtId="0" fontId="0" fillId="0" borderId="93" xfId="0" applyBorder="1"/>
    <xf numFmtId="0" fontId="88" fillId="0" borderId="0" xfId="0" applyFont="1" applyAlignment="1">
      <alignment horizontal="center"/>
    </xf>
    <xf numFmtId="0" fontId="86" fillId="0" borderId="0" xfId="0" applyFont="1" applyAlignment="1">
      <alignment shrinkToFit="1"/>
    </xf>
    <xf numFmtId="0" fontId="67" fillId="0" borderId="0" xfId="0" applyFont="1" applyAlignment="1">
      <alignment shrinkToFit="1"/>
    </xf>
    <xf numFmtId="0" fontId="87" fillId="0" borderId="0" xfId="0" applyFont="1" applyAlignment="1">
      <alignment horizontal="center" shrinkToFit="1"/>
    </xf>
    <xf numFmtId="0" fontId="86" fillId="0" borderId="5" xfId="0" applyFont="1" applyBorder="1" applyAlignment="1">
      <alignment horizontal="left"/>
    </xf>
    <xf numFmtId="0" fontId="86" fillId="0" borderId="11" xfId="0" applyFont="1" applyBorder="1" applyAlignment="1">
      <alignment horizontal="left"/>
    </xf>
    <xf numFmtId="0" fontId="86" fillId="0" borderId="6" xfId="0" applyFont="1" applyBorder="1" applyAlignment="1">
      <alignment horizontal="left"/>
    </xf>
    <xf numFmtId="0" fontId="86" fillId="0" borderId="6" xfId="0" applyFont="1" applyBorder="1"/>
    <xf numFmtId="0" fontId="88" fillId="0" borderId="109" xfId="0" applyFont="1" applyBorder="1" applyAlignment="1">
      <alignment horizontal="center"/>
    </xf>
    <xf numFmtId="0" fontId="88" fillId="0" borderId="109" xfId="149" applyFont="1" applyBorder="1" applyAlignment="1">
      <alignment horizontal="center"/>
    </xf>
    <xf numFmtId="0" fontId="73" fillId="0" borderId="109" xfId="0" applyFont="1" applyBorder="1" applyAlignment="1">
      <alignment horizontal="center"/>
    </xf>
    <xf numFmtId="0" fontId="0" fillId="9" borderId="110" xfId="0" applyFill="1" applyBorder="1" applyAlignment="1">
      <alignment horizontal="center"/>
    </xf>
    <xf numFmtId="0" fontId="86" fillId="0" borderId="110" xfId="0" applyFont="1" applyBorder="1" applyAlignment="1">
      <alignment horizontal="center"/>
    </xf>
    <xf numFmtId="0" fontId="91" fillId="0" borderId="110" xfId="0" applyFont="1" applyBorder="1" applyAlignment="1">
      <alignment horizontal="center"/>
    </xf>
    <xf numFmtId="0" fontId="0" fillId="0" borderId="110" xfId="0" applyBorder="1" applyAlignment="1">
      <alignment horizontal="center"/>
    </xf>
    <xf numFmtId="0" fontId="87" fillId="0" borderId="111" xfId="0" applyFont="1" applyBorder="1" applyAlignment="1">
      <alignment horizontal="center"/>
    </xf>
    <xf numFmtId="0" fontId="73" fillId="0" borderId="111" xfId="0" applyFont="1" applyBorder="1" applyAlignment="1">
      <alignment horizontal="center"/>
    </xf>
    <xf numFmtId="0" fontId="0" fillId="26" borderId="0" xfId="0" applyFill="1"/>
    <xf numFmtId="0" fontId="43" fillId="7" borderId="0" xfId="0" applyFont="1" applyFill="1"/>
    <xf numFmtId="9" fontId="69" fillId="0" borderId="0" xfId="0" applyNumberFormat="1" applyFont="1"/>
    <xf numFmtId="0" fontId="102" fillId="0" borderId="0" xfId="0" applyFont="1" applyAlignment="1">
      <alignment vertical="center" shrinkToFit="1"/>
    </xf>
    <xf numFmtId="0" fontId="103" fillId="0" borderId="0" xfId="0" applyFont="1" applyAlignment="1">
      <alignment vertical="center" shrinkToFit="1"/>
    </xf>
    <xf numFmtId="0" fontId="102" fillId="0" borderId="0" xfId="0" applyFont="1" applyAlignment="1">
      <alignment shrinkToFit="1"/>
    </xf>
    <xf numFmtId="0" fontId="104" fillId="0" borderId="0" xfId="0" applyFont="1" applyAlignment="1">
      <alignment shrinkToFit="1"/>
    </xf>
    <xf numFmtId="0" fontId="101" fillId="0" borderId="0" xfId="0" applyFont="1"/>
    <xf numFmtId="0" fontId="13" fillId="9" borderId="0" xfId="0" applyFont="1" applyFill="1" applyAlignment="1">
      <alignment horizontal="left" shrinkToFit="1"/>
    </xf>
    <xf numFmtId="0" fontId="7" fillId="0" borderId="0" xfId="0" applyFont="1" applyAlignment="1">
      <alignment horizontal="left" shrinkToFit="1"/>
    </xf>
    <xf numFmtId="0" fontId="86" fillId="0" borderId="0" xfId="0" applyFont="1" applyAlignment="1">
      <alignment horizontal="left" shrinkToFit="1"/>
    </xf>
    <xf numFmtId="0" fontId="67" fillId="0" borderId="0" xfId="0" applyFont="1" applyAlignment="1">
      <alignment horizontal="left" shrinkToFit="1"/>
    </xf>
    <xf numFmtId="168" fontId="67" fillId="0" borderId="0" xfId="15" applyFont="1" applyAlignment="1">
      <alignment horizontal="left" shrinkToFit="1"/>
    </xf>
    <xf numFmtId="0" fontId="7" fillId="0" borderId="0" xfId="0" applyFont="1" applyAlignment="1">
      <alignment horizontal="left" vertical="center" shrinkToFit="1"/>
    </xf>
    <xf numFmtId="0" fontId="7" fillId="9" borderId="0" xfId="0" applyFont="1" applyFill="1" applyAlignment="1">
      <alignment horizontal="left" shrinkToFit="1"/>
    </xf>
    <xf numFmtId="0" fontId="45" fillId="9" borderId="0" xfId="0" applyFont="1" applyFill="1" applyAlignment="1">
      <alignment horizontal="left" shrinkToFit="1"/>
    </xf>
    <xf numFmtId="0" fontId="0" fillId="9" borderId="0" xfId="0" applyFill="1" applyAlignment="1">
      <alignment horizontal="left" shrinkToFit="1"/>
    </xf>
    <xf numFmtId="0" fontId="0" fillId="0" borderId="0" xfId="0" applyAlignment="1">
      <alignment horizontal="left" shrinkToFit="1"/>
    </xf>
    <xf numFmtId="0" fontId="45" fillId="0" borderId="0" xfId="0" applyFont="1" applyAlignment="1">
      <alignment horizontal="left" shrinkToFit="1"/>
    </xf>
    <xf numFmtId="49" fontId="7" fillId="0" borderId="0" xfId="0" applyNumberFormat="1" applyFont="1" applyAlignment="1">
      <alignment horizontal="left" vertical="center" shrinkToFit="1"/>
    </xf>
    <xf numFmtId="0" fontId="7" fillId="0" borderId="0" xfId="0" applyFont="1" applyAlignment="1">
      <alignment horizontal="left" vertical="center" shrinkToFit="1" readingOrder="1"/>
    </xf>
    <xf numFmtId="1" fontId="7" fillId="0" borderId="0" xfId="0" applyNumberFormat="1" applyFont="1" applyAlignment="1">
      <alignment horizontal="left" vertical="center" shrinkToFit="1"/>
    </xf>
    <xf numFmtId="14" fontId="10" fillId="0" borderId="0" xfId="0" applyNumberFormat="1" applyFont="1" applyAlignment="1">
      <alignment horizontal="left" vertical="center" shrinkToFit="1"/>
    </xf>
    <xf numFmtId="165" fontId="7" fillId="0" borderId="0" xfId="0" applyNumberFormat="1" applyFont="1" applyAlignment="1">
      <alignment horizontal="left" vertical="center" shrinkToFit="1"/>
    </xf>
    <xf numFmtId="169" fontId="7" fillId="0" borderId="0" xfId="0" applyNumberFormat="1" applyFont="1" applyAlignment="1">
      <alignment horizontal="left" vertical="center" shrinkToFit="1"/>
    </xf>
    <xf numFmtId="0" fontId="10" fillId="0" borderId="0" xfId="0" applyFont="1" applyAlignment="1">
      <alignment horizontal="left" vertical="center" shrinkToFit="1"/>
    </xf>
    <xf numFmtId="49" fontId="0" fillId="0" borderId="0" xfId="0" applyNumberFormat="1" applyAlignment="1">
      <alignment horizontal="left" shrinkToFit="1"/>
    </xf>
    <xf numFmtId="49" fontId="10" fillId="0" borderId="0" xfId="0" applyNumberFormat="1" applyFont="1" applyAlignment="1">
      <alignment horizontal="left" vertical="center" shrinkToFit="1"/>
    </xf>
    <xf numFmtId="14" fontId="7" fillId="0" borderId="0" xfId="0" applyNumberFormat="1" applyFont="1" applyAlignment="1">
      <alignment horizontal="left" vertical="center" shrinkToFit="1"/>
    </xf>
    <xf numFmtId="0" fontId="46" fillId="9" borderId="0" xfId="0" applyFont="1" applyFill="1" applyAlignment="1">
      <alignment horizontal="left" shrinkToFit="1"/>
    </xf>
    <xf numFmtId="0" fontId="73" fillId="9" borderId="0" xfId="0" applyFont="1" applyFill="1" applyAlignment="1">
      <alignment horizontal="left" shrinkToFit="1"/>
    </xf>
    <xf numFmtId="0" fontId="73" fillId="9" borderId="110" xfId="0" applyFont="1" applyFill="1" applyBorder="1" applyAlignment="1">
      <alignment horizontal="left" shrinkToFit="1"/>
    </xf>
    <xf numFmtId="0" fontId="73" fillId="0" borderId="0" xfId="0" applyFont="1" applyAlignment="1">
      <alignment horizontal="left" shrinkToFit="1"/>
    </xf>
    <xf numFmtId="0" fontId="0" fillId="0" borderId="0" xfId="0" applyAlignment="1">
      <alignment horizontal="left" wrapText="1" shrinkToFit="1"/>
    </xf>
    <xf numFmtId="165" fontId="84" fillId="27" borderId="117" xfId="0" applyNumberFormat="1" applyFont="1" applyFill="1" applyBorder="1" applyAlignment="1">
      <alignment horizontal="center" vertical="center" shrinkToFit="1"/>
    </xf>
    <xf numFmtId="165" fontId="84" fillId="27" borderId="118" xfId="0" applyNumberFormat="1" applyFont="1" applyFill="1" applyBorder="1" applyAlignment="1">
      <alignment horizontal="center" vertical="center" shrinkToFit="1"/>
    </xf>
    <xf numFmtId="174" fontId="10" fillId="28" borderId="116" xfId="0" applyNumberFormat="1" applyFont="1" applyFill="1" applyBorder="1" applyAlignment="1">
      <alignment vertical="center" shrinkToFit="1"/>
    </xf>
    <xf numFmtId="9" fontId="68" fillId="29" borderId="116" xfId="0" applyNumberFormat="1" applyFont="1" applyFill="1" applyBorder="1" applyAlignment="1">
      <alignment horizontal="center" vertical="center"/>
    </xf>
    <xf numFmtId="0" fontId="7" fillId="0" borderId="119" xfId="0" applyFont="1" applyBorder="1" applyAlignment="1">
      <alignment horizontal="left" vertical="center" shrinkToFit="1"/>
    </xf>
    <xf numFmtId="0" fontId="7" fillId="0" borderId="120" xfId="0" applyFont="1" applyBorder="1" applyAlignment="1">
      <alignment horizontal="left" vertical="center" shrinkToFit="1"/>
    </xf>
    <xf numFmtId="0" fontId="10" fillId="0" borderId="120" xfId="0" applyFont="1" applyBorder="1" applyAlignment="1">
      <alignment horizontal="left" vertical="center" shrinkToFit="1"/>
    </xf>
    <xf numFmtId="0" fontId="0" fillId="0" borderId="120" xfId="0" applyBorder="1" applyAlignment="1">
      <alignment horizontal="left" shrinkToFit="1"/>
    </xf>
    <xf numFmtId="0" fontId="0" fillId="0" borderId="121" xfId="0" applyBorder="1" applyAlignment="1">
      <alignment horizontal="left" shrinkToFit="1"/>
    </xf>
    <xf numFmtId="0" fontId="7" fillId="0" borderId="122" xfId="0" applyFont="1" applyBorder="1" applyAlignment="1">
      <alignment horizontal="left" vertical="center" shrinkToFit="1"/>
    </xf>
    <xf numFmtId="0" fontId="7" fillId="0" borderId="123" xfId="0" applyFont="1" applyBorder="1" applyAlignment="1">
      <alignment horizontal="left" vertical="center" shrinkToFit="1"/>
    </xf>
    <xf numFmtId="0" fontId="7" fillId="0" borderId="124" xfId="0" applyFont="1" applyBorder="1" applyAlignment="1">
      <alignment horizontal="left" vertical="center" shrinkToFit="1"/>
    </xf>
    <xf numFmtId="0" fontId="7" fillId="0" borderId="124" xfId="0" applyFont="1" applyBorder="1" applyAlignment="1">
      <alignment horizontal="left" shrinkToFit="1"/>
    </xf>
    <xf numFmtId="0" fontId="10" fillId="0" borderId="124" xfId="0" applyFont="1" applyBorder="1" applyAlignment="1">
      <alignment horizontal="left" vertical="center" shrinkToFit="1"/>
    </xf>
    <xf numFmtId="0" fontId="0" fillId="0" borderId="124" xfId="0" applyBorder="1" applyAlignment="1">
      <alignment horizontal="left" shrinkToFit="1"/>
    </xf>
    <xf numFmtId="0" fontId="0" fillId="9" borderId="0" xfId="0" applyFill="1"/>
    <xf numFmtId="0" fontId="0" fillId="7" borderId="3" xfId="0" applyFill="1" applyBorder="1"/>
    <xf numFmtId="0" fontId="69" fillId="0" borderId="9" xfId="0" applyFont="1" applyBorder="1"/>
    <xf numFmtId="0" fontId="43" fillId="7" borderId="9" xfId="0" applyFont="1" applyFill="1" applyBorder="1"/>
    <xf numFmtId="0" fontId="69" fillId="0" borderId="15" xfId="0" applyFont="1" applyBorder="1"/>
    <xf numFmtId="0" fontId="102" fillId="0" borderId="15" xfId="0" applyFont="1" applyBorder="1" applyAlignment="1">
      <alignment shrinkToFit="1"/>
    </xf>
    <xf numFmtId="0" fontId="101" fillId="0" borderId="15" xfId="0" applyFont="1" applyBorder="1"/>
    <xf numFmtId="0" fontId="102" fillId="0" borderId="15" xfId="0" applyFont="1" applyBorder="1" applyAlignment="1">
      <alignment vertical="center" shrinkToFit="1"/>
    </xf>
    <xf numFmtId="0" fontId="43" fillId="0" borderId="15" xfId="0" applyFont="1" applyBorder="1"/>
    <xf numFmtId="0" fontId="80" fillId="0" borderId="0" xfId="0" applyFont="1" applyAlignment="1">
      <alignment shrinkToFit="1"/>
    </xf>
    <xf numFmtId="0" fontId="69" fillId="7" borderId="9" xfId="0" applyFont="1" applyFill="1" applyBorder="1"/>
    <xf numFmtId="0" fontId="69" fillId="7" borderId="11" xfId="0" applyFont="1" applyFill="1" applyBorder="1"/>
    <xf numFmtId="0" fontId="105" fillId="7" borderId="0" xfId="0" applyFont="1" applyFill="1" applyAlignment="1">
      <alignment vertical="top" shrinkToFit="1"/>
    </xf>
    <xf numFmtId="0" fontId="7" fillId="0" borderId="0" xfId="0" applyFont="1" applyAlignment="1">
      <alignment horizontal="center" vertical="center"/>
    </xf>
    <xf numFmtId="0" fontId="7" fillId="0" borderId="0" xfId="0" applyFont="1" applyAlignment="1">
      <alignment horizontal="center" vertical="center" shrinkToFit="1"/>
    </xf>
    <xf numFmtId="0" fontId="68" fillId="0" borderId="0" xfId="0" applyFont="1" applyAlignment="1">
      <alignment vertical="center"/>
    </xf>
    <xf numFmtId="0" fontId="62" fillId="0" borderId="0" xfId="0" applyFont="1"/>
    <xf numFmtId="0" fontId="43" fillId="0" borderId="0" xfId="0" applyFont="1" applyAlignment="1">
      <alignment horizontal="center"/>
    </xf>
    <xf numFmtId="0" fontId="100" fillId="0" borderId="0" xfId="0" applyFont="1" applyAlignment="1">
      <alignment horizontal="left"/>
    </xf>
    <xf numFmtId="0" fontId="9" fillId="0" borderId="0" xfId="150" applyFill="1" applyBorder="1" applyAlignment="1" applyProtection="1"/>
    <xf numFmtId="0" fontId="10" fillId="0" borderId="0" xfId="0" applyFont="1" applyAlignment="1">
      <alignment horizontal="left" vertical="center"/>
    </xf>
    <xf numFmtId="0" fontId="52" fillId="0" borderId="0" xfId="0" applyFont="1" applyAlignment="1">
      <alignment horizontal="center" vertical="center"/>
    </xf>
    <xf numFmtId="0" fontId="76" fillId="0" borderId="0" xfId="0" applyFont="1" applyAlignment="1">
      <alignment vertical="center" shrinkToFit="1"/>
    </xf>
    <xf numFmtId="0" fontId="106" fillId="0" borderId="125" xfId="0" applyFont="1" applyBorder="1" applyAlignment="1">
      <alignment horizontal="center" vertical="center"/>
    </xf>
    <xf numFmtId="0" fontId="7" fillId="0" borderId="120" xfId="0" applyFont="1" applyBorder="1" applyAlignment="1">
      <alignment horizontal="left" wrapText="1" shrinkToFit="1"/>
    </xf>
    <xf numFmtId="0" fontId="0" fillId="30" borderId="0" xfId="0" applyFill="1"/>
    <xf numFmtId="0" fontId="86" fillId="0" borderId="9" xfId="0" applyFont="1" applyBorder="1" applyAlignment="1">
      <alignment horizontal="left"/>
    </xf>
    <xf numFmtId="0" fontId="86" fillId="0" borderId="116" xfId="0" applyFont="1" applyBorder="1" applyAlignment="1">
      <alignment shrinkToFit="1"/>
    </xf>
    <xf numFmtId="0" fontId="86" fillId="8" borderId="116" xfId="0" applyFont="1" applyFill="1" applyBorder="1" applyAlignment="1">
      <alignment shrinkToFit="1"/>
    </xf>
    <xf numFmtId="0" fontId="86" fillId="15" borderId="116" xfId="0" applyFont="1" applyFill="1" applyBorder="1" applyAlignment="1">
      <alignment shrinkToFit="1"/>
    </xf>
    <xf numFmtId="0" fontId="0" fillId="0" borderId="116" xfId="0" applyBorder="1"/>
    <xf numFmtId="0" fontId="67" fillId="8" borderId="116" xfId="0" applyFont="1" applyFill="1" applyBorder="1" applyAlignment="1">
      <alignment shrinkToFit="1"/>
    </xf>
    <xf numFmtId="0" fontId="91" fillId="15" borderId="116" xfId="0" applyFont="1" applyFill="1" applyBorder="1" applyAlignment="1">
      <alignment vertical="center"/>
    </xf>
    <xf numFmtId="0" fontId="91" fillId="0" borderId="116" xfId="0" applyFont="1" applyBorder="1" applyAlignment="1">
      <alignment vertical="center"/>
    </xf>
    <xf numFmtId="0" fontId="86" fillId="9" borderId="116" xfId="0" applyFont="1" applyFill="1" applyBorder="1" applyAlignment="1">
      <alignment shrinkToFit="1"/>
    </xf>
    <xf numFmtId="0" fontId="86" fillId="0" borderId="116" xfId="0" applyFont="1" applyBorder="1" applyAlignment="1">
      <alignment horizontal="center" shrinkToFit="1"/>
    </xf>
    <xf numFmtId="0" fontId="90" fillId="0" borderId="116" xfId="0" applyFont="1" applyBorder="1" applyAlignment="1">
      <alignment shrinkToFit="1"/>
    </xf>
    <xf numFmtId="0" fontId="67" fillId="0" borderId="116" xfId="0" applyFont="1" applyBorder="1" applyAlignment="1">
      <alignment horizontal="center" shrinkToFit="1"/>
    </xf>
    <xf numFmtId="0" fontId="0" fillId="0" borderId="116" xfId="0" applyBorder="1" applyAlignment="1">
      <alignment horizontal="center" shrinkToFit="1"/>
    </xf>
    <xf numFmtId="0" fontId="0" fillId="0" borderId="116" xfId="0" applyBorder="1" applyAlignment="1">
      <alignment shrinkToFit="1"/>
    </xf>
    <xf numFmtId="0" fontId="45" fillId="0" borderId="116" xfId="0" applyFont="1" applyBorder="1" applyAlignment="1">
      <alignment shrinkToFit="1"/>
    </xf>
    <xf numFmtId="0" fontId="86" fillId="0" borderId="116" xfId="0" applyFont="1" applyBorder="1" applyAlignment="1">
      <alignment horizontal="left" shrinkToFit="1"/>
    </xf>
    <xf numFmtId="0" fontId="86" fillId="9" borderId="116" xfId="0" applyFont="1" applyFill="1" applyBorder="1" applyAlignment="1">
      <alignment horizontal="center" shrinkToFit="1"/>
    </xf>
    <xf numFmtId="0" fontId="67" fillId="0" borderId="116" xfId="0" applyFont="1" applyBorder="1" applyAlignment="1">
      <alignment shrinkToFit="1"/>
    </xf>
    <xf numFmtId="165" fontId="15" fillId="19" borderId="112" xfId="0" applyNumberFormat="1" applyFont="1" applyFill="1" applyBorder="1" applyAlignment="1">
      <alignment horizontal="center" shrinkToFit="1"/>
    </xf>
    <xf numFmtId="0" fontId="88" fillId="0" borderId="1" xfId="0" applyFont="1" applyBorder="1" applyAlignment="1">
      <alignment horizontal="center"/>
    </xf>
    <xf numFmtId="0" fontId="88" fillId="0" borderId="8" xfId="0" applyFont="1" applyBorder="1" applyAlignment="1">
      <alignment horizontal="center"/>
    </xf>
    <xf numFmtId="0" fontId="13" fillId="0" borderId="0" xfId="0" applyFont="1" applyAlignment="1">
      <alignment horizontal="center" shrinkToFit="1"/>
    </xf>
    <xf numFmtId="0" fontId="10" fillId="0" borderId="0" xfId="0" applyFont="1" applyAlignment="1">
      <alignment horizontal="left" shrinkToFit="1"/>
    </xf>
    <xf numFmtId="0" fontId="45" fillId="0" borderId="0" xfId="0" applyFont="1"/>
    <xf numFmtId="0" fontId="84" fillId="0" borderId="25" xfId="0" applyFont="1" applyBorder="1" applyAlignment="1">
      <alignment horizontal="center" vertical="center" wrapText="1" shrinkToFit="1"/>
    </xf>
    <xf numFmtId="0" fontId="84" fillId="0" borderId="6" xfId="0" applyFont="1" applyBorder="1" applyAlignment="1">
      <alignment horizontal="center" vertical="center" wrapText="1" shrinkToFit="1"/>
    </xf>
    <xf numFmtId="0" fontId="10" fillId="0" borderId="17" xfId="0" applyFont="1" applyBorder="1" applyAlignment="1">
      <alignment horizontal="left" shrinkToFit="1"/>
    </xf>
    <xf numFmtId="0" fontId="10" fillId="0" borderId="35" xfId="0" applyFont="1" applyBorder="1" applyAlignment="1">
      <alignment horizontal="center" vertical="center" shrinkToFit="1"/>
    </xf>
    <xf numFmtId="0" fontId="12" fillId="0" borderId="0" xfId="0" applyFont="1" applyAlignment="1">
      <alignment horizontal="left" vertical="center"/>
    </xf>
    <xf numFmtId="0" fontId="10" fillId="0" borderId="1" xfId="0" applyFont="1" applyBorder="1" applyAlignment="1">
      <alignment horizontal="left" shrinkToFit="1"/>
    </xf>
    <xf numFmtId="0" fontId="12" fillId="0" borderId="0" xfId="0" applyFont="1" applyAlignment="1">
      <alignment horizontal="left"/>
    </xf>
    <xf numFmtId="0" fontId="99" fillId="7" borderId="0" xfId="0" applyFont="1" applyFill="1" applyAlignment="1">
      <alignment shrinkToFit="1"/>
    </xf>
    <xf numFmtId="0" fontId="0" fillId="7" borderId="0" xfId="0" applyFill="1" applyAlignment="1">
      <alignment vertical="center"/>
    </xf>
    <xf numFmtId="0" fontId="79" fillId="7" borderId="0" xfId="0" applyFont="1" applyFill="1" applyAlignment="1">
      <alignment horizontal="left" vertical="center"/>
    </xf>
    <xf numFmtId="0" fontId="0" fillId="34" borderId="0" xfId="0" applyFill="1"/>
    <xf numFmtId="0" fontId="69" fillId="34" borderId="0" xfId="0" applyFont="1" applyFill="1"/>
    <xf numFmtId="0" fontId="0" fillId="35" borderId="0" xfId="0" applyFill="1"/>
    <xf numFmtId="0" fontId="100" fillId="35" borderId="0" xfId="0" applyFont="1" applyFill="1" applyAlignment="1">
      <alignment horizontal="left"/>
    </xf>
    <xf numFmtId="0" fontId="69" fillId="35" borderId="0" xfId="0" applyFont="1" applyFill="1"/>
    <xf numFmtId="0" fontId="9" fillId="35" borderId="0" xfId="150" applyFill="1" applyBorder="1" applyAlignment="1" applyProtection="1"/>
    <xf numFmtId="0" fontId="0" fillId="37" borderId="0" xfId="0" applyFill="1"/>
    <xf numFmtId="0" fontId="0" fillId="38" borderId="0" xfId="0" applyFill="1"/>
    <xf numFmtId="0" fontId="0" fillId="39" borderId="0" xfId="0" applyFill="1"/>
    <xf numFmtId="0" fontId="69" fillId="39" borderId="0" xfId="0" applyFont="1" applyFill="1" applyAlignment="1">
      <alignment shrinkToFit="1"/>
    </xf>
    <xf numFmtId="0" fontId="69" fillId="39" borderId="0" xfId="0" applyFont="1" applyFill="1" applyAlignment="1">
      <alignment horizontal="center"/>
    </xf>
    <xf numFmtId="0" fontId="69" fillId="39" borderId="0" xfId="0" applyFont="1" applyFill="1" applyAlignment="1">
      <alignment horizontal="right" shrinkToFit="1"/>
    </xf>
    <xf numFmtId="0" fontId="69" fillId="39" borderId="0" xfId="0" applyFont="1" applyFill="1"/>
    <xf numFmtId="0" fontId="80" fillId="0" borderId="0" xfId="0" applyFont="1"/>
    <xf numFmtId="0" fontId="70" fillId="39" borderId="0" xfId="0" applyFont="1" applyFill="1"/>
    <xf numFmtId="165" fontId="0" fillId="0" borderId="0" xfId="0" applyNumberFormat="1"/>
    <xf numFmtId="0" fontId="109" fillId="35" borderId="0" xfId="0" applyFont="1" applyFill="1" applyAlignment="1">
      <alignment vertical="center" shrinkToFit="1"/>
    </xf>
    <xf numFmtId="0" fontId="7" fillId="10" borderId="0" xfId="0" applyFont="1" applyFill="1" applyProtection="1">
      <protection hidden="1"/>
    </xf>
    <xf numFmtId="0" fontId="43" fillId="7" borderId="0" xfId="0" applyFont="1" applyFill="1" applyProtection="1">
      <protection hidden="1"/>
    </xf>
    <xf numFmtId="0" fontId="7" fillId="7" borderId="0" xfId="0" applyFont="1" applyFill="1" applyAlignment="1" applyProtection="1">
      <alignment shrinkToFit="1"/>
      <protection hidden="1"/>
    </xf>
    <xf numFmtId="0" fontId="7" fillId="7" borderId="0" xfId="0" applyFont="1" applyFill="1" applyProtection="1">
      <protection hidden="1"/>
    </xf>
    <xf numFmtId="0" fontId="7" fillId="7" borderId="0" xfId="0" applyFont="1" applyFill="1" applyAlignment="1" applyProtection="1">
      <alignment horizontal="center" shrinkToFit="1"/>
      <protection hidden="1"/>
    </xf>
    <xf numFmtId="0" fontId="113" fillId="21" borderId="0" xfId="0" applyFont="1" applyFill="1" applyAlignment="1" applyProtection="1">
      <alignment horizontal="center" vertical="center" shrinkToFit="1"/>
      <protection hidden="1"/>
    </xf>
    <xf numFmtId="0" fontId="13" fillId="21" borderId="0" xfId="0" applyFont="1" applyFill="1" applyAlignment="1" applyProtection="1">
      <alignment horizontal="center" vertical="center" shrinkToFit="1"/>
      <protection hidden="1"/>
    </xf>
    <xf numFmtId="0" fontId="7" fillId="21" borderId="0" xfId="0" applyFont="1" applyFill="1" applyAlignment="1" applyProtection="1">
      <alignment horizontal="left" vertical="center" shrinkToFit="1"/>
      <protection hidden="1"/>
    </xf>
    <xf numFmtId="0" fontId="0" fillId="21" borderId="0" xfId="0" applyFill="1" applyProtection="1">
      <protection hidden="1"/>
    </xf>
    <xf numFmtId="0" fontId="8" fillId="21" borderId="0" xfId="0" applyFont="1" applyFill="1" applyAlignment="1" applyProtection="1">
      <alignment horizontal="center" vertical="center" shrinkToFit="1"/>
      <protection hidden="1"/>
    </xf>
    <xf numFmtId="0" fontId="110" fillId="21" borderId="0" xfId="0" applyFont="1" applyFill="1" applyAlignment="1" applyProtection="1">
      <alignment horizontal="right" vertical="center"/>
      <protection hidden="1"/>
    </xf>
    <xf numFmtId="0" fontId="111" fillId="21" borderId="0" xfId="0" applyFont="1" applyFill="1" applyAlignment="1" applyProtection="1">
      <alignment horizontal="left" vertical="center"/>
      <protection hidden="1"/>
    </xf>
    <xf numFmtId="165" fontId="111" fillId="21" borderId="0" xfId="0" applyNumberFormat="1" applyFont="1" applyFill="1" applyAlignment="1" applyProtection="1">
      <alignment horizontal="left" vertical="center"/>
      <protection hidden="1"/>
    </xf>
    <xf numFmtId="0" fontId="7" fillId="21" borderId="0" xfId="0" applyFont="1" applyFill="1" applyAlignment="1" applyProtection="1">
      <alignment horizontal="center" vertical="center"/>
      <protection hidden="1"/>
    </xf>
    <xf numFmtId="0" fontId="8" fillId="21" borderId="0" xfId="0" applyFont="1" applyFill="1" applyAlignment="1" applyProtection="1">
      <alignment shrinkToFit="1"/>
      <protection hidden="1"/>
    </xf>
    <xf numFmtId="0" fontId="110" fillId="21" borderId="0" xfId="0" applyFont="1" applyFill="1" applyAlignment="1" applyProtection="1">
      <alignment horizontal="left" vertical="center"/>
      <protection hidden="1"/>
    </xf>
    <xf numFmtId="0" fontId="52" fillId="21" borderId="0" xfId="0" applyFont="1" applyFill="1" applyAlignment="1" applyProtection="1">
      <alignment horizontal="left" vertical="center" shrinkToFit="1"/>
      <protection hidden="1"/>
    </xf>
    <xf numFmtId="0" fontId="52" fillId="21" borderId="0" xfId="0" applyFont="1" applyFill="1" applyAlignment="1" applyProtection="1">
      <alignment horizontal="center" vertical="center" shrinkToFit="1"/>
      <protection hidden="1"/>
    </xf>
    <xf numFmtId="0" fontId="48" fillId="21" borderId="0" xfId="0" applyFont="1" applyFill="1" applyAlignment="1" applyProtection="1">
      <alignment horizontal="center" vertical="center" shrinkToFit="1"/>
      <protection hidden="1"/>
    </xf>
    <xf numFmtId="0" fontId="4" fillId="21" borderId="0" xfId="0" applyFont="1" applyFill="1" applyAlignment="1" applyProtection="1">
      <alignment horizontal="center" vertical="center" shrinkToFit="1"/>
      <protection hidden="1"/>
    </xf>
    <xf numFmtId="0" fontId="48" fillId="21" borderId="0" xfId="0" applyFont="1" applyFill="1" applyAlignment="1" applyProtection="1">
      <alignment shrinkToFit="1"/>
      <protection hidden="1"/>
    </xf>
    <xf numFmtId="0" fontId="52" fillId="21" borderId="0" xfId="0" applyFont="1" applyFill="1" applyAlignment="1" applyProtection="1">
      <alignment horizontal="left" shrinkToFit="1"/>
      <protection hidden="1"/>
    </xf>
    <xf numFmtId="0" fontId="48" fillId="21" borderId="0" xfId="0" applyFont="1" applyFill="1" applyAlignment="1" applyProtection="1">
      <alignment horizontal="center" shrinkToFit="1"/>
      <protection hidden="1"/>
    </xf>
    <xf numFmtId="49" fontId="51" fillId="21" borderId="0" xfId="0" applyNumberFormat="1" applyFont="1" applyFill="1" applyProtection="1">
      <protection hidden="1"/>
    </xf>
    <xf numFmtId="165" fontId="48" fillId="21" borderId="0" xfId="0" applyNumberFormat="1" applyFont="1" applyFill="1" applyAlignment="1" applyProtection="1">
      <alignment horizontal="center" shrinkToFit="1"/>
      <protection hidden="1"/>
    </xf>
    <xf numFmtId="0" fontId="8" fillId="21" borderId="0" xfId="0" applyFont="1" applyFill="1" applyAlignment="1" applyProtection="1">
      <alignment horizontal="center" shrinkToFit="1"/>
      <protection hidden="1"/>
    </xf>
    <xf numFmtId="0" fontId="0" fillId="21" borderId="28" xfId="0" applyFill="1" applyBorder="1" applyProtection="1">
      <protection hidden="1"/>
    </xf>
    <xf numFmtId="0" fontId="0" fillId="7" borderId="0" xfId="0" applyFill="1" applyProtection="1">
      <protection hidden="1"/>
    </xf>
    <xf numFmtId="0" fontId="0" fillId="0" borderId="0" xfId="0" applyProtection="1">
      <protection hidden="1"/>
    </xf>
    <xf numFmtId="0" fontId="13" fillId="7" borderId="18" xfId="0" applyFont="1" applyFill="1" applyBorder="1" applyAlignment="1" applyProtection="1">
      <alignment horizontal="center" vertical="center" shrinkToFit="1"/>
      <protection hidden="1"/>
    </xf>
    <xf numFmtId="169" fontId="7" fillId="7" borderId="25" xfId="0" applyNumberFormat="1" applyFont="1" applyFill="1" applyBorder="1" applyAlignment="1" applyProtection="1">
      <alignment horizontal="center" vertical="center" shrinkToFit="1"/>
      <protection hidden="1"/>
    </xf>
    <xf numFmtId="1" fontId="50" fillId="22" borderId="25" xfId="0" applyNumberFormat="1" applyFont="1" applyFill="1" applyBorder="1" applyAlignment="1" applyProtection="1">
      <alignment horizontal="center" vertical="center" shrinkToFit="1"/>
      <protection hidden="1"/>
    </xf>
    <xf numFmtId="165" fontId="50" fillId="23" borderId="25" xfId="0" applyNumberFormat="1" applyFont="1" applyFill="1" applyBorder="1" applyAlignment="1" applyProtection="1">
      <alignment horizontal="center" vertical="center" shrinkToFit="1"/>
      <protection hidden="1"/>
    </xf>
    <xf numFmtId="165" fontId="50" fillId="24" borderId="25" xfId="0" applyNumberFormat="1" applyFont="1" applyFill="1" applyBorder="1" applyAlignment="1" applyProtection="1">
      <alignment horizontal="center" shrinkToFit="1" readingOrder="1"/>
      <protection hidden="1"/>
    </xf>
    <xf numFmtId="0" fontId="47" fillId="7" borderId="0" xfId="0" applyFont="1" applyFill="1" applyAlignment="1" applyProtection="1">
      <alignment horizontal="center" vertical="center" shrinkToFit="1"/>
      <protection hidden="1"/>
    </xf>
    <xf numFmtId="169" fontId="7" fillId="7" borderId="6" xfId="0" applyNumberFormat="1" applyFont="1" applyFill="1" applyBorder="1" applyAlignment="1" applyProtection="1">
      <alignment horizontal="center" vertical="center" shrinkToFit="1"/>
      <protection hidden="1"/>
    </xf>
    <xf numFmtId="1" fontId="50" fillId="22" borderId="6" xfId="0" applyNumberFormat="1" applyFont="1" applyFill="1" applyBorder="1" applyAlignment="1" applyProtection="1">
      <alignment horizontal="center" vertical="center" shrinkToFit="1"/>
      <protection hidden="1"/>
    </xf>
    <xf numFmtId="165" fontId="50" fillId="23" borderId="6" xfId="0" applyNumberFormat="1" applyFont="1" applyFill="1" applyBorder="1" applyAlignment="1" applyProtection="1">
      <alignment horizontal="center" vertical="center" shrinkToFit="1"/>
      <protection hidden="1"/>
    </xf>
    <xf numFmtId="1" fontId="50" fillId="22" borderId="10" xfId="0" applyNumberFormat="1" applyFont="1" applyFill="1" applyBorder="1" applyAlignment="1" applyProtection="1">
      <alignment horizontal="center" vertical="center" shrinkToFit="1"/>
      <protection hidden="1"/>
    </xf>
    <xf numFmtId="165" fontId="50" fillId="24" borderId="10" xfId="0" applyNumberFormat="1" applyFont="1" applyFill="1" applyBorder="1" applyAlignment="1" applyProtection="1">
      <alignment horizontal="center" shrinkToFit="1" readingOrder="1"/>
      <protection hidden="1"/>
    </xf>
    <xf numFmtId="0" fontId="49" fillId="0" borderId="17" xfId="0" applyFont="1" applyBorder="1" applyAlignment="1" applyProtection="1">
      <alignment horizontal="left" shrinkToFit="1"/>
      <protection hidden="1"/>
    </xf>
    <xf numFmtId="0" fontId="52" fillId="7" borderId="17" xfId="0" applyFont="1" applyFill="1" applyBorder="1" applyAlignment="1" applyProtection="1">
      <alignment horizontal="left" shrinkToFit="1"/>
      <protection hidden="1"/>
    </xf>
    <xf numFmtId="165" fontId="50" fillId="12" borderId="17" xfId="0" applyNumberFormat="1" applyFont="1" applyFill="1" applyBorder="1" applyAlignment="1" applyProtection="1">
      <alignment horizontal="center" vertical="center" shrinkToFit="1"/>
      <protection hidden="1"/>
    </xf>
    <xf numFmtId="1" fontId="50" fillId="11" borderId="26" xfId="0" applyNumberFormat="1" applyFont="1" applyFill="1" applyBorder="1" applyAlignment="1" applyProtection="1">
      <alignment horizontal="center" vertical="center"/>
      <protection hidden="1"/>
    </xf>
    <xf numFmtId="0" fontId="11" fillId="0" borderId="16" xfId="0" applyFont="1" applyBorder="1" applyAlignment="1" applyProtection="1">
      <alignment horizontal="right" vertical="center" shrinkToFit="1"/>
      <protection hidden="1"/>
    </xf>
    <xf numFmtId="0" fontId="13" fillId="7" borderId="107" xfId="0" applyFont="1" applyFill="1" applyBorder="1" applyAlignment="1" applyProtection="1">
      <alignment horizontal="center" vertical="center" shrinkToFit="1"/>
      <protection hidden="1"/>
    </xf>
    <xf numFmtId="0" fontId="51" fillId="22" borderId="27" xfId="0" applyFont="1" applyFill="1" applyBorder="1" applyAlignment="1" applyProtection="1">
      <alignment horizontal="center" shrinkToFit="1"/>
      <protection hidden="1"/>
    </xf>
    <xf numFmtId="0" fontId="51" fillId="24" borderId="27" xfId="0" applyFont="1" applyFill="1" applyBorder="1" applyAlignment="1" applyProtection="1">
      <alignment horizontal="center" shrinkToFit="1"/>
      <protection hidden="1"/>
    </xf>
    <xf numFmtId="0" fontId="47" fillId="7" borderId="0" xfId="0" applyFont="1" applyFill="1" applyAlignment="1" applyProtection="1">
      <alignment shrinkToFit="1"/>
      <protection hidden="1"/>
    </xf>
    <xf numFmtId="0" fontId="0" fillId="14" borderId="0" xfId="0" applyFill="1" applyProtection="1">
      <protection hidden="1"/>
    </xf>
    <xf numFmtId="1" fontId="0" fillId="7" borderId="0" xfId="0" applyNumberFormat="1" applyFill="1" applyProtection="1">
      <protection hidden="1"/>
    </xf>
    <xf numFmtId="2" fontId="0" fillId="7" borderId="0" xfId="0" applyNumberFormat="1" applyFill="1" applyProtection="1">
      <protection hidden="1"/>
    </xf>
    <xf numFmtId="1" fontId="7" fillId="14" borderId="0" xfId="0" applyNumberFormat="1" applyFont="1" applyFill="1" applyAlignment="1" applyProtection="1">
      <alignment horizontal="center"/>
      <protection hidden="1"/>
    </xf>
    <xf numFmtId="0" fontId="68" fillId="7" borderId="0" xfId="0" applyFont="1" applyFill="1" applyAlignment="1" applyProtection="1">
      <alignment horizontal="center" vertical="center" shrinkToFit="1"/>
      <protection hidden="1"/>
    </xf>
    <xf numFmtId="0" fontId="43" fillId="7" borderId="0" xfId="0" applyFont="1" applyFill="1" applyAlignment="1" applyProtection="1">
      <alignment horizontal="center" shrinkToFit="1"/>
      <protection hidden="1"/>
    </xf>
    <xf numFmtId="0" fontId="68" fillId="7" borderId="0" xfId="0" applyFont="1" applyFill="1" applyAlignment="1" applyProtection="1">
      <alignment horizontal="left" shrinkToFit="1"/>
      <protection hidden="1"/>
    </xf>
    <xf numFmtId="0" fontId="67" fillId="7" borderId="0" xfId="0" applyFont="1" applyFill="1" applyAlignment="1" applyProtection="1">
      <alignment horizontal="center" vertical="center" shrinkToFit="1"/>
      <protection hidden="1"/>
    </xf>
    <xf numFmtId="0" fontId="0" fillId="7" borderId="0" xfId="0" applyFill="1" applyAlignment="1" applyProtection="1">
      <alignment horizontal="left" shrinkToFit="1"/>
      <protection hidden="1"/>
    </xf>
    <xf numFmtId="0" fontId="0" fillId="7" borderId="0" xfId="0" applyFill="1" applyAlignment="1" applyProtection="1">
      <alignment horizontal="center" vertical="center" shrinkToFit="1"/>
      <protection hidden="1"/>
    </xf>
    <xf numFmtId="0" fontId="45" fillId="7" borderId="0" xfId="0" applyFont="1" applyFill="1" applyAlignment="1" applyProtection="1">
      <alignment horizontal="center" vertical="center"/>
      <protection hidden="1"/>
    </xf>
    <xf numFmtId="0" fontId="4" fillId="7" borderId="0" xfId="0" applyFont="1" applyFill="1" applyAlignment="1" applyProtection="1">
      <alignment horizontal="center" vertical="center"/>
      <protection hidden="1"/>
    </xf>
    <xf numFmtId="165" fontId="4" fillId="7" borderId="0" xfId="0" applyNumberFormat="1" applyFont="1" applyFill="1" applyAlignment="1" applyProtection="1">
      <alignment horizontal="center" vertical="center"/>
      <protection hidden="1"/>
    </xf>
    <xf numFmtId="0" fontId="43" fillId="7" borderId="0" xfId="0" applyFont="1" applyFill="1" applyAlignment="1" applyProtection="1">
      <alignment horizontal="center" vertical="center"/>
      <protection hidden="1"/>
    </xf>
    <xf numFmtId="0" fontId="0" fillId="7" borderId="0" xfId="0" applyFill="1" applyAlignment="1" applyProtection="1">
      <alignment shrinkToFit="1"/>
      <protection hidden="1"/>
    </xf>
    <xf numFmtId="0" fontId="0" fillId="7" borderId="0" xfId="0" applyFill="1" applyAlignment="1" applyProtection="1">
      <alignment horizontal="center" vertical="center"/>
      <protection hidden="1"/>
    </xf>
    <xf numFmtId="0" fontId="0" fillId="7" borderId="0" xfId="0" applyFill="1" applyAlignment="1" applyProtection="1">
      <alignment horizontal="left" vertical="center" shrinkToFit="1"/>
      <protection hidden="1"/>
    </xf>
    <xf numFmtId="0" fontId="81" fillId="7" borderId="0" xfId="0" applyFont="1" applyFill="1" applyAlignment="1" applyProtection="1">
      <alignment horizontal="left"/>
      <protection hidden="1"/>
    </xf>
    <xf numFmtId="49" fontId="0" fillId="7" borderId="0" xfId="0" applyNumberFormat="1" applyFill="1" applyAlignment="1" applyProtection="1">
      <alignment horizontal="center" shrinkToFit="1"/>
      <protection hidden="1"/>
    </xf>
    <xf numFmtId="0" fontId="4" fillId="7" borderId="0" xfId="0" applyFont="1" applyFill="1" applyAlignment="1" applyProtection="1">
      <alignment horizontal="center"/>
      <protection hidden="1"/>
    </xf>
    <xf numFmtId="165" fontId="4" fillId="7" borderId="0" xfId="0" applyNumberFormat="1" applyFont="1" applyFill="1" applyAlignment="1" applyProtection="1">
      <alignment horizontal="center"/>
      <protection hidden="1"/>
    </xf>
    <xf numFmtId="0" fontId="0" fillId="7" borderId="0" xfId="0" applyFill="1" applyAlignment="1" applyProtection="1">
      <alignment horizontal="center"/>
      <protection hidden="1"/>
    </xf>
    <xf numFmtId="0" fontId="0" fillId="7" borderId="19" xfId="0" applyFill="1" applyBorder="1" applyProtection="1">
      <protection hidden="1"/>
    </xf>
    <xf numFmtId="0" fontId="51" fillId="7" borderId="0" xfId="0" applyFont="1" applyFill="1" applyAlignment="1" applyProtection="1">
      <alignment horizontal="center"/>
      <protection hidden="1"/>
    </xf>
    <xf numFmtId="3" fontId="59" fillId="7" borderId="37" xfId="0" applyNumberFormat="1" applyFont="1" applyFill="1" applyBorder="1" applyAlignment="1" applyProtection="1">
      <alignment horizontal="center" shrinkToFit="1"/>
      <protection hidden="1"/>
    </xf>
    <xf numFmtId="4" fontId="59" fillId="7" borderId="37" xfId="0" applyNumberFormat="1" applyFont="1" applyFill="1" applyBorder="1" applyAlignment="1" applyProtection="1">
      <alignment horizontal="center" shrinkToFit="1"/>
      <protection hidden="1"/>
    </xf>
    <xf numFmtId="4" fontId="59" fillId="7" borderId="38" xfId="0" applyNumberFormat="1" applyFont="1" applyFill="1" applyBorder="1" applyAlignment="1" applyProtection="1">
      <alignment horizontal="center" shrinkToFit="1"/>
      <protection hidden="1"/>
    </xf>
    <xf numFmtId="1" fontId="50" fillId="22" borderId="128" xfId="0" applyNumberFormat="1" applyFont="1" applyFill="1" applyBorder="1" applyAlignment="1" applyProtection="1">
      <alignment horizontal="center" vertical="center" shrinkToFit="1"/>
      <protection hidden="1"/>
    </xf>
    <xf numFmtId="0" fontId="50" fillId="22" borderId="8" xfId="0" applyFont="1" applyFill="1" applyBorder="1" applyAlignment="1" applyProtection="1">
      <alignment horizontal="center" shrinkToFit="1"/>
      <protection hidden="1"/>
    </xf>
    <xf numFmtId="165" fontId="50" fillId="24" borderId="8" xfId="0" applyNumberFormat="1" applyFont="1" applyFill="1" applyBorder="1" applyAlignment="1" applyProtection="1">
      <alignment horizontal="center" shrinkToFit="1"/>
      <protection hidden="1"/>
    </xf>
    <xf numFmtId="0" fontId="13" fillId="7" borderId="8" xfId="0" applyFont="1" applyFill="1" applyBorder="1" applyAlignment="1" applyProtection="1">
      <alignment horizontal="center" shrinkToFit="1"/>
      <protection hidden="1"/>
    </xf>
    <xf numFmtId="0" fontId="13" fillId="7" borderId="13" xfId="0" applyFont="1" applyFill="1" applyBorder="1" applyAlignment="1" applyProtection="1">
      <alignment horizontal="center" shrinkToFit="1"/>
      <protection hidden="1"/>
    </xf>
    <xf numFmtId="0" fontId="13" fillId="7" borderId="39" xfId="0" applyFont="1" applyFill="1" applyBorder="1" applyAlignment="1" applyProtection="1">
      <alignment horizontal="center" shrinkToFit="1"/>
      <protection hidden="1"/>
    </xf>
    <xf numFmtId="0" fontId="50" fillId="22" borderId="43" xfId="0" applyFont="1" applyFill="1" applyBorder="1" applyAlignment="1" applyProtection="1">
      <alignment horizontal="center" shrinkToFit="1"/>
      <protection hidden="1"/>
    </xf>
    <xf numFmtId="0" fontId="50" fillId="22" borderId="24" xfId="0" applyFont="1" applyFill="1" applyBorder="1" applyAlignment="1" applyProtection="1">
      <alignment horizontal="center" shrinkToFit="1"/>
      <protection hidden="1"/>
    </xf>
    <xf numFmtId="165" fontId="50" fillId="24" borderId="24" xfId="0" applyNumberFormat="1" applyFont="1" applyFill="1" applyBorder="1" applyAlignment="1" applyProtection="1">
      <alignment horizontal="center" shrinkToFit="1"/>
      <protection hidden="1"/>
    </xf>
    <xf numFmtId="0" fontId="13" fillId="7" borderId="24" xfId="0" applyFont="1" applyFill="1" applyBorder="1" applyAlignment="1" applyProtection="1">
      <alignment horizontal="center" shrinkToFit="1"/>
      <protection hidden="1"/>
    </xf>
    <xf numFmtId="0" fontId="13" fillId="7" borderId="40" xfId="0" applyFont="1" applyFill="1" applyBorder="1" applyAlignment="1" applyProtection="1">
      <alignment horizontal="center" shrinkToFit="1"/>
      <protection hidden="1"/>
    </xf>
    <xf numFmtId="0" fontId="13" fillId="7" borderId="41" xfId="0" applyFont="1" applyFill="1" applyBorder="1" applyAlignment="1" applyProtection="1">
      <alignment horizontal="center" shrinkToFit="1"/>
      <protection hidden="1"/>
    </xf>
    <xf numFmtId="0" fontId="67" fillId="7" borderId="0" xfId="0" applyFont="1" applyFill="1" applyAlignment="1" applyProtection="1">
      <alignment horizontal="center" vertical="center"/>
      <protection hidden="1"/>
    </xf>
    <xf numFmtId="165" fontId="77" fillId="7" borderId="0" xfId="0" applyNumberFormat="1" applyFont="1" applyFill="1" applyAlignment="1" applyProtection="1">
      <alignment horizontal="left" vertical="center"/>
      <protection hidden="1"/>
    </xf>
    <xf numFmtId="0" fontId="69" fillId="7" borderId="0" xfId="0" applyFont="1" applyFill="1" applyAlignment="1" applyProtection="1">
      <alignment horizontal="left" vertical="center"/>
      <protection hidden="1"/>
    </xf>
    <xf numFmtId="1" fontId="69" fillId="7" borderId="0" xfId="0" applyNumberFormat="1" applyFont="1" applyFill="1" applyAlignment="1" applyProtection="1">
      <alignment horizontal="center" vertical="center"/>
      <protection hidden="1"/>
    </xf>
    <xf numFmtId="0" fontId="0" fillId="28" borderId="0" xfId="0" applyFill="1" applyProtection="1">
      <protection hidden="1"/>
    </xf>
    <xf numFmtId="0" fontId="0" fillId="32" borderId="0" xfId="0" applyFill="1" applyAlignment="1" applyProtection="1">
      <alignment horizontal="center" vertical="center" shrinkToFit="1"/>
      <protection hidden="1"/>
    </xf>
    <xf numFmtId="0" fontId="0" fillId="7" borderId="0" xfId="0" applyFill="1" applyAlignment="1" applyProtection="1">
      <alignment horizontal="left"/>
      <protection hidden="1"/>
    </xf>
    <xf numFmtId="0" fontId="0" fillId="37" borderId="0" xfId="0" applyFill="1" applyProtection="1">
      <protection hidden="1"/>
    </xf>
    <xf numFmtId="0" fontId="0" fillId="37" borderId="0" xfId="0" applyFill="1" applyAlignment="1" applyProtection="1">
      <alignment horizontal="center" vertical="center" shrinkToFit="1"/>
      <protection hidden="1"/>
    </xf>
    <xf numFmtId="0" fontId="68" fillId="10" borderId="0" xfId="0" applyFont="1" applyFill="1" applyAlignment="1" applyProtection="1">
      <alignment horizontal="left" shrinkToFit="1"/>
      <protection hidden="1"/>
    </xf>
    <xf numFmtId="0" fontId="67" fillId="10" borderId="0" xfId="0" applyFont="1" applyFill="1" applyAlignment="1" applyProtection="1">
      <alignment horizontal="center" vertical="center"/>
      <protection hidden="1"/>
    </xf>
    <xf numFmtId="0" fontId="0" fillId="10" borderId="0" xfId="0" applyFill="1" applyAlignment="1" applyProtection="1">
      <alignment horizontal="left" shrinkToFit="1"/>
      <protection hidden="1"/>
    </xf>
    <xf numFmtId="0" fontId="0" fillId="10" borderId="0" xfId="0" applyFill="1" applyAlignment="1" applyProtection="1">
      <alignment horizontal="center" vertical="center" shrinkToFit="1"/>
      <protection hidden="1"/>
    </xf>
    <xf numFmtId="0" fontId="45" fillId="10" borderId="0" xfId="0" applyFont="1" applyFill="1" applyAlignment="1" applyProtection="1">
      <alignment horizontal="center" vertical="center"/>
      <protection hidden="1"/>
    </xf>
    <xf numFmtId="0" fontId="4" fillId="10" borderId="0" xfId="0" applyFont="1" applyFill="1" applyAlignment="1" applyProtection="1">
      <alignment horizontal="center" vertical="center"/>
      <protection hidden="1"/>
    </xf>
    <xf numFmtId="165" fontId="4" fillId="10" borderId="0" xfId="0" applyNumberFormat="1" applyFont="1" applyFill="1" applyAlignment="1" applyProtection="1">
      <alignment horizontal="center" vertical="center"/>
      <protection hidden="1"/>
    </xf>
    <xf numFmtId="0" fontId="43" fillId="10" borderId="0" xfId="0" applyFont="1" applyFill="1" applyAlignment="1" applyProtection="1">
      <alignment horizontal="center" vertical="center"/>
      <protection hidden="1"/>
    </xf>
    <xf numFmtId="0" fontId="0" fillId="10" borderId="0" xfId="0" applyFill="1" applyAlignment="1" applyProtection="1">
      <alignment horizontal="center" vertical="center"/>
      <protection hidden="1"/>
    </xf>
    <xf numFmtId="0" fontId="0" fillId="10" borderId="0" xfId="0" applyFill="1" applyAlignment="1" applyProtection="1">
      <alignment horizontal="left" vertical="center" shrinkToFit="1"/>
      <protection hidden="1"/>
    </xf>
    <xf numFmtId="0" fontId="0" fillId="10" borderId="0" xfId="0" applyFill="1" applyProtection="1">
      <protection hidden="1"/>
    </xf>
    <xf numFmtId="0" fontId="0" fillId="10" borderId="0" xfId="0" applyFill="1" applyAlignment="1" applyProtection="1">
      <alignment horizontal="center"/>
      <protection hidden="1"/>
    </xf>
    <xf numFmtId="49" fontId="0" fillId="10" borderId="0" xfId="0" applyNumberFormat="1" applyFill="1" applyAlignment="1" applyProtection="1">
      <alignment horizontal="center" shrinkToFit="1"/>
      <protection hidden="1"/>
    </xf>
    <xf numFmtId="0" fontId="4" fillId="10" borderId="0" xfId="0" applyFont="1" applyFill="1" applyAlignment="1" applyProtection="1">
      <alignment horizontal="center"/>
      <protection hidden="1"/>
    </xf>
    <xf numFmtId="165" fontId="4" fillId="10" borderId="0" xfId="0" applyNumberFormat="1" applyFont="1" applyFill="1" applyAlignment="1" applyProtection="1">
      <alignment horizontal="center"/>
      <protection hidden="1"/>
    </xf>
    <xf numFmtId="0" fontId="0" fillId="10" borderId="28" xfId="0" applyFill="1" applyBorder="1" applyProtection="1">
      <protection hidden="1"/>
    </xf>
    <xf numFmtId="0" fontId="0" fillId="0" borderId="0" xfId="0" applyAlignment="1" applyProtection="1">
      <alignment horizontal="center"/>
      <protection hidden="1"/>
    </xf>
    <xf numFmtId="0" fontId="0" fillId="0" borderId="0" xfId="0" applyAlignment="1" applyProtection="1">
      <alignment shrinkToFit="1"/>
      <protection hidden="1"/>
    </xf>
    <xf numFmtId="0" fontId="47" fillId="14" borderId="0" xfId="0" applyFont="1" applyFill="1" applyAlignment="1" applyProtection="1">
      <alignment horizontal="right" vertical="center" shrinkToFit="1"/>
      <protection hidden="1"/>
    </xf>
    <xf numFmtId="0" fontId="47" fillId="14" borderId="0" xfId="0" applyFont="1" applyFill="1" applyAlignment="1" applyProtection="1">
      <alignment horizontal="right" shrinkToFit="1"/>
      <protection hidden="1"/>
    </xf>
    <xf numFmtId="0" fontId="83" fillId="14" borderId="0" xfId="0" applyFont="1" applyFill="1" applyAlignment="1" applyProtection="1">
      <alignment horizontal="right" vertical="center" shrinkToFit="1"/>
      <protection hidden="1"/>
    </xf>
    <xf numFmtId="0" fontId="0" fillId="14" borderId="0" xfId="0" applyFill="1" applyAlignment="1" applyProtection="1">
      <alignment horizontal="right"/>
      <protection hidden="1"/>
    </xf>
    <xf numFmtId="0" fontId="0" fillId="0" borderId="0" xfId="0" applyAlignment="1" applyProtection="1">
      <alignment horizontal="right"/>
      <protection hidden="1"/>
    </xf>
    <xf numFmtId="0" fontId="7" fillId="41" borderId="0" xfId="0" applyFont="1" applyFill="1" applyAlignment="1">
      <alignment horizontal="left" vertical="center" shrinkToFit="1"/>
    </xf>
    <xf numFmtId="0" fontId="7" fillId="41" borderId="0" xfId="0" applyFont="1" applyFill="1" applyAlignment="1">
      <alignment horizontal="left" shrinkToFit="1"/>
    </xf>
    <xf numFmtId="0" fontId="10" fillId="41" borderId="0" xfId="0" applyFont="1" applyFill="1" applyAlignment="1">
      <alignment horizontal="left" vertical="center" shrinkToFit="1"/>
    </xf>
    <xf numFmtId="0" fontId="0" fillId="41" borderId="0" xfId="0" applyFill="1" applyAlignment="1">
      <alignment horizontal="left" shrinkToFit="1"/>
    </xf>
    <xf numFmtId="0" fontId="0" fillId="41" borderId="126" xfId="0" applyFill="1" applyBorder="1" applyAlignment="1">
      <alignment horizontal="left" shrinkToFit="1"/>
    </xf>
    <xf numFmtId="0" fontId="0" fillId="41" borderId="120" xfId="0" applyFill="1" applyBorder="1" applyAlignment="1">
      <alignment horizontal="left" shrinkToFit="1"/>
    </xf>
    <xf numFmtId="0" fontId="0" fillId="41" borderId="121" xfId="0" applyFill="1" applyBorder="1" applyAlignment="1">
      <alignment horizontal="left" shrinkToFit="1"/>
    </xf>
    <xf numFmtId="0" fontId="9" fillId="41" borderId="0" xfId="150" applyFill="1" applyBorder="1" applyAlignment="1" applyProtection="1">
      <alignment horizontal="left" vertical="center" shrinkToFit="1"/>
    </xf>
    <xf numFmtId="0" fontId="9" fillId="41" borderId="0" xfId="150" applyFill="1" applyAlignment="1" applyProtection="1"/>
    <xf numFmtId="0" fontId="9" fillId="41" borderId="0" xfId="150" applyFill="1" applyAlignment="1" applyProtection="1">
      <alignment horizontal="left" shrinkToFit="1"/>
    </xf>
    <xf numFmtId="0" fontId="13" fillId="7" borderId="34" xfId="0" applyFont="1" applyFill="1" applyBorder="1" applyAlignment="1" applyProtection="1">
      <alignment horizontal="center" vertical="center" shrinkToFit="1"/>
      <protection hidden="1"/>
    </xf>
    <xf numFmtId="0" fontId="10" fillId="7" borderId="0" xfId="150" applyFont="1" applyFill="1" applyAlignment="1" applyProtection="1">
      <alignment vertical="center"/>
    </xf>
    <xf numFmtId="0" fontId="68" fillId="7" borderId="0" xfId="0" applyFont="1" applyFill="1" applyAlignment="1">
      <alignment vertical="center"/>
    </xf>
    <xf numFmtId="0" fontId="70" fillId="7" borderId="0" xfId="0" applyFont="1" applyFill="1" applyAlignment="1">
      <alignment vertical="center"/>
    </xf>
    <xf numFmtId="0" fontId="10" fillId="7" borderId="0" xfId="0" applyFont="1" applyFill="1" applyAlignment="1">
      <alignment vertical="center"/>
    </xf>
    <xf numFmtId="0" fontId="68" fillId="7" borderId="0" xfId="0" applyFont="1" applyFill="1"/>
    <xf numFmtId="0" fontId="119" fillId="7" borderId="0" xfId="0" applyFont="1" applyFill="1"/>
    <xf numFmtId="0" fontId="68" fillId="7" borderId="0" xfId="0" applyFont="1" applyFill="1" applyAlignment="1">
      <alignment horizontal="left" vertical="center" indent="5"/>
    </xf>
    <xf numFmtId="0" fontId="10" fillId="7" borderId="0" xfId="357" applyFont="1" applyFill="1"/>
    <xf numFmtId="0" fontId="10" fillId="7" borderId="0" xfId="0" applyFont="1" applyFill="1"/>
    <xf numFmtId="0" fontId="10" fillId="7" borderId="0" xfId="708" applyFont="1" applyFill="1" applyAlignment="1">
      <alignment vertical="center"/>
    </xf>
    <xf numFmtId="0" fontId="84" fillId="7" borderId="0" xfId="150" applyFont="1" applyFill="1" applyAlignment="1" applyProtection="1">
      <alignment vertical="center"/>
    </xf>
    <xf numFmtId="0" fontId="84" fillId="7" borderId="0" xfId="708" applyFont="1" applyFill="1" applyAlignment="1">
      <alignment vertical="center"/>
    </xf>
    <xf numFmtId="0" fontId="10" fillId="7" borderId="0" xfId="708" applyFont="1" applyFill="1"/>
    <xf numFmtId="0" fontId="10" fillId="7" borderId="0" xfId="150" applyFont="1" applyFill="1" applyAlignment="1" applyProtection="1"/>
    <xf numFmtId="0" fontId="121" fillId="7" borderId="0" xfId="0" applyFont="1" applyFill="1" applyAlignment="1">
      <alignment horizontal="left" vertical="center" indent="5"/>
    </xf>
    <xf numFmtId="0" fontId="7" fillId="10" borderId="0" xfId="0" applyFont="1" applyFill="1" applyAlignment="1" applyProtection="1">
      <alignment horizontal="left" shrinkToFit="1"/>
      <protection hidden="1"/>
    </xf>
    <xf numFmtId="0" fontId="7" fillId="10" borderId="0" xfId="0" applyFont="1" applyFill="1" applyAlignment="1" applyProtection="1">
      <alignment shrinkToFit="1"/>
      <protection hidden="1"/>
    </xf>
    <xf numFmtId="0" fontId="52" fillId="10" borderId="0" xfId="0" applyFont="1" applyFill="1" applyAlignment="1" applyProtection="1">
      <alignment horizontal="center" vertical="center"/>
      <protection hidden="1"/>
    </xf>
    <xf numFmtId="165" fontId="10" fillId="10" borderId="0" xfId="0" applyNumberFormat="1" applyFont="1" applyFill="1" applyAlignment="1" applyProtection="1">
      <alignment vertical="center"/>
      <protection hidden="1"/>
    </xf>
    <xf numFmtId="165" fontId="84" fillId="10" borderId="114" xfId="0" applyNumberFormat="1" applyFont="1" applyFill="1" applyBorder="1" applyAlignment="1" applyProtection="1">
      <alignment vertical="center"/>
      <protection hidden="1"/>
    </xf>
    <xf numFmtId="0" fontId="7" fillId="10" borderId="0" xfId="0" applyFont="1" applyFill="1" applyAlignment="1" applyProtection="1">
      <alignment horizontal="center" vertical="center" shrinkToFit="1"/>
      <protection hidden="1"/>
    </xf>
    <xf numFmtId="174" fontId="10" fillId="10" borderId="0" xfId="0" applyNumberFormat="1" applyFont="1" applyFill="1" applyAlignment="1" applyProtection="1">
      <alignment vertical="center" shrinkToFit="1"/>
      <protection hidden="1"/>
    </xf>
    <xf numFmtId="0" fontId="10" fillId="10" borderId="0" xfId="0" applyFont="1" applyFill="1" applyAlignment="1" applyProtection="1">
      <alignment horizontal="centerContinuous" shrinkToFit="1" readingOrder="1"/>
      <protection hidden="1"/>
    </xf>
    <xf numFmtId="9" fontId="10" fillId="10" borderId="113" xfId="0" applyNumberFormat="1" applyFont="1" applyFill="1" applyBorder="1" applyAlignment="1" applyProtection="1">
      <alignment horizontal="center" vertical="center"/>
      <protection hidden="1"/>
    </xf>
    <xf numFmtId="0" fontId="10" fillId="10" borderId="0" xfId="0" applyFont="1" applyFill="1" applyAlignment="1" applyProtection="1">
      <alignment horizontal="left" vertical="center"/>
      <protection hidden="1"/>
    </xf>
    <xf numFmtId="0" fontId="10" fillId="10" borderId="0" xfId="0" applyFont="1" applyFill="1" applyAlignment="1" applyProtection="1">
      <alignment horizontal="center" vertical="center"/>
      <protection hidden="1"/>
    </xf>
    <xf numFmtId="0" fontId="7" fillId="10" borderId="0" xfId="0" applyFont="1" applyFill="1" applyAlignment="1" applyProtection="1">
      <alignment horizontal="center" vertical="center"/>
      <protection hidden="1"/>
    </xf>
    <xf numFmtId="0" fontId="49" fillId="10" borderId="0" xfId="0" applyFont="1" applyFill="1" applyAlignment="1" applyProtection="1">
      <alignment vertical="center"/>
      <protection hidden="1"/>
    </xf>
    <xf numFmtId="0" fontId="10" fillId="10" borderId="0" xfId="0" applyFont="1" applyFill="1" applyAlignment="1" applyProtection="1">
      <alignment vertical="center"/>
      <protection hidden="1"/>
    </xf>
    <xf numFmtId="0" fontId="43" fillId="10" borderId="0" xfId="0" applyFont="1" applyFill="1" applyProtection="1">
      <protection hidden="1"/>
    </xf>
    <xf numFmtId="0" fontId="8" fillId="10" borderId="0" xfId="0" applyFont="1" applyFill="1" applyProtection="1">
      <protection hidden="1"/>
    </xf>
    <xf numFmtId="0" fontId="7" fillId="10" borderId="0" xfId="0" applyFont="1" applyFill="1" applyAlignment="1" applyProtection="1">
      <alignment horizontal="center"/>
      <protection hidden="1"/>
    </xf>
    <xf numFmtId="0" fontId="110" fillId="10" borderId="0" xfId="0" applyFont="1" applyFill="1" applyProtection="1">
      <protection hidden="1"/>
    </xf>
    <xf numFmtId="0" fontId="114" fillId="10" borderId="0" xfId="150" applyFont="1" applyFill="1" applyBorder="1" applyAlignment="1" applyProtection="1">
      <protection hidden="1"/>
    </xf>
    <xf numFmtId="0" fontId="7" fillId="10" borderId="134" xfId="0" applyFont="1" applyFill="1" applyBorder="1" applyAlignment="1" applyProtection="1">
      <alignment horizontal="center" vertical="center" shrinkToFit="1"/>
      <protection hidden="1"/>
    </xf>
    <xf numFmtId="0" fontId="13" fillId="7" borderId="116" xfId="0" applyFont="1" applyFill="1" applyBorder="1" applyAlignment="1" applyProtection="1">
      <alignment horizontal="center" vertical="center" shrinkToFit="1"/>
      <protection hidden="1"/>
    </xf>
    <xf numFmtId="0" fontId="69" fillId="31" borderId="0" xfId="0" applyFont="1" applyFill="1" applyAlignment="1" applyProtection="1">
      <alignment horizontal="left"/>
      <protection hidden="1"/>
    </xf>
    <xf numFmtId="0" fontId="11" fillId="7" borderId="0" xfId="0" applyFont="1" applyFill="1" applyAlignment="1" applyProtection="1">
      <alignment horizontal="left"/>
      <protection hidden="1"/>
    </xf>
    <xf numFmtId="0" fontId="45" fillId="7" borderId="0" xfId="0" applyFont="1" applyFill="1" applyProtection="1">
      <protection hidden="1"/>
    </xf>
    <xf numFmtId="0" fontId="43" fillId="7" borderId="0" xfId="0" applyFont="1" applyFill="1" applyAlignment="1" applyProtection="1">
      <alignment horizontal="center"/>
      <protection hidden="1"/>
    </xf>
    <xf numFmtId="0" fontId="12" fillId="7" borderId="0" xfId="0" applyFont="1" applyFill="1" applyAlignment="1" applyProtection="1">
      <alignment horizontal="left"/>
      <protection hidden="1"/>
    </xf>
    <xf numFmtId="0" fontId="45" fillId="0" borderId="0" xfId="0" applyFont="1" applyAlignment="1" applyProtection="1">
      <alignment horizontal="center" vertical="center"/>
      <protection hidden="1"/>
    </xf>
    <xf numFmtId="0" fontId="55" fillId="7" borderId="0" xfId="0" applyFont="1" applyFill="1" applyProtection="1">
      <protection hidden="1"/>
    </xf>
    <xf numFmtId="0" fontId="56" fillId="7" borderId="0" xfId="0" applyFont="1" applyFill="1" applyAlignment="1" applyProtection="1">
      <alignment vertical="center"/>
      <protection hidden="1"/>
    </xf>
    <xf numFmtId="0" fontId="58" fillId="7" borderId="0" xfId="0" applyFont="1" applyFill="1" applyProtection="1">
      <protection hidden="1"/>
    </xf>
    <xf numFmtId="0" fontId="63" fillId="7" borderId="0" xfId="0" applyFont="1" applyFill="1" applyProtection="1">
      <protection hidden="1"/>
    </xf>
    <xf numFmtId="0" fontId="0" fillId="33" borderId="0" xfId="0" applyFill="1" applyProtection="1">
      <protection hidden="1"/>
    </xf>
    <xf numFmtId="0" fontId="98" fillId="7" borderId="0" xfId="0" applyFont="1" applyFill="1" applyAlignment="1" applyProtection="1">
      <alignment vertical="center"/>
      <protection hidden="1"/>
    </xf>
    <xf numFmtId="0" fontId="13" fillId="7" borderId="25" xfId="0" applyFont="1" applyFill="1" applyBorder="1" applyAlignment="1" applyProtection="1">
      <alignment horizontal="center" vertical="center" shrinkToFit="1"/>
      <protection hidden="1"/>
    </xf>
    <xf numFmtId="0" fontId="13" fillId="7" borderId="6" xfId="0" applyFont="1" applyFill="1" applyBorder="1" applyAlignment="1" applyProtection="1">
      <alignment horizontal="center" vertical="center" shrinkToFit="1"/>
      <protection hidden="1"/>
    </xf>
    <xf numFmtId="0" fontId="7" fillId="10" borderId="0" xfId="0" applyFont="1" applyFill="1" applyAlignment="1" applyProtection="1">
      <alignment horizontal="right" vertical="center"/>
      <protection hidden="1"/>
    </xf>
    <xf numFmtId="0" fontId="7" fillId="10" borderId="0" xfId="0" applyFont="1" applyFill="1" applyAlignment="1" applyProtection="1">
      <alignment horizontal="left" vertical="center" shrinkToFit="1"/>
      <protection hidden="1"/>
    </xf>
    <xf numFmtId="0" fontId="7" fillId="10" borderId="0" xfId="0" applyFont="1" applyFill="1" applyAlignment="1" applyProtection="1">
      <alignment vertical="center"/>
      <protection hidden="1"/>
    </xf>
    <xf numFmtId="0" fontId="7" fillId="10" borderId="0" xfId="0" applyFont="1" applyFill="1" applyAlignment="1" applyProtection="1">
      <alignment vertical="center" shrinkToFit="1"/>
      <protection hidden="1"/>
    </xf>
    <xf numFmtId="165" fontId="7" fillId="10" borderId="0" xfId="0" applyNumberFormat="1" applyFont="1" applyFill="1" applyAlignment="1" applyProtection="1">
      <alignment horizontal="center" shrinkToFit="1"/>
      <protection hidden="1"/>
    </xf>
    <xf numFmtId="0" fontId="7" fillId="10" borderId="28" xfId="0" applyFont="1" applyFill="1" applyBorder="1" applyProtection="1">
      <protection hidden="1"/>
    </xf>
    <xf numFmtId="0" fontId="7" fillId="10" borderId="0" xfId="0" applyFont="1" applyFill="1" applyAlignment="1" applyProtection="1">
      <alignment horizontal="right"/>
      <protection hidden="1"/>
    </xf>
    <xf numFmtId="0" fontId="7" fillId="10" borderId="28" xfId="0" applyFont="1" applyFill="1" applyBorder="1" applyAlignment="1" applyProtection="1">
      <alignment wrapText="1"/>
      <protection hidden="1"/>
    </xf>
    <xf numFmtId="3" fontId="59" fillId="7" borderId="44" xfId="0" applyNumberFormat="1" applyFont="1" applyFill="1" applyBorder="1" applyAlignment="1" applyProtection="1">
      <alignment horizontal="center" shrinkToFit="1"/>
      <protection hidden="1"/>
    </xf>
    <xf numFmtId="0" fontId="7" fillId="10" borderId="0" xfId="0" applyFont="1" applyFill="1" applyAlignment="1" applyProtection="1">
      <alignment horizontal="center" shrinkToFit="1"/>
      <protection hidden="1"/>
    </xf>
    <xf numFmtId="0" fontId="90" fillId="14" borderId="0" xfId="0" applyFont="1" applyFill="1" applyAlignment="1" applyProtection="1">
      <alignment horizontal="right"/>
      <protection hidden="1"/>
    </xf>
    <xf numFmtId="1" fontId="90" fillId="7" borderId="0" xfId="0" applyNumberFormat="1" applyFont="1" applyFill="1" applyProtection="1">
      <protection hidden="1"/>
    </xf>
    <xf numFmtId="2" fontId="90" fillId="7" borderId="0" xfId="0" applyNumberFormat="1" applyFont="1" applyFill="1" applyProtection="1">
      <protection hidden="1"/>
    </xf>
    <xf numFmtId="0" fontId="90" fillId="7" borderId="0" xfId="0" applyFont="1" applyFill="1" applyProtection="1">
      <protection hidden="1"/>
    </xf>
    <xf numFmtId="0" fontId="90" fillId="14" borderId="0" xfId="0" applyFont="1" applyFill="1" applyProtection="1">
      <protection hidden="1"/>
    </xf>
    <xf numFmtId="0" fontId="90" fillId="0" borderId="0" xfId="0" applyFont="1" applyProtection="1">
      <protection hidden="1"/>
    </xf>
    <xf numFmtId="0" fontId="57" fillId="7" borderId="0" xfId="0" applyFont="1" applyFill="1" applyAlignment="1" applyProtection="1">
      <alignment horizontal="center"/>
      <protection hidden="1"/>
    </xf>
    <xf numFmtId="49" fontId="57" fillId="7" borderId="0" xfId="0" applyNumberFormat="1" applyFont="1" applyFill="1" applyAlignment="1" applyProtection="1">
      <alignment horizontal="center"/>
      <protection hidden="1"/>
    </xf>
    <xf numFmtId="49" fontId="0" fillId="7" borderId="0" xfId="0" applyNumberFormat="1" applyFill="1" applyAlignment="1" applyProtection="1">
      <alignment horizontal="center"/>
      <protection hidden="1"/>
    </xf>
    <xf numFmtId="0" fontId="0" fillId="7" borderId="0" xfId="0" applyFill="1" applyAlignment="1" applyProtection="1">
      <alignment horizontal="right"/>
      <protection hidden="1"/>
    </xf>
    <xf numFmtId="0" fontId="117" fillId="7" borderId="0" xfId="0" applyFont="1" applyFill="1" applyAlignment="1" applyProtection="1">
      <alignment horizontal="left" vertical="center"/>
      <protection hidden="1"/>
    </xf>
    <xf numFmtId="49" fontId="69" fillId="7" borderId="0" xfId="0" applyNumberFormat="1" applyFont="1" applyFill="1" applyAlignment="1" applyProtection="1">
      <alignment horizontal="center"/>
      <protection hidden="1"/>
    </xf>
    <xf numFmtId="0" fontId="53" fillId="7" borderId="0" xfId="0" applyFont="1" applyFill="1" applyAlignment="1" applyProtection="1">
      <alignment horizontal="center"/>
      <protection hidden="1"/>
    </xf>
    <xf numFmtId="1" fontId="78" fillId="7" borderId="0" xfId="0" applyNumberFormat="1" applyFont="1" applyFill="1" applyAlignment="1" applyProtection="1">
      <alignment horizontal="center" vertical="center"/>
      <protection hidden="1"/>
    </xf>
    <xf numFmtId="0" fontId="69" fillId="7" borderId="0" xfId="0" applyFont="1" applyFill="1" applyProtection="1">
      <protection hidden="1"/>
    </xf>
    <xf numFmtId="49" fontId="2" fillId="7" borderId="0" xfId="0" applyNumberFormat="1" applyFont="1" applyFill="1" applyAlignment="1" applyProtection="1">
      <alignment horizontal="center" vertical="center"/>
      <protection hidden="1"/>
    </xf>
    <xf numFmtId="3" fontId="2" fillId="7" borderId="0" xfId="0" applyNumberFormat="1" applyFont="1" applyFill="1" applyAlignment="1" applyProtection="1">
      <alignment horizontal="center" vertical="center"/>
      <protection hidden="1"/>
    </xf>
    <xf numFmtId="49" fontId="69" fillId="7" borderId="0" xfId="0" applyNumberFormat="1" applyFont="1" applyFill="1" applyAlignment="1" applyProtection="1">
      <alignment horizontal="center" vertical="center"/>
      <protection hidden="1"/>
    </xf>
    <xf numFmtId="3" fontId="69" fillId="7" borderId="0" xfId="0" applyNumberFormat="1" applyFont="1" applyFill="1" applyAlignment="1" applyProtection="1">
      <alignment horizontal="center" vertical="center"/>
      <protection hidden="1"/>
    </xf>
    <xf numFmtId="49" fontId="2" fillId="7" borderId="0" xfId="0" quotePrefix="1" applyNumberFormat="1" applyFont="1" applyFill="1" applyAlignment="1" applyProtection="1">
      <alignment horizontal="center" vertical="center"/>
      <protection hidden="1"/>
    </xf>
    <xf numFmtId="0" fontId="73" fillId="7" borderId="0" xfId="0" applyFont="1" applyFill="1" applyProtection="1">
      <protection hidden="1"/>
    </xf>
    <xf numFmtId="0" fontId="73" fillId="7" borderId="0" xfId="0" applyFont="1" applyFill="1" applyAlignment="1" applyProtection="1">
      <alignment horizontal="left"/>
      <protection hidden="1"/>
    </xf>
    <xf numFmtId="0" fontId="13" fillId="7" borderId="0" xfId="0" applyFont="1" applyFill="1" applyAlignment="1" applyProtection="1">
      <alignment vertical="center"/>
      <protection hidden="1"/>
    </xf>
    <xf numFmtId="3" fontId="0" fillId="7" borderId="0" xfId="0" applyNumberFormat="1" applyFill="1" applyAlignment="1" applyProtection="1">
      <alignment horizontal="center" vertical="center"/>
      <protection hidden="1"/>
    </xf>
    <xf numFmtId="4" fontId="0" fillId="7" borderId="0" xfId="0" applyNumberFormat="1" applyFill="1" applyAlignment="1" applyProtection="1">
      <alignment horizontal="center" vertical="center"/>
      <protection hidden="1"/>
    </xf>
    <xf numFmtId="165" fontId="7" fillId="7" borderId="0" xfId="0" applyNumberFormat="1" applyFont="1" applyFill="1" applyAlignment="1" applyProtection="1">
      <alignment horizontal="center" shrinkToFit="1"/>
      <protection hidden="1"/>
    </xf>
    <xf numFmtId="0" fontId="7" fillId="7" borderId="28" xfId="0" applyFont="1" applyFill="1" applyBorder="1" applyProtection="1">
      <protection hidden="1"/>
    </xf>
    <xf numFmtId="1" fontId="7" fillId="10" borderId="0" xfId="0" applyNumberFormat="1" applyFont="1" applyFill="1" applyAlignment="1" applyProtection="1">
      <alignment horizontal="center" shrinkToFit="1"/>
      <protection hidden="1"/>
    </xf>
    <xf numFmtId="0" fontId="7" fillId="10" borderId="8" xfId="0" applyFont="1" applyFill="1" applyBorder="1" applyAlignment="1" applyProtection="1">
      <alignment shrinkToFit="1"/>
      <protection hidden="1"/>
    </xf>
    <xf numFmtId="0" fontId="7" fillId="10" borderId="1" xfId="0" applyFont="1" applyFill="1" applyBorder="1" applyAlignment="1" applyProtection="1">
      <alignment horizontal="center" shrinkToFit="1"/>
      <protection locked="0" hidden="1"/>
    </xf>
    <xf numFmtId="0" fontId="125" fillId="10" borderId="0" xfId="0" applyFont="1" applyFill="1" applyProtection="1">
      <protection hidden="1"/>
    </xf>
    <xf numFmtId="0" fontId="70" fillId="42" borderId="131" xfId="0" applyFont="1" applyFill="1" applyBorder="1" applyAlignment="1">
      <alignment horizontal="center" vertical="center" shrinkToFit="1"/>
    </xf>
    <xf numFmtId="0" fontId="70" fillId="42" borderId="132" xfId="0" applyFont="1" applyFill="1" applyBorder="1" applyAlignment="1">
      <alignment horizontal="center" vertical="center" shrinkToFit="1"/>
    </xf>
    <xf numFmtId="165" fontId="70" fillId="42" borderId="132" xfId="0" applyNumberFormat="1" applyFont="1" applyFill="1" applyBorder="1" applyAlignment="1">
      <alignment horizontal="center" vertical="center" shrinkToFit="1"/>
    </xf>
    <xf numFmtId="1" fontId="70" fillId="42" borderId="132" xfId="0" applyNumberFormat="1" applyFont="1" applyFill="1" applyBorder="1" applyAlignment="1">
      <alignment horizontal="center" vertical="center" shrinkToFit="1"/>
    </xf>
    <xf numFmtId="49" fontId="70" fillId="42" borderId="132" xfId="0" applyNumberFormat="1" applyFont="1" applyFill="1" applyBorder="1" applyAlignment="1">
      <alignment horizontal="center" vertical="center" shrinkToFit="1"/>
    </xf>
    <xf numFmtId="49" fontId="47" fillId="42" borderId="132" xfId="0" applyNumberFormat="1" applyFont="1" applyFill="1" applyBorder="1" applyAlignment="1">
      <alignment horizontal="center" vertical="center" shrinkToFit="1"/>
    </xf>
    <xf numFmtId="49" fontId="70" fillId="42" borderId="130" xfId="0" applyNumberFormat="1" applyFont="1" applyFill="1" applyBorder="1" applyAlignment="1">
      <alignment horizontal="center" vertical="center" shrinkToFit="1"/>
    </xf>
    <xf numFmtId="14" fontId="70" fillId="42" borderId="132" xfId="0" applyNumberFormat="1" applyFont="1" applyFill="1" applyBorder="1" applyAlignment="1">
      <alignment horizontal="center" vertical="center" shrinkToFit="1"/>
    </xf>
    <xf numFmtId="0" fontId="70" fillId="42" borderId="130" xfId="0" applyFont="1" applyFill="1" applyBorder="1" applyAlignment="1">
      <alignment horizontal="center" vertical="center" shrinkToFit="1"/>
    </xf>
    <xf numFmtId="0" fontId="70" fillId="42" borderId="133" xfId="0" applyFont="1" applyFill="1" applyBorder="1" applyAlignment="1">
      <alignment horizontal="center" vertical="center" shrinkToFit="1"/>
    </xf>
    <xf numFmtId="0" fontId="70" fillId="14" borderId="0" xfId="0" applyFont="1" applyFill="1" applyAlignment="1" applyProtection="1">
      <alignment horizontal="right" vertical="center" shrinkToFit="1"/>
      <protection hidden="1"/>
    </xf>
    <xf numFmtId="0" fontId="69" fillId="38" borderId="0" xfId="0" applyFont="1" applyFill="1" applyAlignment="1">
      <alignment horizontal="left"/>
    </xf>
    <xf numFmtId="0" fontId="69" fillId="0" borderId="0" xfId="0" applyFont="1" applyAlignment="1">
      <alignment horizontal="left"/>
    </xf>
    <xf numFmtId="0" fontId="126" fillId="38" borderId="0" xfId="0" applyFont="1" applyFill="1" applyAlignment="1">
      <alignment vertical="center" shrinkToFit="1"/>
    </xf>
    <xf numFmtId="0" fontId="128" fillId="39" borderId="0" xfId="0" applyFont="1" applyFill="1" applyAlignment="1">
      <alignment vertical="top"/>
    </xf>
    <xf numFmtId="0" fontId="84" fillId="0" borderId="0" xfId="0" applyFont="1" applyAlignment="1">
      <alignment horizontal="left" vertical="center" shrinkToFit="1"/>
    </xf>
    <xf numFmtId="0" fontId="86" fillId="0" borderId="138" xfId="0" applyFont="1" applyBorder="1" applyAlignment="1">
      <alignment horizontal="left"/>
    </xf>
    <xf numFmtId="0" fontId="86" fillId="0" borderId="116" xfId="0" applyFont="1" applyBorder="1" applyAlignment="1">
      <alignment horizontal="left"/>
    </xf>
    <xf numFmtId="0" fontId="86" fillId="0" borderId="116" xfId="0" applyFont="1" applyBorder="1"/>
    <xf numFmtId="0" fontId="120" fillId="7" borderId="0" xfId="0" applyFont="1" applyFill="1" applyAlignment="1">
      <alignment horizontal="left" vertical="center" indent="5"/>
    </xf>
    <xf numFmtId="0" fontId="70" fillId="7" borderId="0" xfId="0" applyFont="1" applyFill="1" applyAlignment="1">
      <alignment horizontal="left" vertical="center" indent="5"/>
    </xf>
    <xf numFmtId="0" fontId="84" fillId="7" borderId="0" xfId="0" applyFont="1" applyFill="1"/>
    <xf numFmtId="0" fontId="129" fillId="7" borderId="0" xfId="150" applyFont="1" applyFill="1" applyAlignment="1" applyProtection="1">
      <alignment vertical="center"/>
    </xf>
    <xf numFmtId="0" fontId="0" fillId="41" borderId="0" xfId="0" applyFill="1"/>
    <xf numFmtId="0" fontId="8" fillId="0" borderId="0" xfId="0" applyFont="1"/>
    <xf numFmtId="0" fontId="8" fillId="0" borderId="0" xfId="0" applyFont="1" applyAlignment="1">
      <alignment vertical="center"/>
    </xf>
    <xf numFmtId="49" fontId="8" fillId="0" borderId="0" xfId="0" applyNumberFormat="1" applyFont="1"/>
    <xf numFmtId="0" fontId="97" fillId="0" borderId="0" xfId="0" applyFont="1"/>
    <xf numFmtId="0" fontId="8" fillId="0" borderId="0" xfId="0" applyFont="1" applyAlignment="1">
      <alignment horizontal="left" vertical="center" indent="5"/>
    </xf>
    <xf numFmtId="0" fontId="8" fillId="0" borderId="0" xfId="0" applyFont="1" applyAlignment="1">
      <alignment horizontal="center" shrinkToFit="1"/>
    </xf>
    <xf numFmtId="0" fontId="8" fillId="0" borderId="0" xfId="150" applyFont="1" applyFill="1" applyBorder="1" applyAlignment="1" applyProtection="1">
      <alignment vertical="center"/>
    </xf>
    <xf numFmtId="0" fontId="8" fillId="0" borderId="0" xfId="150" applyFont="1" applyFill="1" applyBorder="1" applyAlignment="1" applyProtection="1"/>
    <xf numFmtId="0" fontId="8" fillId="0" borderId="0" xfId="357" applyAlignment="1">
      <alignment horizontal="left" vertical="center"/>
    </xf>
    <xf numFmtId="0" fontId="8" fillId="0" borderId="0" xfId="708" applyAlignment="1">
      <alignment vertical="center"/>
    </xf>
    <xf numFmtId="0" fontId="8" fillId="0" borderId="0" xfId="357"/>
    <xf numFmtId="49" fontId="8" fillId="0" borderId="0" xfId="357" applyNumberFormat="1"/>
    <xf numFmtId="0" fontId="8" fillId="0" borderId="0" xfId="708"/>
    <xf numFmtId="0" fontId="8" fillId="0" borderId="116" xfId="0" applyFont="1" applyBorder="1" applyAlignment="1">
      <alignment horizontal="center"/>
    </xf>
    <xf numFmtId="0" fontId="8" fillId="0" borderId="116" xfId="149" applyFont="1" applyBorder="1" applyAlignment="1">
      <alignment horizontal="center"/>
    </xf>
    <xf numFmtId="0" fontId="110" fillId="9" borderId="116" xfId="0" applyFont="1" applyFill="1" applyBorder="1" applyAlignment="1">
      <alignment horizontal="center"/>
    </xf>
    <xf numFmtId="0" fontId="7" fillId="0" borderId="0" xfId="0" applyFont="1" applyAlignment="1" applyProtection="1">
      <alignment horizontal="left" shrinkToFit="1"/>
      <protection hidden="1"/>
    </xf>
    <xf numFmtId="0" fontId="7" fillId="0" borderId="0" xfId="0" applyFont="1" applyAlignment="1" applyProtection="1">
      <alignment shrinkToFit="1"/>
      <protection hidden="1"/>
    </xf>
    <xf numFmtId="0" fontId="52" fillId="0" borderId="0" xfId="0" applyFont="1" applyAlignment="1" applyProtection="1">
      <alignment horizontal="center" vertical="center"/>
      <protection hidden="1"/>
    </xf>
    <xf numFmtId="0" fontId="7" fillId="0" borderId="0" xfId="0" applyFont="1" applyProtection="1">
      <protection hidden="1"/>
    </xf>
    <xf numFmtId="0" fontId="7" fillId="0" borderId="0" xfId="0" applyFont="1" applyAlignment="1" applyProtection="1">
      <alignment horizontal="center" vertical="center" shrinkToFit="1"/>
      <protection hidden="1"/>
    </xf>
    <xf numFmtId="0" fontId="7" fillId="0" borderId="0" xfId="0" applyFont="1" applyAlignment="1" applyProtection="1">
      <alignment horizontal="right" vertical="center"/>
      <protection hidden="1"/>
    </xf>
    <xf numFmtId="0" fontId="7" fillId="0" borderId="0" xfId="0" applyFont="1" applyAlignment="1" applyProtection="1">
      <alignment horizontal="center" shrinkToFit="1"/>
      <protection hidden="1"/>
    </xf>
    <xf numFmtId="165" fontId="7" fillId="0" borderId="0" xfId="0" applyNumberFormat="1" applyFont="1" applyAlignment="1" applyProtection="1">
      <alignment horizontal="center" shrinkToFit="1"/>
      <protection hidden="1"/>
    </xf>
    <xf numFmtId="0" fontId="47" fillId="0" borderId="0" xfId="0" applyFont="1" applyAlignment="1" applyProtection="1">
      <alignment horizontal="right" vertical="center" shrinkToFit="1"/>
      <protection hidden="1"/>
    </xf>
    <xf numFmtId="0" fontId="43" fillId="0" borderId="0" xfId="0" applyFont="1" applyProtection="1">
      <protection hidden="1"/>
    </xf>
    <xf numFmtId="0" fontId="7" fillId="0" borderId="0" xfId="0" applyFont="1" applyAlignment="1" applyProtection="1">
      <alignment horizontal="center"/>
      <protection hidden="1"/>
    </xf>
    <xf numFmtId="0" fontId="7" fillId="0" borderId="0" xfId="0" applyFont="1" applyAlignment="1" applyProtection="1">
      <alignment horizontal="center" vertical="center"/>
      <protection hidden="1"/>
    </xf>
    <xf numFmtId="0" fontId="7" fillId="0" borderId="0" xfId="0" applyFont="1" applyAlignment="1" applyProtection="1">
      <alignment horizontal="right"/>
      <protection hidden="1"/>
    </xf>
    <xf numFmtId="0" fontId="13" fillId="0" borderId="0" xfId="0" applyFont="1" applyAlignment="1" applyProtection="1">
      <alignment horizontal="center" shrinkToFit="1"/>
      <protection hidden="1"/>
    </xf>
    <xf numFmtId="0" fontId="43" fillId="0" borderId="0" xfId="0" applyFont="1" applyAlignment="1" applyProtection="1">
      <alignment horizontal="left" shrinkToFit="1"/>
      <protection hidden="1"/>
    </xf>
    <xf numFmtId="165" fontId="52" fillId="0" borderId="0" xfId="0" applyNumberFormat="1" applyFont="1" applyAlignment="1" applyProtection="1">
      <alignment horizontal="center" vertical="center"/>
      <protection hidden="1"/>
    </xf>
    <xf numFmtId="1" fontId="7" fillId="0" borderId="0" xfId="0" applyNumberFormat="1" applyFont="1" applyAlignment="1" applyProtection="1">
      <alignment horizontal="center"/>
      <protection hidden="1"/>
    </xf>
    <xf numFmtId="0" fontId="7" fillId="0" borderId="0" xfId="0" applyFont="1" applyAlignment="1" applyProtection="1">
      <alignment shrinkToFit="1" readingOrder="1"/>
      <protection hidden="1"/>
    </xf>
    <xf numFmtId="0" fontId="52" fillId="0" borderId="0" xfId="0" applyFont="1" applyAlignment="1" applyProtection="1">
      <alignment horizontal="left" vertical="center" shrinkToFit="1"/>
      <protection hidden="1"/>
    </xf>
    <xf numFmtId="0" fontId="52" fillId="0" borderId="0" xfId="0" applyFont="1" applyAlignment="1" applyProtection="1">
      <alignment horizontal="center" vertical="center" shrinkToFit="1"/>
      <protection hidden="1"/>
    </xf>
    <xf numFmtId="0" fontId="52" fillId="0" borderId="0" xfId="0" applyFont="1" applyAlignment="1" applyProtection="1">
      <alignment shrinkToFit="1"/>
      <protection hidden="1"/>
    </xf>
    <xf numFmtId="0" fontId="52" fillId="0" borderId="0" xfId="0" applyFont="1" applyAlignment="1" applyProtection="1">
      <alignment horizontal="left" shrinkToFit="1"/>
      <protection hidden="1"/>
    </xf>
    <xf numFmtId="0" fontId="52" fillId="0" borderId="0" xfId="0" applyFont="1" applyAlignment="1" applyProtection="1">
      <alignment horizontal="center" shrinkToFit="1"/>
      <protection hidden="1"/>
    </xf>
    <xf numFmtId="14" fontId="52" fillId="0" borderId="0" xfId="0" applyNumberFormat="1" applyFont="1" applyAlignment="1" applyProtection="1">
      <alignment horizontal="center" shrinkToFit="1"/>
      <protection hidden="1"/>
    </xf>
    <xf numFmtId="1" fontId="52" fillId="0" borderId="0" xfId="0" applyNumberFormat="1" applyFont="1" applyAlignment="1" applyProtection="1">
      <alignment horizontal="center" shrinkToFit="1"/>
      <protection hidden="1"/>
    </xf>
    <xf numFmtId="49" fontId="52" fillId="0" borderId="0" xfId="0" applyNumberFormat="1" applyFont="1" applyAlignment="1" applyProtection="1">
      <alignment horizontal="center" shrinkToFit="1"/>
      <protection hidden="1"/>
    </xf>
    <xf numFmtId="165" fontId="52" fillId="0" borderId="0" xfId="0" applyNumberFormat="1" applyFont="1" applyAlignment="1" applyProtection="1">
      <alignment horizontal="center" shrinkToFit="1"/>
      <protection hidden="1"/>
    </xf>
    <xf numFmtId="0" fontId="47" fillId="0" borderId="0" xfId="0" applyFont="1" applyAlignment="1" applyProtection="1">
      <alignment horizontal="center" vertical="center" shrinkToFit="1"/>
      <protection hidden="1"/>
    </xf>
    <xf numFmtId="14" fontId="50" fillId="0" borderId="0" xfId="0" applyNumberFormat="1" applyFont="1" applyProtection="1">
      <protection hidden="1"/>
    </xf>
    <xf numFmtId="49" fontId="50" fillId="0" borderId="0" xfId="0" applyNumberFormat="1" applyFont="1" applyProtection="1">
      <protection hidden="1"/>
    </xf>
    <xf numFmtId="0" fontId="113" fillId="0" borderId="0" xfId="0" applyFont="1" applyAlignment="1" applyProtection="1">
      <alignment horizontal="center" vertical="center" shrinkToFit="1"/>
      <protection hidden="1"/>
    </xf>
    <xf numFmtId="0" fontId="13" fillId="0" borderId="0" xfId="0" applyFont="1" applyAlignment="1" applyProtection="1">
      <alignment horizontal="center" vertical="center" shrinkToFit="1"/>
      <protection hidden="1"/>
    </xf>
    <xf numFmtId="0" fontId="8" fillId="0" borderId="0" xfId="0" applyFont="1" applyAlignment="1" applyProtection="1">
      <alignment shrinkToFit="1"/>
      <protection hidden="1"/>
    </xf>
    <xf numFmtId="0" fontId="48" fillId="0" borderId="0" xfId="0" applyFont="1" applyAlignment="1" applyProtection="1">
      <alignment horizontal="center" shrinkToFit="1"/>
      <protection hidden="1"/>
    </xf>
    <xf numFmtId="165" fontId="48" fillId="0" borderId="0" xfId="0" applyNumberFormat="1" applyFont="1" applyAlignment="1" applyProtection="1">
      <alignment horizontal="center" shrinkToFit="1"/>
      <protection hidden="1"/>
    </xf>
    <xf numFmtId="0" fontId="8" fillId="0" borderId="0" xfId="0" applyFont="1" applyAlignment="1" applyProtection="1">
      <alignment horizontal="center" shrinkToFit="1"/>
      <protection hidden="1"/>
    </xf>
    <xf numFmtId="0" fontId="47" fillId="0" borderId="0" xfId="0" applyFont="1" applyAlignment="1" applyProtection="1">
      <alignment horizontal="right" shrinkToFit="1"/>
      <protection hidden="1"/>
    </xf>
    <xf numFmtId="0" fontId="47" fillId="0" borderId="0" xfId="0" applyFont="1" applyAlignment="1" applyProtection="1">
      <alignment shrinkToFit="1"/>
      <protection hidden="1"/>
    </xf>
    <xf numFmtId="0" fontId="70" fillId="0" borderId="0" xfId="0" applyFont="1" applyAlignment="1" applyProtection="1">
      <alignment horizontal="right" vertical="center" shrinkToFit="1"/>
      <protection hidden="1"/>
    </xf>
    <xf numFmtId="0" fontId="68" fillId="0" borderId="0" xfId="0" applyFont="1" applyAlignment="1" applyProtection="1">
      <alignment horizontal="center" vertical="center" shrinkToFit="1"/>
      <protection hidden="1"/>
    </xf>
    <xf numFmtId="0" fontId="83" fillId="0" borderId="0" xfId="0" applyFont="1" applyAlignment="1" applyProtection="1">
      <alignment horizontal="right" vertical="center" shrinkToFit="1"/>
      <protection hidden="1"/>
    </xf>
    <xf numFmtId="1" fontId="0" fillId="0" borderId="0" xfId="0" applyNumberFormat="1" applyProtection="1">
      <protection hidden="1"/>
    </xf>
    <xf numFmtId="2" fontId="0" fillId="0" borderId="0" xfId="0" applyNumberFormat="1" applyProtection="1">
      <protection hidden="1"/>
    </xf>
    <xf numFmtId="0" fontId="68" fillId="0" borderId="0" xfId="0" applyFont="1" applyAlignment="1" applyProtection="1">
      <alignment horizontal="center" shrinkToFit="1"/>
      <protection hidden="1"/>
    </xf>
    <xf numFmtId="0" fontId="43" fillId="0" borderId="0" xfId="0" applyFont="1" applyAlignment="1" applyProtection="1">
      <alignment horizontal="center" shrinkToFit="1"/>
      <protection hidden="1"/>
    </xf>
    <xf numFmtId="0" fontId="68" fillId="0" borderId="0" xfId="0" applyFont="1" applyAlignment="1" applyProtection="1">
      <alignment horizontal="left" shrinkToFit="1"/>
      <protection hidden="1"/>
    </xf>
    <xf numFmtId="0" fontId="0" fillId="0" borderId="0" xfId="0" applyAlignment="1" applyProtection="1">
      <alignment horizontal="left" shrinkToFit="1"/>
      <protection hidden="1"/>
    </xf>
    <xf numFmtId="0" fontId="0" fillId="0" borderId="0" xfId="0" applyAlignment="1" applyProtection="1">
      <alignment horizontal="center" vertical="center" shrinkToFit="1"/>
      <protection hidden="1"/>
    </xf>
    <xf numFmtId="0" fontId="43" fillId="0" borderId="0" xfId="0" applyFont="1" applyAlignment="1" applyProtection="1">
      <alignment horizontal="center" vertical="center"/>
      <protection hidden="1"/>
    </xf>
    <xf numFmtId="0" fontId="0" fillId="0" borderId="0" xfId="0" applyAlignment="1" applyProtection="1">
      <alignment shrinkToFit="1" readingOrder="1"/>
      <protection hidden="1"/>
    </xf>
    <xf numFmtId="0" fontId="0" fillId="0" borderId="0" xfId="0" applyAlignment="1" applyProtection="1">
      <alignment horizontal="center" vertical="center"/>
      <protection hidden="1"/>
    </xf>
    <xf numFmtId="0" fontId="0" fillId="0" borderId="0" xfId="0" applyAlignment="1" applyProtection="1">
      <alignment horizontal="left" vertical="center" shrinkToFit="1"/>
      <protection hidden="1"/>
    </xf>
    <xf numFmtId="0" fontId="43" fillId="0" borderId="0" xfId="0" applyFont="1" applyAlignment="1" applyProtection="1">
      <alignment horizontal="center"/>
      <protection hidden="1"/>
    </xf>
    <xf numFmtId="1" fontId="0" fillId="0" borderId="0" xfId="0" applyNumberFormat="1" applyAlignment="1" applyProtection="1">
      <alignment shrinkToFit="1"/>
      <protection hidden="1"/>
    </xf>
    <xf numFmtId="0" fontId="73" fillId="0" borderId="0" xfId="0" applyFont="1" applyProtection="1">
      <protection hidden="1"/>
    </xf>
    <xf numFmtId="0" fontId="55" fillId="0" borderId="0" xfId="0" applyFont="1" applyProtection="1">
      <protection hidden="1"/>
    </xf>
    <xf numFmtId="0" fontId="73" fillId="0" borderId="0" xfId="0" applyFont="1" applyAlignment="1" applyProtection="1">
      <alignment horizontal="left"/>
      <protection hidden="1"/>
    </xf>
    <xf numFmtId="165" fontId="77" fillId="0" borderId="0" xfId="0" applyNumberFormat="1" applyFont="1" applyAlignment="1" applyProtection="1">
      <alignment horizontal="left" vertical="center"/>
      <protection hidden="1"/>
    </xf>
    <xf numFmtId="0" fontId="69" fillId="0" borderId="0" xfId="0" applyFont="1" applyAlignment="1" applyProtection="1">
      <alignment horizontal="left" vertical="center"/>
      <protection hidden="1"/>
    </xf>
    <xf numFmtId="1" fontId="69" fillId="0" borderId="0" xfId="0" applyNumberFormat="1" applyFont="1" applyAlignment="1" applyProtection="1">
      <alignment horizontal="center" vertical="center"/>
      <protection hidden="1"/>
    </xf>
    <xf numFmtId="0" fontId="63" fillId="0" borderId="0" xfId="0" applyFont="1" applyProtection="1">
      <protection hidden="1"/>
    </xf>
    <xf numFmtId="0" fontId="7" fillId="0" borderId="0" xfId="0" applyFont="1" applyAlignment="1" applyProtection="1">
      <alignment wrapText="1"/>
      <protection hidden="1"/>
    </xf>
    <xf numFmtId="0" fontId="52" fillId="0" borderId="0" xfId="0" applyFont="1" applyAlignment="1" applyProtection="1">
      <alignment horizontal="left" vertical="center"/>
      <protection hidden="1"/>
    </xf>
    <xf numFmtId="1" fontId="50" fillId="0" borderId="0" xfId="0" applyNumberFormat="1" applyFont="1" applyAlignment="1" applyProtection="1">
      <alignment horizontal="center" vertical="center" shrinkToFit="1"/>
      <protection hidden="1"/>
    </xf>
    <xf numFmtId="14" fontId="47" fillId="0" borderId="0" xfId="0" applyNumberFormat="1" applyFont="1" applyAlignment="1" applyProtection="1">
      <alignment horizontal="center" vertical="center" wrapText="1" shrinkToFit="1"/>
      <protection hidden="1"/>
    </xf>
    <xf numFmtId="165" fontId="50" fillId="0" borderId="0" xfId="0" applyNumberFormat="1" applyFont="1" applyAlignment="1" applyProtection="1">
      <alignment horizontal="center" shrinkToFit="1" readingOrder="1"/>
      <protection hidden="1"/>
    </xf>
    <xf numFmtId="0" fontId="49" fillId="0" borderId="0" xfId="0" applyFont="1" applyAlignment="1" applyProtection="1">
      <alignment horizontal="left" shrinkToFit="1"/>
      <protection hidden="1"/>
    </xf>
    <xf numFmtId="14" fontId="47" fillId="0" borderId="0" xfId="0" applyNumberFormat="1" applyFont="1" applyAlignment="1" applyProtection="1">
      <alignment horizontal="center" wrapText="1" shrinkToFit="1"/>
      <protection hidden="1"/>
    </xf>
    <xf numFmtId="0" fontId="51" fillId="0" borderId="0" xfId="0" applyFont="1" applyAlignment="1" applyProtection="1">
      <alignment horizontal="center" shrinkToFit="1"/>
      <protection hidden="1"/>
    </xf>
    <xf numFmtId="0" fontId="70" fillId="0" borderId="0" xfId="0" applyFont="1" applyAlignment="1">
      <alignment horizontal="center" vertical="center" shrinkToFit="1"/>
    </xf>
    <xf numFmtId="165" fontId="70" fillId="0" borderId="0" xfId="0" applyNumberFormat="1" applyFont="1" applyAlignment="1">
      <alignment horizontal="center" vertical="center" shrinkToFit="1"/>
    </xf>
    <xf numFmtId="49" fontId="70" fillId="0" borderId="0" xfId="0" applyNumberFormat="1" applyFont="1" applyAlignment="1">
      <alignment horizontal="center" vertical="center" shrinkToFit="1"/>
    </xf>
    <xf numFmtId="14" fontId="70" fillId="0" borderId="0" xfId="0" applyNumberFormat="1" applyFont="1" applyAlignment="1">
      <alignment horizontal="center" vertical="center" shrinkToFit="1"/>
    </xf>
    <xf numFmtId="0" fontId="51" fillId="0" borderId="0" xfId="0" applyFont="1" applyAlignment="1">
      <alignment horizontal="left" vertical="center"/>
    </xf>
    <xf numFmtId="0" fontId="51" fillId="0" borderId="0" xfId="0" applyFont="1" applyAlignment="1">
      <alignment horizontal="center" vertical="center"/>
    </xf>
    <xf numFmtId="0" fontId="10" fillId="0" borderId="0" xfId="0" applyFont="1" applyAlignment="1">
      <alignment horizontal="center" shrinkToFit="1"/>
    </xf>
    <xf numFmtId="0" fontId="10" fillId="0" borderId="0" xfId="1713" applyFont="1" applyAlignment="1">
      <alignment horizontal="left" vertical="center" shrinkToFit="1"/>
    </xf>
    <xf numFmtId="0" fontId="10" fillId="0" borderId="0" xfId="1713" applyFont="1" applyAlignment="1">
      <alignment horizontal="left" shrinkToFit="1"/>
    </xf>
    <xf numFmtId="49" fontId="10" fillId="0" borderId="0" xfId="0" applyNumberFormat="1" applyFont="1" applyAlignment="1">
      <alignment horizontal="center" vertical="center" shrinkToFit="1"/>
    </xf>
    <xf numFmtId="1" fontId="10" fillId="0" borderId="0" xfId="0" applyNumberFormat="1" applyFont="1" applyAlignment="1">
      <alignment horizontal="center" vertical="center" shrinkToFit="1"/>
    </xf>
    <xf numFmtId="1" fontId="84" fillId="0" borderId="0" xfId="0" applyNumberFormat="1" applyFont="1" applyAlignment="1">
      <alignment horizontal="center" vertical="center" shrinkToFit="1"/>
    </xf>
    <xf numFmtId="165" fontId="84" fillId="0" borderId="0" xfId="0" applyNumberFormat="1" applyFont="1" applyAlignment="1">
      <alignment horizontal="center" vertical="center" shrinkToFit="1"/>
    </xf>
    <xf numFmtId="1" fontId="10" fillId="0" borderId="0" xfId="0" applyNumberFormat="1" applyFont="1" applyAlignment="1">
      <alignment horizontal="center"/>
    </xf>
    <xf numFmtId="0" fontId="10" fillId="0" borderId="0" xfId="0" applyFont="1" applyAlignment="1">
      <alignment horizontal="center" vertical="center" shrinkToFit="1"/>
    </xf>
    <xf numFmtId="0" fontId="10" fillId="0" borderId="0" xfId="0" applyFont="1" applyAlignment="1">
      <alignment horizontal="center" shrinkToFit="1" readingOrder="1"/>
    </xf>
    <xf numFmtId="0" fontId="82" fillId="0" borderId="0" xfId="0" applyFont="1" applyAlignment="1">
      <alignment horizontal="center" shrinkToFit="1"/>
    </xf>
    <xf numFmtId="166" fontId="10" fillId="0" borderId="0" xfId="0" applyNumberFormat="1" applyFont="1" applyAlignment="1">
      <alignment horizontal="center"/>
    </xf>
    <xf numFmtId="0" fontId="115" fillId="0" borderId="0" xfId="150" applyFont="1" applyFill="1" applyBorder="1" applyAlignment="1" applyProtection="1">
      <alignment horizontal="center" vertical="center" shrinkToFit="1"/>
    </xf>
    <xf numFmtId="14" fontId="10" fillId="0" borderId="0" xfId="0" applyNumberFormat="1" applyFont="1" applyAlignment="1">
      <alignment horizontal="center" shrinkToFit="1" readingOrder="1"/>
    </xf>
    <xf numFmtId="165" fontId="10" fillId="0" borderId="0" xfId="0" applyNumberFormat="1" applyFont="1" applyAlignment="1">
      <alignment horizontal="center" shrinkToFit="1" readingOrder="1"/>
    </xf>
    <xf numFmtId="1" fontId="10" fillId="0" borderId="0" xfId="0" applyNumberFormat="1" applyFont="1" applyAlignment="1">
      <alignment horizontal="center" shrinkToFit="1" readingOrder="1"/>
    </xf>
    <xf numFmtId="165" fontId="10" fillId="0" borderId="0" xfId="0" applyNumberFormat="1" applyFont="1" applyAlignment="1">
      <alignment horizontal="center" shrinkToFit="1"/>
    </xf>
    <xf numFmtId="0" fontId="0" fillId="0" borderId="0" xfId="0" quotePrefix="1" applyAlignment="1" applyProtection="1">
      <alignment horizontal="center"/>
      <protection hidden="1"/>
    </xf>
    <xf numFmtId="0" fontId="0" fillId="0" borderId="0" xfId="0" quotePrefix="1" applyProtection="1">
      <protection hidden="1"/>
    </xf>
    <xf numFmtId="165" fontId="10" fillId="0" borderId="0" xfId="0" applyNumberFormat="1" applyFont="1" applyAlignment="1">
      <alignment horizontal="left" vertical="center" shrinkToFit="1"/>
    </xf>
    <xf numFmtId="0" fontId="10" fillId="0" borderId="0" xfId="0" applyFont="1" applyAlignment="1">
      <alignment horizontal="center"/>
    </xf>
    <xf numFmtId="0" fontId="116" fillId="0" borderId="0" xfId="0" applyFont="1" applyAlignment="1">
      <alignment horizontal="center" shrinkToFit="1"/>
    </xf>
    <xf numFmtId="0" fontId="116" fillId="0" borderId="0" xfId="0" applyFont="1" applyAlignment="1">
      <alignment horizontal="center" shrinkToFit="1" readingOrder="1"/>
    </xf>
    <xf numFmtId="0" fontId="10" fillId="0" borderId="0" xfId="0" applyFont="1" applyAlignment="1">
      <alignment horizontal="center" vertical="center"/>
    </xf>
    <xf numFmtId="0" fontId="84" fillId="0" borderId="0" xfId="0" applyFont="1" applyAlignment="1">
      <alignment horizontal="center" vertical="center" shrinkToFit="1"/>
    </xf>
    <xf numFmtId="14" fontId="10" fillId="0" borderId="0" xfId="0" applyNumberFormat="1" applyFont="1" applyAlignment="1">
      <alignment horizontal="center" vertical="center" shrinkToFit="1"/>
    </xf>
    <xf numFmtId="165" fontId="10" fillId="0" borderId="0" xfId="0" applyNumberFormat="1" applyFont="1" applyAlignment="1">
      <alignment horizontal="center" vertical="center" shrinkToFit="1"/>
    </xf>
    <xf numFmtId="0" fontId="10" fillId="0" borderId="0" xfId="0" applyFont="1" applyAlignment="1">
      <alignment horizontal="left" vertical="top" shrinkToFit="1"/>
    </xf>
    <xf numFmtId="1" fontId="10" fillId="0" borderId="0" xfId="0" applyNumberFormat="1" applyFont="1" applyAlignment="1">
      <alignment horizontal="center" vertical="center"/>
    </xf>
    <xf numFmtId="0" fontId="10" fillId="0" borderId="0" xfId="1714" applyFont="1" applyAlignment="1">
      <alignment horizontal="left" vertical="top" shrinkToFit="1"/>
    </xf>
    <xf numFmtId="49" fontId="10" fillId="0" borderId="0" xfId="1714" applyNumberFormat="1" applyFont="1" applyAlignment="1">
      <alignment horizontal="center" vertical="center" shrinkToFit="1"/>
    </xf>
    <xf numFmtId="1" fontId="10" fillId="0" borderId="0" xfId="1714" applyNumberFormat="1" applyFont="1" applyAlignment="1">
      <alignment horizontal="center"/>
    </xf>
    <xf numFmtId="16" fontId="10" fillId="0" borderId="0" xfId="0" applyNumberFormat="1" applyFont="1" applyAlignment="1">
      <alignment horizontal="center" vertical="center" shrinkToFit="1"/>
    </xf>
    <xf numFmtId="0" fontId="10" fillId="0" borderId="0" xfId="378" applyFont="1" applyAlignment="1">
      <alignment horizontal="left" shrinkToFit="1"/>
    </xf>
    <xf numFmtId="49" fontId="10" fillId="0" borderId="0" xfId="378" applyNumberFormat="1" applyFont="1" applyAlignment="1">
      <alignment horizontal="center" vertical="center" shrinkToFit="1"/>
    </xf>
    <xf numFmtId="1" fontId="10" fillId="0" borderId="0" xfId="378" applyNumberFormat="1" applyFont="1" applyAlignment="1">
      <alignment horizontal="center"/>
    </xf>
    <xf numFmtId="0" fontId="82" fillId="0" borderId="0" xfId="0" applyFont="1" applyAlignment="1">
      <alignment horizontal="center"/>
    </xf>
    <xf numFmtId="0" fontId="10" fillId="0" borderId="0" xfId="1715" applyFont="1" applyAlignment="1">
      <alignment horizontal="left" shrinkToFit="1"/>
    </xf>
    <xf numFmtId="0" fontId="4" fillId="0" borderId="0" xfId="0" applyFont="1" applyAlignment="1" applyProtection="1">
      <alignment horizontal="center"/>
      <protection hidden="1"/>
    </xf>
    <xf numFmtId="165" fontId="4" fillId="0" borderId="0" xfId="0" applyNumberFormat="1" applyFont="1" applyAlignment="1" applyProtection="1">
      <alignment horizontal="center"/>
      <protection hidden="1"/>
    </xf>
    <xf numFmtId="3" fontId="59" fillId="0" borderId="0" xfId="0" applyNumberFormat="1" applyFont="1" applyAlignment="1" applyProtection="1">
      <alignment horizontal="center" shrinkToFit="1"/>
      <protection hidden="1"/>
    </xf>
    <xf numFmtId="4" fontId="59" fillId="0" borderId="0" xfId="0" applyNumberFormat="1" applyFont="1" applyAlignment="1" applyProtection="1">
      <alignment horizontal="center" shrinkToFit="1"/>
      <protection hidden="1"/>
    </xf>
    <xf numFmtId="0" fontId="50" fillId="0" borderId="0" xfId="0" applyFont="1" applyAlignment="1" applyProtection="1">
      <alignment horizontal="center" shrinkToFit="1"/>
      <protection hidden="1"/>
    </xf>
    <xf numFmtId="165" fontId="50" fillId="0" borderId="0" xfId="0" applyNumberFormat="1" applyFont="1" applyAlignment="1" applyProtection="1">
      <alignment horizontal="center" shrinkToFit="1"/>
      <protection hidden="1"/>
    </xf>
    <xf numFmtId="0" fontId="53" fillId="0" borderId="0" xfId="0" applyFont="1" applyAlignment="1" applyProtection="1">
      <alignment horizontal="center"/>
      <protection hidden="1"/>
    </xf>
    <xf numFmtId="0" fontId="61" fillId="0" borderId="0" xfId="0" applyFont="1" applyProtection="1">
      <protection hidden="1"/>
    </xf>
    <xf numFmtId="1" fontId="78" fillId="0" borderId="0" xfId="0" applyNumberFormat="1" applyFont="1" applyAlignment="1" applyProtection="1">
      <alignment horizontal="center" vertical="center"/>
      <protection hidden="1"/>
    </xf>
    <xf numFmtId="0" fontId="69" fillId="0" borderId="0" xfId="0" applyFont="1" applyAlignment="1" applyProtection="1">
      <alignment shrinkToFit="1"/>
      <protection hidden="1"/>
    </xf>
    <xf numFmtId="0" fontId="69" fillId="0" borderId="0" xfId="0" applyFont="1" applyProtection="1">
      <protection hidden="1"/>
    </xf>
    <xf numFmtId="0" fontId="118" fillId="7" borderId="0" xfId="0" applyFont="1" applyFill="1"/>
    <xf numFmtId="165" fontId="70" fillId="9" borderId="0" xfId="0" applyNumberFormat="1" applyFont="1" applyFill="1" applyAlignment="1">
      <alignment horizontal="center" vertical="center" shrinkToFit="1"/>
    </xf>
    <xf numFmtId="1" fontId="70" fillId="9" borderId="0" xfId="0" applyNumberFormat="1" applyFont="1" applyFill="1" applyAlignment="1">
      <alignment horizontal="center" vertical="center" shrinkToFit="1"/>
    </xf>
    <xf numFmtId="49" fontId="70" fillId="9" borderId="0" xfId="0" applyNumberFormat="1" applyFont="1" applyFill="1" applyAlignment="1">
      <alignment horizontal="center" vertical="center" shrinkToFit="1"/>
    </xf>
    <xf numFmtId="49" fontId="47" fillId="9" borderId="0" xfId="0" applyNumberFormat="1" applyFont="1" applyFill="1" applyAlignment="1">
      <alignment horizontal="center" vertical="center" shrinkToFit="1"/>
    </xf>
    <xf numFmtId="14" fontId="70" fillId="9" borderId="0" xfId="0" applyNumberFormat="1" applyFont="1" applyFill="1" applyAlignment="1">
      <alignment horizontal="center" vertical="center" shrinkToFit="1"/>
    </xf>
    <xf numFmtId="0" fontId="130" fillId="7" borderId="0" xfId="0" applyFont="1" applyFill="1" applyAlignment="1">
      <alignment vertical="center"/>
    </xf>
    <xf numFmtId="0" fontId="1" fillId="7" borderId="0" xfId="0" applyFont="1" applyFill="1"/>
    <xf numFmtId="0" fontId="68" fillId="0" borderId="0" xfId="0" applyFont="1"/>
    <xf numFmtId="0" fontId="131" fillId="7" borderId="0" xfId="0" applyFont="1" applyFill="1" applyAlignment="1">
      <alignment horizontal="left" vertical="center"/>
    </xf>
    <xf numFmtId="0" fontId="9" fillId="7" borderId="0" xfId="150" applyFill="1" applyAlignment="1" applyProtection="1">
      <alignment vertical="center"/>
    </xf>
    <xf numFmtId="0" fontId="80" fillId="7" borderId="0" xfId="0" applyFont="1" applyFill="1" applyAlignment="1">
      <alignment vertical="center"/>
    </xf>
    <xf numFmtId="0" fontId="132" fillId="7" borderId="0" xfId="0" applyFont="1" applyFill="1" applyAlignment="1">
      <alignment vertical="center"/>
    </xf>
    <xf numFmtId="0" fontId="84" fillId="7" borderId="0" xfId="0" applyFont="1" applyFill="1" applyAlignment="1">
      <alignment vertical="center"/>
    </xf>
    <xf numFmtId="0" fontId="1" fillId="7" borderId="0" xfId="0" applyFont="1" applyFill="1" applyAlignment="1">
      <alignment horizontal="center" shrinkToFit="1"/>
    </xf>
    <xf numFmtId="0" fontId="0" fillId="7" borderId="0" xfId="0" applyFill="1" applyAlignment="1">
      <alignment horizontal="center" shrinkToFit="1"/>
    </xf>
    <xf numFmtId="6" fontId="1" fillId="7" borderId="0" xfId="0" applyNumberFormat="1" applyFont="1" applyFill="1" applyAlignment="1">
      <alignment horizontal="center"/>
    </xf>
    <xf numFmtId="6" fontId="0" fillId="7" borderId="0" xfId="0" applyNumberFormat="1" applyFill="1" applyAlignment="1">
      <alignment horizontal="center"/>
    </xf>
    <xf numFmtId="0" fontId="84" fillId="7" borderId="0" xfId="357" applyFont="1" applyFill="1"/>
    <xf numFmtId="0" fontId="1" fillId="45" borderId="139" xfId="0" applyFont="1" applyFill="1" applyBorder="1"/>
    <xf numFmtId="0" fontId="1" fillId="46" borderId="139" xfId="0" applyFont="1" applyFill="1" applyBorder="1"/>
    <xf numFmtId="1" fontId="133" fillId="47" borderId="139" xfId="0" applyNumberFormat="1" applyFont="1" applyFill="1" applyBorder="1" applyAlignment="1">
      <alignment horizontal="center" vertical="center" shrinkToFit="1"/>
    </xf>
    <xf numFmtId="0" fontId="51" fillId="48" borderId="141" xfId="0" applyFont="1" applyFill="1" applyBorder="1" applyAlignment="1">
      <alignment horizontal="left" vertical="center"/>
    </xf>
    <xf numFmtId="0" fontId="51" fillId="48" borderId="141" xfId="0" quotePrefix="1" applyFont="1" applyFill="1" applyBorder="1" applyAlignment="1">
      <alignment horizontal="left" vertical="center"/>
    </xf>
    <xf numFmtId="0" fontId="124" fillId="48" borderId="141" xfId="0" applyFont="1" applyFill="1" applyBorder="1" applyAlignment="1">
      <alignment horizontal="left" vertical="center"/>
    </xf>
    <xf numFmtId="0" fontId="51" fillId="48" borderId="141" xfId="0" applyFont="1" applyFill="1" applyBorder="1" applyAlignment="1">
      <alignment horizontal="center" vertical="center"/>
    </xf>
    <xf numFmtId="0" fontId="51" fillId="48" borderId="140" xfId="0" applyFont="1" applyFill="1" applyBorder="1" applyAlignment="1">
      <alignment horizontal="left" vertical="center"/>
    </xf>
    <xf numFmtId="0" fontId="8" fillId="0" borderId="142" xfId="0" applyFont="1" applyBorder="1" applyAlignment="1">
      <alignment horizontal="center" shrinkToFit="1"/>
    </xf>
    <xf numFmtId="0" fontId="8" fillId="0" borderId="139" xfId="0" applyFont="1" applyBorder="1" applyAlignment="1">
      <alignment horizontal="center" shrinkToFit="1"/>
    </xf>
    <xf numFmtId="0" fontId="8" fillId="0" borderId="139" xfId="1713" applyFont="1" applyBorder="1" applyAlignment="1">
      <alignment horizontal="left" vertical="center"/>
    </xf>
    <xf numFmtId="0" fontId="7" fillId="0" borderId="139" xfId="0" applyFont="1" applyBorder="1" applyAlignment="1">
      <alignment horizontal="center" vertical="center" shrinkToFit="1"/>
    </xf>
    <xf numFmtId="1" fontId="7" fillId="0" borderId="139" xfId="0" applyNumberFormat="1" applyFont="1" applyBorder="1" applyAlignment="1">
      <alignment horizontal="center" vertical="center" shrinkToFit="1"/>
    </xf>
    <xf numFmtId="1" fontId="13" fillId="0" borderId="139" xfId="0" applyNumberFormat="1" applyFont="1" applyBorder="1" applyAlignment="1">
      <alignment horizontal="center" vertical="center" shrinkToFit="1"/>
    </xf>
    <xf numFmtId="165" fontId="13" fillId="0" borderId="139" xfId="0" applyNumberFormat="1" applyFont="1" applyBorder="1" applyAlignment="1">
      <alignment horizontal="center" vertical="center" shrinkToFit="1"/>
    </xf>
    <xf numFmtId="0" fontId="123" fillId="0" borderId="139" xfId="150" applyFont="1" applyBorder="1" applyAlignment="1" applyProtection="1">
      <alignment horizontal="center" vertical="center" shrinkToFit="1"/>
    </xf>
    <xf numFmtId="0" fontId="7" fillId="0" borderId="139" xfId="0" applyFont="1" applyBorder="1" applyAlignment="1">
      <alignment horizontal="center" shrinkToFit="1"/>
    </xf>
    <xf numFmtId="14" fontId="7" fillId="0" borderId="139" xfId="0" applyNumberFormat="1" applyFont="1" applyBorder="1" applyAlignment="1">
      <alignment horizontal="center" shrinkToFit="1" readingOrder="1"/>
    </xf>
    <xf numFmtId="165" fontId="7" fillId="0" borderId="139" xfId="0" applyNumberFormat="1" applyFont="1" applyBorder="1" applyAlignment="1">
      <alignment horizontal="center" shrinkToFit="1" readingOrder="1"/>
    </xf>
    <xf numFmtId="1" fontId="7" fillId="0" borderId="139" xfId="0" applyNumberFormat="1" applyFont="1" applyBorder="1" applyAlignment="1">
      <alignment horizontal="center" shrinkToFit="1" readingOrder="1"/>
    </xf>
    <xf numFmtId="165" fontId="7" fillId="0" borderId="139" xfId="0" applyNumberFormat="1" applyFont="1" applyBorder="1" applyAlignment="1">
      <alignment horizontal="center" shrinkToFit="1"/>
    </xf>
    <xf numFmtId="165" fontId="7" fillId="0" borderId="143" xfId="0" applyNumberFormat="1" applyFont="1" applyBorder="1" applyAlignment="1">
      <alignment horizontal="center" shrinkToFit="1"/>
    </xf>
    <xf numFmtId="0" fontId="8" fillId="49" borderId="144" xfId="0" applyFont="1" applyFill="1" applyBorder="1" applyAlignment="1">
      <alignment horizontal="center" shrinkToFit="1"/>
    </xf>
    <xf numFmtId="0" fontId="8" fillId="49" borderId="145" xfId="0" applyFont="1" applyFill="1" applyBorder="1" applyAlignment="1">
      <alignment horizontal="center" shrinkToFit="1"/>
    </xf>
    <xf numFmtId="0" fontId="8" fillId="49" borderId="145" xfId="1713" applyFont="1" applyFill="1" applyBorder="1" applyAlignment="1">
      <alignment horizontal="left" vertical="center"/>
    </xf>
    <xf numFmtId="49" fontId="7" fillId="49" borderId="145" xfId="0" applyNumberFormat="1" applyFont="1" applyFill="1" applyBorder="1" applyAlignment="1">
      <alignment horizontal="center" vertical="center" shrinkToFit="1"/>
    </xf>
    <xf numFmtId="1" fontId="7" fillId="49" borderId="145" xfId="0" applyNumberFormat="1" applyFont="1" applyFill="1" applyBorder="1" applyAlignment="1">
      <alignment horizontal="center" vertical="center" shrinkToFit="1"/>
    </xf>
    <xf numFmtId="1" fontId="13" fillId="49" borderId="145" xfId="0" applyNumberFormat="1" applyFont="1" applyFill="1" applyBorder="1" applyAlignment="1">
      <alignment horizontal="center" vertical="center" shrinkToFit="1"/>
    </xf>
    <xf numFmtId="165" fontId="13" fillId="49" borderId="145" xfId="0" applyNumberFormat="1" applyFont="1" applyFill="1" applyBorder="1" applyAlignment="1">
      <alignment horizontal="center" vertical="center" shrinkToFit="1"/>
    </xf>
    <xf numFmtId="0" fontId="7" fillId="49" borderId="145" xfId="0" applyFont="1" applyFill="1" applyBorder="1" applyAlignment="1">
      <alignment horizontal="center" vertical="center" shrinkToFit="1"/>
    </xf>
    <xf numFmtId="0" fontId="123" fillId="49" borderId="145" xfId="150" applyFont="1" applyFill="1" applyBorder="1" applyAlignment="1" applyProtection="1">
      <alignment horizontal="center" vertical="center" shrinkToFit="1"/>
    </xf>
    <xf numFmtId="0" fontId="7" fillId="49" borderId="145" xfId="0" applyFont="1" applyFill="1" applyBorder="1" applyAlignment="1">
      <alignment horizontal="center" shrinkToFit="1"/>
    </xf>
    <xf numFmtId="14" fontId="7" fillId="49" borderId="145" xfId="0" applyNumberFormat="1" applyFont="1" applyFill="1" applyBorder="1" applyAlignment="1">
      <alignment horizontal="center" shrinkToFit="1" readingOrder="1"/>
    </xf>
    <xf numFmtId="165" fontId="7" fillId="49" borderId="145" xfId="0" applyNumberFormat="1" applyFont="1" applyFill="1" applyBorder="1" applyAlignment="1">
      <alignment horizontal="center" shrinkToFit="1" readingOrder="1"/>
    </xf>
    <xf numFmtId="1" fontId="7" fillId="49" borderId="145" xfId="0" applyNumberFormat="1" applyFont="1" applyFill="1" applyBorder="1" applyAlignment="1">
      <alignment horizontal="center" shrinkToFit="1" readingOrder="1"/>
    </xf>
    <xf numFmtId="165" fontId="7" fillId="49" borderId="145" xfId="0" applyNumberFormat="1" applyFont="1" applyFill="1" applyBorder="1" applyAlignment="1">
      <alignment horizontal="center" shrinkToFit="1"/>
    </xf>
    <xf numFmtId="165" fontId="7" fillId="49" borderId="146" xfId="0" applyNumberFormat="1" applyFont="1" applyFill="1" applyBorder="1" applyAlignment="1">
      <alignment horizontal="center" shrinkToFit="1"/>
    </xf>
    <xf numFmtId="0" fontId="7" fillId="0" borderId="147" xfId="0" applyFont="1" applyBorder="1" applyAlignment="1">
      <alignment horizontal="center" shrinkToFit="1"/>
    </xf>
    <xf numFmtId="0" fontId="7" fillId="44" borderId="1" xfId="0" applyFont="1" applyFill="1" applyBorder="1" applyAlignment="1">
      <alignment horizontal="center" shrinkToFit="1" readingOrder="1"/>
    </xf>
    <xf numFmtId="0" fontId="51" fillId="50" borderId="141" xfId="0" applyFont="1" applyFill="1" applyBorder="1" applyAlignment="1">
      <alignment horizontal="left" vertical="center"/>
    </xf>
    <xf numFmtId="165" fontId="68" fillId="0" borderId="0" xfId="0" applyNumberFormat="1" applyFont="1" applyAlignment="1" applyProtection="1">
      <alignment vertical="center"/>
      <protection hidden="1"/>
    </xf>
    <xf numFmtId="165" fontId="70" fillId="0" borderId="0" xfId="0" applyNumberFormat="1" applyFont="1" applyAlignment="1" applyProtection="1">
      <alignment vertical="center"/>
      <protection hidden="1"/>
    </xf>
    <xf numFmtId="0" fontId="43" fillId="0" borderId="0" xfId="0" applyFont="1" applyAlignment="1" applyProtection="1">
      <alignment horizontal="center" vertical="center" shrinkToFit="1"/>
      <protection hidden="1"/>
    </xf>
    <xf numFmtId="0" fontId="43" fillId="0" borderId="0" xfId="0" applyFont="1" applyAlignment="1" applyProtection="1">
      <alignment shrinkToFit="1"/>
      <protection hidden="1"/>
    </xf>
    <xf numFmtId="0" fontId="43" fillId="0" borderId="0" xfId="0" applyFont="1" applyAlignment="1" applyProtection="1">
      <alignment horizontal="right" vertical="center"/>
      <protection hidden="1"/>
    </xf>
    <xf numFmtId="0" fontId="43" fillId="0" borderId="0" xfId="0" applyFont="1" applyAlignment="1" applyProtection="1">
      <alignment horizontal="left" vertical="center" shrinkToFit="1"/>
      <protection hidden="1"/>
    </xf>
    <xf numFmtId="1" fontId="43" fillId="0" borderId="0" xfId="0" applyNumberFormat="1" applyFont="1" applyAlignment="1" applyProtection="1">
      <alignment horizontal="center" shrinkToFit="1"/>
      <protection hidden="1"/>
    </xf>
    <xf numFmtId="49" fontId="43" fillId="0" borderId="0" xfId="0" applyNumberFormat="1" applyFont="1" applyAlignment="1" applyProtection="1">
      <alignment horizontal="center" shrinkToFit="1"/>
      <protection hidden="1"/>
    </xf>
    <xf numFmtId="174" fontId="68" fillId="0" borderId="0" xfId="0" applyNumberFormat="1" applyFont="1" applyAlignment="1" applyProtection="1">
      <alignment vertical="center" shrinkToFit="1"/>
      <protection hidden="1"/>
    </xf>
    <xf numFmtId="0" fontId="68" fillId="0" borderId="0" xfId="0" applyFont="1" applyAlignment="1" applyProtection="1">
      <alignment horizontal="centerContinuous" shrinkToFit="1" readingOrder="1"/>
      <protection hidden="1"/>
    </xf>
    <xf numFmtId="9" fontId="68" fillId="0" borderId="0" xfId="0" applyNumberFormat="1" applyFont="1" applyAlignment="1" applyProtection="1">
      <alignment horizontal="center" vertical="center"/>
      <protection hidden="1"/>
    </xf>
    <xf numFmtId="0" fontId="68" fillId="0" borderId="0" xfId="0" applyFont="1" applyAlignment="1" applyProtection="1">
      <alignment horizontal="left" vertical="center"/>
      <protection hidden="1"/>
    </xf>
    <xf numFmtId="0" fontId="68" fillId="0" borderId="0" xfId="0" applyFont="1" applyAlignment="1" applyProtection="1">
      <alignment horizontal="center" vertical="center"/>
      <protection hidden="1"/>
    </xf>
    <xf numFmtId="0" fontId="43" fillId="0" borderId="0" xfId="0" applyFont="1" applyAlignment="1" applyProtection="1">
      <alignment horizontal="right"/>
      <protection hidden="1"/>
    </xf>
    <xf numFmtId="0" fontId="68" fillId="0" borderId="0" xfId="0" applyFont="1" applyAlignment="1" applyProtection="1">
      <alignment vertical="center"/>
      <protection hidden="1"/>
    </xf>
    <xf numFmtId="0" fontId="62" fillId="0" borderId="0" xfId="0" applyFont="1" applyProtection="1">
      <protection hidden="1"/>
    </xf>
    <xf numFmtId="0" fontId="43" fillId="0" borderId="0" xfId="0" applyFont="1" applyAlignment="1" applyProtection="1">
      <alignment vertical="center"/>
      <protection hidden="1"/>
    </xf>
    <xf numFmtId="0" fontId="43" fillId="0" borderId="0" xfId="0" applyFont="1" applyAlignment="1" applyProtection="1">
      <alignment horizontal="center" shrinkToFit="1"/>
      <protection locked="0" hidden="1"/>
    </xf>
    <xf numFmtId="0" fontId="134" fillId="0" borderId="0" xfId="0" applyFont="1" applyProtection="1">
      <protection hidden="1"/>
    </xf>
    <xf numFmtId="0" fontId="135" fillId="0" borderId="0" xfId="150" applyFont="1" applyFill="1" applyBorder="1" applyAlignment="1" applyProtection="1">
      <protection hidden="1"/>
    </xf>
    <xf numFmtId="0" fontId="47" fillId="0" borderId="0" xfId="0" applyFont="1" applyAlignment="1" applyProtection="1">
      <alignment horizontal="center" shrinkToFit="1"/>
      <protection hidden="1"/>
    </xf>
    <xf numFmtId="0" fontId="43" fillId="0" borderId="0" xfId="0" applyFont="1" applyAlignment="1" applyProtection="1">
      <alignment vertical="center" shrinkToFit="1"/>
      <protection hidden="1"/>
    </xf>
    <xf numFmtId="173" fontId="43" fillId="0" borderId="0" xfId="0" applyNumberFormat="1" applyFont="1" applyAlignment="1" applyProtection="1">
      <alignment horizontal="center" vertical="center" shrinkToFit="1"/>
      <protection hidden="1"/>
    </xf>
    <xf numFmtId="173" fontId="43" fillId="0" borderId="0" xfId="0" applyNumberFormat="1" applyFont="1" applyAlignment="1" applyProtection="1">
      <alignment vertical="center" shrinkToFit="1"/>
      <protection hidden="1"/>
    </xf>
    <xf numFmtId="0" fontId="43" fillId="0" borderId="0" xfId="0" applyFont="1" applyAlignment="1" applyProtection="1">
      <alignment horizontal="centerContinuous" shrinkToFit="1" readingOrder="1"/>
      <protection hidden="1"/>
    </xf>
    <xf numFmtId="14" fontId="43" fillId="0" borderId="0" xfId="0" applyNumberFormat="1" applyFont="1" applyAlignment="1" applyProtection="1">
      <alignment horizontal="center" shrinkToFit="1"/>
      <protection hidden="1"/>
    </xf>
    <xf numFmtId="0" fontId="62" fillId="0" borderId="0" xfId="0" applyFont="1" applyAlignment="1" applyProtection="1">
      <alignment horizontal="center" vertical="center" shrinkToFit="1"/>
      <protection hidden="1"/>
    </xf>
    <xf numFmtId="0" fontId="134" fillId="0" borderId="0" xfId="0" applyFont="1" applyAlignment="1" applyProtection="1">
      <alignment horizontal="right" vertical="center"/>
      <protection hidden="1"/>
    </xf>
    <xf numFmtId="0" fontId="62" fillId="0" borderId="0" xfId="0" applyFont="1" applyAlignment="1" applyProtection="1">
      <alignment horizontal="left" vertical="center"/>
      <protection hidden="1"/>
    </xf>
    <xf numFmtId="165" fontId="62" fillId="0" borderId="0" xfId="0" applyNumberFormat="1" applyFont="1" applyAlignment="1" applyProtection="1">
      <alignment horizontal="left" vertical="center"/>
      <protection hidden="1"/>
    </xf>
    <xf numFmtId="1" fontId="62" fillId="0" borderId="0" xfId="0" applyNumberFormat="1" applyFont="1" applyAlignment="1" applyProtection="1">
      <alignment horizontal="center"/>
      <protection hidden="1"/>
    </xf>
    <xf numFmtId="0" fontId="62" fillId="0" borderId="0" xfId="0" applyFont="1" applyAlignment="1" applyProtection="1">
      <alignment shrinkToFit="1" readingOrder="1"/>
      <protection hidden="1"/>
    </xf>
    <xf numFmtId="0" fontId="62" fillId="0" borderId="0" xfId="0" applyFont="1" applyAlignment="1" applyProtection="1">
      <alignment shrinkToFit="1"/>
      <protection hidden="1"/>
    </xf>
    <xf numFmtId="0" fontId="134" fillId="0" borderId="0" xfId="0" applyFont="1" applyAlignment="1" applyProtection="1">
      <alignment horizontal="left" vertical="center"/>
      <protection hidden="1"/>
    </xf>
    <xf numFmtId="0" fontId="62" fillId="0" borderId="0" xfId="0" applyFont="1" applyAlignment="1" applyProtection="1">
      <alignment horizontal="center"/>
      <protection hidden="1"/>
    </xf>
    <xf numFmtId="0" fontId="68" fillId="0" borderId="0" xfId="0" applyFont="1" applyAlignment="1" applyProtection="1">
      <alignment horizontal="center"/>
      <protection hidden="1"/>
    </xf>
    <xf numFmtId="0" fontId="62" fillId="0" borderId="0" xfId="0" applyFont="1" applyAlignment="1" applyProtection="1">
      <alignment horizontal="center" shrinkToFit="1"/>
      <protection hidden="1"/>
    </xf>
    <xf numFmtId="14" fontId="63" fillId="0" borderId="0" xfId="0" applyNumberFormat="1" applyFont="1" applyProtection="1">
      <protection hidden="1"/>
    </xf>
    <xf numFmtId="49" fontId="63" fillId="0" borderId="0" xfId="0" applyNumberFormat="1" applyFont="1" applyProtection="1">
      <protection hidden="1"/>
    </xf>
    <xf numFmtId="169" fontId="43" fillId="0" borderId="0" xfId="0" applyNumberFormat="1" applyFont="1" applyAlignment="1" applyProtection="1">
      <alignment horizontal="center" vertical="center" shrinkToFit="1"/>
      <protection hidden="1"/>
    </xf>
    <xf numFmtId="1" fontId="47" fillId="0" borderId="0" xfId="0" applyNumberFormat="1" applyFont="1" applyAlignment="1" applyProtection="1">
      <alignment horizontal="center" vertical="center" shrinkToFit="1"/>
      <protection hidden="1"/>
    </xf>
    <xf numFmtId="165" fontId="47" fillId="0" borderId="0" xfId="0" applyNumberFormat="1" applyFont="1" applyAlignment="1" applyProtection="1">
      <alignment horizontal="center" vertical="center" shrinkToFit="1"/>
      <protection hidden="1"/>
    </xf>
    <xf numFmtId="0" fontId="47" fillId="0" borderId="0" xfId="0" applyFont="1" applyAlignment="1" applyProtection="1">
      <alignment horizontal="center" vertical="center" shrinkToFit="1" readingOrder="1"/>
      <protection hidden="1"/>
    </xf>
    <xf numFmtId="0" fontId="99" fillId="0" borderId="0" xfId="0" applyFont="1" applyAlignment="1" applyProtection="1">
      <alignment horizontal="center" vertical="center" shrinkToFit="1"/>
      <protection hidden="1"/>
    </xf>
    <xf numFmtId="1" fontId="47" fillId="0" borderId="0" xfId="0" applyNumberFormat="1" applyFont="1" applyAlignment="1" applyProtection="1">
      <alignment horizontal="center" vertical="center"/>
      <protection hidden="1"/>
    </xf>
    <xf numFmtId="0" fontId="55" fillId="0" borderId="0" xfId="0" applyFont="1" applyAlignment="1" applyProtection="1">
      <alignment horizontal="right" vertical="center" shrinkToFit="1"/>
      <protection hidden="1"/>
    </xf>
    <xf numFmtId="0" fontId="55" fillId="0" borderId="0" xfId="0" applyFont="1" applyAlignment="1" applyProtection="1">
      <alignment horizontal="center" vertical="center"/>
      <protection hidden="1"/>
    </xf>
    <xf numFmtId="49" fontId="43" fillId="0" borderId="0" xfId="0" applyNumberFormat="1" applyFont="1" applyAlignment="1" applyProtection="1">
      <alignment vertical="center" shrinkToFit="1"/>
      <protection hidden="1"/>
    </xf>
    <xf numFmtId="0" fontId="47" fillId="0" borderId="0" xfId="0" applyFont="1" applyAlignment="1" applyProtection="1">
      <alignment horizontal="left" vertical="center" shrinkToFit="1"/>
      <protection hidden="1"/>
    </xf>
    <xf numFmtId="0" fontId="68" fillId="0" borderId="0" xfId="1713" applyFont="1" applyAlignment="1">
      <alignment horizontal="left" vertical="center" shrinkToFit="1"/>
    </xf>
    <xf numFmtId="0" fontId="68" fillId="0" borderId="0" xfId="1713" applyFont="1" applyAlignment="1">
      <alignment horizontal="left" shrinkToFit="1"/>
    </xf>
    <xf numFmtId="49" fontId="68" fillId="0" borderId="0" xfId="0" applyNumberFormat="1" applyFont="1" applyAlignment="1">
      <alignment horizontal="center" vertical="center" shrinkToFit="1"/>
    </xf>
    <xf numFmtId="1" fontId="68" fillId="0" borderId="0" xfId="0" applyNumberFormat="1" applyFont="1" applyAlignment="1">
      <alignment horizontal="center" vertical="center" shrinkToFit="1"/>
    </xf>
    <xf numFmtId="1" fontId="70" fillId="0" borderId="0" xfId="0" applyNumberFormat="1" applyFont="1" applyAlignment="1">
      <alignment horizontal="center" vertical="center" shrinkToFit="1"/>
    </xf>
    <xf numFmtId="1" fontId="68" fillId="0" borderId="0" xfId="0" applyNumberFormat="1" applyFont="1" applyAlignment="1">
      <alignment horizontal="center"/>
    </xf>
    <xf numFmtId="0" fontId="68" fillId="0" borderId="0" xfId="0" applyFont="1" applyAlignment="1">
      <alignment horizontal="center" vertical="center" shrinkToFit="1"/>
    </xf>
    <xf numFmtId="0" fontId="68" fillId="3" borderId="149" xfId="1713" applyFont="1" applyFill="1" applyBorder="1" applyAlignment="1">
      <alignment horizontal="center" shrinkToFit="1"/>
    </xf>
    <xf numFmtId="0" fontId="93" fillId="0" borderId="0" xfId="0" applyFont="1" applyAlignment="1">
      <alignment horizontal="center" shrinkToFit="1"/>
    </xf>
    <xf numFmtId="166" fontId="68" fillId="0" borderId="0" xfId="0" applyNumberFormat="1" applyFont="1" applyAlignment="1">
      <alignment horizontal="center"/>
    </xf>
    <xf numFmtId="0" fontId="121" fillId="0" borderId="0" xfId="150" applyFont="1" applyFill="1" applyBorder="1" applyAlignment="1" applyProtection="1">
      <alignment horizontal="center" vertical="center" shrinkToFit="1"/>
    </xf>
    <xf numFmtId="0" fontId="68" fillId="0" borderId="0" xfId="0" applyFont="1" applyAlignment="1">
      <alignment horizontal="center" shrinkToFit="1"/>
    </xf>
    <xf numFmtId="1" fontId="68" fillId="0" borderId="0" xfId="150" applyNumberFormat="1" applyFont="1" applyFill="1" applyBorder="1" applyAlignment="1" applyProtection="1">
      <alignment horizontal="center" vertical="center" shrinkToFit="1"/>
    </xf>
    <xf numFmtId="0" fontId="68" fillId="0" borderId="0" xfId="0" applyFont="1" applyAlignment="1">
      <alignment horizontal="center" shrinkToFit="1" readingOrder="1"/>
    </xf>
    <xf numFmtId="14" fontId="68" fillId="0" borderId="0" xfId="0" applyNumberFormat="1" applyFont="1" applyAlignment="1">
      <alignment horizontal="center" shrinkToFit="1" readingOrder="1"/>
    </xf>
    <xf numFmtId="0" fontId="68" fillId="7" borderId="139" xfId="1713" applyFont="1" applyFill="1" applyBorder="1" applyAlignment="1">
      <alignment horizontal="center" shrinkToFit="1"/>
    </xf>
    <xf numFmtId="0" fontId="68" fillId="3" borderId="139" xfId="1713" applyFont="1" applyFill="1" applyBorder="1" applyAlignment="1">
      <alignment horizontal="center" shrinkToFit="1"/>
    </xf>
    <xf numFmtId="165" fontId="68" fillId="0" borderId="0" xfId="0" applyNumberFormat="1" applyFont="1" applyAlignment="1">
      <alignment horizontal="left" vertical="center" shrinkToFit="1"/>
    </xf>
    <xf numFmtId="0" fontId="68" fillId="0" borderId="0" xfId="0" applyFont="1" applyAlignment="1">
      <alignment horizontal="left" shrinkToFit="1"/>
    </xf>
    <xf numFmtId="0" fontId="68" fillId="0" borderId="0" xfId="0" applyFont="1" applyAlignment="1">
      <alignment horizontal="center"/>
    </xf>
    <xf numFmtId="0" fontId="63" fillId="0" borderId="0" xfId="0" applyFont="1" applyAlignment="1">
      <alignment horizontal="left" vertical="center"/>
    </xf>
    <xf numFmtId="0" fontId="63" fillId="0" borderId="0" xfId="0" applyFont="1" applyAlignment="1">
      <alignment horizontal="center" vertical="center"/>
    </xf>
    <xf numFmtId="0" fontId="136" fillId="0" borderId="0" xfId="0" applyFont="1" applyAlignment="1">
      <alignment horizontal="center" shrinkToFit="1"/>
    </xf>
    <xf numFmtId="0" fontId="68" fillId="7" borderId="149" xfId="1713" applyFont="1" applyFill="1" applyBorder="1" applyAlignment="1">
      <alignment horizontal="center" shrinkToFit="1"/>
    </xf>
    <xf numFmtId="0" fontId="136" fillId="0" borderId="0" xfId="0" applyFont="1" applyAlignment="1">
      <alignment horizontal="center" shrinkToFit="1" readingOrder="1"/>
    </xf>
    <xf numFmtId="0" fontId="68" fillId="0" borderId="0" xfId="0" applyFont="1" applyAlignment="1">
      <alignment horizontal="left" vertical="center" shrinkToFit="1"/>
    </xf>
    <xf numFmtId="0" fontId="68" fillId="0" borderId="0" xfId="0" applyFont="1" applyAlignment="1">
      <alignment horizontal="center" vertical="center"/>
    </xf>
    <xf numFmtId="14" fontId="68" fillId="0" borderId="0" xfId="0" applyNumberFormat="1" applyFont="1" applyAlignment="1">
      <alignment horizontal="center" vertical="center" shrinkToFit="1"/>
    </xf>
    <xf numFmtId="0" fontId="68" fillId="0" borderId="0" xfId="0" applyFont="1" applyAlignment="1">
      <alignment horizontal="left" vertical="top" shrinkToFit="1"/>
    </xf>
    <xf numFmtId="1" fontId="68" fillId="0" borderId="0" xfId="0" applyNumberFormat="1" applyFont="1" applyAlignment="1">
      <alignment horizontal="center" vertical="center"/>
    </xf>
    <xf numFmtId="0" fontId="68" fillId="0" borderId="0" xfId="1714" applyFont="1" applyAlignment="1">
      <alignment horizontal="left" vertical="top" shrinkToFit="1"/>
    </xf>
    <xf numFmtId="49" fontId="68" fillId="0" borderId="0" xfId="1714" applyNumberFormat="1" applyFont="1" applyAlignment="1">
      <alignment horizontal="center" vertical="center" shrinkToFit="1"/>
    </xf>
    <xf numFmtId="1" fontId="68" fillId="0" borderId="0" xfId="1714" applyNumberFormat="1" applyFont="1" applyAlignment="1">
      <alignment horizontal="center"/>
    </xf>
    <xf numFmtId="0" fontId="137" fillId="0" borderId="0" xfId="0" applyFont="1" applyAlignment="1">
      <alignment horizontal="center"/>
    </xf>
    <xf numFmtId="0" fontId="93" fillId="0" borderId="0" xfId="0" applyFont="1" applyAlignment="1">
      <alignment horizontal="center" vertical="center"/>
    </xf>
    <xf numFmtId="165" fontId="68" fillId="0" borderId="0" xfId="0" applyNumberFormat="1" applyFont="1" applyAlignment="1">
      <alignment horizontal="center" vertical="center" shrinkToFit="1"/>
    </xf>
    <xf numFmtId="49" fontId="68" fillId="0" borderId="0" xfId="0" applyNumberFormat="1" applyFont="1" applyAlignment="1">
      <alignment horizontal="left" shrinkToFit="1"/>
    </xf>
    <xf numFmtId="0" fontId="68" fillId="0" borderId="0" xfId="378" applyFont="1" applyAlignment="1">
      <alignment horizontal="left" shrinkToFit="1"/>
    </xf>
    <xf numFmtId="49" fontId="68" fillId="0" borderId="0" xfId="378" applyNumberFormat="1" applyFont="1" applyAlignment="1">
      <alignment horizontal="center" vertical="center" shrinkToFit="1"/>
    </xf>
    <xf numFmtId="1" fontId="68" fillId="0" borderId="0" xfId="378" applyNumberFormat="1" applyFont="1" applyAlignment="1">
      <alignment horizontal="center"/>
    </xf>
    <xf numFmtId="0" fontId="93" fillId="0" borderId="0" xfId="0" applyFont="1" applyAlignment="1">
      <alignment horizontal="center"/>
    </xf>
    <xf numFmtId="164" fontId="68" fillId="0" borderId="0" xfId="1" applyFont="1" applyFill="1" applyBorder="1" applyAlignment="1">
      <alignment horizontal="center" vertical="center" shrinkToFit="1"/>
    </xf>
    <xf numFmtId="0" fontId="68" fillId="0" borderId="0" xfId="1715" applyFont="1" applyAlignment="1">
      <alignment horizontal="left" shrinkToFit="1"/>
    </xf>
    <xf numFmtId="10" fontId="68" fillId="0" borderId="0" xfId="0" applyNumberFormat="1" applyFont="1" applyAlignment="1">
      <alignment horizontal="center" vertical="center" shrinkToFit="1"/>
    </xf>
    <xf numFmtId="10" fontId="68" fillId="0" borderId="0" xfId="0" applyNumberFormat="1" applyFont="1" applyAlignment="1">
      <alignment horizontal="center"/>
    </xf>
    <xf numFmtId="0" fontId="86" fillId="0" borderId="0" xfId="0" applyFont="1" applyAlignment="1" applyProtection="1">
      <alignment horizontal="center" vertical="center" shrinkToFit="1"/>
      <protection hidden="1"/>
    </xf>
    <xf numFmtId="165" fontId="0" fillId="0" borderId="0" xfId="0" applyNumberFormat="1" applyAlignment="1" applyProtection="1">
      <alignment horizontal="center" vertical="center"/>
      <protection hidden="1"/>
    </xf>
    <xf numFmtId="1" fontId="0" fillId="0" borderId="0" xfId="0" applyNumberFormat="1" applyAlignment="1" applyProtection="1">
      <alignment horizontal="center"/>
      <protection hidden="1"/>
    </xf>
    <xf numFmtId="0" fontId="109" fillId="0" borderId="0" xfId="0" applyFont="1" applyAlignment="1" applyProtection="1">
      <alignment horizontal="left"/>
      <protection hidden="1"/>
    </xf>
    <xf numFmtId="0" fontId="86" fillId="0" borderId="0" xfId="0" applyFont="1" applyAlignment="1" applyProtection="1">
      <alignment horizontal="center" shrinkToFit="1"/>
      <protection hidden="1"/>
    </xf>
    <xf numFmtId="14" fontId="0" fillId="0" borderId="0" xfId="0" applyNumberFormat="1" applyAlignment="1" applyProtection="1">
      <alignment horizontal="center" shrinkToFit="1"/>
      <protection hidden="1"/>
    </xf>
    <xf numFmtId="49" fontId="0" fillId="0" borderId="0" xfId="0" applyNumberFormat="1" applyAlignment="1" applyProtection="1">
      <alignment horizontal="center" shrinkToFit="1"/>
      <protection hidden="1"/>
    </xf>
    <xf numFmtId="0" fontId="55" fillId="0" borderId="0" xfId="0" applyFont="1" applyAlignment="1" applyProtection="1">
      <alignment horizontal="left"/>
      <protection hidden="1"/>
    </xf>
    <xf numFmtId="0" fontId="105" fillId="0" borderId="0" xfId="0" applyFont="1" applyAlignment="1" applyProtection="1">
      <alignment horizontal="center" vertical="top" shrinkToFit="1"/>
      <protection hidden="1"/>
    </xf>
    <xf numFmtId="0" fontId="63" fillId="0" borderId="0" xfId="0" applyFont="1" applyAlignment="1" applyProtection="1">
      <alignment horizontal="center"/>
      <protection hidden="1"/>
    </xf>
    <xf numFmtId="3" fontId="138" fillId="0" borderId="0" xfId="0" applyNumberFormat="1" applyFont="1" applyAlignment="1" applyProtection="1">
      <alignment horizontal="center" shrinkToFit="1"/>
      <protection hidden="1"/>
    </xf>
    <xf numFmtId="3" fontId="138" fillId="0" borderId="0" xfId="0" applyNumberFormat="1" applyFont="1" applyAlignment="1" applyProtection="1">
      <alignment shrinkToFit="1"/>
      <protection hidden="1"/>
    </xf>
    <xf numFmtId="0" fontId="47" fillId="0" borderId="0" xfId="0" applyFont="1" applyAlignment="1" applyProtection="1">
      <alignment vertical="center" shrinkToFit="1"/>
      <protection hidden="1"/>
    </xf>
    <xf numFmtId="0" fontId="63" fillId="0" borderId="0" xfId="0" applyFont="1" applyAlignment="1" applyProtection="1">
      <alignment horizontal="left"/>
      <protection hidden="1"/>
    </xf>
    <xf numFmtId="0" fontId="86" fillId="0" borderId="0" xfId="0" applyFont="1" applyAlignment="1" applyProtection="1">
      <alignment horizontal="center" vertical="center"/>
      <protection hidden="1"/>
    </xf>
    <xf numFmtId="0" fontId="55" fillId="0" borderId="0" xfId="0" applyFont="1" applyAlignment="1" applyProtection="1">
      <alignment vertical="center"/>
      <protection hidden="1"/>
    </xf>
    <xf numFmtId="0" fontId="86" fillId="0" borderId="0" xfId="0" applyFont="1" applyAlignment="1" applyProtection="1">
      <alignment horizontal="center"/>
      <protection hidden="1"/>
    </xf>
    <xf numFmtId="0" fontId="73" fillId="0" borderId="0" xfId="0" applyFont="1" applyAlignment="1" applyProtection="1">
      <alignment horizontal="center" shrinkToFit="1"/>
      <protection hidden="1"/>
    </xf>
    <xf numFmtId="49" fontId="73" fillId="0" borderId="0" xfId="0" applyNumberFormat="1" applyFont="1" applyAlignment="1" applyProtection="1">
      <alignment horizontal="center" shrinkToFit="1"/>
      <protection hidden="1"/>
    </xf>
    <xf numFmtId="0" fontId="0" fillId="0" borderId="0" xfId="0" applyAlignment="1" applyProtection="1">
      <alignment horizontal="center" shrinkToFit="1"/>
      <protection hidden="1"/>
    </xf>
    <xf numFmtId="14" fontId="1" fillId="0" borderId="0" xfId="0" applyNumberFormat="1" applyFont="1" applyAlignment="1" applyProtection="1">
      <alignment horizontal="center" shrinkToFit="1"/>
      <protection hidden="1"/>
    </xf>
    <xf numFmtId="49" fontId="1" fillId="0" borderId="0" xfId="0" applyNumberFormat="1" applyFont="1" applyAlignment="1" applyProtection="1">
      <alignment horizontal="center" shrinkToFit="1"/>
      <protection hidden="1"/>
    </xf>
    <xf numFmtId="0" fontId="1" fillId="0" borderId="0" xfId="0" applyFont="1" applyAlignment="1" applyProtection="1">
      <alignment horizontal="left"/>
      <protection hidden="1"/>
    </xf>
    <xf numFmtId="0" fontId="0" fillId="0" borderId="0" xfId="0" applyAlignment="1" applyProtection="1">
      <alignment horizontal="left"/>
      <protection hidden="1"/>
    </xf>
    <xf numFmtId="0" fontId="139" fillId="0" borderId="0" xfId="0" applyFont="1" applyAlignment="1" applyProtection="1">
      <alignment vertical="center"/>
      <protection hidden="1"/>
    </xf>
    <xf numFmtId="0" fontId="0" fillId="9" borderId="0" xfId="0" applyFill="1" applyProtection="1">
      <protection hidden="1"/>
    </xf>
    <xf numFmtId="173" fontId="7" fillId="30" borderId="0" xfId="0" applyNumberFormat="1" applyFont="1" applyFill="1" applyAlignment="1" applyProtection="1">
      <alignment horizontal="center" vertical="center" shrinkToFit="1"/>
      <protection hidden="1"/>
    </xf>
    <xf numFmtId="1" fontId="7" fillId="30" borderId="0" xfId="0" applyNumberFormat="1" applyFont="1" applyFill="1" applyAlignment="1" applyProtection="1">
      <alignment horizontal="center"/>
      <protection hidden="1"/>
    </xf>
    <xf numFmtId="1" fontId="8" fillId="51" borderId="0" xfId="0" applyNumberFormat="1" applyFont="1" applyFill="1" applyAlignment="1" applyProtection="1">
      <alignment horizontal="center"/>
      <protection hidden="1"/>
    </xf>
    <xf numFmtId="1" fontId="13" fillId="30" borderId="45" xfId="0" applyNumberFormat="1" applyFont="1" applyFill="1" applyBorder="1" applyAlignment="1" applyProtection="1">
      <alignment horizontal="center" vertical="center" shrinkToFit="1"/>
      <protection hidden="1"/>
    </xf>
    <xf numFmtId="1" fontId="13" fillId="30" borderId="14" xfId="0" applyNumberFormat="1" applyFont="1" applyFill="1" applyBorder="1" applyAlignment="1" applyProtection="1">
      <alignment horizontal="center" vertical="center" shrinkToFit="1"/>
      <protection hidden="1"/>
    </xf>
    <xf numFmtId="1" fontId="70" fillId="51" borderId="132" xfId="0" applyNumberFormat="1" applyFont="1" applyFill="1" applyBorder="1" applyAlignment="1">
      <alignment horizontal="center" vertical="center" shrinkToFit="1"/>
    </xf>
    <xf numFmtId="0" fontId="51" fillId="51" borderId="141" xfId="0" applyFont="1" applyFill="1" applyBorder="1" applyAlignment="1">
      <alignment horizontal="left" vertical="center"/>
    </xf>
    <xf numFmtId="1" fontId="7" fillId="30" borderId="139" xfId="0" applyNumberFormat="1" applyFont="1" applyFill="1" applyBorder="1" applyAlignment="1">
      <alignment horizontal="center"/>
    </xf>
    <xf numFmtId="1" fontId="7" fillId="52" borderId="145" xfId="0" applyNumberFormat="1" applyFont="1" applyFill="1" applyBorder="1" applyAlignment="1">
      <alignment horizontal="center"/>
    </xf>
    <xf numFmtId="1" fontId="0" fillId="30" borderId="0" xfId="0" applyNumberFormat="1" applyFill="1" applyAlignment="1" applyProtection="1">
      <alignment horizontal="center"/>
      <protection hidden="1"/>
    </xf>
    <xf numFmtId="1" fontId="4" fillId="30" borderId="0" xfId="0" applyNumberFormat="1" applyFont="1" applyFill="1" applyAlignment="1" applyProtection="1">
      <alignment horizontal="center"/>
      <protection hidden="1"/>
    </xf>
    <xf numFmtId="1" fontId="0" fillId="30" borderId="0" xfId="0" applyNumberFormat="1" applyFill="1" applyProtection="1">
      <protection hidden="1"/>
    </xf>
    <xf numFmtId="1" fontId="0" fillId="30" borderId="0" xfId="0" applyNumberFormat="1" applyFill="1" applyAlignment="1" applyProtection="1">
      <alignment shrinkToFit="1"/>
      <protection hidden="1"/>
    </xf>
    <xf numFmtId="0" fontId="0" fillId="30" borderId="0" xfId="0" applyFill="1" applyProtection="1">
      <protection hidden="1"/>
    </xf>
    <xf numFmtId="0" fontId="7" fillId="30" borderId="0" xfId="0" applyFont="1" applyFill="1" applyAlignment="1" applyProtection="1">
      <alignment horizontal="centerContinuous" shrinkToFit="1" readingOrder="1"/>
      <protection hidden="1"/>
    </xf>
    <xf numFmtId="0" fontId="7" fillId="30" borderId="0" xfId="0" applyFont="1" applyFill="1" applyAlignment="1" applyProtection="1">
      <alignment shrinkToFit="1" readingOrder="1"/>
      <protection hidden="1"/>
    </xf>
    <xf numFmtId="0" fontId="7" fillId="30" borderId="0" xfId="0" applyFont="1" applyFill="1" applyAlignment="1" applyProtection="1">
      <alignment shrinkToFit="1"/>
      <protection hidden="1"/>
    </xf>
    <xf numFmtId="0" fontId="8" fillId="51" borderId="0" xfId="0" applyFont="1" applyFill="1" applyAlignment="1" applyProtection="1">
      <alignment shrinkToFit="1" readingOrder="1"/>
      <protection hidden="1"/>
    </xf>
    <xf numFmtId="0" fontId="8" fillId="51" borderId="0" xfId="0" applyFont="1" applyFill="1" applyAlignment="1" applyProtection="1">
      <alignment shrinkToFit="1"/>
      <protection hidden="1"/>
    </xf>
    <xf numFmtId="0" fontId="13" fillId="30" borderId="25" xfId="0" applyFont="1" applyFill="1" applyBorder="1" applyAlignment="1" applyProtection="1">
      <alignment horizontal="center" vertical="center" shrinkToFit="1" readingOrder="1"/>
      <protection hidden="1"/>
    </xf>
    <xf numFmtId="0" fontId="13" fillId="30" borderId="6" xfId="0" applyFont="1" applyFill="1" applyBorder="1" applyAlignment="1" applyProtection="1">
      <alignment horizontal="center" vertical="center" shrinkToFit="1" readingOrder="1"/>
      <protection hidden="1"/>
    </xf>
    <xf numFmtId="49" fontId="7" fillId="30" borderId="17" xfId="0" applyNumberFormat="1" applyFont="1" applyFill="1" applyBorder="1" applyAlignment="1" applyProtection="1">
      <alignment vertical="center" shrinkToFit="1"/>
      <protection hidden="1"/>
    </xf>
    <xf numFmtId="49" fontId="7" fillId="30" borderId="136" xfId="0" applyNumberFormat="1" applyFont="1" applyFill="1" applyBorder="1" applyAlignment="1" applyProtection="1">
      <alignment vertical="center" shrinkToFit="1"/>
      <protection hidden="1"/>
    </xf>
    <xf numFmtId="49" fontId="70" fillId="51" borderId="103" xfId="0" applyNumberFormat="1" applyFont="1" applyFill="1" applyBorder="1" applyAlignment="1">
      <alignment horizontal="center" vertical="center" shrinkToFit="1"/>
    </xf>
    <xf numFmtId="49" fontId="70" fillId="51" borderId="132" xfId="0" applyNumberFormat="1" applyFont="1" applyFill="1" applyBorder="1" applyAlignment="1">
      <alignment horizontal="center" vertical="center" shrinkToFit="1"/>
    </xf>
    <xf numFmtId="0" fontId="7" fillId="30" borderId="139" xfId="0" applyFont="1" applyFill="1" applyBorder="1" applyAlignment="1">
      <alignment horizontal="center" shrinkToFit="1" readingOrder="1"/>
    </xf>
    <xf numFmtId="0" fontId="122" fillId="30" borderId="139" xfId="0" applyFont="1" applyFill="1" applyBorder="1" applyAlignment="1">
      <alignment horizontal="center" shrinkToFit="1"/>
    </xf>
    <xf numFmtId="0" fontId="7" fillId="30" borderId="145" xfId="0" applyFont="1" applyFill="1" applyBorder="1" applyAlignment="1">
      <alignment horizontal="center" shrinkToFit="1" readingOrder="1"/>
    </xf>
    <xf numFmtId="0" fontId="122" fillId="52" borderId="145" xfId="0" applyFont="1" applyFill="1" applyBorder="1" applyAlignment="1">
      <alignment horizontal="center" shrinkToFit="1"/>
    </xf>
    <xf numFmtId="0" fontId="0" fillId="30" borderId="0" xfId="0" applyFill="1" applyAlignment="1" applyProtection="1">
      <alignment shrinkToFit="1" readingOrder="1"/>
      <protection hidden="1"/>
    </xf>
    <xf numFmtId="0" fontId="0" fillId="30" borderId="0" xfId="0" applyFill="1" applyAlignment="1" applyProtection="1">
      <alignment shrinkToFit="1"/>
      <protection hidden="1"/>
    </xf>
    <xf numFmtId="0" fontId="7" fillId="30" borderId="0" xfId="0" applyFont="1" applyFill="1" applyAlignment="1" applyProtection="1">
      <alignment horizontal="center" vertical="center" shrinkToFit="1"/>
      <protection hidden="1"/>
    </xf>
    <xf numFmtId="0" fontId="7" fillId="30" borderId="0" xfId="0" applyFont="1" applyFill="1" applyProtection="1">
      <protection hidden="1"/>
    </xf>
    <xf numFmtId="0" fontId="8" fillId="51" borderId="0" xfId="0" applyFont="1" applyFill="1" applyProtection="1">
      <protection hidden="1"/>
    </xf>
    <xf numFmtId="0" fontId="8" fillId="51" borderId="0" xfId="0" applyFont="1" applyFill="1" applyAlignment="1" applyProtection="1">
      <alignment horizontal="center"/>
      <protection hidden="1"/>
    </xf>
    <xf numFmtId="0" fontId="10" fillId="51" borderId="0" xfId="0" applyFont="1" applyFill="1" applyAlignment="1" applyProtection="1">
      <alignment horizontal="center"/>
      <protection hidden="1"/>
    </xf>
    <xf numFmtId="0" fontId="13" fillId="30" borderId="25" xfId="0" applyFont="1" applyFill="1" applyBorder="1" applyAlignment="1" applyProtection="1">
      <alignment horizontal="center" vertical="center" shrinkToFit="1"/>
      <protection hidden="1"/>
    </xf>
    <xf numFmtId="0" fontId="13" fillId="30" borderId="6" xfId="0" applyFont="1" applyFill="1" applyBorder="1" applyAlignment="1" applyProtection="1">
      <alignment horizontal="center" vertical="center" shrinkToFit="1"/>
      <protection hidden="1"/>
    </xf>
    <xf numFmtId="49" fontId="70" fillId="51" borderId="130" xfId="0" applyNumberFormat="1" applyFont="1" applyFill="1" applyBorder="1" applyAlignment="1">
      <alignment horizontal="center" vertical="center" shrinkToFit="1"/>
    </xf>
    <xf numFmtId="166" fontId="7" fillId="30" borderId="139" xfId="0" applyNumberFormat="1" applyFont="1" applyFill="1" applyBorder="1" applyAlignment="1">
      <alignment horizontal="center"/>
    </xf>
    <xf numFmtId="166" fontId="7" fillId="52" borderId="145" xfId="0" applyNumberFormat="1" applyFont="1" applyFill="1" applyBorder="1" applyAlignment="1">
      <alignment horizontal="center"/>
    </xf>
    <xf numFmtId="0" fontId="52" fillId="30" borderId="0" xfId="0" applyFont="1" applyFill="1" applyAlignment="1" applyProtection="1">
      <alignment horizontal="center" vertical="center" shrinkToFit="1"/>
      <protection hidden="1"/>
    </xf>
    <xf numFmtId="0" fontId="48" fillId="51" borderId="0" xfId="0" applyFont="1" applyFill="1" applyAlignment="1" applyProtection="1">
      <alignment horizontal="center" vertical="center" shrinkToFit="1"/>
      <protection hidden="1"/>
    </xf>
    <xf numFmtId="14" fontId="70" fillId="51" borderId="132" xfId="0" applyNumberFormat="1" applyFont="1" applyFill="1" applyBorder="1" applyAlignment="1">
      <alignment horizontal="center" vertical="center" shrinkToFit="1"/>
    </xf>
    <xf numFmtId="0" fontId="123" fillId="30" borderId="139" xfId="150" applyFont="1" applyFill="1" applyBorder="1" applyAlignment="1" applyProtection="1">
      <alignment horizontal="center" vertical="center" shrinkToFit="1"/>
    </xf>
    <xf numFmtId="0" fontId="123" fillId="52" borderId="145" xfId="150" applyFont="1" applyFill="1" applyBorder="1" applyAlignment="1" applyProtection="1">
      <alignment horizontal="center" vertical="center" shrinkToFit="1"/>
    </xf>
    <xf numFmtId="0" fontId="0" fillId="30" borderId="0" xfId="0" applyFill="1" applyAlignment="1" applyProtection="1">
      <alignment horizontal="center" vertical="center"/>
      <protection hidden="1"/>
    </xf>
    <xf numFmtId="0" fontId="7" fillId="30" borderId="0" xfId="0" applyFont="1" applyFill="1" applyAlignment="1" applyProtection="1">
      <alignment horizontal="left" vertical="center" shrinkToFit="1"/>
      <protection hidden="1"/>
    </xf>
    <xf numFmtId="0" fontId="52" fillId="30" borderId="0" xfId="0" applyFont="1" applyFill="1" applyAlignment="1" applyProtection="1">
      <alignment shrinkToFit="1"/>
      <protection hidden="1"/>
    </xf>
    <xf numFmtId="0" fontId="52" fillId="30" borderId="0" xfId="0" applyFont="1" applyFill="1" applyAlignment="1" applyProtection="1">
      <alignment horizontal="left" vertical="center" shrinkToFit="1"/>
      <protection hidden="1"/>
    </xf>
    <xf numFmtId="0" fontId="52" fillId="30" borderId="0" xfId="0" applyFont="1" applyFill="1" applyAlignment="1" applyProtection="1">
      <alignment horizontal="left" vertical="center"/>
      <protection hidden="1"/>
    </xf>
    <xf numFmtId="0" fontId="48" fillId="51" borderId="0" xfId="0" applyFont="1" applyFill="1" applyAlignment="1" applyProtection="1">
      <alignment shrinkToFit="1"/>
      <protection hidden="1"/>
    </xf>
    <xf numFmtId="0" fontId="48" fillId="51" borderId="0" xfId="0" applyFont="1" applyFill="1" applyAlignment="1" applyProtection="1">
      <alignment horizontal="left" vertical="center"/>
      <protection hidden="1"/>
    </xf>
    <xf numFmtId="0" fontId="96" fillId="51" borderId="0" xfId="0" applyFont="1" applyFill="1" applyAlignment="1" applyProtection="1">
      <alignment horizontal="center" vertical="center" shrinkToFit="1"/>
      <protection hidden="1"/>
    </xf>
    <xf numFmtId="0" fontId="13" fillId="30" borderId="34" xfId="0" applyFont="1" applyFill="1" applyBorder="1" applyAlignment="1" applyProtection="1">
      <alignment horizontal="center" vertical="center" shrinkToFit="1"/>
      <protection hidden="1"/>
    </xf>
    <xf numFmtId="0" fontId="13" fillId="30" borderId="11" xfId="0" applyFont="1" applyFill="1" applyBorder="1" applyAlignment="1" applyProtection="1">
      <alignment horizontal="center" vertical="center" shrinkToFit="1"/>
      <protection hidden="1"/>
    </xf>
    <xf numFmtId="0" fontId="13" fillId="30" borderId="27" xfId="0" applyFont="1" applyFill="1" applyBorder="1" applyAlignment="1" applyProtection="1">
      <alignment horizontal="center" vertical="center" shrinkToFit="1"/>
      <protection hidden="1"/>
    </xf>
    <xf numFmtId="0" fontId="13" fillId="30" borderId="17" xfId="0" applyFont="1" applyFill="1" applyBorder="1" applyAlignment="1" applyProtection="1">
      <alignment horizontal="left" vertical="center" shrinkToFit="1"/>
      <protection hidden="1"/>
    </xf>
    <xf numFmtId="0" fontId="70" fillId="51" borderId="137" xfId="0" applyFont="1" applyFill="1" applyBorder="1" applyAlignment="1">
      <alignment horizontal="center" vertical="center" shrinkToFit="1"/>
    </xf>
    <xf numFmtId="0" fontId="70" fillId="51" borderId="132" xfId="0" applyFont="1" applyFill="1" applyBorder="1" applyAlignment="1">
      <alignment horizontal="center" vertical="center" shrinkToFit="1"/>
    </xf>
    <xf numFmtId="0" fontId="7" fillId="30" borderId="139" xfId="0" applyFont="1" applyFill="1" applyBorder="1" applyAlignment="1">
      <alignment horizontal="center" shrinkToFit="1"/>
    </xf>
    <xf numFmtId="1" fontId="7" fillId="30" borderId="139" xfId="150" applyNumberFormat="1" applyFont="1" applyFill="1" applyBorder="1" applyAlignment="1" applyProtection="1">
      <alignment horizontal="center" vertical="center" shrinkToFit="1"/>
    </xf>
    <xf numFmtId="0" fontId="7" fillId="52" borderId="145" xfId="0" applyFont="1" applyFill="1" applyBorder="1" applyAlignment="1">
      <alignment horizontal="center" shrinkToFit="1"/>
    </xf>
    <xf numFmtId="1" fontId="7" fillId="52" borderId="145" xfId="150" applyNumberFormat="1" applyFont="1" applyFill="1" applyBorder="1" applyAlignment="1" applyProtection="1">
      <alignment horizontal="center" vertical="center" shrinkToFit="1"/>
    </xf>
    <xf numFmtId="0" fontId="81" fillId="30" borderId="0" xfId="0" applyFont="1" applyFill="1" applyAlignment="1" applyProtection="1">
      <alignment horizontal="left"/>
      <protection hidden="1"/>
    </xf>
    <xf numFmtId="0" fontId="67" fillId="30" borderId="0" xfId="0" applyFont="1" applyFill="1" applyAlignment="1" applyProtection="1">
      <alignment horizontal="center" shrinkToFit="1"/>
      <protection hidden="1"/>
    </xf>
    <xf numFmtId="0" fontId="77" fillId="30" borderId="0" xfId="0" applyFont="1" applyFill="1" applyAlignment="1" applyProtection="1">
      <alignment horizontal="center" vertical="top" shrinkToFit="1"/>
      <protection hidden="1"/>
    </xf>
    <xf numFmtId="0" fontId="73" fillId="30" borderId="0" xfId="0" applyFont="1" applyFill="1" applyProtection="1">
      <protection hidden="1"/>
    </xf>
    <xf numFmtId="0" fontId="73" fillId="30" borderId="0" xfId="0" applyFont="1" applyFill="1" applyAlignment="1" applyProtection="1">
      <alignment horizontal="left"/>
      <protection hidden="1"/>
    </xf>
    <xf numFmtId="0" fontId="0" fillId="30" borderId="0" xfId="0" applyFill="1" applyAlignment="1" applyProtection="1">
      <alignment horizontal="right"/>
      <protection hidden="1"/>
    </xf>
    <xf numFmtId="0" fontId="67" fillId="30" borderId="0" xfId="0" applyFont="1" applyFill="1" applyAlignment="1" applyProtection="1">
      <alignment horizontal="center"/>
      <protection hidden="1"/>
    </xf>
    <xf numFmtId="0" fontId="7" fillId="30" borderId="0" xfId="0" applyFont="1" applyFill="1" applyAlignment="1" applyProtection="1">
      <alignment horizontal="center" shrinkToFit="1"/>
      <protection hidden="1"/>
    </xf>
    <xf numFmtId="0" fontId="43" fillId="30" borderId="0" xfId="0" applyFont="1" applyFill="1" applyProtection="1">
      <protection hidden="1"/>
    </xf>
    <xf numFmtId="14" fontId="52" fillId="30" borderId="0" xfId="0" applyNumberFormat="1" applyFont="1" applyFill="1" applyAlignment="1" applyProtection="1">
      <alignment horizontal="center" shrinkToFit="1"/>
      <protection hidden="1"/>
    </xf>
    <xf numFmtId="1" fontId="52" fillId="30" borderId="0" xfId="0" applyNumberFormat="1" applyFont="1" applyFill="1" applyAlignment="1" applyProtection="1">
      <alignment horizontal="center" shrinkToFit="1"/>
      <protection hidden="1"/>
    </xf>
    <xf numFmtId="14" fontId="50" fillId="30" borderId="0" xfId="0" applyNumberFormat="1" applyFont="1" applyFill="1" applyProtection="1">
      <protection hidden="1"/>
    </xf>
    <xf numFmtId="14" fontId="51" fillId="51" borderId="0" xfId="0" applyNumberFormat="1" applyFont="1" applyFill="1" applyProtection="1">
      <protection hidden="1"/>
    </xf>
    <xf numFmtId="0" fontId="51" fillId="51" borderId="0" xfId="0" applyFont="1" applyFill="1" applyProtection="1">
      <protection hidden="1"/>
    </xf>
    <xf numFmtId="14" fontId="47" fillId="30" borderId="25" xfId="0" applyNumberFormat="1" applyFont="1" applyFill="1" applyBorder="1" applyAlignment="1" applyProtection="1">
      <alignment horizontal="center" vertical="center" wrapText="1" shrinkToFit="1"/>
      <protection hidden="1"/>
    </xf>
    <xf numFmtId="14" fontId="47" fillId="30" borderId="10" xfId="0" applyNumberFormat="1" applyFont="1" applyFill="1" applyBorder="1" applyAlignment="1" applyProtection="1">
      <alignment horizontal="center" vertical="center" wrapText="1" shrinkToFit="1"/>
      <protection hidden="1"/>
    </xf>
    <xf numFmtId="14" fontId="47" fillId="30" borderId="27" xfId="0" applyNumberFormat="1" applyFont="1" applyFill="1" applyBorder="1" applyAlignment="1" applyProtection="1">
      <alignment horizontal="center" wrapText="1" shrinkToFit="1"/>
      <protection hidden="1"/>
    </xf>
    <xf numFmtId="14" fontId="7" fillId="30" borderId="148" xfId="0" applyNumberFormat="1" applyFont="1" applyFill="1" applyBorder="1" applyAlignment="1">
      <alignment horizontal="center" shrinkToFit="1" readingOrder="1"/>
    </xf>
    <xf numFmtId="14" fontId="7" fillId="30" borderId="139" xfId="0" applyNumberFormat="1" applyFont="1" applyFill="1" applyBorder="1" applyAlignment="1">
      <alignment horizontal="center" shrinkToFit="1" readingOrder="1"/>
    </xf>
    <xf numFmtId="14" fontId="7" fillId="52" borderId="145" xfId="0" applyNumberFormat="1" applyFont="1" applyFill="1" applyBorder="1" applyAlignment="1">
      <alignment horizontal="center" shrinkToFit="1" readingOrder="1"/>
    </xf>
    <xf numFmtId="14" fontId="0" fillId="30" borderId="0" xfId="0" applyNumberFormat="1" applyFill="1" applyAlignment="1" applyProtection="1">
      <alignment horizontal="center" shrinkToFit="1"/>
      <protection hidden="1"/>
    </xf>
    <xf numFmtId="3" fontId="59" fillId="30" borderId="0" xfId="0" applyNumberFormat="1" applyFont="1" applyFill="1" applyProtection="1">
      <protection hidden="1"/>
    </xf>
    <xf numFmtId="0" fontId="13" fillId="30" borderId="0" xfId="0" applyFont="1" applyFill="1" applyAlignment="1" applyProtection="1">
      <alignment vertical="center"/>
      <protection hidden="1"/>
    </xf>
    <xf numFmtId="0" fontId="57" fillId="30" borderId="0" xfId="0" applyFont="1" applyFill="1" applyAlignment="1" applyProtection="1">
      <alignment horizontal="center"/>
      <protection hidden="1"/>
    </xf>
    <xf numFmtId="0" fontId="57" fillId="30" borderId="0" xfId="0" applyFont="1" applyFill="1" applyAlignment="1" applyProtection="1">
      <alignment horizontal="center" shrinkToFit="1"/>
      <protection hidden="1"/>
    </xf>
    <xf numFmtId="0" fontId="0" fillId="30" borderId="0" xfId="0" applyFill="1" applyAlignment="1" applyProtection="1">
      <alignment horizontal="center"/>
      <protection hidden="1"/>
    </xf>
    <xf numFmtId="0" fontId="0" fillId="30" borderId="0" xfId="0" applyFill="1" applyAlignment="1" applyProtection="1">
      <alignment horizontal="center" shrinkToFit="1"/>
      <protection hidden="1"/>
    </xf>
    <xf numFmtId="14" fontId="69" fillId="30" borderId="0" xfId="0" applyNumberFormat="1" applyFont="1" applyFill="1" applyAlignment="1" applyProtection="1">
      <alignment horizontal="center"/>
      <protection hidden="1"/>
    </xf>
    <xf numFmtId="14" fontId="69" fillId="30" borderId="0" xfId="0" applyNumberFormat="1" applyFont="1" applyFill="1" applyAlignment="1" applyProtection="1">
      <alignment horizontal="center" shrinkToFit="1"/>
      <protection hidden="1"/>
    </xf>
    <xf numFmtId="14" fontId="2" fillId="30" borderId="0" xfId="0" applyNumberFormat="1" applyFont="1" applyFill="1" applyAlignment="1" applyProtection="1">
      <alignment horizontal="center"/>
      <protection hidden="1"/>
    </xf>
    <xf numFmtId="14" fontId="2" fillId="30" borderId="135" xfId="0" applyNumberFormat="1" applyFont="1" applyFill="1" applyBorder="1" applyAlignment="1" applyProtection="1">
      <alignment horizontal="center" shrinkToFit="1"/>
      <protection hidden="1"/>
    </xf>
    <xf numFmtId="14" fontId="69" fillId="30" borderId="135" xfId="0" applyNumberFormat="1" applyFont="1" applyFill="1" applyBorder="1" applyAlignment="1" applyProtection="1">
      <alignment horizontal="center" shrinkToFit="1"/>
      <protection hidden="1"/>
    </xf>
    <xf numFmtId="0" fontId="7" fillId="30" borderId="0" xfId="0" applyFont="1" applyFill="1" applyAlignment="1" applyProtection="1">
      <alignment horizontal="left" shrinkToFit="1"/>
      <protection hidden="1"/>
    </xf>
    <xf numFmtId="0" fontId="10" fillId="30" borderId="0" xfId="0" applyFont="1" applyFill="1" applyAlignment="1" applyProtection="1">
      <alignment vertical="center"/>
      <protection hidden="1"/>
    </xf>
    <xf numFmtId="173" fontId="7" fillId="30" borderId="0" xfId="0" applyNumberFormat="1" applyFont="1" applyFill="1" applyAlignment="1" applyProtection="1">
      <alignment vertical="center" shrinkToFit="1"/>
      <protection hidden="1"/>
    </xf>
    <xf numFmtId="0" fontId="7" fillId="30" borderId="0" xfId="0" applyFont="1" applyFill="1" applyAlignment="1" applyProtection="1">
      <alignment horizontal="center" vertical="center"/>
      <protection hidden="1"/>
    </xf>
    <xf numFmtId="14" fontId="7" fillId="30" borderId="0" xfId="0" applyNumberFormat="1" applyFont="1" applyFill="1" applyAlignment="1" applyProtection="1">
      <alignment horizontal="center" shrinkToFit="1"/>
      <protection hidden="1"/>
    </xf>
    <xf numFmtId="1" fontId="7" fillId="30" borderId="0" xfId="0" applyNumberFormat="1" applyFont="1" applyFill="1" applyAlignment="1" applyProtection="1">
      <alignment horizontal="center" shrinkToFit="1"/>
      <protection hidden="1"/>
    </xf>
    <xf numFmtId="165" fontId="7" fillId="30" borderId="0" xfId="0" applyNumberFormat="1" applyFont="1" applyFill="1" applyAlignment="1" applyProtection="1">
      <alignment horizontal="center" shrinkToFit="1"/>
      <protection hidden="1"/>
    </xf>
    <xf numFmtId="0" fontId="7" fillId="30" borderId="28" xfId="0" applyFont="1" applyFill="1" applyBorder="1" applyProtection="1">
      <protection hidden="1"/>
    </xf>
    <xf numFmtId="0" fontId="47" fillId="51" borderId="0" xfId="0" applyFont="1" applyFill="1" applyAlignment="1" applyProtection="1">
      <alignment horizontal="right" vertical="center" shrinkToFit="1"/>
      <protection hidden="1"/>
    </xf>
    <xf numFmtId="0" fontId="43" fillId="30" borderId="0" xfId="0" applyFont="1" applyFill="1" applyAlignment="1" applyProtection="1">
      <alignment horizontal="left" shrinkToFit="1"/>
      <protection hidden="1"/>
    </xf>
    <xf numFmtId="0" fontId="52" fillId="30" borderId="0" xfId="0" applyFont="1" applyFill="1" applyAlignment="1" applyProtection="1">
      <alignment horizontal="center" vertical="center"/>
      <protection hidden="1"/>
    </xf>
    <xf numFmtId="165" fontId="52" fillId="30" borderId="0" xfId="0" applyNumberFormat="1" applyFont="1" applyFill="1" applyAlignment="1" applyProtection="1">
      <alignment horizontal="center" vertical="center"/>
      <protection hidden="1"/>
    </xf>
    <xf numFmtId="0" fontId="52" fillId="30" borderId="0" xfId="0" applyFont="1" applyFill="1" applyAlignment="1" applyProtection="1">
      <alignment horizontal="left" shrinkToFit="1"/>
      <protection hidden="1"/>
    </xf>
    <xf numFmtId="0" fontId="52" fillId="30" borderId="0" xfId="0" applyFont="1" applyFill="1" applyAlignment="1" applyProtection="1">
      <alignment horizontal="center" shrinkToFit="1"/>
      <protection hidden="1"/>
    </xf>
    <xf numFmtId="49" fontId="52" fillId="30" borderId="0" xfId="0" applyNumberFormat="1" applyFont="1" applyFill="1" applyAlignment="1" applyProtection="1">
      <alignment horizontal="center" shrinkToFit="1"/>
      <protection hidden="1"/>
    </xf>
    <xf numFmtId="165" fontId="52" fillId="30" borderId="0" xfId="0" applyNumberFormat="1" applyFont="1" applyFill="1" applyAlignment="1" applyProtection="1">
      <alignment horizontal="center" shrinkToFit="1"/>
      <protection hidden="1"/>
    </xf>
    <xf numFmtId="0" fontId="43" fillId="30" borderId="28" xfId="0" applyFont="1" applyFill="1" applyBorder="1" applyProtection="1">
      <protection hidden="1"/>
    </xf>
    <xf numFmtId="0" fontId="47" fillId="51" borderId="0" xfId="0" applyFont="1" applyFill="1" applyAlignment="1" applyProtection="1">
      <alignment horizontal="center" vertical="center" shrinkToFit="1"/>
      <protection hidden="1"/>
    </xf>
    <xf numFmtId="49" fontId="50" fillId="30" borderId="0" xfId="0" applyNumberFormat="1" applyFont="1" applyFill="1" applyProtection="1">
      <protection hidden="1"/>
    </xf>
    <xf numFmtId="9" fontId="68" fillId="7" borderId="151" xfId="0" applyNumberFormat="1" applyFont="1" applyFill="1" applyBorder="1" applyAlignment="1">
      <alignment horizontal="center" vertical="center"/>
    </xf>
    <xf numFmtId="9" fontId="68" fillId="7" borderId="153" xfId="0" applyNumberFormat="1" applyFont="1" applyFill="1" applyBorder="1" applyAlignment="1">
      <alignment horizontal="center" vertical="center"/>
    </xf>
    <xf numFmtId="9" fontId="68" fillId="6" borderId="151" xfId="0" applyNumberFormat="1" applyFont="1" applyFill="1" applyBorder="1" applyAlignment="1">
      <alignment horizontal="center" vertical="center"/>
    </xf>
    <xf numFmtId="9" fontId="68" fillId="6" borderId="153" xfId="0" applyNumberFormat="1" applyFont="1" applyFill="1" applyBorder="1" applyAlignment="1">
      <alignment horizontal="center" vertical="center"/>
    </xf>
    <xf numFmtId="9" fontId="68" fillId="7" borderId="155" xfId="0" applyNumberFormat="1" applyFont="1" applyFill="1" applyBorder="1" applyAlignment="1">
      <alignment horizontal="center" vertical="center"/>
    </xf>
    <xf numFmtId="9" fontId="68" fillId="7" borderId="158" xfId="0" applyNumberFormat="1" applyFont="1" applyFill="1" applyBorder="1" applyAlignment="1">
      <alignment horizontal="center" vertical="center"/>
    </xf>
    <xf numFmtId="174" fontId="10" fillId="0" borderId="0" xfId="0" applyNumberFormat="1" applyFont="1" applyAlignment="1">
      <alignment vertical="center" shrinkToFit="1"/>
    </xf>
    <xf numFmtId="9" fontId="68" fillId="0" borderId="0" xfId="0" applyNumberFormat="1" applyFont="1" applyAlignment="1">
      <alignment horizontal="center" vertical="center"/>
    </xf>
    <xf numFmtId="174" fontId="7" fillId="0" borderId="0" xfId="0" applyNumberFormat="1" applyFont="1" applyAlignment="1">
      <alignment horizontal="center" vertical="center" shrinkToFit="1"/>
    </xf>
    <xf numFmtId="0" fontId="126" fillId="0" borderId="0" xfId="0" applyFont="1" applyAlignment="1">
      <alignment vertical="center" shrinkToFit="1"/>
    </xf>
    <xf numFmtId="0" fontId="68" fillId="3" borderId="163" xfId="1713" applyFont="1" applyFill="1" applyBorder="1" applyAlignment="1">
      <alignment horizontal="center" shrinkToFit="1"/>
    </xf>
    <xf numFmtId="0" fontId="51" fillId="0" borderId="162" xfId="0" applyFont="1" applyBorder="1" applyAlignment="1">
      <alignment horizontal="left" vertical="center"/>
    </xf>
    <xf numFmtId="0" fontId="51" fillId="0" borderId="162" xfId="0" applyFont="1" applyBorder="1" applyAlignment="1">
      <alignment horizontal="center" vertical="center"/>
    </xf>
    <xf numFmtId="0" fontId="83" fillId="0" borderId="162" xfId="0" applyFont="1" applyBorder="1" applyAlignment="1" applyProtection="1">
      <alignment horizontal="right" vertical="center" shrinkToFit="1"/>
      <protection hidden="1"/>
    </xf>
    <xf numFmtId="0" fontId="0" fillId="0" borderId="162" xfId="0" applyBorder="1" applyProtection="1">
      <protection hidden="1"/>
    </xf>
    <xf numFmtId="0" fontId="75" fillId="0" borderId="162" xfId="0" applyFont="1" applyBorder="1" applyAlignment="1">
      <alignment horizontal="left" vertical="center"/>
    </xf>
    <xf numFmtId="0" fontId="0" fillId="55" borderId="164" xfId="0" applyFill="1" applyBorder="1" applyAlignment="1">
      <alignment shrinkToFit="1"/>
    </xf>
    <xf numFmtId="0" fontId="0" fillId="55" borderId="35" xfId="0" applyFill="1" applyBorder="1" applyAlignment="1">
      <alignment shrinkToFit="1"/>
    </xf>
    <xf numFmtId="0" fontId="0" fillId="55" borderId="165" xfId="0" applyFill="1" applyBorder="1" applyAlignment="1">
      <alignment shrinkToFit="1"/>
    </xf>
    <xf numFmtId="0" fontId="0" fillId="55" borderId="166" xfId="0" applyFill="1" applyBorder="1" applyAlignment="1">
      <alignment shrinkToFit="1"/>
    </xf>
    <xf numFmtId="0" fontId="0" fillId="55" borderId="0" xfId="0" applyFill="1" applyAlignment="1">
      <alignment shrinkToFit="1"/>
    </xf>
    <xf numFmtId="0" fontId="0" fillId="55" borderId="28" xfId="0" applyFill="1" applyBorder="1" applyAlignment="1">
      <alignment shrinkToFit="1"/>
    </xf>
    <xf numFmtId="0" fontId="0" fillId="56" borderId="0" xfId="0" applyFill="1"/>
    <xf numFmtId="0" fontId="7" fillId="0" borderId="0" xfId="0" applyFont="1" applyAlignment="1">
      <alignment horizontal="left" vertical="center" wrapText="1" shrinkToFit="1"/>
    </xf>
    <xf numFmtId="0" fontId="7" fillId="0" borderId="0" xfId="0" applyFont="1" applyAlignment="1">
      <alignment horizontal="left" wrapText="1" shrinkToFit="1"/>
    </xf>
    <xf numFmtId="0" fontId="43" fillId="0" borderId="0" xfId="0" applyFont="1" applyAlignment="1">
      <alignment horizontal="left" wrapText="1" shrinkToFit="1"/>
    </xf>
    <xf numFmtId="3" fontId="7" fillId="41" borderId="0" xfId="0" applyNumberFormat="1" applyFont="1" applyFill="1" applyAlignment="1">
      <alignment horizontal="left" vertical="center" shrinkToFit="1"/>
    </xf>
    <xf numFmtId="3" fontId="0" fillId="41" borderId="0" xfId="0" applyNumberFormat="1" applyFill="1" applyAlignment="1">
      <alignment horizontal="left" shrinkToFit="1"/>
    </xf>
    <xf numFmtId="3" fontId="10" fillId="41" borderId="0" xfId="0" applyNumberFormat="1" applyFont="1" applyFill="1" applyAlignment="1">
      <alignment horizontal="left" vertical="center" shrinkToFit="1"/>
    </xf>
    <xf numFmtId="0" fontId="7" fillId="0" borderId="95" xfId="0" applyFont="1" applyBorder="1" applyAlignment="1">
      <alignment horizontal="left" vertical="center" shrinkToFit="1"/>
    </xf>
    <xf numFmtId="0" fontId="7" fillId="0" borderId="95" xfId="0" applyFont="1" applyBorder="1" applyAlignment="1">
      <alignment horizontal="left" shrinkToFit="1"/>
    </xf>
    <xf numFmtId="0" fontId="10" fillId="0" borderId="95" xfId="0" applyFont="1" applyBorder="1" applyAlignment="1">
      <alignment horizontal="left" vertical="center" shrinkToFit="1"/>
    </xf>
    <xf numFmtId="0" fontId="0" fillId="0" borderId="95" xfId="0" applyBorder="1" applyAlignment="1">
      <alignment horizontal="left" shrinkToFit="1"/>
    </xf>
    <xf numFmtId="0" fontId="0" fillId="0" borderId="3" xfId="0" applyBorder="1" applyAlignment="1">
      <alignment horizontal="center"/>
    </xf>
    <xf numFmtId="0" fontId="8" fillId="9" borderId="0" xfId="0" applyFont="1" applyFill="1"/>
    <xf numFmtId="0" fontId="7" fillId="10" borderId="0" xfId="0" applyFont="1" applyFill="1" applyAlignment="1" applyProtection="1">
      <alignment shrinkToFit="1"/>
      <protection locked="0"/>
    </xf>
    <xf numFmtId="0" fontId="86" fillId="0" borderId="0" xfId="0" applyFont="1" applyAlignment="1">
      <alignment horizontal="left"/>
    </xf>
    <xf numFmtId="0" fontId="75" fillId="0" borderId="0" xfId="0" applyFont="1" applyAlignment="1">
      <alignment horizontal="left" vertical="center"/>
    </xf>
    <xf numFmtId="0" fontId="43" fillId="9" borderId="0" xfId="0" applyFont="1" applyFill="1" applyAlignment="1" applyProtection="1">
      <alignment horizontal="center" shrinkToFit="1"/>
      <protection locked="0" hidden="1"/>
    </xf>
    <xf numFmtId="0" fontId="0" fillId="7" borderId="95" xfId="0" applyFill="1" applyBorder="1" applyProtection="1">
      <protection hidden="1"/>
    </xf>
    <xf numFmtId="175" fontId="10" fillId="7" borderId="150" xfId="0" applyNumberFormat="1" applyFont="1" applyFill="1" applyBorder="1" applyAlignment="1">
      <alignment vertical="center" shrinkToFit="1"/>
    </xf>
    <xf numFmtId="175" fontId="10" fillId="6" borderId="150" xfId="0" applyNumberFormat="1" applyFont="1" applyFill="1" applyBorder="1" applyAlignment="1">
      <alignment vertical="center" shrinkToFit="1"/>
    </xf>
    <xf numFmtId="175" fontId="10" fillId="7" borderId="154" xfId="0" applyNumberFormat="1" applyFont="1" applyFill="1" applyBorder="1" applyAlignment="1">
      <alignment vertical="center" shrinkToFit="1"/>
    </xf>
    <xf numFmtId="175" fontId="10" fillId="7" borderId="156" xfId="0" applyNumberFormat="1" applyFont="1" applyFill="1" applyBorder="1" applyAlignment="1">
      <alignment vertical="center" shrinkToFit="1"/>
    </xf>
    <xf numFmtId="175" fontId="10" fillId="6" borderId="152" xfId="0" applyNumberFormat="1" applyFont="1" applyFill="1" applyBorder="1" applyAlignment="1">
      <alignment vertical="center" shrinkToFit="1"/>
    </xf>
    <xf numFmtId="175" fontId="10" fillId="7" borderId="152" xfId="0" applyNumberFormat="1" applyFont="1" applyFill="1" applyBorder="1" applyAlignment="1">
      <alignment vertical="center" shrinkToFit="1"/>
    </xf>
    <xf numFmtId="175" fontId="10" fillId="7" borderId="157" xfId="0" applyNumberFormat="1" applyFont="1" applyFill="1" applyBorder="1" applyAlignment="1">
      <alignment vertical="center" shrinkToFit="1"/>
    </xf>
    <xf numFmtId="175" fontId="10" fillId="6" borderId="141" xfId="0" applyNumberFormat="1" applyFont="1" applyFill="1" applyBorder="1" applyAlignment="1">
      <alignment vertical="center" shrinkToFit="1"/>
    </xf>
    <xf numFmtId="175" fontId="10" fillId="7" borderId="141" xfId="0" applyNumberFormat="1" applyFont="1" applyFill="1" applyBorder="1" applyAlignment="1">
      <alignment vertical="center" shrinkToFit="1"/>
    </xf>
    <xf numFmtId="165" fontId="84" fillId="53" borderId="177" xfId="0" applyNumberFormat="1" applyFont="1" applyFill="1" applyBorder="1" applyAlignment="1">
      <alignment horizontal="center" vertical="center" shrinkToFit="1"/>
    </xf>
    <xf numFmtId="165" fontId="84" fillId="53" borderId="178" xfId="0" applyNumberFormat="1" applyFont="1" applyFill="1" applyBorder="1" applyAlignment="1">
      <alignment horizontal="center" vertical="center" shrinkToFit="1"/>
    </xf>
    <xf numFmtId="165" fontId="84" fillId="53" borderId="179" xfId="0" applyNumberFormat="1" applyFont="1" applyFill="1" applyBorder="1" applyAlignment="1">
      <alignment horizontal="center" vertical="center" shrinkToFit="1"/>
    </xf>
    <xf numFmtId="165" fontId="84" fillId="53" borderId="180" xfId="0" applyNumberFormat="1" applyFont="1" applyFill="1" applyBorder="1" applyAlignment="1">
      <alignment horizontal="center" vertical="center" shrinkToFit="1"/>
    </xf>
    <xf numFmtId="165" fontId="84" fillId="53" borderId="181" xfId="0" applyNumberFormat="1" applyFont="1" applyFill="1" applyBorder="1" applyAlignment="1">
      <alignment horizontal="center" vertical="center" shrinkToFit="1"/>
    </xf>
    <xf numFmtId="165" fontId="84" fillId="53" borderId="182" xfId="0" applyNumberFormat="1" applyFont="1" applyFill="1" applyBorder="1" applyAlignment="1">
      <alignment horizontal="center" vertical="center" shrinkToFit="1"/>
    </xf>
    <xf numFmtId="175" fontId="10" fillId="10" borderId="114" xfId="0" applyNumberFormat="1" applyFont="1" applyFill="1" applyBorder="1" applyAlignment="1" applyProtection="1">
      <alignment vertical="center" shrinkToFit="1"/>
      <protection hidden="1"/>
    </xf>
    <xf numFmtId="0" fontId="0" fillId="10" borderId="0" xfId="0" applyFill="1"/>
    <xf numFmtId="0" fontId="0" fillId="10" borderId="0" xfId="0" applyFill="1" applyAlignment="1">
      <alignment horizontal="center"/>
    </xf>
    <xf numFmtId="0" fontId="0" fillId="7" borderId="170" xfId="0" applyFill="1" applyBorder="1" applyAlignment="1">
      <alignment horizontal="center"/>
    </xf>
    <xf numFmtId="0" fontId="0" fillId="7" borderId="171" xfId="0" applyFill="1" applyBorder="1" applyAlignment="1">
      <alignment horizontal="center"/>
    </xf>
    <xf numFmtId="0" fontId="38" fillId="7" borderId="0" xfId="214" applyFill="1" applyBorder="1" applyAlignment="1">
      <alignment horizontal="center"/>
    </xf>
    <xf numFmtId="0" fontId="73" fillId="7" borderId="0" xfId="0" applyFont="1" applyFill="1" applyAlignment="1">
      <alignment horizontal="center"/>
    </xf>
    <xf numFmtId="9" fontId="0" fillId="7" borderId="173" xfId="0" applyNumberFormat="1" applyFill="1" applyBorder="1" applyAlignment="1">
      <alignment horizontal="center"/>
    </xf>
    <xf numFmtId="0" fontId="73" fillId="7" borderId="116" xfId="0" applyFont="1" applyFill="1" applyBorder="1" applyAlignment="1">
      <alignment horizontal="center"/>
    </xf>
    <xf numFmtId="0" fontId="0" fillId="7" borderId="116" xfId="0" applyFill="1" applyBorder="1" applyAlignment="1">
      <alignment horizontal="center"/>
    </xf>
    <xf numFmtId="0" fontId="0" fillId="7" borderId="174" xfId="0" applyFill="1" applyBorder="1" applyAlignment="1">
      <alignment horizontal="center"/>
    </xf>
    <xf numFmtId="3" fontId="0" fillId="7" borderId="1" xfId="0" applyNumberFormat="1" applyFill="1" applyBorder="1" applyAlignment="1">
      <alignment horizontal="center"/>
    </xf>
    <xf numFmtId="3" fontId="0" fillId="7" borderId="116" xfId="0" applyNumberFormat="1" applyFill="1" applyBorder="1" applyAlignment="1">
      <alignment horizontal="center"/>
    </xf>
    <xf numFmtId="0" fontId="0" fillId="7" borderId="22" xfId="0" applyFill="1" applyBorder="1" applyAlignment="1">
      <alignment horizontal="center"/>
    </xf>
    <xf numFmtId="0" fontId="0" fillId="7" borderId="19" xfId="0" applyFill="1" applyBorder="1" applyAlignment="1">
      <alignment horizontal="center"/>
    </xf>
    <xf numFmtId="0" fontId="0" fillId="7" borderId="175" xfId="0" applyFill="1" applyBorder="1" applyAlignment="1">
      <alignment horizontal="center"/>
    </xf>
    <xf numFmtId="0" fontId="10" fillId="9" borderId="0" xfId="0" applyFont="1" applyFill="1" applyAlignment="1">
      <alignment horizontal="center" shrinkToFit="1"/>
    </xf>
    <xf numFmtId="0" fontId="68" fillId="9" borderId="0" xfId="1713" applyFont="1" applyFill="1" applyAlignment="1">
      <alignment horizontal="left" vertical="center" shrinkToFit="1"/>
    </xf>
    <xf numFmtId="0" fontId="68" fillId="9" borderId="0" xfId="1713" applyFont="1" applyFill="1" applyAlignment="1">
      <alignment horizontal="left" shrinkToFit="1"/>
    </xf>
    <xf numFmtId="49" fontId="68" fillId="9" borderId="0" xfId="0" applyNumberFormat="1" applyFont="1" applyFill="1" applyAlignment="1">
      <alignment horizontal="center" vertical="center" shrinkToFit="1"/>
    </xf>
    <xf numFmtId="1" fontId="68" fillId="9" borderId="0" xfId="0" applyNumberFormat="1" applyFont="1" applyFill="1" applyAlignment="1">
      <alignment horizontal="center" vertical="center" shrinkToFit="1"/>
    </xf>
    <xf numFmtId="1" fontId="68" fillId="9" borderId="0" xfId="0" applyNumberFormat="1" applyFont="1" applyFill="1" applyAlignment="1">
      <alignment horizontal="center"/>
    </xf>
    <xf numFmtId="0" fontId="68" fillId="9" borderId="0" xfId="0" applyFont="1" applyFill="1" applyAlignment="1">
      <alignment horizontal="center" vertical="center" shrinkToFit="1"/>
    </xf>
    <xf numFmtId="0" fontId="68" fillId="9" borderId="139" xfId="1713" applyFont="1" applyFill="1" applyBorder="1" applyAlignment="1">
      <alignment horizontal="center" shrinkToFit="1"/>
    </xf>
    <xf numFmtId="0" fontId="93" fillId="9" borderId="0" xfId="0" applyFont="1" applyFill="1" applyAlignment="1">
      <alignment horizontal="center" shrinkToFit="1"/>
    </xf>
    <xf numFmtId="166" fontId="68" fillId="9" borderId="0" xfId="0" applyNumberFormat="1" applyFont="1" applyFill="1" applyAlignment="1">
      <alignment horizontal="center"/>
    </xf>
    <xf numFmtId="0" fontId="121" fillId="9" borderId="0" xfId="150" applyFont="1" applyFill="1" applyBorder="1" applyAlignment="1" applyProtection="1">
      <alignment horizontal="center" vertical="center" shrinkToFit="1"/>
    </xf>
    <xf numFmtId="0" fontId="68" fillId="9" borderId="0" xfId="0" applyFont="1" applyFill="1" applyAlignment="1">
      <alignment horizontal="center" shrinkToFit="1"/>
    </xf>
    <xf numFmtId="1" fontId="68" fillId="9" borderId="0" xfId="150" applyNumberFormat="1" applyFont="1" applyFill="1" applyBorder="1" applyAlignment="1" applyProtection="1">
      <alignment horizontal="center" vertical="center" shrinkToFit="1"/>
    </xf>
    <xf numFmtId="14" fontId="68" fillId="9" borderId="0" xfId="0" applyNumberFormat="1" applyFont="1" applyFill="1" applyAlignment="1">
      <alignment horizontal="center" shrinkToFit="1" readingOrder="1"/>
    </xf>
    <xf numFmtId="1" fontId="10" fillId="9" borderId="0" xfId="0" applyNumberFormat="1" applyFont="1" applyFill="1" applyAlignment="1">
      <alignment horizontal="center" vertical="center" shrinkToFit="1"/>
    </xf>
    <xf numFmtId="165" fontId="10" fillId="9" borderId="0" xfId="0" applyNumberFormat="1" applyFont="1" applyFill="1" applyAlignment="1">
      <alignment horizontal="center" shrinkToFit="1" readingOrder="1"/>
    </xf>
    <xf numFmtId="1" fontId="10" fillId="9" borderId="0" xfId="0" applyNumberFormat="1" applyFont="1" applyFill="1" applyAlignment="1">
      <alignment horizontal="center" shrinkToFit="1" readingOrder="1"/>
    </xf>
    <xf numFmtId="165" fontId="10" fillId="9" borderId="0" xfId="0" applyNumberFormat="1" applyFont="1" applyFill="1" applyAlignment="1">
      <alignment horizontal="center" shrinkToFit="1"/>
    </xf>
    <xf numFmtId="1" fontId="0" fillId="9" borderId="0" xfId="0" applyNumberFormat="1" applyFill="1" applyProtection="1">
      <protection hidden="1"/>
    </xf>
    <xf numFmtId="2" fontId="0" fillId="9" borderId="0" xfId="0" applyNumberFormat="1" applyFill="1" applyProtection="1">
      <protection hidden="1"/>
    </xf>
    <xf numFmtId="0" fontId="0" fillId="9" borderId="0" xfId="0" quotePrefix="1" applyFill="1" applyAlignment="1" applyProtection="1">
      <alignment horizontal="center"/>
      <protection hidden="1"/>
    </xf>
    <xf numFmtId="0" fontId="0" fillId="9" borderId="0" xfId="0" applyFill="1" applyAlignment="1" applyProtection="1">
      <alignment horizontal="center"/>
      <protection hidden="1"/>
    </xf>
    <xf numFmtId="2" fontId="7" fillId="30" borderId="139" xfId="0" applyNumberFormat="1" applyFont="1" applyFill="1" applyBorder="1" applyAlignment="1">
      <alignment horizontal="center" shrinkToFit="1" readingOrder="1"/>
    </xf>
    <xf numFmtId="0" fontId="0" fillId="7" borderId="1" xfId="0" applyFill="1" applyBorder="1" applyAlignment="1">
      <alignment horizontal="center"/>
    </xf>
    <xf numFmtId="0" fontId="140" fillId="7" borderId="0" xfId="0" applyFont="1" applyFill="1"/>
    <xf numFmtId="0" fontId="57" fillId="7" borderId="0" xfId="0" applyFont="1" applyFill="1"/>
    <xf numFmtId="0" fontId="0" fillId="8" borderId="0" xfId="0" applyFill="1"/>
    <xf numFmtId="0" fontId="54" fillId="12" borderId="16" xfId="0" applyFont="1" applyFill="1" applyBorder="1" applyAlignment="1" applyProtection="1">
      <alignment horizontal="center" vertical="center" shrinkToFit="1"/>
      <protection hidden="1"/>
    </xf>
    <xf numFmtId="0" fontId="142" fillId="10" borderId="28" xfId="0" applyFont="1" applyFill="1" applyBorder="1" applyAlignment="1" applyProtection="1">
      <alignment horizontal="right"/>
      <protection hidden="1"/>
    </xf>
    <xf numFmtId="0" fontId="142" fillId="10" borderId="0" xfId="0" applyFont="1" applyFill="1" applyProtection="1">
      <protection hidden="1"/>
    </xf>
    <xf numFmtId="0" fontId="0" fillId="6" borderId="0" xfId="0" applyFill="1"/>
    <xf numFmtId="0" fontId="43" fillId="7" borderId="0" xfId="0" applyFont="1" applyFill="1" applyProtection="1">
      <protection locked="0" hidden="1"/>
    </xf>
    <xf numFmtId="0" fontId="8" fillId="0" borderId="183" xfId="0" applyFont="1" applyBorder="1" applyAlignment="1">
      <alignment horizontal="center" shrinkToFit="1"/>
    </xf>
    <xf numFmtId="0" fontId="8" fillId="0" borderId="184" xfId="0" applyFont="1" applyBorder="1" applyAlignment="1">
      <alignment horizontal="center" shrinkToFit="1"/>
    </xf>
    <xf numFmtId="0" fontId="8" fillId="0" borderId="184" xfId="1713" applyFont="1" applyBorder="1" applyAlignment="1">
      <alignment horizontal="left" vertical="center"/>
    </xf>
    <xf numFmtId="0" fontId="7" fillId="0" borderId="184" xfId="0" applyFont="1" applyBorder="1" applyAlignment="1">
      <alignment horizontal="center" vertical="center" shrinkToFit="1"/>
    </xf>
    <xf numFmtId="1" fontId="7" fillId="0" borderId="184" xfId="0" applyNumberFormat="1" applyFont="1" applyBorder="1" applyAlignment="1">
      <alignment horizontal="center" vertical="center" shrinkToFit="1"/>
    </xf>
    <xf numFmtId="1" fontId="13" fillId="0" borderId="184" xfId="0" applyNumberFormat="1" applyFont="1" applyBorder="1" applyAlignment="1">
      <alignment horizontal="center" vertical="center" shrinkToFit="1"/>
    </xf>
    <xf numFmtId="165" fontId="13" fillId="0" borderId="184" xfId="0" applyNumberFormat="1" applyFont="1" applyBorder="1" applyAlignment="1">
      <alignment horizontal="center" vertical="center" shrinkToFit="1"/>
    </xf>
    <xf numFmtId="1" fontId="7" fillId="30" borderId="184" xfId="0" applyNumberFormat="1" applyFont="1" applyFill="1" applyBorder="1" applyAlignment="1">
      <alignment horizontal="center"/>
    </xf>
    <xf numFmtId="0" fontId="7" fillId="30" borderId="184" xfId="0" applyFont="1" applyFill="1" applyBorder="1" applyAlignment="1">
      <alignment horizontal="center" shrinkToFit="1" readingOrder="1"/>
    </xf>
    <xf numFmtId="0" fontId="122" fillId="30" borderId="184" xfId="0" applyFont="1" applyFill="1" applyBorder="1" applyAlignment="1">
      <alignment horizontal="center" shrinkToFit="1"/>
    </xf>
    <xf numFmtId="166" fontId="7" fillId="30" borderId="184" xfId="0" applyNumberFormat="1" applyFont="1" applyFill="1" applyBorder="1" applyAlignment="1">
      <alignment horizontal="center"/>
    </xf>
    <xf numFmtId="0" fontId="123" fillId="30" borderId="184" xfId="150" applyFont="1" applyFill="1" applyBorder="1" applyAlignment="1" applyProtection="1">
      <alignment horizontal="center" vertical="center" shrinkToFit="1"/>
    </xf>
    <xf numFmtId="0" fontId="123" fillId="0" borderId="184" xfId="150" applyFont="1" applyBorder="1" applyAlignment="1" applyProtection="1">
      <alignment horizontal="center" vertical="center" shrinkToFit="1"/>
    </xf>
    <xf numFmtId="0" fontId="7" fillId="0" borderId="184" xfId="0" applyFont="1" applyBorder="1" applyAlignment="1">
      <alignment horizontal="center" shrinkToFit="1"/>
    </xf>
    <xf numFmtId="0" fontId="7" fillId="30" borderId="184" xfId="0" applyFont="1" applyFill="1" applyBorder="1" applyAlignment="1">
      <alignment horizontal="center" shrinkToFit="1"/>
    </xf>
    <xf numFmtId="1" fontId="7" fillId="30" borderId="184" xfId="150" applyNumberFormat="1" applyFont="1" applyFill="1" applyBorder="1" applyAlignment="1" applyProtection="1">
      <alignment horizontal="center" vertical="center" shrinkToFit="1"/>
    </xf>
    <xf numFmtId="0" fontId="7" fillId="44" borderId="17" xfId="0" applyFont="1" applyFill="1" applyBorder="1" applyAlignment="1">
      <alignment horizontal="center" shrinkToFit="1" readingOrder="1"/>
    </xf>
    <xf numFmtId="14" fontId="7" fillId="30" borderId="184" xfId="0" applyNumberFormat="1" applyFont="1" applyFill="1" applyBorder="1" applyAlignment="1">
      <alignment horizontal="center" shrinkToFit="1" readingOrder="1"/>
    </xf>
    <xf numFmtId="14" fontId="7" fillId="0" borderId="184" xfId="0" applyNumberFormat="1" applyFont="1" applyBorder="1" applyAlignment="1">
      <alignment horizontal="center" shrinkToFit="1" readingOrder="1"/>
    </xf>
    <xf numFmtId="165" fontId="7" fillId="0" borderId="184" xfId="0" applyNumberFormat="1" applyFont="1" applyBorder="1" applyAlignment="1">
      <alignment horizontal="center" shrinkToFit="1" readingOrder="1"/>
    </xf>
    <xf numFmtId="1" fontId="7" fillId="0" borderId="184" xfId="0" applyNumberFormat="1" applyFont="1" applyBorder="1" applyAlignment="1">
      <alignment horizontal="center" shrinkToFit="1" readingOrder="1"/>
    </xf>
    <xf numFmtId="165" fontId="7" fillId="0" borderId="184" xfId="0" applyNumberFormat="1" applyFont="1" applyBorder="1" applyAlignment="1">
      <alignment horizontal="center" shrinkToFit="1"/>
    </xf>
    <xf numFmtId="165" fontId="7" fillId="0" borderId="185" xfId="0" applyNumberFormat="1" applyFont="1" applyBorder="1" applyAlignment="1">
      <alignment horizontal="center" shrinkToFit="1"/>
    </xf>
    <xf numFmtId="0" fontId="0" fillId="55" borderId="35" xfId="0" applyFill="1" applyBorder="1" applyAlignment="1">
      <alignment horizontal="left" shrinkToFit="1"/>
    </xf>
    <xf numFmtId="0" fontId="132" fillId="55" borderId="0" xfId="0" applyFont="1" applyFill="1" applyAlignment="1">
      <alignment horizontal="center" shrinkToFit="1"/>
    </xf>
    <xf numFmtId="0" fontId="1" fillId="55" borderId="167" xfId="0" applyFont="1" applyFill="1" applyBorder="1" applyAlignment="1">
      <alignment horizontal="center" shrinkToFit="1"/>
    </xf>
    <xf numFmtId="0" fontId="1" fillId="55" borderId="42" xfId="0" applyFont="1" applyFill="1" applyBorder="1" applyAlignment="1">
      <alignment horizontal="center" shrinkToFit="1"/>
    </xf>
    <xf numFmtId="0" fontId="1" fillId="55" borderId="168" xfId="0" applyFont="1" applyFill="1" applyBorder="1" applyAlignment="1">
      <alignment horizontal="center" shrinkToFit="1"/>
    </xf>
    <xf numFmtId="3" fontId="80" fillId="39" borderId="0" xfId="0" applyNumberFormat="1" applyFont="1" applyFill="1" applyAlignment="1">
      <alignment horizontal="center"/>
    </xf>
    <xf numFmtId="0" fontId="126" fillId="40" borderId="0" xfId="0" applyFont="1" applyFill="1" applyAlignment="1">
      <alignment horizontal="center" vertical="center" shrinkToFit="1"/>
    </xf>
    <xf numFmtId="0" fontId="127" fillId="38" borderId="0" xfId="0" applyFont="1" applyFill="1" applyAlignment="1">
      <alignment horizontal="center" vertical="center" shrinkToFit="1"/>
    </xf>
    <xf numFmtId="0" fontId="128" fillId="39" borderId="0" xfId="0" applyFont="1" applyFill="1" applyAlignment="1">
      <alignment horizontal="center" vertical="top"/>
    </xf>
    <xf numFmtId="0" fontId="108" fillId="7" borderId="0" xfId="0" applyFont="1" applyFill="1" applyAlignment="1">
      <alignment horizontal="right" vertical="center" shrinkToFit="1"/>
    </xf>
    <xf numFmtId="0" fontId="47" fillId="7" borderId="127" xfId="0" applyFont="1" applyFill="1" applyBorder="1" applyAlignment="1">
      <alignment horizontal="center" shrinkToFit="1"/>
    </xf>
    <xf numFmtId="0" fontId="47" fillId="7" borderId="115" xfId="0" applyFont="1" applyFill="1" applyBorder="1" applyAlignment="1">
      <alignment horizontal="center" shrinkToFit="1"/>
    </xf>
    <xf numFmtId="0" fontId="99" fillId="7" borderId="0" xfId="0" applyFont="1" applyFill="1" applyAlignment="1">
      <alignment horizontal="right" shrinkToFit="1"/>
    </xf>
    <xf numFmtId="0" fontId="69" fillId="38" borderId="0" xfId="0" applyFont="1" applyFill="1" applyAlignment="1">
      <alignment horizontal="center" shrinkToFit="1"/>
    </xf>
    <xf numFmtId="0" fontId="99" fillId="7" borderId="0" xfId="0" applyFont="1" applyFill="1" applyAlignment="1">
      <alignment horizontal="left" shrinkToFit="1"/>
    </xf>
    <xf numFmtId="0" fontId="80" fillId="7" borderId="0" xfId="0" applyFont="1" applyFill="1" applyAlignment="1">
      <alignment horizontal="center"/>
    </xf>
    <xf numFmtId="0" fontId="47" fillId="36" borderId="160" xfId="0" applyFont="1" applyFill="1" applyBorder="1" applyAlignment="1">
      <alignment horizontal="left" shrinkToFit="1"/>
    </xf>
    <xf numFmtId="0" fontId="47" fillId="36" borderId="161" xfId="0" applyFont="1" applyFill="1" applyBorder="1" applyAlignment="1">
      <alignment horizontal="left" shrinkToFit="1"/>
    </xf>
    <xf numFmtId="0" fontId="47" fillId="54" borderId="159" xfId="0" applyFont="1" applyFill="1" applyBorder="1" applyAlignment="1">
      <alignment horizontal="center" shrinkToFit="1"/>
    </xf>
    <xf numFmtId="0" fontId="47" fillId="54" borderId="160" xfId="0" applyFont="1" applyFill="1" applyBorder="1" applyAlignment="1">
      <alignment horizontal="center" shrinkToFit="1"/>
    </xf>
    <xf numFmtId="0" fontId="47" fillId="7" borderId="159" xfId="0" applyFont="1" applyFill="1" applyBorder="1" applyAlignment="1">
      <alignment horizontal="center" shrinkToFit="1"/>
    </xf>
    <xf numFmtId="0" fontId="47" fillId="7" borderId="160" xfId="0" applyFont="1" applyFill="1" applyBorder="1" applyAlignment="1">
      <alignment horizontal="center" shrinkToFit="1"/>
    </xf>
    <xf numFmtId="0" fontId="69" fillId="38" borderId="0" xfId="0" applyFont="1" applyFill="1" applyAlignment="1">
      <alignment horizontal="left" shrinkToFit="1"/>
    </xf>
    <xf numFmtId="0" fontId="126" fillId="38" borderId="0" xfId="0" applyFont="1" applyFill="1" applyAlignment="1">
      <alignment horizontal="center" vertical="center" shrinkToFit="1"/>
    </xf>
    <xf numFmtId="3" fontId="80" fillId="39" borderId="0" xfId="0" applyNumberFormat="1" applyFont="1" applyFill="1" applyAlignment="1">
      <alignment horizontal="left" shrinkToFit="1"/>
    </xf>
    <xf numFmtId="165" fontId="84" fillId="53" borderId="176" xfId="0" applyNumberFormat="1" applyFont="1" applyFill="1" applyBorder="1" applyAlignment="1">
      <alignment horizontal="center" vertical="center" shrinkToFit="1"/>
    </xf>
    <xf numFmtId="0" fontId="109" fillId="35" borderId="0" xfId="0" applyFont="1" applyFill="1" applyAlignment="1">
      <alignment horizontal="center" vertical="center" shrinkToFit="1"/>
    </xf>
    <xf numFmtId="0" fontId="99" fillId="40" borderId="0" xfId="0" applyFont="1" applyFill="1" applyAlignment="1">
      <alignment horizontal="center" shrinkToFit="1"/>
    </xf>
    <xf numFmtId="0" fontId="99" fillId="34" borderId="0" xfId="0" applyFont="1" applyFill="1" applyAlignment="1">
      <alignment horizontal="center" shrinkToFit="1"/>
    </xf>
    <xf numFmtId="0" fontId="11" fillId="43" borderId="0" xfId="1713" applyFont="1" applyFill="1" applyAlignment="1" applyProtection="1">
      <alignment horizontal="left" vertical="center" shrinkToFit="1"/>
      <protection hidden="1"/>
    </xf>
    <xf numFmtId="0" fontId="47" fillId="30" borderId="25" xfId="0" applyFont="1" applyFill="1" applyBorder="1" applyAlignment="1" applyProtection="1">
      <alignment horizontal="center" vertical="center" wrapText="1" shrinkToFit="1"/>
      <protection hidden="1"/>
    </xf>
    <xf numFmtId="0" fontId="47" fillId="30" borderId="10" xfId="0" applyFont="1" applyFill="1" applyBorder="1" applyAlignment="1" applyProtection="1">
      <alignment horizontal="center" vertical="center" wrapText="1" shrinkToFit="1"/>
      <protection hidden="1"/>
    </xf>
    <xf numFmtId="0" fontId="47" fillId="30" borderId="27" xfId="0" applyFont="1" applyFill="1" applyBorder="1" applyAlignment="1" applyProtection="1">
      <alignment horizontal="center" vertical="center" wrapText="1" shrinkToFit="1"/>
      <protection hidden="1"/>
    </xf>
    <xf numFmtId="0" fontId="47" fillId="7" borderId="25" xfId="0" applyFont="1" applyFill="1" applyBorder="1" applyAlignment="1" applyProtection="1">
      <alignment horizontal="center" vertical="center" shrinkToFit="1"/>
      <protection hidden="1"/>
    </xf>
    <xf numFmtId="0" fontId="47" fillId="7" borderId="10" xfId="0" applyFont="1" applyFill="1" applyBorder="1" applyAlignment="1" applyProtection="1">
      <alignment horizontal="center" vertical="center" shrinkToFit="1"/>
      <protection hidden="1"/>
    </xf>
    <xf numFmtId="0" fontId="47" fillId="7" borderId="27" xfId="0" applyFont="1" applyFill="1" applyBorder="1" applyAlignment="1" applyProtection="1">
      <alignment horizontal="center" vertical="center" shrinkToFit="1"/>
      <protection hidden="1"/>
    </xf>
    <xf numFmtId="0" fontId="13" fillId="7" borderId="25" xfId="0" applyFont="1" applyFill="1" applyBorder="1" applyAlignment="1" applyProtection="1">
      <alignment horizontal="center" vertical="center" wrapText="1" shrinkToFit="1"/>
      <protection hidden="1"/>
    </xf>
    <xf numFmtId="0" fontId="0" fillId="0" borderId="10" xfId="0" applyBorder="1" applyAlignment="1" applyProtection="1">
      <alignment horizontal="center" vertical="center" wrapText="1" shrinkToFit="1"/>
      <protection hidden="1"/>
    </xf>
    <xf numFmtId="0" fontId="0" fillId="0" borderId="27" xfId="0" applyBorder="1" applyAlignment="1" applyProtection="1">
      <alignment horizontal="center" vertical="center" wrapText="1" shrinkToFit="1"/>
      <protection hidden="1"/>
    </xf>
    <xf numFmtId="0" fontId="13" fillId="7" borderId="10" xfId="0" applyFont="1" applyFill="1" applyBorder="1" applyAlignment="1" applyProtection="1">
      <alignment horizontal="center" vertical="center" wrapText="1" shrinkToFit="1"/>
      <protection hidden="1"/>
    </xf>
    <xf numFmtId="0" fontId="13" fillId="7" borderId="27" xfId="0" applyFont="1" applyFill="1" applyBorder="1" applyAlignment="1" applyProtection="1">
      <alignment horizontal="center" vertical="center" wrapText="1" shrinkToFit="1"/>
      <protection hidden="1"/>
    </xf>
    <xf numFmtId="0" fontId="13" fillId="30" borderId="25" xfId="0" applyFont="1" applyFill="1" applyBorder="1" applyAlignment="1" applyProtection="1">
      <alignment horizontal="center" vertical="center" shrinkToFit="1"/>
      <protection hidden="1"/>
    </xf>
    <xf numFmtId="0" fontId="13" fillId="30" borderId="6" xfId="0" applyFont="1" applyFill="1" applyBorder="1" applyAlignment="1" applyProtection="1">
      <alignment horizontal="center" vertical="center" shrinkToFit="1"/>
      <protection hidden="1"/>
    </xf>
    <xf numFmtId="0" fontId="13" fillId="7" borderId="45" xfId="0" applyFont="1" applyFill="1" applyBorder="1" applyAlignment="1" applyProtection="1">
      <alignment horizontal="center" vertical="center" shrinkToFit="1"/>
      <protection hidden="1"/>
    </xf>
    <xf numFmtId="0" fontId="13" fillId="7" borderId="14" xfId="0" applyFont="1" applyFill="1" applyBorder="1" applyAlignment="1" applyProtection="1">
      <alignment horizontal="center" vertical="center" shrinkToFit="1"/>
      <protection hidden="1"/>
    </xf>
    <xf numFmtId="0" fontId="96" fillId="20" borderId="104" xfId="0" applyFont="1" applyFill="1" applyBorder="1" applyAlignment="1" applyProtection="1">
      <alignment horizontal="center" vertical="center" shrinkToFit="1"/>
      <protection hidden="1"/>
    </xf>
    <xf numFmtId="0" fontId="96" fillId="20" borderId="105" xfId="0" applyFont="1" applyFill="1" applyBorder="1" applyAlignment="1" applyProtection="1">
      <alignment horizontal="center" vertical="center" shrinkToFit="1"/>
      <protection hidden="1"/>
    </xf>
    <xf numFmtId="0" fontId="72" fillId="7" borderId="25" xfId="0" applyFont="1" applyFill="1" applyBorder="1" applyAlignment="1" applyProtection="1">
      <alignment horizontal="center" vertical="center" wrapText="1" shrinkToFit="1"/>
      <protection hidden="1"/>
    </xf>
    <xf numFmtId="0" fontId="72" fillId="7" borderId="10" xfId="0" applyFont="1" applyFill="1" applyBorder="1" applyAlignment="1" applyProtection="1">
      <alignment horizontal="center" vertical="center" wrapText="1" shrinkToFit="1"/>
      <protection hidden="1"/>
    </xf>
    <xf numFmtId="0" fontId="72" fillId="7" borderId="27" xfId="0" applyFont="1" applyFill="1" applyBorder="1" applyAlignment="1" applyProtection="1">
      <alignment horizontal="center" vertical="center" wrapText="1" shrinkToFit="1"/>
      <protection hidden="1"/>
    </xf>
    <xf numFmtId="3" fontId="60" fillId="7" borderId="32" xfId="0" applyNumberFormat="1" applyFont="1" applyFill="1" applyBorder="1" applyAlignment="1" applyProtection="1">
      <alignment horizontal="center" vertical="center" shrinkToFit="1"/>
      <protection hidden="1"/>
    </xf>
    <xf numFmtId="3" fontId="60" fillId="7" borderId="33" xfId="0" applyNumberFormat="1" applyFont="1" applyFill="1" applyBorder="1" applyAlignment="1" applyProtection="1">
      <alignment horizontal="center" vertical="center" shrinkToFit="1"/>
      <protection hidden="1"/>
    </xf>
    <xf numFmtId="0" fontId="13" fillId="7" borderId="29" xfId="0" applyFont="1" applyFill="1" applyBorder="1" applyAlignment="1" applyProtection="1">
      <alignment horizontal="center" vertical="center" wrapText="1" shrinkToFit="1"/>
      <protection hidden="1"/>
    </xf>
    <xf numFmtId="0" fontId="0" fillId="0" borderId="30" xfId="0" applyBorder="1" applyAlignment="1" applyProtection="1">
      <alignment horizontal="center" vertical="center" wrapText="1" shrinkToFit="1"/>
      <protection hidden="1"/>
    </xf>
    <xf numFmtId="0" fontId="0" fillId="0" borderId="31" xfId="0" applyBorder="1" applyAlignment="1" applyProtection="1">
      <alignment horizontal="center" vertical="center" wrapText="1" shrinkToFit="1"/>
      <protection hidden="1"/>
    </xf>
    <xf numFmtId="0" fontId="7" fillId="0" borderId="42" xfId="0" applyFont="1" applyBorder="1" applyAlignment="1" applyProtection="1">
      <alignment horizontal="center" vertical="center" shrinkToFit="1"/>
      <protection hidden="1"/>
    </xf>
    <xf numFmtId="0" fontId="7" fillId="0" borderId="16" xfId="0" applyFont="1" applyBorder="1" applyAlignment="1" applyProtection="1">
      <alignment horizontal="center" vertical="center" shrinkToFit="1"/>
      <protection hidden="1"/>
    </xf>
    <xf numFmtId="0" fontId="13" fillId="0" borderId="106" xfId="0" applyFont="1" applyBorder="1" applyAlignment="1" applyProtection="1">
      <alignment horizontal="right" vertical="center" shrinkToFit="1"/>
      <protection hidden="1"/>
    </xf>
    <xf numFmtId="0" fontId="13" fillId="0" borderId="16" xfId="0" applyFont="1" applyBorder="1" applyAlignment="1" applyProtection="1">
      <alignment horizontal="right" vertical="center" shrinkToFit="1"/>
      <protection hidden="1"/>
    </xf>
    <xf numFmtId="22" fontId="12" fillId="13" borderId="106" xfId="0" applyNumberFormat="1" applyFont="1" applyFill="1" applyBorder="1" applyAlignment="1" applyProtection="1">
      <alignment horizontal="center" vertical="center" shrinkToFit="1"/>
      <protection hidden="1"/>
    </xf>
    <xf numFmtId="22" fontId="12" fillId="13" borderId="16" xfId="0" applyNumberFormat="1" applyFont="1" applyFill="1" applyBorder="1" applyAlignment="1" applyProtection="1">
      <alignment horizontal="center" vertical="center" shrinkToFit="1"/>
      <protection hidden="1"/>
    </xf>
    <xf numFmtId="22" fontId="12" fillId="13" borderId="108" xfId="0" applyNumberFormat="1" applyFont="1" applyFill="1" applyBorder="1" applyAlignment="1" applyProtection="1">
      <alignment horizontal="center" vertical="center" shrinkToFit="1"/>
      <protection hidden="1"/>
    </xf>
    <xf numFmtId="0" fontId="77" fillId="6" borderId="36" xfId="0" applyFont="1" applyFill="1" applyBorder="1" applyAlignment="1" applyProtection="1">
      <alignment horizontal="center" vertical="top" shrinkToFit="1"/>
      <protection hidden="1"/>
    </xf>
    <xf numFmtId="0" fontId="77" fillId="6" borderId="49" xfId="0" applyFont="1" applyFill="1" applyBorder="1" applyAlignment="1" applyProtection="1">
      <alignment horizontal="center" vertical="top" shrinkToFit="1"/>
      <protection hidden="1"/>
    </xf>
    <xf numFmtId="0" fontId="76" fillId="7" borderId="20" xfId="0" applyFont="1" applyFill="1" applyBorder="1" applyAlignment="1" applyProtection="1">
      <alignment horizontal="center" vertical="center" wrapText="1"/>
      <protection hidden="1"/>
    </xf>
    <xf numFmtId="0" fontId="76" fillId="7" borderId="21" xfId="0" applyFont="1" applyFill="1" applyBorder="1" applyAlignment="1" applyProtection="1">
      <alignment horizontal="center" vertical="center"/>
      <protection hidden="1"/>
    </xf>
    <xf numFmtId="0" fontId="76" fillId="7" borderId="22" xfId="0" applyFont="1" applyFill="1" applyBorder="1" applyAlignment="1" applyProtection="1">
      <alignment horizontal="center" vertical="center"/>
      <protection hidden="1"/>
    </xf>
    <xf numFmtId="0" fontId="76" fillId="7" borderId="19" xfId="0" applyFont="1" applyFill="1" applyBorder="1" applyAlignment="1" applyProtection="1">
      <alignment horizontal="center" vertical="center"/>
      <protection hidden="1"/>
    </xf>
    <xf numFmtId="3" fontId="0" fillId="7" borderId="23" xfId="0" applyNumberFormat="1" applyFill="1" applyBorder="1" applyAlignment="1" applyProtection="1">
      <alignment horizontal="center" vertical="center" shrinkToFit="1"/>
      <protection hidden="1"/>
    </xf>
    <xf numFmtId="3" fontId="0" fillId="7" borderId="24" xfId="0" applyNumberFormat="1" applyFill="1" applyBorder="1" applyAlignment="1" applyProtection="1">
      <alignment horizontal="center" vertical="center" shrinkToFit="1"/>
      <protection hidden="1"/>
    </xf>
    <xf numFmtId="3" fontId="0" fillId="7" borderId="21" xfId="0" applyNumberFormat="1" applyFill="1" applyBorder="1" applyAlignment="1" applyProtection="1">
      <alignment horizontal="center" vertical="center" shrinkToFit="1"/>
      <protection hidden="1"/>
    </xf>
    <xf numFmtId="3" fontId="0" fillId="7" borderId="19" xfId="0" applyNumberFormat="1" applyFill="1" applyBorder="1" applyAlignment="1" applyProtection="1">
      <alignment horizontal="center" vertical="center" shrinkToFit="1"/>
      <protection hidden="1"/>
    </xf>
    <xf numFmtId="0" fontId="13" fillId="25" borderId="25" xfId="0" applyFont="1" applyFill="1" applyBorder="1" applyAlignment="1" applyProtection="1">
      <alignment horizontal="center" vertical="center" wrapText="1" shrinkToFit="1"/>
      <protection hidden="1"/>
    </xf>
    <xf numFmtId="0" fontId="13" fillId="25" borderId="10" xfId="0" applyFont="1" applyFill="1" applyBorder="1" applyAlignment="1" applyProtection="1">
      <alignment horizontal="center" vertical="center" wrapText="1" shrinkToFit="1"/>
      <protection hidden="1"/>
    </xf>
    <xf numFmtId="0" fontId="13" fillId="25" borderId="27" xfId="0" applyFont="1" applyFill="1" applyBorder="1" applyAlignment="1" applyProtection="1">
      <alignment horizontal="center" vertical="center" wrapText="1" shrinkToFit="1"/>
      <protection hidden="1"/>
    </xf>
    <xf numFmtId="0" fontId="72" fillId="7" borderId="6" xfId="0" applyFont="1" applyFill="1" applyBorder="1" applyAlignment="1" applyProtection="1">
      <alignment horizontal="center" vertical="center" wrapText="1" shrinkToFit="1"/>
      <protection hidden="1"/>
    </xf>
    <xf numFmtId="0" fontId="13" fillId="7" borderId="46" xfId="0" applyFont="1" applyFill="1" applyBorder="1" applyAlignment="1" applyProtection="1">
      <alignment horizontal="center" vertical="center" shrinkToFit="1"/>
      <protection hidden="1"/>
    </xf>
    <xf numFmtId="0" fontId="13" fillId="7" borderId="47" xfId="0" applyFont="1" applyFill="1" applyBorder="1" applyAlignment="1" applyProtection="1">
      <alignment horizontal="center" vertical="center" shrinkToFit="1"/>
      <protection hidden="1"/>
    </xf>
    <xf numFmtId="0" fontId="112" fillId="7" borderId="25" xfId="0" applyFont="1" applyFill="1" applyBorder="1" applyAlignment="1" applyProtection="1">
      <alignment horizontal="center" vertical="center" wrapText="1" shrinkToFit="1"/>
      <protection hidden="1"/>
    </xf>
    <xf numFmtId="0" fontId="112" fillId="7" borderId="6" xfId="0" applyFont="1" applyFill="1" applyBorder="1" applyAlignment="1" applyProtection="1">
      <alignment horizontal="center" vertical="center" wrapText="1" shrinkToFit="1"/>
      <protection hidden="1"/>
    </xf>
    <xf numFmtId="0" fontId="13" fillId="7" borderId="6" xfId="0" applyFont="1" applyFill="1" applyBorder="1" applyAlignment="1" applyProtection="1">
      <alignment horizontal="center" vertical="center" wrapText="1" shrinkToFit="1"/>
      <protection hidden="1"/>
    </xf>
    <xf numFmtId="0" fontId="7" fillId="10" borderId="0" xfId="0" applyFont="1" applyFill="1" applyAlignment="1" applyProtection="1">
      <alignment horizontal="center" shrinkToFit="1"/>
      <protection hidden="1"/>
    </xf>
    <xf numFmtId="0" fontId="13" fillId="7" borderId="129" xfId="0" applyFont="1" applyFill="1" applyBorder="1" applyAlignment="1" applyProtection="1">
      <alignment horizontal="center" vertical="center" shrinkToFit="1"/>
      <protection hidden="1"/>
    </xf>
    <xf numFmtId="0" fontId="13" fillId="7" borderId="19" xfId="0" applyFont="1" applyFill="1" applyBorder="1" applyAlignment="1" applyProtection="1">
      <alignment horizontal="center" vertical="center" shrinkToFit="1"/>
      <protection hidden="1"/>
    </xf>
    <xf numFmtId="0" fontId="107" fillId="10" borderId="0" xfId="0" applyFont="1" applyFill="1" applyAlignment="1" applyProtection="1">
      <alignment horizontal="right" shrinkToFit="1"/>
      <protection hidden="1"/>
    </xf>
    <xf numFmtId="0" fontId="96" fillId="10" borderId="0" xfId="0" applyFont="1" applyFill="1" applyAlignment="1" applyProtection="1">
      <alignment horizontal="left" vertical="center" shrinkToFit="1"/>
      <protection hidden="1"/>
    </xf>
    <xf numFmtId="165" fontId="84" fillId="10" borderId="0" xfId="0" applyNumberFormat="1" applyFont="1" applyFill="1" applyAlignment="1" applyProtection="1">
      <alignment horizontal="center" vertical="center"/>
      <protection hidden="1"/>
    </xf>
    <xf numFmtId="165" fontId="10" fillId="10" borderId="0" xfId="0" applyNumberFormat="1" applyFont="1" applyFill="1" applyAlignment="1" applyProtection="1">
      <alignment horizontal="center" vertical="center"/>
      <protection hidden="1"/>
    </xf>
    <xf numFmtId="165" fontId="84" fillId="10" borderId="113" xfId="0" applyNumberFormat="1" applyFont="1" applyFill="1" applyBorder="1" applyAlignment="1" applyProtection="1">
      <alignment horizontal="center" vertical="center" shrinkToFit="1"/>
      <protection hidden="1"/>
    </xf>
    <xf numFmtId="165" fontId="10" fillId="10" borderId="0" xfId="0" applyNumberFormat="1" applyFont="1" applyFill="1" applyAlignment="1" applyProtection="1">
      <alignment horizontal="center" vertical="center" shrinkToFit="1"/>
      <protection hidden="1"/>
    </xf>
    <xf numFmtId="165" fontId="84" fillId="10" borderId="0" xfId="0" applyNumberFormat="1" applyFont="1" applyFill="1" applyAlignment="1" applyProtection="1">
      <alignment horizontal="center" vertical="center" shrinkToFit="1"/>
      <protection hidden="1"/>
    </xf>
    <xf numFmtId="0" fontId="76" fillId="10" borderId="0" xfId="0" applyFont="1" applyFill="1" applyAlignment="1" applyProtection="1">
      <alignment horizontal="right" vertical="center" shrinkToFit="1"/>
      <protection hidden="1"/>
    </xf>
    <xf numFmtId="0" fontId="75" fillId="7" borderId="21" xfId="0" applyFont="1" applyFill="1" applyBorder="1" applyAlignment="1" applyProtection="1">
      <alignment horizontal="center" vertical="center" shrinkToFit="1"/>
      <protection hidden="1"/>
    </xf>
    <xf numFmtId="0" fontId="141" fillId="17" borderId="20" xfId="0" applyFont="1" applyFill="1" applyBorder="1" applyAlignment="1">
      <alignment horizontal="center" vertical="center"/>
    </xf>
    <xf numFmtId="0" fontId="141" fillId="17" borderId="21" xfId="0" applyFont="1" applyFill="1" applyBorder="1" applyAlignment="1">
      <alignment horizontal="center" vertical="center"/>
    </xf>
    <xf numFmtId="0" fontId="141" fillId="17" borderId="169" xfId="0" applyFont="1" applyFill="1" applyBorder="1" applyAlignment="1">
      <alignment horizontal="center" vertical="center"/>
    </xf>
    <xf numFmtId="0" fontId="141" fillId="17" borderId="170" xfId="0" applyFont="1" applyFill="1" applyBorder="1" applyAlignment="1">
      <alignment horizontal="center" vertical="center"/>
    </xf>
    <xf numFmtId="0" fontId="141" fillId="17" borderId="0" xfId="0" applyFont="1" applyFill="1" applyAlignment="1">
      <alignment horizontal="center" vertical="center"/>
    </xf>
    <xf numFmtId="0" fontId="141" fillId="17" borderId="171" xfId="0" applyFont="1" applyFill="1" applyBorder="1" applyAlignment="1">
      <alignment horizontal="center" vertical="center"/>
    </xf>
    <xf numFmtId="9" fontId="73" fillId="7" borderId="172" xfId="0" applyNumberFormat="1" applyFont="1" applyFill="1" applyBorder="1" applyAlignment="1">
      <alignment horizontal="center"/>
    </xf>
    <xf numFmtId="9" fontId="73" fillId="7" borderId="3" xfId="0" applyNumberFormat="1" applyFont="1" applyFill="1" applyBorder="1" applyAlignment="1">
      <alignment horizontal="center"/>
    </xf>
    <xf numFmtId="0" fontId="140" fillId="57" borderId="170" xfId="0" applyFont="1" applyFill="1" applyBorder="1" applyAlignment="1">
      <alignment horizontal="left"/>
    </xf>
    <xf numFmtId="0" fontId="140" fillId="57" borderId="0" xfId="0" applyFont="1" applyFill="1" applyAlignment="1">
      <alignment horizontal="left"/>
    </xf>
    <xf numFmtId="0" fontId="140" fillId="57" borderId="171" xfId="0" applyFont="1" applyFill="1" applyBorder="1" applyAlignment="1">
      <alignment horizontal="left"/>
    </xf>
    <xf numFmtId="0" fontId="63" fillId="0" borderId="0" xfId="0" applyFont="1" applyAlignment="1" applyProtection="1">
      <alignment horizontal="left" vertical="center" shrinkToFit="1"/>
      <protection hidden="1"/>
    </xf>
    <xf numFmtId="0" fontId="75" fillId="0" borderId="0" xfId="0" applyFont="1" applyAlignment="1" applyProtection="1">
      <alignment horizontal="left" vertical="center" shrinkToFit="1"/>
      <protection hidden="1"/>
    </xf>
    <xf numFmtId="3" fontId="138" fillId="0" borderId="0" xfId="0" applyNumberFormat="1" applyFont="1" applyAlignment="1" applyProtection="1">
      <alignment horizontal="center" shrinkToFit="1"/>
      <protection hidden="1"/>
    </xf>
    <xf numFmtId="3" fontId="59" fillId="0" borderId="0" xfId="0" applyNumberFormat="1" applyFont="1" applyAlignment="1" applyProtection="1">
      <alignment horizontal="center" shrinkToFit="1"/>
      <protection hidden="1"/>
    </xf>
    <xf numFmtId="0" fontId="47" fillId="0" borderId="0" xfId="0" applyFont="1" applyAlignment="1" applyProtection="1">
      <alignment horizontal="center" vertical="center" shrinkToFit="1"/>
      <protection hidden="1"/>
    </xf>
    <xf numFmtId="1" fontId="47" fillId="0" borderId="0" xfId="0" applyNumberFormat="1" applyFont="1" applyAlignment="1" applyProtection="1">
      <alignment horizontal="center" vertical="center" shrinkToFit="1"/>
      <protection hidden="1"/>
    </xf>
    <xf numFmtId="1" fontId="50" fillId="0" borderId="0" xfId="0" applyNumberFormat="1" applyFont="1" applyAlignment="1" applyProtection="1">
      <alignment horizontal="center" vertical="center" shrinkToFit="1"/>
      <protection hidden="1"/>
    </xf>
    <xf numFmtId="0" fontId="47" fillId="0" borderId="0" xfId="0" applyFont="1" applyAlignment="1" applyProtection="1">
      <alignment horizontal="center" shrinkToFit="1"/>
      <protection hidden="1"/>
    </xf>
    <xf numFmtId="0" fontId="50" fillId="0" borderId="0" xfId="0" applyFont="1" applyAlignment="1" applyProtection="1">
      <alignment horizontal="center" shrinkToFit="1"/>
      <protection hidden="1"/>
    </xf>
    <xf numFmtId="3" fontId="2" fillId="0" borderId="0" xfId="0" applyNumberFormat="1" applyFont="1" applyAlignment="1" applyProtection="1">
      <alignment horizontal="center" vertical="center" shrinkToFit="1"/>
      <protection hidden="1"/>
    </xf>
    <xf numFmtId="3" fontId="69" fillId="0" borderId="0" xfId="0" applyNumberFormat="1" applyFont="1" applyAlignment="1" applyProtection="1">
      <alignment horizontal="center" vertical="center" shrinkToFit="1"/>
      <protection hidden="1"/>
    </xf>
    <xf numFmtId="49" fontId="2" fillId="0" borderId="0" xfId="0" applyNumberFormat="1" applyFont="1" applyAlignment="1" applyProtection="1">
      <alignment horizontal="center" vertical="center" shrinkToFit="1"/>
      <protection hidden="1"/>
    </xf>
    <xf numFmtId="49" fontId="69" fillId="0" borderId="0" xfId="0" applyNumberFormat="1" applyFont="1" applyAlignment="1" applyProtection="1">
      <alignment horizontal="center" vertical="center" shrinkToFit="1"/>
      <protection hidden="1"/>
    </xf>
    <xf numFmtId="49" fontId="2" fillId="0" borderId="0" xfId="0" quotePrefix="1" applyNumberFormat="1" applyFont="1" applyAlignment="1" applyProtection="1">
      <alignment horizontal="center" vertical="center" shrinkToFit="1"/>
      <protection hidden="1"/>
    </xf>
    <xf numFmtId="4" fontId="0" fillId="0" borderId="0" xfId="0" applyNumberFormat="1" applyAlignment="1" applyProtection="1">
      <alignment horizontal="center" vertical="center"/>
      <protection hidden="1"/>
    </xf>
    <xf numFmtId="0" fontId="0" fillId="0" borderId="0" xfId="0" applyAlignment="1" applyProtection="1">
      <alignment horizontal="center"/>
      <protection hidden="1"/>
    </xf>
    <xf numFmtId="49" fontId="1" fillId="0" borderId="0" xfId="0" applyNumberFormat="1" applyFont="1" applyAlignment="1" applyProtection="1">
      <alignment horizontal="center" vertical="center" shrinkToFit="1"/>
      <protection hidden="1"/>
    </xf>
    <xf numFmtId="49" fontId="1" fillId="0" borderId="0" xfId="0" quotePrefix="1" applyNumberFormat="1" applyFont="1" applyAlignment="1" applyProtection="1">
      <alignment horizontal="center" vertical="center" shrinkToFit="1"/>
      <protection hidden="1"/>
    </xf>
    <xf numFmtId="3" fontId="0" fillId="0" borderId="0" xfId="0" applyNumberFormat="1" applyAlignment="1" applyProtection="1">
      <alignment horizontal="center" vertical="center"/>
      <protection hidden="1"/>
    </xf>
    <xf numFmtId="0" fontId="117" fillId="0" borderId="0" xfId="0" applyFont="1" applyAlignment="1" applyProtection="1">
      <alignment horizontal="left" vertical="center"/>
      <protection hidden="1"/>
    </xf>
    <xf numFmtId="14" fontId="1" fillId="0" borderId="0" xfId="0" applyNumberFormat="1" applyFont="1" applyAlignment="1" applyProtection="1">
      <alignment horizontal="center" shrinkToFit="1"/>
      <protection hidden="1"/>
    </xf>
    <xf numFmtId="0" fontId="7" fillId="0" borderId="0" xfId="0" applyFont="1" applyAlignment="1" applyProtection="1">
      <alignment horizontal="center" shrinkToFit="1"/>
      <protection hidden="1"/>
    </xf>
    <xf numFmtId="0" fontId="43" fillId="0" borderId="0" xfId="0" applyFont="1" applyAlignment="1" applyProtection="1">
      <alignment horizontal="center" shrinkToFit="1"/>
      <protection hidden="1"/>
    </xf>
    <xf numFmtId="3" fontId="60" fillId="0" borderId="0" xfId="0" applyNumberFormat="1" applyFont="1" applyAlignment="1" applyProtection="1">
      <alignment horizontal="center" vertical="center" shrinkToFit="1"/>
      <protection hidden="1"/>
    </xf>
    <xf numFmtId="3" fontId="0" fillId="0" borderId="0" xfId="0" applyNumberFormat="1" applyAlignment="1" applyProtection="1">
      <alignment horizontal="center" vertical="center" shrinkToFit="1"/>
      <protection hidden="1"/>
    </xf>
    <xf numFmtId="0" fontId="76" fillId="0" borderId="0" xfId="0" applyFont="1" applyAlignment="1" applyProtection="1">
      <alignment horizontal="center" vertical="center" wrapText="1"/>
      <protection hidden="1"/>
    </xf>
    <xf numFmtId="0" fontId="76" fillId="0" borderId="0" xfId="0" applyFont="1" applyAlignment="1" applyProtection="1">
      <alignment horizontal="center" vertical="center"/>
      <protection hidden="1"/>
    </xf>
    <xf numFmtId="0" fontId="47" fillId="0" borderId="0" xfId="0" applyFont="1" applyAlignment="1" applyProtection="1">
      <alignment horizontal="right" vertical="center" shrinkToFit="1"/>
      <protection hidden="1"/>
    </xf>
    <xf numFmtId="0" fontId="43" fillId="0" borderId="0" xfId="0" applyFont="1" applyAlignment="1" applyProtection="1">
      <alignment horizontal="center" vertical="center" shrinkToFit="1"/>
      <protection hidden="1"/>
    </xf>
    <xf numFmtId="22" fontId="63" fillId="0" borderId="0" xfId="0" applyNumberFormat="1" applyFont="1" applyAlignment="1" applyProtection="1">
      <alignment horizontal="center" vertical="center" shrinkToFit="1"/>
      <protection hidden="1"/>
    </xf>
    <xf numFmtId="0" fontId="112" fillId="0" borderId="0" xfId="0" applyFont="1" applyAlignment="1" applyProtection="1">
      <alignment horizontal="center" vertical="center" wrapText="1" shrinkToFit="1"/>
      <protection hidden="1"/>
    </xf>
    <xf numFmtId="0" fontId="13" fillId="0" borderId="0" xfId="0" applyFont="1" applyAlignment="1" applyProtection="1">
      <alignment horizontal="center" vertical="center" wrapText="1" shrinkToFit="1"/>
      <protection hidden="1"/>
    </xf>
    <xf numFmtId="0" fontId="0" fillId="0" borderId="0" xfId="0" applyAlignment="1" applyProtection="1">
      <alignment horizontal="center" vertical="center" wrapText="1" shrinkToFit="1"/>
      <protection hidden="1"/>
    </xf>
    <xf numFmtId="165" fontId="70" fillId="0" borderId="0" xfId="0" applyNumberFormat="1" applyFont="1" applyAlignment="1" applyProtection="1">
      <alignment horizontal="center" vertical="center" shrinkToFit="1"/>
      <protection hidden="1"/>
    </xf>
    <xf numFmtId="165" fontId="68" fillId="0" borderId="0" xfId="0" applyNumberFormat="1" applyFont="1" applyAlignment="1" applyProtection="1">
      <alignment horizontal="center" vertical="center" shrinkToFit="1"/>
      <protection hidden="1"/>
    </xf>
    <xf numFmtId="0" fontId="105" fillId="0" borderId="0" xfId="0" applyFont="1" applyAlignment="1" applyProtection="1">
      <alignment horizontal="center" vertical="top" shrinkToFit="1"/>
      <protection hidden="1"/>
    </xf>
    <xf numFmtId="0" fontId="47" fillId="0" borderId="0" xfId="0" applyFont="1" applyAlignment="1" applyProtection="1">
      <alignment horizontal="center" vertical="center" wrapText="1" shrinkToFit="1"/>
      <protection hidden="1"/>
    </xf>
    <xf numFmtId="0" fontId="99" fillId="0" borderId="0" xfId="0" applyFont="1" applyAlignment="1" applyProtection="1">
      <alignment horizontal="center" vertical="center" shrinkToFit="1"/>
      <protection hidden="1"/>
    </xf>
    <xf numFmtId="0" fontId="80" fillId="0" borderId="0" xfId="0" applyFont="1" applyAlignment="1" applyProtection="1">
      <alignment horizontal="right" vertical="center" shrinkToFit="1"/>
      <protection hidden="1"/>
    </xf>
    <xf numFmtId="0" fontId="105" fillId="0" borderId="0" xfId="0" applyFont="1" applyAlignment="1" applyProtection="1">
      <alignment horizontal="right" shrinkToFit="1"/>
      <protection hidden="1"/>
    </xf>
    <xf numFmtId="0" fontId="99" fillId="0" borderId="0" xfId="0" applyFont="1" applyAlignment="1" applyProtection="1">
      <alignment horizontal="left" vertical="center" shrinkToFit="1"/>
      <protection hidden="1"/>
    </xf>
    <xf numFmtId="165" fontId="70" fillId="0" borderId="0" xfId="0" applyNumberFormat="1" applyFont="1" applyAlignment="1" applyProtection="1">
      <alignment horizontal="center" vertical="center"/>
      <protection hidden="1"/>
    </xf>
    <xf numFmtId="165" fontId="68" fillId="0" borderId="0" xfId="0" applyNumberFormat="1" applyFont="1" applyAlignment="1" applyProtection="1">
      <alignment horizontal="center" vertical="center"/>
      <protection hidden="1"/>
    </xf>
    <xf numFmtId="0" fontId="55" fillId="0" borderId="0" xfId="1713" applyFont="1" applyAlignment="1" applyProtection="1">
      <alignment horizontal="left" vertical="center" shrinkToFit="1"/>
      <protection hidden="1"/>
    </xf>
    <xf numFmtId="0" fontId="57" fillId="7" borderId="0" xfId="0" applyFont="1" applyFill="1" applyAlignment="1">
      <alignment horizontal="left"/>
    </xf>
    <xf numFmtId="0" fontId="140" fillId="7" borderId="0" xfId="0" applyFont="1" applyFill="1" applyAlignment="1">
      <alignment horizontal="center"/>
    </xf>
    <xf numFmtId="0" fontId="0" fillId="7" borderId="69" xfId="0" applyFill="1" applyBorder="1" applyAlignment="1">
      <alignment horizontal="center" shrinkToFit="1"/>
    </xf>
    <xf numFmtId="0" fontId="0" fillId="7" borderId="70" xfId="0" applyFill="1" applyBorder="1" applyAlignment="1">
      <alignment horizontal="center" shrinkToFit="1"/>
    </xf>
    <xf numFmtId="0" fontId="0" fillId="7" borderId="73" xfId="0" applyFill="1" applyBorder="1" applyAlignment="1">
      <alignment horizontal="center" shrinkToFit="1"/>
    </xf>
    <xf numFmtId="0" fontId="0" fillId="7" borderId="74" xfId="0" applyFill="1" applyBorder="1" applyAlignment="1">
      <alignment horizontal="center" shrinkToFit="1"/>
    </xf>
    <xf numFmtId="0" fontId="13" fillId="6" borderId="46" xfId="0" applyFont="1" applyFill="1" applyBorder="1" applyAlignment="1">
      <alignment horizontal="center" vertical="center" shrinkToFit="1"/>
    </xf>
    <xf numFmtId="0" fontId="13" fillId="6" borderId="47" xfId="0" applyFont="1" applyFill="1" applyBorder="1" applyAlignment="1">
      <alignment horizontal="center" vertical="center" shrinkToFit="1"/>
    </xf>
    <xf numFmtId="0" fontId="73" fillId="7" borderId="65" xfId="0" applyFont="1" applyFill="1" applyBorder="1" applyAlignment="1">
      <alignment horizontal="center" shrinkToFit="1"/>
    </xf>
    <xf numFmtId="0" fontId="73" fillId="7" borderId="66" xfId="0" applyFont="1" applyFill="1" applyBorder="1" applyAlignment="1">
      <alignment horizontal="center" shrinkToFit="1"/>
    </xf>
    <xf numFmtId="0" fontId="73" fillId="9" borderId="65" xfId="0" applyFont="1" applyFill="1" applyBorder="1" applyAlignment="1">
      <alignment horizontal="center" shrinkToFit="1"/>
    </xf>
    <xf numFmtId="0" fontId="73" fillId="9" borderId="66" xfId="0" applyFont="1" applyFill="1" applyBorder="1" applyAlignment="1">
      <alignment horizontal="center" shrinkToFit="1"/>
    </xf>
    <xf numFmtId="0" fontId="73" fillId="9" borderId="82" xfId="0" applyFont="1" applyFill="1" applyBorder="1" applyAlignment="1">
      <alignment horizontal="center" shrinkToFit="1"/>
    </xf>
    <xf numFmtId="0" fontId="45" fillId="7" borderId="65" xfId="0" applyFont="1" applyFill="1" applyBorder="1" applyAlignment="1">
      <alignment horizontal="center" shrinkToFit="1"/>
    </xf>
    <xf numFmtId="0" fontId="45" fillId="7" borderId="102" xfId="0" applyFont="1" applyFill="1" applyBorder="1" applyAlignment="1">
      <alignment horizontal="center" shrinkToFit="1"/>
    </xf>
    <xf numFmtId="0" fontId="44" fillId="7" borderId="97" xfId="0" applyFont="1" applyFill="1" applyBorder="1" applyAlignment="1">
      <alignment horizontal="center" shrinkToFit="1"/>
    </xf>
    <xf numFmtId="0" fontId="44" fillId="7" borderId="98" xfId="0" applyFont="1" applyFill="1" applyBorder="1" applyAlignment="1">
      <alignment horizontal="center" shrinkToFit="1"/>
    </xf>
    <xf numFmtId="0" fontId="4" fillId="18" borderId="78" xfId="0" applyFont="1" applyFill="1" applyBorder="1" applyAlignment="1">
      <alignment horizontal="center" shrinkToFit="1"/>
    </xf>
    <xf numFmtId="0" fontId="4" fillId="18" borderId="79" xfId="0" applyFont="1" applyFill="1" applyBorder="1" applyAlignment="1">
      <alignment horizontal="center" shrinkToFit="1"/>
    </xf>
    <xf numFmtId="0" fontId="66" fillId="10" borderId="65" xfId="0" applyFont="1" applyFill="1" applyBorder="1" applyAlignment="1">
      <alignment horizontal="center" shrinkToFit="1"/>
    </xf>
    <xf numFmtId="0" fontId="66" fillId="10" borderId="66" xfId="0" applyFont="1" applyFill="1" applyBorder="1" applyAlignment="1">
      <alignment horizontal="center" shrinkToFit="1"/>
    </xf>
    <xf numFmtId="0" fontId="94" fillId="7" borderId="0" xfId="0" applyFont="1" applyFill="1" applyAlignment="1">
      <alignment horizontal="right"/>
    </xf>
    <xf numFmtId="0" fontId="95" fillId="7" borderId="0" xfId="0" applyFont="1" applyFill="1" applyAlignment="1">
      <alignment horizontal="left"/>
    </xf>
    <xf numFmtId="0" fontId="0" fillId="7" borderId="89" xfId="0" applyFill="1" applyBorder="1" applyAlignment="1">
      <alignment horizontal="center"/>
    </xf>
    <xf numFmtId="0" fontId="0" fillId="7" borderId="90" xfId="0" applyFill="1" applyBorder="1" applyAlignment="1">
      <alignment horizontal="center"/>
    </xf>
    <xf numFmtId="0" fontId="0" fillId="7" borderId="91" xfId="0" applyFill="1" applyBorder="1" applyAlignment="1">
      <alignment horizontal="center"/>
    </xf>
    <xf numFmtId="0" fontId="0" fillId="7" borderId="92" xfId="0" applyFill="1" applyBorder="1" applyAlignment="1">
      <alignment horizontal="center"/>
    </xf>
    <xf numFmtId="0" fontId="0" fillId="7" borderId="0" xfId="0" applyFill="1" applyAlignment="1">
      <alignment horizontal="center"/>
    </xf>
    <xf numFmtId="0" fontId="0" fillId="7" borderId="93" xfId="0" applyFill="1" applyBorder="1" applyAlignment="1">
      <alignment horizontal="center"/>
    </xf>
    <xf numFmtId="0" fontId="0" fillId="7" borderId="94" xfId="0" applyFill="1" applyBorder="1" applyAlignment="1">
      <alignment horizontal="center"/>
    </xf>
    <xf numFmtId="0" fontId="0" fillId="7" borderId="95" xfId="0" applyFill="1" applyBorder="1" applyAlignment="1">
      <alignment horizontal="center"/>
    </xf>
    <xf numFmtId="0" fontId="0" fillId="7" borderId="96" xfId="0" applyFill="1" applyBorder="1" applyAlignment="1">
      <alignment horizontal="center"/>
    </xf>
    <xf numFmtId="0" fontId="66" fillId="10" borderId="0" xfId="0" applyFont="1" applyFill="1" applyAlignment="1">
      <alignment horizontal="center"/>
    </xf>
    <xf numFmtId="0" fontId="0" fillId="9" borderId="15" xfId="0" applyFill="1" applyBorder="1" applyAlignment="1">
      <alignment horizontal="center"/>
    </xf>
    <xf numFmtId="0" fontId="0" fillId="9" borderId="0" xfId="0" applyFill="1" applyAlignment="1">
      <alignment horizontal="center"/>
    </xf>
    <xf numFmtId="0" fontId="0" fillId="9" borderId="9" xfId="0" applyFill="1" applyBorder="1" applyAlignment="1">
      <alignment horizontal="center"/>
    </xf>
    <xf numFmtId="0" fontId="13" fillId="9" borderId="59" xfId="0" applyFont="1" applyFill="1" applyBorder="1" applyAlignment="1">
      <alignment horizontal="center" vertical="center" shrinkToFit="1"/>
    </xf>
    <xf numFmtId="0" fontId="13" fillId="9" borderId="60" xfId="0" applyFont="1" applyFill="1" applyBorder="1" applyAlignment="1">
      <alignment horizontal="center" vertical="center" shrinkToFit="1"/>
    </xf>
    <xf numFmtId="0" fontId="13" fillId="9" borderId="61" xfId="0" applyFont="1" applyFill="1" applyBorder="1" applyAlignment="1">
      <alignment horizontal="center" vertical="center" shrinkToFit="1"/>
    </xf>
    <xf numFmtId="0" fontId="13" fillId="6" borderId="6" xfId="0" applyFont="1" applyFill="1" applyBorder="1" applyAlignment="1">
      <alignment horizontal="center" vertical="center" shrinkToFit="1"/>
    </xf>
    <xf numFmtId="0" fontId="66" fillId="10" borderId="80" xfId="0" applyFont="1" applyFill="1" applyBorder="1" applyAlignment="1">
      <alignment horizontal="center" shrinkToFit="1"/>
    </xf>
    <xf numFmtId="0" fontId="66" fillId="10" borderId="81" xfId="0" applyFont="1" applyFill="1" applyBorder="1" applyAlignment="1">
      <alignment horizontal="center" shrinkToFit="1"/>
    </xf>
    <xf numFmtId="0" fontId="66" fillId="10" borderId="82" xfId="0" applyFont="1" applyFill="1" applyBorder="1" applyAlignment="1">
      <alignment horizontal="center" shrinkToFit="1"/>
    </xf>
    <xf numFmtId="0" fontId="7" fillId="9" borderId="6" xfId="0" applyFont="1" applyFill="1" applyBorder="1" applyAlignment="1" applyProtection="1">
      <alignment shrinkToFit="1"/>
      <protection hidden="1"/>
    </xf>
  </cellXfs>
  <cellStyles count="2076">
    <cellStyle name="Čárka 2" xfId="2" xr:uid="{00000000-0005-0000-0000-000000000000}"/>
    <cellStyle name="Čárka 2 2" xfId="3" xr:uid="{00000000-0005-0000-0000-000001000000}"/>
    <cellStyle name="Čárka 3" xfId="4" xr:uid="{00000000-0005-0000-0000-000002000000}"/>
    <cellStyle name="Čárka 4" xfId="5" xr:uid="{00000000-0005-0000-0000-000003000000}"/>
    <cellStyle name="Čárka 5" xfId="6" xr:uid="{00000000-0005-0000-0000-000004000000}"/>
    <cellStyle name="Čárka 6" xfId="7" xr:uid="{00000000-0005-0000-0000-000005000000}"/>
    <cellStyle name="Čárka 7" xfId="8" xr:uid="{00000000-0005-0000-0000-000006000000}"/>
    <cellStyle name="Čárka 8" xfId="9" xr:uid="{00000000-0005-0000-0000-000007000000}"/>
    <cellStyle name="Čárka 9" xfId="1" xr:uid="{00000000-0005-0000-0000-000008000000}"/>
    <cellStyle name="epHlavicka" xfId="10" xr:uid="{00000000-0005-0000-0000-000009000000}"/>
    <cellStyle name="epKomentar" xfId="11" xr:uid="{00000000-0005-0000-0000-00000A000000}"/>
    <cellStyle name="epVstup" xfId="12" xr:uid="{00000000-0005-0000-0000-00000B000000}"/>
    <cellStyle name="epVystup" xfId="13" xr:uid="{00000000-0005-0000-0000-00000C000000}"/>
    <cellStyle name="Excel Built-in Normal" xfId="14" xr:uid="{00000000-0005-0000-0000-00000D000000}"/>
    <cellStyle name="Excel Built-in Normal 2" xfId="15" xr:uid="{00000000-0005-0000-0000-00000E000000}"/>
    <cellStyle name="Excel Built-in Normal 2 2" xfId="16" xr:uid="{00000000-0005-0000-0000-00000F000000}"/>
    <cellStyle name="Excel Built-in Normal 2 2 2" xfId="17" xr:uid="{00000000-0005-0000-0000-000010000000}"/>
    <cellStyle name="Excel Built-in Normal 2 2 2 2" xfId="18" xr:uid="{00000000-0005-0000-0000-000011000000}"/>
    <cellStyle name="Excel Built-in Normal 2 2 2 2 2" xfId="19" xr:uid="{00000000-0005-0000-0000-000012000000}"/>
    <cellStyle name="Excel Built-in Normal 2 2 2 2 2 2" xfId="20" xr:uid="{00000000-0005-0000-0000-000013000000}"/>
    <cellStyle name="Excel Built-in Normal 2 2 2 2 2 2 2" xfId="21" xr:uid="{00000000-0005-0000-0000-000014000000}"/>
    <cellStyle name="Excel Built-in Normal 2 2 2 2 2 3" xfId="22" xr:uid="{00000000-0005-0000-0000-000015000000}"/>
    <cellStyle name="Excel Built-in Normal 2 2 2 3" xfId="23" xr:uid="{00000000-0005-0000-0000-000016000000}"/>
    <cellStyle name="Excel Built-in Normal 2 2 2 3 2" xfId="24" xr:uid="{00000000-0005-0000-0000-000017000000}"/>
    <cellStyle name="Excel Built-in Normal 2 2 2 3 2 2" xfId="25" xr:uid="{00000000-0005-0000-0000-000018000000}"/>
    <cellStyle name="Excel Built-in Normal 2 2 2 3 2 2 2" xfId="26" xr:uid="{00000000-0005-0000-0000-000019000000}"/>
    <cellStyle name="Excel Built-in Normal 2 2 2 3 2 3" xfId="27" xr:uid="{00000000-0005-0000-0000-00001A000000}"/>
    <cellStyle name="Excel Built-in Normal 2 2 2 4" xfId="28" xr:uid="{00000000-0005-0000-0000-00001B000000}"/>
    <cellStyle name="Excel Built-in Normal 2 2 2 4 2" xfId="29" xr:uid="{00000000-0005-0000-0000-00001C000000}"/>
    <cellStyle name="Excel Built-in Normal 2 2 2 4 2 2" xfId="30" xr:uid="{00000000-0005-0000-0000-00001D000000}"/>
    <cellStyle name="Excel Built-in Normal 2 2 2 4 3" xfId="31" xr:uid="{00000000-0005-0000-0000-00001E000000}"/>
    <cellStyle name="Excel Built-in Normal 2 2 3" xfId="32" xr:uid="{00000000-0005-0000-0000-00001F000000}"/>
    <cellStyle name="Excel Built-in Normal 2 2 3 2" xfId="33" xr:uid="{00000000-0005-0000-0000-000020000000}"/>
    <cellStyle name="Excel Built-in Normal 2 2 3 2 2" xfId="34" xr:uid="{00000000-0005-0000-0000-000021000000}"/>
    <cellStyle name="Excel Built-in Normal 2 2 3 2 2 2" xfId="35" xr:uid="{00000000-0005-0000-0000-000022000000}"/>
    <cellStyle name="Excel Built-in Normal 2 2 3 2 3" xfId="36" xr:uid="{00000000-0005-0000-0000-000023000000}"/>
    <cellStyle name="Excel Built-in Normal 2 2 4" xfId="37" xr:uid="{00000000-0005-0000-0000-000024000000}"/>
    <cellStyle name="Excel Built-in Normal 2 2 4 2" xfId="38" xr:uid="{00000000-0005-0000-0000-000025000000}"/>
    <cellStyle name="Excel Built-in Normal 2 2 4 2 2" xfId="39" xr:uid="{00000000-0005-0000-0000-000026000000}"/>
    <cellStyle name="Excel Built-in Normal 2 2 4 3" xfId="40" xr:uid="{00000000-0005-0000-0000-000027000000}"/>
    <cellStyle name="Excel Built-in Normal 2 3" xfId="41" xr:uid="{00000000-0005-0000-0000-000028000000}"/>
    <cellStyle name="Excel Built-in Normal 2 3 2" xfId="42" xr:uid="{00000000-0005-0000-0000-000029000000}"/>
    <cellStyle name="Excel Built-in Normal 2 3 2 2" xfId="43" xr:uid="{00000000-0005-0000-0000-00002A000000}"/>
    <cellStyle name="Excel Built-in Normal 2 3 2 2 2" xfId="44" xr:uid="{00000000-0005-0000-0000-00002B000000}"/>
    <cellStyle name="Excel Built-in Normal 2 3 2 2 2 2" xfId="45" xr:uid="{00000000-0005-0000-0000-00002C000000}"/>
    <cellStyle name="Excel Built-in Normal 2 3 2 2 3" xfId="46" xr:uid="{00000000-0005-0000-0000-00002D000000}"/>
    <cellStyle name="Excel Built-in Normal 2 3 3" xfId="47" xr:uid="{00000000-0005-0000-0000-00002E000000}"/>
    <cellStyle name="Excel Built-in Normal 2 3 3 2" xfId="48" xr:uid="{00000000-0005-0000-0000-00002F000000}"/>
    <cellStyle name="Excel Built-in Normal 2 3 3 2 2" xfId="49" xr:uid="{00000000-0005-0000-0000-000030000000}"/>
    <cellStyle name="Excel Built-in Normal 2 3 3 2 2 2" xfId="50" xr:uid="{00000000-0005-0000-0000-000031000000}"/>
    <cellStyle name="Excel Built-in Normal 2 3 3 2 3" xfId="51" xr:uid="{00000000-0005-0000-0000-000032000000}"/>
    <cellStyle name="Excel Built-in Normal 2 3 4" xfId="52" xr:uid="{00000000-0005-0000-0000-000033000000}"/>
    <cellStyle name="Excel Built-in Normal 2 3 4 2" xfId="53" xr:uid="{00000000-0005-0000-0000-000034000000}"/>
    <cellStyle name="Excel Built-in Normal 2 3 4 2 2" xfId="54" xr:uid="{00000000-0005-0000-0000-000035000000}"/>
    <cellStyle name="Excel Built-in Normal 2 3 4 3" xfId="55" xr:uid="{00000000-0005-0000-0000-000036000000}"/>
    <cellStyle name="Excel Built-in Normal 2 4" xfId="56" xr:uid="{00000000-0005-0000-0000-000037000000}"/>
    <cellStyle name="Excel Built-in Normal 2 4 2" xfId="57" xr:uid="{00000000-0005-0000-0000-000038000000}"/>
    <cellStyle name="Excel Built-in Normal 2 4 2 2" xfId="58" xr:uid="{00000000-0005-0000-0000-000039000000}"/>
    <cellStyle name="Excel Built-in Normal 2 4 2 2 2" xfId="59" xr:uid="{00000000-0005-0000-0000-00003A000000}"/>
    <cellStyle name="Excel Built-in Normal 2 4 2 3" xfId="60" xr:uid="{00000000-0005-0000-0000-00003B000000}"/>
    <cellStyle name="Excel Built-in Normal 2 5" xfId="61" xr:uid="{00000000-0005-0000-0000-00003C000000}"/>
    <cellStyle name="Excel Built-in Normal 2 5 2" xfId="62" xr:uid="{00000000-0005-0000-0000-00003D000000}"/>
    <cellStyle name="Excel Built-in Normal 2 5 2 2" xfId="63" xr:uid="{00000000-0005-0000-0000-00003E000000}"/>
    <cellStyle name="Excel Built-in Normal 2 5 3" xfId="64" xr:uid="{00000000-0005-0000-0000-00003F000000}"/>
    <cellStyle name="Excel Built-in Normal 3" xfId="65" xr:uid="{00000000-0005-0000-0000-000040000000}"/>
    <cellStyle name="Excel Built-in Normal 3 2" xfId="66" xr:uid="{00000000-0005-0000-0000-000041000000}"/>
    <cellStyle name="Excel Built-in Normal 3 2 2" xfId="67" xr:uid="{00000000-0005-0000-0000-000042000000}"/>
    <cellStyle name="Excel Built-in Normal 3 2 2 2" xfId="68" xr:uid="{00000000-0005-0000-0000-000043000000}"/>
    <cellStyle name="Excel Built-in Normal 3 2 2 2 2" xfId="69" xr:uid="{00000000-0005-0000-0000-000044000000}"/>
    <cellStyle name="Excel Built-in Normal 3 2 2 2 2 2" xfId="70" xr:uid="{00000000-0005-0000-0000-000045000000}"/>
    <cellStyle name="Excel Built-in Normal 3 2 2 2 3" xfId="71" xr:uid="{00000000-0005-0000-0000-000046000000}"/>
    <cellStyle name="Excel Built-in Normal 3 2 3" xfId="72" xr:uid="{00000000-0005-0000-0000-000047000000}"/>
    <cellStyle name="Excel Built-in Normal 3 2 3 2" xfId="73" xr:uid="{00000000-0005-0000-0000-000048000000}"/>
    <cellStyle name="Excel Built-in Normal 3 2 3 2 2" xfId="74" xr:uid="{00000000-0005-0000-0000-000049000000}"/>
    <cellStyle name="Excel Built-in Normal 3 2 3 3" xfId="75" xr:uid="{00000000-0005-0000-0000-00004A000000}"/>
    <cellStyle name="Excel Built-in Normal 3 3" xfId="76" xr:uid="{00000000-0005-0000-0000-00004B000000}"/>
    <cellStyle name="Excel Built-in Normal 3 3 2" xfId="77" xr:uid="{00000000-0005-0000-0000-00004C000000}"/>
    <cellStyle name="Excel Built-in Normal 3 3 2 2" xfId="78" xr:uid="{00000000-0005-0000-0000-00004D000000}"/>
    <cellStyle name="Excel Built-in Normal 3 3 2 2 2" xfId="79" xr:uid="{00000000-0005-0000-0000-00004E000000}"/>
    <cellStyle name="Excel Built-in Normal 3 3 2 2 2 2" xfId="80" xr:uid="{00000000-0005-0000-0000-00004F000000}"/>
    <cellStyle name="Excel Built-in Normal 3 3 2 2 3" xfId="81" xr:uid="{00000000-0005-0000-0000-000050000000}"/>
    <cellStyle name="Excel Built-in Normal 3 3 3" xfId="82" xr:uid="{00000000-0005-0000-0000-000051000000}"/>
    <cellStyle name="Excel Built-in Normal 3 3 3 2" xfId="83" xr:uid="{00000000-0005-0000-0000-000052000000}"/>
    <cellStyle name="Excel Built-in Normal 3 3 3 2 2" xfId="84" xr:uid="{00000000-0005-0000-0000-000053000000}"/>
    <cellStyle name="Excel Built-in Normal 3 3 3 2 2 2" xfId="85" xr:uid="{00000000-0005-0000-0000-000054000000}"/>
    <cellStyle name="Excel Built-in Normal 3 3 3 2 3" xfId="86" xr:uid="{00000000-0005-0000-0000-000055000000}"/>
    <cellStyle name="Excel Built-in Normal 3 3 4" xfId="87" xr:uid="{00000000-0005-0000-0000-000056000000}"/>
    <cellStyle name="Excel Built-in Normal 3 3 4 2" xfId="88" xr:uid="{00000000-0005-0000-0000-000057000000}"/>
    <cellStyle name="Excel Built-in Normal 3 3 4 2 2" xfId="89" xr:uid="{00000000-0005-0000-0000-000058000000}"/>
    <cellStyle name="Excel Built-in Normal 3 3 4 3" xfId="90" xr:uid="{00000000-0005-0000-0000-000059000000}"/>
    <cellStyle name="Excel Built-in Normal 3 4" xfId="91" xr:uid="{00000000-0005-0000-0000-00005A000000}"/>
    <cellStyle name="Excel Built-in Normal 3 4 2" xfId="92" xr:uid="{00000000-0005-0000-0000-00005B000000}"/>
    <cellStyle name="Excel Built-in Normal 3 4 2 2" xfId="93" xr:uid="{00000000-0005-0000-0000-00005C000000}"/>
    <cellStyle name="Excel Built-in Normal 3 4 2 2 2" xfId="94" xr:uid="{00000000-0005-0000-0000-00005D000000}"/>
    <cellStyle name="Excel Built-in Normal 3 4 2 3" xfId="95" xr:uid="{00000000-0005-0000-0000-00005E000000}"/>
    <cellStyle name="Excel Built-in Normal 3 5" xfId="96" xr:uid="{00000000-0005-0000-0000-00005F000000}"/>
    <cellStyle name="Excel Built-in Normal 3 5 2" xfId="97" xr:uid="{00000000-0005-0000-0000-000060000000}"/>
    <cellStyle name="Excel Built-in Normal 3 5 2 2" xfId="98" xr:uid="{00000000-0005-0000-0000-000061000000}"/>
    <cellStyle name="Excel Built-in Normal 3 5 3" xfId="99" xr:uid="{00000000-0005-0000-0000-000062000000}"/>
    <cellStyle name="Excel Built-in Normal 4" xfId="100" xr:uid="{00000000-0005-0000-0000-000063000000}"/>
    <cellStyle name="Excel Built-in Normal 4 2" xfId="101" xr:uid="{00000000-0005-0000-0000-000064000000}"/>
    <cellStyle name="Excel Built-in Normal 4 2 2" xfId="102" xr:uid="{00000000-0005-0000-0000-000065000000}"/>
    <cellStyle name="Excel Built-in Normal 4 2 2 2" xfId="103" xr:uid="{00000000-0005-0000-0000-000066000000}"/>
    <cellStyle name="Excel Built-in Normal 4 2 2 2 2" xfId="104" xr:uid="{00000000-0005-0000-0000-000067000000}"/>
    <cellStyle name="Excel Built-in Normal 4 2 2 2 2 2" xfId="105" xr:uid="{00000000-0005-0000-0000-000068000000}"/>
    <cellStyle name="Excel Built-in Normal 4 2 2 2 3" xfId="106" xr:uid="{00000000-0005-0000-0000-000069000000}"/>
    <cellStyle name="Excel Built-in Normal 4 2 3" xfId="107" xr:uid="{00000000-0005-0000-0000-00006A000000}"/>
    <cellStyle name="Excel Built-in Normal 4 2 3 2" xfId="108" xr:uid="{00000000-0005-0000-0000-00006B000000}"/>
    <cellStyle name="Excel Built-in Normal 4 2 3 2 2" xfId="109" xr:uid="{00000000-0005-0000-0000-00006C000000}"/>
    <cellStyle name="Excel Built-in Normal 4 2 3 2 2 2" xfId="110" xr:uid="{00000000-0005-0000-0000-00006D000000}"/>
    <cellStyle name="Excel Built-in Normal 4 2 3 2 3" xfId="111" xr:uid="{00000000-0005-0000-0000-00006E000000}"/>
    <cellStyle name="Excel Built-in Normal 4 2 4" xfId="112" xr:uid="{00000000-0005-0000-0000-00006F000000}"/>
    <cellStyle name="Excel Built-in Normal 4 2 4 2" xfId="113" xr:uid="{00000000-0005-0000-0000-000070000000}"/>
    <cellStyle name="Excel Built-in Normal 4 2 4 2 2" xfId="114" xr:uid="{00000000-0005-0000-0000-000071000000}"/>
    <cellStyle name="Excel Built-in Normal 4 2 4 3" xfId="115" xr:uid="{00000000-0005-0000-0000-000072000000}"/>
    <cellStyle name="Excel Built-in Normal 4 3" xfId="116" xr:uid="{00000000-0005-0000-0000-000073000000}"/>
    <cellStyle name="Excel Built-in Normal 4 3 2" xfId="117" xr:uid="{00000000-0005-0000-0000-000074000000}"/>
    <cellStyle name="Excel Built-in Normal 4 3 2 2" xfId="118" xr:uid="{00000000-0005-0000-0000-000075000000}"/>
    <cellStyle name="Excel Built-in Normal 4 3 2 2 2" xfId="119" xr:uid="{00000000-0005-0000-0000-000076000000}"/>
    <cellStyle name="Excel Built-in Normal 4 3 2 3" xfId="120" xr:uid="{00000000-0005-0000-0000-000077000000}"/>
    <cellStyle name="Excel Built-in Normal 4 4" xfId="121" xr:uid="{00000000-0005-0000-0000-000078000000}"/>
    <cellStyle name="Excel Built-in Normal 4 4 2" xfId="122" xr:uid="{00000000-0005-0000-0000-000079000000}"/>
    <cellStyle name="Excel Built-in Normal 4 4 2 2" xfId="123" xr:uid="{00000000-0005-0000-0000-00007A000000}"/>
    <cellStyle name="Excel Built-in Normal 4 4 3" xfId="124" xr:uid="{00000000-0005-0000-0000-00007B000000}"/>
    <cellStyle name="Excel Built-in Normal 5" xfId="125" xr:uid="{00000000-0005-0000-0000-00007C000000}"/>
    <cellStyle name="Excel Built-in Normal 5 2" xfId="126" xr:uid="{00000000-0005-0000-0000-00007D000000}"/>
    <cellStyle name="Excel Built-in Normal 5 2 2" xfId="127" xr:uid="{00000000-0005-0000-0000-00007E000000}"/>
    <cellStyle name="Excel Built-in Normal 5 2 2 2" xfId="128" xr:uid="{00000000-0005-0000-0000-00007F000000}"/>
    <cellStyle name="Excel Built-in Normal 5 2 2 2 2" xfId="129" xr:uid="{00000000-0005-0000-0000-000080000000}"/>
    <cellStyle name="Excel Built-in Normal 5 2 2 3" xfId="130" xr:uid="{00000000-0005-0000-0000-000081000000}"/>
    <cellStyle name="Excel Built-in Normal 5 3" xfId="131" xr:uid="{00000000-0005-0000-0000-000082000000}"/>
    <cellStyle name="Excel Built-in Normal 5 3 2" xfId="132" xr:uid="{00000000-0005-0000-0000-000083000000}"/>
    <cellStyle name="Excel Built-in Normal 5 3 2 2" xfId="133" xr:uid="{00000000-0005-0000-0000-000084000000}"/>
    <cellStyle name="Excel Built-in Normal 5 3 2 2 2" xfId="134" xr:uid="{00000000-0005-0000-0000-000085000000}"/>
    <cellStyle name="Excel Built-in Normal 5 3 2 3" xfId="135" xr:uid="{00000000-0005-0000-0000-000086000000}"/>
    <cellStyle name="Excel Built-in Normal 5 4" xfId="136" xr:uid="{00000000-0005-0000-0000-000087000000}"/>
    <cellStyle name="Excel Built-in Normal 5 4 2" xfId="137" xr:uid="{00000000-0005-0000-0000-000088000000}"/>
    <cellStyle name="Excel Built-in Normal 5 4 2 2" xfId="138" xr:uid="{00000000-0005-0000-0000-000089000000}"/>
    <cellStyle name="Excel Built-in Normal 5 4 3" xfId="139" xr:uid="{00000000-0005-0000-0000-00008A000000}"/>
    <cellStyle name="Excel Built-in Normal 6" xfId="140" xr:uid="{00000000-0005-0000-0000-00008B000000}"/>
    <cellStyle name="Excel Built-in Normal 6 2" xfId="141" xr:uid="{00000000-0005-0000-0000-00008C000000}"/>
    <cellStyle name="Excel Built-in Normal 6 2 2" xfId="142" xr:uid="{00000000-0005-0000-0000-00008D000000}"/>
    <cellStyle name="Excel Built-in Normal 6 2 2 2" xfId="143" xr:uid="{00000000-0005-0000-0000-00008E000000}"/>
    <cellStyle name="Excel Built-in Normal 6 2 3" xfId="144" xr:uid="{00000000-0005-0000-0000-00008F000000}"/>
    <cellStyle name="Excel Built-in Normal 7" xfId="145" xr:uid="{00000000-0005-0000-0000-000090000000}"/>
    <cellStyle name="Excel Built-in Normal 7 2" xfId="146" xr:uid="{00000000-0005-0000-0000-000091000000}"/>
    <cellStyle name="Excel Built-in Normal 7 2 2" xfId="147" xr:uid="{00000000-0005-0000-0000-000092000000}"/>
    <cellStyle name="Excel Built-in Normal 7 3" xfId="148" xr:uid="{00000000-0005-0000-0000-000093000000}"/>
    <cellStyle name="Excel Built-in Normal 8" xfId="149" xr:uid="{00000000-0005-0000-0000-000094000000}"/>
    <cellStyle name="Hypertextový odkaz" xfId="150" builtinId="8"/>
    <cellStyle name="Hypertextový odkaz 2" xfId="151" xr:uid="{00000000-0005-0000-0000-000096000000}"/>
    <cellStyle name="Hypertextový odkaz 2 2" xfId="152" xr:uid="{00000000-0005-0000-0000-000097000000}"/>
    <cellStyle name="Hypertextový odkaz 2 2 2" xfId="153" xr:uid="{00000000-0005-0000-0000-000098000000}"/>
    <cellStyle name="Hypertextový odkaz 2 2 2 2" xfId="154" xr:uid="{00000000-0005-0000-0000-000099000000}"/>
    <cellStyle name="Hypertextový odkaz 2 2 2 2 2" xfId="155" xr:uid="{00000000-0005-0000-0000-00009A000000}"/>
    <cellStyle name="Hypertextový odkaz 2 2 2 2 2 2" xfId="156" xr:uid="{00000000-0005-0000-0000-00009B000000}"/>
    <cellStyle name="Hypertextový odkaz 2 2 2 2 2 2 2" xfId="157" xr:uid="{00000000-0005-0000-0000-00009C000000}"/>
    <cellStyle name="Hypertextový odkaz 2 2 2 2 2 3" xfId="158" xr:uid="{00000000-0005-0000-0000-00009D000000}"/>
    <cellStyle name="Hypertextový odkaz 2 2 2 2 3" xfId="159" xr:uid="{00000000-0005-0000-0000-00009E000000}"/>
    <cellStyle name="Hypertextový odkaz 2 2 2 3" xfId="160" xr:uid="{00000000-0005-0000-0000-00009F000000}"/>
    <cellStyle name="Hypertextový odkaz 2 2 2 3 2" xfId="161" xr:uid="{00000000-0005-0000-0000-0000A0000000}"/>
    <cellStyle name="Hypertextový odkaz 2 2 2 3 2 2" xfId="162" xr:uid="{00000000-0005-0000-0000-0000A1000000}"/>
    <cellStyle name="Hypertextový odkaz 2 2 2 3 3" xfId="163" xr:uid="{00000000-0005-0000-0000-0000A2000000}"/>
    <cellStyle name="Hypertextový odkaz 2 2 2 4" xfId="164" xr:uid="{00000000-0005-0000-0000-0000A3000000}"/>
    <cellStyle name="Hypertextový odkaz 2 2 3" xfId="165" xr:uid="{00000000-0005-0000-0000-0000A4000000}"/>
    <cellStyle name="Hypertextový odkaz 2 2 3 2" xfId="166" xr:uid="{00000000-0005-0000-0000-0000A5000000}"/>
    <cellStyle name="Hypertextový odkaz 2 2 3 2 2" xfId="167" xr:uid="{00000000-0005-0000-0000-0000A6000000}"/>
    <cellStyle name="Hypertextový odkaz 2 2 3 3" xfId="168" xr:uid="{00000000-0005-0000-0000-0000A7000000}"/>
    <cellStyle name="Hypertextový odkaz 2 2 4" xfId="169" xr:uid="{00000000-0005-0000-0000-0000A8000000}"/>
    <cellStyle name="Hypertextový odkaz 2 3" xfId="170" xr:uid="{00000000-0005-0000-0000-0000A9000000}"/>
    <cellStyle name="Hypertextový odkaz 2 3 2" xfId="171" xr:uid="{00000000-0005-0000-0000-0000AA000000}"/>
    <cellStyle name="Hypertextový odkaz 2 3 2 2" xfId="172" xr:uid="{00000000-0005-0000-0000-0000AB000000}"/>
    <cellStyle name="Hypertextový odkaz 2 3 2 2 2" xfId="173" xr:uid="{00000000-0005-0000-0000-0000AC000000}"/>
    <cellStyle name="Hypertextový odkaz 2 3 2 2 2 2" xfId="174" xr:uid="{00000000-0005-0000-0000-0000AD000000}"/>
    <cellStyle name="Hypertextový odkaz 2 3 2 2 3" xfId="175" xr:uid="{00000000-0005-0000-0000-0000AE000000}"/>
    <cellStyle name="Hypertextový odkaz 2 3 2 3" xfId="176" xr:uid="{00000000-0005-0000-0000-0000AF000000}"/>
    <cellStyle name="Hypertextový odkaz 2 3 3" xfId="177" xr:uid="{00000000-0005-0000-0000-0000B0000000}"/>
    <cellStyle name="Hypertextový odkaz 2 3 3 2" xfId="178" xr:uid="{00000000-0005-0000-0000-0000B1000000}"/>
    <cellStyle name="Hypertextový odkaz 2 3 3 2 2" xfId="179" xr:uid="{00000000-0005-0000-0000-0000B2000000}"/>
    <cellStyle name="Hypertextový odkaz 2 3 3 2 2 2" xfId="180" xr:uid="{00000000-0005-0000-0000-0000B3000000}"/>
    <cellStyle name="Hypertextový odkaz 2 3 3 2 2 2 2" xfId="181" xr:uid="{00000000-0005-0000-0000-0000B4000000}"/>
    <cellStyle name="Hypertextový odkaz 2 3 3 2 2 3" xfId="182" xr:uid="{00000000-0005-0000-0000-0000B5000000}"/>
    <cellStyle name="Hypertextový odkaz 2 3 3 2 3" xfId="183" xr:uid="{00000000-0005-0000-0000-0000B6000000}"/>
    <cellStyle name="Hypertextový odkaz 2 3 3 3" xfId="184" xr:uid="{00000000-0005-0000-0000-0000B7000000}"/>
    <cellStyle name="Hypertextový odkaz 2 3 3 3 2" xfId="185" xr:uid="{00000000-0005-0000-0000-0000B8000000}"/>
    <cellStyle name="Hypertextový odkaz 2 3 3 3 2 2" xfId="186" xr:uid="{00000000-0005-0000-0000-0000B9000000}"/>
    <cellStyle name="Hypertextový odkaz 2 3 3 3 3" xfId="187" xr:uid="{00000000-0005-0000-0000-0000BA000000}"/>
    <cellStyle name="Hypertextový odkaz 2 3 3 4" xfId="188" xr:uid="{00000000-0005-0000-0000-0000BB000000}"/>
    <cellStyle name="Hypertextový odkaz 2 3 4" xfId="189" xr:uid="{00000000-0005-0000-0000-0000BC000000}"/>
    <cellStyle name="Hypertextový odkaz 2 3 4 2" xfId="190" xr:uid="{00000000-0005-0000-0000-0000BD000000}"/>
    <cellStyle name="Hypertextový odkaz 2 3 4 2 2" xfId="191" xr:uid="{00000000-0005-0000-0000-0000BE000000}"/>
    <cellStyle name="Hypertextový odkaz 2 3 4 3" xfId="192" xr:uid="{00000000-0005-0000-0000-0000BF000000}"/>
    <cellStyle name="Hypertextový odkaz 2 3 5" xfId="193" xr:uid="{00000000-0005-0000-0000-0000C0000000}"/>
    <cellStyle name="Hypertextový odkaz 2 4" xfId="194" xr:uid="{00000000-0005-0000-0000-0000C1000000}"/>
    <cellStyle name="Hypertextový odkaz 2 4 2" xfId="195" xr:uid="{00000000-0005-0000-0000-0000C2000000}"/>
    <cellStyle name="Hypertextový odkaz 2 4 2 2" xfId="196" xr:uid="{00000000-0005-0000-0000-0000C3000000}"/>
    <cellStyle name="Hypertextový odkaz 2 4 2 2 2" xfId="197" xr:uid="{00000000-0005-0000-0000-0000C4000000}"/>
    <cellStyle name="Hypertextový odkaz 2 4 2 2 2 2" xfId="198" xr:uid="{00000000-0005-0000-0000-0000C5000000}"/>
    <cellStyle name="Hypertextový odkaz 2 4 2 2 3" xfId="199" xr:uid="{00000000-0005-0000-0000-0000C6000000}"/>
    <cellStyle name="Hypertextový odkaz 2 4 2 3" xfId="200" xr:uid="{00000000-0005-0000-0000-0000C7000000}"/>
    <cellStyle name="Hypertextový odkaz 2 4 3" xfId="201" xr:uid="{00000000-0005-0000-0000-0000C8000000}"/>
    <cellStyle name="Hypertextový odkaz 2 4 3 2" xfId="202" xr:uid="{00000000-0005-0000-0000-0000C9000000}"/>
    <cellStyle name="Hypertextový odkaz 2 4 3 2 2" xfId="203" xr:uid="{00000000-0005-0000-0000-0000CA000000}"/>
    <cellStyle name="Hypertextový odkaz 2 4 3 3" xfId="204" xr:uid="{00000000-0005-0000-0000-0000CB000000}"/>
    <cellStyle name="Hypertextový odkaz 2 4 4" xfId="205" xr:uid="{00000000-0005-0000-0000-0000CC000000}"/>
    <cellStyle name="Hypertextový odkaz 2 5" xfId="206" xr:uid="{00000000-0005-0000-0000-0000CD000000}"/>
    <cellStyle name="Hypertextový odkaz 2 5 2" xfId="207" xr:uid="{00000000-0005-0000-0000-0000CE000000}"/>
    <cellStyle name="Hypertextový odkaz 2 5 2 2" xfId="208" xr:uid="{00000000-0005-0000-0000-0000CF000000}"/>
    <cellStyle name="Hypertextový odkaz 2 5 3" xfId="209" xr:uid="{00000000-0005-0000-0000-0000D0000000}"/>
    <cellStyle name="Hypertextový odkaz 2 6" xfId="210" xr:uid="{00000000-0005-0000-0000-0000D1000000}"/>
    <cellStyle name="Hypertextový odkaz 3" xfId="211" xr:uid="{00000000-0005-0000-0000-0000D2000000}"/>
    <cellStyle name="Hypertextový odkaz 3 2" xfId="212" xr:uid="{00000000-0005-0000-0000-0000D3000000}"/>
    <cellStyle name="Hypertextový odkaz 4" xfId="213" xr:uid="{00000000-0005-0000-0000-0000D4000000}"/>
    <cellStyle name="Hypertextový odkaz 4 2" xfId="214" xr:uid="{00000000-0005-0000-0000-0000D5000000}"/>
    <cellStyle name="Hypertextový odkaz 4 2 2" xfId="215" xr:uid="{00000000-0005-0000-0000-0000D6000000}"/>
    <cellStyle name="Hypertextový odkaz 4 2 2 2" xfId="216" xr:uid="{00000000-0005-0000-0000-0000D7000000}"/>
    <cellStyle name="Hypertextový odkaz 4 2 3" xfId="217" xr:uid="{00000000-0005-0000-0000-0000D8000000}"/>
    <cellStyle name="Hypertextový odkaz 4 3" xfId="218" xr:uid="{00000000-0005-0000-0000-0000D9000000}"/>
    <cellStyle name="Hypertextový odkaz 5" xfId="219" xr:uid="{00000000-0005-0000-0000-0000DA000000}"/>
    <cellStyle name="Hypertextový odkaz 5 2" xfId="220" xr:uid="{00000000-0005-0000-0000-0000DB000000}"/>
    <cellStyle name="Hypertextový odkaz 5 2 2" xfId="221" xr:uid="{00000000-0005-0000-0000-0000DC000000}"/>
    <cellStyle name="Hypertextový odkaz 5 2 2 2" xfId="222" xr:uid="{00000000-0005-0000-0000-0000DD000000}"/>
    <cellStyle name="Hypertextový odkaz 5 2 3" xfId="223" xr:uid="{00000000-0005-0000-0000-0000DE000000}"/>
    <cellStyle name="Hypertextový odkaz 5 3" xfId="224" xr:uid="{00000000-0005-0000-0000-0000DF000000}"/>
    <cellStyle name="Hypertextový odkaz 5 4" xfId="225" xr:uid="{00000000-0005-0000-0000-0000E0000000}"/>
    <cellStyle name="Hypertextový odkaz 6" xfId="226" xr:uid="{00000000-0005-0000-0000-0000E1000000}"/>
    <cellStyle name="Hypertextový odkaz 6 2" xfId="227" xr:uid="{00000000-0005-0000-0000-0000E2000000}"/>
    <cellStyle name="Hypertextový odkaz 6 2 2" xfId="228" xr:uid="{00000000-0005-0000-0000-0000E3000000}"/>
    <cellStyle name="Hypertextový odkaz 6 3" xfId="229" xr:uid="{00000000-0005-0000-0000-0000E4000000}"/>
    <cellStyle name="Měna 2" xfId="230" xr:uid="{00000000-0005-0000-0000-0000E5000000}"/>
    <cellStyle name="Měna 2 2" xfId="231" xr:uid="{00000000-0005-0000-0000-0000E6000000}"/>
    <cellStyle name="Měna 2 2 2" xfId="232" xr:uid="{00000000-0005-0000-0000-0000E7000000}"/>
    <cellStyle name="Měna 2 2 3" xfId="233" xr:uid="{00000000-0005-0000-0000-0000E8000000}"/>
    <cellStyle name="Měna 2 3" xfId="234" xr:uid="{00000000-0005-0000-0000-0000E9000000}"/>
    <cellStyle name="Normální" xfId="0" builtinId="0"/>
    <cellStyle name="Normální 10" xfId="235" xr:uid="{00000000-0005-0000-0000-0000EB000000}"/>
    <cellStyle name="Normální 10 2" xfId="236" xr:uid="{00000000-0005-0000-0000-0000EC000000}"/>
    <cellStyle name="Normální 10 2 2" xfId="237" xr:uid="{00000000-0005-0000-0000-0000ED000000}"/>
    <cellStyle name="Normální 10 2 2 2" xfId="238" xr:uid="{00000000-0005-0000-0000-0000EE000000}"/>
    <cellStyle name="Normální 10 2 2 2 2" xfId="239" xr:uid="{00000000-0005-0000-0000-0000EF000000}"/>
    <cellStyle name="Normální 10 2 2 2 2 2" xfId="240" xr:uid="{00000000-0005-0000-0000-0000F0000000}"/>
    <cellStyle name="Normální 10 2 2 2 2 2 2" xfId="241" xr:uid="{00000000-0005-0000-0000-0000F1000000}"/>
    <cellStyle name="Normální 10 2 2 2 3" xfId="242" xr:uid="{00000000-0005-0000-0000-0000F2000000}"/>
    <cellStyle name="Normální 10 2 2 3" xfId="243" xr:uid="{00000000-0005-0000-0000-0000F3000000}"/>
    <cellStyle name="Normální 10 2 3" xfId="244" xr:uid="{00000000-0005-0000-0000-0000F4000000}"/>
    <cellStyle name="Normální 10 2 3 2" xfId="245" xr:uid="{00000000-0005-0000-0000-0000F5000000}"/>
    <cellStyle name="Normální 10 2 3 2 2" xfId="246" xr:uid="{00000000-0005-0000-0000-0000F6000000}"/>
    <cellStyle name="Normální 10 2 3 2 2 2" xfId="247" xr:uid="{00000000-0005-0000-0000-0000F7000000}"/>
    <cellStyle name="Normální 10 2 3 2 3" xfId="248" xr:uid="{00000000-0005-0000-0000-0000F8000000}"/>
    <cellStyle name="Normální 10 2 3 3" xfId="249" xr:uid="{00000000-0005-0000-0000-0000F9000000}"/>
    <cellStyle name="Normální 10 2 4" xfId="250" xr:uid="{00000000-0005-0000-0000-0000FA000000}"/>
    <cellStyle name="Normální 10 2 4 2" xfId="251" xr:uid="{00000000-0005-0000-0000-0000FB000000}"/>
    <cellStyle name="Normální 10 2 4 2 2" xfId="252" xr:uid="{00000000-0005-0000-0000-0000FC000000}"/>
    <cellStyle name="Normální 10 2 4 3" xfId="253" xr:uid="{00000000-0005-0000-0000-0000FD000000}"/>
    <cellStyle name="Normální 10 2 5" xfId="254" xr:uid="{00000000-0005-0000-0000-0000FE000000}"/>
    <cellStyle name="Normální 10 3" xfId="255" xr:uid="{00000000-0005-0000-0000-0000FF000000}"/>
    <cellStyle name="Normální 10 3 2" xfId="256" xr:uid="{00000000-0005-0000-0000-000000010000}"/>
    <cellStyle name="Normální 10 3 2 2" xfId="257" xr:uid="{00000000-0005-0000-0000-000001010000}"/>
    <cellStyle name="Normální 10 3 2 2 2" xfId="258" xr:uid="{00000000-0005-0000-0000-000002010000}"/>
    <cellStyle name="Normální 10 3 2 3" xfId="259" xr:uid="{00000000-0005-0000-0000-000003010000}"/>
    <cellStyle name="Normální 10 3 3" xfId="260" xr:uid="{00000000-0005-0000-0000-000004010000}"/>
    <cellStyle name="Normální 10 4" xfId="261" xr:uid="{00000000-0005-0000-0000-000005010000}"/>
    <cellStyle name="Normální 10 4 2" xfId="262" xr:uid="{00000000-0005-0000-0000-000006010000}"/>
    <cellStyle name="Normální 10 4 2 2" xfId="263" xr:uid="{00000000-0005-0000-0000-000007010000}"/>
    <cellStyle name="Normální 10 4 3" xfId="264" xr:uid="{00000000-0005-0000-0000-000008010000}"/>
    <cellStyle name="Normální 10 5" xfId="265" xr:uid="{00000000-0005-0000-0000-000009010000}"/>
    <cellStyle name="Normální 11" xfId="266" xr:uid="{00000000-0005-0000-0000-00000A010000}"/>
    <cellStyle name="Normální 11 2" xfId="267" xr:uid="{00000000-0005-0000-0000-00000B010000}"/>
    <cellStyle name="Normální 12" xfId="268" xr:uid="{00000000-0005-0000-0000-00000C010000}"/>
    <cellStyle name="Normální 12 2" xfId="269" xr:uid="{00000000-0005-0000-0000-00000D010000}"/>
    <cellStyle name="Normální 12 2 2" xfId="270" xr:uid="{00000000-0005-0000-0000-00000E010000}"/>
    <cellStyle name="Normální 12 2 2 2" xfId="271" xr:uid="{00000000-0005-0000-0000-00000F010000}"/>
    <cellStyle name="Normální 12 2 2 2 2" xfId="272" xr:uid="{00000000-0005-0000-0000-000010010000}"/>
    <cellStyle name="Normální 12 2 2 2 2 2" xfId="273" xr:uid="{00000000-0005-0000-0000-000011010000}"/>
    <cellStyle name="Normální 12 2 2 2 3" xfId="274" xr:uid="{00000000-0005-0000-0000-000012010000}"/>
    <cellStyle name="Normální 12 2 2 3" xfId="275" xr:uid="{00000000-0005-0000-0000-000013010000}"/>
    <cellStyle name="Normální 12 2 3" xfId="276" xr:uid="{00000000-0005-0000-0000-000014010000}"/>
    <cellStyle name="Normální 12 2 3 2" xfId="277" xr:uid="{00000000-0005-0000-0000-000015010000}"/>
    <cellStyle name="Normální 12 2 3 2 2" xfId="278" xr:uid="{00000000-0005-0000-0000-000016010000}"/>
    <cellStyle name="Normální 12 2 3 2 2 2" xfId="279" xr:uid="{00000000-0005-0000-0000-000017010000}"/>
    <cellStyle name="Normální 12 2 3 2 3" xfId="280" xr:uid="{00000000-0005-0000-0000-000018010000}"/>
    <cellStyle name="Normální 12 2 3 3" xfId="281" xr:uid="{00000000-0005-0000-0000-000019010000}"/>
    <cellStyle name="Normální 12 2 4" xfId="282" xr:uid="{00000000-0005-0000-0000-00001A010000}"/>
    <cellStyle name="Normální 12 2 4 2" xfId="283" xr:uid="{00000000-0005-0000-0000-00001B010000}"/>
    <cellStyle name="Normální 12 2 4 2 2" xfId="284" xr:uid="{00000000-0005-0000-0000-00001C010000}"/>
    <cellStyle name="Normální 12 2 4 3" xfId="285" xr:uid="{00000000-0005-0000-0000-00001D010000}"/>
    <cellStyle name="Normální 12 2 5" xfId="286" xr:uid="{00000000-0005-0000-0000-00001E010000}"/>
    <cellStyle name="Normální 12 3" xfId="287" xr:uid="{00000000-0005-0000-0000-00001F010000}"/>
    <cellStyle name="Normální 12 3 2" xfId="288" xr:uid="{00000000-0005-0000-0000-000020010000}"/>
    <cellStyle name="Normální 12 3 2 2" xfId="289" xr:uid="{00000000-0005-0000-0000-000021010000}"/>
    <cellStyle name="Normální 12 3 2 2 2" xfId="290" xr:uid="{00000000-0005-0000-0000-000022010000}"/>
    <cellStyle name="Normální 12 3 2 3" xfId="291" xr:uid="{00000000-0005-0000-0000-000023010000}"/>
    <cellStyle name="Normální 12 3 3" xfId="292" xr:uid="{00000000-0005-0000-0000-000024010000}"/>
    <cellStyle name="Normální 12 4" xfId="293" xr:uid="{00000000-0005-0000-0000-000025010000}"/>
    <cellStyle name="Normální 12 4 2" xfId="294" xr:uid="{00000000-0005-0000-0000-000026010000}"/>
    <cellStyle name="Normální 12 4 2 2" xfId="295" xr:uid="{00000000-0005-0000-0000-000027010000}"/>
    <cellStyle name="Normální 12 4 3" xfId="296" xr:uid="{00000000-0005-0000-0000-000028010000}"/>
    <cellStyle name="Normální 12 5" xfId="297" xr:uid="{00000000-0005-0000-0000-000029010000}"/>
    <cellStyle name="Normální 13" xfId="298" xr:uid="{00000000-0005-0000-0000-00002A010000}"/>
    <cellStyle name="Normální 13 2" xfId="299" xr:uid="{00000000-0005-0000-0000-00002B010000}"/>
    <cellStyle name="Normální 13 2 2" xfId="300" xr:uid="{00000000-0005-0000-0000-00002C010000}"/>
    <cellStyle name="Normální 13 2 2 2" xfId="301" xr:uid="{00000000-0005-0000-0000-00002D010000}"/>
    <cellStyle name="Normální 13 2 2 2 2" xfId="302" xr:uid="{00000000-0005-0000-0000-00002E010000}"/>
    <cellStyle name="Normální 13 2 2 3" xfId="303" xr:uid="{00000000-0005-0000-0000-00002F010000}"/>
    <cellStyle name="Normální 13 2 3" xfId="304" xr:uid="{00000000-0005-0000-0000-000030010000}"/>
    <cellStyle name="Normální 13 3" xfId="305" xr:uid="{00000000-0005-0000-0000-000031010000}"/>
    <cellStyle name="Normální 13 3 2" xfId="306" xr:uid="{00000000-0005-0000-0000-000032010000}"/>
    <cellStyle name="Normální 13 3 2 2" xfId="307" xr:uid="{00000000-0005-0000-0000-000033010000}"/>
    <cellStyle name="Normální 13 3 3" xfId="308" xr:uid="{00000000-0005-0000-0000-000034010000}"/>
    <cellStyle name="Normální 13 4" xfId="309" xr:uid="{00000000-0005-0000-0000-000035010000}"/>
    <cellStyle name="Normální 14" xfId="310" xr:uid="{00000000-0005-0000-0000-000036010000}"/>
    <cellStyle name="Normální 14 2" xfId="311" xr:uid="{00000000-0005-0000-0000-000037010000}"/>
    <cellStyle name="Normální 14 2 2" xfId="312" xr:uid="{00000000-0005-0000-0000-000038010000}"/>
    <cellStyle name="Normální 14 2 2 2" xfId="313" xr:uid="{00000000-0005-0000-0000-000039010000}"/>
    <cellStyle name="Normální 14 2 2 2 2" xfId="314" xr:uid="{00000000-0005-0000-0000-00003A010000}"/>
    <cellStyle name="Normální 14 2 2 3" xfId="315" xr:uid="{00000000-0005-0000-0000-00003B010000}"/>
    <cellStyle name="Normální 14 2 3" xfId="316" xr:uid="{00000000-0005-0000-0000-00003C010000}"/>
    <cellStyle name="Normální 14 3" xfId="317" xr:uid="{00000000-0005-0000-0000-00003D010000}"/>
    <cellStyle name="Normální 14 3 2" xfId="318" xr:uid="{00000000-0005-0000-0000-00003E010000}"/>
    <cellStyle name="Normální 14 3 2 2" xfId="319" xr:uid="{00000000-0005-0000-0000-00003F010000}"/>
    <cellStyle name="Normální 14 3 2 2 2" xfId="320" xr:uid="{00000000-0005-0000-0000-000040010000}"/>
    <cellStyle name="Normální 14 3 2 3" xfId="321" xr:uid="{00000000-0005-0000-0000-000041010000}"/>
    <cellStyle name="Normální 14 3 3" xfId="322" xr:uid="{00000000-0005-0000-0000-000042010000}"/>
    <cellStyle name="Normální 14 4" xfId="323" xr:uid="{00000000-0005-0000-0000-000043010000}"/>
    <cellStyle name="Normální 14 4 2" xfId="324" xr:uid="{00000000-0005-0000-0000-000044010000}"/>
    <cellStyle name="Normální 14 4 2 2" xfId="325" xr:uid="{00000000-0005-0000-0000-000045010000}"/>
    <cellStyle name="Normální 14 4 3" xfId="326" xr:uid="{00000000-0005-0000-0000-000046010000}"/>
    <cellStyle name="Normální 14 5" xfId="327" xr:uid="{00000000-0005-0000-0000-000047010000}"/>
    <cellStyle name="Normální 15" xfId="328" xr:uid="{00000000-0005-0000-0000-000048010000}"/>
    <cellStyle name="Normální 15 2" xfId="329" xr:uid="{00000000-0005-0000-0000-000049010000}"/>
    <cellStyle name="Normální 15 2 2" xfId="330" xr:uid="{00000000-0005-0000-0000-00004A010000}"/>
    <cellStyle name="Normální 15 2 2 2" xfId="331" xr:uid="{00000000-0005-0000-0000-00004B010000}"/>
    <cellStyle name="Normální 15 2 3" xfId="332" xr:uid="{00000000-0005-0000-0000-00004C010000}"/>
    <cellStyle name="Normální 15 3" xfId="333" xr:uid="{00000000-0005-0000-0000-00004D010000}"/>
    <cellStyle name="Normální 16" xfId="334" xr:uid="{00000000-0005-0000-0000-00004E010000}"/>
    <cellStyle name="Normální 16 2" xfId="335" xr:uid="{00000000-0005-0000-0000-00004F010000}"/>
    <cellStyle name="Normální 16 2 2" xfId="2075" xr:uid="{00000000-0005-0000-0000-000050010000}"/>
    <cellStyle name="Normální 16 3" xfId="336" xr:uid="{00000000-0005-0000-0000-000051010000}"/>
    <cellStyle name="Normální 16 4" xfId="337" xr:uid="{00000000-0005-0000-0000-000052010000}"/>
    <cellStyle name="Normální 16 5" xfId="2074" xr:uid="{00000000-0005-0000-0000-000053010000}"/>
    <cellStyle name="Normální 17" xfId="338" xr:uid="{00000000-0005-0000-0000-000054010000}"/>
    <cellStyle name="Normální 17 2" xfId="339" xr:uid="{00000000-0005-0000-0000-000055010000}"/>
    <cellStyle name="Normální 17 2 2" xfId="340" xr:uid="{00000000-0005-0000-0000-000056010000}"/>
    <cellStyle name="Normální 17 2 2 2" xfId="341" xr:uid="{00000000-0005-0000-0000-000057010000}"/>
    <cellStyle name="Normální 17 2 3" xfId="342" xr:uid="{00000000-0005-0000-0000-000058010000}"/>
    <cellStyle name="Normální 17 3" xfId="343" xr:uid="{00000000-0005-0000-0000-000059010000}"/>
    <cellStyle name="Normální 18" xfId="344" xr:uid="{00000000-0005-0000-0000-00005A010000}"/>
    <cellStyle name="Normální 18 2" xfId="345" xr:uid="{00000000-0005-0000-0000-00005B010000}"/>
    <cellStyle name="Normální 18 2 2" xfId="346" xr:uid="{00000000-0005-0000-0000-00005C010000}"/>
    <cellStyle name="Normální 18 3" xfId="347" xr:uid="{00000000-0005-0000-0000-00005D010000}"/>
    <cellStyle name="Normální 18 3 2" xfId="348" xr:uid="{00000000-0005-0000-0000-00005E010000}"/>
    <cellStyle name="Normální 18 3 2 2" xfId="349" xr:uid="{00000000-0005-0000-0000-00005F010000}"/>
    <cellStyle name="Normální 18 3 3" xfId="350" xr:uid="{00000000-0005-0000-0000-000060010000}"/>
    <cellStyle name="Normální 19" xfId="351" xr:uid="{00000000-0005-0000-0000-000061010000}"/>
    <cellStyle name="Normální 19 2" xfId="352" xr:uid="{00000000-0005-0000-0000-000062010000}"/>
    <cellStyle name="Normální 19 2 2" xfId="353" xr:uid="{00000000-0005-0000-0000-000063010000}"/>
    <cellStyle name="Normální 19 2 2 2" xfId="354" xr:uid="{00000000-0005-0000-0000-000064010000}"/>
    <cellStyle name="Normální 19 2 3" xfId="355" xr:uid="{00000000-0005-0000-0000-000065010000}"/>
    <cellStyle name="Normální 19 3" xfId="356" xr:uid="{00000000-0005-0000-0000-000066010000}"/>
    <cellStyle name="normální 2" xfId="357" xr:uid="{00000000-0005-0000-0000-000067010000}"/>
    <cellStyle name="Normální 2 10" xfId="358" xr:uid="{00000000-0005-0000-0000-000068010000}"/>
    <cellStyle name="Normální 2 10 2" xfId="359" xr:uid="{00000000-0005-0000-0000-000069010000}"/>
    <cellStyle name="Normální 2 10 2 2" xfId="360" xr:uid="{00000000-0005-0000-0000-00006A010000}"/>
    <cellStyle name="Normální 2 10 2 2 2" xfId="361" xr:uid="{00000000-0005-0000-0000-00006B010000}"/>
    <cellStyle name="Normální 2 10 2 3" xfId="362" xr:uid="{00000000-0005-0000-0000-00006C010000}"/>
    <cellStyle name="normální 2 11" xfId="363" xr:uid="{00000000-0005-0000-0000-00006D010000}"/>
    <cellStyle name="normální 2 11 2" xfId="364" xr:uid="{00000000-0005-0000-0000-00006E010000}"/>
    <cellStyle name="normální 2 11 2 2" xfId="365" xr:uid="{00000000-0005-0000-0000-00006F010000}"/>
    <cellStyle name="normální 2 11 2 2 2" xfId="366" xr:uid="{00000000-0005-0000-0000-000070010000}"/>
    <cellStyle name="normální 2 11 2 3" xfId="367" xr:uid="{00000000-0005-0000-0000-000071010000}"/>
    <cellStyle name="normální 2 12" xfId="368" xr:uid="{00000000-0005-0000-0000-000072010000}"/>
    <cellStyle name="normální 2 12 2" xfId="369" xr:uid="{00000000-0005-0000-0000-000073010000}"/>
    <cellStyle name="normální 2 12 2 2" xfId="370" xr:uid="{00000000-0005-0000-0000-000074010000}"/>
    <cellStyle name="normální 2 12 3" xfId="371" xr:uid="{00000000-0005-0000-0000-000075010000}"/>
    <cellStyle name="normální 2 13" xfId="372" xr:uid="{00000000-0005-0000-0000-000076010000}"/>
    <cellStyle name="normální 2 13 2" xfId="373" xr:uid="{00000000-0005-0000-0000-000077010000}"/>
    <cellStyle name="normální 2 13 2 2" xfId="374" xr:uid="{00000000-0005-0000-0000-000078010000}"/>
    <cellStyle name="normální 2 13 3" xfId="375" xr:uid="{00000000-0005-0000-0000-000079010000}"/>
    <cellStyle name="Normální 2 14" xfId="376" xr:uid="{00000000-0005-0000-0000-00007A010000}"/>
    <cellStyle name="Normální 2 15" xfId="377" xr:uid="{00000000-0005-0000-0000-00007B010000}"/>
    <cellStyle name="Normální 2 2" xfId="378" xr:uid="{00000000-0005-0000-0000-00007C010000}"/>
    <cellStyle name="Normální 2 2 2" xfId="379" xr:uid="{00000000-0005-0000-0000-00007D010000}"/>
    <cellStyle name="Normální 2 2 2 2" xfId="380" xr:uid="{00000000-0005-0000-0000-00007E010000}"/>
    <cellStyle name="Normální 2 2 2 2 2" xfId="381" xr:uid="{00000000-0005-0000-0000-00007F010000}"/>
    <cellStyle name="Normální 2 2 2 2 2 2" xfId="382" xr:uid="{00000000-0005-0000-0000-000080010000}"/>
    <cellStyle name="Normální 2 2 2 2 2 2 2" xfId="383" xr:uid="{00000000-0005-0000-0000-000081010000}"/>
    <cellStyle name="Normální 2 2 2 2 2 2 2 2" xfId="384" xr:uid="{00000000-0005-0000-0000-000082010000}"/>
    <cellStyle name="Normální 2 2 2 2 2 2 2 2 2" xfId="385" xr:uid="{00000000-0005-0000-0000-000083010000}"/>
    <cellStyle name="Normální 2 2 2 2 2 2 2 3" xfId="386" xr:uid="{00000000-0005-0000-0000-000084010000}"/>
    <cellStyle name="Normální 2 2 2 2 2 3" xfId="387" xr:uid="{00000000-0005-0000-0000-000085010000}"/>
    <cellStyle name="Normální 2 2 2 2 2 3 2" xfId="388" xr:uid="{00000000-0005-0000-0000-000086010000}"/>
    <cellStyle name="Normální 2 2 2 2 2 3 2 2" xfId="389" xr:uid="{00000000-0005-0000-0000-000087010000}"/>
    <cellStyle name="Normální 2 2 2 2 2 3 3" xfId="390" xr:uid="{00000000-0005-0000-0000-000088010000}"/>
    <cellStyle name="Normální 2 2 2 2 3" xfId="391" xr:uid="{00000000-0005-0000-0000-000089010000}"/>
    <cellStyle name="Normální 2 2 2 2 3 2" xfId="392" xr:uid="{00000000-0005-0000-0000-00008A010000}"/>
    <cellStyle name="Normální 2 2 2 2 3 2 2" xfId="393" xr:uid="{00000000-0005-0000-0000-00008B010000}"/>
    <cellStyle name="Normální 2 2 2 2 3 3" xfId="394" xr:uid="{00000000-0005-0000-0000-00008C010000}"/>
    <cellStyle name="Normální 2 2 2 3" xfId="395" xr:uid="{00000000-0005-0000-0000-00008D010000}"/>
    <cellStyle name="Normální 2 2 2 3 2" xfId="396" xr:uid="{00000000-0005-0000-0000-00008E010000}"/>
    <cellStyle name="Normální 2 2 2 3 2 2" xfId="397" xr:uid="{00000000-0005-0000-0000-00008F010000}"/>
    <cellStyle name="Normální 2 2 2 3 2 2 2" xfId="398" xr:uid="{00000000-0005-0000-0000-000090010000}"/>
    <cellStyle name="Normální 2 2 2 3 2 2 2 2" xfId="399" xr:uid="{00000000-0005-0000-0000-000091010000}"/>
    <cellStyle name="Normální 2 2 2 3 2 2 3" xfId="400" xr:uid="{00000000-0005-0000-0000-000092010000}"/>
    <cellStyle name="Normální 2 2 2 3 3" xfId="401" xr:uid="{00000000-0005-0000-0000-000093010000}"/>
    <cellStyle name="Normální 2 2 2 3 3 2" xfId="402" xr:uid="{00000000-0005-0000-0000-000094010000}"/>
    <cellStyle name="Normální 2 2 2 3 3 2 2" xfId="403" xr:uid="{00000000-0005-0000-0000-000095010000}"/>
    <cellStyle name="Normální 2 2 2 3 3 2 2 2" xfId="404" xr:uid="{00000000-0005-0000-0000-000096010000}"/>
    <cellStyle name="Normální 2 2 2 3 3 2 2 2 2" xfId="405" xr:uid="{00000000-0005-0000-0000-000097010000}"/>
    <cellStyle name="Normální 2 2 2 3 3 2 2 3" xfId="406" xr:uid="{00000000-0005-0000-0000-000098010000}"/>
    <cellStyle name="Normální 2 2 2 3 3 3" xfId="407" xr:uid="{00000000-0005-0000-0000-000099010000}"/>
    <cellStyle name="Normální 2 2 2 3 3 3 2" xfId="408" xr:uid="{00000000-0005-0000-0000-00009A010000}"/>
    <cellStyle name="Normální 2 2 2 3 3 3 2 2" xfId="409" xr:uid="{00000000-0005-0000-0000-00009B010000}"/>
    <cellStyle name="Normální 2 2 2 3 3 3 3" xfId="410" xr:uid="{00000000-0005-0000-0000-00009C010000}"/>
    <cellStyle name="Normální 2 2 2 3 4" xfId="411" xr:uid="{00000000-0005-0000-0000-00009D010000}"/>
    <cellStyle name="Normální 2 2 2 3 4 2" xfId="412" xr:uid="{00000000-0005-0000-0000-00009E010000}"/>
    <cellStyle name="Normální 2 2 2 3 4 2 2" xfId="413" xr:uid="{00000000-0005-0000-0000-00009F010000}"/>
    <cellStyle name="Normální 2 2 2 3 4 3" xfId="414" xr:uid="{00000000-0005-0000-0000-0000A0010000}"/>
    <cellStyle name="Normální 2 2 2 4" xfId="415" xr:uid="{00000000-0005-0000-0000-0000A1010000}"/>
    <cellStyle name="Normální 2 2 2 4 2" xfId="416" xr:uid="{00000000-0005-0000-0000-0000A2010000}"/>
    <cellStyle name="Normální 2 2 2 4 2 2" xfId="417" xr:uid="{00000000-0005-0000-0000-0000A3010000}"/>
    <cellStyle name="Normální 2 2 2 4 2 2 2" xfId="418" xr:uid="{00000000-0005-0000-0000-0000A4010000}"/>
    <cellStyle name="Normální 2 2 2 4 2 2 2 2" xfId="419" xr:uid="{00000000-0005-0000-0000-0000A5010000}"/>
    <cellStyle name="Normální 2 2 2 4 2 2 3" xfId="420" xr:uid="{00000000-0005-0000-0000-0000A6010000}"/>
    <cellStyle name="Normální 2 2 2 4 3" xfId="421" xr:uid="{00000000-0005-0000-0000-0000A7010000}"/>
    <cellStyle name="Normální 2 2 2 4 3 2" xfId="422" xr:uid="{00000000-0005-0000-0000-0000A8010000}"/>
    <cellStyle name="Normální 2 2 2 4 3 2 2" xfId="423" xr:uid="{00000000-0005-0000-0000-0000A9010000}"/>
    <cellStyle name="Normální 2 2 2 4 3 3" xfId="424" xr:uid="{00000000-0005-0000-0000-0000AA010000}"/>
    <cellStyle name="Normální 2 2 2 5" xfId="425" xr:uid="{00000000-0005-0000-0000-0000AB010000}"/>
    <cellStyle name="Normální 2 2 2 5 2" xfId="426" xr:uid="{00000000-0005-0000-0000-0000AC010000}"/>
    <cellStyle name="Normální 2 2 2 5 2 2" xfId="427" xr:uid="{00000000-0005-0000-0000-0000AD010000}"/>
    <cellStyle name="Normální 2 2 2 5 3" xfId="428" xr:uid="{00000000-0005-0000-0000-0000AE010000}"/>
    <cellStyle name="Normální 2 2 2 6" xfId="429" xr:uid="{00000000-0005-0000-0000-0000AF010000}"/>
    <cellStyle name="Normální 2 2 3" xfId="430" xr:uid="{00000000-0005-0000-0000-0000B0010000}"/>
    <cellStyle name="Normální 2 2 3 2" xfId="431" xr:uid="{00000000-0005-0000-0000-0000B1010000}"/>
    <cellStyle name="Normální 2 2 3 2 2" xfId="432" xr:uid="{00000000-0005-0000-0000-0000B2010000}"/>
    <cellStyle name="Normální 2 2 3 2 2 2" xfId="433" xr:uid="{00000000-0005-0000-0000-0000B3010000}"/>
    <cellStyle name="Normální 2 2 3 2 2 2 2" xfId="434" xr:uid="{00000000-0005-0000-0000-0000B4010000}"/>
    <cellStyle name="Normální 2 2 3 2 2 3" xfId="435" xr:uid="{00000000-0005-0000-0000-0000B5010000}"/>
    <cellStyle name="Normální 2 2 3 3" xfId="436" xr:uid="{00000000-0005-0000-0000-0000B6010000}"/>
    <cellStyle name="Normální 2 2 3 3 2" xfId="437" xr:uid="{00000000-0005-0000-0000-0000B7010000}"/>
    <cellStyle name="Normální 2 2 3 3 2 2" xfId="438" xr:uid="{00000000-0005-0000-0000-0000B8010000}"/>
    <cellStyle name="Normální 2 2 3 3 2 2 2" xfId="439" xr:uid="{00000000-0005-0000-0000-0000B9010000}"/>
    <cellStyle name="Normální 2 2 3 3 2 2 2 2" xfId="440" xr:uid="{00000000-0005-0000-0000-0000BA010000}"/>
    <cellStyle name="Normální 2 2 3 3 2 2 3" xfId="441" xr:uid="{00000000-0005-0000-0000-0000BB010000}"/>
    <cellStyle name="Normální 2 2 3 3 3" xfId="442" xr:uid="{00000000-0005-0000-0000-0000BC010000}"/>
    <cellStyle name="Normální 2 2 3 3 3 2" xfId="443" xr:uid="{00000000-0005-0000-0000-0000BD010000}"/>
    <cellStyle name="Normální 2 2 3 3 3 2 2" xfId="444" xr:uid="{00000000-0005-0000-0000-0000BE010000}"/>
    <cellStyle name="Normální 2 2 3 3 3 3" xfId="445" xr:uid="{00000000-0005-0000-0000-0000BF010000}"/>
    <cellStyle name="Normální 2 2 3 4" xfId="446" xr:uid="{00000000-0005-0000-0000-0000C0010000}"/>
    <cellStyle name="Normální 2 2 3 4 2" xfId="447" xr:uid="{00000000-0005-0000-0000-0000C1010000}"/>
    <cellStyle name="Normální 2 2 3 4 2 2" xfId="448" xr:uid="{00000000-0005-0000-0000-0000C2010000}"/>
    <cellStyle name="Normální 2 2 3 4 3" xfId="449" xr:uid="{00000000-0005-0000-0000-0000C3010000}"/>
    <cellStyle name="Normální 2 2 4" xfId="450" xr:uid="{00000000-0005-0000-0000-0000C4010000}"/>
    <cellStyle name="Normální 2 2 4 2" xfId="451" xr:uid="{00000000-0005-0000-0000-0000C5010000}"/>
    <cellStyle name="Normální 2 2 4 2 2" xfId="452" xr:uid="{00000000-0005-0000-0000-0000C6010000}"/>
    <cellStyle name="Normální 2 2 4 2 2 2" xfId="453" xr:uid="{00000000-0005-0000-0000-0000C7010000}"/>
    <cellStyle name="Normální 2 2 4 2 2 2 2" xfId="454" xr:uid="{00000000-0005-0000-0000-0000C8010000}"/>
    <cellStyle name="Normální 2 2 4 2 2 3" xfId="455" xr:uid="{00000000-0005-0000-0000-0000C9010000}"/>
    <cellStyle name="Normální 2 2 4 3" xfId="456" xr:uid="{00000000-0005-0000-0000-0000CA010000}"/>
    <cellStyle name="Normální 2 2 4 3 2" xfId="457" xr:uid="{00000000-0005-0000-0000-0000CB010000}"/>
    <cellStyle name="Normální 2 2 4 3 2 2" xfId="458" xr:uid="{00000000-0005-0000-0000-0000CC010000}"/>
    <cellStyle name="Normální 2 2 4 3 3" xfId="459" xr:uid="{00000000-0005-0000-0000-0000CD010000}"/>
    <cellStyle name="Normální 2 2 5" xfId="460" xr:uid="{00000000-0005-0000-0000-0000CE010000}"/>
    <cellStyle name="Normální 2 2 5 2" xfId="461" xr:uid="{00000000-0005-0000-0000-0000CF010000}"/>
    <cellStyle name="Normální 2 2 5 2 2" xfId="462" xr:uid="{00000000-0005-0000-0000-0000D0010000}"/>
    <cellStyle name="Normální 2 2 5 3" xfId="463" xr:uid="{00000000-0005-0000-0000-0000D1010000}"/>
    <cellStyle name="Normální 2 3" xfId="464" xr:uid="{00000000-0005-0000-0000-0000D2010000}"/>
    <cellStyle name="Normální 2 3 2" xfId="465" xr:uid="{00000000-0005-0000-0000-0000D3010000}"/>
    <cellStyle name="Normální 2 3 2 2" xfId="466" xr:uid="{00000000-0005-0000-0000-0000D4010000}"/>
    <cellStyle name="Normální 2 3 2 2 2" xfId="467" xr:uid="{00000000-0005-0000-0000-0000D5010000}"/>
    <cellStyle name="Normální 2 3 2 2 2 2" xfId="468" xr:uid="{00000000-0005-0000-0000-0000D6010000}"/>
    <cellStyle name="Normální 2 3 2 2 2 2 2" xfId="469" xr:uid="{00000000-0005-0000-0000-0000D7010000}"/>
    <cellStyle name="Normální 2 3 2 2 2 2 2 2" xfId="470" xr:uid="{00000000-0005-0000-0000-0000D8010000}"/>
    <cellStyle name="Normální 2 3 2 2 2 2 3" xfId="471" xr:uid="{00000000-0005-0000-0000-0000D9010000}"/>
    <cellStyle name="Normální 2 3 2 2 3" xfId="472" xr:uid="{00000000-0005-0000-0000-0000DA010000}"/>
    <cellStyle name="Normální 2 3 2 2 3 2" xfId="473" xr:uid="{00000000-0005-0000-0000-0000DB010000}"/>
    <cellStyle name="Normální 2 3 2 2 3 2 2" xfId="474" xr:uid="{00000000-0005-0000-0000-0000DC010000}"/>
    <cellStyle name="Normální 2 3 2 2 3 3" xfId="475" xr:uid="{00000000-0005-0000-0000-0000DD010000}"/>
    <cellStyle name="Normální 2 3 2 3" xfId="476" xr:uid="{00000000-0005-0000-0000-0000DE010000}"/>
    <cellStyle name="Normální 2 3 2 3 2" xfId="477" xr:uid="{00000000-0005-0000-0000-0000DF010000}"/>
    <cellStyle name="Normální 2 3 2 3 2 2" xfId="478" xr:uid="{00000000-0005-0000-0000-0000E0010000}"/>
    <cellStyle name="Normální 2 3 2 3 3" xfId="479" xr:uid="{00000000-0005-0000-0000-0000E1010000}"/>
    <cellStyle name="Normální 2 3 3" xfId="480" xr:uid="{00000000-0005-0000-0000-0000E2010000}"/>
    <cellStyle name="Normální 2 3 3 2" xfId="481" xr:uid="{00000000-0005-0000-0000-0000E3010000}"/>
    <cellStyle name="Normální 2 3 3 2 2" xfId="482" xr:uid="{00000000-0005-0000-0000-0000E4010000}"/>
    <cellStyle name="Normální 2 3 3 2 2 2" xfId="483" xr:uid="{00000000-0005-0000-0000-0000E5010000}"/>
    <cellStyle name="Normální 2 3 3 2 2 2 2" xfId="484" xr:uid="{00000000-0005-0000-0000-0000E6010000}"/>
    <cellStyle name="Normální 2 3 3 2 2 3" xfId="485" xr:uid="{00000000-0005-0000-0000-0000E7010000}"/>
    <cellStyle name="Normální 2 3 3 3" xfId="486" xr:uid="{00000000-0005-0000-0000-0000E8010000}"/>
    <cellStyle name="Normální 2 3 3 3 2" xfId="487" xr:uid="{00000000-0005-0000-0000-0000E9010000}"/>
    <cellStyle name="Normální 2 3 3 3 2 2" xfId="488" xr:uid="{00000000-0005-0000-0000-0000EA010000}"/>
    <cellStyle name="Normální 2 3 3 3 2 2 2" xfId="489" xr:uid="{00000000-0005-0000-0000-0000EB010000}"/>
    <cellStyle name="Normální 2 3 3 3 2 2 2 2" xfId="490" xr:uid="{00000000-0005-0000-0000-0000EC010000}"/>
    <cellStyle name="Normální 2 3 3 3 2 2 3" xfId="491" xr:uid="{00000000-0005-0000-0000-0000ED010000}"/>
    <cellStyle name="Normální 2 3 3 3 3" xfId="492" xr:uid="{00000000-0005-0000-0000-0000EE010000}"/>
    <cellStyle name="Normální 2 3 3 3 3 2" xfId="493" xr:uid="{00000000-0005-0000-0000-0000EF010000}"/>
    <cellStyle name="Normální 2 3 3 3 3 2 2" xfId="494" xr:uid="{00000000-0005-0000-0000-0000F0010000}"/>
    <cellStyle name="Normální 2 3 3 3 3 3" xfId="495" xr:uid="{00000000-0005-0000-0000-0000F1010000}"/>
    <cellStyle name="Normální 2 3 3 4" xfId="496" xr:uid="{00000000-0005-0000-0000-0000F2010000}"/>
    <cellStyle name="Normální 2 3 3 4 2" xfId="497" xr:uid="{00000000-0005-0000-0000-0000F3010000}"/>
    <cellStyle name="Normální 2 3 3 4 2 2" xfId="498" xr:uid="{00000000-0005-0000-0000-0000F4010000}"/>
    <cellStyle name="Normální 2 3 3 4 3" xfId="499" xr:uid="{00000000-0005-0000-0000-0000F5010000}"/>
    <cellStyle name="Normální 2 3 4" xfId="500" xr:uid="{00000000-0005-0000-0000-0000F6010000}"/>
    <cellStyle name="Normální 2 3 4 2" xfId="501" xr:uid="{00000000-0005-0000-0000-0000F7010000}"/>
    <cellStyle name="Normální 2 3 4 2 2" xfId="502" xr:uid="{00000000-0005-0000-0000-0000F8010000}"/>
    <cellStyle name="Normální 2 3 4 2 2 2" xfId="503" xr:uid="{00000000-0005-0000-0000-0000F9010000}"/>
    <cellStyle name="Normální 2 3 4 2 2 2 2" xfId="504" xr:uid="{00000000-0005-0000-0000-0000FA010000}"/>
    <cellStyle name="Normální 2 3 4 2 2 3" xfId="505" xr:uid="{00000000-0005-0000-0000-0000FB010000}"/>
    <cellStyle name="Normální 2 3 4 3" xfId="506" xr:uid="{00000000-0005-0000-0000-0000FC010000}"/>
    <cellStyle name="Normální 2 3 4 3 2" xfId="507" xr:uid="{00000000-0005-0000-0000-0000FD010000}"/>
    <cellStyle name="Normální 2 3 4 3 2 2" xfId="508" xr:uid="{00000000-0005-0000-0000-0000FE010000}"/>
    <cellStyle name="Normální 2 3 4 3 3" xfId="509" xr:uid="{00000000-0005-0000-0000-0000FF010000}"/>
    <cellStyle name="Normální 2 3 5" xfId="510" xr:uid="{00000000-0005-0000-0000-000000020000}"/>
    <cellStyle name="Normální 2 3 5 2" xfId="511" xr:uid="{00000000-0005-0000-0000-000001020000}"/>
    <cellStyle name="Normální 2 3 5 2 2" xfId="512" xr:uid="{00000000-0005-0000-0000-000002020000}"/>
    <cellStyle name="Normální 2 3 5 3" xfId="513" xr:uid="{00000000-0005-0000-0000-000003020000}"/>
    <cellStyle name="Normální 2 3 6" xfId="514" xr:uid="{00000000-0005-0000-0000-000004020000}"/>
    <cellStyle name="normální 2 4" xfId="515" xr:uid="{00000000-0005-0000-0000-000005020000}"/>
    <cellStyle name="normální 2 4 2" xfId="516" xr:uid="{00000000-0005-0000-0000-000006020000}"/>
    <cellStyle name="normální 2 4 2 2" xfId="517" xr:uid="{00000000-0005-0000-0000-000007020000}"/>
    <cellStyle name="normální 2 4 2 2 2" xfId="518" xr:uid="{00000000-0005-0000-0000-000008020000}"/>
    <cellStyle name="normální 2 4 2 2 2 2" xfId="519" xr:uid="{00000000-0005-0000-0000-000009020000}"/>
    <cellStyle name="normální 2 4 2 2 2 2 2" xfId="520" xr:uid="{00000000-0005-0000-0000-00000A020000}"/>
    <cellStyle name="normální 2 4 2 2 2 2 2 2" xfId="521" xr:uid="{00000000-0005-0000-0000-00000B020000}"/>
    <cellStyle name="normální 2 4 2 2 2 2 3" xfId="522" xr:uid="{00000000-0005-0000-0000-00000C020000}"/>
    <cellStyle name="normální 2 4 2 2 3" xfId="523" xr:uid="{00000000-0005-0000-0000-00000D020000}"/>
    <cellStyle name="normální 2 4 2 2 3 2" xfId="524" xr:uid="{00000000-0005-0000-0000-00000E020000}"/>
    <cellStyle name="normální 2 4 2 2 3 2 2" xfId="525" xr:uid="{00000000-0005-0000-0000-00000F020000}"/>
    <cellStyle name="normální 2 4 2 2 3 3" xfId="526" xr:uid="{00000000-0005-0000-0000-000010020000}"/>
    <cellStyle name="normální 2 4 2 3" xfId="527" xr:uid="{00000000-0005-0000-0000-000011020000}"/>
    <cellStyle name="normální 2 4 2 3 2" xfId="528" xr:uid="{00000000-0005-0000-0000-000012020000}"/>
    <cellStyle name="normální 2 4 2 3 2 2" xfId="529" xr:uid="{00000000-0005-0000-0000-000013020000}"/>
    <cellStyle name="normální 2 4 2 3 3" xfId="530" xr:uid="{00000000-0005-0000-0000-000014020000}"/>
    <cellStyle name="normální 2 4 3" xfId="531" xr:uid="{00000000-0005-0000-0000-000015020000}"/>
    <cellStyle name="normální 2 4 3 2" xfId="532" xr:uid="{00000000-0005-0000-0000-000016020000}"/>
    <cellStyle name="normální 2 4 3 2 2" xfId="533" xr:uid="{00000000-0005-0000-0000-000017020000}"/>
    <cellStyle name="normální 2 4 3 2 2 2" xfId="534" xr:uid="{00000000-0005-0000-0000-000018020000}"/>
    <cellStyle name="normální 2 4 3 2 2 2 2" xfId="535" xr:uid="{00000000-0005-0000-0000-000019020000}"/>
    <cellStyle name="normální 2 4 3 2 2 3" xfId="536" xr:uid="{00000000-0005-0000-0000-00001A020000}"/>
    <cellStyle name="normální 2 4 3 3" xfId="537" xr:uid="{00000000-0005-0000-0000-00001B020000}"/>
    <cellStyle name="normální 2 4 3 3 2" xfId="538" xr:uid="{00000000-0005-0000-0000-00001C020000}"/>
    <cellStyle name="normální 2 4 3 3 2 2" xfId="539" xr:uid="{00000000-0005-0000-0000-00001D020000}"/>
    <cellStyle name="normální 2 4 3 3 2 2 2" xfId="540" xr:uid="{00000000-0005-0000-0000-00001E020000}"/>
    <cellStyle name="normální 2 4 3 3 2 2 2 2" xfId="541" xr:uid="{00000000-0005-0000-0000-00001F020000}"/>
    <cellStyle name="normální 2 4 3 3 2 2 3" xfId="542" xr:uid="{00000000-0005-0000-0000-000020020000}"/>
    <cellStyle name="normální 2 4 3 3 3" xfId="543" xr:uid="{00000000-0005-0000-0000-000021020000}"/>
    <cellStyle name="normální 2 4 3 3 3 2" xfId="544" xr:uid="{00000000-0005-0000-0000-000022020000}"/>
    <cellStyle name="normální 2 4 3 3 3 2 2" xfId="545" xr:uid="{00000000-0005-0000-0000-000023020000}"/>
    <cellStyle name="normální 2 4 3 3 3 3" xfId="546" xr:uid="{00000000-0005-0000-0000-000024020000}"/>
    <cellStyle name="normální 2 4 3 4" xfId="547" xr:uid="{00000000-0005-0000-0000-000025020000}"/>
    <cellStyle name="normální 2 4 3 4 2" xfId="548" xr:uid="{00000000-0005-0000-0000-000026020000}"/>
    <cellStyle name="normální 2 4 3 4 2 2" xfId="549" xr:uid="{00000000-0005-0000-0000-000027020000}"/>
    <cellStyle name="normální 2 4 3 4 3" xfId="550" xr:uid="{00000000-0005-0000-0000-000028020000}"/>
    <cellStyle name="normální 2 4 4" xfId="551" xr:uid="{00000000-0005-0000-0000-000029020000}"/>
    <cellStyle name="normální 2 4 4 2" xfId="552" xr:uid="{00000000-0005-0000-0000-00002A020000}"/>
    <cellStyle name="normální 2 4 4 2 2" xfId="553" xr:uid="{00000000-0005-0000-0000-00002B020000}"/>
    <cellStyle name="normální 2 4 4 2 2 2" xfId="554" xr:uid="{00000000-0005-0000-0000-00002C020000}"/>
    <cellStyle name="normální 2 4 4 2 2 2 2" xfId="555" xr:uid="{00000000-0005-0000-0000-00002D020000}"/>
    <cellStyle name="normální 2 4 4 2 2 3" xfId="556" xr:uid="{00000000-0005-0000-0000-00002E020000}"/>
    <cellStyle name="normální 2 4 4 3" xfId="557" xr:uid="{00000000-0005-0000-0000-00002F020000}"/>
    <cellStyle name="normální 2 4 4 3 2" xfId="558" xr:uid="{00000000-0005-0000-0000-000030020000}"/>
    <cellStyle name="normální 2 4 4 3 2 2" xfId="559" xr:uid="{00000000-0005-0000-0000-000031020000}"/>
    <cellStyle name="normální 2 4 4 3 3" xfId="560" xr:uid="{00000000-0005-0000-0000-000032020000}"/>
    <cellStyle name="normální 2 4 5" xfId="561" xr:uid="{00000000-0005-0000-0000-000033020000}"/>
    <cellStyle name="normální 2 4 5 2" xfId="562" xr:uid="{00000000-0005-0000-0000-000034020000}"/>
    <cellStyle name="normální 2 4 5 2 2" xfId="563" xr:uid="{00000000-0005-0000-0000-000035020000}"/>
    <cellStyle name="normální 2 4 5 3" xfId="564" xr:uid="{00000000-0005-0000-0000-000036020000}"/>
    <cellStyle name="normální 2 4 6" xfId="565" xr:uid="{00000000-0005-0000-0000-000037020000}"/>
    <cellStyle name="normální 2 5" xfId="566" xr:uid="{00000000-0005-0000-0000-000038020000}"/>
    <cellStyle name="normální 2 5 2" xfId="567" xr:uid="{00000000-0005-0000-0000-000039020000}"/>
    <cellStyle name="normální 2 5 2 2" xfId="568" xr:uid="{00000000-0005-0000-0000-00003A020000}"/>
    <cellStyle name="normální 2 5 2 2 2" xfId="569" xr:uid="{00000000-0005-0000-0000-00003B020000}"/>
    <cellStyle name="normální 2 5 2 2 2 2" xfId="570" xr:uid="{00000000-0005-0000-0000-00003C020000}"/>
    <cellStyle name="normální 2 5 2 2 2 2 2" xfId="571" xr:uid="{00000000-0005-0000-0000-00003D020000}"/>
    <cellStyle name="normální 2 5 2 2 2 2 2 2" xfId="572" xr:uid="{00000000-0005-0000-0000-00003E020000}"/>
    <cellStyle name="normální 2 5 2 2 2 2 3" xfId="573" xr:uid="{00000000-0005-0000-0000-00003F020000}"/>
    <cellStyle name="normální 2 5 2 2 3" xfId="574" xr:uid="{00000000-0005-0000-0000-000040020000}"/>
    <cellStyle name="normální 2 5 2 2 3 2" xfId="575" xr:uid="{00000000-0005-0000-0000-000041020000}"/>
    <cellStyle name="normální 2 5 2 2 3 2 2" xfId="576" xr:uid="{00000000-0005-0000-0000-000042020000}"/>
    <cellStyle name="normální 2 5 2 2 3 3" xfId="577" xr:uid="{00000000-0005-0000-0000-000043020000}"/>
    <cellStyle name="normální 2 5 2 3" xfId="578" xr:uid="{00000000-0005-0000-0000-000044020000}"/>
    <cellStyle name="normální 2 5 2 3 2" xfId="579" xr:uid="{00000000-0005-0000-0000-000045020000}"/>
    <cellStyle name="normální 2 5 2 3 2 2" xfId="580" xr:uid="{00000000-0005-0000-0000-000046020000}"/>
    <cellStyle name="normální 2 5 2 3 3" xfId="581" xr:uid="{00000000-0005-0000-0000-000047020000}"/>
    <cellStyle name="normální 2 5 3" xfId="582" xr:uid="{00000000-0005-0000-0000-000048020000}"/>
    <cellStyle name="normální 2 5 3 2" xfId="583" xr:uid="{00000000-0005-0000-0000-000049020000}"/>
    <cellStyle name="normální 2 5 3 2 2" xfId="584" xr:uid="{00000000-0005-0000-0000-00004A020000}"/>
    <cellStyle name="normální 2 5 3 2 2 2" xfId="585" xr:uid="{00000000-0005-0000-0000-00004B020000}"/>
    <cellStyle name="normální 2 5 3 2 2 2 2" xfId="586" xr:uid="{00000000-0005-0000-0000-00004C020000}"/>
    <cellStyle name="normální 2 5 3 2 2 3" xfId="587" xr:uid="{00000000-0005-0000-0000-00004D020000}"/>
    <cellStyle name="normální 2 5 3 3" xfId="588" xr:uid="{00000000-0005-0000-0000-00004E020000}"/>
    <cellStyle name="normální 2 5 3 3 2" xfId="589" xr:uid="{00000000-0005-0000-0000-00004F020000}"/>
    <cellStyle name="normální 2 5 3 3 2 2" xfId="590" xr:uid="{00000000-0005-0000-0000-000050020000}"/>
    <cellStyle name="normální 2 5 3 3 2 2 2" xfId="591" xr:uid="{00000000-0005-0000-0000-000051020000}"/>
    <cellStyle name="normální 2 5 3 3 2 2 2 2" xfId="592" xr:uid="{00000000-0005-0000-0000-000052020000}"/>
    <cellStyle name="normální 2 5 3 3 2 2 3" xfId="593" xr:uid="{00000000-0005-0000-0000-000053020000}"/>
    <cellStyle name="normální 2 5 3 3 3" xfId="594" xr:uid="{00000000-0005-0000-0000-000054020000}"/>
    <cellStyle name="normální 2 5 3 3 3 2" xfId="595" xr:uid="{00000000-0005-0000-0000-000055020000}"/>
    <cellStyle name="normální 2 5 3 3 3 2 2" xfId="596" xr:uid="{00000000-0005-0000-0000-000056020000}"/>
    <cellStyle name="normální 2 5 3 3 3 3" xfId="597" xr:uid="{00000000-0005-0000-0000-000057020000}"/>
    <cellStyle name="normální 2 5 3 4" xfId="598" xr:uid="{00000000-0005-0000-0000-000058020000}"/>
    <cellStyle name="normální 2 5 3 4 2" xfId="599" xr:uid="{00000000-0005-0000-0000-000059020000}"/>
    <cellStyle name="normální 2 5 3 4 2 2" xfId="600" xr:uid="{00000000-0005-0000-0000-00005A020000}"/>
    <cellStyle name="normální 2 5 3 4 3" xfId="601" xr:uid="{00000000-0005-0000-0000-00005B020000}"/>
    <cellStyle name="normální 2 5 4" xfId="602" xr:uid="{00000000-0005-0000-0000-00005C020000}"/>
    <cellStyle name="normální 2 5 4 2" xfId="603" xr:uid="{00000000-0005-0000-0000-00005D020000}"/>
    <cellStyle name="normální 2 5 4 2 2" xfId="604" xr:uid="{00000000-0005-0000-0000-00005E020000}"/>
    <cellStyle name="normální 2 5 4 2 2 2" xfId="605" xr:uid="{00000000-0005-0000-0000-00005F020000}"/>
    <cellStyle name="normální 2 5 4 2 2 2 2" xfId="606" xr:uid="{00000000-0005-0000-0000-000060020000}"/>
    <cellStyle name="normální 2 5 4 2 2 3" xfId="607" xr:uid="{00000000-0005-0000-0000-000061020000}"/>
    <cellStyle name="normální 2 5 4 3" xfId="608" xr:uid="{00000000-0005-0000-0000-000062020000}"/>
    <cellStyle name="normální 2 5 4 3 2" xfId="609" xr:uid="{00000000-0005-0000-0000-000063020000}"/>
    <cellStyle name="normální 2 5 4 3 2 2" xfId="610" xr:uid="{00000000-0005-0000-0000-000064020000}"/>
    <cellStyle name="normální 2 5 4 3 3" xfId="611" xr:uid="{00000000-0005-0000-0000-000065020000}"/>
    <cellStyle name="normální 2 5 5" xfId="612" xr:uid="{00000000-0005-0000-0000-000066020000}"/>
    <cellStyle name="normální 2 5 5 2" xfId="613" xr:uid="{00000000-0005-0000-0000-000067020000}"/>
    <cellStyle name="normální 2 5 5 2 2" xfId="614" xr:uid="{00000000-0005-0000-0000-000068020000}"/>
    <cellStyle name="normální 2 5 5 3" xfId="615" xr:uid="{00000000-0005-0000-0000-000069020000}"/>
    <cellStyle name="normální 2 5 6" xfId="616" xr:uid="{00000000-0005-0000-0000-00006A020000}"/>
    <cellStyle name="normální 2 6" xfId="617" xr:uid="{00000000-0005-0000-0000-00006B020000}"/>
    <cellStyle name="normální 2 6 2" xfId="618" xr:uid="{00000000-0005-0000-0000-00006C020000}"/>
    <cellStyle name="normální 2 6 2 2" xfId="619" xr:uid="{00000000-0005-0000-0000-00006D020000}"/>
    <cellStyle name="normální 2 6 2 2 2" xfId="620" xr:uid="{00000000-0005-0000-0000-00006E020000}"/>
    <cellStyle name="normální 2 6 2 2 2 2" xfId="621" xr:uid="{00000000-0005-0000-0000-00006F020000}"/>
    <cellStyle name="normální 2 6 2 2 2 2 2" xfId="622" xr:uid="{00000000-0005-0000-0000-000070020000}"/>
    <cellStyle name="normální 2 6 2 2 2 2 2 2" xfId="623" xr:uid="{00000000-0005-0000-0000-000071020000}"/>
    <cellStyle name="normální 2 6 2 2 2 2 3" xfId="624" xr:uid="{00000000-0005-0000-0000-000072020000}"/>
    <cellStyle name="normální 2 6 2 2 3" xfId="625" xr:uid="{00000000-0005-0000-0000-000073020000}"/>
    <cellStyle name="normální 2 6 2 2 3 2" xfId="626" xr:uid="{00000000-0005-0000-0000-000074020000}"/>
    <cellStyle name="normální 2 6 2 2 3 2 2" xfId="627" xr:uid="{00000000-0005-0000-0000-000075020000}"/>
    <cellStyle name="normální 2 6 2 2 3 3" xfId="628" xr:uid="{00000000-0005-0000-0000-000076020000}"/>
    <cellStyle name="normální 2 6 2 3" xfId="629" xr:uid="{00000000-0005-0000-0000-000077020000}"/>
    <cellStyle name="normální 2 6 2 3 2" xfId="630" xr:uid="{00000000-0005-0000-0000-000078020000}"/>
    <cellStyle name="normální 2 6 2 3 2 2" xfId="631" xr:uid="{00000000-0005-0000-0000-000079020000}"/>
    <cellStyle name="normální 2 6 2 3 3" xfId="632" xr:uid="{00000000-0005-0000-0000-00007A020000}"/>
    <cellStyle name="normální 2 6 3" xfId="633" xr:uid="{00000000-0005-0000-0000-00007B020000}"/>
    <cellStyle name="normální 2 6 3 2" xfId="634" xr:uid="{00000000-0005-0000-0000-00007C020000}"/>
    <cellStyle name="normální 2 6 3 2 2" xfId="635" xr:uid="{00000000-0005-0000-0000-00007D020000}"/>
    <cellStyle name="normální 2 6 3 2 2 2" xfId="636" xr:uid="{00000000-0005-0000-0000-00007E020000}"/>
    <cellStyle name="normální 2 6 3 2 2 2 2" xfId="637" xr:uid="{00000000-0005-0000-0000-00007F020000}"/>
    <cellStyle name="normální 2 6 3 2 2 3" xfId="638" xr:uid="{00000000-0005-0000-0000-000080020000}"/>
    <cellStyle name="normální 2 6 3 3" xfId="639" xr:uid="{00000000-0005-0000-0000-000081020000}"/>
    <cellStyle name="normální 2 6 3 3 2" xfId="640" xr:uid="{00000000-0005-0000-0000-000082020000}"/>
    <cellStyle name="normální 2 6 3 3 2 2" xfId="641" xr:uid="{00000000-0005-0000-0000-000083020000}"/>
    <cellStyle name="normální 2 6 3 3 2 2 2" xfId="642" xr:uid="{00000000-0005-0000-0000-000084020000}"/>
    <cellStyle name="normální 2 6 3 3 2 2 2 2" xfId="643" xr:uid="{00000000-0005-0000-0000-000085020000}"/>
    <cellStyle name="normální 2 6 3 3 2 2 3" xfId="644" xr:uid="{00000000-0005-0000-0000-000086020000}"/>
    <cellStyle name="normální 2 6 3 3 3" xfId="645" xr:uid="{00000000-0005-0000-0000-000087020000}"/>
    <cellStyle name="normální 2 6 3 3 3 2" xfId="646" xr:uid="{00000000-0005-0000-0000-000088020000}"/>
    <cellStyle name="normální 2 6 3 3 3 2 2" xfId="647" xr:uid="{00000000-0005-0000-0000-000089020000}"/>
    <cellStyle name="normální 2 6 3 3 3 3" xfId="648" xr:uid="{00000000-0005-0000-0000-00008A020000}"/>
    <cellStyle name="normální 2 6 3 4" xfId="649" xr:uid="{00000000-0005-0000-0000-00008B020000}"/>
    <cellStyle name="normální 2 6 3 4 2" xfId="650" xr:uid="{00000000-0005-0000-0000-00008C020000}"/>
    <cellStyle name="normální 2 6 3 4 2 2" xfId="651" xr:uid="{00000000-0005-0000-0000-00008D020000}"/>
    <cellStyle name="normální 2 6 3 4 3" xfId="652" xr:uid="{00000000-0005-0000-0000-00008E020000}"/>
    <cellStyle name="normální 2 6 4" xfId="653" xr:uid="{00000000-0005-0000-0000-00008F020000}"/>
    <cellStyle name="normální 2 6 4 2" xfId="654" xr:uid="{00000000-0005-0000-0000-000090020000}"/>
    <cellStyle name="normální 2 6 4 2 2" xfId="655" xr:uid="{00000000-0005-0000-0000-000091020000}"/>
    <cellStyle name="normální 2 6 4 2 2 2" xfId="656" xr:uid="{00000000-0005-0000-0000-000092020000}"/>
    <cellStyle name="normální 2 6 4 2 2 2 2" xfId="657" xr:uid="{00000000-0005-0000-0000-000093020000}"/>
    <cellStyle name="normální 2 6 4 2 2 3" xfId="658" xr:uid="{00000000-0005-0000-0000-000094020000}"/>
    <cellStyle name="normální 2 6 4 3" xfId="659" xr:uid="{00000000-0005-0000-0000-000095020000}"/>
    <cellStyle name="normální 2 6 4 3 2" xfId="660" xr:uid="{00000000-0005-0000-0000-000096020000}"/>
    <cellStyle name="normální 2 6 4 3 2 2" xfId="661" xr:uid="{00000000-0005-0000-0000-000097020000}"/>
    <cellStyle name="normální 2 6 4 3 3" xfId="662" xr:uid="{00000000-0005-0000-0000-000098020000}"/>
    <cellStyle name="normální 2 6 5" xfId="663" xr:uid="{00000000-0005-0000-0000-000099020000}"/>
    <cellStyle name="normální 2 6 5 2" xfId="664" xr:uid="{00000000-0005-0000-0000-00009A020000}"/>
    <cellStyle name="normální 2 6 5 2 2" xfId="665" xr:uid="{00000000-0005-0000-0000-00009B020000}"/>
    <cellStyle name="normální 2 6 5 3" xfId="666" xr:uid="{00000000-0005-0000-0000-00009C020000}"/>
    <cellStyle name="normální 2 6 6" xfId="667" xr:uid="{00000000-0005-0000-0000-00009D020000}"/>
    <cellStyle name="normální 2 7" xfId="668" xr:uid="{00000000-0005-0000-0000-00009E020000}"/>
    <cellStyle name="normální 2 7 2" xfId="669" xr:uid="{00000000-0005-0000-0000-00009F020000}"/>
    <cellStyle name="normální 2 7 2 2" xfId="670" xr:uid="{00000000-0005-0000-0000-0000A0020000}"/>
    <cellStyle name="normální 2 7 2 2 2" xfId="671" xr:uid="{00000000-0005-0000-0000-0000A1020000}"/>
    <cellStyle name="normální 2 7 2 2 2 2" xfId="672" xr:uid="{00000000-0005-0000-0000-0000A2020000}"/>
    <cellStyle name="normální 2 7 2 2 3" xfId="673" xr:uid="{00000000-0005-0000-0000-0000A3020000}"/>
    <cellStyle name="normální 2 7 3" xfId="674" xr:uid="{00000000-0005-0000-0000-0000A4020000}"/>
    <cellStyle name="normální 2 7 3 2" xfId="675" xr:uid="{00000000-0005-0000-0000-0000A5020000}"/>
    <cellStyle name="normální 2 7 3 2 2" xfId="676" xr:uid="{00000000-0005-0000-0000-0000A6020000}"/>
    <cellStyle name="normální 2 7 3 2 2 2" xfId="677" xr:uid="{00000000-0005-0000-0000-0000A7020000}"/>
    <cellStyle name="normální 2 7 3 2 2 2 2" xfId="678" xr:uid="{00000000-0005-0000-0000-0000A8020000}"/>
    <cellStyle name="normální 2 7 3 2 2 3" xfId="679" xr:uid="{00000000-0005-0000-0000-0000A9020000}"/>
    <cellStyle name="normální 2 7 3 3" xfId="680" xr:uid="{00000000-0005-0000-0000-0000AA020000}"/>
    <cellStyle name="normální 2 7 3 3 2" xfId="681" xr:uid="{00000000-0005-0000-0000-0000AB020000}"/>
    <cellStyle name="normální 2 7 3 3 2 2" xfId="682" xr:uid="{00000000-0005-0000-0000-0000AC020000}"/>
    <cellStyle name="normální 2 7 3 3 3" xfId="683" xr:uid="{00000000-0005-0000-0000-0000AD020000}"/>
    <cellStyle name="normální 2 7 4" xfId="684" xr:uid="{00000000-0005-0000-0000-0000AE020000}"/>
    <cellStyle name="normální 2 7 4 2" xfId="685" xr:uid="{00000000-0005-0000-0000-0000AF020000}"/>
    <cellStyle name="normální 2 7 4 2 2" xfId="686" xr:uid="{00000000-0005-0000-0000-0000B0020000}"/>
    <cellStyle name="normální 2 7 4 3" xfId="687" xr:uid="{00000000-0005-0000-0000-0000B1020000}"/>
    <cellStyle name="normální 2 8" xfId="688" xr:uid="{00000000-0005-0000-0000-0000B2020000}"/>
    <cellStyle name="normální 2 8 2" xfId="689" xr:uid="{00000000-0005-0000-0000-0000B3020000}"/>
    <cellStyle name="normální 2 8 2 2" xfId="690" xr:uid="{00000000-0005-0000-0000-0000B4020000}"/>
    <cellStyle name="normální 2 8 2 2 2" xfId="691" xr:uid="{00000000-0005-0000-0000-0000B5020000}"/>
    <cellStyle name="normální 2 8 2 3" xfId="692" xr:uid="{00000000-0005-0000-0000-0000B6020000}"/>
    <cellStyle name="normální 2 9" xfId="693" xr:uid="{00000000-0005-0000-0000-0000B7020000}"/>
    <cellStyle name="normální 2 9 2" xfId="694" xr:uid="{00000000-0005-0000-0000-0000B8020000}"/>
    <cellStyle name="normální 2 9 2 2" xfId="695" xr:uid="{00000000-0005-0000-0000-0000B9020000}"/>
    <cellStyle name="normální 2 9 2 2 2" xfId="696" xr:uid="{00000000-0005-0000-0000-0000BA020000}"/>
    <cellStyle name="normální 2 9 2 2 2 2" xfId="697" xr:uid="{00000000-0005-0000-0000-0000BB020000}"/>
    <cellStyle name="normální 2 9 2 2 3" xfId="698" xr:uid="{00000000-0005-0000-0000-0000BC020000}"/>
    <cellStyle name="normální 2 9 3" xfId="699" xr:uid="{00000000-0005-0000-0000-0000BD020000}"/>
    <cellStyle name="normální 2 9 3 2" xfId="700" xr:uid="{00000000-0005-0000-0000-0000BE020000}"/>
    <cellStyle name="normální 2 9 3 2 2" xfId="701" xr:uid="{00000000-0005-0000-0000-0000BF020000}"/>
    <cellStyle name="normální 2 9 3 3" xfId="702" xr:uid="{00000000-0005-0000-0000-0000C0020000}"/>
    <cellStyle name="Normální 20" xfId="703" xr:uid="{00000000-0005-0000-0000-0000C1020000}"/>
    <cellStyle name="Normální 20 2" xfId="704" xr:uid="{00000000-0005-0000-0000-0000C2020000}"/>
    <cellStyle name="Normální 20 2 2" xfId="705" xr:uid="{00000000-0005-0000-0000-0000C3020000}"/>
    <cellStyle name="Normální 20 3" xfId="706" xr:uid="{00000000-0005-0000-0000-0000C4020000}"/>
    <cellStyle name="Normální 20 4" xfId="707" xr:uid="{00000000-0005-0000-0000-0000C5020000}"/>
    <cellStyle name="Normální 3" xfId="708" xr:uid="{00000000-0005-0000-0000-0000C6020000}"/>
    <cellStyle name="Normální 3 2" xfId="709" xr:uid="{00000000-0005-0000-0000-0000C7020000}"/>
    <cellStyle name="Normální 3 2 2" xfId="710" xr:uid="{00000000-0005-0000-0000-0000C8020000}"/>
    <cellStyle name="Normální 3 2 2 2" xfId="711" xr:uid="{00000000-0005-0000-0000-0000C9020000}"/>
    <cellStyle name="Normální 3 2 2 2 2" xfId="712" xr:uid="{00000000-0005-0000-0000-0000CA020000}"/>
    <cellStyle name="Normální 3 2 2 2 2 2" xfId="713" xr:uid="{00000000-0005-0000-0000-0000CB020000}"/>
    <cellStyle name="Normální 3 2 2 2 2 2 2" xfId="714" xr:uid="{00000000-0005-0000-0000-0000CC020000}"/>
    <cellStyle name="Normální 3 2 2 2 2 2 2 2" xfId="715" xr:uid="{00000000-0005-0000-0000-0000CD020000}"/>
    <cellStyle name="Normální 3 2 2 2 2 2 2 2 2" xfId="716" xr:uid="{00000000-0005-0000-0000-0000CE020000}"/>
    <cellStyle name="Normální 3 2 2 2 2 2 2 3" xfId="717" xr:uid="{00000000-0005-0000-0000-0000CF020000}"/>
    <cellStyle name="Normální 3 2 2 2 2 3" xfId="718" xr:uid="{00000000-0005-0000-0000-0000D0020000}"/>
    <cellStyle name="Normální 3 2 2 2 2 3 2" xfId="719" xr:uid="{00000000-0005-0000-0000-0000D1020000}"/>
    <cellStyle name="Normální 3 2 2 2 2 3 2 2" xfId="720" xr:uid="{00000000-0005-0000-0000-0000D2020000}"/>
    <cellStyle name="Normální 3 2 2 2 2 3 3" xfId="721" xr:uid="{00000000-0005-0000-0000-0000D3020000}"/>
    <cellStyle name="Normální 3 2 2 2 3" xfId="722" xr:uid="{00000000-0005-0000-0000-0000D4020000}"/>
    <cellStyle name="Normální 3 2 2 2 3 2" xfId="723" xr:uid="{00000000-0005-0000-0000-0000D5020000}"/>
    <cellStyle name="Normální 3 2 2 2 3 2 2" xfId="724" xr:uid="{00000000-0005-0000-0000-0000D6020000}"/>
    <cellStyle name="Normální 3 2 2 2 3 3" xfId="725" xr:uid="{00000000-0005-0000-0000-0000D7020000}"/>
    <cellStyle name="Normální 3 2 2 3" xfId="726" xr:uid="{00000000-0005-0000-0000-0000D8020000}"/>
    <cellStyle name="Normální 3 2 2 3 2" xfId="727" xr:uid="{00000000-0005-0000-0000-0000D9020000}"/>
    <cellStyle name="Normální 3 2 2 3 2 2" xfId="728" xr:uid="{00000000-0005-0000-0000-0000DA020000}"/>
    <cellStyle name="Normální 3 2 2 3 2 2 2" xfId="729" xr:uid="{00000000-0005-0000-0000-0000DB020000}"/>
    <cellStyle name="Normální 3 2 2 3 2 2 2 2" xfId="730" xr:uid="{00000000-0005-0000-0000-0000DC020000}"/>
    <cellStyle name="Normální 3 2 2 3 2 2 3" xfId="731" xr:uid="{00000000-0005-0000-0000-0000DD020000}"/>
    <cellStyle name="Normální 3 2 2 3 3" xfId="732" xr:uid="{00000000-0005-0000-0000-0000DE020000}"/>
    <cellStyle name="Normální 3 2 2 3 3 2" xfId="733" xr:uid="{00000000-0005-0000-0000-0000DF020000}"/>
    <cellStyle name="Normální 3 2 2 3 3 2 2" xfId="734" xr:uid="{00000000-0005-0000-0000-0000E0020000}"/>
    <cellStyle name="Normální 3 2 2 3 3 2 2 2" xfId="735" xr:uid="{00000000-0005-0000-0000-0000E1020000}"/>
    <cellStyle name="Normální 3 2 2 3 3 2 2 2 2" xfId="736" xr:uid="{00000000-0005-0000-0000-0000E2020000}"/>
    <cellStyle name="Normální 3 2 2 3 3 2 2 3" xfId="737" xr:uid="{00000000-0005-0000-0000-0000E3020000}"/>
    <cellStyle name="Normální 3 2 2 3 3 3" xfId="738" xr:uid="{00000000-0005-0000-0000-0000E4020000}"/>
    <cellStyle name="Normální 3 2 2 3 3 3 2" xfId="739" xr:uid="{00000000-0005-0000-0000-0000E5020000}"/>
    <cellStyle name="Normální 3 2 2 3 3 3 2 2" xfId="740" xr:uid="{00000000-0005-0000-0000-0000E6020000}"/>
    <cellStyle name="Normální 3 2 2 3 3 3 3" xfId="741" xr:uid="{00000000-0005-0000-0000-0000E7020000}"/>
    <cellStyle name="Normální 3 2 2 3 4" xfId="742" xr:uid="{00000000-0005-0000-0000-0000E8020000}"/>
    <cellStyle name="Normální 3 2 2 3 4 2" xfId="743" xr:uid="{00000000-0005-0000-0000-0000E9020000}"/>
    <cellStyle name="Normální 3 2 2 3 4 2 2" xfId="744" xr:uid="{00000000-0005-0000-0000-0000EA020000}"/>
    <cellStyle name="Normální 3 2 2 3 4 3" xfId="745" xr:uid="{00000000-0005-0000-0000-0000EB020000}"/>
    <cellStyle name="Normální 3 2 2 4" xfId="746" xr:uid="{00000000-0005-0000-0000-0000EC020000}"/>
    <cellStyle name="Normální 3 2 2 4 2" xfId="747" xr:uid="{00000000-0005-0000-0000-0000ED020000}"/>
    <cellStyle name="Normální 3 2 2 4 2 2" xfId="748" xr:uid="{00000000-0005-0000-0000-0000EE020000}"/>
    <cellStyle name="Normální 3 2 2 4 2 2 2" xfId="749" xr:uid="{00000000-0005-0000-0000-0000EF020000}"/>
    <cellStyle name="Normální 3 2 2 4 2 2 2 2" xfId="750" xr:uid="{00000000-0005-0000-0000-0000F0020000}"/>
    <cellStyle name="Normální 3 2 2 4 2 2 3" xfId="751" xr:uid="{00000000-0005-0000-0000-0000F1020000}"/>
    <cellStyle name="Normální 3 2 2 4 3" xfId="752" xr:uid="{00000000-0005-0000-0000-0000F2020000}"/>
    <cellStyle name="Normální 3 2 2 4 3 2" xfId="753" xr:uid="{00000000-0005-0000-0000-0000F3020000}"/>
    <cellStyle name="Normální 3 2 2 4 3 2 2" xfId="754" xr:uid="{00000000-0005-0000-0000-0000F4020000}"/>
    <cellStyle name="Normální 3 2 2 4 3 3" xfId="755" xr:uid="{00000000-0005-0000-0000-0000F5020000}"/>
    <cellStyle name="Normální 3 2 2 5" xfId="756" xr:uid="{00000000-0005-0000-0000-0000F6020000}"/>
    <cellStyle name="Normální 3 2 2 5 2" xfId="757" xr:uid="{00000000-0005-0000-0000-0000F7020000}"/>
    <cellStyle name="Normální 3 2 2 5 2 2" xfId="758" xr:uid="{00000000-0005-0000-0000-0000F8020000}"/>
    <cellStyle name="Normální 3 2 2 5 3" xfId="759" xr:uid="{00000000-0005-0000-0000-0000F9020000}"/>
    <cellStyle name="Normální 3 2 2 6" xfId="760" xr:uid="{00000000-0005-0000-0000-0000FA020000}"/>
    <cellStyle name="Normální 3 2 3" xfId="761" xr:uid="{00000000-0005-0000-0000-0000FB020000}"/>
    <cellStyle name="Normální 3 2 3 2" xfId="762" xr:uid="{00000000-0005-0000-0000-0000FC020000}"/>
    <cellStyle name="Normální 3 2 3 2 2" xfId="763" xr:uid="{00000000-0005-0000-0000-0000FD020000}"/>
    <cellStyle name="Normální 3 2 3 2 2 2" xfId="764" xr:uid="{00000000-0005-0000-0000-0000FE020000}"/>
    <cellStyle name="Normální 3 2 3 2 2 2 2" xfId="765" xr:uid="{00000000-0005-0000-0000-0000FF020000}"/>
    <cellStyle name="Normální 3 2 3 2 2 3" xfId="766" xr:uid="{00000000-0005-0000-0000-000000030000}"/>
    <cellStyle name="Normální 3 2 3 3" xfId="767" xr:uid="{00000000-0005-0000-0000-000001030000}"/>
    <cellStyle name="Normální 3 2 3 3 2" xfId="768" xr:uid="{00000000-0005-0000-0000-000002030000}"/>
    <cellStyle name="Normální 3 2 3 3 2 2" xfId="769" xr:uid="{00000000-0005-0000-0000-000003030000}"/>
    <cellStyle name="Normální 3 2 3 3 2 2 2" xfId="770" xr:uid="{00000000-0005-0000-0000-000004030000}"/>
    <cellStyle name="Normální 3 2 3 3 2 2 2 2" xfId="771" xr:uid="{00000000-0005-0000-0000-000005030000}"/>
    <cellStyle name="Normální 3 2 3 3 2 2 3" xfId="772" xr:uid="{00000000-0005-0000-0000-000006030000}"/>
    <cellStyle name="Normální 3 2 3 3 3" xfId="773" xr:uid="{00000000-0005-0000-0000-000007030000}"/>
    <cellStyle name="Normální 3 2 3 3 3 2" xfId="774" xr:uid="{00000000-0005-0000-0000-000008030000}"/>
    <cellStyle name="Normální 3 2 3 3 3 2 2" xfId="775" xr:uid="{00000000-0005-0000-0000-000009030000}"/>
    <cellStyle name="Normální 3 2 3 3 3 3" xfId="776" xr:uid="{00000000-0005-0000-0000-00000A030000}"/>
    <cellStyle name="Normální 3 2 3 4" xfId="777" xr:uid="{00000000-0005-0000-0000-00000B030000}"/>
    <cellStyle name="Normální 3 2 3 4 2" xfId="778" xr:uid="{00000000-0005-0000-0000-00000C030000}"/>
    <cellStyle name="Normální 3 2 3 4 2 2" xfId="779" xr:uid="{00000000-0005-0000-0000-00000D030000}"/>
    <cellStyle name="Normální 3 2 3 4 3" xfId="780" xr:uid="{00000000-0005-0000-0000-00000E030000}"/>
    <cellStyle name="Normální 3 2 4" xfId="781" xr:uid="{00000000-0005-0000-0000-00000F030000}"/>
    <cellStyle name="Normální 3 2 4 2" xfId="782" xr:uid="{00000000-0005-0000-0000-000010030000}"/>
    <cellStyle name="Normální 3 2 4 2 2" xfId="783" xr:uid="{00000000-0005-0000-0000-000011030000}"/>
    <cellStyle name="Normální 3 2 4 2 2 2" xfId="784" xr:uid="{00000000-0005-0000-0000-000012030000}"/>
    <cellStyle name="Normální 3 2 4 2 2 2 2" xfId="785" xr:uid="{00000000-0005-0000-0000-000013030000}"/>
    <cellStyle name="Normální 3 2 4 2 2 3" xfId="786" xr:uid="{00000000-0005-0000-0000-000014030000}"/>
    <cellStyle name="Normální 3 2 4 3" xfId="787" xr:uid="{00000000-0005-0000-0000-000015030000}"/>
    <cellStyle name="Normální 3 2 4 3 2" xfId="788" xr:uid="{00000000-0005-0000-0000-000016030000}"/>
    <cellStyle name="Normální 3 2 4 3 2 2" xfId="789" xr:uid="{00000000-0005-0000-0000-000017030000}"/>
    <cellStyle name="Normální 3 2 4 3 3" xfId="790" xr:uid="{00000000-0005-0000-0000-000018030000}"/>
    <cellStyle name="Normální 3 2 5" xfId="791" xr:uid="{00000000-0005-0000-0000-000019030000}"/>
    <cellStyle name="Normální 3 2 5 2" xfId="792" xr:uid="{00000000-0005-0000-0000-00001A030000}"/>
    <cellStyle name="Normální 3 2 5 2 2" xfId="793" xr:uid="{00000000-0005-0000-0000-00001B030000}"/>
    <cellStyle name="Normální 3 2 5 3" xfId="794" xr:uid="{00000000-0005-0000-0000-00001C030000}"/>
    <cellStyle name="Normální 3 3" xfId="795" xr:uid="{00000000-0005-0000-0000-00001D030000}"/>
    <cellStyle name="Normální 3 3 2" xfId="796" xr:uid="{00000000-0005-0000-0000-00001E030000}"/>
    <cellStyle name="Normální 3 3 2 2" xfId="797" xr:uid="{00000000-0005-0000-0000-00001F030000}"/>
    <cellStyle name="Normální 3 3 2 2 2" xfId="798" xr:uid="{00000000-0005-0000-0000-000020030000}"/>
    <cellStyle name="Normální 3 3 2 2 2 2" xfId="799" xr:uid="{00000000-0005-0000-0000-000021030000}"/>
    <cellStyle name="Normální 3 3 2 2 2 2 2" xfId="800" xr:uid="{00000000-0005-0000-0000-000022030000}"/>
    <cellStyle name="Normální 3 3 2 2 2 2 2 2" xfId="801" xr:uid="{00000000-0005-0000-0000-000023030000}"/>
    <cellStyle name="Normální 3 3 2 2 2 2 3" xfId="802" xr:uid="{00000000-0005-0000-0000-000024030000}"/>
    <cellStyle name="Normální 3 3 2 2 3" xfId="803" xr:uid="{00000000-0005-0000-0000-000025030000}"/>
    <cellStyle name="Normální 3 3 2 2 3 2" xfId="804" xr:uid="{00000000-0005-0000-0000-000026030000}"/>
    <cellStyle name="Normální 3 3 2 2 3 2 2" xfId="805" xr:uid="{00000000-0005-0000-0000-000027030000}"/>
    <cellStyle name="Normální 3 3 2 2 3 3" xfId="806" xr:uid="{00000000-0005-0000-0000-000028030000}"/>
    <cellStyle name="Normální 3 3 2 3" xfId="807" xr:uid="{00000000-0005-0000-0000-000029030000}"/>
    <cellStyle name="Normální 3 3 2 3 2" xfId="808" xr:uid="{00000000-0005-0000-0000-00002A030000}"/>
    <cellStyle name="Normální 3 3 2 3 2 2" xfId="809" xr:uid="{00000000-0005-0000-0000-00002B030000}"/>
    <cellStyle name="Normální 3 3 2 3 3" xfId="810" xr:uid="{00000000-0005-0000-0000-00002C030000}"/>
    <cellStyle name="Normální 3 3 3" xfId="811" xr:uid="{00000000-0005-0000-0000-00002D030000}"/>
    <cellStyle name="Normální 3 3 3 2" xfId="812" xr:uid="{00000000-0005-0000-0000-00002E030000}"/>
    <cellStyle name="Normální 3 3 3 2 2" xfId="813" xr:uid="{00000000-0005-0000-0000-00002F030000}"/>
    <cellStyle name="Normální 3 3 3 2 2 2" xfId="814" xr:uid="{00000000-0005-0000-0000-000030030000}"/>
    <cellStyle name="Normální 3 3 3 2 2 2 2" xfId="815" xr:uid="{00000000-0005-0000-0000-000031030000}"/>
    <cellStyle name="Normální 3 3 3 2 2 3" xfId="816" xr:uid="{00000000-0005-0000-0000-000032030000}"/>
    <cellStyle name="Normální 3 3 3 3" xfId="817" xr:uid="{00000000-0005-0000-0000-000033030000}"/>
    <cellStyle name="Normální 3 3 3 3 2" xfId="818" xr:uid="{00000000-0005-0000-0000-000034030000}"/>
    <cellStyle name="Normální 3 3 3 3 2 2" xfId="819" xr:uid="{00000000-0005-0000-0000-000035030000}"/>
    <cellStyle name="Normální 3 3 3 3 2 2 2" xfId="820" xr:uid="{00000000-0005-0000-0000-000036030000}"/>
    <cellStyle name="Normální 3 3 3 3 2 2 2 2" xfId="821" xr:uid="{00000000-0005-0000-0000-000037030000}"/>
    <cellStyle name="Normální 3 3 3 3 2 2 3" xfId="822" xr:uid="{00000000-0005-0000-0000-000038030000}"/>
    <cellStyle name="Normální 3 3 3 3 3" xfId="823" xr:uid="{00000000-0005-0000-0000-000039030000}"/>
    <cellStyle name="Normální 3 3 3 3 3 2" xfId="824" xr:uid="{00000000-0005-0000-0000-00003A030000}"/>
    <cellStyle name="Normální 3 3 3 3 3 2 2" xfId="825" xr:uid="{00000000-0005-0000-0000-00003B030000}"/>
    <cellStyle name="Normální 3 3 3 3 3 3" xfId="826" xr:uid="{00000000-0005-0000-0000-00003C030000}"/>
    <cellStyle name="Normální 3 3 3 4" xfId="827" xr:uid="{00000000-0005-0000-0000-00003D030000}"/>
    <cellStyle name="Normální 3 3 3 4 2" xfId="828" xr:uid="{00000000-0005-0000-0000-00003E030000}"/>
    <cellStyle name="Normální 3 3 3 4 2 2" xfId="829" xr:uid="{00000000-0005-0000-0000-00003F030000}"/>
    <cellStyle name="Normální 3 3 3 4 3" xfId="830" xr:uid="{00000000-0005-0000-0000-000040030000}"/>
    <cellStyle name="Normální 3 3 4" xfId="831" xr:uid="{00000000-0005-0000-0000-000041030000}"/>
    <cellStyle name="Normální 3 3 4 2" xfId="832" xr:uid="{00000000-0005-0000-0000-000042030000}"/>
    <cellStyle name="Normální 3 3 4 2 2" xfId="833" xr:uid="{00000000-0005-0000-0000-000043030000}"/>
    <cellStyle name="Normální 3 3 4 2 2 2" xfId="834" xr:uid="{00000000-0005-0000-0000-000044030000}"/>
    <cellStyle name="Normální 3 3 4 2 2 2 2" xfId="835" xr:uid="{00000000-0005-0000-0000-000045030000}"/>
    <cellStyle name="Normální 3 3 4 2 2 3" xfId="836" xr:uid="{00000000-0005-0000-0000-000046030000}"/>
    <cellStyle name="Normální 3 3 4 3" xfId="837" xr:uid="{00000000-0005-0000-0000-000047030000}"/>
    <cellStyle name="Normální 3 3 4 3 2" xfId="838" xr:uid="{00000000-0005-0000-0000-000048030000}"/>
    <cellStyle name="Normální 3 3 4 3 2 2" xfId="839" xr:uid="{00000000-0005-0000-0000-000049030000}"/>
    <cellStyle name="Normální 3 3 4 3 3" xfId="840" xr:uid="{00000000-0005-0000-0000-00004A030000}"/>
    <cellStyle name="Normální 3 3 5" xfId="841" xr:uid="{00000000-0005-0000-0000-00004B030000}"/>
    <cellStyle name="Normální 3 3 5 2" xfId="842" xr:uid="{00000000-0005-0000-0000-00004C030000}"/>
    <cellStyle name="Normální 3 3 5 2 2" xfId="843" xr:uid="{00000000-0005-0000-0000-00004D030000}"/>
    <cellStyle name="Normální 3 3 5 3" xfId="844" xr:uid="{00000000-0005-0000-0000-00004E030000}"/>
    <cellStyle name="Normální 3 3 6" xfId="845" xr:uid="{00000000-0005-0000-0000-00004F030000}"/>
    <cellStyle name="Normální 3 4" xfId="846" xr:uid="{00000000-0005-0000-0000-000050030000}"/>
    <cellStyle name="Normální 3 4 2" xfId="847" xr:uid="{00000000-0005-0000-0000-000051030000}"/>
    <cellStyle name="Normální 3 4 2 2" xfId="848" xr:uid="{00000000-0005-0000-0000-000052030000}"/>
    <cellStyle name="Normální 3 4 2 2 2" xfId="849" xr:uid="{00000000-0005-0000-0000-000053030000}"/>
    <cellStyle name="Normální 3 4 2 2 2 2" xfId="850" xr:uid="{00000000-0005-0000-0000-000054030000}"/>
    <cellStyle name="Normální 3 4 2 2 3" xfId="851" xr:uid="{00000000-0005-0000-0000-000055030000}"/>
    <cellStyle name="Normální 3 4 3" xfId="852" xr:uid="{00000000-0005-0000-0000-000056030000}"/>
    <cellStyle name="Normální 3 4 3 2" xfId="853" xr:uid="{00000000-0005-0000-0000-000057030000}"/>
    <cellStyle name="Normální 3 4 3 2 2" xfId="854" xr:uid="{00000000-0005-0000-0000-000058030000}"/>
    <cellStyle name="Normální 3 4 3 2 2 2" xfId="855" xr:uid="{00000000-0005-0000-0000-000059030000}"/>
    <cellStyle name="Normální 3 4 3 2 2 2 2" xfId="856" xr:uid="{00000000-0005-0000-0000-00005A030000}"/>
    <cellStyle name="Normální 3 4 3 2 2 3" xfId="857" xr:uid="{00000000-0005-0000-0000-00005B030000}"/>
    <cellStyle name="Normální 3 4 3 3" xfId="858" xr:uid="{00000000-0005-0000-0000-00005C030000}"/>
    <cellStyle name="Normální 3 4 3 3 2" xfId="859" xr:uid="{00000000-0005-0000-0000-00005D030000}"/>
    <cellStyle name="Normální 3 4 3 3 2 2" xfId="860" xr:uid="{00000000-0005-0000-0000-00005E030000}"/>
    <cellStyle name="Normální 3 4 3 3 3" xfId="861" xr:uid="{00000000-0005-0000-0000-00005F030000}"/>
    <cellStyle name="Normální 3 4 4" xfId="862" xr:uid="{00000000-0005-0000-0000-000060030000}"/>
    <cellStyle name="Normální 3 4 4 2" xfId="863" xr:uid="{00000000-0005-0000-0000-000061030000}"/>
    <cellStyle name="Normální 3 4 4 2 2" xfId="864" xr:uid="{00000000-0005-0000-0000-000062030000}"/>
    <cellStyle name="Normální 3 4 4 3" xfId="865" xr:uid="{00000000-0005-0000-0000-000063030000}"/>
    <cellStyle name="Normální 3 5" xfId="866" xr:uid="{00000000-0005-0000-0000-000064030000}"/>
    <cellStyle name="Normální 3 5 2" xfId="867" xr:uid="{00000000-0005-0000-0000-000065030000}"/>
    <cellStyle name="Normální 3 5 2 2" xfId="868" xr:uid="{00000000-0005-0000-0000-000066030000}"/>
    <cellStyle name="Normální 3 5 2 2 2" xfId="869" xr:uid="{00000000-0005-0000-0000-000067030000}"/>
    <cellStyle name="Normální 3 5 2 2 2 2" xfId="870" xr:uid="{00000000-0005-0000-0000-000068030000}"/>
    <cellStyle name="Normální 3 5 2 2 3" xfId="871" xr:uid="{00000000-0005-0000-0000-000069030000}"/>
    <cellStyle name="Normální 3 5 3" xfId="872" xr:uid="{00000000-0005-0000-0000-00006A030000}"/>
    <cellStyle name="Normální 3 5 3 2" xfId="873" xr:uid="{00000000-0005-0000-0000-00006B030000}"/>
    <cellStyle name="Normální 3 5 3 2 2" xfId="874" xr:uid="{00000000-0005-0000-0000-00006C030000}"/>
    <cellStyle name="Normální 3 5 3 3" xfId="875" xr:uid="{00000000-0005-0000-0000-00006D030000}"/>
    <cellStyle name="Normální 3 6" xfId="876" xr:uid="{00000000-0005-0000-0000-00006E030000}"/>
    <cellStyle name="Normální 3 6 2" xfId="877" xr:uid="{00000000-0005-0000-0000-00006F030000}"/>
    <cellStyle name="Normální 3 6 2 2" xfId="878" xr:uid="{00000000-0005-0000-0000-000070030000}"/>
    <cellStyle name="Normální 3 6 3" xfId="879" xr:uid="{00000000-0005-0000-0000-000071030000}"/>
    <cellStyle name="normální 4" xfId="880" xr:uid="{00000000-0005-0000-0000-000072030000}"/>
    <cellStyle name="normální 4 10" xfId="881" xr:uid="{00000000-0005-0000-0000-000073030000}"/>
    <cellStyle name="normální 4 10 2" xfId="882" xr:uid="{00000000-0005-0000-0000-000074030000}"/>
    <cellStyle name="normální 4 10 2 2" xfId="883" xr:uid="{00000000-0005-0000-0000-000075030000}"/>
    <cellStyle name="normální 4 10 3" xfId="884" xr:uid="{00000000-0005-0000-0000-000076030000}"/>
    <cellStyle name="normální 4 11" xfId="885" xr:uid="{00000000-0005-0000-0000-000077030000}"/>
    <cellStyle name="Normální 4 2" xfId="886" xr:uid="{00000000-0005-0000-0000-000078030000}"/>
    <cellStyle name="Normální 4 2 2" xfId="887" xr:uid="{00000000-0005-0000-0000-000079030000}"/>
    <cellStyle name="Normální 4 2 2 2" xfId="888" xr:uid="{00000000-0005-0000-0000-00007A030000}"/>
    <cellStyle name="Normální 4 2 2 2 2" xfId="889" xr:uid="{00000000-0005-0000-0000-00007B030000}"/>
    <cellStyle name="Normální 4 2 2 2 2 2" xfId="890" xr:uid="{00000000-0005-0000-0000-00007C030000}"/>
    <cellStyle name="Normální 4 2 2 2 2 2 2" xfId="891" xr:uid="{00000000-0005-0000-0000-00007D030000}"/>
    <cellStyle name="Normální 4 2 2 2 2 2 2 2" xfId="892" xr:uid="{00000000-0005-0000-0000-00007E030000}"/>
    <cellStyle name="Normální 4 2 2 2 2 2 3" xfId="893" xr:uid="{00000000-0005-0000-0000-00007F030000}"/>
    <cellStyle name="Normální 4 2 2 2 3" xfId="894" xr:uid="{00000000-0005-0000-0000-000080030000}"/>
    <cellStyle name="Normální 4 2 2 2 3 2" xfId="895" xr:uid="{00000000-0005-0000-0000-000081030000}"/>
    <cellStyle name="Normální 4 2 2 2 3 2 2" xfId="896" xr:uid="{00000000-0005-0000-0000-000082030000}"/>
    <cellStyle name="Normální 4 2 2 2 3 3" xfId="897" xr:uid="{00000000-0005-0000-0000-000083030000}"/>
    <cellStyle name="Normální 4 2 2 3" xfId="898" xr:uid="{00000000-0005-0000-0000-000084030000}"/>
    <cellStyle name="Normální 4 2 2 3 2" xfId="899" xr:uid="{00000000-0005-0000-0000-000085030000}"/>
    <cellStyle name="Normální 4 2 2 3 2 2" xfId="900" xr:uid="{00000000-0005-0000-0000-000086030000}"/>
    <cellStyle name="Normální 4 2 2 3 3" xfId="901" xr:uid="{00000000-0005-0000-0000-000087030000}"/>
    <cellStyle name="Normální 4 2 3" xfId="902" xr:uid="{00000000-0005-0000-0000-000088030000}"/>
    <cellStyle name="Normální 4 2 3 2" xfId="903" xr:uid="{00000000-0005-0000-0000-000089030000}"/>
    <cellStyle name="Normální 4 2 3 2 2" xfId="904" xr:uid="{00000000-0005-0000-0000-00008A030000}"/>
    <cellStyle name="Normální 4 2 3 2 2 2" xfId="905" xr:uid="{00000000-0005-0000-0000-00008B030000}"/>
    <cellStyle name="Normální 4 2 3 2 2 2 2" xfId="906" xr:uid="{00000000-0005-0000-0000-00008C030000}"/>
    <cellStyle name="Normální 4 2 3 2 2 3" xfId="907" xr:uid="{00000000-0005-0000-0000-00008D030000}"/>
    <cellStyle name="Normální 4 2 3 3" xfId="908" xr:uid="{00000000-0005-0000-0000-00008E030000}"/>
    <cellStyle name="Normální 4 2 3 3 2" xfId="909" xr:uid="{00000000-0005-0000-0000-00008F030000}"/>
    <cellStyle name="Normální 4 2 3 3 2 2" xfId="910" xr:uid="{00000000-0005-0000-0000-000090030000}"/>
    <cellStyle name="Normální 4 2 3 3 2 2 2" xfId="911" xr:uid="{00000000-0005-0000-0000-000091030000}"/>
    <cellStyle name="Normální 4 2 3 3 2 2 2 2" xfId="912" xr:uid="{00000000-0005-0000-0000-000092030000}"/>
    <cellStyle name="Normální 4 2 3 3 2 2 3" xfId="913" xr:uid="{00000000-0005-0000-0000-000093030000}"/>
    <cellStyle name="Normální 4 2 3 3 3" xfId="914" xr:uid="{00000000-0005-0000-0000-000094030000}"/>
    <cellStyle name="Normální 4 2 3 3 3 2" xfId="915" xr:uid="{00000000-0005-0000-0000-000095030000}"/>
    <cellStyle name="Normální 4 2 3 3 3 2 2" xfId="916" xr:uid="{00000000-0005-0000-0000-000096030000}"/>
    <cellStyle name="Normální 4 2 3 3 3 3" xfId="917" xr:uid="{00000000-0005-0000-0000-000097030000}"/>
    <cellStyle name="Normální 4 2 3 4" xfId="918" xr:uid="{00000000-0005-0000-0000-000098030000}"/>
    <cellStyle name="Normální 4 2 3 4 2" xfId="919" xr:uid="{00000000-0005-0000-0000-000099030000}"/>
    <cellStyle name="Normální 4 2 3 4 2 2" xfId="920" xr:uid="{00000000-0005-0000-0000-00009A030000}"/>
    <cellStyle name="Normální 4 2 3 4 3" xfId="921" xr:uid="{00000000-0005-0000-0000-00009B030000}"/>
    <cellStyle name="Normální 4 2 4" xfId="922" xr:uid="{00000000-0005-0000-0000-00009C030000}"/>
    <cellStyle name="Normální 4 2 4 2" xfId="923" xr:uid="{00000000-0005-0000-0000-00009D030000}"/>
    <cellStyle name="Normální 4 2 4 2 2" xfId="924" xr:uid="{00000000-0005-0000-0000-00009E030000}"/>
    <cellStyle name="Normální 4 2 4 2 2 2" xfId="925" xr:uid="{00000000-0005-0000-0000-00009F030000}"/>
    <cellStyle name="Normální 4 2 4 2 2 2 2" xfId="926" xr:uid="{00000000-0005-0000-0000-0000A0030000}"/>
    <cellStyle name="Normální 4 2 4 2 2 3" xfId="927" xr:uid="{00000000-0005-0000-0000-0000A1030000}"/>
    <cellStyle name="Normální 4 2 4 3" xfId="928" xr:uid="{00000000-0005-0000-0000-0000A2030000}"/>
    <cellStyle name="Normální 4 2 4 3 2" xfId="929" xr:uid="{00000000-0005-0000-0000-0000A3030000}"/>
    <cellStyle name="Normální 4 2 4 3 2 2" xfId="930" xr:uid="{00000000-0005-0000-0000-0000A4030000}"/>
    <cellStyle name="Normální 4 2 4 3 3" xfId="931" xr:uid="{00000000-0005-0000-0000-0000A5030000}"/>
    <cellStyle name="Normální 4 2 5" xfId="932" xr:uid="{00000000-0005-0000-0000-0000A6030000}"/>
    <cellStyle name="Normální 4 2 5 2" xfId="933" xr:uid="{00000000-0005-0000-0000-0000A7030000}"/>
    <cellStyle name="Normální 4 2 5 2 2" xfId="934" xr:uid="{00000000-0005-0000-0000-0000A8030000}"/>
    <cellStyle name="Normální 4 2 5 3" xfId="935" xr:uid="{00000000-0005-0000-0000-0000A9030000}"/>
    <cellStyle name="Normální 4 2 6" xfId="936" xr:uid="{00000000-0005-0000-0000-0000AA030000}"/>
    <cellStyle name="normální 4 3" xfId="937" xr:uid="{00000000-0005-0000-0000-0000AB030000}"/>
    <cellStyle name="normální 4 3 2" xfId="938" xr:uid="{00000000-0005-0000-0000-0000AC030000}"/>
    <cellStyle name="normální 4 3 2 2" xfId="939" xr:uid="{00000000-0005-0000-0000-0000AD030000}"/>
    <cellStyle name="normální 4 3 2 2 2" xfId="940" xr:uid="{00000000-0005-0000-0000-0000AE030000}"/>
    <cellStyle name="normální 4 3 2 2 2 2" xfId="941" xr:uid="{00000000-0005-0000-0000-0000AF030000}"/>
    <cellStyle name="normální 4 3 2 2 2 2 2" xfId="942" xr:uid="{00000000-0005-0000-0000-0000B0030000}"/>
    <cellStyle name="normální 4 3 2 2 2 3" xfId="943" xr:uid="{00000000-0005-0000-0000-0000B1030000}"/>
    <cellStyle name="normální 4 3 2 2 3" xfId="944" xr:uid="{00000000-0005-0000-0000-0000B2030000}"/>
    <cellStyle name="normální 4 3 2 3" xfId="945" xr:uid="{00000000-0005-0000-0000-0000B3030000}"/>
    <cellStyle name="normální 4 3 2 3 2" xfId="946" xr:uid="{00000000-0005-0000-0000-0000B4030000}"/>
    <cellStyle name="normální 4 3 2 3 2 2" xfId="947" xr:uid="{00000000-0005-0000-0000-0000B5030000}"/>
    <cellStyle name="normální 4 3 2 3 2 2 2" xfId="948" xr:uid="{00000000-0005-0000-0000-0000B6030000}"/>
    <cellStyle name="normální 4 3 2 3 2 3" xfId="949" xr:uid="{00000000-0005-0000-0000-0000B7030000}"/>
    <cellStyle name="normální 4 3 2 3 3" xfId="950" xr:uid="{00000000-0005-0000-0000-0000B8030000}"/>
    <cellStyle name="normální 4 3 2 4" xfId="951" xr:uid="{00000000-0005-0000-0000-0000B9030000}"/>
    <cellStyle name="normální 4 3 2 4 2" xfId="952" xr:uid="{00000000-0005-0000-0000-0000BA030000}"/>
    <cellStyle name="normální 4 3 2 4 2 2" xfId="953" xr:uid="{00000000-0005-0000-0000-0000BB030000}"/>
    <cellStyle name="normální 4 3 2 4 3" xfId="954" xr:uid="{00000000-0005-0000-0000-0000BC030000}"/>
    <cellStyle name="normální 4 3 2 5" xfId="955" xr:uid="{00000000-0005-0000-0000-0000BD030000}"/>
    <cellStyle name="normální 4 3 3" xfId="956" xr:uid="{00000000-0005-0000-0000-0000BE030000}"/>
    <cellStyle name="normální 4 3 3 2" xfId="957" xr:uid="{00000000-0005-0000-0000-0000BF030000}"/>
    <cellStyle name="normální 4 3 3 2 2" xfId="958" xr:uid="{00000000-0005-0000-0000-0000C0030000}"/>
    <cellStyle name="normální 4 3 3 2 2 2" xfId="959" xr:uid="{00000000-0005-0000-0000-0000C1030000}"/>
    <cellStyle name="normální 4 3 3 2 2 2 2" xfId="960" xr:uid="{00000000-0005-0000-0000-0000C2030000}"/>
    <cellStyle name="normální 4 3 3 2 2 3" xfId="961" xr:uid="{00000000-0005-0000-0000-0000C3030000}"/>
    <cellStyle name="normální 4 3 3 2 3" xfId="962" xr:uid="{00000000-0005-0000-0000-0000C4030000}"/>
    <cellStyle name="normální 4 3 3 3" xfId="963" xr:uid="{00000000-0005-0000-0000-0000C5030000}"/>
    <cellStyle name="normální 4 3 3 3 2" xfId="964" xr:uid="{00000000-0005-0000-0000-0000C6030000}"/>
    <cellStyle name="normální 4 3 3 3 2 2" xfId="965" xr:uid="{00000000-0005-0000-0000-0000C7030000}"/>
    <cellStyle name="normální 4 3 3 3 2 2 2" xfId="966" xr:uid="{00000000-0005-0000-0000-0000C8030000}"/>
    <cellStyle name="normální 4 3 3 3 2 3" xfId="967" xr:uid="{00000000-0005-0000-0000-0000C9030000}"/>
    <cellStyle name="normální 4 3 3 3 3" xfId="968" xr:uid="{00000000-0005-0000-0000-0000CA030000}"/>
    <cellStyle name="normální 4 3 3 4" xfId="969" xr:uid="{00000000-0005-0000-0000-0000CB030000}"/>
    <cellStyle name="normální 4 3 3 4 2" xfId="970" xr:uid="{00000000-0005-0000-0000-0000CC030000}"/>
    <cellStyle name="normální 4 3 3 4 2 2" xfId="971" xr:uid="{00000000-0005-0000-0000-0000CD030000}"/>
    <cellStyle name="normální 4 3 3 4 2 2 2" xfId="972" xr:uid="{00000000-0005-0000-0000-0000CE030000}"/>
    <cellStyle name="normální 4 3 3 4 2 3" xfId="973" xr:uid="{00000000-0005-0000-0000-0000CF030000}"/>
    <cellStyle name="normální 4 3 3 4 3" xfId="974" xr:uid="{00000000-0005-0000-0000-0000D0030000}"/>
    <cellStyle name="normální 4 3 3 5" xfId="975" xr:uid="{00000000-0005-0000-0000-0000D1030000}"/>
    <cellStyle name="normální 4 3 3 5 2" xfId="976" xr:uid="{00000000-0005-0000-0000-0000D2030000}"/>
    <cellStyle name="normální 4 3 3 5 2 2" xfId="977" xr:uid="{00000000-0005-0000-0000-0000D3030000}"/>
    <cellStyle name="normální 4 3 3 5 3" xfId="978" xr:uid="{00000000-0005-0000-0000-0000D4030000}"/>
    <cellStyle name="normální 4 3 3 6" xfId="979" xr:uid="{00000000-0005-0000-0000-0000D5030000}"/>
    <cellStyle name="normální 4 3 4" xfId="980" xr:uid="{00000000-0005-0000-0000-0000D6030000}"/>
    <cellStyle name="normální 4 3 4 2" xfId="981" xr:uid="{00000000-0005-0000-0000-0000D7030000}"/>
    <cellStyle name="normální 4 3 4 2 2" xfId="982" xr:uid="{00000000-0005-0000-0000-0000D8030000}"/>
    <cellStyle name="normální 4 3 4 2 2 2" xfId="983" xr:uid="{00000000-0005-0000-0000-0000D9030000}"/>
    <cellStyle name="normální 4 3 4 2 3" xfId="984" xr:uid="{00000000-0005-0000-0000-0000DA030000}"/>
    <cellStyle name="normální 4 3 4 3" xfId="985" xr:uid="{00000000-0005-0000-0000-0000DB030000}"/>
    <cellStyle name="normální 4 3 5" xfId="986" xr:uid="{00000000-0005-0000-0000-0000DC030000}"/>
    <cellStyle name="normální 4 3 5 2" xfId="987" xr:uid="{00000000-0005-0000-0000-0000DD030000}"/>
    <cellStyle name="normální 4 3 5 2 2" xfId="988" xr:uid="{00000000-0005-0000-0000-0000DE030000}"/>
    <cellStyle name="normální 4 3 5 3" xfId="989" xr:uid="{00000000-0005-0000-0000-0000DF030000}"/>
    <cellStyle name="normální 4 3 6" xfId="990" xr:uid="{00000000-0005-0000-0000-0000E0030000}"/>
    <cellStyle name="normální 4 4" xfId="991" xr:uid="{00000000-0005-0000-0000-0000E1030000}"/>
    <cellStyle name="normální 4 4 2" xfId="992" xr:uid="{00000000-0005-0000-0000-0000E2030000}"/>
    <cellStyle name="normální 4 4 2 2" xfId="993" xr:uid="{00000000-0005-0000-0000-0000E3030000}"/>
    <cellStyle name="normální 4 4 2 2 2" xfId="994" xr:uid="{00000000-0005-0000-0000-0000E4030000}"/>
    <cellStyle name="normální 4 4 2 2 2 2" xfId="995" xr:uid="{00000000-0005-0000-0000-0000E5030000}"/>
    <cellStyle name="normální 4 4 2 2 2 2 2" xfId="996" xr:uid="{00000000-0005-0000-0000-0000E6030000}"/>
    <cellStyle name="normální 4 4 2 2 2 3" xfId="997" xr:uid="{00000000-0005-0000-0000-0000E7030000}"/>
    <cellStyle name="normální 4 4 2 2 3" xfId="998" xr:uid="{00000000-0005-0000-0000-0000E8030000}"/>
    <cellStyle name="normální 4 4 2 3" xfId="999" xr:uid="{00000000-0005-0000-0000-0000E9030000}"/>
    <cellStyle name="normální 4 4 2 3 2" xfId="1000" xr:uid="{00000000-0005-0000-0000-0000EA030000}"/>
    <cellStyle name="normální 4 4 2 3 2 2" xfId="1001" xr:uid="{00000000-0005-0000-0000-0000EB030000}"/>
    <cellStyle name="normální 4 4 2 3 2 2 2" xfId="1002" xr:uid="{00000000-0005-0000-0000-0000EC030000}"/>
    <cellStyle name="normální 4 4 2 3 2 3" xfId="1003" xr:uid="{00000000-0005-0000-0000-0000ED030000}"/>
    <cellStyle name="normální 4 4 2 3 3" xfId="1004" xr:uid="{00000000-0005-0000-0000-0000EE030000}"/>
    <cellStyle name="normální 4 4 2 4" xfId="1005" xr:uid="{00000000-0005-0000-0000-0000EF030000}"/>
    <cellStyle name="normální 4 4 2 4 2" xfId="1006" xr:uid="{00000000-0005-0000-0000-0000F0030000}"/>
    <cellStyle name="normální 4 4 2 4 2 2" xfId="1007" xr:uid="{00000000-0005-0000-0000-0000F1030000}"/>
    <cellStyle name="normální 4 4 2 4 3" xfId="1008" xr:uid="{00000000-0005-0000-0000-0000F2030000}"/>
    <cellStyle name="normální 4 4 2 5" xfId="1009" xr:uid="{00000000-0005-0000-0000-0000F3030000}"/>
    <cellStyle name="normální 4 4 3" xfId="1010" xr:uid="{00000000-0005-0000-0000-0000F4030000}"/>
    <cellStyle name="normální 4 4 3 2" xfId="1011" xr:uid="{00000000-0005-0000-0000-0000F5030000}"/>
    <cellStyle name="normální 4 4 3 2 2" xfId="1012" xr:uid="{00000000-0005-0000-0000-0000F6030000}"/>
    <cellStyle name="normální 4 4 3 2 2 2" xfId="1013" xr:uid="{00000000-0005-0000-0000-0000F7030000}"/>
    <cellStyle name="normální 4 4 3 2 2 2 2" xfId="1014" xr:uid="{00000000-0005-0000-0000-0000F8030000}"/>
    <cellStyle name="normální 4 4 3 2 2 3" xfId="1015" xr:uid="{00000000-0005-0000-0000-0000F9030000}"/>
    <cellStyle name="normální 4 4 3 2 3" xfId="1016" xr:uid="{00000000-0005-0000-0000-0000FA030000}"/>
    <cellStyle name="normální 4 4 3 3" xfId="1017" xr:uid="{00000000-0005-0000-0000-0000FB030000}"/>
    <cellStyle name="normální 4 4 3 3 2" xfId="1018" xr:uid="{00000000-0005-0000-0000-0000FC030000}"/>
    <cellStyle name="normální 4 4 3 3 2 2" xfId="1019" xr:uid="{00000000-0005-0000-0000-0000FD030000}"/>
    <cellStyle name="normální 4 4 3 3 2 2 2" xfId="1020" xr:uid="{00000000-0005-0000-0000-0000FE030000}"/>
    <cellStyle name="normální 4 4 3 3 2 3" xfId="1021" xr:uid="{00000000-0005-0000-0000-0000FF030000}"/>
    <cellStyle name="normální 4 4 3 3 3" xfId="1022" xr:uid="{00000000-0005-0000-0000-000000040000}"/>
    <cellStyle name="normální 4 4 3 4" xfId="1023" xr:uid="{00000000-0005-0000-0000-000001040000}"/>
    <cellStyle name="normální 4 4 3 4 2" xfId="1024" xr:uid="{00000000-0005-0000-0000-000002040000}"/>
    <cellStyle name="normální 4 4 3 4 2 2" xfId="1025" xr:uid="{00000000-0005-0000-0000-000003040000}"/>
    <cellStyle name="normální 4 4 3 4 2 2 2" xfId="1026" xr:uid="{00000000-0005-0000-0000-000004040000}"/>
    <cellStyle name="normální 4 4 3 4 2 3" xfId="1027" xr:uid="{00000000-0005-0000-0000-000005040000}"/>
    <cellStyle name="normální 4 4 3 4 3" xfId="1028" xr:uid="{00000000-0005-0000-0000-000006040000}"/>
    <cellStyle name="normální 4 4 3 5" xfId="1029" xr:uid="{00000000-0005-0000-0000-000007040000}"/>
    <cellStyle name="normální 4 4 3 5 2" xfId="1030" xr:uid="{00000000-0005-0000-0000-000008040000}"/>
    <cellStyle name="normální 4 4 3 5 2 2" xfId="1031" xr:uid="{00000000-0005-0000-0000-000009040000}"/>
    <cellStyle name="normální 4 4 3 5 3" xfId="1032" xr:uid="{00000000-0005-0000-0000-00000A040000}"/>
    <cellStyle name="normální 4 4 3 6" xfId="1033" xr:uid="{00000000-0005-0000-0000-00000B040000}"/>
    <cellStyle name="normální 4 4 4" xfId="1034" xr:uid="{00000000-0005-0000-0000-00000C040000}"/>
    <cellStyle name="normální 4 4 4 2" xfId="1035" xr:uid="{00000000-0005-0000-0000-00000D040000}"/>
    <cellStyle name="normální 4 4 4 2 2" xfId="1036" xr:uid="{00000000-0005-0000-0000-00000E040000}"/>
    <cellStyle name="normální 4 4 4 2 2 2" xfId="1037" xr:uid="{00000000-0005-0000-0000-00000F040000}"/>
    <cellStyle name="normální 4 4 4 2 3" xfId="1038" xr:uid="{00000000-0005-0000-0000-000010040000}"/>
    <cellStyle name="normální 4 4 4 3" xfId="1039" xr:uid="{00000000-0005-0000-0000-000011040000}"/>
    <cellStyle name="normální 4 4 5" xfId="1040" xr:uid="{00000000-0005-0000-0000-000012040000}"/>
    <cellStyle name="normální 4 4 5 2" xfId="1041" xr:uid="{00000000-0005-0000-0000-000013040000}"/>
    <cellStyle name="normální 4 4 5 2 2" xfId="1042" xr:uid="{00000000-0005-0000-0000-000014040000}"/>
    <cellStyle name="normální 4 4 5 3" xfId="1043" xr:uid="{00000000-0005-0000-0000-000015040000}"/>
    <cellStyle name="normální 4 4 6" xfId="1044" xr:uid="{00000000-0005-0000-0000-000016040000}"/>
    <cellStyle name="normální 4 5" xfId="1045" xr:uid="{00000000-0005-0000-0000-000017040000}"/>
    <cellStyle name="normální 4 5 2" xfId="1046" xr:uid="{00000000-0005-0000-0000-000018040000}"/>
    <cellStyle name="normální 4 5 2 2" xfId="1047" xr:uid="{00000000-0005-0000-0000-000019040000}"/>
    <cellStyle name="normální 4 5 2 2 2" xfId="1048" xr:uid="{00000000-0005-0000-0000-00001A040000}"/>
    <cellStyle name="normální 4 5 2 2 2 2" xfId="1049" xr:uid="{00000000-0005-0000-0000-00001B040000}"/>
    <cellStyle name="normální 4 5 2 2 2 2 2" xfId="1050" xr:uid="{00000000-0005-0000-0000-00001C040000}"/>
    <cellStyle name="normální 4 5 2 2 2 3" xfId="1051" xr:uid="{00000000-0005-0000-0000-00001D040000}"/>
    <cellStyle name="normální 4 5 2 2 3" xfId="1052" xr:uid="{00000000-0005-0000-0000-00001E040000}"/>
    <cellStyle name="normální 4 5 2 3" xfId="1053" xr:uid="{00000000-0005-0000-0000-00001F040000}"/>
    <cellStyle name="normální 4 5 2 3 2" xfId="1054" xr:uid="{00000000-0005-0000-0000-000020040000}"/>
    <cellStyle name="normální 4 5 2 3 2 2" xfId="1055" xr:uid="{00000000-0005-0000-0000-000021040000}"/>
    <cellStyle name="normální 4 5 2 3 2 2 2" xfId="1056" xr:uid="{00000000-0005-0000-0000-000022040000}"/>
    <cellStyle name="normální 4 5 2 3 2 3" xfId="1057" xr:uid="{00000000-0005-0000-0000-000023040000}"/>
    <cellStyle name="normální 4 5 2 3 3" xfId="1058" xr:uid="{00000000-0005-0000-0000-000024040000}"/>
    <cellStyle name="normální 4 5 2 4" xfId="1059" xr:uid="{00000000-0005-0000-0000-000025040000}"/>
    <cellStyle name="normální 4 5 2 4 2" xfId="1060" xr:uid="{00000000-0005-0000-0000-000026040000}"/>
    <cellStyle name="normální 4 5 2 4 2 2" xfId="1061" xr:uid="{00000000-0005-0000-0000-000027040000}"/>
    <cellStyle name="normální 4 5 2 4 3" xfId="1062" xr:uid="{00000000-0005-0000-0000-000028040000}"/>
    <cellStyle name="normální 4 5 2 5" xfId="1063" xr:uid="{00000000-0005-0000-0000-000029040000}"/>
    <cellStyle name="normální 4 5 3" xfId="1064" xr:uid="{00000000-0005-0000-0000-00002A040000}"/>
    <cellStyle name="normální 4 5 3 2" xfId="1065" xr:uid="{00000000-0005-0000-0000-00002B040000}"/>
    <cellStyle name="normální 4 5 3 2 2" xfId="1066" xr:uid="{00000000-0005-0000-0000-00002C040000}"/>
    <cellStyle name="normální 4 5 3 2 2 2" xfId="1067" xr:uid="{00000000-0005-0000-0000-00002D040000}"/>
    <cellStyle name="normální 4 5 3 2 3" xfId="1068" xr:uid="{00000000-0005-0000-0000-00002E040000}"/>
    <cellStyle name="normální 4 5 3 3" xfId="1069" xr:uid="{00000000-0005-0000-0000-00002F040000}"/>
    <cellStyle name="normální 4 5 4" xfId="1070" xr:uid="{00000000-0005-0000-0000-000030040000}"/>
    <cellStyle name="normální 4 5 4 2" xfId="1071" xr:uid="{00000000-0005-0000-0000-000031040000}"/>
    <cellStyle name="normální 4 5 4 2 2" xfId="1072" xr:uid="{00000000-0005-0000-0000-000032040000}"/>
    <cellStyle name="normální 4 5 4 3" xfId="1073" xr:uid="{00000000-0005-0000-0000-000033040000}"/>
    <cellStyle name="normální 4 5 5" xfId="1074" xr:uid="{00000000-0005-0000-0000-000034040000}"/>
    <cellStyle name="normální 4 6" xfId="1075" xr:uid="{00000000-0005-0000-0000-000035040000}"/>
    <cellStyle name="normální 4 6 2" xfId="1076" xr:uid="{00000000-0005-0000-0000-000036040000}"/>
    <cellStyle name="normální 4 6 2 2" xfId="1077" xr:uid="{00000000-0005-0000-0000-000037040000}"/>
    <cellStyle name="normální 4 6 2 2 2" xfId="1078" xr:uid="{00000000-0005-0000-0000-000038040000}"/>
    <cellStyle name="normální 4 6 2 2 2 2" xfId="1079" xr:uid="{00000000-0005-0000-0000-000039040000}"/>
    <cellStyle name="normální 4 6 2 2 2 2 2" xfId="1080" xr:uid="{00000000-0005-0000-0000-00003A040000}"/>
    <cellStyle name="normální 4 6 2 2 2 3" xfId="1081" xr:uid="{00000000-0005-0000-0000-00003B040000}"/>
    <cellStyle name="normální 4 6 2 2 3" xfId="1082" xr:uid="{00000000-0005-0000-0000-00003C040000}"/>
    <cellStyle name="normální 4 6 2 3" xfId="1083" xr:uid="{00000000-0005-0000-0000-00003D040000}"/>
    <cellStyle name="normální 4 6 2 3 2" xfId="1084" xr:uid="{00000000-0005-0000-0000-00003E040000}"/>
    <cellStyle name="normální 4 6 2 3 2 2" xfId="1085" xr:uid="{00000000-0005-0000-0000-00003F040000}"/>
    <cellStyle name="normální 4 6 2 3 2 2 2" xfId="1086" xr:uid="{00000000-0005-0000-0000-000040040000}"/>
    <cellStyle name="normální 4 6 2 3 2 3" xfId="1087" xr:uid="{00000000-0005-0000-0000-000041040000}"/>
    <cellStyle name="normální 4 6 2 3 3" xfId="1088" xr:uid="{00000000-0005-0000-0000-000042040000}"/>
    <cellStyle name="normální 4 6 2 4" xfId="1089" xr:uid="{00000000-0005-0000-0000-000043040000}"/>
    <cellStyle name="normální 4 6 2 4 2" xfId="1090" xr:uid="{00000000-0005-0000-0000-000044040000}"/>
    <cellStyle name="normální 4 6 2 4 2 2" xfId="1091" xr:uid="{00000000-0005-0000-0000-000045040000}"/>
    <cellStyle name="normální 4 6 2 4 3" xfId="1092" xr:uid="{00000000-0005-0000-0000-000046040000}"/>
    <cellStyle name="normální 4 6 2 5" xfId="1093" xr:uid="{00000000-0005-0000-0000-000047040000}"/>
    <cellStyle name="normální 4 6 3" xfId="1094" xr:uid="{00000000-0005-0000-0000-000048040000}"/>
    <cellStyle name="normální 4 6 3 2" xfId="1095" xr:uid="{00000000-0005-0000-0000-000049040000}"/>
    <cellStyle name="normální 4 6 3 2 2" xfId="1096" xr:uid="{00000000-0005-0000-0000-00004A040000}"/>
    <cellStyle name="normální 4 6 3 2 2 2" xfId="1097" xr:uid="{00000000-0005-0000-0000-00004B040000}"/>
    <cellStyle name="normální 4 6 3 2 3" xfId="1098" xr:uid="{00000000-0005-0000-0000-00004C040000}"/>
    <cellStyle name="normální 4 6 3 3" xfId="1099" xr:uid="{00000000-0005-0000-0000-00004D040000}"/>
    <cellStyle name="normální 4 6 4" xfId="1100" xr:uid="{00000000-0005-0000-0000-00004E040000}"/>
    <cellStyle name="normální 4 6 4 2" xfId="1101" xr:uid="{00000000-0005-0000-0000-00004F040000}"/>
    <cellStyle name="normální 4 6 4 2 2" xfId="1102" xr:uid="{00000000-0005-0000-0000-000050040000}"/>
    <cellStyle name="normální 4 6 4 3" xfId="1103" xr:uid="{00000000-0005-0000-0000-000051040000}"/>
    <cellStyle name="normální 4 6 5" xfId="1104" xr:uid="{00000000-0005-0000-0000-000052040000}"/>
    <cellStyle name="normální 4 7" xfId="1105" xr:uid="{00000000-0005-0000-0000-000053040000}"/>
    <cellStyle name="normální 4 7 2" xfId="1106" xr:uid="{00000000-0005-0000-0000-000054040000}"/>
    <cellStyle name="normální 4 7 2 2" xfId="1107" xr:uid="{00000000-0005-0000-0000-000055040000}"/>
    <cellStyle name="normální 4 7 2 2 2" xfId="1108" xr:uid="{00000000-0005-0000-0000-000056040000}"/>
    <cellStyle name="normální 4 7 2 2 2 2" xfId="1109" xr:uid="{00000000-0005-0000-0000-000057040000}"/>
    <cellStyle name="normální 4 7 2 2 2 2 2" xfId="1110" xr:uid="{00000000-0005-0000-0000-000058040000}"/>
    <cellStyle name="normální 4 7 2 2 2 3" xfId="1111" xr:uid="{00000000-0005-0000-0000-000059040000}"/>
    <cellStyle name="normální 4 7 2 2 3" xfId="1112" xr:uid="{00000000-0005-0000-0000-00005A040000}"/>
    <cellStyle name="normální 4 7 2 3" xfId="1113" xr:uid="{00000000-0005-0000-0000-00005B040000}"/>
    <cellStyle name="normální 4 7 2 3 2" xfId="1114" xr:uid="{00000000-0005-0000-0000-00005C040000}"/>
    <cellStyle name="normální 4 7 2 3 2 2" xfId="1115" xr:uid="{00000000-0005-0000-0000-00005D040000}"/>
    <cellStyle name="normální 4 7 2 3 2 2 2" xfId="1116" xr:uid="{00000000-0005-0000-0000-00005E040000}"/>
    <cellStyle name="normální 4 7 2 3 2 3" xfId="1117" xr:uid="{00000000-0005-0000-0000-00005F040000}"/>
    <cellStyle name="normální 4 7 2 3 3" xfId="1118" xr:uid="{00000000-0005-0000-0000-000060040000}"/>
    <cellStyle name="normální 4 7 2 4" xfId="1119" xr:uid="{00000000-0005-0000-0000-000061040000}"/>
    <cellStyle name="normální 4 7 2 4 2" xfId="1120" xr:uid="{00000000-0005-0000-0000-000062040000}"/>
    <cellStyle name="normální 4 7 2 4 2 2" xfId="1121" xr:uid="{00000000-0005-0000-0000-000063040000}"/>
    <cellStyle name="normální 4 7 2 4 3" xfId="1122" xr:uid="{00000000-0005-0000-0000-000064040000}"/>
    <cellStyle name="normální 4 7 2 5" xfId="1123" xr:uid="{00000000-0005-0000-0000-000065040000}"/>
    <cellStyle name="normální 4 7 3" xfId="1124" xr:uid="{00000000-0005-0000-0000-000066040000}"/>
    <cellStyle name="normální 4 7 3 2" xfId="1125" xr:uid="{00000000-0005-0000-0000-000067040000}"/>
    <cellStyle name="normální 4 7 3 2 2" xfId="1126" xr:uid="{00000000-0005-0000-0000-000068040000}"/>
    <cellStyle name="normální 4 7 3 2 2 2" xfId="1127" xr:uid="{00000000-0005-0000-0000-000069040000}"/>
    <cellStyle name="normální 4 7 3 2 3" xfId="1128" xr:uid="{00000000-0005-0000-0000-00006A040000}"/>
    <cellStyle name="normální 4 7 3 3" xfId="1129" xr:uid="{00000000-0005-0000-0000-00006B040000}"/>
    <cellStyle name="normální 4 7 4" xfId="1130" xr:uid="{00000000-0005-0000-0000-00006C040000}"/>
    <cellStyle name="normální 4 7 4 2" xfId="1131" xr:uid="{00000000-0005-0000-0000-00006D040000}"/>
    <cellStyle name="normální 4 7 4 2 2" xfId="1132" xr:uid="{00000000-0005-0000-0000-00006E040000}"/>
    <cellStyle name="normální 4 7 4 3" xfId="1133" xr:uid="{00000000-0005-0000-0000-00006F040000}"/>
    <cellStyle name="normální 4 7 5" xfId="1134" xr:uid="{00000000-0005-0000-0000-000070040000}"/>
    <cellStyle name="normální 4 8" xfId="1135" xr:uid="{00000000-0005-0000-0000-000071040000}"/>
    <cellStyle name="normální 4 8 2" xfId="1136" xr:uid="{00000000-0005-0000-0000-000072040000}"/>
    <cellStyle name="normální 4 8 2 2" xfId="1137" xr:uid="{00000000-0005-0000-0000-000073040000}"/>
    <cellStyle name="normální 4 8 2 2 2" xfId="1138" xr:uid="{00000000-0005-0000-0000-000074040000}"/>
    <cellStyle name="normální 4 8 2 2 2 2" xfId="1139" xr:uid="{00000000-0005-0000-0000-000075040000}"/>
    <cellStyle name="normální 4 8 2 2 3" xfId="1140" xr:uid="{00000000-0005-0000-0000-000076040000}"/>
    <cellStyle name="normální 4 8 2 3" xfId="1141" xr:uid="{00000000-0005-0000-0000-000077040000}"/>
    <cellStyle name="normální 4 8 3" xfId="1142" xr:uid="{00000000-0005-0000-0000-000078040000}"/>
    <cellStyle name="normální 4 8 3 2" xfId="1143" xr:uid="{00000000-0005-0000-0000-000079040000}"/>
    <cellStyle name="normální 4 8 3 2 2" xfId="1144" xr:uid="{00000000-0005-0000-0000-00007A040000}"/>
    <cellStyle name="normální 4 8 3 2 2 2" xfId="1145" xr:uid="{00000000-0005-0000-0000-00007B040000}"/>
    <cellStyle name="normální 4 8 3 2 3" xfId="1146" xr:uid="{00000000-0005-0000-0000-00007C040000}"/>
    <cellStyle name="normální 4 8 3 3" xfId="1147" xr:uid="{00000000-0005-0000-0000-00007D040000}"/>
    <cellStyle name="normální 4 8 4" xfId="1148" xr:uid="{00000000-0005-0000-0000-00007E040000}"/>
    <cellStyle name="normální 4 8 4 2" xfId="1149" xr:uid="{00000000-0005-0000-0000-00007F040000}"/>
    <cellStyle name="normální 4 8 4 2 2" xfId="1150" xr:uid="{00000000-0005-0000-0000-000080040000}"/>
    <cellStyle name="normální 4 8 4 3" xfId="1151" xr:uid="{00000000-0005-0000-0000-000081040000}"/>
    <cellStyle name="normální 4 8 5" xfId="1152" xr:uid="{00000000-0005-0000-0000-000082040000}"/>
    <cellStyle name="normální 4 9" xfId="1153" xr:uid="{00000000-0005-0000-0000-000083040000}"/>
    <cellStyle name="normální 4 9 2" xfId="1154" xr:uid="{00000000-0005-0000-0000-000084040000}"/>
    <cellStyle name="normální 4 9 2 2" xfId="1155" xr:uid="{00000000-0005-0000-0000-000085040000}"/>
    <cellStyle name="normální 4 9 2 2 2" xfId="1156" xr:uid="{00000000-0005-0000-0000-000086040000}"/>
    <cellStyle name="normální 4 9 2 3" xfId="1157" xr:uid="{00000000-0005-0000-0000-000087040000}"/>
    <cellStyle name="normální 4 9 3" xfId="1158" xr:uid="{00000000-0005-0000-0000-000088040000}"/>
    <cellStyle name="Normální 5" xfId="1159" xr:uid="{00000000-0005-0000-0000-000089040000}"/>
    <cellStyle name="Normální 5 2" xfId="1160" xr:uid="{00000000-0005-0000-0000-00008A040000}"/>
    <cellStyle name="Normální 5 2 2" xfId="1161" xr:uid="{00000000-0005-0000-0000-00008B040000}"/>
    <cellStyle name="Normální 5 2 2 2" xfId="1162" xr:uid="{00000000-0005-0000-0000-00008C040000}"/>
    <cellStyle name="Normální 5 2 2 2 2" xfId="1163" xr:uid="{00000000-0005-0000-0000-00008D040000}"/>
    <cellStyle name="Normální 5 2 2 2 2 2" xfId="1164" xr:uid="{00000000-0005-0000-0000-00008E040000}"/>
    <cellStyle name="Normální 5 2 2 2 3" xfId="1165" xr:uid="{00000000-0005-0000-0000-00008F040000}"/>
    <cellStyle name="Normální 5 2 2 3" xfId="1166" xr:uid="{00000000-0005-0000-0000-000090040000}"/>
    <cellStyle name="Normální 5 2 3" xfId="1167" xr:uid="{00000000-0005-0000-0000-000091040000}"/>
    <cellStyle name="Normální 5 2 3 2" xfId="1168" xr:uid="{00000000-0005-0000-0000-000092040000}"/>
    <cellStyle name="Normální 5 2 3 2 2" xfId="1169" xr:uid="{00000000-0005-0000-0000-000093040000}"/>
    <cellStyle name="Normální 5 2 3 2 2 2" xfId="1170" xr:uid="{00000000-0005-0000-0000-000094040000}"/>
    <cellStyle name="Normální 5 2 3 2 3" xfId="1171" xr:uid="{00000000-0005-0000-0000-000095040000}"/>
    <cellStyle name="Normální 5 2 3 3" xfId="1172" xr:uid="{00000000-0005-0000-0000-000096040000}"/>
    <cellStyle name="Normální 5 2 4" xfId="1173" xr:uid="{00000000-0005-0000-0000-000097040000}"/>
    <cellStyle name="Normální 5 2 4 2" xfId="1174" xr:uid="{00000000-0005-0000-0000-000098040000}"/>
    <cellStyle name="Normální 5 2 4 2 2" xfId="1175" xr:uid="{00000000-0005-0000-0000-000099040000}"/>
    <cellStyle name="Normální 5 2 4 3" xfId="1176" xr:uid="{00000000-0005-0000-0000-00009A040000}"/>
    <cellStyle name="Normální 5 2 5" xfId="1177" xr:uid="{00000000-0005-0000-0000-00009B040000}"/>
    <cellStyle name="Normální 5 3" xfId="1178" xr:uid="{00000000-0005-0000-0000-00009C040000}"/>
    <cellStyle name="Normální 5 3 2" xfId="1179" xr:uid="{00000000-0005-0000-0000-00009D040000}"/>
    <cellStyle name="Normální 5 3 2 2" xfId="1180" xr:uid="{00000000-0005-0000-0000-00009E040000}"/>
    <cellStyle name="Normální 5 3 2 2 2" xfId="1181" xr:uid="{00000000-0005-0000-0000-00009F040000}"/>
    <cellStyle name="Normální 5 3 2 2 2 2" xfId="1182" xr:uid="{00000000-0005-0000-0000-0000A0040000}"/>
    <cellStyle name="Normální 5 3 2 2 3" xfId="1183" xr:uid="{00000000-0005-0000-0000-0000A1040000}"/>
    <cellStyle name="Normální 5 3 2 3" xfId="1184" xr:uid="{00000000-0005-0000-0000-0000A2040000}"/>
    <cellStyle name="Normální 5 3 3" xfId="1185" xr:uid="{00000000-0005-0000-0000-0000A3040000}"/>
    <cellStyle name="Normální 5 3 3 2" xfId="1186" xr:uid="{00000000-0005-0000-0000-0000A4040000}"/>
    <cellStyle name="Normální 5 3 3 2 2" xfId="1187" xr:uid="{00000000-0005-0000-0000-0000A5040000}"/>
    <cellStyle name="Normální 5 3 3 2 2 2" xfId="1188" xr:uid="{00000000-0005-0000-0000-0000A6040000}"/>
    <cellStyle name="Normální 5 3 3 2 3" xfId="1189" xr:uid="{00000000-0005-0000-0000-0000A7040000}"/>
    <cellStyle name="Normální 5 3 3 3" xfId="1190" xr:uid="{00000000-0005-0000-0000-0000A8040000}"/>
    <cellStyle name="Normální 5 3 4" xfId="1191" xr:uid="{00000000-0005-0000-0000-0000A9040000}"/>
    <cellStyle name="Normální 5 3 4 2" xfId="1192" xr:uid="{00000000-0005-0000-0000-0000AA040000}"/>
    <cellStyle name="Normální 5 3 4 2 2" xfId="1193" xr:uid="{00000000-0005-0000-0000-0000AB040000}"/>
    <cellStyle name="Normální 5 3 4 2 2 2" xfId="1194" xr:uid="{00000000-0005-0000-0000-0000AC040000}"/>
    <cellStyle name="Normální 5 3 4 2 3" xfId="1195" xr:uid="{00000000-0005-0000-0000-0000AD040000}"/>
    <cellStyle name="Normální 5 3 4 3" xfId="1196" xr:uid="{00000000-0005-0000-0000-0000AE040000}"/>
    <cellStyle name="Normální 5 3 5" xfId="1197" xr:uid="{00000000-0005-0000-0000-0000AF040000}"/>
    <cellStyle name="Normální 5 3 5 2" xfId="1198" xr:uid="{00000000-0005-0000-0000-0000B0040000}"/>
    <cellStyle name="Normální 5 3 5 2 2" xfId="1199" xr:uid="{00000000-0005-0000-0000-0000B1040000}"/>
    <cellStyle name="Normální 5 3 5 3" xfId="1200" xr:uid="{00000000-0005-0000-0000-0000B2040000}"/>
    <cellStyle name="Normální 5 3 6" xfId="1201" xr:uid="{00000000-0005-0000-0000-0000B3040000}"/>
    <cellStyle name="Normální 5 4" xfId="1202" xr:uid="{00000000-0005-0000-0000-0000B4040000}"/>
    <cellStyle name="Normální 5 4 2" xfId="1203" xr:uid="{00000000-0005-0000-0000-0000B5040000}"/>
    <cellStyle name="Normální 5 4 2 2" xfId="1204" xr:uid="{00000000-0005-0000-0000-0000B6040000}"/>
    <cellStyle name="Normální 5 4 2 2 2" xfId="1205" xr:uid="{00000000-0005-0000-0000-0000B7040000}"/>
    <cellStyle name="Normální 5 4 2 3" xfId="1206" xr:uid="{00000000-0005-0000-0000-0000B8040000}"/>
    <cellStyle name="Normální 5 4 3" xfId="1207" xr:uid="{00000000-0005-0000-0000-0000B9040000}"/>
    <cellStyle name="Normální 5 5" xfId="1208" xr:uid="{00000000-0005-0000-0000-0000BA040000}"/>
    <cellStyle name="Normální 5 5 2" xfId="1209" xr:uid="{00000000-0005-0000-0000-0000BB040000}"/>
    <cellStyle name="Normální 5 5 2 2" xfId="1210" xr:uid="{00000000-0005-0000-0000-0000BC040000}"/>
    <cellStyle name="Normální 5 5 3" xfId="1211" xr:uid="{00000000-0005-0000-0000-0000BD040000}"/>
    <cellStyle name="Normální 5 6" xfId="1212" xr:uid="{00000000-0005-0000-0000-0000BE040000}"/>
    <cellStyle name="Normální 6" xfId="1213" xr:uid="{00000000-0005-0000-0000-0000BF040000}"/>
    <cellStyle name="Normální 6 2" xfId="1214" xr:uid="{00000000-0005-0000-0000-0000C0040000}"/>
    <cellStyle name="Normální 6 2 2" xfId="1215" xr:uid="{00000000-0005-0000-0000-0000C1040000}"/>
    <cellStyle name="Normální 6 2 2 2" xfId="1216" xr:uid="{00000000-0005-0000-0000-0000C2040000}"/>
    <cellStyle name="Normální 6 2 2 2 2" xfId="1217" xr:uid="{00000000-0005-0000-0000-0000C3040000}"/>
    <cellStyle name="Normální 6 2 2 2 2 2" xfId="1218" xr:uid="{00000000-0005-0000-0000-0000C4040000}"/>
    <cellStyle name="Normální 6 2 2 2 3" xfId="1219" xr:uid="{00000000-0005-0000-0000-0000C5040000}"/>
    <cellStyle name="Normální 6 2 2 3" xfId="1220" xr:uid="{00000000-0005-0000-0000-0000C6040000}"/>
    <cellStyle name="Normální 6 2 3" xfId="1221" xr:uid="{00000000-0005-0000-0000-0000C7040000}"/>
    <cellStyle name="Normální 6 2 3 2" xfId="1222" xr:uid="{00000000-0005-0000-0000-0000C8040000}"/>
    <cellStyle name="Normální 6 2 3 2 2" xfId="1223" xr:uid="{00000000-0005-0000-0000-0000C9040000}"/>
    <cellStyle name="Normální 6 2 3 2 2 2" xfId="1224" xr:uid="{00000000-0005-0000-0000-0000CA040000}"/>
    <cellStyle name="Normální 6 2 3 2 3" xfId="1225" xr:uid="{00000000-0005-0000-0000-0000CB040000}"/>
    <cellStyle name="Normální 6 2 3 3" xfId="1226" xr:uid="{00000000-0005-0000-0000-0000CC040000}"/>
    <cellStyle name="Normální 6 2 4" xfId="1227" xr:uid="{00000000-0005-0000-0000-0000CD040000}"/>
    <cellStyle name="Normální 6 2 4 2" xfId="1228" xr:uid="{00000000-0005-0000-0000-0000CE040000}"/>
    <cellStyle name="Normální 6 2 4 2 2" xfId="1229" xr:uid="{00000000-0005-0000-0000-0000CF040000}"/>
    <cellStyle name="Normální 6 2 4 2 2 2" xfId="1230" xr:uid="{00000000-0005-0000-0000-0000D0040000}"/>
    <cellStyle name="Normální 6 2 4 2 3" xfId="1231" xr:uid="{00000000-0005-0000-0000-0000D1040000}"/>
    <cellStyle name="Normální 6 2 4 3" xfId="1232" xr:uid="{00000000-0005-0000-0000-0000D2040000}"/>
    <cellStyle name="Normální 6 2 5" xfId="1233" xr:uid="{00000000-0005-0000-0000-0000D3040000}"/>
    <cellStyle name="Normální 6 2 5 2" xfId="1234" xr:uid="{00000000-0005-0000-0000-0000D4040000}"/>
    <cellStyle name="Normální 6 2 5 2 2" xfId="1235" xr:uid="{00000000-0005-0000-0000-0000D5040000}"/>
    <cellStyle name="Normální 6 2 5 3" xfId="1236" xr:uid="{00000000-0005-0000-0000-0000D6040000}"/>
    <cellStyle name="Normální 6 2 6" xfId="1237" xr:uid="{00000000-0005-0000-0000-0000D7040000}"/>
    <cellStyle name="Normální 6 3" xfId="1238" xr:uid="{00000000-0005-0000-0000-0000D8040000}"/>
    <cellStyle name="Normální 6 3 2" xfId="1239" xr:uid="{00000000-0005-0000-0000-0000D9040000}"/>
    <cellStyle name="Normální 6 3 2 2" xfId="1240" xr:uid="{00000000-0005-0000-0000-0000DA040000}"/>
    <cellStyle name="Normální 6 3 3" xfId="1241" xr:uid="{00000000-0005-0000-0000-0000DB040000}"/>
    <cellStyle name="Normální 6 3 3 2" xfId="1242" xr:uid="{00000000-0005-0000-0000-0000DC040000}"/>
    <cellStyle name="Normální 6 3 3 2 2" xfId="1243" xr:uid="{00000000-0005-0000-0000-0000DD040000}"/>
    <cellStyle name="Normální 6 3 3 2 2 2" xfId="1244" xr:uid="{00000000-0005-0000-0000-0000DE040000}"/>
    <cellStyle name="Normální 6 3 3 2 3" xfId="1245" xr:uid="{00000000-0005-0000-0000-0000DF040000}"/>
    <cellStyle name="Normální 6 3 3 3" xfId="1246" xr:uid="{00000000-0005-0000-0000-0000E0040000}"/>
    <cellStyle name="Normální 6 3 4" xfId="1247" xr:uid="{00000000-0005-0000-0000-0000E1040000}"/>
    <cellStyle name="Normální 6 3 4 2" xfId="1248" xr:uid="{00000000-0005-0000-0000-0000E2040000}"/>
    <cellStyle name="Normální 6 3 4 2 2" xfId="1249" xr:uid="{00000000-0005-0000-0000-0000E3040000}"/>
    <cellStyle name="Normální 6 3 4 2 2 2" xfId="1250" xr:uid="{00000000-0005-0000-0000-0000E4040000}"/>
    <cellStyle name="Normální 6 3 4 2 3" xfId="1251" xr:uid="{00000000-0005-0000-0000-0000E5040000}"/>
    <cellStyle name="Normální 6 3 4 3" xfId="1252" xr:uid="{00000000-0005-0000-0000-0000E6040000}"/>
    <cellStyle name="Normální 6 3 5" xfId="1253" xr:uid="{00000000-0005-0000-0000-0000E7040000}"/>
    <cellStyle name="Normální 6 3 5 2" xfId="1254" xr:uid="{00000000-0005-0000-0000-0000E8040000}"/>
    <cellStyle name="Normální 6 3 5 2 2" xfId="1255" xr:uid="{00000000-0005-0000-0000-0000E9040000}"/>
    <cellStyle name="Normální 6 3 5 2 2 2" xfId="1256" xr:uid="{00000000-0005-0000-0000-0000EA040000}"/>
    <cellStyle name="Normální 6 3 5 2 3" xfId="1257" xr:uid="{00000000-0005-0000-0000-0000EB040000}"/>
    <cellStyle name="Normální 6 3 5 3" xfId="1258" xr:uid="{00000000-0005-0000-0000-0000EC040000}"/>
    <cellStyle name="Normální 6 3 6" xfId="1259" xr:uid="{00000000-0005-0000-0000-0000ED040000}"/>
    <cellStyle name="Normální 6 3 6 2" xfId="1260" xr:uid="{00000000-0005-0000-0000-0000EE040000}"/>
    <cellStyle name="Normální 6 3 6 2 2" xfId="1261" xr:uid="{00000000-0005-0000-0000-0000EF040000}"/>
    <cellStyle name="Normální 6 3 6 3" xfId="1262" xr:uid="{00000000-0005-0000-0000-0000F0040000}"/>
    <cellStyle name="Normální 6 3 7" xfId="1263" xr:uid="{00000000-0005-0000-0000-0000F1040000}"/>
    <cellStyle name="Normální 6 4" xfId="1264" xr:uid="{00000000-0005-0000-0000-0000F2040000}"/>
    <cellStyle name="Normální 6 4 2" xfId="1265" xr:uid="{00000000-0005-0000-0000-0000F3040000}"/>
    <cellStyle name="Normální 6 4 2 2" xfId="1266" xr:uid="{00000000-0005-0000-0000-0000F4040000}"/>
    <cellStyle name="Normální 6 4 2 2 2" xfId="1267" xr:uid="{00000000-0005-0000-0000-0000F5040000}"/>
    <cellStyle name="Normální 6 4 2 3" xfId="1268" xr:uid="{00000000-0005-0000-0000-0000F6040000}"/>
    <cellStyle name="Normální 6 4 3" xfId="1269" xr:uid="{00000000-0005-0000-0000-0000F7040000}"/>
    <cellStyle name="Normální 6 5" xfId="1270" xr:uid="{00000000-0005-0000-0000-0000F8040000}"/>
    <cellStyle name="Normální 6 5 2" xfId="1271" xr:uid="{00000000-0005-0000-0000-0000F9040000}"/>
    <cellStyle name="Normální 6 5 2 2" xfId="1272" xr:uid="{00000000-0005-0000-0000-0000FA040000}"/>
    <cellStyle name="Normální 6 5 3" xfId="1273" xr:uid="{00000000-0005-0000-0000-0000FB040000}"/>
    <cellStyle name="Normální 6 6" xfId="1274" xr:uid="{00000000-0005-0000-0000-0000FC040000}"/>
    <cellStyle name="Normální 7" xfId="1275" xr:uid="{00000000-0005-0000-0000-0000FD040000}"/>
    <cellStyle name="Normální 7 10" xfId="1276" xr:uid="{00000000-0005-0000-0000-0000FE040000}"/>
    <cellStyle name="Normální 7 2" xfId="1277" xr:uid="{00000000-0005-0000-0000-0000FF040000}"/>
    <cellStyle name="Normální 7 2 2" xfId="1278" xr:uid="{00000000-0005-0000-0000-000000050000}"/>
    <cellStyle name="Normální 7 2 2 2" xfId="1279" xr:uid="{00000000-0005-0000-0000-000001050000}"/>
    <cellStyle name="Normální 7 2 2 2 2" xfId="1280" xr:uid="{00000000-0005-0000-0000-000002050000}"/>
    <cellStyle name="Normální 7 2 2 2 2 2" xfId="1281" xr:uid="{00000000-0005-0000-0000-000003050000}"/>
    <cellStyle name="Normální 7 2 2 2 2 2 2" xfId="1282" xr:uid="{00000000-0005-0000-0000-000004050000}"/>
    <cellStyle name="Normální 7 2 2 2 2 2 2 2" xfId="1283" xr:uid="{00000000-0005-0000-0000-000005050000}"/>
    <cellStyle name="Normální 7 2 2 2 2 2 3" xfId="1284" xr:uid="{00000000-0005-0000-0000-000006050000}"/>
    <cellStyle name="Normální 7 2 2 2 2 3" xfId="1285" xr:uid="{00000000-0005-0000-0000-000007050000}"/>
    <cellStyle name="Normální 7 2 2 2 3" xfId="1286" xr:uid="{00000000-0005-0000-0000-000008050000}"/>
    <cellStyle name="Normální 7 2 2 2 3 2" xfId="1287" xr:uid="{00000000-0005-0000-0000-000009050000}"/>
    <cellStyle name="Normální 7 2 2 2 3 2 2" xfId="1288" xr:uid="{00000000-0005-0000-0000-00000A050000}"/>
    <cellStyle name="Normální 7 2 2 2 3 2 2 2" xfId="1289" xr:uid="{00000000-0005-0000-0000-00000B050000}"/>
    <cellStyle name="Normální 7 2 2 2 3 2 3" xfId="1290" xr:uid="{00000000-0005-0000-0000-00000C050000}"/>
    <cellStyle name="Normální 7 2 2 2 3 3" xfId="1291" xr:uid="{00000000-0005-0000-0000-00000D050000}"/>
    <cellStyle name="Normální 7 2 2 2 4" xfId="1292" xr:uid="{00000000-0005-0000-0000-00000E050000}"/>
    <cellStyle name="Normální 7 2 2 2 4 2" xfId="1293" xr:uid="{00000000-0005-0000-0000-00000F050000}"/>
    <cellStyle name="Normální 7 2 2 2 4 2 2" xfId="1294" xr:uid="{00000000-0005-0000-0000-000010050000}"/>
    <cellStyle name="Normální 7 2 2 2 4 3" xfId="1295" xr:uid="{00000000-0005-0000-0000-000011050000}"/>
    <cellStyle name="Normální 7 2 2 2 5" xfId="1296" xr:uid="{00000000-0005-0000-0000-000012050000}"/>
    <cellStyle name="Normální 7 2 2 3" xfId="1297" xr:uid="{00000000-0005-0000-0000-000013050000}"/>
    <cellStyle name="Normální 7 2 2 3 2" xfId="1298" xr:uid="{00000000-0005-0000-0000-000014050000}"/>
    <cellStyle name="Normální 7 2 2 3 2 2" xfId="1299" xr:uid="{00000000-0005-0000-0000-000015050000}"/>
    <cellStyle name="Normální 7 2 2 3 2 2 2" xfId="1300" xr:uid="{00000000-0005-0000-0000-000016050000}"/>
    <cellStyle name="Normální 7 2 2 3 2 2 2 2" xfId="1301" xr:uid="{00000000-0005-0000-0000-000017050000}"/>
    <cellStyle name="Normální 7 2 2 3 2 2 3" xfId="1302" xr:uid="{00000000-0005-0000-0000-000018050000}"/>
    <cellStyle name="Normální 7 2 2 3 2 3" xfId="1303" xr:uid="{00000000-0005-0000-0000-000019050000}"/>
    <cellStyle name="Normální 7 2 2 3 3" xfId="1304" xr:uid="{00000000-0005-0000-0000-00001A050000}"/>
    <cellStyle name="Normální 7 2 2 3 3 2" xfId="1305" xr:uid="{00000000-0005-0000-0000-00001B050000}"/>
    <cellStyle name="Normální 7 2 2 3 3 2 2" xfId="1306" xr:uid="{00000000-0005-0000-0000-00001C050000}"/>
    <cellStyle name="Normální 7 2 2 3 3 2 2 2" xfId="1307" xr:uid="{00000000-0005-0000-0000-00001D050000}"/>
    <cellStyle name="Normální 7 2 2 3 3 2 3" xfId="1308" xr:uid="{00000000-0005-0000-0000-00001E050000}"/>
    <cellStyle name="Normální 7 2 2 3 3 3" xfId="1309" xr:uid="{00000000-0005-0000-0000-00001F050000}"/>
    <cellStyle name="Normální 7 2 2 3 4" xfId="1310" xr:uid="{00000000-0005-0000-0000-000020050000}"/>
    <cellStyle name="Normální 7 2 2 3 4 2" xfId="1311" xr:uid="{00000000-0005-0000-0000-000021050000}"/>
    <cellStyle name="Normální 7 2 2 3 4 2 2" xfId="1312" xr:uid="{00000000-0005-0000-0000-000022050000}"/>
    <cellStyle name="Normální 7 2 2 3 4 2 2 2" xfId="1313" xr:uid="{00000000-0005-0000-0000-000023050000}"/>
    <cellStyle name="Normální 7 2 2 3 4 2 3" xfId="1314" xr:uid="{00000000-0005-0000-0000-000024050000}"/>
    <cellStyle name="Normální 7 2 2 3 4 3" xfId="1315" xr:uid="{00000000-0005-0000-0000-000025050000}"/>
    <cellStyle name="Normální 7 2 2 3 5" xfId="1316" xr:uid="{00000000-0005-0000-0000-000026050000}"/>
    <cellStyle name="Normální 7 2 2 3 5 2" xfId="1317" xr:uid="{00000000-0005-0000-0000-000027050000}"/>
    <cellStyle name="Normální 7 2 2 3 5 2 2" xfId="1318" xr:uid="{00000000-0005-0000-0000-000028050000}"/>
    <cellStyle name="Normální 7 2 2 3 5 3" xfId="1319" xr:uid="{00000000-0005-0000-0000-000029050000}"/>
    <cellStyle name="Normální 7 2 2 3 6" xfId="1320" xr:uid="{00000000-0005-0000-0000-00002A050000}"/>
    <cellStyle name="Normální 7 2 2 4" xfId="1321" xr:uid="{00000000-0005-0000-0000-00002B050000}"/>
    <cellStyle name="Normální 7 2 2 4 2" xfId="1322" xr:uid="{00000000-0005-0000-0000-00002C050000}"/>
    <cellStyle name="Normální 7 2 2 4 2 2" xfId="1323" xr:uid="{00000000-0005-0000-0000-00002D050000}"/>
    <cellStyle name="Normální 7 2 2 4 2 2 2" xfId="1324" xr:uid="{00000000-0005-0000-0000-00002E050000}"/>
    <cellStyle name="Normální 7 2 2 4 2 3" xfId="1325" xr:uid="{00000000-0005-0000-0000-00002F050000}"/>
    <cellStyle name="Normální 7 2 2 4 3" xfId="1326" xr:uid="{00000000-0005-0000-0000-000030050000}"/>
    <cellStyle name="Normální 7 2 2 5" xfId="1327" xr:uid="{00000000-0005-0000-0000-000031050000}"/>
    <cellStyle name="Normální 7 2 2 5 2" xfId="1328" xr:uid="{00000000-0005-0000-0000-000032050000}"/>
    <cellStyle name="Normální 7 2 2 5 2 2" xfId="1329" xr:uid="{00000000-0005-0000-0000-000033050000}"/>
    <cellStyle name="Normální 7 2 2 5 3" xfId="1330" xr:uid="{00000000-0005-0000-0000-000034050000}"/>
    <cellStyle name="Normální 7 2 2 6" xfId="1331" xr:uid="{00000000-0005-0000-0000-000035050000}"/>
    <cellStyle name="Normální 7 2 3" xfId="1332" xr:uid="{00000000-0005-0000-0000-000036050000}"/>
    <cellStyle name="Normální 7 2 3 2" xfId="1333" xr:uid="{00000000-0005-0000-0000-000037050000}"/>
    <cellStyle name="Normální 7 2 3 2 2" xfId="1334" xr:uid="{00000000-0005-0000-0000-000038050000}"/>
    <cellStyle name="Normální 7 2 3 2 2 2" xfId="1335" xr:uid="{00000000-0005-0000-0000-000039050000}"/>
    <cellStyle name="Normální 7 2 3 2 2 2 2" xfId="1336" xr:uid="{00000000-0005-0000-0000-00003A050000}"/>
    <cellStyle name="Normální 7 2 3 2 2 2 2 2" xfId="1337" xr:uid="{00000000-0005-0000-0000-00003B050000}"/>
    <cellStyle name="Normální 7 2 3 2 2 2 3" xfId="1338" xr:uid="{00000000-0005-0000-0000-00003C050000}"/>
    <cellStyle name="Normální 7 2 3 2 2 3" xfId="1339" xr:uid="{00000000-0005-0000-0000-00003D050000}"/>
    <cellStyle name="Normální 7 2 3 2 3" xfId="1340" xr:uid="{00000000-0005-0000-0000-00003E050000}"/>
    <cellStyle name="Normální 7 2 3 2 3 2" xfId="1341" xr:uid="{00000000-0005-0000-0000-00003F050000}"/>
    <cellStyle name="Normální 7 2 3 2 3 2 2" xfId="1342" xr:uid="{00000000-0005-0000-0000-000040050000}"/>
    <cellStyle name="Normální 7 2 3 2 3 2 2 2" xfId="1343" xr:uid="{00000000-0005-0000-0000-000041050000}"/>
    <cellStyle name="Normální 7 2 3 2 3 2 3" xfId="1344" xr:uid="{00000000-0005-0000-0000-000042050000}"/>
    <cellStyle name="Normální 7 2 3 2 3 3" xfId="1345" xr:uid="{00000000-0005-0000-0000-000043050000}"/>
    <cellStyle name="Normální 7 2 3 2 4" xfId="1346" xr:uid="{00000000-0005-0000-0000-000044050000}"/>
    <cellStyle name="Normální 7 2 3 2 4 2" xfId="1347" xr:uid="{00000000-0005-0000-0000-000045050000}"/>
    <cellStyle name="Normální 7 2 3 2 4 2 2" xfId="1348" xr:uid="{00000000-0005-0000-0000-000046050000}"/>
    <cellStyle name="Normální 7 2 3 2 4 3" xfId="1349" xr:uid="{00000000-0005-0000-0000-000047050000}"/>
    <cellStyle name="Normální 7 2 3 2 5" xfId="1350" xr:uid="{00000000-0005-0000-0000-000048050000}"/>
    <cellStyle name="Normální 7 2 3 3" xfId="1351" xr:uid="{00000000-0005-0000-0000-000049050000}"/>
    <cellStyle name="Normální 7 2 3 3 2" xfId="1352" xr:uid="{00000000-0005-0000-0000-00004A050000}"/>
    <cellStyle name="Normální 7 2 3 3 2 2" xfId="1353" xr:uid="{00000000-0005-0000-0000-00004B050000}"/>
    <cellStyle name="Normální 7 2 3 3 2 2 2" xfId="1354" xr:uid="{00000000-0005-0000-0000-00004C050000}"/>
    <cellStyle name="Normální 7 2 3 3 2 3" xfId="1355" xr:uid="{00000000-0005-0000-0000-00004D050000}"/>
    <cellStyle name="Normální 7 2 3 3 3" xfId="1356" xr:uid="{00000000-0005-0000-0000-00004E050000}"/>
    <cellStyle name="Normální 7 2 3 4" xfId="1357" xr:uid="{00000000-0005-0000-0000-00004F050000}"/>
    <cellStyle name="Normální 7 2 3 4 2" xfId="1358" xr:uid="{00000000-0005-0000-0000-000050050000}"/>
    <cellStyle name="Normální 7 2 3 4 2 2" xfId="1359" xr:uid="{00000000-0005-0000-0000-000051050000}"/>
    <cellStyle name="Normální 7 2 3 4 3" xfId="1360" xr:uid="{00000000-0005-0000-0000-000052050000}"/>
    <cellStyle name="Normální 7 2 3 5" xfId="1361" xr:uid="{00000000-0005-0000-0000-000053050000}"/>
    <cellStyle name="Normální 7 2 4" xfId="1362" xr:uid="{00000000-0005-0000-0000-000054050000}"/>
    <cellStyle name="Normální 7 2 4 2" xfId="1363" xr:uid="{00000000-0005-0000-0000-000055050000}"/>
    <cellStyle name="Normální 7 2 4 2 2" xfId="1364" xr:uid="{00000000-0005-0000-0000-000056050000}"/>
    <cellStyle name="Normální 7 2 4 2 2 2" xfId="1365" xr:uid="{00000000-0005-0000-0000-000057050000}"/>
    <cellStyle name="Normální 7 2 4 2 2 2 2" xfId="1366" xr:uid="{00000000-0005-0000-0000-000058050000}"/>
    <cellStyle name="Normální 7 2 4 2 2 2 2 2" xfId="1367" xr:uid="{00000000-0005-0000-0000-000059050000}"/>
    <cellStyle name="Normální 7 2 4 2 2 2 3" xfId="1368" xr:uid="{00000000-0005-0000-0000-00005A050000}"/>
    <cellStyle name="Normální 7 2 4 2 2 3" xfId="1369" xr:uid="{00000000-0005-0000-0000-00005B050000}"/>
    <cellStyle name="Normální 7 2 4 2 3" xfId="1370" xr:uid="{00000000-0005-0000-0000-00005C050000}"/>
    <cellStyle name="Normální 7 2 4 2 3 2" xfId="1371" xr:uid="{00000000-0005-0000-0000-00005D050000}"/>
    <cellStyle name="Normální 7 2 4 2 3 2 2" xfId="1372" xr:uid="{00000000-0005-0000-0000-00005E050000}"/>
    <cellStyle name="Normální 7 2 4 2 3 2 2 2" xfId="1373" xr:uid="{00000000-0005-0000-0000-00005F050000}"/>
    <cellStyle name="Normální 7 2 4 2 3 2 3" xfId="1374" xr:uid="{00000000-0005-0000-0000-000060050000}"/>
    <cellStyle name="Normální 7 2 4 2 3 3" xfId="1375" xr:uid="{00000000-0005-0000-0000-000061050000}"/>
    <cellStyle name="Normální 7 2 4 2 4" xfId="1376" xr:uid="{00000000-0005-0000-0000-000062050000}"/>
    <cellStyle name="Normální 7 2 4 2 4 2" xfId="1377" xr:uid="{00000000-0005-0000-0000-000063050000}"/>
    <cellStyle name="Normální 7 2 4 2 4 2 2" xfId="1378" xr:uid="{00000000-0005-0000-0000-000064050000}"/>
    <cellStyle name="Normální 7 2 4 2 4 3" xfId="1379" xr:uid="{00000000-0005-0000-0000-000065050000}"/>
    <cellStyle name="Normální 7 2 4 2 5" xfId="1380" xr:uid="{00000000-0005-0000-0000-000066050000}"/>
    <cellStyle name="Normální 7 2 4 3" xfId="1381" xr:uid="{00000000-0005-0000-0000-000067050000}"/>
    <cellStyle name="Normální 7 2 4 3 2" xfId="1382" xr:uid="{00000000-0005-0000-0000-000068050000}"/>
    <cellStyle name="Normální 7 2 4 3 2 2" xfId="1383" xr:uid="{00000000-0005-0000-0000-000069050000}"/>
    <cellStyle name="Normální 7 2 4 3 2 2 2" xfId="1384" xr:uid="{00000000-0005-0000-0000-00006A050000}"/>
    <cellStyle name="Normální 7 2 4 3 2 3" xfId="1385" xr:uid="{00000000-0005-0000-0000-00006B050000}"/>
    <cellStyle name="Normální 7 2 4 3 3" xfId="1386" xr:uid="{00000000-0005-0000-0000-00006C050000}"/>
    <cellStyle name="Normální 7 2 4 4" xfId="1387" xr:uid="{00000000-0005-0000-0000-00006D050000}"/>
    <cellStyle name="Normální 7 2 4 4 2" xfId="1388" xr:uid="{00000000-0005-0000-0000-00006E050000}"/>
    <cellStyle name="Normální 7 2 4 4 2 2" xfId="1389" xr:uid="{00000000-0005-0000-0000-00006F050000}"/>
    <cellStyle name="Normální 7 2 4 4 3" xfId="1390" xr:uid="{00000000-0005-0000-0000-000070050000}"/>
    <cellStyle name="Normální 7 2 4 5" xfId="1391" xr:uid="{00000000-0005-0000-0000-000071050000}"/>
    <cellStyle name="Normální 7 2 5" xfId="1392" xr:uid="{00000000-0005-0000-0000-000072050000}"/>
    <cellStyle name="Normální 7 2 5 2" xfId="1393" xr:uid="{00000000-0005-0000-0000-000073050000}"/>
    <cellStyle name="Normální 7 2 5 2 2" xfId="1394" xr:uid="{00000000-0005-0000-0000-000074050000}"/>
    <cellStyle name="Normální 7 2 5 2 2 2" xfId="1395" xr:uid="{00000000-0005-0000-0000-000075050000}"/>
    <cellStyle name="Normální 7 2 5 2 2 2 2" xfId="1396" xr:uid="{00000000-0005-0000-0000-000076050000}"/>
    <cellStyle name="Normální 7 2 5 2 2 2 2 2" xfId="1397" xr:uid="{00000000-0005-0000-0000-000077050000}"/>
    <cellStyle name="Normální 7 2 5 2 2 2 3" xfId="1398" xr:uid="{00000000-0005-0000-0000-000078050000}"/>
    <cellStyle name="Normální 7 2 5 2 2 3" xfId="1399" xr:uid="{00000000-0005-0000-0000-000079050000}"/>
    <cellStyle name="Normální 7 2 5 2 3" xfId="1400" xr:uid="{00000000-0005-0000-0000-00007A050000}"/>
    <cellStyle name="Normální 7 2 5 2 3 2" xfId="1401" xr:uid="{00000000-0005-0000-0000-00007B050000}"/>
    <cellStyle name="Normální 7 2 5 2 3 2 2" xfId="1402" xr:uid="{00000000-0005-0000-0000-00007C050000}"/>
    <cellStyle name="Normální 7 2 5 2 3 2 2 2" xfId="1403" xr:uid="{00000000-0005-0000-0000-00007D050000}"/>
    <cellStyle name="Normální 7 2 5 2 3 2 3" xfId="1404" xr:uid="{00000000-0005-0000-0000-00007E050000}"/>
    <cellStyle name="Normální 7 2 5 2 3 3" xfId="1405" xr:uid="{00000000-0005-0000-0000-00007F050000}"/>
    <cellStyle name="Normální 7 2 5 2 4" xfId="1406" xr:uid="{00000000-0005-0000-0000-000080050000}"/>
    <cellStyle name="Normální 7 2 5 2 4 2" xfId="1407" xr:uid="{00000000-0005-0000-0000-000081050000}"/>
    <cellStyle name="Normální 7 2 5 2 4 2 2" xfId="1408" xr:uid="{00000000-0005-0000-0000-000082050000}"/>
    <cellStyle name="Normální 7 2 5 2 4 3" xfId="1409" xr:uid="{00000000-0005-0000-0000-000083050000}"/>
    <cellStyle name="Normální 7 2 5 2 5" xfId="1410" xr:uid="{00000000-0005-0000-0000-000084050000}"/>
    <cellStyle name="Normální 7 2 5 3" xfId="1411" xr:uid="{00000000-0005-0000-0000-000085050000}"/>
    <cellStyle name="Normální 7 2 5 3 2" xfId="1412" xr:uid="{00000000-0005-0000-0000-000086050000}"/>
    <cellStyle name="Normální 7 2 5 3 2 2" xfId="1413" xr:uid="{00000000-0005-0000-0000-000087050000}"/>
    <cellStyle name="Normální 7 2 5 3 2 2 2" xfId="1414" xr:uid="{00000000-0005-0000-0000-000088050000}"/>
    <cellStyle name="Normální 7 2 5 3 2 3" xfId="1415" xr:uid="{00000000-0005-0000-0000-000089050000}"/>
    <cellStyle name="Normální 7 2 5 3 3" xfId="1416" xr:uid="{00000000-0005-0000-0000-00008A050000}"/>
    <cellStyle name="Normální 7 2 5 4" xfId="1417" xr:uid="{00000000-0005-0000-0000-00008B050000}"/>
    <cellStyle name="Normální 7 2 5 4 2" xfId="1418" xr:uid="{00000000-0005-0000-0000-00008C050000}"/>
    <cellStyle name="Normální 7 2 5 4 2 2" xfId="1419" xr:uid="{00000000-0005-0000-0000-00008D050000}"/>
    <cellStyle name="Normální 7 2 5 4 3" xfId="1420" xr:uid="{00000000-0005-0000-0000-00008E050000}"/>
    <cellStyle name="Normální 7 2 5 5" xfId="1421" xr:uid="{00000000-0005-0000-0000-00008F050000}"/>
    <cellStyle name="Normální 7 2 6" xfId="1422" xr:uid="{00000000-0005-0000-0000-000090050000}"/>
    <cellStyle name="Normální 7 2 6 2" xfId="1423" xr:uid="{00000000-0005-0000-0000-000091050000}"/>
    <cellStyle name="Normální 7 2 6 2 2" xfId="1424" xr:uid="{00000000-0005-0000-0000-000092050000}"/>
    <cellStyle name="Normální 7 2 6 2 2 2" xfId="1425" xr:uid="{00000000-0005-0000-0000-000093050000}"/>
    <cellStyle name="Normální 7 2 6 2 2 2 2" xfId="1426" xr:uid="{00000000-0005-0000-0000-000094050000}"/>
    <cellStyle name="Normální 7 2 6 2 2 3" xfId="1427" xr:uid="{00000000-0005-0000-0000-000095050000}"/>
    <cellStyle name="Normální 7 2 6 2 3" xfId="1428" xr:uid="{00000000-0005-0000-0000-000096050000}"/>
    <cellStyle name="Normální 7 2 6 3" xfId="1429" xr:uid="{00000000-0005-0000-0000-000097050000}"/>
    <cellStyle name="Normální 7 2 6 3 2" xfId="1430" xr:uid="{00000000-0005-0000-0000-000098050000}"/>
    <cellStyle name="Normální 7 2 6 3 2 2" xfId="1431" xr:uid="{00000000-0005-0000-0000-000099050000}"/>
    <cellStyle name="Normální 7 2 6 3 2 2 2" xfId="1432" xr:uid="{00000000-0005-0000-0000-00009A050000}"/>
    <cellStyle name="Normální 7 2 6 3 2 3" xfId="1433" xr:uid="{00000000-0005-0000-0000-00009B050000}"/>
    <cellStyle name="Normální 7 2 6 3 3" xfId="1434" xr:uid="{00000000-0005-0000-0000-00009C050000}"/>
    <cellStyle name="Normální 7 2 6 4" xfId="1435" xr:uid="{00000000-0005-0000-0000-00009D050000}"/>
    <cellStyle name="Normální 7 2 6 4 2" xfId="1436" xr:uid="{00000000-0005-0000-0000-00009E050000}"/>
    <cellStyle name="Normální 7 2 6 4 2 2" xfId="1437" xr:uid="{00000000-0005-0000-0000-00009F050000}"/>
    <cellStyle name="Normální 7 2 6 4 3" xfId="1438" xr:uid="{00000000-0005-0000-0000-0000A0050000}"/>
    <cellStyle name="Normální 7 2 6 5" xfId="1439" xr:uid="{00000000-0005-0000-0000-0000A1050000}"/>
    <cellStyle name="Normální 7 2 7" xfId="1440" xr:uid="{00000000-0005-0000-0000-0000A2050000}"/>
    <cellStyle name="Normální 7 2 7 2" xfId="1441" xr:uid="{00000000-0005-0000-0000-0000A3050000}"/>
    <cellStyle name="Normální 7 2 7 2 2" xfId="1442" xr:uid="{00000000-0005-0000-0000-0000A4050000}"/>
    <cellStyle name="Normální 7 2 7 2 2 2" xfId="1443" xr:uid="{00000000-0005-0000-0000-0000A5050000}"/>
    <cellStyle name="Normální 7 2 7 2 3" xfId="1444" xr:uid="{00000000-0005-0000-0000-0000A6050000}"/>
    <cellStyle name="Normální 7 2 7 3" xfId="1445" xr:uid="{00000000-0005-0000-0000-0000A7050000}"/>
    <cellStyle name="Normální 7 2 8" xfId="1446" xr:uid="{00000000-0005-0000-0000-0000A8050000}"/>
    <cellStyle name="Normální 7 2 8 2" xfId="1447" xr:uid="{00000000-0005-0000-0000-0000A9050000}"/>
    <cellStyle name="Normální 7 2 8 2 2" xfId="1448" xr:uid="{00000000-0005-0000-0000-0000AA050000}"/>
    <cellStyle name="Normální 7 2 8 3" xfId="1449" xr:uid="{00000000-0005-0000-0000-0000AB050000}"/>
    <cellStyle name="Normální 7 2 9" xfId="1450" xr:uid="{00000000-0005-0000-0000-0000AC050000}"/>
    <cellStyle name="Normální 7 3" xfId="1451" xr:uid="{00000000-0005-0000-0000-0000AD050000}"/>
    <cellStyle name="Normální 7 3 2" xfId="1452" xr:uid="{00000000-0005-0000-0000-0000AE050000}"/>
    <cellStyle name="Normální 7 3 2 2" xfId="1453" xr:uid="{00000000-0005-0000-0000-0000AF050000}"/>
    <cellStyle name="Normální 7 3 2 2 2" xfId="1454" xr:uid="{00000000-0005-0000-0000-0000B0050000}"/>
    <cellStyle name="Normální 7 3 2 2 2 2" xfId="1455" xr:uid="{00000000-0005-0000-0000-0000B1050000}"/>
    <cellStyle name="Normální 7 3 2 2 2 2 2" xfId="1456" xr:uid="{00000000-0005-0000-0000-0000B2050000}"/>
    <cellStyle name="Normální 7 3 2 2 2 2 2 2" xfId="1457" xr:uid="{00000000-0005-0000-0000-0000B3050000}"/>
    <cellStyle name="Normální 7 3 2 2 2 2 3" xfId="1458" xr:uid="{00000000-0005-0000-0000-0000B4050000}"/>
    <cellStyle name="Normální 7 3 2 2 2 3" xfId="1459" xr:uid="{00000000-0005-0000-0000-0000B5050000}"/>
    <cellStyle name="Normální 7 3 2 2 3" xfId="1460" xr:uid="{00000000-0005-0000-0000-0000B6050000}"/>
    <cellStyle name="Normální 7 3 2 2 3 2" xfId="1461" xr:uid="{00000000-0005-0000-0000-0000B7050000}"/>
    <cellStyle name="Normální 7 3 2 2 3 2 2" xfId="1462" xr:uid="{00000000-0005-0000-0000-0000B8050000}"/>
    <cellStyle name="Normální 7 3 2 2 3 2 2 2" xfId="1463" xr:uid="{00000000-0005-0000-0000-0000B9050000}"/>
    <cellStyle name="Normální 7 3 2 2 3 2 3" xfId="1464" xr:uid="{00000000-0005-0000-0000-0000BA050000}"/>
    <cellStyle name="Normální 7 3 2 2 3 3" xfId="1465" xr:uid="{00000000-0005-0000-0000-0000BB050000}"/>
    <cellStyle name="Normální 7 3 2 2 4" xfId="1466" xr:uid="{00000000-0005-0000-0000-0000BC050000}"/>
    <cellStyle name="Normální 7 3 2 2 4 2" xfId="1467" xr:uid="{00000000-0005-0000-0000-0000BD050000}"/>
    <cellStyle name="Normální 7 3 2 2 4 2 2" xfId="1468" xr:uid="{00000000-0005-0000-0000-0000BE050000}"/>
    <cellStyle name="Normální 7 3 2 2 4 3" xfId="1469" xr:uid="{00000000-0005-0000-0000-0000BF050000}"/>
    <cellStyle name="Normální 7 3 2 2 5" xfId="1470" xr:uid="{00000000-0005-0000-0000-0000C0050000}"/>
    <cellStyle name="Normální 7 3 2 3" xfId="1471" xr:uid="{00000000-0005-0000-0000-0000C1050000}"/>
    <cellStyle name="Normální 7 3 2 3 2" xfId="1472" xr:uid="{00000000-0005-0000-0000-0000C2050000}"/>
    <cellStyle name="Normální 7 3 2 3 2 2" xfId="1473" xr:uid="{00000000-0005-0000-0000-0000C3050000}"/>
    <cellStyle name="Normální 7 3 2 3 2 2 2" xfId="1474" xr:uid="{00000000-0005-0000-0000-0000C4050000}"/>
    <cellStyle name="Normální 7 3 2 3 2 3" xfId="1475" xr:uid="{00000000-0005-0000-0000-0000C5050000}"/>
    <cellStyle name="Normální 7 3 2 3 3" xfId="1476" xr:uid="{00000000-0005-0000-0000-0000C6050000}"/>
    <cellStyle name="Normální 7 3 2 4" xfId="1477" xr:uid="{00000000-0005-0000-0000-0000C7050000}"/>
    <cellStyle name="Normální 7 3 2 4 2" xfId="1478" xr:uid="{00000000-0005-0000-0000-0000C8050000}"/>
    <cellStyle name="Normální 7 3 2 4 2 2" xfId="1479" xr:uid="{00000000-0005-0000-0000-0000C9050000}"/>
    <cellStyle name="Normální 7 3 2 4 3" xfId="1480" xr:uid="{00000000-0005-0000-0000-0000CA050000}"/>
    <cellStyle name="Normální 7 3 2 5" xfId="1481" xr:uid="{00000000-0005-0000-0000-0000CB050000}"/>
    <cellStyle name="Normální 7 3 3" xfId="1482" xr:uid="{00000000-0005-0000-0000-0000CC050000}"/>
    <cellStyle name="Normální 7 3 3 2" xfId="1483" xr:uid="{00000000-0005-0000-0000-0000CD050000}"/>
    <cellStyle name="Normální 7 3 3 2 2" xfId="1484" xr:uid="{00000000-0005-0000-0000-0000CE050000}"/>
    <cellStyle name="Normální 7 3 3 2 2 2" xfId="1485" xr:uid="{00000000-0005-0000-0000-0000CF050000}"/>
    <cellStyle name="Normální 7 3 3 2 2 2 2" xfId="1486" xr:uid="{00000000-0005-0000-0000-0000D0050000}"/>
    <cellStyle name="Normální 7 3 3 2 2 3" xfId="1487" xr:uid="{00000000-0005-0000-0000-0000D1050000}"/>
    <cellStyle name="Normální 7 3 3 2 3" xfId="1488" xr:uid="{00000000-0005-0000-0000-0000D2050000}"/>
    <cellStyle name="Normální 7 3 3 3" xfId="1489" xr:uid="{00000000-0005-0000-0000-0000D3050000}"/>
    <cellStyle name="Normální 7 3 3 3 2" xfId="1490" xr:uid="{00000000-0005-0000-0000-0000D4050000}"/>
    <cellStyle name="Normální 7 3 3 3 2 2" xfId="1491" xr:uid="{00000000-0005-0000-0000-0000D5050000}"/>
    <cellStyle name="Normální 7 3 3 3 2 2 2" xfId="1492" xr:uid="{00000000-0005-0000-0000-0000D6050000}"/>
    <cellStyle name="Normální 7 3 3 3 2 3" xfId="1493" xr:uid="{00000000-0005-0000-0000-0000D7050000}"/>
    <cellStyle name="Normální 7 3 3 3 3" xfId="1494" xr:uid="{00000000-0005-0000-0000-0000D8050000}"/>
    <cellStyle name="Normální 7 3 3 4" xfId="1495" xr:uid="{00000000-0005-0000-0000-0000D9050000}"/>
    <cellStyle name="Normální 7 3 3 4 2" xfId="1496" xr:uid="{00000000-0005-0000-0000-0000DA050000}"/>
    <cellStyle name="Normální 7 3 3 4 2 2" xfId="1497" xr:uid="{00000000-0005-0000-0000-0000DB050000}"/>
    <cellStyle name="Normální 7 3 3 4 3" xfId="1498" xr:uid="{00000000-0005-0000-0000-0000DC050000}"/>
    <cellStyle name="Normální 7 3 3 5" xfId="1499" xr:uid="{00000000-0005-0000-0000-0000DD050000}"/>
    <cellStyle name="Normální 7 3 4" xfId="1500" xr:uid="{00000000-0005-0000-0000-0000DE050000}"/>
    <cellStyle name="Normální 7 3 4 2" xfId="1501" xr:uid="{00000000-0005-0000-0000-0000DF050000}"/>
    <cellStyle name="Normální 7 3 4 2 2" xfId="1502" xr:uid="{00000000-0005-0000-0000-0000E0050000}"/>
    <cellStyle name="Normální 7 3 4 2 2 2" xfId="1503" xr:uid="{00000000-0005-0000-0000-0000E1050000}"/>
    <cellStyle name="Normální 7 3 4 2 2 2 2" xfId="1504" xr:uid="{00000000-0005-0000-0000-0000E2050000}"/>
    <cellStyle name="Normální 7 3 4 2 2 3" xfId="1505" xr:uid="{00000000-0005-0000-0000-0000E3050000}"/>
    <cellStyle name="Normální 7 3 4 2 3" xfId="1506" xr:uid="{00000000-0005-0000-0000-0000E4050000}"/>
    <cellStyle name="Normální 7 3 4 3" xfId="1507" xr:uid="{00000000-0005-0000-0000-0000E5050000}"/>
    <cellStyle name="Normální 7 3 4 3 2" xfId="1508" xr:uid="{00000000-0005-0000-0000-0000E6050000}"/>
    <cellStyle name="Normální 7 3 4 3 2 2" xfId="1509" xr:uid="{00000000-0005-0000-0000-0000E7050000}"/>
    <cellStyle name="Normální 7 3 4 3 2 2 2" xfId="1510" xr:uid="{00000000-0005-0000-0000-0000E8050000}"/>
    <cellStyle name="Normální 7 3 4 3 2 3" xfId="1511" xr:uid="{00000000-0005-0000-0000-0000E9050000}"/>
    <cellStyle name="Normální 7 3 4 3 3" xfId="1512" xr:uid="{00000000-0005-0000-0000-0000EA050000}"/>
    <cellStyle name="Normální 7 3 4 4" xfId="1513" xr:uid="{00000000-0005-0000-0000-0000EB050000}"/>
    <cellStyle name="Normální 7 3 4 4 2" xfId="1514" xr:uid="{00000000-0005-0000-0000-0000EC050000}"/>
    <cellStyle name="Normální 7 3 4 4 2 2" xfId="1515" xr:uid="{00000000-0005-0000-0000-0000ED050000}"/>
    <cellStyle name="Normální 7 3 4 4 2 2 2" xfId="1516" xr:uid="{00000000-0005-0000-0000-0000EE050000}"/>
    <cellStyle name="Normální 7 3 4 4 2 3" xfId="1517" xr:uid="{00000000-0005-0000-0000-0000EF050000}"/>
    <cellStyle name="Normální 7 3 4 4 3" xfId="1518" xr:uid="{00000000-0005-0000-0000-0000F0050000}"/>
    <cellStyle name="Normální 7 3 4 5" xfId="1519" xr:uid="{00000000-0005-0000-0000-0000F1050000}"/>
    <cellStyle name="Normální 7 3 4 5 2" xfId="1520" xr:uid="{00000000-0005-0000-0000-0000F2050000}"/>
    <cellStyle name="Normální 7 3 4 5 2 2" xfId="1521" xr:uid="{00000000-0005-0000-0000-0000F3050000}"/>
    <cellStyle name="Normální 7 3 4 5 3" xfId="1522" xr:uid="{00000000-0005-0000-0000-0000F4050000}"/>
    <cellStyle name="Normální 7 3 4 6" xfId="1523" xr:uid="{00000000-0005-0000-0000-0000F5050000}"/>
    <cellStyle name="Normální 7 3 5" xfId="1524" xr:uid="{00000000-0005-0000-0000-0000F6050000}"/>
    <cellStyle name="Normální 7 3 5 2" xfId="1525" xr:uid="{00000000-0005-0000-0000-0000F7050000}"/>
    <cellStyle name="Normální 7 3 5 2 2" xfId="1526" xr:uid="{00000000-0005-0000-0000-0000F8050000}"/>
    <cellStyle name="Normální 7 3 5 2 2 2" xfId="1527" xr:uid="{00000000-0005-0000-0000-0000F9050000}"/>
    <cellStyle name="Normální 7 3 5 2 3" xfId="1528" xr:uid="{00000000-0005-0000-0000-0000FA050000}"/>
    <cellStyle name="Normální 7 3 5 3" xfId="1529" xr:uid="{00000000-0005-0000-0000-0000FB050000}"/>
    <cellStyle name="Normální 7 3 6" xfId="1530" xr:uid="{00000000-0005-0000-0000-0000FC050000}"/>
    <cellStyle name="Normální 7 3 6 2" xfId="1531" xr:uid="{00000000-0005-0000-0000-0000FD050000}"/>
    <cellStyle name="Normální 7 3 6 2 2" xfId="1532" xr:uid="{00000000-0005-0000-0000-0000FE050000}"/>
    <cellStyle name="Normální 7 3 6 3" xfId="1533" xr:uid="{00000000-0005-0000-0000-0000FF050000}"/>
    <cellStyle name="Normální 7 3 7" xfId="1534" xr:uid="{00000000-0005-0000-0000-000000060000}"/>
    <cellStyle name="Normální 7 4" xfId="1535" xr:uid="{00000000-0005-0000-0000-000001060000}"/>
    <cellStyle name="Normální 7 4 2" xfId="1536" xr:uid="{00000000-0005-0000-0000-000002060000}"/>
    <cellStyle name="Normální 7 4 2 2" xfId="1537" xr:uid="{00000000-0005-0000-0000-000003060000}"/>
    <cellStyle name="Normální 7 4 2 2 2" xfId="1538" xr:uid="{00000000-0005-0000-0000-000004060000}"/>
    <cellStyle name="Normální 7 4 2 2 2 2" xfId="1539" xr:uid="{00000000-0005-0000-0000-000005060000}"/>
    <cellStyle name="Normální 7 4 2 2 2 2 2" xfId="1540" xr:uid="{00000000-0005-0000-0000-000006060000}"/>
    <cellStyle name="Normální 7 4 2 2 2 3" xfId="1541" xr:uid="{00000000-0005-0000-0000-000007060000}"/>
    <cellStyle name="Normální 7 4 2 2 3" xfId="1542" xr:uid="{00000000-0005-0000-0000-000008060000}"/>
    <cellStyle name="Normální 7 4 2 3" xfId="1543" xr:uid="{00000000-0005-0000-0000-000009060000}"/>
    <cellStyle name="Normální 7 4 2 3 2" xfId="1544" xr:uid="{00000000-0005-0000-0000-00000A060000}"/>
    <cellStyle name="Normální 7 4 2 3 2 2" xfId="1545" xr:uid="{00000000-0005-0000-0000-00000B060000}"/>
    <cellStyle name="Normální 7 4 2 3 2 2 2" xfId="1546" xr:uid="{00000000-0005-0000-0000-00000C060000}"/>
    <cellStyle name="Normální 7 4 2 3 2 3" xfId="1547" xr:uid="{00000000-0005-0000-0000-00000D060000}"/>
    <cellStyle name="Normální 7 4 2 3 3" xfId="1548" xr:uid="{00000000-0005-0000-0000-00000E060000}"/>
    <cellStyle name="Normální 7 4 2 4" xfId="1549" xr:uid="{00000000-0005-0000-0000-00000F060000}"/>
    <cellStyle name="Normální 7 4 2 4 2" xfId="1550" xr:uid="{00000000-0005-0000-0000-000010060000}"/>
    <cellStyle name="Normální 7 4 2 4 2 2" xfId="1551" xr:uid="{00000000-0005-0000-0000-000011060000}"/>
    <cellStyle name="Normální 7 4 2 4 3" xfId="1552" xr:uid="{00000000-0005-0000-0000-000012060000}"/>
    <cellStyle name="Normální 7 4 2 5" xfId="1553" xr:uid="{00000000-0005-0000-0000-000013060000}"/>
    <cellStyle name="Normální 7 4 3" xfId="1554" xr:uid="{00000000-0005-0000-0000-000014060000}"/>
    <cellStyle name="Normální 7 4 3 2" xfId="1555" xr:uid="{00000000-0005-0000-0000-000015060000}"/>
    <cellStyle name="Normální 7 4 3 2 2" xfId="1556" xr:uid="{00000000-0005-0000-0000-000016060000}"/>
    <cellStyle name="Normální 7 4 3 2 2 2" xfId="1557" xr:uid="{00000000-0005-0000-0000-000017060000}"/>
    <cellStyle name="Normální 7 4 3 2 3" xfId="1558" xr:uid="{00000000-0005-0000-0000-000018060000}"/>
    <cellStyle name="Normální 7 4 3 3" xfId="1559" xr:uid="{00000000-0005-0000-0000-000019060000}"/>
    <cellStyle name="Normální 7 4 4" xfId="1560" xr:uid="{00000000-0005-0000-0000-00001A060000}"/>
    <cellStyle name="Normální 7 4 4 2" xfId="1561" xr:uid="{00000000-0005-0000-0000-00001B060000}"/>
    <cellStyle name="Normální 7 4 4 2 2" xfId="1562" xr:uid="{00000000-0005-0000-0000-00001C060000}"/>
    <cellStyle name="Normální 7 4 4 3" xfId="1563" xr:uid="{00000000-0005-0000-0000-00001D060000}"/>
    <cellStyle name="Normální 7 4 5" xfId="1564" xr:uid="{00000000-0005-0000-0000-00001E060000}"/>
    <cellStyle name="Normální 7 5" xfId="1565" xr:uid="{00000000-0005-0000-0000-00001F060000}"/>
    <cellStyle name="Normální 7 5 2" xfId="1566" xr:uid="{00000000-0005-0000-0000-000020060000}"/>
    <cellStyle name="Normální 7 5 2 2" xfId="1567" xr:uid="{00000000-0005-0000-0000-000021060000}"/>
    <cellStyle name="Normální 7 5 2 2 2" xfId="1568" xr:uid="{00000000-0005-0000-0000-000022060000}"/>
    <cellStyle name="Normální 7 5 2 2 2 2" xfId="1569" xr:uid="{00000000-0005-0000-0000-000023060000}"/>
    <cellStyle name="Normální 7 5 2 2 2 2 2" xfId="1570" xr:uid="{00000000-0005-0000-0000-000024060000}"/>
    <cellStyle name="Normální 7 5 2 2 2 3" xfId="1571" xr:uid="{00000000-0005-0000-0000-000025060000}"/>
    <cellStyle name="Normální 7 5 2 2 3" xfId="1572" xr:uid="{00000000-0005-0000-0000-000026060000}"/>
    <cellStyle name="Normální 7 5 2 3" xfId="1573" xr:uid="{00000000-0005-0000-0000-000027060000}"/>
    <cellStyle name="Normální 7 5 2 3 2" xfId="1574" xr:uid="{00000000-0005-0000-0000-000028060000}"/>
    <cellStyle name="Normální 7 5 2 3 2 2" xfId="1575" xr:uid="{00000000-0005-0000-0000-000029060000}"/>
    <cellStyle name="Normální 7 5 2 3 2 2 2" xfId="1576" xr:uid="{00000000-0005-0000-0000-00002A060000}"/>
    <cellStyle name="Normální 7 5 2 3 2 3" xfId="1577" xr:uid="{00000000-0005-0000-0000-00002B060000}"/>
    <cellStyle name="Normální 7 5 2 3 3" xfId="1578" xr:uid="{00000000-0005-0000-0000-00002C060000}"/>
    <cellStyle name="Normální 7 5 2 4" xfId="1579" xr:uid="{00000000-0005-0000-0000-00002D060000}"/>
    <cellStyle name="Normální 7 5 2 4 2" xfId="1580" xr:uid="{00000000-0005-0000-0000-00002E060000}"/>
    <cellStyle name="Normální 7 5 2 4 2 2" xfId="1581" xr:uid="{00000000-0005-0000-0000-00002F060000}"/>
    <cellStyle name="Normální 7 5 2 4 3" xfId="1582" xr:uid="{00000000-0005-0000-0000-000030060000}"/>
    <cellStyle name="Normální 7 5 2 5" xfId="1583" xr:uid="{00000000-0005-0000-0000-000031060000}"/>
    <cellStyle name="Normální 7 5 3" xfId="1584" xr:uid="{00000000-0005-0000-0000-000032060000}"/>
    <cellStyle name="Normální 7 5 3 2" xfId="1585" xr:uid="{00000000-0005-0000-0000-000033060000}"/>
    <cellStyle name="Normální 7 5 3 2 2" xfId="1586" xr:uid="{00000000-0005-0000-0000-000034060000}"/>
    <cellStyle name="Normální 7 5 3 2 2 2" xfId="1587" xr:uid="{00000000-0005-0000-0000-000035060000}"/>
    <cellStyle name="Normální 7 5 3 2 3" xfId="1588" xr:uid="{00000000-0005-0000-0000-000036060000}"/>
    <cellStyle name="Normální 7 5 3 3" xfId="1589" xr:uid="{00000000-0005-0000-0000-000037060000}"/>
    <cellStyle name="Normální 7 5 4" xfId="1590" xr:uid="{00000000-0005-0000-0000-000038060000}"/>
    <cellStyle name="Normální 7 5 4 2" xfId="1591" xr:uid="{00000000-0005-0000-0000-000039060000}"/>
    <cellStyle name="Normální 7 5 4 2 2" xfId="1592" xr:uid="{00000000-0005-0000-0000-00003A060000}"/>
    <cellStyle name="Normální 7 5 4 3" xfId="1593" xr:uid="{00000000-0005-0000-0000-00003B060000}"/>
    <cellStyle name="Normální 7 5 5" xfId="1594" xr:uid="{00000000-0005-0000-0000-00003C060000}"/>
    <cellStyle name="Normální 7 6" xfId="1595" xr:uid="{00000000-0005-0000-0000-00003D060000}"/>
    <cellStyle name="Normální 7 6 2" xfId="1596" xr:uid="{00000000-0005-0000-0000-00003E060000}"/>
    <cellStyle name="Normální 7 6 2 2" xfId="1597" xr:uid="{00000000-0005-0000-0000-00003F060000}"/>
    <cellStyle name="Normální 7 6 2 2 2" xfId="1598" xr:uid="{00000000-0005-0000-0000-000040060000}"/>
    <cellStyle name="Normální 7 6 2 2 2 2" xfId="1599" xr:uid="{00000000-0005-0000-0000-000041060000}"/>
    <cellStyle name="Normální 7 6 2 2 2 2 2" xfId="1600" xr:uid="{00000000-0005-0000-0000-000042060000}"/>
    <cellStyle name="Normální 7 6 2 2 2 3" xfId="1601" xr:uid="{00000000-0005-0000-0000-000043060000}"/>
    <cellStyle name="Normální 7 6 2 2 3" xfId="1602" xr:uid="{00000000-0005-0000-0000-000044060000}"/>
    <cellStyle name="Normální 7 6 2 3" xfId="1603" xr:uid="{00000000-0005-0000-0000-000045060000}"/>
    <cellStyle name="Normální 7 6 2 3 2" xfId="1604" xr:uid="{00000000-0005-0000-0000-000046060000}"/>
    <cellStyle name="Normální 7 6 2 3 2 2" xfId="1605" xr:uid="{00000000-0005-0000-0000-000047060000}"/>
    <cellStyle name="Normální 7 6 2 3 2 2 2" xfId="1606" xr:uid="{00000000-0005-0000-0000-000048060000}"/>
    <cellStyle name="Normální 7 6 2 3 2 3" xfId="1607" xr:uid="{00000000-0005-0000-0000-000049060000}"/>
    <cellStyle name="Normální 7 6 2 3 3" xfId="1608" xr:uid="{00000000-0005-0000-0000-00004A060000}"/>
    <cellStyle name="Normální 7 6 2 4" xfId="1609" xr:uid="{00000000-0005-0000-0000-00004B060000}"/>
    <cellStyle name="Normální 7 6 2 4 2" xfId="1610" xr:uid="{00000000-0005-0000-0000-00004C060000}"/>
    <cellStyle name="Normální 7 6 2 4 2 2" xfId="1611" xr:uid="{00000000-0005-0000-0000-00004D060000}"/>
    <cellStyle name="Normální 7 6 2 4 3" xfId="1612" xr:uid="{00000000-0005-0000-0000-00004E060000}"/>
    <cellStyle name="Normální 7 6 2 5" xfId="1613" xr:uid="{00000000-0005-0000-0000-00004F060000}"/>
    <cellStyle name="Normální 7 6 3" xfId="1614" xr:uid="{00000000-0005-0000-0000-000050060000}"/>
    <cellStyle name="Normální 7 6 3 2" xfId="1615" xr:uid="{00000000-0005-0000-0000-000051060000}"/>
    <cellStyle name="Normální 7 6 3 2 2" xfId="1616" xr:uid="{00000000-0005-0000-0000-000052060000}"/>
    <cellStyle name="Normální 7 6 3 2 2 2" xfId="1617" xr:uid="{00000000-0005-0000-0000-000053060000}"/>
    <cellStyle name="Normální 7 6 3 2 3" xfId="1618" xr:uid="{00000000-0005-0000-0000-000054060000}"/>
    <cellStyle name="Normální 7 6 3 3" xfId="1619" xr:uid="{00000000-0005-0000-0000-000055060000}"/>
    <cellStyle name="Normální 7 6 4" xfId="1620" xr:uid="{00000000-0005-0000-0000-000056060000}"/>
    <cellStyle name="Normální 7 6 4 2" xfId="1621" xr:uid="{00000000-0005-0000-0000-000057060000}"/>
    <cellStyle name="Normální 7 6 4 2 2" xfId="1622" xr:uid="{00000000-0005-0000-0000-000058060000}"/>
    <cellStyle name="Normální 7 6 4 3" xfId="1623" xr:uid="{00000000-0005-0000-0000-000059060000}"/>
    <cellStyle name="Normální 7 6 5" xfId="1624" xr:uid="{00000000-0005-0000-0000-00005A060000}"/>
    <cellStyle name="Normální 7 7" xfId="1625" xr:uid="{00000000-0005-0000-0000-00005B060000}"/>
    <cellStyle name="Normální 7 7 2" xfId="1626" xr:uid="{00000000-0005-0000-0000-00005C060000}"/>
    <cellStyle name="Normální 7 7 2 2" xfId="1627" xr:uid="{00000000-0005-0000-0000-00005D060000}"/>
    <cellStyle name="Normální 7 7 2 2 2" xfId="1628" xr:uid="{00000000-0005-0000-0000-00005E060000}"/>
    <cellStyle name="Normální 7 7 2 2 2 2" xfId="1629" xr:uid="{00000000-0005-0000-0000-00005F060000}"/>
    <cellStyle name="Normální 7 7 2 2 3" xfId="1630" xr:uid="{00000000-0005-0000-0000-000060060000}"/>
    <cellStyle name="Normální 7 7 2 3" xfId="1631" xr:uid="{00000000-0005-0000-0000-000061060000}"/>
    <cellStyle name="Normální 7 7 3" xfId="1632" xr:uid="{00000000-0005-0000-0000-000062060000}"/>
    <cellStyle name="Normální 7 7 3 2" xfId="1633" xr:uid="{00000000-0005-0000-0000-000063060000}"/>
    <cellStyle name="Normální 7 7 3 2 2" xfId="1634" xr:uid="{00000000-0005-0000-0000-000064060000}"/>
    <cellStyle name="Normální 7 7 3 2 2 2" xfId="1635" xr:uid="{00000000-0005-0000-0000-000065060000}"/>
    <cellStyle name="Normální 7 7 3 2 3" xfId="1636" xr:uid="{00000000-0005-0000-0000-000066060000}"/>
    <cellStyle name="Normální 7 7 3 3" xfId="1637" xr:uid="{00000000-0005-0000-0000-000067060000}"/>
    <cellStyle name="Normální 7 7 4" xfId="1638" xr:uid="{00000000-0005-0000-0000-000068060000}"/>
    <cellStyle name="Normální 7 7 4 2" xfId="1639" xr:uid="{00000000-0005-0000-0000-000069060000}"/>
    <cellStyle name="Normální 7 7 4 2 2" xfId="1640" xr:uid="{00000000-0005-0000-0000-00006A060000}"/>
    <cellStyle name="Normální 7 7 4 3" xfId="1641" xr:uid="{00000000-0005-0000-0000-00006B060000}"/>
    <cellStyle name="Normální 7 7 5" xfId="1642" xr:uid="{00000000-0005-0000-0000-00006C060000}"/>
    <cellStyle name="Normální 7 8" xfId="1643" xr:uid="{00000000-0005-0000-0000-00006D060000}"/>
    <cellStyle name="Normální 7 8 2" xfId="1644" xr:uid="{00000000-0005-0000-0000-00006E060000}"/>
    <cellStyle name="Normální 7 8 2 2" xfId="1645" xr:uid="{00000000-0005-0000-0000-00006F060000}"/>
    <cellStyle name="Normální 7 8 2 2 2" xfId="1646" xr:uid="{00000000-0005-0000-0000-000070060000}"/>
    <cellStyle name="Normální 7 8 2 3" xfId="1647" xr:uid="{00000000-0005-0000-0000-000071060000}"/>
    <cellStyle name="Normální 7 8 3" xfId="1648" xr:uid="{00000000-0005-0000-0000-000072060000}"/>
    <cellStyle name="Normální 7 9" xfId="1649" xr:uid="{00000000-0005-0000-0000-000073060000}"/>
    <cellStyle name="Normální 7 9 2" xfId="1650" xr:uid="{00000000-0005-0000-0000-000074060000}"/>
    <cellStyle name="Normální 7 9 2 2" xfId="1651" xr:uid="{00000000-0005-0000-0000-000075060000}"/>
    <cellStyle name="Normální 7 9 3" xfId="1652" xr:uid="{00000000-0005-0000-0000-000076060000}"/>
    <cellStyle name="Normální 8" xfId="1653" xr:uid="{00000000-0005-0000-0000-000077060000}"/>
    <cellStyle name="Normální 8 2" xfId="1654" xr:uid="{00000000-0005-0000-0000-000078060000}"/>
    <cellStyle name="Normální 8 2 2" xfId="1655" xr:uid="{00000000-0005-0000-0000-000079060000}"/>
    <cellStyle name="Normální 8 2 2 2" xfId="1656" xr:uid="{00000000-0005-0000-0000-00007A060000}"/>
    <cellStyle name="Normální 8 2 2 2 2" xfId="1657" xr:uid="{00000000-0005-0000-0000-00007B060000}"/>
    <cellStyle name="Normální 8 2 2 2 2 2" xfId="1658" xr:uid="{00000000-0005-0000-0000-00007C060000}"/>
    <cellStyle name="Normální 8 2 2 2 3" xfId="1659" xr:uid="{00000000-0005-0000-0000-00007D060000}"/>
    <cellStyle name="Normální 8 2 2 3" xfId="1660" xr:uid="{00000000-0005-0000-0000-00007E060000}"/>
    <cellStyle name="Normální 8 2 3" xfId="1661" xr:uid="{00000000-0005-0000-0000-00007F060000}"/>
    <cellStyle name="Normální 8 2 3 2" xfId="1662" xr:uid="{00000000-0005-0000-0000-000080060000}"/>
    <cellStyle name="Normální 8 2 3 2 2" xfId="1663" xr:uid="{00000000-0005-0000-0000-000081060000}"/>
    <cellStyle name="Normální 8 2 3 2 2 2" xfId="1664" xr:uid="{00000000-0005-0000-0000-000082060000}"/>
    <cellStyle name="Normální 8 2 3 2 3" xfId="1665" xr:uid="{00000000-0005-0000-0000-000083060000}"/>
    <cellStyle name="Normální 8 2 3 3" xfId="1666" xr:uid="{00000000-0005-0000-0000-000084060000}"/>
    <cellStyle name="Normální 8 2 4" xfId="1667" xr:uid="{00000000-0005-0000-0000-000085060000}"/>
    <cellStyle name="Normální 8 2 4 2" xfId="1668" xr:uid="{00000000-0005-0000-0000-000086060000}"/>
    <cellStyle name="Normální 8 2 4 2 2" xfId="1669" xr:uid="{00000000-0005-0000-0000-000087060000}"/>
    <cellStyle name="Normální 8 2 4 3" xfId="1670" xr:uid="{00000000-0005-0000-0000-000088060000}"/>
    <cellStyle name="Normální 8 2 5" xfId="1671" xr:uid="{00000000-0005-0000-0000-000089060000}"/>
    <cellStyle name="Normální 8 3" xfId="1672" xr:uid="{00000000-0005-0000-0000-00008A060000}"/>
    <cellStyle name="Normální 8 3 2" xfId="1673" xr:uid="{00000000-0005-0000-0000-00008B060000}"/>
    <cellStyle name="Normální 8 3 2 2" xfId="1674" xr:uid="{00000000-0005-0000-0000-00008C060000}"/>
    <cellStyle name="Normální 8 3 2 2 2" xfId="1675" xr:uid="{00000000-0005-0000-0000-00008D060000}"/>
    <cellStyle name="Normální 8 3 2 3" xfId="1676" xr:uid="{00000000-0005-0000-0000-00008E060000}"/>
    <cellStyle name="Normální 8 3 3" xfId="1677" xr:uid="{00000000-0005-0000-0000-00008F060000}"/>
    <cellStyle name="Normální 8 4" xfId="1678" xr:uid="{00000000-0005-0000-0000-000090060000}"/>
    <cellStyle name="Normální 8 4 2" xfId="1679" xr:uid="{00000000-0005-0000-0000-000091060000}"/>
    <cellStyle name="Normální 8 4 2 2" xfId="1680" xr:uid="{00000000-0005-0000-0000-000092060000}"/>
    <cellStyle name="Normální 8 4 3" xfId="1681" xr:uid="{00000000-0005-0000-0000-000093060000}"/>
    <cellStyle name="Normální 8 5" xfId="1682" xr:uid="{00000000-0005-0000-0000-000094060000}"/>
    <cellStyle name="Normální 9" xfId="1683" xr:uid="{00000000-0005-0000-0000-000095060000}"/>
    <cellStyle name="Normální 9 2" xfId="1684" xr:uid="{00000000-0005-0000-0000-000096060000}"/>
    <cellStyle name="Normální 9 2 2" xfId="1685" xr:uid="{00000000-0005-0000-0000-000097060000}"/>
    <cellStyle name="Normální 9 2 2 2" xfId="1686" xr:uid="{00000000-0005-0000-0000-000098060000}"/>
    <cellStyle name="Normální 9 2 2 2 2" xfId="1687" xr:uid="{00000000-0005-0000-0000-000099060000}"/>
    <cellStyle name="Normální 9 2 2 2 2 2" xfId="1688" xr:uid="{00000000-0005-0000-0000-00009A060000}"/>
    <cellStyle name="Normální 9 2 2 2 3" xfId="1689" xr:uid="{00000000-0005-0000-0000-00009B060000}"/>
    <cellStyle name="Normální 9 2 2 3" xfId="1690" xr:uid="{00000000-0005-0000-0000-00009C060000}"/>
    <cellStyle name="Normální 9 2 3" xfId="1691" xr:uid="{00000000-0005-0000-0000-00009D060000}"/>
    <cellStyle name="Normální 9 2 3 2" xfId="1692" xr:uid="{00000000-0005-0000-0000-00009E060000}"/>
    <cellStyle name="Normální 9 2 3 2 2" xfId="1693" xr:uid="{00000000-0005-0000-0000-00009F060000}"/>
    <cellStyle name="Normální 9 2 3 2 2 2" xfId="1694" xr:uid="{00000000-0005-0000-0000-0000A0060000}"/>
    <cellStyle name="Normální 9 2 3 2 3" xfId="1695" xr:uid="{00000000-0005-0000-0000-0000A1060000}"/>
    <cellStyle name="Normální 9 2 3 3" xfId="1696" xr:uid="{00000000-0005-0000-0000-0000A2060000}"/>
    <cellStyle name="Normální 9 2 4" xfId="1697" xr:uid="{00000000-0005-0000-0000-0000A3060000}"/>
    <cellStyle name="Normální 9 2 4 2" xfId="1698" xr:uid="{00000000-0005-0000-0000-0000A4060000}"/>
    <cellStyle name="Normální 9 2 4 2 2" xfId="1699" xr:uid="{00000000-0005-0000-0000-0000A5060000}"/>
    <cellStyle name="Normální 9 2 4 3" xfId="1700" xr:uid="{00000000-0005-0000-0000-0000A6060000}"/>
    <cellStyle name="Normální 9 2 5" xfId="1701" xr:uid="{00000000-0005-0000-0000-0000A7060000}"/>
    <cellStyle name="Normální 9 3" xfId="1702" xr:uid="{00000000-0005-0000-0000-0000A8060000}"/>
    <cellStyle name="Normální 9 3 2" xfId="1703" xr:uid="{00000000-0005-0000-0000-0000A9060000}"/>
    <cellStyle name="Normální 9 3 2 2" xfId="1704" xr:uid="{00000000-0005-0000-0000-0000AA060000}"/>
    <cellStyle name="Normální 9 3 2 2 2" xfId="1705" xr:uid="{00000000-0005-0000-0000-0000AB060000}"/>
    <cellStyle name="Normální 9 3 2 3" xfId="1706" xr:uid="{00000000-0005-0000-0000-0000AC060000}"/>
    <cellStyle name="Normální 9 3 3" xfId="1707" xr:uid="{00000000-0005-0000-0000-0000AD060000}"/>
    <cellStyle name="Normální 9 4" xfId="1708" xr:uid="{00000000-0005-0000-0000-0000AE060000}"/>
    <cellStyle name="Normální 9 4 2" xfId="1709" xr:uid="{00000000-0005-0000-0000-0000AF060000}"/>
    <cellStyle name="Normální 9 4 2 2" xfId="1710" xr:uid="{00000000-0005-0000-0000-0000B0060000}"/>
    <cellStyle name="Normální 9 4 3" xfId="1711" xr:uid="{00000000-0005-0000-0000-0000B1060000}"/>
    <cellStyle name="Normální 9 5" xfId="1712" xr:uid="{00000000-0005-0000-0000-0000B2060000}"/>
    <cellStyle name="normální_List1" xfId="1713" xr:uid="{00000000-0005-0000-0000-0000B3060000}"/>
    <cellStyle name="normální_List1_1" xfId="1714" xr:uid="{00000000-0005-0000-0000-0000B4060000}"/>
    <cellStyle name="normální_List1_Cakes" xfId="1715" xr:uid="{00000000-0005-0000-0000-0000B5060000}"/>
    <cellStyle name="Standard_B9804100" xfId="1716" xr:uid="{00000000-0005-0000-0000-0000B6060000}"/>
    <cellStyle name="Styl 1" xfId="1717" xr:uid="{00000000-0005-0000-0000-0000B7060000}"/>
    <cellStyle name="Styl 1 2" xfId="1718" xr:uid="{00000000-0005-0000-0000-0000B8060000}"/>
    <cellStyle name="Styl 1 2 2" xfId="1719" xr:uid="{00000000-0005-0000-0000-0000B9060000}"/>
    <cellStyle name="Styl 1 2 2 2" xfId="1720" xr:uid="{00000000-0005-0000-0000-0000BA060000}"/>
    <cellStyle name="Styl 1 2 2 2 2" xfId="1721" xr:uid="{00000000-0005-0000-0000-0000BB060000}"/>
    <cellStyle name="Styl 1 2 2 2 2 2" xfId="1722" xr:uid="{00000000-0005-0000-0000-0000BC060000}"/>
    <cellStyle name="Styl 1 2 2 2 2 2 2" xfId="1723" xr:uid="{00000000-0005-0000-0000-0000BD060000}"/>
    <cellStyle name="Styl 1 2 2 2 2 2 2 2" xfId="1724" xr:uid="{00000000-0005-0000-0000-0000BE060000}"/>
    <cellStyle name="Styl 1 2 2 2 2 2 3" xfId="1725" xr:uid="{00000000-0005-0000-0000-0000BF060000}"/>
    <cellStyle name="Styl 1 2 2 2 2 3" xfId="1726" xr:uid="{00000000-0005-0000-0000-0000C0060000}"/>
    <cellStyle name="Styl 1 2 2 2 3" xfId="1727" xr:uid="{00000000-0005-0000-0000-0000C1060000}"/>
    <cellStyle name="Styl 1 2 2 2 3 2" xfId="1728" xr:uid="{00000000-0005-0000-0000-0000C2060000}"/>
    <cellStyle name="Styl 1 2 2 2 3 2 2" xfId="1729" xr:uid="{00000000-0005-0000-0000-0000C3060000}"/>
    <cellStyle name="Styl 1 2 2 2 3 3" xfId="1730" xr:uid="{00000000-0005-0000-0000-0000C4060000}"/>
    <cellStyle name="Styl 1 2 2 2 4" xfId="1731" xr:uid="{00000000-0005-0000-0000-0000C5060000}"/>
    <cellStyle name="Styl 1 2 2 3" xfId="1732" xr:uid="{00000000-0005-0000-0000-0000C6060000}"/>
    <cellStyle name="Styl 1 2 2 3 2" xfId="1733" xr:uid="{00000000-0005-0000-0000-0000C7060000}"/>
    <cellStyle name="Styl 1 2 2 3 2 2" xfId="1734" xr:uid="{00000000-0005-0000-0000-0000C8060000}"/>
    <cellStyle name="Styl 1 2 2 3 3" xfId="1735" xr:uid="{00000000-0005-0000-0000-0000C9060000}"/>
    <cellStyle name="Styl 1 2 2 4" xfId="1736" xr:uid="{00000000-0005-0000-0000-0000CA060000}"/>
    <cellStyle name="Styl 1 2 3" xfId="1737" xr:uid="{00000000-0005-0000-0000-0000CB060000}"/>
    <cellStyle name="Styl 1 2 3 2" xfId="1738" xr:uid="{00000000-0005-0000-0000-0000CC060000}"/>
    <cellStyle name="Styl 1 2 3 2 2" xfId="1739" xr:uid="{00000000-0005-0000-0000-0000CD060000}"/>
    <cellStyle name="Styl 1 2 3 2 2 2" xfId="1740" xr:uid="{00000000-0005-0000-0000-0000CE060000}"/>
    <cellStyle name="Styl 1 2 3 2 2 2 2" xfId="1741" xr:uid="{00000000-0005-0000-0000-0000CF060000}"/>
    <cellStyle name="Styl 1 2 3 2 2 3" xfId="1742" xr:uid="{00000000-0005-0000-0000-0000D0060000}"/>
    <cellStyle name="Styl 1 2 3 2 3" xfId="1743" xr:uid="{00000000-0005-0000-0000-0000D1060000}"/>
    <cellStyle name="Styl 1 2 3 3" xfId="1744" xr:uid="{00000000-0005-0000-0000-0000D2060000}"/>
    <cellStyle name="Styl 1 2 3 3 2" xfId="1745" xr:uid="{00000000-0005-0000-0000-0000D3060000}"/>
    <cellStyle name="Styl 1 2 3 3 2 2" xfId="1746" xr:uid="{00000000-0005-0000-0000-0000D4060000}"/>
    <cellStyle name="Styl 1 2 3 3 2 2 2" xfId="1747" xr:uid="{00000000-0005-0000-0000-0000D5060000}"/>
    <cellStyle name="Styl 1 2 3 3 2 2 2 2" xfId="1748" xr:uid="{00000000-0005-0000-0000-0000D6060000}"/>
    <cellStyle name="Styl 1 2 3 3 2 2 3" xfId="1749" xr:uid="{00000000-0005-0000-0000-0000D7060000}"/>
    <cellStyle name="Styl 1 2 3 3 2 3" xfId="1750" xr:uid="{00000000-0005-0000-0000-0000D8060000}"/>
    <cellStyle name="Styl 1 2 3 3 3" xfId="1751" xr:uid="{00000000-0005-0000-0000-0000D9060000}"/>
    <cellStyle name="Styl 1 2 3 3 3 2" xfId="1752" xr:uid="{00000000-0005-0000-0000-0000DA060000}"/>
    <cellStyle name="Styl 1 2 3 3 3 2 2" xfId="1753" xr:uid="{00000000-0005-0000-0000-0000DB060000}"/>
    <cellStyle name="Styl 1 2 3 3 3 3" xfId="1754" xr:uid="{00000000-0005-0000-0000-0000DC060000}"/>
    <cellStyle name="Styl 1 2 3 3 4" xfId="1755" xr:uid="{00000000-0005-0000-0000-0000DD060000}"/>
    <cellStyle name="Styl 1 2 3 4" xfId="1756" xr:uid="{00000000-0005-0000-0000-0000DE060000}"/>
    <cellStyle name="Styl 1 2 3 4 2" xfId="1757" xr:uid="{00000000-0005-0000-0000-0000DF060000}"/>
    <cellStyle name="Styl 1 2 3 4 2 2" xfId="1758" xr:uid="{00000000-0005-0000-0000-0000E0060000}"/>
    <cellStyle name="Styl 1 2 3 4 3" xfId="1759" xr:uid="{00000000-0005-0000-0000-0000E1060000}"/>
    <cellStyle name="Styl 1 2 3 5" xfId="1760" xr:uid="{00000000-0005-0000-0000-0000E2060000}"/>
    <cellStyle name="Styl 1 2 4" xfId="1761" xr:uid="{00000000-0005-0000-0000-0000E3060000}"/>
    <cellStyle name="Styl 1 2 4 2" xfId="1762" xr:uid="{00000000-0005-0000-0000-0000E4060000}"/>
    <cellStyle name="Styl 1 2 4 2 2" xfId="1763" xr:uid="{00000000-0005-0000-0000-0000E5060000}"/>
    <cellStyle name="Styl 1 2 4 2 2 2" xfId="1764" xr:uid="{00000000-0005-0000-0000-0000E6060000}"/>
    <cellStyle name="Styl 1 2 4 2 2 2 2" xfId="1765" xr:uid="{00000000-0005-0000-0000-0000E7060000}"/>
    <cellStyle name="Styl 1 2 4 2 2 3" xfId="1766" xr:uid="{00000000-0005-0000-0000-0000E8060000}"/>
    <cellStyle name="Styl 1 2 4 2 3" xfId="1767" xr:uid="{00000000-0005-0000-0000-0000E9060000}"/>
    <cellStyle name="Styl 1 2 4 3" xfId="1768" xr:uid="{00000000-0005-0000-0000-0000EA060000}"/>
    <cellStyle name="Styl 1 2 4 3 2" xfId="1769" xr:uid="{00000000-0005-0000-0000-0000EB060000}"/>
    <cellStyle name="Styl 1 2 4 3 2 2" xfId="1770" xr:uid="{00000000-0005-0000-0000-0000EC060000}"/>
    <cellStyle name="Styl 1 2 4 3 3" xfId="1771" xr:uid="{00000000-0005-0000-0000-0000ED060000}"/>
    <cellStyle name="Styl 1 2 4 4" xfId="1772" xr:uid="{00000000-0005-0000-0000-0000EE060000}"/>
    <cellStyle name="Styl 1 2 5" xfId="1773" xr:uid="{00000000-0005-0000-0000-0000EF060000}"/>
    <cellStyle name="Styl 1 2 5 2" xfId="1774" xr:uid="{00000000-0005-0000-0000-0000F0060000}"/>
    <cellStyle name="Styl 1 2 5 2 2" xfId="1775" xr:uid="{00000000-0005-0000-0000-0000F1060000}"/>
    <cellStyle name="Styl 1 2 5 3" xfId="1776" xr:uid="{00000000-0005-0000-0000-0000F2060000}"/>
    <cellStyle name="Styl 1 2 6" xfId="1777" xr:uid="{00000000-0005-0000-0000-0000F3060000}"/>
    <cellStyle name="Styl 1 3" xfId="1778" xr:uid="{00000000-0005-0000-0000-0000F4060000}"/>
    <cellStyle name="Styl 1 3 2" xfId="1779" xr:uid="{00000000-0005-0000-0000-0000F5060000}"/>
    <cellStyle name="Styl 1 3 2 2" xfId="1780" xr:uid="{00000000-0005-0000-0000-0000F6060000}"/>
    <cellStyle name="Styl 1 3 2 2 2" xfId="1781" xr:uid="{00000000-0005-0000-0000-0000F7060000}"/>
    <cellStyle name="Styl 1 3 2 2 2 2" xfId="1782" xr:uid="{00000000-0005-0000-0000-0000F8060000}"/>
    <cellStyle name="Styl 1 3 2 2 3" xfId="1783" xr:uid="{00000000-0005-0000-0000-0000F9060000}"/>
    <cellStyle name="Styl 1 3 2 3" xfId="1784" xr:uid="{00000000-0005-0000-0000-0000FA060000}"/>
    <cellStyle name="Styl 1 3 3" xfId="1785" xr:uid="{00000000-0005-0000-0000-0000FB060000}"/>
    <cellStyle name="Styl 1 3 3 2" xfId="1786" xr:uid="{00000000-0005-0000-0000-0000FC060000}"/>
    <cellStyle name="Styl 1 3 3 2 2" xfId="1787" xr:uid="{00000000-0005-0000-0000-0000FD060000}"/>
    <cellStyle name="Styl 1 3 3 2 2 2" xfId="1788" xr:uid="{00000000-0005-0000-0000-0000FE060000}"/>
    <cellStyle name="Styl 1 3 3 2 2 2 2" xfId="1789" xr:uid="{00000000-0005-0000-0000-0000FF060000}"/>
    <cellStyle name="Styl 1 3 3 2 2 3" xfId="1790" xr:uid="{00000000-0005-0000-0000-000000070000}"/>
    <cellStyle name="Styl 1 3 3 2 3" xfId="1791" xr:uid="{00000000-0005-0000-0000-000001070000}"/>
    <cellStyle name="Styl 1 3 3 3" xfId="1792" xr:uid="{00000000-0005-0000-0000-000002070000}"/>
    <cellStyle name="Styl 1 3 3 3 2" xfId="1793" xr:uid="{00000000-0005-0000-0000-000003070000}"/>
    <cellStyle name="Styl 1 3 3 3 2 2" xfId="1794" xr:uid="{00000000-0005-0000-0000-000004070000}"/>
    <cellStyle name="Styl 1 3 3 3 3" xfId="1795" xr:uid="{00000000-0005-0000-0000-000005070000}"/>
    <cellStyle name="Styl 1 3 3 4" xfId="1796" xr:uid="{00000000-0005-0000-0000-000006070000}"/>
    <cellStyle name="Styl 1 3 4" xfId="1797" xr:uid="{00000000-0005-0000-0000-000007070000}"/>
    <cellStyle name="Styl 1 3 4 2" xfId="1798" xr:uid="{00000000-0005-0000-0000-000008070000}"/>
    <cellStyle name="Styl 1 3 4 2 2" xfId="1799" xr:uid="{00000000-0005-0000-0000-000009070000}"/>
    <cellStyle name="Styl 1 3 4 3" xfId="1800" xr:uid="{00000000-0005-0000-0000-00000A070000}"/>
    <cellStyle name="Styl 1 3 5" xfId="1801" xr:uid="{00000000-0005-0000-0000-00000B070000}"/>
    <cellStyle name="Styl 1 4" xfId="1802" xr:uid="{00000000-0005-0000-0000-00000C070000}"/>
    <cellStyle name="Styl 1 4 2" xfId="1803" xr:uid="{00000000-0005-0000-0000-00000D070000}"/>
    <cellStyle name="Styl 1 4 2 2" xfId="1804" xr:uid="{00000000-0005-0000-0000-00000E070000}"/>
    <cellStyle name="Styl 1 4 2 2 2" xfId="1805" xr:uid="{00000000-0005-0000-0000-00000F070000}"/>
    <cellStyle name="Styl 1 4 2 2 2 2" xfId="1806" xr:uid="{00000000-0005-0000-0000-000010070000}"/>
    <cellStyle name="Styl 1 4 2 2 3" xfId="1807" xr:uid="{00000000-0005-0000-0000-000011070000}"/>
    <cellStyle name="Styl 1 4 2 3" xfId="1808" xr:uid="{00000000-0005-0000-0000-000012070000}"/>
    <cellStyle name="Styl 1 4 3" xfId="1809" xr:uid="{00000000-0005-0000-0000-000013070000}"/>
    <cellStyle name="Styl 1 4 3 2" xfId="1810" xr:uid="{00000000-0005-0000-0000-000014070000}"/>
    <cellStyle name="Styl 1 4 3 2 2" xfId="1811" xr:uid="{00000000-0005-0000-0000-000015070000}"/>
    <cellStyle name="Styl 1 4 3 3" xfId="1812" xr:uid="{00000000-0005-0000-0000-000016070000}"/>
    <cellStyle name="Styl 1 4 4" xfId="1813" xr:uid="{00000000-0005-0000-0000-000017070000}"/>
    <cellStyle name="Styl 1 5" xfId="1814" xr:uid="{00000000-0005-0000-0000-000018070000}"/>
    <cellStyle name="Styl 1 5 2" xfId="1815" xr:uid="{00000000-0005-0000-0000-000019070000}"/>
    <cellStyle name="Styl 1 5 2 2" xfId="1816" xr:uid="{00000000-0005-0000-0000-00001A070000}"/>
    <cellStyle name="Styl 1 5 3" xfId="1817" xr:uid="{00000000-0005-0000-0000-00001B070000}"/>
    <cellStyle name="Styl 1 6" xfId="1818" xr:uid="{00000000-0005-0000-0000-00001C070000}"/>
    <cellStyle name="Styl 2" xfId="1819" xr:uid="{00000000-0005-0000-0000-00001D070000}"/>
    <cellStyle name="Styl 2 2" xfId="1820" xr:uid="{00000000-0005-0000-0000-00001E070000}"/>
    <cellStyle name="Styl 2 2 2" xfId="1821" xr:uid="{00000000-0005-0000-0000-00001F070000}"/>
    <cellStyle name="Styl 2 2 2 2" xfId="1822" xr:uid="{00000000-0005-0000-0000-000020070000}"/>
    <cellStyle name="Styl 2 2 2 2 2" xfId="1823" xr:uid="{00000000-0005-0000-0000-000021070000}"/>
    <cellStyle name="Styl 2 2 2 2 2 2" xfId="1824" xr:uid="{00000000-0005-0000-0000-000022070000}"/>
    <cellStyle name="Styl 2 2 2 2 2 2 2" xfId="1825" xr:uid="{00000000-0005-0000-0000-000023070000}"/>
    <cellStyle name="Styl 2 2 2 2 2 2 2 2" xfId="1826" xr:uid="{00000000-0005-0000-0000-000024070000}"/>
    <cellStyle name="Styl 2 2 2 2 2 2 3" xfId="1827" xr:uid="{00000000-0005-0000-0000-000025070000}"/>
    <cellStyle name="Styl 2 2 2 2 2 3" xfId="1828" xr:uid="{00000000-0005-0000-0000-000026070000}"/>
    <cellStyle name="Styl 2 2 2 2 3" xfId="1829" xr:uid="{00000000-0005-0000-0000-000027070000}"/>
    <cellStyle name="Styl 2 2 2 2 3 2" xfId="1830" xr:uid="{00000000-0005-0000-0000-000028070000}"/>
    <cellStyle name="Styl 2 2 2 2 3 2 2" xfId="1831" xr:uid="{00000000-0005-0000-0000-000029070000}"/>
    <cellStyle name="Styl 2 2 2 2 3 3" xfId="1832" xr:uid="{00000000-0005-0000-0000-00002A070000}"/>
    <cellStyle name="Styl 2 2 2 2 4" xfId="1833" xr:uid="{00000000-0005-0000-0000-00002B070000}"/>
    <cellStyle name="Styl 2 2 2 3" xfId="1834" xr:uid="{00000000-0005-0000-0000-00002C070000}"/>
    <cellStyle name="Styl 2 2 2 3 2" xfId="1835" xr:uid="{00000000-0005-0000-0000-00002D070000}"/>
    <cellStyle name="Styl 2 2 2 3 2 2" xfId="1836" xr:uid="{00000000-0005-0000-0000-00002E070000}"/>
    <cellStyle name="Styl 2 2 2 3 3" xfId="1837" xr:uid="{00000000-0005-0000-0000-00002F070000}"/>
    <cellStyle name="Styl 2 2 2 4" xfId="1838" xr:uid="{00000000-0005-0000-0000-000030070000}"/>
    <cellStyle name="Styl 2 2 3" xfId="1839" xr:uid="{00000000-0005-0000-0000-000031070000}"/>
    <cellStyle name="Styl 2 2 3 2" xfId="1840" xr:uid="{00000000-0005-0000-0000-000032070000}"/>
    <cellStyle name="Styl 2 2 3 2 2" xfId="1841" xr:uid="{00000000-0005-0000-0000-000033070000}"/>
    <cellStyle name="Styl 2 2 3 2 2 2" xfId="1842" xr:uid="{00000000-0005-0000-0000-000034070000}"/>
    <cellStyle name="Styl 2 2 3 2 2 2 2" xfId="1843" xr:uid="{00000000-0005-0000-0000-000035070000}"/>
    <cellStyle name="Styl 2 2 3 2 2 3" xfId="1844" xr:uid="{00000000-0005-0000-0000-000036070000}"/>
    <cellStyle name="Styl 2 2 3 2 3" xfId="1845" xr:uid="{00000000-0005-0000-0000-000037070000}"/>
    <cellStyle name="Styl 2 2 3 3" xfId="1846" xr:uid="{00000000-0005-0000-0000-000038070000}"/>
    <cellStyle name="Styl 2 2 3 3 2" xfId="1847" xr:uid="{00000000-0005-0000-0000-000039070000}"/>
    <cellStyle name="Styl 2 2 3 3 2 2" xfId="1848" xr:uid="{00000000-0005-0000-0000-00003A070000}"/>
    <cellStyle name="Styl 2 2 3 3 2 2 2" xfId="1849" xr:uid="{00000000-0005-0000-0000-00003B070000}"/>
    <cellStyle name="Styl 2 2 3 3 2 2 2 2" xfId="1850" xr:uid="{00000000-0005-0000-0000-00003C070000}"/>
    <cellStyle name="Styl 2 2 3 3 2 2 3" xfId="1851" xr:uid="{00000000-0005-0000-0000-00003D070000}"/>
    <cellStyle name="Styl 2 2 3 3 2 3" xfId="1852" xr:uid="{00000000-0005-0000-0000-00003E070000}"/>
    <cellStyle name="Styl 2 2 3 3 3" xfId="1853" xr:uid="{00000000-0005-0000-0000-00003F070000}"/>
    <cellStyle name="Styl 2 2 3 3 3 2" xfId="1854" xr:uid="{00000000-0005-0000-0000-000040070000}"/>
    <cellStyle name="Styl 2 2 3 3 3 2 2" xfId="1855" xr:uid="{00000000-0005-0000-0000-000041070000}"/>
    <cellStyle name="Styl 2 2 3 3 3 3" xfId="1856" xr:uid="{00000000-0005-0000-0000-000042070000}"/>
    <cellStyle name="Styl 2 2 3 3 4" xfId="1857" xr:uid="{00000000-0005-0000-0000-000043070000}"/>
    <cellStyle name="Styl 2 2 3 4" xfId="1858" xr:uid="{00000000-0005-0000-0000-000044070000}"/>
    <cellStyle name="Styl 2 2 3 4 2" xfId="1859" xr:uid="{00000000-0005-0000-0000-000045070000}"/>
    <cellStyle name="Styl 2 2 3 4 2 2" xfId="1860" xr:uid="{00000000-0005-0000-0000-000046070000}"/>
    <cellStyle name="Styl 2 2 3 4 3" xfId="1861" xr:uid="{00000000-0005-0000-0000-000047070000}"/>
    <cellStyle name="Styl 2 2 3 5" xfId="1862" xr:uid="{00000000-0005-0000-0000-000048070000}"/>
    <cellStyle name="Styl 2 2 4" xfId="1863" xr:uid="{00000000-0005-0000-0000-000049070000}"/>
    <cellStyle name="Styl 2 2 4 2" xfId="1864" xr:uid="{00000000-0005-0000-0000-00004A070000}"/>
    <cellStyle name="Styl 2 2 4 2 2" xfId="1865" xr:uid="{00000000-0005-0000-0000-00004B070000}"/>
    <cellStyle name="Styl 2 2 4 2 2 2" xfId="1866" xr:uid="{00000000-0005-0000-0000-00004C070000}"/>
    <cellStyle name="Styl 2 2 4 2 2 2 2" xfId="1867" xr:uid="{00000000-0005-0000-0000-00004D070000}"/>
    <cellStyle name="Styl 2 2 4 2 2 3" xfId="1868" xr:uid="{00000000-0005-0000-0000-00004E070000}"/>
    <cellStyle name="Styl 2 2 4 2 3" xfId="1869" xr:uid="{00000000-0005-0000-0000-00004F070000}"/>
    <cellStyle name="Styl 2 2 4 3" xfId="1870" xr:uid="{00000000-0005-0000-0000-000050070000}"/>
    <cellStyle name="Styl 2 2 4 3 2" xfId="1871" xr:uid="{00000000-0005-0000-0000-000051070000}"/>
    <cellStyle name="Styl 2 2 4 3 2 2" xfId="1872" xr:uid="{00000000-0005-0000-0000-000052070000}"/>
    <cellStyle name="Styl 2 2 4 3 3" xfId="1873" xr:uid="{00000000-0005-0000-0000-000053070000}"/>
    <cellStyle name="Styl 2 2 4 4" xfId="1874" xr:uid="{00000000-0005-0000-0000-000054070000}"/>
    <cellStyle name="Styl 2 2 5" xfId="1875" xr:uid="{00000000-0005-0000-0000-000055070000}"/>
    <cellStyle name="Styl 2 2 5 2" xfId="1876" xr:uid="{00000000-0005-0000-0000-000056070000}"/>
    <cellStyle name="Styl 2 2 5 2 2" xfId="1877" xr:uid="{00000000-0005-0000-0000-000057070000}"/>
    <cellStyle name="Styl 2 2 5 3" xfId="1878" xr:uid="{00000000-0005-0000-0000-000058070000}"/>
    <cellStyle name="Styl 2 2 6" xfId="1879" xr:uid="{00000000-0005-0000-0000-000059070000}"/>
    <cellStyle name="Styl 2 3" xfId="1880" xr:uid="{00000000-0005-0000-0000-00005A070000}"/>
    <cellStyle name="Styl 2 3 2" xfId="1881" xr:uid="{00000000-0005-0000-0000-00005B070000}"/>
    <cellStyle name="Styl 2 3 2 2" xfId="1882" xr:uid="{00000000-0005-0000-0000-00005C070000}"/>
    <cellStyle name="Styl 2 3 2 2 2" xfId="1883" xr:uid="{00000000-0005-0000-0000-00005D070000}"/>
    <cellStyle name="Styl 2 3 2 2 2 2" xfId="1884" xr:uid="{00000000-0005-0000-0000-00005E070000}"/>
    <cellStyle name="Styl 2 3 2 2 2 2 2" xfId="1885" xr:uid="{00000000-0005-0000-0000-00005F070000}"/>
    <cellStyle name="Styl 2 3 2 2 2 3" xfId="1886" xr:uid="{00000000-0005-0000-0000-000060070000}"/>
    <cellStyle name="Styl 2 3 2 2 3" xfId="1887" xr:uid="{00000000-0005-0000-0000-000061070000}"/>
    <cellStyle name="Styl 2 3 2 3" xfId="1888" xr:uid="{00000000-0005-0000-0000-000062070000}"/>
    <cellStyle name="Styl 2 3 2 3 2" xfId="1889" xr:uid="{00000000-0005-0000-0000-000063070000}"/>
    <cellStyle name="Styl 2 3 2 3 2 2" xfId="1890" xr:uid="{00000000-0005-0000-0000-000064070000}"/>
    <cellStyle name="Styl 2 3 2 3 3" xfId="1891" xr:uid="{00000000-0005-0000-0000-000065070000}"/>
    <cellStyle name="Styl 2 3 2 4" xfId="1892" xr:uid="{00000000-0005-0000-0000-000066070000}"/>
    <cellStyle name="Styl 2 3 3" xfId="1893" xr:uid="{00000000-0005-0000-0000-000067070000}"/>
    <cellStyle name="Styl 2 3 3 2" xfId="1894" xr:uid="{00000000-0005-0000-0000-000068070000}"/>
    <cellStyle name="Styl 2 3 3 2 2" xfId="1895" xr:uid="{00000000-0005-0000-0000-000069070000}"/>
    <cellStyle name="Styl 2 3 3 3" xfId="1896" xr:uid="{00000000-0005-0000-0000-00006A070000}"/>
    <cellStyle name="Styl 2 3 4" xfId="1897" xr:uid="{00000000-0005-0000-0000-00006B070000}"/>
    <cellStyle name="Styl 2 4" xfId="1898" xr:uid="{00000000-0005-0000-0000-00006C070000}"/>
    <cellStyle name="Styl 2 4 2" xfId="1899" xr:uid="{00000000-0005-0000-0000-00006D070000}"/>
    <cellStyle name="Styl 2 4 2 2" xfId="1900" xr:uid="{00000000-0005-0000-0000-00006E070000}"/>
    <cellStyle name="Styl 2 4 2 2 2" xfId="1901" xr:uid="{00000000-0005-0000-0000-00006F070000}"/>
    <cellStyle name="Styl 2 4 2 2 2 2" xfId="1902" xr:uid="{00000000-0005-0000-0000-000070070000}"/>
    <cellStyle name="Styl 2 4 2 2 3" xfId="1903" xr:uid="{00000000-0005-0000-0000-000071070000}"/>
    <cellStyle name="Styl 2 4 2 3" xfId="1904" xr:uid="{00000000-0005-0000-0000-000072070000}"/>
    <cellStyle name="Styl 2 4 3" xfId="1905" xr:uid="{00000000-0005-0000-0000-000073070000}"/>
    <cellStyle name="Styl 2 4 3 2" xfId="1906" xr:uid="{00000000-0005-0000-0000-000074070000}"/>
    <cellStyle name="Styl 2 4 3 2 2" xfId="1907" xr:uid="{00000000-0005-0000-0000-000075070000}"/>
    <cellStyle name="Styl 2 4 3 2 2 2" xfId="1908" xr:uid="{00000000-0005-0000-0000-000076070000}"/>
    <cellStyle name="Styl 2 4 3 2 2 2 2" xfId="1909" xr:uid="{00000000-0005-0000-0000-000077070000}"/>
    <cellStyle name="Styl 2 4 3 2 2 3" xfId="1910" xr:uid="{00000000-0005-0000-0000-000078070000}"/>
    <cellStyle name="Styl 2 4 3 2 3" xfId="1911" xr:uid="{00000000-0005-0000-0000-000079070000}"/>
    <cellStyle name="Styl 2 4 3 3" xfId="1912" xr:uid="{00000000-0005-0000-0000-00007A070000}"/>
    <cellStyle name="Styl 2 4 3 3 2" xfId="1913" xr:uid="{00000000-0005-0000-0000-00007B070000}"/>
    <cellStyle name="Styl 2 4 3 3 2 2" xfId="1914" xr:uid="{00000000-0005-0000-0000-00007C070000}"/>
    <cellStyle name="Styl 2 4 3 3 3" xfId="1915" xr:uid="{00000000-0005-0000-0000-00007D070000}"/>
    <cellStyle name="Styl 2 4 3 4" xfId="1916" xr:uid="{00000000-0005-0000-0000-00007E070000}"/>
    <cellStyle name="Styl 2 4 4" xfId="1917" xr:uid="{00000000-0005-0000-0000-00007F070000}"/>
    <cellStyle name="Styl 2 4 4 2" xfId="1918" xr:uid="{00000000-0005-0000-0000-000080070000}"/>
    <cellStyle name="Styl 2 4 4 2 2" xfId="1919" xr:uid="{00000000-0005-0000-0000-000081070000}"/>
    <cellStyle name="Styl 2 4 4 3" xfId="1920" xr:uid="{00000000-0005-0000-0000-000082070000}"/>
    <cellStyle name="Styl 2 4 5" xfId="1921" xr:uid="{00000000-0005-0000-0000-000083070000}"/>
    <cellStyle name="Styl 2 5" xfId="1922" xr:uid="{00000000-0005-0000-0000-000084070000}"/>
    <cellStyle name="Styl 2 5 2" xfId="1923" xr:uid="{00000000-0005-0000-0000-000085070000}"/>
    <cellStyle name="Styl 2 5 2 2" xfId="1924" xr:uid="{00000000-0005-0000-0000-000086070000}"/>
    <cellStyle name="Styl 2 5 2 2 2" xfId="1925" xr:uid="{00000000-0005-0000-0000-000087070000}"/>
    <cellStyle name="Styl 2 5 2 2 2 2" xfId="1926" xr:uid="{00000000-0005-0000-0000-000088070000}"/>
    <cellStyle name="Styl 2 5 2 2 3" xfId="1927" xr:uid="{00000000-0005-0000-0000-000089070000}"/>
    <cellStyle name="Styl 2 5 2 3" xfId="1928" xr:uid="{00000000-0005-0000-0000-00008A070000}"/>
    <cellStyle name="Styl 2 5 3" xfId="1929" xr:uid="{00000000-0005-0000-0000-00008B070000}"/>
    <cellStyle name="Styl 2 5 3 2" xfId="1930" xr:uid="{00000000-0005-0000-0000-00008C070000}"/>
    <cellStyle name="Styl 2 5 3 2 2" xfId="1931" xr:uid="{00000000-0005-0000-0000-00008D070000}"/>
    <cellStyle name="Styl 2 5 3 3" xfId="1932" xr:uid="{00000000-0005-0000-0000-00008E070000}"/>
    <cellStyle name="Styl 2 5 4" xfId="1933" xr:uid="{00000000-0005-0000-0000-00008F070000}"/>
    <cellStyle name="Styl 2 6" xfId="1934" xr:uid="{00000000-0005-0000-0000-000090070000}"/>
    <cellStyle name="Styl 2 6 2" xfId="1935" xr:uid="{00000000-0005-0000-0000-000091070000}"/>
    <cellStyle name="Styl 2 6 3" xfId="1936" xr:uid="{00000000-0005-0000-0000-000092070000}"/>
    <cellStyle name="Styl 2 7" xfId="1937" xr:uid="{00000000-0005-0000-0000-000093070000}"/>
    <cellStyle name="Styl 2 7 2" xfId="1938" xr:uid="{00000000-0005-0000-0000-000094070000}"/>
    <cellStyle name="Styl 2 7 2 2" xfId="1939" xr:uid="{00000000-0005-0000-0000-000095070000}"/>
    <cellStyle name="Styl 2 7 3" xfId="1940" xr:uid="{00000000-0005-0000-0000-000096070000}"/>
    <cellStyle name="Styl 2 8" xfId="1941" xr:uid="{00000000-0005-0000-0000-000097070000}"/>
    <cellStyle name="常规 144" xfId="1942" xr:uid="{00000000-0005-0000-0000-000098070000}"/>
    <cellStyle name="常规 144 2" xfId="1943" xr:uid="{00000000-0005-0000-0000-000099070000}"/>
    <cellStyle name="常规 144 2 2" xfId="1944" xr:uid="{00000000-0005-0000-0000-00009A070000}"/>
    <cellStyle name="常规 144 3" xfId="1945" xr:uid="{00000000-0005-0000-0000-00009B070000}"/>
    <cellStyle name="常规 2" xfId="1946" xr:uid="{00000000-0005-0000-0000-00009C070000}"/>
    <cellStyle name="常规 2 17" xfId="1947" xr:uid="{00000000-0005-0000-0000-00009D070000}"/>
    <cellStyle name="常规 2 17 2" xfId="1948" xr:uid="{00000000-0005-0000-0000-00009E070000}"/>
    <cellStyle name="常规 2 17 2 2" xfId="1949" xr:uid="{00000000-0005-0000-0000-00009F070000}"/>
    <cellStyle name="常规 2 17 2 2 2" xfId="1950" xr:uid="{00000000-0005-0000-0000-0000A0070000}"/>
    <cellStyle name="常规 2 17 2 3" xfId="1951" xr:uid="{00000000-0005-0000-0000-0000A1070000}"/>
    <cellStyle name="常规 2 17 3" xfId="1952" xr:uid="{00000000-0005-0000-0000-0000A2070000}"/>
    <cellStyle name="常规 2 2" xfId="1953" xr:uid="{00000000-0005-0000-0000-0000A3070000}"/>
    <cellStyle name="常规 2 2 2" xfId="1954" xr:uid="{00000000-0005-0000-0000-0000A4070000}"/>
    <cellStyle name="常规 2 2 2 2" xfId="1955" xr:uid="{00000000-0005-0000-0000-0000A5070000}"/>
    <cellStyle name="常规 2 2 2 2 2" xfId="1956" xr:uid="{00000000-0005-0000-0000-0000A6070000}"/>
    <cellStyle name="常规 2 2 2 2 2 2" xfId="1957" xr:uid="{00000000-0005-0000-0000-0000A7070000}"/>
    <cellStyle name="常规 2 2 2 2 3" xfId="1958" xr:uid="{00000000-0005-0000-0000-0000A8070000}"/>
    <cellStyle name="常规 2 2 3" xfId="1959" xr:uid="{00000000-0005-0000-0000-0000A9070000}"/>
    <cellStyle name="常规 2 2 3 2" xfId="1960" xr:uid="{00000000-0005-0000-0000-0000AA070000}"/>
    <cellStyle name="常规 2 2 3 2 2" xfId="1961" xr:uid="{00000000-0005-0000-0000-0000AB070000}"/>
    <cellStyle name="常规 2 2 3 2 2 2" xfId="1962" xr:uid="{00000000-0005-0000-0000-0000AC070000}"/>
    <cellStyle name="常规 2 2 3 2 2 2 2" xfId="1963" xr:uid="{00000000-0005-0000-0000-0000AD070000}"/>
    <cellStyle name="常规 2 2 3 2 2 3" xfId="1964" xr:uid="{00000000-0005-0000-0000-0000AE070000}"/>
    <cellStyle name="常规 2 2 3 3" xfId="1965" xr:uid="{00000000-0005-0000-0000-0000AF070000}"/>
    <cellStyle name="常规 2 2 3 3 2" xfId="1966" xr:uid="{00000000-0005-0000-0000-0000B0070000}"/>
    <cellStyle name="常规 2 2 3 3 2 2" xfId="1967" xr:uid="{00000000-0005-0000-0000-0000B1070000}"/>
    <cellStyle name="常规 2 2 3 3 3" xfId="1968" xr:uid="{00000000-0005-0000-0000-0000B2070000}"/>
    <cellStyle name="常规 2 2 4" xfId="1969" xr:uid="{00000000-0005-0000-0000-0000B3070000}"/>
    <cellStyle name="常规 2 2 4 2" xfId="1970" xr:uid="{00000000-0005-0000-0000-0000B4070000}"/>
    <cellStyle name="常规 2 2 4 2 2" xfId="1971" xr:uid="{00000000-0005-0000-0000-0000B5070000}"/>
    <cellStyle name="常规 2 2 4 3" xfId="1972" xr:uid="{00000000-0005-0000-0000-0000B6070000}"/>
    <cellStyle name="常规 2 3" xfId="1973" xr:uid="{00000000-0005-0000-0000-0000B7070000}"/>
    <cellStyle name="常规 2 3 2" xfId="1974" xr:uid="{00000000-0005-0000-0000-0000B8070000}"/>
    <cellStyle name="常规 2 3 2 2" xfId="1975" xr:uid="{00000000-0005-0000-0000-0000B9070000}"/>
    <cellStyle name="常规 2 3 2 2 2" xfId="1976" xr:uid="{00000000-0005-0000-0000-0000BA070000}"/>
    <cellStyle name="常规 2 3 2 2 2 2" xfId="1977" xr:uid="{00000000-0005-0000-0000-0000BB070000}"/>
    <cellStyle name="常规 2 3 2 2 3" xfId="1978" xr:uid="{00000000-0005-0000-0000-0000BC070000}"/>
    <cellStyle name="常规 2 3 3" xfId="1979" xr:uid="{00000000-0005-0000-0000-0000BD070000}"/>
    <cellStyle name="常规 2 3 3 2" xfId="1980" xr:uid="{00000000-0005-0000-0000-0000BE070000}"/>
    <cellStyle name="常规 2 3 3 2 2" xfId="1981" xr:uid="{00000000-0005-0000-0000-0000BF070000}"/>
    <cellStyle name="常规 2 3 3 3" xfId="1982" xr:uid="{00000000-0005-0000-0000-0000C0070000}"/>
    <cellStyle name="常规 2 4" xfId="1983" xr:uid="{00000000-0005-0000-0000-0000C1070000}"/>
    <cellStyle name="常规 2 4 2" xfId="1984" xr:uid="{00000000-0005-0000-0000-0000C2070000}"/>
    <cellStyle name="常规 2 4 2 2" xfId="1985" xr:uid="{00000000-0005-0000-0000-0000C3070000}"/>
    <cellStyle name="常规 2 4 3" xfId="1986" xr:uid="{00000000-0005-0000-0000-0000C4070000}"/>
    <cellStyle name="常规 3" xfId="1987" xr:uid="{00000000-0005-0000-0000-0000C5070000}"/>
    <cellStyle name="常规 3 14" xfId="1988" xr:uid="{00000000-0005-0000-0000-0000C6070000}"/>
    <cellStyle name="常规 3 14 2" xfId="1989" xr:uid="{00000000-0005-0000-0000-0000C7070000}"/>
    <cellStyle name="超链接 2" xfId="1990" xr:uid="{00000000-0005-0000-0000-0000C8070000}"/>
    <cellStyle name="超链接 2 2" xfId="1991" xr:uid="{00000000-0005-0000-0000-0000C9070000}"/>
    <cellStyle name="超链接 2 2 2" xfId="1992" xr:uid="{00000000-0005-0000-0000-0000CA070000}"/>
    <cellStyle name="超链接 2 2 2 2" xfId="1993" xr:uid="{00000000-0005-0000-0000-0000CB070000}"/>
    <cellStyle name="超链接 2 2 2 2 2" xfId="1994" xr:uid="{00000000-0005-0000-0000-0000CC070000}"/>
    <cellStyle name="超链接 2 2 2 2 2 2" xfId="1995" xr:uid="{00000000-0005-0000-0000-0000CD070000}"/>
    <cellStyle name="超链接 2 2 2 2 2 2 2" xfId="1996" xr:uid="{00000000-0005-0000-0000-0000CE070000}"/>
    <cellStyle name="超链接 2 2 2 2 2 3" xfId="1997" xr:uid="{00000000-0005-0000-0000-0000CF070000}"/>
    <cellStyle name="超链接 2 2 2 2 3" xfId="1998" xr:uid="{00000000-0005-0000-0000-0000D0070000}"/>
    <cellStyle name="超链接 2 2 2 3" xfId="1999" xr:uid="{00000000-0005-0000-0000-0000D1070000}"/>
    <cellStyle name="超链接 2 2 2 3 2" xfId="2000" xr:uid="{00000000-0005-0000-0000-0000D2070000}"/>
    <cellStyle name="超链接 2 2 2 3 2 2" xfId="2001" xr:uid="{00000000-0005-0000-0000-0000D3070000}"/>
    <cellStyle name="超链接 2 2 2 3 2 2 2" xfId="2002" xr:uid="{00000000-0005-0000-0000-0000D4070000}"/>
    <cellStyle name="超链接 2 2 2 3 2 2 2 2" xfId="2003" xr:uid="{00000000-0005-0000-0000-0000D5070000}"/>
    <cellStyle name="超链接 2 2 2 3 2 2 3" xfId="2004" xr:uid="{00000000-0005-0000-0000-0000D6070000}"/>
    <cellStyle name="超链接 2 2 2 3 2 3" xfId="2005" xr:uid="{00000000-0005-0000-0000-0000D7070000}"/>
    <cellStyle name="超链接 2 2 2 3 3" xfId="2006" xr:uid="{00000000-0005-0000-0000-0000D8070000}"/>
    <cellStyle name="超链接 2 2 2 3 3 2" xfId="2007" xr:uid="{00000000-0005-0000-0000-0000D9070000}"/>
    <cellStyle name="超链接 2 2 2 3 3 2 2" xfId="2008" xr:uid="{00000000-0005-0000-0000-0000DA070000}"/>
    <cellStyle name="超链接 2 2 2 3 3 3" xfId="2009" xr:uid="{00000000-0005-0000-0000-0000DB070000}"/>
    <cellStyle name="超链接 2 2 2 3 4" xfId="2010" xr:uid="{00000000-0005-0000-0000-0000DC070000}"/>
    <cellStyle name="超链接 2 2 2 4" xfId="2011" xr:uid="{00000000-0005-0000-0000-0000DD070000}"/>
    <cellStyle name="超链接 2 2 2 4 2" xfId="2012" xr:uid="{00000000-0005-0000-0000-0000DE070000}"/>
    <cellStyle name="超链接 2 2 2 4 2 2" xfId="2013" xr:uid="{00000000-0005-0000-0000-0000DF070000}"/>
    <cellStyle name="超链接 2 2 2 4 3" xfId="2014" xr:uid="{00000000-0005-0000-0000-0000E0070000}"/>
    <cellStyle name="超链接 2 2 2 5" xfId="2015" xr:uid="{00000000-0005-0000-0000-0000E1070000}"/>
    <cellStyle name="超链接 2 2 3" xfId="2016" xr:uid="{00000000-0005-0000-0000-0000E2070000}"/>
    <cellStyle name="超链接 2 2 3 2" xfId="2017" xr:uid="{00000000-0005-0000-0000-0000E3070000}"/>
    <cellStyle name="超链接 2 2 3 2 2" xfId="2018" xr:uid="{00000000-0005-0000-0000-0000E4070000}"/>
    <cellStyle name="超链接 2 2 3 2 2 2" xfId="2019" xr:uid="{00000000-0005-0000-0000-0000E5070000}"/>
    <cellStyle name="超链接 2 2 3 2 2 2 2" xfId="2020" xr:uid="{00000000-0005-0000-0000-0000E6070000}"/>
    <cellStyle name="超链接 2 2 3 2 2 3" xfId="2021" xr:uid="{00000000-0005-0000-0000-0000E7070000}"/>
    <cellStyle name="超链接 2 2 3 2 3" xfId="2022" xr:uid="{00000000-0005-0000-0000-0000E8070000}"/>
    <cellStyle name="超链接 2 2 3 3" xfId="2023" xr:uid="{00000000-0005-0000-0000-0000E9070000}"/>
    <cellStyle name="超链接 2 2 3 3 2" xfId="2024" xr:uid="{00000000-0005-0000-0000-0000EA070000}"/>
    <cellStyle name="超链接 2 2 3 3 2 2" xfId="2025" xr:uid="{00000000-0005-0000-0000-0000EB070000}"/>
    <cellStyle name="超链接 2 2 3 3 3" xfId="2026" xr:uid="{00000000-0005-0000-0000-0000EC070000}"/>
    <cellStyle name="超链接 2 2 3 4" xfId="2027" xr:uid="{00000000-0005-0000-0000-0000ED070000}"/>
    <cellStyle name="超链接 2 2 4" xfId="2028" xr:uid="{00000000-0005-0000-0000-0000EE070000}"/>
    <cellStyle name="超链接 2 2 4 2" xfId="2029" xr:uid="{00000000-0005-0000-0000-0000EF070000}"/>
    <cellStyle name="超链接 2 2 4 2 2" xfId="2030" xr:uid="{00000000-0005-0000-0000-0000F0070000}"/>
    <cellStyle name="超链接 2 2 4 3" xfId="2031" xr:uid="{00000000-0005-0000-0000-0000F1070000}"/>
    <cellStyle name="超链接 2 2 5" xfId="2032" xr:uid="{00000000-0005-0000-0000-0000F2070000}"/>
    <cellStyle name="超链接 2 3" xfId="2033" xr:uid="{00000000-0005-0000-0000-0000F3070000}"/>
    <cellStyle name="超链接 2 3 2" xfId="2034" xr:uid="{00000000-0005-0000-0000-0000F4070000}"/>
    <cellStyle name="超链接 2 3 2 2" xfId="2035" xr:uid="{00000000-0005-0000-0000-0000F5070000}"/>
    <cellStyle name="超链接 2 3 2 2 2" xfId="2036" xr:uid="{00000000-0005-0000-0000-0000F6070000}"/>
    <cellStyle name="超链接 2 3 2 2 2 2" xfId="2037" xr:uid="{00000000-0005-0000-0000-0000F7070000}"/>
    <cellStyle name="超链接 2 3 2 2 3" xfId="2038" xr:uid="{00000000-0005-0000-0000-0000F8070000}"/>
    <cellStyle name="超链接 2 3 2 3" xfId="2039" xr:uid="{00000000-0005-0000-0000-0000F9070000}"/>
    <cellStyle name="超链接 2 3 3" xfId="2040" xr:uid="{00000000-0005-0000-0000-0000FA070000}"/>
    <cellStyle name="超链接 2 3 3 2" xfId="2041" xr:uid="{00000000-0005-0000-0000-0000FB070000}"/>
    <cellStyle name="超链接 2 3 3 2 2" xfId="2042" xr:uid="{00000000-0005-0000-0000-0000FC070000}"/>
    <cellStyle name="超链接 2 3 3 2 2 2" xfId="2043" xr:uid="{00000000-0005-0000-0000-0000FD070000}"/>
    <cellStyle name="超链接 2 3 3 2 2 2 2" xfId="2044" xr:uid="{00000000-0005-0000-0000-0000FE070000}"/>
    <cellStyle name="超链接 2 3 3 2 2 3" xfId="2045" xr:uid="{00000000-0005-0000-0000-0000FF070000}"/>
    <cellStyle name="超链接 2 3 3 2 3" xfId="2046" xr:uid="{00000000-0005-0000-0000-000000080000}"/>
    <cellStyle name="超链接 2 3 3 3" xfId="2047" xr:uid="{00000000-0005-0000-0000-000001080000}"/>
    <cellStyle name="超链接 2 3 3 3 2" xfId="2048" xr:uid="{00000000-0005-0000-0000-000002080000}"/>
    <cellStyle name="超链接 2 3 3 3 2 2" xfId="2049" xr:uid="{00000000-0005-0000-0000-000003080000}"/>
    <cellStyle name="超链接 2 3 3 3 3" xfId="2050" xr:uid="{00000000-0005-0000-0000-000004080000}"/>
    <cellStyle name="超链接 2 3 3 4" xfId="2051" xr:uid="{00000000-0005-0000-0000-000005080000}"/>
    <cellStyle name="超链接 2 3 4" xfId="2052" xr:uid="{00000000-0005-0000-0000-000006080000}"/>
    <cellStyle name="超链接 2 3 4 2" xfId="2053" xr:uid="{00000000-0005-0000-0000-000007080000}"/>
    <cellStyle name="超链接 2 3 4 2 2" xfId="2054" xr:uid="{00000000-0005-0000-0000-000008080000}"/>
    <cellStyle name="超链接 2 3 4 3" xfId="2055" xr:uid="{00000000-0005-0000-0000-000009080000}"/>
    <cellStyle name="超链接 2 3 5" xfId="2056" xr:uid="{00000000-0005-0000-0000-00000A080000}"/>
    <cellStyle name="超链接 2 4" xfId="2057" xr:uid="{00000000-0005-0000-0000-00000B080000}"/>
    <cellStyle name="超链接 2 4 2" xfId="2058" xr:uid="{00000000-0005-0000-0000-00000C080000}"/>
    <cellStyle name="超链接 2 4 2 2" xfId="2059" xr:uid="{00000000-0005-0000-0000-00000D080000}"/>
    <cellStyle name="超链接 2 4 2 2 2" xfId="2060" xr:uid="{00000000-0005-0000-0000-00000E080000}"/>
    <cellStyle name="超链接 2 4 2 2 2 2" xfId="2061" xr:uid="{00000000-0005-0000-0000-00000F080000}"/>
    <cellStyle name="超链接 2 4 2 2 3" xfId="2062" xr:uid="{00000000-0005-0000-0000-000010080000}"/>
    <cellStyle name="超链接 2 4 2 3" xfId="2063" xr:uid="{00000000-0005-0000-0000-000011080000}"/>
    <cellStyle name="超链接 2 4 3" xfId="2064" xr:uid="{00000000-0005-0000-0000-000012080000}"/>
    <cellStyle name="超链接 2 4 3 2" xfId="2065" xr:uid="{00000000-0005-0000-0000-000013080000}"/>
    <cellStyle name="超链接 2 4 3 2 2" xfId="2066" xr:uid="{00000000-0005-0000-0000-000014080000}"/>
    <cellStyle name="超链接 2 4 3 3" xfId="2067" xr:uid="{00000000-0005-0000-0000-000015080000}"/>
    <cellStyle name="超链接 2 4 4" xfId="2068" xr:uid="{00000000-0005-0000-0000-000016080000}"/>
    <cellStyle name="超链接 2 5" xfId="2069" xr:uid="{00000000-0005-0000-0000-000017080000}"/>
    <cellStyle name="超链接 2 5 2" xfId="2070" xr:uid="{00000000-0005-0000-0000-000018080000}"/>
    <cellStyle name="超链接 2 5 2 2" xfId="2071" xr:uid="{00000000-0005-0000-0000-000019080000}"/>
    <cellStyle name="超链接 2 5 3" xfId="2072" xr:uid="{00000000-0005-0000-0000-00001A080000}"/>
    <cellStyle name="超链接 2 6" xfId="2073" xr:uid="{00000000-0005-0000-0000-00001B080000}"/>
  </cellStyles>
  <dxfs count="20">
    <dxf>
      <fill>
        <patternFill>
          <bgColor theme="0"/>
        </patternFill>
      </fill>
      <border>
        <left/>
        <right/>
        <top/>
        <bottom/>
        <vertical/>
        <horizontal/>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val="0"/>
        <i/>
        <strike/>
        <color theme="0" tint="-0.34998626667073579"/>
      </font>
      <fill>
        <patternFill>
          <bgColor theme="1"/>
        </patternFill>
      </fill>
    </dxf>
    <dxf>
      <font>
        <color rgb="FF9C0006"/>
      </font>
      <fill>
        <patternFill>
          <bgColor rgb="FFFFC7CE"/>
        </patternFill>
      </fill>
    </dxf>
    <dxf>
      <font>
        <b/>
        <i/>
        <color rgb="FFFF0000"/>
      </font>
      <fill>
        <gradientFill type="path" left="0.5" right="0.5" top="0.5" bottom="0.5">
          <stop position="0">
            <color rgb="FFFFFF00"/>
          </stop>
          <stop position="1">
            <color theme="9" tint="0.80001220740379042"/>
          </stop>
        </gradientFill>
      </fill>
      <border>
        <left style="thin">
          <color theme="0" tint="-0.14996795556505021"/>
        </left>
        <right style="thin">
          <color theme="0" tint="-0.14996795556505021"/>
        </right>
        <top style="thin">
          <color auto="1"/>
        </top>
        <bottom style="thin">
          <color auto="1"/>
        </bottom>
      </border>
    </dxf>
    <dxf>
      <font>
        <b/>
        <i val="0"/>
        <color rgb="FFFF0000"/>
      </font>
      <fill>
        <patternFill>
          <bgColor rgb="FFFFFF00"/>
        </patternFill>
      </fill>
      <border>
        <left style="dashed">
          <color rgb="FFFF0000"/>
        </left>
        <right style="dashed">
          <color rgb="FFFF0000"/>
        </right>
        <top style="dashed">
          <color rgb="FFFF0000"/>
        </top>
        <bottom style="dashed">
          <color rgb="FFFF0000"/>
        </bottom>
        <vertical/>
        <horizontal/>
      </border>
    </dxf>
    <dxf>
      <font>
        <b/>
        <i val="0"/>
        <color rgb="FFFF0000"/>
      </font>
      <fill>
        <patternFill>
          <bgColor rgb="FFFFFF00"/>
        </patternFill>
      </fill>
      <border>
        <left style="dashed">
          <color rgb="FFFF0000"/>
        </left>
        <right style="dashed">
          <color rgb="FFFF0000"/>
        </right>
        <top style="dashed">
          <color rgb="FFFF0000"/>
        </top>
        <bottom style="dashed">
          <color rgb="FFFF0000"/>
        </bottom>
        <vertical/>
        <horizontal/>
      </border>
    </dxf>
    <dxf>
      <font>
        <color rgb="FFFF0000"/>
      </font>
    </dxf>
    <dxf>
      <font>
        <color rgb="FFFF0000"/>
      </font>
    </dxf>
    <dxf>
      <font>
        <b/>
        <i/>
        <color rgb="FFFF0000"/>
      </font>
      <fill>
        <gradientFill type="path" left="0.5" right="0.5" top="0.5" bottom="0.5">
          <stop position="0">
            <color rgb="FFFFFF00"/>
          </stop>
          <stop position="1">
            <color theme="9" tint="0.80001220740379042"/>
          </stop>
        </gradientFill>
      </fill>
      <border>
        <left style="thin">
          <color theme="0" tint="-0.24994659260841701"/>
        </left>
        <right style="thin">
          <color theme="0" tint="-0.24994659260841701"/>
        </right>
        <top style="thin">
          <color auto="1"/>
        </top>
        <bottom style="thin">
          <color auto="1"/>
        </bottom>
        <vertical/>
        <horizontal/>
      </border>
    </dxf>
    <dxf>
      <font>
        <b val="0"/>
        <i/>
        <strike/>
        <color theme="0" tint="-0.34998626667073579"/>
      </font>
      <fill>
        <patternFill>
          <bgColor theme="1"/>
        </patternFill>
      </fill>
    </dxf>
    <dxf>
      <font>
        <b val="0"/>
        <i val="0"/>
      </font>
      <fill>
        <gradientFill type="path" left="0.5" right="0.5" top="0.5" bottom="0.5">
          <stop position="0">
            <color rgb="FFFFFF00"/>
          </stop>
          <stop position="1">
            <color theme="0"/>
          </stop>
        </gradientFill>
      </fill>
      <border>
        <left style="thin">
          <color theme="0" tint="-0.24994659260841701"/>
        </left>
        <right style="thin">
          <color theme="0" tint="-0.24994659260841701"/>
        </right>
        <top style="thin">
          <color auto="1"/>
        </top>
        <bottom style="thin">
          <color auto="1"/>
        </bottom>
      </border>
    </dxf>
    <dxf>
      <font>
        <b/>
        <i val="0"/>
      </font>
      <fill>
        <gradientFill type="path" left="0.5" right="0.5" top="0.5" bottom="0.5">
          <stop position="0">
            <color rgb="FFFFC000"/>
          </stop>
          <stop position="1">
            <color theme="9" tint="0.80001220740379042"/>
          </stop>
        </gradientFill>
      </fill>
      <border>
        <left style="thin">
          <color theme="0" tint="-0.24994659260841701"/>
        </left>
        <right style="thin">
          <color theme="0" tint="-0.24994659260841701"/>
        </right>
        <top style="thin">
          <color auto="1"/>
        </top>
        <bottom style="thin">
          <color auto="1"/>
        </bottom>
      </border>
    </dxf>
    <dxf>
      <font>
        <b/>
        <i val="0"/>
        <strike val="0"/>
        <color theme="0"/>
      </font>
      <fill>
        <gradientFill degree="90">
          <stop position="0">
            <color theme="0" tint="-0.1490218817712943"/>
          </stop>
          <stop position="0.5">
            <color theme="1"/>
          </stop>
          <stop position="1">
            <color theme="0" tint="-0.1490218817712943"/>
          </stop>
        </gradientFill>
      </fill>
      <border>
        <left/>
        <right/>
        <top style="thin">
          <color auto="1"/>
        </top>
        <bottom style="thin">
          <color auto="1"/>
        </bottom>
        <vertical/>
        <horizontal/>
      </border>
    </dxf>
    <dxf>
      <font>
        <color theme="1"/>
      </font>
      <fill>
        <patternFill>
          <bgColor theme="1"/>
        </patternFill>
      </fill>
      <border>
        <left style="thin">
          <color auto="1"/>
        </left>
        <right style="thin">
          <color auto="1"/>
        </right>
        <top style="thin">
          <color auto="1"/>
        </top>
        <bottom style="thin">
          <color auto="1"/>
        </bottom>
      </border>
    </dxf>
  </dxfs>
  <tableStyles count="0" defaultTableStyle="TableStyleMedium2" defaultPivotStyle="PivotStyleLight16"/>
  <colors>
    <mruColors>
      <color rgb="FF8E8E8E"/>
      <color rgb="FF898477"/>
      <color rgb="FFD9D9D9"/>
      <color rgb="FF595959"/>
      <color rgb="FFFAC092"/>
      <color rgb="FFA6A6A6"/>
      <color rgb="FF5C2C04"/>
      <color rgb="FF663300"/>
      <color rgb="FFF79646"/>
      <color rgb="FFE9572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connections" Target="connection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s>
</file>

<file path=xl/ctrlProps/ctrlProp1.xml><?xml version="1.0" encoding="utf-8"?>
<formControlPr xmlns="http://schemas.microsoft.com/office/spreadsheetml/2009/9/main" objectType="Drop" dropLines="2" dropStyle="combo" dx="22" fmlaLink="$Z$6" fmlaRange="$Z$4:$Z$5" sel="2" val="0"/>
</file>

<file path=xl/ctrlProps/ctrlProp10.xml><?xml version="1.0" encoding="utf-8"?>
<formControlPr xmlns="http://schemas.microsoft.com/office/spreadsheetml/2009/9/main" objectType="Radio" noThreeD="1"/>
</file>

<file path=xl/ctrlProps/ctrlProp11.xml><?xml version="1.0" encoding="utf-8"?>
<formControlPr xmlns="http://schemas.microsoft.com/office/spreadsheetml/2009/9/main" objectType="Radio" noThreeD="1"/>
</file>

<file path=xl/ctrlProps/ctrlProp12.xml><?xml version="1.0" encoding="utf-8"?>
<formControlPr xmlns="http://schemas.microsoft.com/office/spreadsheetml/2009/9/main" objectType="Radio" noThreeD="1"/>
</file>

<file path=xl/ctrlProps/ctrlProp13.xml><?xml version="1.0" encoding="utf-8"?>
<formControlPr xmlns="http://schemas.microsoft.com/office/spreadsheetml/2009/9/main" objectType="Radio" noThreeD="1"/>
</file>

<file path=xl/ctrlProps/ctrlProp14.xml><?xml version="1.0" encoding="utf-8"?>
<formControlPr xmlns="http://schemas.microsoft.com/office/spreadsheetml/2009/9/main" objectType="CheckBox" fmlaLink="$AH$1" lockText="1"/>
</file>

<file path=xl/ctrlProps/ctrlProp15.xml><?xml version="1.0" encoding="utf-8"?>
<formControlPr xmlns="http://schemas.microsoft.com/office/spreadsheetml/2009/9/main" objectType="Drop" dropLines="2" dropStyle="combo" dx="22" fmlaLink="$AO$1" fmlaRange="$AO$2:$AO$3" sel="1" val="0"/>
</file>

<file path=xl/ctrlProps/ctrlProp2.xml><?xml version="1.0" encoding="utf-8"?>
<formControlPr xmlns="http://schemas.microsoft.com/office/spreadsheetml/2009/9/main" objectType="Radio" firstButton="1" fmlaLink="$Z$7" noThreeD="1"/>
</file>

<file path=xl/ctrlProps/ctrlProp3.xml><?xml version="1.0" encoding="utf-8"?>
<formControlPr xmlns="http://schemas.microsoft.com/office/spreadsheetml/2009/9/main" objectType="Radio" checked="Checked" noThreeD="1"/>
</file>

<file path=xl/ctrlProps/ctrlProp4.xml><?xml version="1.0" encoding="utf-8"?>
<formControlPr xmlns="http://schemas.microsoft.com/office/spreadsheetml/2009/9/main" objectType="Radio" noThreeD="1"/>
</file>

<file path=xl/ctrlProps/ctrlProp5.xml><?xml version="1.0" encoding="utf-8"?>
<formControlPr xmlns="http://schemas.microsoft.com/office/spreadsheetml/2009/9/main" objectType="Radio" noThreeD="1"/>
</file>

<file path=xl/ctrlProps/ctrlProp6.xml><?xml version="1.0" encoding="utf-8"?>
<formControlPr xmlns="http://schemas.microsoft.com/office/spreadsheetml/2009/9/main" objectType="Radio" noThreeD="1"/>
</file>

<file path=xl/ctrlProps/ctrlProp7.xml><?xml version="1.0" encoding="utf-8"?>
<formControlPr xmlns="http://schemas.microsoft.com/office/spreadsheetml/2009/9/main" objectType="Radio" noThreeD="1"/>
</file>

<file path=xl/ctrlProps/ctrlProp8.xml><?xml version="1.0" encoding="utf-8"?>
<formControlPr xmlns="http://schemas.microsoft.com/office/spreadsheetml/2009/9/main" objectType="Radio" noThreeD="1"/>
</file>

<file path=xl/ctrlProps/ctrlProp9.xml><?xml version="1.0" encoding="utf-8"?>
<formControlPr xmlns="http://schemas.microsoft.com/office/spreadsheetml/2009/9/main" objectType="Radio" noThreeD="1"/>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8" Type="http://schemas.openxmlformats.org/officeDocument/2006/relationships/image" Target="../media/image12.png"/><Relationship Id="rId13" Type="http://schemas.openxmlformats.org/officeDocument/2006/relationships/image" Target="../media/image17.emf"/><Relationship Id="rId3" Type="http://schemas.openxmlformats.org/officeDocument/2006/relationships/image" Target="../media/image8.png"/><Relationship Id="rId7" Type="http://schemas.openxmlformats.org/officeDocument/2006/relationships/image" Target="../media/image11.png"/><Relationship Id="rId12" Type="http://schemas.openxmlformats.org/officeDocument/2006/relationships/image" Target="../media/image16.emf"/><Relationship Id="rId2" Type="http://schemas.openxmlformats.org/officeDocument/2006/relationships/image" Target="../media/image7.emf"/><Relationship Id="rId1" Type="http://schemas.openxmlformats.org/officeDocument/2006/relationships/image" Target="../media/image6.jpg"/><Relationship Id="rId6" Type="http://schemas.openxmlformats.org/officeDocument/2006/relationships/image" Target="../media/image10.png"/><Relationship Id="rId11" Type="http://schemas.openxmlformats.org/officeDocument/2006/relationships/image" Target="../media/image15.emf"/><Relationship Id="rId5" Type="http://schemas.openxmlformats.org/officeDocument/2006/relationships/hyperlink" Target="https://youtu.be/7VjovCRBPv4" TargetMode="External"/><Relationship Id="rId10" Type="http://schemas.openxmlformats.org/officeDocument/2006/relationships/image" Target="../media/image14.emf"/><Relationship Id="rId4" Type="http://schemas.openxmlformats.org/officeDocument/2006/relationships/image" Target="../media/image9.emf"/><Relationship Id="rId9" Type="http://schemas.openxmlformats.org/officeDocument/2006/relationships/image" Target="../media/image13.emf"/></Relationships>
</file>

<file path=xl/drawings/_rels/vmlDrawing1.vml.rels><?xml version="1.0" encoding="UTF-8" standalone="yes"?>
<Relationships xmlns="http://schemas.openxmlformats.org/package/2006/relationships"><Relationship Id="rId3" Type="http://schemas.openxmlformats.org/officeDocument/2006/relationships/image" Target="../media/image20.emf"/><Relationship Id="rId2" Type="http://schemas.openxmlformats.org/officeDocument/2006/relationships/image" Target="../media/image19.emf"/><Relationship Id="rId1" Type="http://schemas.openxmlformats.org/officeDocument/2006/relationships/image" Target="../media/image18.emf"/><Relationship Id="rId6" Type="http://schemas.openxmlformats.org/officeDocument/2006/relationships/image" Target="../media/image23.emf"/><Relationship Id="rId5" Type="http://schemas.openxmlformats.org/officeDocument/2006/relationships/image" Target="../media/image22.emf"/><Relationship Id="rId4" Type="http://schemas.openxmlformats.org/officeDocument/2006/relationships/image" Target="../media/image21.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24.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4.png"/></Relationships>
</file>

<file path=xl/drawings/drawing1.xml><?xml version="1.0" encoding="utf-8"?>
<xdr:wsDr xmlns:xdr="http://schemas.openxmlformats.org/drawingml/2006/spreadsheetDrawing" xmlns:a="http://schemas.openxmlformats.org/drawingml/2006/main">
  <xdr:twoCellAnchor editAs="oneCell">
    <xdr:from>
      <xdr:col>35</xdr:col>
      <xdr:colOff>57150</xdr:colOff>
      <xdr:row>20</xdr:row>
      <xdr:rowOff>0</xdr:rowOff>
    </xdr:from>
    <xdr:to>
      <xdr:col>37</xdr:col>
      <xdr:colOff>294714</xdr:colOff>
      <xdr:row>25</xdr:row>
      <xdr:rowOff>24558</xdr:rowOff>
    </xdr:to>
    <xdr:pic>
      <xdr:nvPicPr>
        <xdr:cNvPr id="3" name="Obrázek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24050" y="3505200"/>
          <a:ext cx="1266264" cy="643683"/>
        </a:xfrm>
        <a:prstGeom prst="rect">
          <a:avLst/>
        </a:prstGeom>
      </xdr:spPr>
    </xdr:pic>
    <xdr:clientData/>
  </xdr:twoCellAnchor>
  <xdr:twoCellAnchor editAs="oneCell">
    <xdr:from>
      <xdr:col>67</xdr:col>
      <xdr:colOff>85725</xdr:colOff>
      <xdr:row>40</xdr:row>
      <xdr:rowOff>171450</xdr:rowOff>
    </xdr:from>
    <xdr:to>
      <xdr:col>67</xdr:col>
      <xdr:colOff>342900</xdr:colOff>
      <xdr:row>42</xdr:row>
      <xdr:rowOff>47625</xdr:rowOff>
    </xdr:to>
    <xdr:pic>
      <xdr:nvPicPr>
        <xdr:cNvPr id="6" name="Obrázek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9402425" y="6886575"/>
          <a:ext cx="257175" cy="257175"/>
        </a:xfrm>
        <a:prstGeom prst="rect">
          <a:avLst/>
        </a:prstGeom>
        <a:effectLst>
          <a:outerShdw blurRad="50800" dist="38100" dir="2700000" algn="tl" rotWithShape="0">
            <a:prstClr val="black">
              <a:alpha val="40000"/>
            </a:prstClr>
          </a:outerShdw>
        </a:effectLst>
      </xdr:spPr>
    </xdr:pic>
    <xdr:clientData/>
  </xdr:twoCellAnchor>
  <xdr:twoCellAnchor editAs="oneCell">
    <xdr:from>
      <xdr:col>70</xdr:col>
      <xdr:colOff>285750</xdr:colOff>
      <xdr:row>40</xdr:row>
      <xdr:rowOff>171450</xdr:rowOff>
    </xdr:from>
    <xdr:to>
      <xdr:col>70</xdr:col>
      <xdr:colOff>542925</xdr:colOff>
      <xdr:row>42</xdr:row>
      <xdr:rowOff>47625</xdr:rowOff>
    </xdr:to>
    <xdr:pic>
      <xdr:nvPicPr>
        <xdr:cNvPr id="7" name="Obrázek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rot="3651053">
          <a:off x="21431250" y="6886575"/>
          <a:ext cx="257175" cy="257175"/>
        </a:xfrm>
        <a:prstGeom prst="rect">
          <a:avLst/>
        </a:prstGeom>
        <a:effectLst>
          <a:outerShdw blurRad="50800" dist="38100" dir="2700000" algn="tl" rotWithShape="0">
            <a:prstClr val="black">
              <a:alpha val="40000"/>
            </a:prstClr>
          </a:outerShdw>
        </a:effectLst>
      </xdr:spPr>
    </xdr:pic>
    <xdr:clientData/>
  </xdr:twoCellAnchor>
  <xdr:twoCellAnchor editAs="oneCell">
    <xdr:from>
      <xdr:col>34</xdr:col>
      <xdr:colOff>57151</xdr:colOff>
      <xdr:row>26</xdr:row>
      <xdr:rowOff>50403</xdr:rowOff>
    </xdr:from>
    <xdr:to>
      <xdr:col>35</xdr:col>
      <xdr:colOff>29701</xdr:colOff>
      <xdr:row>27</xdr:row>
      <xdr:rowOff>80103</xdr:rowOff>
    </xdr:to>
    <xdr:pic>
      <xdr:nvPicPr>
        <xdr:cNvPr id="9" name="Obrázek 8">
          <a:extLst>
            <a:ext uri="{FF2B5EF4-FFF2-40B4-BE49-F238E27FC236}">
              <a16:creationId xmlns:a16="http://schemas.microsoft.com/office/drawing/2014/main" id="{00000000-0008-0000-0000-000009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752601" y="4431903"/>
          <a:ext cx="144000" cy="144000"/>
        </a:xfrm>
        <a:prstGeom prst="rect">
          <a:avLst/>
        </a:prstGeom>
        <a:effectLst>
          <a:outerShdw blurRad="50800" dist="25400" dir="2700000" algn="tl" rotWithShape="0">
            <a:prstClr val="black">
              <a:alpha val="40000"/>
            </a:prstClr>
          </a:outerShdw>
        </a:effectLst>
      </xdr:spPr>
    </xdr:pic>
    <xdr:clientData/>
  </xdr:twoCellAnchor>
  <xdr:twoCellAnchor editAs="oneCell">
    <xdr:from>
      <xdr:col>49</xdr:col>
      <xdr:colOff>35582</xdr:colOff>
      <xdr:row>26</xdr:row>
      <xdr:rowOff>50403</xdr:rowOff>
    </xdr:from>
    <xdr:to>
      <xdr:col>49</xdr:col>
      <xdr:colOff>179582</xdr:colOff>
      <xdr:row>27</xdr:row>
      <xdr:rowOff>80103</xdr:rowOff>
    </xdr:to>
    <xdr:pic>
      <xdr:nvPicPr>
        <xdr:cNvPr id="10" name="Obrázek 9">
          <a:extLst>
            <a:ext uri="{FF2B5EF4-FFF2-40B4-BE49-F238E27FC236}">
              <a16:creationId xmlns:a16="http://schemas.microsoft.com/office/drawing/2014/main" id="{00000000-0008-0000-0000-00000A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rot="3651053">
          <a:off x="9436757" y="4431903"/>
          <a:ext cx="144000" cy="144000"/>
        </a:xfrm>
        <a:prstGeom prst="rect">
          <a:avLst/>
        </a:prstGeom>
        <a:effectLst>
          <a:outerShdw blurRad="50800" dist="25400" dir="2700000" algn="tl" rotWithShape="0">
            <a:prstClr val="black">
              <a:alpha val="40000"/>
            </a:prstClr>
          </a:outerShdw>
        </a:effectLst>
      </xdr:spPr>
    </xdr:pic>
    <xdr:clientData/>
  </xdr:twoCellAnchor>
  <xdr:twoCellAnchor editAs="oneCell">
    <xdr:from>
      <xdr:col>34</xdr:col>
      <xdr:colOff>47625</xdr:colOff>
      <xdr:row>28</xdr:row>
      <xdr:rowOff>126604</xdr:rowOff>
    </xdr:from>
    <xdr:to>
      <xdr:col>35</xdr:col>
      <xdr:colOff>20175</xdr:colOff>
      <xdr:row>29</xdr:row>
      <xdr:rowOff>80104</xdr:rowOff>
    </xdr:to>
    <xdr:pic>
      <xdr:nvPicPr>
        <xdr:cNvPr id="11" name="Obrázek 10">
          <a:extLst>
            <a:ext uri="{FF2B5EF4-FFF2-40B4-BE49-F238E27FC236}">
              <a16:creationId xmlns:a16="http://schemas.microsoft.com/office/drawing/2014/main" id="{00000000-0008-0000-0000-00000B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743075" y="4812904"/>
          <a:ext cx="144000" cy="144000"/>
        </a:xfrm>
        <a:prstGeom prst="rect">
          <a:avLst/>
        </a:prstGeom>
        <a:effectLst>
          <a:outerShdw blurRad="50800" dist="25400" dir="2700000" algn="tl" rotWithShape="0">
            <a:prstClr val="black">
              <a:alpha val="40000"/>
            </a:prstClr>
          </a:outerShdw>
        </a:effectLst>
      </xdr:spPr>
    </xdr:pic>
    <xdr:clientData/>
  </xdr:twoCellAnchor>
  <xdr:twoCellAnchor editAs="oneCell">
    <xdr:from>
      <xdr:col>49</xdr:col>
      <xdr:colOff>35582</xdr:colOff>
      <xdr:row>28</xdr:row>
      <xdr:rowOff>126604</xdr:rowOff>
    </xdr:from>
    <xdr:to>
      <xdr:col>49</xdr:col>
      <xdr:colOff>179582</xdr:colOff>
      <xdr:row>29</xdr:row>
      <xdr:rowOff>80104</xdr:rowOff>
    </xdr:to>
    <xdr:pic>
      <xdr:nvPicPr>
        <xdr:cNvPr id="12" name="Obrázek 11">
          <a:extLst>
            <a:ext uri="{FF2B5EF4-FFF2-40B4-BE49-F238E27FC236}">
              <a16:creationId xmlns:a16="http://schemas.microsoft.com/office/drawing/2014/main" id="{00000000-0008-0000-0000-00000C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rot="3651053">
          <a:off x="9436757" y="4812904"/>
          <a:ext cx="144000" cy="144000"/>
        </a:xfrm>
        <a:prstGeom prst="rect">
          <a:avLst/>
        </a:prstGeom>
        <a:effectLst>
          <a:outerShdw blurRad="50800" dist="25400" dir="2700000" algn="tl" rotWithShape="0">
            <a:prstClr val="black">
              <a:alpha val="40000"/>
            </a:prstClr>
          </a:outerShdw>
        </a:effectLst>
      </xdr:spPr>
    </xdr:pic>
    <xdr:clientData/>
  </xdr:twoCellAnchor>
  <xdr:twoCellAnchor editAs="oneCell">
    <xdr:from>
      <xdr:col>68</xdr:col>
      <xdr:colOff>397532</xdr:colOff>
      <xdr:row>26</xdr:row>
      <xdr:rowOff>50403</xdr:rowOff>
    </xdr:from>
    <xdr:to>
      <xdr:col>68</xdr:col>
      <xdr:colOff>541532</xdr:colOff>
      <xdr:row>27</xdr:row>
      <xdr:rowOff>80103</xdr:rowOff>
    </xdr:to>
    <xdr:pic>
      <xdr:nvPicPr>
        <xdr:cNvPr id="13" name="Obrázek 12">
          <a:extLst>
            <a:ext uri="{FF2B5EF4-FFF2-40B4-BE49-F238E27FC236}">
              <a16:creationId xmlns:a16="http://schemas.microsoft.com/office/drawing/2014/main" id="{00000000-0008-0000-0000-00000D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rot="3651053">
          <a:off x="39221432" y="4279503"/>
          <a:ext cx="144000" cy="144000"/>
        </a:xfrm>
        <a:prstGeom prst="rect">
          <a:avLst/>
        </a:prstGeom>
        <a:effectLst>
          <a:outerShdw blurRad="50800" dist="25400" dir="2700000" algn="tl" rotWithShape="0">
            <a:prstClr val="black">
              <a:alpha val="40000"/>
            </a:prstClr>
          </a:outerShdw>
        </a:effectLst>
      </xdr:spPr>
    </xdr:pic>
    <xdr:clientData/>
  </xdr:twoCellAnchor>
  <xdr:twoCellAnchor editAs="oneCell">
    <xdr:from>
      <xdr:col>68</xdr:col>
      <xdr:colOff>397532</xdr:colOff>
      <xdr:row>28</xdr:row>
      <xdr:rowOff>126604</xdr:rowOff>
    </xdr:from>
    <xdr:to>
      <xdr:col>68</xdr:col>
      <xdr:colOff>541532</xdr:colOff>
      <xdr:row>29</xdr:row>
      <xdr:rowOff>80104</xdr:rowOff>
    </xdr:to>
    <xdr:pic>
      <xdr:nvPicPr>
        <xdr:cNvPr id="14" name="Obrázek 13">
          <a:extLst>
            <a:ext uri="{FF2B5EF4-FFF2-40B4-BE49-F238E27FC236}">
              <a16:creationId xmlns:a16="http://schemas.microsoft.com/office/drawing/2014/main" id="{00000000-0008-0000-0000-00000E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rot="3651053">
          <a:off x="39221432" y="4660504"/>
          <a:ext cx="144000" cy="144000"/>
        </a:xfrm>
        <a:prstGeom prst="rect">
          <a:avLst/>
        </a:prstGeom>
        <a:effectLst>
          <a:outerShdw blurRad="50800" dist="25400" dir="2700000" algn="tl" rotWithShape="0">
            <a:prstClr val="black">
              <a:alpha val="40000"/>
            </a:prstClr>
          </a:outerShdw>
        </a:effectLst>
      </xdr:spPr>
    </xdr:pic>
    <xdr:clientData/>
  </xdr:twoCellAnchor>
  <xdr:twoCellAnchor editAs="oneCell">
    <xdr:from>
      <xdr:col>57</xdr:col>
      <xdr:colOff>64157</xdr:colOff>
      <xdr:row>26</xdr:row>
      <xdr:rowOff>50404</xdr:rowOff>
    </xdr:from>
    <xdr:to>
      <xdr:col>57</xdr:col>
      <xdr:colOff>208157</xdr:colOff>
      <xdr:row>27</xdr:row>
      <xdr:rowOff>80104</xdr:rowOff>
    </xdr:to>
    <xdr:pic>
      <xdr:nvPicPr>
        <xdr:cNvPr id="15" name="Obrázek 14">
          <a:extLst>
            <a:ext uri="{FF2B5EF4-FFF2-40B4-BE49-F238E27FC236}">
              <a16:creationId xmlns:a16="http://schemas.microsoft.com/office/drawing/2014/main" id="{00000000-0008-0000-0000-00000F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rot="3651053">
          <a:off x="32420582" y="4279504"/>
          <a:ext cx="144000" cy="144000"/>
        </a:xfrm>
        <a:prstGeom prst="rect">
          <a:avLst/>
        </a:prstGeom>
        <a:effectLst>
          <a:outerShdw blurRad="50800" dist="25400" dir="2700000" algn="tl" rotWithShape="0">
            <a:prstClr val="black">
              <a:alpha val="40000"/>
            </a:prstClr>
          </a:outerShdw>
        </a:effectLst>
      </xdr:spPr>
    </xdr:pic>
    <xdr:clientData/>
  </xdr:twoCellAnchor>
  <xdr:twoCellAnchor editAs="oneCell">
    <xdr:from>
      <xdr:col>57</xdr:col>
      <xdr:colOff>64157</xdr:colOff>
      <xdr:row>28</xdr:row>
      <xdr:rowOff>126605</xdr:rowOff>
    </xdr:from>
    <xdr:to>
      <xdr:col>57</xdr:col>
      <xdr:colOff>208157</xdr:colOff>
      <xdr:row>29</xdr:row>
      <xdr:rowOff>80105</xdr:rowOff>
    </xdr:to>
    <xdr:pic>
      <xdr:nvPicPr>
        <xdr:cNvPr id="16" name="Obrázek 15">
          <a:extLst>
            <a:ext uri="{FF2B5EF4-FFF2-40B4-BE49-F238E27FC236}">
              <a16:creationId xmlns:a16="http://schemas.microsoft.com/office/drawing/2014/main" id="{00000000-0008-0000-0000-000010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rot="3651053">
          <a:off x="32420582" y="4660505"/>
          <a:ext cx="144000" cy="144000"/>
        </a:xfrm>
        <a:prstGeom prst="rect">
          <a:avLst/>
        </a:prstGeom>
        <a:effectLst>
          <a:outerShdw blurRad="50800" dist="25400" dir="2700000" algn="tl" rotWithShape="0">
            <a:prstClr val="black">
              <a:alpha val="40000"/>
            </a:prstClr>
          </a:outerShdw>
        </a:effectLst>
      </xdr:spPr>
    </xdr:pic>
    <xdr:clientData/>
  </xdr:twoCellAnchor>
  <xdr:twoCellAnchor editAs="oneCell">
    <xdr:from>
      <xdr:col>59</xdr:col>
      <xdr:colOff>407524</xdr:colOff>
      <xdr:row>57</xdr:row>
      <xdr:rowOff>83160</xdr:rowOff>
    </xdr:from>
    <xdr:to>
      <xdr:col>59</xdr:col>
      <xdr:colOff>551524</xdr:colOff>
      <xdr:row>58</xdr:row>
      <xdr:rowOff>36660</xdr:rowOff>
    </xdr:to>
    <xdr:pic>
      <xdr:nvPicPr>
        <xdr:cNvPr id="17" name="Obrázek 16">
          <a:extLst>
            <a:ext uri="{FF2B5EF4-FFF2-40B4-BE49-F238E27FC236}">
              <a16:creationId xmlns:a16="http://schemas.microsoft.com/office/drawing/2014/main" id="{00000000-0008-0000-0000-000011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rot="3651053">
          <a:off x="33944817" y="10309758"/>
          <a:ext cx="144000" cy="144000"/>
        </a:xfrm>
        <a:prstGeom prst="rect">
          <a:avLst/>
        </a:prstGeom>
        <a:effectLst>
          <a:outerShdw blurRad="50800" dist="25400" dir="2700000" algn="tl" rotWithShape="0">
            <a:prstClr val="black">
              <a:alpha val="40000"/>
            </a:prstClr>
          </a:outerShdw>
        </a:effectLst>
      </xdr:spPr>
    </xdr:pic>
    <xdr:clientData/>
  </xdr:twoCellAnchor>
  <xdr:twoCellAnchor editAs="oneCell">
    <xdr:from>
      <xdr:col>61</xdr:col>
      <xdr:colOff>458633</xdr:colOff>
      <xdr:row>64</xdr:row>
      <xdr:rowOff>66435</xdr:rowOff>
    </xdr:from>
    <xdr:to>
      <xdr:col>61</xdr:col>
      <xdr:colOff>602633</xdr:colOff>
      <xdr:row>65</xdr:row>
      <xdr:rowOff>19935</xdr:rowOff>
    </xdr:to>
    <xdr:pic>
      <xdr:nvPicPr>
        <xdr:cNvPr id="18" name="Obrázek 17">
          <a:extLst>
            <a:ext uri="{FF2B5EF4-FFF2-40B4-BE49-F238E27FC236}">
              <a16:creationId xmlns:a16="http://schemas.microsoft.com/office/drawing/2014/main" id="{00000000-0008-0000-0000-000012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rot="3651053">
          <a:off x="34795096" y="11626533"/>
          <a:ext cx="144000" cy="144000"/>
        </a:xfrm>
        <a:prstGeom prst="rect">
          <a:avLst/>
        </a:prstGeom>
        <a:effectLst>
          <a:outerShdw blurRad="50800" dist="25400" dir="2700000" algn="tl" rotWithShape="0">
            <a:prstClr val="black">
              <a:alpha val="40000"/>
            </a:prstClr>
          </a:outerShdw>
        </a:effectLst>
      </xdr:spPr>
    </xdr:pic>
    <xdr:clientData/>
  </xdr:twoCellAnchor>
  <xdr:twoCellAnchor editAs="oneCell">
    <xdr:from>
      <xdr:col>54</xdr:col>
      <xdr:colOff>49288</xdr:colOff>
      <xdr:row>57</xdr:row>
      <xdr:rowOff>124977</xdr:rowOff>
    </xdr:from>
    <xdr:to>
      <xdr:col>54</xdr:col>
      <xdr:colOff>193288</xdr:colOff>
      <xdr:row>58</xdr:row>
      <xdr:rowOff>78477</xdr:rowOff>
    </xdr:to>
    <xdr:pic>
      <xdr:nvPicPr>
        <xdr:cNvPr id="19" name="Obrázek 18">
          <a:extLst>
            <a:ext uri="{FF2B5EF4-FFF2-40B4-BE49-F238E27FC236}">
              <a16:creationId xmlns:a16="http://schemas.microsoft.com/office/drawing/2014/main" id="{00000000-0008-0000-0000-000013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rot="3651053">
          <a:off x="30543227" y="10351575"/>
          <a:ext cx="144000" cy="144000"/>
        </a:xfrm>
        <a:prstGeom prst="rect">
          <a:avLst/>
        </a:prstGeom>
        <a:effectLst>
          <a:outerShdw blurRad="50800" dist="25400" dir="2700000" algn="tl" rotWithShape="0">
            <a:prstClr val="black">
              <a:alpha val="40000"/>
            </a:prstClr>
          </a:outerShdw>
        </a:effectLst>
      </xdr:spPr>
    </xdr:pic>
    <xdr:clientData/>
  </xdr:twoCellAnchor>
  <xdr:twoCellAnchor editAs="oneCell">
    <xdr:from>
      <xdr:col>54</xdr:col>
      <xdr:colOff>26057</xdr:colOff>
      <xdr:row>61</xdr:row>
      <xdr:rowOff>136129</xdr:rowOff>
    </xdr:from>
    <xdr:to>
      <xdr:col>54</xdr:col>
      <xdr:colOff>170057</xdr:colOff>
      <xdr:row>62</xdr:row>
      <xdr:rowOff>89629</xdr:rowOff>
    </xdr:to>
    <xdr:pic>
      <xdr:nvPicPr>
        <xdr:cNvPr id="20" name="Obrázek 19">
          <a:extLst>
            <a:ext uri="{FF2B5EF4-FFF2-40B4-BE49-F238E27FC236}">
              <a16:creationId xmlns:a16="http://schemas.microsoft.com/office/drawing/2014/main" id="{00000000-0008-0000-0000-00001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rot="1689576">
          <a:off x="30519996" y="11124727"/>
          <a:ext cx="144000" cy="144000"/>
        </a:xfrm>
        <a:prstGeom prst="rect">
          <a:avLst/>
        </a:prstGeom>
        <a:effectLst>
          <a:outerShdw blurRad="50800" dist="25400" dir="2700000" algn="tl" rotWithShape="0">
            <a:prstClr val="black">
              <a:alpha val="40000"/>
            </a:prstClr>
          </a:outerShdw>
        </a:effectLst>
      </xdr:spPr>
    </xdr:pic>
    <xdr:clientData/>
  </xdr:twoCellAnchor>
  <xdr:oneCellAnchor>
    <xdr:from>
      <xdr:col>49</xdr:col>
      <xdr:colOff>426108</xdr:colOff>
      <xdr:row>59</xdr:row>
      <xdr:rowOff>59928</xdr:rowOff>
    </xdr:from>
    <xdr:ext cx="144000" cy="144000"/>
    <xdr:pic>
      <xdr:nvPicPr>
        <xdr:cNvPr id="21" name="Obrázek 20">
          <a:extLst>
            <a:ext uri="{FF2B5EF4-FFF2-40B4-BE49-F238E27FC236}">
              <a16:creationId xmlns:a16="http://schemas.microsoft.com/office/drawing/2014/main" id="{00000000-0008-0000-0000-00001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rot="3651053">
          <a:off x="34001733" y="10280253"/>
          <a:ext cx="144000" cy="144000"/>
        </a:xfrm>
        <a:prstGeom prst="rect">
          <a:avLst/>
        </a:prstGeom>
        <a:effectLst>
          <a:outerShdw blurRad="50800" dist="25400" dir="2700000" algn="tl" rotWithShape="0">
            <a:prstClr val="black">
              <a:alpha val="40000"/>
            </a:prstClr>
          </a:outerShdw>
        </a:effectLst>
      </xdr:spPr>
    </xdr:pic>
    <xdr:clientData/>
  </xdr:oneCellAnchor>
  <xdr:oneCellAnchor>
    <xdr:from>
      <xdr:col>54</xdr:col>
      <xdr:colOff>80946</xdr:colOff>
      <xdr:row>67</xdr:row>
      <xdr:rowOff>140647</xdr:rowOff>
    </xdr:from>
    <xdr:ext cx="144000" cy="144000"/>
    <xdr:pic>
      <xdr:nvPicPr>
        <xdr:cNvPr id="22" name="Obrázek 21">
          <a:extLst>
            <a:ext uri="{FF2B5EF4-FFF2-40B4-BE49-F238E27FC236}">
              <a16:creationId xmlns:a16="http://schemas.microsoft.com/office/drawing/2014/main" id="{00000000-0008-0000-0000-000016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rot="3651053">
          <a:off x="30638438" y="12271300"/>
          <a:ext cx="144000" cy="144000"/>
        </a:xfrm>
        <a:prstGeom prst="rect">
          <a:avLst/>
        </a:prstGeom>
        <a:effectLst>
          <a:outerShdw blurRad="50800" dist="25400" dir="2700000" algn="tl" rotWithShape="0">
            <a:prstClr val="black">
              <a:alpha val="40000"/>
            </a:prstClr>
          </a:outerShdw>
        </a:effectLst>
      </xdr:spPr>
    </xdr:pic>
    <xdr:clientData/>
  </xdr:oneCellAnchor>
  <xdr:twoCellAnchor editAs="oneCell">
    <xdr:from>
      <xdr:col>59</xdr:col>
      <xdr:colOff>161266</xdr:colOff>
      <xdr:row>66</xdr:row>
      <xdr:rowOff>47848</xdr:rowOff>
    </xdr:from>
    <xdr:to>
      <xdr:col>59</xdr:col>
      <xdr:colOff>305266</xdr:colOff>
      <xdr:row>67</xdr:row>
      <xdr:rowOff>1348</xdr:rowOff>
    </xdr:to>
    <xdr:pic>
      <xdr:nvPicPr>
        <xdr:cNvPr id="23" name="Obrázek 22">
          <a:extLst>
            <a:ext uri="{FF2B5EF4-FFF2-40B4-BE49-F238E27FC236}">
              <a16:creationId xmlns:a16="http://schemas.microsoft.com/office/drawing/2014/main" id="{00000000-0008-0000-0000-000017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rot="3651053">
          <a:off x="33698559" y="11988946"/>
          <a:ext cx="144000" cy="144000"/>
        </a:xfrm>
        <a:prstGeom prst="rect">
          <a:avLst/>
        </a:prstGeom>
        <a:effectLst>
          <a:outerShdw blurRad="50800" dist="25400" dir="2700000" algn="tl" rotWithShape="0">
            <a:prstClr val="black">
              <a:alpha val="40000"/>
            </a:prstClr>
          </a:outerShdw>
        </a:effectLst>
      </xdr:spPr>
    </xdr:pic>
    <xdr:clientData/>
  </xdr:twoCellAnchor>
  <xdr:oneCellAnchor>
    <xdr:from>
      <xdr:col>59</xdr:col>
      <xdr:colOff>402410</xdr:colOff>
      <xdr:row>61</xdr:row>
      <xdr:rowOff>122190</xdr:rowOff>
    </xdr:from>
    <xdr:ext cx="144000" cy="144000"/>
    <xdr:pic>
      <xdr:nvPicPr>
        <xdr:cNvPr id="24" name="Obrázek 23">
          <a:extLst>
            <a:ext uri="{FF2B5EF4-FFF2-40B4-BE49-F238E27FC236}">
              <a16:creationId xmlns:a16="http://schemas.microsoft.com/office/drawing/2014/main" id="{00000000-0008-0000-0000-000018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rot="6251897">
          <a:off x="33939703" y="11110788"/>
          <a:ext cx="144000" cy="144000"/>
        </a:xfrm>
        <a:prstGeom prst="rect">
          <a:avLst/>
        </a:prstGeom>
        <a:effectLst>
          <a:outerShdw blurRad="50800" dist="25400" dir="2700000" algn="tl" rotWithShape="0">
            <a:prstClr val="black">
              <a:alpha val="40000"/>
            </a:prstClr>
          </a:outerShdw>
        </a:effectLst>
      </xdr:spPr>
    </xdr:pic>
    <xdr:clientData/>
  </xdr:oneCellAnchor>
  <xdr:oneCellAnchor>
    <xdr:from>
      <xdr:col>43</xdr:col>
      <xdr:colOff>26057</xdr:colOff>
      <xdr:row>67</xdr:row>
      <xdr:rowOff>136129</xdr:rowOff>
    </xdr:from>
    <xdr:ext cx="144000" cy="144000"/>
    <xdr:pic>
      <xdr:nvPicPr>
        <xdr:cNvPr id="25" name="Obrázek 24">
          <a:extLst>
            <a:ext uri="{FF2B5EF4-FFF2-40B4-BE49-F238E27FC236}">
              <a16:creationId xmlns:a16="http://schemas.microsoft.com/office/drawing/2014/main" id="{00000000-0008-0000-0000-000019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rot="1689576">
          <a:off x="30617729" y="11119439"/>
          <a:ext cx="144000" cy="144000"/>
        </a:xfrm>
        <a:prstGeom prst="rect">
          <a:avLst/>
        </a:prstGeom>
        <a:effectLst>
          <a:outerShdw blurRad="50800" dist="25400" dir="2700000" algn="tl" rotWithShape="0">
            <a:prstClr val="black">
              <a:alpha val="40000"/>
            </a:prstClr>
          </a:outerShdw>
        </a:effectLst>
      </xdr:spPr>
    </xdr:pic>
    <xdr:clientData/>
  </xdr:oneCellAnchor>
  <xdr:oneCellAnchor>
    <xdr:from>
      <xdr:col>48</xdr:col>
      <xdr:colOff>402410</xdr:colOff>
      <xdr:row>67</xdr:row>
      <xdr:rowOff>122190</xdr:rowOff>
    </xdr:from>
    <xdr:ext cx="144000" cy="144000"/>
    <xdr:pic>
      <xdr:nvPicPr>
        <xdr:cNvPr id="26" name="Obrázek 25">
          <a:extLst>
            <a:ext uri="{FF2B5EF4-FFF2-40B4-BE49-F238E27FC236}">
              <a16:creationId xmlns:a16="http://schemas.microsoft.com/office/drawing/2014/main" id="{00000000-0008-0000-0000-00001A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rot="6251897">
          <a:off x="34048651" y="11105500"/>
          <a:ext cx="144000" cy="144000"/>
        </a:xfrm>
        <a:prstGeom prst="rect">
          <a:avLst/>
        </a:prstGeom>
        <a:effectLst>
          <a:outerShdw blurRad="50800" dist="25400" dir="2700000" algn="tl" rotWithShape="0">
            <a:prstClr val="black">
              <a:alpha val="40000"/>
            </a:prstClr>
          </a:outerShdw>
        </a:effectLst>
      </xdr:spPr>
    </xdr:pic>
    <xdr:clientData/>
  </xdr:oneCellAnchor>
  <xdr:twoCellAnchor>
    <xdr:from>
      <xdr:col>58</xdr:col>
      <xdr:colOff>203749</xdr:colOff>
      <xdr:row>63</xdr:row>
      <xdr:rowOff>48432</xdr:rowOff>
    </xdr:from>
    <xdr:to>
      <xdr:col>61</xdr:col>
      <xdr:colOff>459271</xdr:colOff>
      <xdr:row>67</xdr:row>
      <xdr:rowOff>140956</xdr:rowOff>
    </xdr:to>
    <xdr:sp macro="" textlink="">
      <xdr:nvSpPr>
        <xdr:cNvPr id="2" name="Šipka: doprava se zářezem 1">
          <a:extLst>
            <a:ext uri="{FF2B5EF4-FFF2-40B4-BE49-F238E27FC236}">
              <a16:creationId xmlns:a16="http://schemas.microsoft.com/office/drawing/2014/main" id="{00000000-0008-0000-0000-000002000000}"/>
            </a:ext>
          </a:extLst>
        </xdr:cNvPr>
        <xdr:cNvSpPr/>
      </xdr:nvSpPr>
      <xdr:spPr>
        <a:xfrm>
          <a:off x="33202224" y="11417085"/>
          <a:ext cx="1666513" cy="854524"/>
        </a:xfrm>
        <a:prstGeom prst="notchedRightArrow">
          <a:avLst/>
        </a:prstGeom>
        <a:gradFill flip="none" rotWithShape="1">
          <a:gsLst>
            <a:gs pos="4000">
              <a:schemeClr val="bg1"/>
            </a:gs>
            <a:gs pos="27000">
              <a:srgbClr val="8E8E8E"/>
            </a:gs>
            <a:gs pos="49000">
              <a:srgbClr val="898477"/>
            </a:gs>
            <a:gs pos="70000">
              <a:srgbClr val="8E8E8E"/>
            </a:gs>
            <a:gs pos="100000">
              <a:schemeClr val="bg1"/>
            </a:gs>
          </a:gsLst>
          <a:lin ang="5400000" scaled="0"/>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cs-CZ" sz="1100"/>
        </a:p>
      </xdr:txBody>
    </xdr:sp>
    <xdr:clientData/>
  </xdr:twoCellAnchor>
  <xdr:twoCellAnchor>
    <xdr:from>
      <xdr:col>56</xdr:col>
      <xdr:colOff>78605</xdr:colOff>
      <xdr:row>64</xdr:row>
      <xdr:rowOff>77492</xdr:rowOff>
    </xdr:from>
    <xdr:to>
      <xdr:col>56</xdr:col>
      <xdr:colOff>531196</xdr:colOff>
      <xdr:row>66</xdr:row>
      <xdr:rowOff>74262</xdr:rowOff>
    </xdr:to>
    <xdr:sp macro="" textlink="">
      <xdr:nvSpPr>
        <xdr:cNvPr id="4" name="Obdélník 3">
          <a:extLst>
            <a:ext uri="{FF2B5EF4-FFF2-40B4-BE49-F238E27FC236}">
              <a16:creationId xmlns:a16="http://schemas.microsoft.com/office/drawing/2014/main" id="{00000000-0008-0000-0000-000004000000}"/>
            </a:ext>
          </a:extLst>
        </xdr:cNvPr>
        <xdr:cNvSpPr/>
      </xdr:nvSpPr>
      <xdr:spPr>
        <a:xfrm>
          <a:off x="31856588" y="11636645"/>
          <a:ext cx="452591" cy="377770"/>
        </a:xfrm>
        <a:prstGeom prst="rect">
          <a:avLst/>
        </a:prstGeom>
        <a:gradFill flip="none" rotWithShape="1">
          <a:gsLst>
            <a:gs pos="0">
              <a:schemeClr val="accent1">
                <a:shade val="30000"/>
                <a:satMod val="115000"/>
              </a:schemeClr>
            </a:gs>
            <a:gs pos="50000">
              <a:schemeClr val="accent1">
                <a:shade val="67500"/>
                <a:satMod val="115000"/>
              </a:schemeClr>
            </a:gs>
            <a:gs pos="100000">
              <a:schemeClr val="accent1">
                <a:shade val="100000"/>
                <a:satMod val="115000"/>
              </a:schemeClr>
            </a:gs>
          </a:gsLst>
          <a:lin ang="162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cs-CZ" sz="1100"/>
        </a:p>
      </xdr:txBody>
    </xdr:sp>
    <xdr:clientData/>
  </xdr:twoCellAnchor>
  <xdr:twoCellAnchor editAs="oneCell">
    <xdr:from>
      <xdr:col>3</xdr:col>
      <xdr:colOff>67989</xdr:colOff>
      <xdr:row>75</xdr:row>
      <xdr:rowOff>46850</xdr:rowOff>
    </xdr:from>
    <xdr:to>
      <xdr:col>4</xdr:col>
      <xdr:colOff>142874</xdr:colOff>
      <xdr:row>77</xdr:row>
      <xdr:rowOff>50546</xdr:rowOff>
    </xdr:to>
    <xdr:pic>
      <xdr:nvPicPr>
        <xdr:cNvPr id="5" name="Obrázek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896789" y="13705700"/>
          <a:ext cx="379685" cy="394221"/>
        </a:xfrm>
        <a:prstGeom prst="rect">
          <a:avLst/>
        </a:prstGeom>
      </xdr:spPr>
    </xdr:pic>
    <xdr:clientData/>
  </xdr:twoCellAnchor>
  <xdr:twoCellAnchor editAs="oneCell">
    <xdr:from>
      <xdr:col>10</xdr:col>
      <xdr:colOff>287064</xdr:colOff>
      <xdr:row>75</xdr:row>
      <xdr:rowOff>46850</xdr:rowOff>
    </xdr:from>
    <xdr:to>
      <xdr:col>11</xdr:col>
      <xdr:colOff>285749</xdr:colOff>
      <xdr:row>77</xdr:row>
      <xdr:rowOff>50546</xdr:rowOff>
    </xdr:to>
    <xdr:pic>
      <xdr:nvPicPr>
        <xdr:cNvPr id="8" name="Obrázek 7">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5525814" y="13705700"/>
          <a:ext cx="379685" cy="394221"/>
        </a:xfrm>
        <a:prstGeom prst="rect">
          <a:avLst/>
        </a:prstGeom>
      </xdr:spPr>
    </xdr:pic>
    <xdr:clientData/>
  </xdr:twoCellAnchor>
  <xdr:twoCellAnchor>
    <xdr:from>
      <xdr:col>35</xdr:col>
      <xdr:colOff>496956</xdr:colOff>
      <xdr:row>27</xdr:row>
      <xdr:rowOff>157371</xdr:rowOff>
    </xdr:from>
    <xdr:to>
      <xdr:col>36</xdr:col>
      <xdr:colOff>173935</xdr:colOff>
      <xdr:row>30</xdr:row>
      <xdr:rowOff>16566</xdr:rowOff>
    </xdr:to>
    <xdr:sp macro="" textlink="">
      <xdr:nvSpPr>
        <xdr:cNvPr id="27" name="TextovéPole 26">
          <a:extLst>
            <a:ext uri="{FF2B5EF4-FFF2-40B4-BE49-F238E27FC236}">
              <a16:creationId xmlns:a16="http://schemas.microsoft.com/office/drawing/2014/main" id="{00000000-0008-0000-0000-00001B000000}"/>
            </a:ext>
          </a:extLst>
        </xdr:cNvPr>
        <xdr:cNvSpPr txBox="1"/>
      </xdr:nvSpPr>
      <xdr:spPr>
        <a:xfrm>
          <a:off x="19058282" y="4489175"/>
          <a:ext cx="347870" cy="3561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cs-CZ" sz="1100">
              <a:latin typeface="Arial Black" panose="020B0A04020102020204" pitchFamily="34" charset="0"/>
            </a:rPr>
            <a:t>+</a:t>
          </a:r>
        </a:p>
      </xdr:txBody>
    </xdr:sp>
    <xdr:clientData/>
  </xdr:twoCellAnchor>
  <xdr:twoCellAnchor>
    <xdr:from>
      <xdr:col>41</xdr:col>
      <xdr:colOff>8282</xdr:colOff>
      <xdr:row>27</xdr:row>
      <xdr:rowOff>149088</xdr:rowOff>
    </xdr:from>
    <xdr:to>
      <xdr:col>41</xdr:col>
      <xdr:colOff>356152</xdr:colOff>
      <xdr:row>30</xdr:row>
      <xdr:rowOff>8283</xdr:rowOff>
    </xdr:to>
    <xdr:sp macro="" textlink="">
      <xdr:nvSpPr>
        <xdr:cNvPr id="28" name="TextovéPole 27">
          <a:extLst>
            <a:ext uri="{FF2B5EF4-FFF2-40B4-BE49-F238E27FC236}">
              <a16:creationId xmlns:a16="http://schemas.microsoft.com/office/drawing/2014/main" id="{00000000-0008-0000-0000-00001C000000}"/>
            </a:ext>
          </a:extLst>
        </xdr:cNvPr>
        <xdr:cNvSpPr txBox="1"/>
      </xdr:nvSpPr>
      <xdr:spPr>
        <a:xfrm>
          <a:off x="21211760" y="4480892"/>
          <a:ext cx="347870" cy="3561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cs-CZ" sz="1100">
              <a:latin typeface="Arial Black" panose="020B0A04020102020204" pitchFamily="34" charset="0"/>
            </a:rPr>
            <a:t>+</a:t>
          </a:r>
        </a:p>
      </xdr:txBody>
    </xdr:sp>
    <xdr:clientData/>
  </xdr:twoCellAnchor>
  <xdr:twoCellAnchor editAs="oneCell">
    <xdr:from>
      <xdr:col>85</xdr:col>
      <xdr:colOff>537883</xdr:colOff>
      <xdr:row>1</xdr:row>
      <xdr:rowOff>145677</xdr:rowOff>
    </xdr:from>
    <xdr:to>
      <xdr:col>88</xdr:col>
      <xdr:colOff>74911</xdr:colOff>
      <xdr:row>8</xdr:row>
      <xdr:rowOff>174082</xdr:rowOff>
    </xdr:to>
    <xdr:pic>
      <xdr:nvPicPr>
        <xdr:cNvPr id="29" name="Obrázek 28">
          <a:extLst>
            <a:ext uri="{FF2B5EF4-FFF2-40B4-BE49-F238E27FC236}">
              <a16:creationId xmlns:a16="http://schemas.microsoft.com/office/drawing/2014/main" id="{00000000-0008-0000-0000-00001D000000}"/>
            </a:ext>
          </a:extLst>
        </xdr:cNvPr>
        <xdr:cNvPicPr>
          <a:picLocks noChangeAspect="1"/>
        </xdr:cNvPicPr>
      </xdr:nvPicPr>
      <xdr:blipFill>
        <a:blip xmlns:r="http://schemas.openxmlformats.org/officeDocument/2006/relationships" r:embed="rId5"/>
        <a:stretch>
          <a:fillRect/>
        </a:stretch>
      </xdr:blipFill>
      <xdr:spPr>
        <a:xfrm>
          <a:off x="47860324" y="336177"/>
          <a:ext cx="1352381" cy="13619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32844</xdr:colOff>
      <xdr:row>0</xdr:row>
      <xdr:rowOff>0</xdr:rowOff>
    </xdr:from>
    <xdr:to>
      <xdr:col>26</xdr:col>
      <xdr:colOff>158523</xdr:colOff>
      <xdr:row>11</xdr:row>
      <xdr:rowOff>153276</xdr:rowOff>
    </xdr:to>
    <xdr:pic>
      <xdr:nvPicPr>
        <xdr:cNvPr id="10" name="Obrázek 9">
          <a:extLst>
            <a:ext uri="{FF2B5EF4-FFF2-40B4-BE49-F238E27FC236}">
              <a16:creationId xmlns:a16="http://schemas.microsoft.com/office/drawing/2014/main" id="{00000000-0008-0000-0100-00000A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09396" y="0"/>
          <a:ext cx="13515420" cy="2123966"/>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28</xdr:col>
          <xdr:colOff>1028700</xdr:colOff>
          <xdr:row>8</xdr:row>
          <xdr:rowOff>152400</xdr:rowOff>
        </xdr:from>
        <xdr:to>
          <xdr:col>29</xdr:col>
          <xdr:colOff>1628775</xdr:colOff>
          <xdr:row>11</xdr:row>
          <xdr:rowOff>38100</xdr:rowOff>
        </xdr:to>
        <xdr:sp macro="" textlink="">
          <xdr:nvSpPr>
            <xdr:cNvPr id="110593" name="Drop Down 1" hidden="1">
              <a:extLst>
                <a:ext uri="{63B3BB69-23CF-44E3-9099-C40C66FF867C}">
                  <a14:compatExt spid="_x0000_s110593"/>
                </a:ext>
                <a:ext uri="{FF2B5EF4-FFF2-40B4-BE49-F238E27FC236}">
                  <a16:creationId xmlns:a16="http://schemas.microsoft.com/office/drawing/2014/main" id="{00000000-0008-0000-0100-000001B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xdr:twoCellAnchor>
    <xdr:from>
      <xdr:col>21</xdr:col>
      <xdr:colOff>571500</xdr:colOff>
      <xdr:row>606</xdr:row>
      <xdr:rowOff>89297</xdr:rowOff>
    </xdr:from>
    <xdr:to>
      <xdr:col>21</xdr:col>
      <xdr:colOff>636984</xdr:colOff>
      <xdr:row>609</xdr:row>
      <xdr:rowOff>5953</xdr:rowOff>
    </xdr:to>
    <xdr:sp macro="" textlink="">
      <xdr:nvSpPr>
        <xdr:cNvPr id="5" name="Obdélník 4">
          <a:extLst>
            <a:ext uri="{FF2B5EF4-FFF2-40B4-BE49-F238E27FC236}">
              <a16:creationId xmlns:a16="http://schemas.microsoft.com/office/drawing/2014/main" id="{00000000-0008-0000-0100-000005000000}"/>
            </a:ext>
          </a:extLst>
        </xdr:cNvPr>
        <xdr:cNvSpPr/>
      </xdr:nvSpPr>
      <xdr:spPr>
        <a:xfrm>
          <a:off x="11801475" y="297516947"/>
          <a:ext cx="0" cy="592931"/>
        </a:xfrm>
        <a:prstGeom prst="rect">
          <a:avLst/>
        </a:prstGeom>
        <a:pattFill prst="wdUpDiag">
          <a:fgClr>
            <a:schemeClr val="tx1"/>
          </a:fgClr>
          <a:bgClr>
            <a:srgbClr val="FFFF00"/>
          </a:bgClr>
        </a:patt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cs-CZ" sz="1100"/>
        </a:p>
      </xdr:txBody>
    </xdr:sp>
    <xdr:clientData/>
  </xdr:twoCellAnchor>
  <xdr:twoCellAnchor>
    <xdr:from>
      <xdr:col>30</xdr:col>
      <xdr:colOff>2681</xdr:colOff>
      <xdr:row>6</xdr:row>
      <xdr:rowOff>39256</xdr:rowOff>
    </xdr:from>
    <xdr:to>
      <xdr:col>30</xdr:col>
      <xdr:colOff>87691</xdr:colOff>
      <xdr:row>11</xdr:row>
      <xdr:rowOff>121160</xdr:rowOff>
    </xdr:to>
    <xdr:sp macro="" textlink="">
      <xdr:nvSpPr>
        <xdr:cNvPr id="6" name="Obdélník 5">
          <a:extLst>
            <a:ext uri="{FF2B5EF4-FFF2-40B4-BE49-F238E27FC236}">
              <a16:creationId xmlns:a16="http://schemas.microsoft.com/office/drawing/2014/main" id="{00000000-0008-0000-0100-000006000000}"/>
            </a:ext>
          </a:extLst>
        </xdr:cNvPr>
        <xdr:cNvSpPr/>
      </xdr:nvSpPr>
      <xdr:spPr>
        <a:xfrm>
          <a:off x="17798312" y="1182256"/>
          <a:ext cx="85010" cy="887866"/>
        </a:xfrm>
        <a:prstGeom prst="rect">
          <a:avLst/>
        </a:prstGeom>
        <a:pattFill prst="wdUpDiag">
          <a:fgClr>
            <a:schemeClr val="tx1"/>
          </a:fgClr>
          <a:bgClr>
            <a:srgbClr val="FFFF00"/>
          </a:bgClr>
        </a:patt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cs-CZ" sz="1100"/>
        </a:p>
      </xdr:txBody>
    </xdr:sp>
    <xdr:clientData/>
  </xdr:twoCellAnchor>
  <xdr:twoCellAnchor>
    <xdr:from>
      <xdr:col>27</xdr:col>
      <xdr:colOff>847224</xdr:colOff>
      <xdr:row>8</xdr:row>
      <xdr:rowOff>36478</xdr:rowOff>
    </xdr:from>
    <xdr:to>
      <xdr:col>30</xdr:col>
      <xdr:colOff>88805</xdr:colOff>
      <xdr:row>8</xdr:row>
      <xdr:rowOff>119743</xdr:rowOff>
    </xdr:to>
    <xdr:sp macro="" textlink="">
      <xdr:nvSpPr>
        <xdr:cNvPr id="7" name="Obdélník 6">
          <a:extLst>
            <a:ext uri="{FF2B5EF4-FFF2-40B4-BE49-F238E27FC236}">
              <a16:creationId xmlns:a16="http://schemas.microsoft.com/office/drawing/2014/main" id="{00000000-0008-0000-0100-000007000000}"/>
            </a:ext>
          </a:extLst>
        </xdr:cNvPr>
        <xdr:cNvSpPr/>
      </xdr:nvSpPr>
      <xdr:spPr>
        <a:xfrm>
          <a:off x="16999192" y="1507787"/>
          <a:ext cx="1746453" cy="83265"/>
        </a:xfrm>
        <a:prstGeom prst="rect">
          <a:avLst/>
        </a:prstGeom>
        <a:pattFill prst="wdUpDiag">
          <a:fgClr>
            <a:schemeClr val="tx1"/>
          </a:fgClr>
          <a:bgClr>
            <a:srgbClr val="FFFF00"/>
          </a:bgClr>
        </a:patt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cs-CZ" sz="1100"/>
        </a:p>
      </xdr:txBody>
    </xdr:sp>
    <xdr:clientData/>
  </xdr:twoCellAnchor>
  <xdr:twoCellAnchor>
    <xdr:from>
      <xdr:col>21</xdr:col>
      <xdr:colOff>280146</xdr:colOff>
      <xdr:row>606</xdr:row>
      <xdr:rowOff>89297</xdr:rowOff>
    </xdr:from>
    <xdr:to>
      <xdr:col>21</xdr:col>
      <xdr:colOff>363490</xdr:colOff>
      <xdr:row>609</xdr:row>
      <xdr:rowOff>5953</xdr:rowOff>
    </xdr:to>
    <xdr:sp macro="" textlink="">
      <xdr:nvSpPr>
        <xdr:cNvPr id="24" name="Obdélník 23">
          <a:extLst>
            <a:ext uri="{FF2B5EF4-FFF2-40B4-BE49-F238E27FC236}">
              <a16:creationId xmlns:a16="http://schemas.microsoft.com/office/drawing/2014/main" id="{00000000-0008-0000-0100-000018000000}"/>
            </a:ext>
          </a:extLst>
        </xdr:cNvPr>
        <xdr:cNvSpPr/>
      </xdr:nvSpPr>
      <xdr:spPr>
        <a:xfrm>
          <a:off x="11805396" y="297516947"/>
          <a:ext cx="0" cy="592931"/>
        </a:xfrm>
        <a:prstGeom prst="rect">
          <a:avLst/>
        </a:prstGeom>
        <a:pattFill prst="wdUpDiag">
          <a:fgClr>
            <a:schemeClr val="tx1"/>
          </a:fgClr>
          <a:bgClr>
            <a:srgbClr val="FFFF00"/>
          </a:bgClr>
        </a:patt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cs-CZ" sz="1100"/>
        </a:p>
      </xdr:txBody>
    </xdr:sp>
    <xdr:clientData/>
  </xdr:twoCellAnchor>
  <mc:AlternateContent xmlns:mc="http://schemas.openxmlformats.org/markup-compatibility/2006">
    <mc:Choice xmlns:a14="http://schemas.microsoft.com/office/drawing/2010/main" Requires="a14">
      <xdr:twoCellAnchor editAs="oneCell">
        <xdr:from>
          <xdr:col>0</xdr:col>
          <xdr:colOff>33100</xdr:colOff>
          <xdr:row>6</xdr:row>
          <xdr:rowOff>88979</xdr:rowOff>
        </xdr:from>
        <xdr:to>
          <xdr:col>2</xdr:col>
          <xdr:colOff>1284640</xdr:colOff>
          <xdr:row>10</xdr:row>
          <xdr:rowOff>75243</xdr:rowOff>
        </xdr:to>
        <xdr:pic>
          <xdr:nvPicPr>
            <xdr:cNvPr id="25" name="Obrázek 24">
              <a:extLst>
                <a:ext uri="{FF2B5EF4-FFF2-40B4-BE49-F238E27FC236}">
                  <a16:creationId xmlns:a16="http://schemas.microsoft.com/office/drawing/2014/main" id="{00000000-0008-0000-0100-000019000000}"/>
                </a:ext>
              </a:extLst>
            </xdr:cNvPr>
            <xdr:cNvPicPr>
              <a:picLocks noChangeAspect="1" noChangeArrowheads="1"/>
              <a:extLst>
                <a:ext uri="{84589F7E-364E-4C9E-8A38-B11213B215E9}">
                  <a14:cameraTool cellRange="HLAVIČKA!$BP$40:$BS$44" spid="_x0000_s166283"/>
                </a:ext>
              </a:extLst>
            </xdr:cNvPicPr>
          </xdr:nvPicPr>
          <xdr:blipFill>
            <a:blip xmlns:r="http://schemas.openxmlformats.org/officeDocument/2006/relationships" r:embed="rId2"/>
            <a:srcRect/>
            <a:stretch>
              <a:fillRect/>
            </a:stretch>
          </xdr:blipFill>
          <xdr:spPr bwMode="auto">
            <a:xfrm>
              <a:off x="33100" y="1238548"/>
              <a:ext cx="1525247" cy="643161"/>
            </a:xfrm>
            <a:prstGeom prst="rect">
              <a:avLst/>
            </a:prstGeom>
            <a:ln>
              <a:noFill/>
            </a:ln>
            <a:effectLst>
              <a:outerShdw blurRad="292100" dist="139700" dir="2700000" algn="tl" rotWithShape="0">
                <a:srgbClr val="333333">
                  <a:alpha val="65000"/>
                </a:srgbClr>
              </a:outerShdw>
            </a:effectLst>
            <a:extLst>
              <a:ext uri="{909E8E84-426E-40DD-AFC4-6F175D3DCCD1}">
                <a14:hiddenFill>
                  <a:solidFill>
                    <a:srgbClr val="FFFFFF"/>
                  </a:solidFill>
                </a14:hiddenFill>
              </a:ext>
            </a:extLst>
          </xdr:spPr>
        </xdr:pic>
        <xdr:clientData/>
      </xdr:twoCellAnchor>
    </mc:Choice>
    <mc:Fallback/>
  </mc:AlternateContent>
  <xdr:twoCellAnchor editAs="oneCell">
    <xdr:from>
      <xdr:col>0</xdr:col>
      <xdr:colOff>0</xdr:colOff>
      <xdr:row>0</xdr:row>
      <xdr:rowOff>0</xdr:rowOff>
    </xdr:from>
    <xdr:to>
      <xdr:col>2</xdr:col>
      <xdr:colOff>1267936</xdr:colOff>
      <xdr:row>4</xdr:row>
      <xdr:rowOff>80433</xdr:rowOff>
    </xdr:to>
    <xdr:pic>
      <xdr:nvPicPr>
        <xdr:cNvPr id="26" name="Obrázek 25">
          <a:extLst>
            <a:ext uri="{FF2B5EF4-FFF2-40B4-BE49-F238E27FC236}">
              <a16:creationId xmlns:a16="http://schemas.microsoft.com/office/drawing/2014/main" id="{00000000-0008-0000-0100-00001A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1541643" cy="857761"/>
        </a:xfrm>
        <a:prstGeom prst="rect">
          <a:avLst/>
        </a:prstGeom>
        <a:effectLst/>
      </xdr:spPr>
    </xdr:pic>
    <xdr:clientData/>
  </xdr:twoCellAnchor>
  <mc:AlternateContent xmlns:mc="http://schemas.openxmlformats.org/markup-compatibility/2006">
    <mc:Choice xmlns:a14="http://schemas.microsoft.com/office/drawing/2010/main" Requires="a14">
      <xdr:twoCellAnchor editAs="oneCell">
        <xdr:from>
          <xdr:col>37</xdr:col>
          <xdr:colOff>658065</xdr:colOff>
          <xdr:row>9</xdr:row>
          <xdr:rowOff>0</xdr:rowOff>
        </xdr:from>
        <xdr:to>
          <xdr:col>38</xdr:col>
          <xdr:colOff>515836</xdr:colOff>
          <xdr:row>10</xdr:row>
          <xdr:rowOff>7371</xdr:rowOff>
        </xdr:to>
        <xdr:pic>
          <xdr:nvPicPr>
            <xdr:cNvPr id="30" name="Obrázek 29">
              <a:extLst>
                <a:ext uri="{FF2B5EF4-FFF2-40B4-BE49-F238E27FC236}">
                  <a16:creationId xmlns:a16="http://schemas.microsoft.com/office/drawing/2014/main" id="{00000000-0008-0000-0100-00001E000000}"/>
                </a:ext>
              </a:extLst>
            </xdr:cNvPr>
            <xdr:cNvPicPr>
              <a:picLocks noChangeAspect="1" noChangeArrowheads="1"/>
              <a:extLst>
                <a:ext uri="{84589F7E-364E-4C9E-8A38-B11213B215E9}">
                  <a14:cameraTool cellRange="HLAVIČKA!$BK$49" spid="_x0000_s166284"/>
                </a:ext>
              </a:extLst>
            </xdr:cNvPicPr>
          </xdr:nvPicPr>
          <xdr:blipFill>
            <a:blip xmlns:r="http://schemas.openxmlformats.org/officeDocument/2006/relationships" r:embed="rId4"/>
            <a:srcRect/>
            <a:stretch>
              <a:fillRect/>
            </a:stretch>
          </xdr:blipFill>
          <xdr:spPr bwMode="auto">
            <a:xfrm>
              <a:off x="24262548" y="1642241"/>
              <a:ext cx="613202" cy="171596"/>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37</xdr:col>
      <xdr:colOff>524434</xdr:colOff>
      <xdr:row>9</xdr:row>
      <xdr:rowOff>117537</xdr:rowOff>
    </xdr:from>
    <xdr:to>
      <xdr:col>38</xdr:col>
      <xdr:colOff>712258</xdr:colOff>
      <xdr:row>16</xdr:row>
      <xdr:rowOff>181255</xdr:rowOff>
    </xdr:to>
    <xdr:pic>
      <xdr:nvPicPr>
        <xdr:cNvPr id="31" name="Obrázek 30">
          <a:hlinkClick xmlns:r="http://schemas.openxmlformats.org/officeDocument/2006/relationships" r:id="rId5"/>
          <a:extLst>
            <a:ext uri="{FF2B5EF4-FFF2-40B4-BE49-F238E27FC236}">
              <a16:creationId xmlns:a16="http://schemas.microsoft.com/office/drawing/2014/main" id="{00000000-0008-0000-0100-00001F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26603884" y="1574862"/>
          <a:ext cx="940300" cy="737693"/>
        </a:xfrm>
        <a:prstGeom prst="rect">
          <a:avLst/>
        </a:prstGeom>
      </xdr:spPr>
    </xdr:pic>
    <xdr:clientData/>
  </xdr:twoCellAnchor>
  <xdr:twoCellAnchor>
    <xdr:from>
      <xdr:col>26</xdr:col>
      <xdr:colOff>586002</xdr:colOff>
      <xdr:row>6</xdr:row>
      <xdr:rowOff>36813</xdr:rowOff>
    </xdr:from>
    <xdr:to>
      <xdr:col>27</xdr:col>
      <xdr:colOff>0</xdr:colOff>
      <xdr:row>11</xdr:row>
      <xdr:rowOff>118594</xdr:rowOff>
    </xdr:to>
    <xdr:sp macro="" textlink="">
      <xdr:nvSpPr>
        <xdr:cNvPr id="32" name="Obdélník 31">
          <a:extLst>
            <a:ext uri="{FF2B5EF4-FFF2-40B4-BE49-F238E27FC236}">
              <a16:creationId xmlns:a16="http://schemas.microsoft.com/office/drawing/2014/main" id="{00000000-0008-0000-0100-000020000000}"/>
            </a:ext>
          </a:extLst>
        </xdr:cNvPr>
        <xdr:cNvSpPr/>
      </xdr:nvSpPr>
      <xdr:spPr>
        <a:xfrm>
          <a:off x="16057533" y="1179813"/>
          <a:ext cx="99798" cy="887743"/>
        </a:xfrm>
        <a:prstGeom prst="rect">
          <a:avLst/>
        </a:prstGeom>
        <a:pattFill prst="wdUpDiag">
          <a:fgClr>
            <a:schemeClr val="tx1"/>
          </a:fgClr>
          <a:bgClr>
            <a:srgbClr val="FFFF00"/>
          </a:bgClr>
        </a:patt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cs-CZ" sz="1100"/>
        </a:p>
      </xdr:txBody>
    </xdr:sp>
    <xdr:clientData/>
  </xdr:twoCellAnchor>
  <xdr:twoCellAnchor>
    <xdr:from>
      <xdr:col>26</xdr:col>
      <xdr:colOff>677007</xdr:colOff>
      <xdr:row>11</xdr:row>
      <xdr:rowOff>25066</xdr:rowOff>
    </xdr:from>
    <xdr:to>
      <xdr:col>30</xdr:col>
      <xdr:colOff>89178</xdr:colOff>
      <xdr:row>11</xdr:row>
      <xdr:rowOff>119739</xdr:rowOff>
    </xdr:to>
    <xdr:sp macro="" textlink="">
      <xdr:nvSpPr>
        <xdr:cNvPr id="15" name="Obdélník 14">
          <a:extLst>
            <a:ext uri="{FF2B5EF4-FFF2-40B4-BE49-F238E27FC236}">
              <a16:creationId xmlns:a16="http://schemas.microsoft.com/office/drawing/2014/main" id="{00000000-0008-0000-0100-00000F000000}"/>
            </a:ext>
          </a:extLst>
        </xdr:cNvPr>
        <xdr:cNvSpPr/>
      </xdr:nvSpPr>
      <xdr:spPr>
        <a:xfrm>
          <a:off x="16148538" y="1974028"/>
          <a:ext cx="1736271" cy="94673"/>
        </a:xfrm>
        <a:prstGeom prst="rect">
          <a:avLst/>
        </a:prstGeom>
        <a:pattFill prst="wdUpDiag">
          <a:fgClr>
            <a:schemeClr val="tx1"/>
          </a:fgClr>
          <a:bgClr>
            <a:srgbClr val="FFFF00"/>
          </a:bgClr>
        </a:patt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cs-CZ" sz="1100"/>
        </a:p>
      </xdr:txBody>
    </xdr:sp>
    <xdr:clientData/>
  </xdr:twoCellAnchor>
  <xdr:twoCellAnchor>
    <xdr:from>
      <xdr:col>26</xdr:col>
      <xdr:colOff>602155</xdr:colOff>
      <xdr:row>6</xdr:row>
      <xdr:rowOff>37860</xdr:rowOff>
    </xdr:from>
    <xdr:to>
      <xdr:col>30</xdr:col>
      <xdr:colOff>92038</xdr:colOff>
      <xdr:row>7</xdr:row>
      <xdr:rowOff>0</xdr:rowOff>
    </xdr:to>
    <xdr:sp macro="" textlink="">
      <xdr:nvSpPr>
        <xdr:cNvPr id="16" name="Obdélník 15">
          <a:extLst>
            <a:ext uri="{FF2B5EF4-FFF2-40B4-BE49-F238E27FC236}">
              <a16:creationId xmlns:a16="http://schemas.microsoft.com/office/drawing/2014/main" id="{00000000-0008-0000-0100-000010000000}"/>
            </a:ext>
          </a:extLst>
        </xdr:cNvPr>
        <xdr:cNvSpPr/>
      </xdr:nvSpPr>
      <xdr:spPr>
        <a:xfrm>
          <a:off x="22016983" y="1187429"/>
          <a:ext cx="4318072" cy="126364"/>
        </a:xfrm>
        <a:prstGeom prst="rect">
          <a:avLst/>
        </a:prstGeom>
        <a:pattFill prst="wdUpDiag">
          <a:fgClr>
            <a:schemeClr val="tx1"/>
          </a:fgClr>
          <a:bgClr>
            <a:srgbClr val="FFFF00"/>
          </a:bgClr>
        </a:patt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cs-CZ" sz="1100"/>
        </a:p>
      </xdr:txBody>
    </xdr:sp>
    <xdr:clientData/>
  </xdr:twoCellAnchor>
  <xdr:twoCellAnchor>
    <xdr:from>
      <xdr:col>32</xdr:col>
      <xdr:colOff>405086</xdr:colOff>
      <xdr:row>9</xdr:row>
      <xdr:rowOff>98534</xdr:rowOff>
    </xdr:from>
    <xdr:to>
      <xdr:col>37</xdr:col>
      <xdr:colOff>448879</xdr:colOff>
      <xdr:row>15</xdr:row>
      <xdr:rowOff>32845</xdr:rowOff>
    </xdr:to>
    <xdr:grpSp>
      <xdr:nvGrpSpPr>
        <xdr:cNvPr id="20" name="Skupina 19">
          <a:extLst>
            <a:ext uri="{FF2B5EF4-FFF2-40B4-BE49-F238E27FC236}">
              <a16:creationId xmlns:a16="http://schemas.microsoft.com/office/drawing/2014/main" id="{00000000-0008-0000-0100-000014000000}"/>
            </a:ext>
          </a:extLst>
        </xdr:cNvPr>
        <xdr:cNvGrpSpPr/>
      </xdr:nvGrpSpPr>
      <xdr:grpSpPr>
        <a:xfrm>
          <a:off x="19542672" y="1740775"/>
          <a:ext cx="4007069" cy="426984"/>
          <a:chOff x="11921879" y="1154205"/>
          <a:chExt cx="4101354" cy="483621"/>
        </a:xfrm>
      </xdr:grpSpPr>
      <xdr:grpSp>
        <xdr:nvGrpSpPr>
          <xdr:cNvPr id="21" name="Skupina 20">
            <a:extLst>
              <a:ext uri="{FF2B5EF4-FFF2-40B4-BE49-F238E27FC236}">
                <a16:creationId xmlns:a16="http://schemas.microsoft.com/office/drawing/2014/main" id="{00000000-0008-0000-0100-000015000000}"/>
              </a:ext>
            </a:extLst>
          </xdr:cNvPr>
          <xdr:cNvGrpSpPr/>
        </xdr:nvGrpSpPr>
        <xdr:grpSpPr>
          <a:xfrm>
            <a:off x="11921879" y="1154205"/>
            <a:ext cx="4101354" cy="483621"/>
            <a:chOff x="11844617" y="1344705"/>
            <a:chExt cx="4101354" cy="470647"/>
          </a:xfrm>
        </xdr:grpSpPr>
        <xdr:sp macro="" textlink="">
          <xdr:nvSpPr>
            <xdr:cNvPr id="34" name="Obdélník: se zakulacenými rohy 33">
              <a:extLst>
                <a:ext uri="{FF2B5EF4-FFF2-40B4-BE49-F238E27FC236}">
                  <a16:creationId xmlns:a16="http://schemas.microsoft.com/office/drawing/2014/main" id="{00000000-0008-0000-0100-000022000000}"/>
                </a:ext>
              </a:extLst>
            </xdr:cNvPr>
            <xdr:cNvSpPr/>
          </xdr:nvSpPr>
          <xdr:spPr>
            <a:xfrm>
              <a:off x="11844617" y="1344705"/>
              <a:ext cx="4101354" cy="470647"/>
            </a:xfrm>
            <a:prstGeom prst="roundRect">
              <a:avLst/>
            </a:prstGeom>
            <a:blipFill>
              <a:blip xmlns:r="http://schemas.openxmlformats.org/officeDocument/2006/relationships" r:embed="rId7"/>
              <a:stretch>
                <a:fillRect/>
              </a:stretch>
            </a:blip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cs-CZ" sz="1100"/>
            </a:p>
          </xdr:txBody>
        </xdr:sp>
        <xdr:pic>
          <xdr:nvPicPr>
            <xdr:cNvPr id="35" name="Obrázek 34">
              <a:extLst>
                <a:ext uri="{FF2B5EF4-FFF2-40B4-BE49-F238E27FC236}">
                  <a16:creationId xmlns:a16="http://schemas.microsoft.com/office/drawing/2014/main" id="{00000000-0008-0000-0100-000023000000}"/>
                </a:ext>
              </a:extLst>
            </xdr:cNvPr>
            <xdr:cNvPicPr>
              <a:picLocks noChangeAspect="1"/>
            </xdr:cNvPicPr>
          </xdr:nvPicPr>
          <xdr:blipFill>
            <a:blip xmlns:r="http://schemas.openxmlformats.org/officeDocument/2006/relationships" r:embed="rId8"/>
            <a:stretch>
              <a:fillRect/>
            </a:stretch>
          </xdr:blipFill>
          <xdr:spPr>
            <a:xfrm>
              <a:off x="11900647" y="1580030"/>
              <a:ext cx="3976367" cy="144000"/>
            </a:xfrm>
            <a:prstGeom prst="rect">
              <a:avLst/>
            </a:prstGeom>
          </xdr:spPr>
        </xdr:pic>
      </xdr:grpSp>
      <mc:AlternateContent xmlns:mc="http://schemas.openxmlformats.org/markup-compatibility/2006">
        <mc:Choice xmlns:a14="http://schemas.microsoft.com/office/drawing/2010/main" Requires="a14">
          <xdr:sp macro="" textlink="">
            <xdr:nvSpPr>
              <xdr:cNvPr id="111609" name="Option Button 1017" hidden="1">
                <a:extLst>
                  <a:ext uri="{63B3BB69-23CF-44E3-9099-C40C66FF867C}">
                    <a14:compatExt spid="_x0000_s111609"/>
                  </a:ext>
                  <a:ext uri="{FF2B5EF4-FFF2-40B4-BE49-F238E27FC236}">
                    <a16:creationId xmlns:a16="http://schemas.microsoft.com/office/drawing/2014/main" id="{00000000-0008-0000-0100-0000F9B30100}"/>
                  </a:ext>
                </a:extLst>
              </xdr:cNvPr>
              <xdr:cNvSpPr/>
            </xdr:nvSpPr>
            <xdr:spPr bwMode="auto">
              <a:xfrm>
                <a:off x="11997577" y="1184462"/>
                <a:ext cx="247650" cy="1809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cs-CZ" sz="800" b="0" i="0" u="none" strike="noStrike" baseline="0">
                    <a:solidFill>
                      <a:srgbClr val="000000"/>
                    </a:solidFill>
                    <a:latin typeface="Segoe UI"/>
                    <a:cs typeface="Segoe UI"/>
                  </a:rPr>
                  <a:t> </a:t>
                </a:r>
              </a:p>
            </xdr:txBody>
          </xdr:sp>
        </mc:Choice>
        <mc:Fallback/>
      </mc:AlternateContent>
      <mc:AlternateContent xmlns:mc="http://schemas.openxmlformats.org/markup-compatibility/2006">
        <mc:Choice xmlns:a14="http://schemas.microsoft.com/office/drawing/2010/main" Requires="a14">
          <xdr:sp macro="" textlink="">
            <xdr:nvSpPr>
              <xdr:cNvPr id="111610" name="Option Button 1018" hidden="1">
                <a:extLst>
                  <a:ext uri="{63B3BB69-23CF-44E3-9099-C40C66FF867C}">
                    <a14:compatExt spid="_x0000_s111610"/>
                  </a:ext>
                  <a:ext uri="{FF2B5EF4-FFF2-40B4-BE49-F238E27FC236}">
                    <a16:creationId xmlns:a16="http://schemas.microsoft.com/office/drawing/2014/main" id="{00000000-0008-0000-0100-0000FAB30100}"/>
                  </a:ext>
                </a:extLst>
              </xdr:cNvPr>
              <xdr:cNvSpPr/>
            </xdr:nvSpPr>
            <xdr:spPr bwMode="auto">
              <a:xfrm>
                <a:off x="12999943" y="1184462"/>
                <a:ext cx="219075" cy="1809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mc:AlternateContent xmlns:mc="http://schemas.openxmlformats.org/markup-compatibility/2006">
        <mc:Choice xmlns:a14="http://schemas.microsoft.com/office/drawing/2010/main" Requires="a14">
          <xdr:sp macro="" textlink="">
            <xdr:nvSpPr>
              <xdr:cNvPr id="111611" name="Option Button 1019" hidden="1">
                <a:extLst>
                  <a:ext uri="{63B3BB69-23CF-44E3-9099-C40C66FF867C}">
                    <a14:compatExt spid="_x0000_s111611"/>
                  </a:ext>
                  <a:ext uri="{FF2B5EF4-FFF2-40B4-BE49-F238E27FC236}">
                    <a16:creationId xmlns:a16="http://schemas.microsoft.com/office/drawing/2014/main" id="{00000000-0008-0000-0100-0000FBB30100}"/>
                  </a:ext>
                </a:extLst>
              </xdr:cNvPr>
              <xdr:cNvSpPr/>
            </xdr:nvSpPr>
            <xdr:spPr bwMode="auto">
              <a:xfrm>
                <a:off x="14352493" y="1184462"/>
                <a:ext cx="228600" cy="1809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mc:AlternateContent xmlns:mc="http://schemas.openxmlformats.org/markup-compatibility/2006">
        <mc:Choice xmlns:a14="http://schemas.microsoft.com/office/drawing/2010/main" Requires="a14">
          <xdr:sp macro="" textlink="">
            <xdr:nvSpPr>
              <xdr:cNvPr id="111612" name="Option Button 1020" hidden="1">
                <a:extLst>
                  <a:ext uri="{63B3BB69-23CF-44E3-9099-C40C66FF867C}">
                    <a14:compatExt spid="_x0000_s111612"/>
                  </a:ext>
                  <a:ext uri="{FF2B5EF4-FFF2-40B4-BE49-F238E27FC236}">
                    <a16:creationId xmlns:a16="http://schemas.microsoft.com/office/drawing/2014/main" id="{00000000-0008-0000-0100-0000FCB30100}"/>
                  </a:ext>
                </a:extLst>
              </xdr:cNvPr>
              <xdr:cNvSpPr/>
            </xdr:nvSpPr>
            <xdr:spPr bwMode="auto">
              <a:xfrm>
                <a:off x="13342843" y="1184462"/>
                <a:ext cx="228600" cy="1809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mc:AlternateContent xmlns:mc="http://schemas.openxmlformats.org/markup-compatibility/2006">
        <mc:Choice xmlns:a14="http://schemas.microsoft.com/office/drawing/2010/main" Requires="a14">
          <xdr:sp macro="" textlink="">
            <xdr:nvSpPr>
              <xdr:cNvPr id="111613" name="Option Button 1021" hidden="1">
                <a:extLst>
                  <a:ext uri="{63B3BB69-23CF-44E3-9099-C40C66FF867C}">
                    <a14:compatExt spid="_x0000_s111613"/>
                  </a:ext>
                  <a:ext uri="{FF2B5EF4-FFF2-40B4-BE49-F238E27FC236}">
                    <a16:creationId xmlns:a16="http://schemas.microsoft.com/office/drawing/2014/main" id="{00000000-0008-0000-0100-0000FDB30100}"/>
                  </a:ext>
                </a:extLst>
              </xdr:cNvPr>
              <xdr:cNvSpPr/>
            </xdr:nvSpPr>
            <xdr:spPr bwMode="auto">
              <a:xfrm>
                <a:off x="14009593" y="1184462"/>
                <a:ext cx="228600" cy="1809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mc:AlternateContent xmlns:mc="http://schemas.openxmlformats.org/markup-compatibility/2006">
        <mc:Choice xmlns:a14="http://schemas.microsoft.com/office/drawing/2010/main" Requires="a14">
          <xdr:sp macro="" textlink="">
            <xdr:nvSpPr>
              <xdr:cNvPr id="111614" name="Option Button 1022" hidden="1">
                <a:extLst>
                  <a:ext uri="{63B3BB69-23CF-44E3-9099-C40C66FF867C}">
                    <a14:compatExt spid="_x0000_s111614"/>
                  </a:ext>
                  <a:ext uri="{FF2B5EF4-FFF2-40B4-BE49-F238E27FC236}">
                    <a16:creationId xmlns:a16="http://schemas.microsoft.com/office/drawing/2014/main" id="{00000000-0008-0000-0100-0000FEB30100}"/>
                  </a:ext>
                </a:extLst>
              </xdr:cNvPr>
              <xdr:cNvSpPr/>
            </xdr:nvSpPr>
            <xdr:spPr bwMode="auto">
              <a:xfrm>
                <a:off x="13685743" y="1184462"/>
                <a:ext cx="209550" cy="1809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mc:AlternateContent xmlns:mc="http://schemas.openxmlformats.org/markup-compatibility/2006">
        <mc:Choice xmlns:a14="http://schemas.microsoft.com/office/drawing/2010/main" Requires="a14">
          <xdr:sp macro="" textlink="">
            <xdr:nvSpPr>
              <xdr:cNvPr id="111615" name="Option Button 1023" hidden="1">
                <a:extLst>
                  <a:ext uri="{63B3BB69-23CF-44E3-9099-C40C66FF867C}">
                    <a14:compatExt spid="_x0000_s111615"/>
                  </a:ext>
                  <a:ext uri="{FF2B5EF4-FFF2-40B4-BE49-F238E27FC236}">
                    <a16:creationId xmlns:a16="http://schemas.microsoft.com/office/drawing/2014/main" id="{00000000-0008-0000-0100-0000FFB30100}"/>
                  </a:ext>
                </a:extLst>
              </xdr:cNvPr>
              <xdr:cNvSpPr/>
            </xdr:nvSpPr>
            <xdr:spPr bwMode="auto">
              <a:xfrm>
                <a:off x="12321427" y="1184462"/>
                <a:ext cx="228600" cy="1809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mc:AlternateContent xmlns:mc="http://schemas.openxmlformats.org/markup-compatibility/2006">
        <mc:Choice xmlns:a14="http://schemas.microsoft.com/office/drawing/2010/main" Requires="a14">
          <xdr:sp macro="" textlink="">
            <xdr:nvSpPr>
              <xdr:cNvPr id="141312" name="Option Button 1024" hidden="1">
                <a:extLst>
                  <a:ext uri="{63B3BB69-23CF-44E3-9099-C40C66FF867C}">
                    <a14:compatExt spid="_x0000_s141312"/>
                  </a:ext>
                  <a:ext uri="{FF2B5EF4-FFF2-40B4-BE49-F238E27FC236}">
                    <a16:creationId xmlns:a16="http://schemas.microsoft.com/office/drawing/2014/main" id="{00000000-0008-0000-0100-000000280200}"/>
                  </a:ext>
                </a:extLst>
              </xdr:cNvPr>
              <xdr:cNvSpPr/>
            </xdr:nvSpPr>
            <xdr:spPr bwMode="auto">
              <a:xfrm>
                <a:off x="12657042" y="1184462"/>
                <a:ext cx="238126" cy="1809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mc:AlternateContent xmlns:mc="http://schemas.openxmlformats.org/markup-compatibility/2006">
        <mc:Choice xmlns:a14="http://schemas.microsoft.com/office/drawing/2010/main" Requires="a14">
          <xdr:sp macro="" textlink="">
            <xdr:nvSpPr>
              <xdr:cNvPr id="141313" name="Option Button 1025" hidden="1">
                <a:extLst>
                  <a:ext uri="{63B3BB69-23CF-44E3-9099-C40C66FF867C}">
                    <a14:compatExt spid="_x0000_s141313"/>
                  </a:ext>
                  <a:ext uri="{FF2B5EF4-FFF2-40B4-BE49-F238E27FC236}">
                    <a16:creationId xmlns:a16="http://schemas.microsoft.com/office/drawing/2014/main" id="{00000000-0008-0000-0100-000001280200}"/>
                  </a:ext>
                </a:extLst>
              </xdr:cNvPr>
              <xdr:cNvSpPr/>
            </xdr:nvSpPr>
            <xdr:spPr bwMode="auto">
              <a:xfrm>
                <a:off x="15019243" y="1184462"/>
                <a:ext cx="247650" cy="1809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mc:AlternateContent xmlns:mc="http://schemas.openxmlformats.org/markup-compatibility/2006">
        <mc:Choice xmlns:a14="http://schemas.microsoft.com/office/drawing/2010/main" Requires="a14">
          <xdr:sp macro="" textlink="">
            <xdr:nvSpPr>
              <xdr:cNvPr id="141314" name="Option Button 1026" hidden="1">
                <a:extLst>
                  <a:ext uri="{63B3BB69-23CF-44E3-9099-C40C66FF867C}">
                    <a14:compatExt spid="_x0000_s141314"/>
                  </a:ext>
                  <a:ext uri="{FF2B5EF4-FFF2-40B4-BE49-F238E27FC236}">
                    <a16:creationId xmlns:a16="http://schemas.microsoft.com/office/drawing/2014/main" id="{00000000-0008-0000-0100-000002280200}"/>
                  </a:ext>
                </a:extLst>
              </xdr:cNvPr>
              <xdr:cNvSpPr/>
            </xdr:nvSpPr>
            <xdr:spPr bwMode="auto">
              <a:xfrm>
                <a:off x="14676343" y="1184462"/>
                <a:ext cx="219075" cy="1809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mc:AlternateContent xmlns:mc="http://schemas.openxmlformats.org/markup-compatibility/2006">
        <mc:Choice xmlns:a14="http://schemas.microsoft.com/office/drawing/2010/main" Requires="a14">
          <xdr:sp macro="" textlink="">
            <xdr:nvSpPr>
              <xdr:cNvPr id="141315" name="Option Button 1027" hidden="1">
                <a:extLst>
                  <a:ext uri="{63B3BB69-23CF-44E3-9099-C40C66FF867C}">
                    <a14:compatExt spid="_x0000_s141315"/>
                  </a:ext>
                  <a:ext uri="{FF2B5EF4-FFF2-40B4-BE49-F238E27FC236}">
                    <a16:creationId xmlns:a16="http://schemas.microsoft.com/office/drawing/2014/main" id="{00000000-0008-0000-0100-000003280200}"/>
                  </a:ext>
                </a:extLst>
              </xdr:cNvPr>
              <xdr:cNvSpPr/>
            </xdr:nvSpPr>
            <xdr:spPr bwMode="auto">
              <a:xfrm>
                <a:off x="15372789" y="1184462"/>
                <a:ext cx="266700" cy="1809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mc:AlternateContent xmlns:mc="http://schemas.openxmlformats.org/markup-compatibility/2006">
        <mc:Choice xmlns:a14="http://schemas.microsoft.com/office/drawing/2010/main" Requires="a14">
          <xdr:sp macro="" textlink="">
            <xdr:nvSpPr>
              <xdr:cNvPr id="141316" name="Option Button 1028" hidden="1">
                <a:extLst>
                  <a:ext uri="{63B3BB69-23CF-44E3-9099-C40C66FF867C}">
                    <a14:compatExt spid="_x0000_s141316"/>
                  </a:ext>
                  <a:ext uri="{FF2B5EF4-FFF2-40B4-BE49-F238E27FC236}">
                    <a16:creationId xmlns:a16="http://schemas.microsoft.com/office/drawing/2014/main" id="{00000000-0008-0000-0100-000004280200}"/>
                  </a:ext>
                </a:extLst>
              </xdr:cNvPr>
              <xdr:cNvSpPr/>
            </xdr:nvSpPr>
            <xdr:spPr bwMode="auto">
              <a:xfrm>
                <a:off x="15715689" y="1184462"/>
                <a:ext cx="257175" cy="1809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xdr:grpSp>
    <xdr:clientData/>
  </xdr:twoCellAnchor>
  <mc:AlternateContent xmlns:mc="http://schemas.openxmlformats.org/markup-compatibility/2006">
    <mc:Choice xmlns:a14="http://schemas.microsoft.com/office/drawing/2010/main" Requires="a14">
      <xdr:twoCellAnchor>
        <xdr:from>
          <xdr:col>3</xdr:col>
          <xdr:colOff>49644</xdr:colOff>
          <xdr:row>0</xdr:row>
          <xdr:rowOff>59684</xdr:rowOff>
        </xdr:from>
        <xdr:to>
          <xdr:col>17</xdr:col>
          <xdr:colOff>407717</xdr:colOff>
          <xdr:row>3</xdr:row>
          <xdr:rowOff>51699</xdr:rowOff>
        </xdr:to>
        <xdr:pic>
          <xdr:nvPicPr>
            <xdr:cNvPr id="27" name="Obrázek 26">
              <a:extLst>
                <a:ext uri="{FF2B5EF4-FFF2-40B4-BE49-F238E27FC236}">
                  <a16:creationId xmlns:a16="http://schemas.microsoft.com/office/drawing/2014/main" id="{00000000-0008-0000-0100-00001B000000}"/>
                </a:ext>
              </a:extLst>
            </xdr:cNvPr>
            <xdr:cNvPicPr>
              <a:picLocks noChangeAspect="1" noChangeArrowheads="1"/>
              <a:extLst>
                <a:ext uri="{84589F7E-364E-4C9E-8A38-B11213B215E9}">
                  <a14:cameraTool cellRange="HLAVIČKA!$AI$27:$AX$30" spid="_x0000_s166285"/>
                </a:ext>
              </a:extLst>
            </xdr:cNvPicPr>
          </xdr:nvPicPr>
          <xdr:blipFill>
            <a:blip xmlns:r="http://schemas.openxmlformats.org/officeDocument/2006/relationships" r:embed="rId9"/>
            <a:srcRect/>
            <a:stretch>
              <a:fillRect/>
            </a:stretch>
          </xdr:blipFill>
          <xdr:spPr bwMode="auto">
            <a:xfrm>
              <a:off x="1626196" y="59684"/>
              <a:ext cx="7956176" cy="605118"/>
            </a:xfrm>
            <a:prstGeom prst="rect">
              <a:avLst/>
            </a:prstGeom>
            <a:ln>
              <a:noFill/>
            </a:ln>
            <a:effectLst>
              <a:outerShdw blurRad="292100" dist="139700" dir="2700000" algn="tl" rotWithShape="0">
                <a:srgbClr val="333333">
                  <a:alpha val="65000"/>
                </a:srgbClr>
              </a:outerShdw>
            </a:effectLst>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3</xdr:col>
          <xdr:colOff>825705</xdr:colOff>
          <xdr:row>7</xdr:row>
          <xdr:rowOff>148828</xdr:rowOff>
        </xdr:from>
        <xdr:to>
          <xdr:col>16</xdr:col>
          <xdr:colOff>941551</xdr:colOff>
          <xdr:row>11</xdr:row>
          <xdr:rowOff>56875</xdr:rowOff>
        </xdr:to>
        <xdr:pic>
          <xdr:nvPicPr>
            <xdr:cNvPr id="19" name="Obrázek 18">
              <a:extLst>
                <a:ext uri="{FF2B5EF4-FFF2-40B4-BE49-F238E27FC236}">
                  <a16:creationId xmlns:a16="http://schemas.microsoft.com/office/drawing/2014/main" id="{00000000-0008-0000-0100-000013000000}"/>
                </a:ext>
              </a:extLst>
            </xdr:cNvPr>
            <xdr:cNvPicPr>
              <a:picLocks noChangeAspect="1" noChangeArrowheads="1"/>
              <a:extLst>
                <a:ext uri="{84589F7E-364E-4C9E-8A38-B11213B215E9}">
                  <a14:cameraTool cellRange="HLAVIČKA!$BF$27:$BQ$30" spid="_x0000_s166286"/>
                </a:ext>
              </a:extLst>
            </xdr:cNvPicPr>
          </xdr:nvPicPr>
          <xdr:blipFill>
            <a:blip xmlns:r="http://schemas.openxmlformats.org/officeDocument/2006/relationships" r:embed="rId10"/>
            <a:srcRect/>
            <a:stretch>
              <a:fillRect/>
            </a:stretch>
          </xdr:blipFill>
          <xdr:spPr bwMode="auto">
            <a:xfrm>
              <a:off x="2402257" y="1462621"/>
              <a:ext cx="6148346" cy="564944"/>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3</xdr:col>
          <xdr:colOff>1290760</xdr:colOff>
          <xdr:row>3</xdr:row>
          <xdr:rowOff>59409</xdr:rowOff>
        </xdr:from>
        <xdr:to>
          <xdr:col>16</xdr:col>
          <xdr:colOff>744482</xdr:colOff>
          <xdr:row>7</xdr:row>
          <xdr:rowOff>143017</xdr:rowOff>
        </xdr:to>
        <xdr:pic>
          <xdr:nvPicPr>
            <xdr:cNvPr id="3" name="Obrázek 2">
              <a:extLst>
                <a:ext uri="{FF2B5EF4-FFF2-40B4-BE49-F238E27FC236}">
                  <a16:creationId xmlns:a16="http://schemas.microsoft.com/office/drawing/2014/main" id="{00000000-0008-0000-0100-000003000000}"/>
                </a:ext>
              </a:extLst>
            </xdr:cNvPr>
            <xdr:cNvPicPr>
              <a:picLocks noChangeAspect="1" noChangeArrowheads="1"/>
              <a:extLst>
                <a:ext uri="{84589F7E-364E-4C9E-8A38-B11213B215E9}">
                  <a14:cameraTool cellRange="HLAVIČKA!$C$75:$M$79" spid="_x0000_s166287"/>
                </a:ext>
              </a:extLst>
            </xdr:cNvPicPr>
          </xdr:nvPicPr>
          <xdr:blipFill>
            <a:blip xmlns:r="http://schemas.openxmlformats.org/officeDocument/2006/relationships" r:embed="rId11"/>
            <a:srcRect/>
            <a:stretch>
              <a:fillRect/>
            </a:stretch>
          </xdr:blipFill>
          <xdr:spPr bwMode="auto">
            <a:xfrm>
              <a:off x="2867312" y="672512"/>
              <a:ext cx="5486222" cy="784298"/>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xdr:from>
      <xdr:col>3</xdr:col>
      <xdr:colOff>2583793</xdr:colOff>
      <xdr:row>5</xdr:row>
      <xdr:rowOff>10948</xdr:rowOff>
    </xdr:from>
    <xdr:to>
      <xdr:col>4</xdr:col>
      <xdr:colOff>26939</xdr:colOff>
      <xdr:row>6</xdr:row>
      <xdr:rowOff>27679</xdr:rowOff>
    </xdr:to>
    <xdr:sp macro="" textlink="">
      <xdr:nvSpPr>
        <xdr:cNvPr id="9" name="Obdélník 8">
          <a:extLst>
            <a:ext uri="{FF2B5EF4-FFF2-40B4-BE49-F238E27FC236}">
              <a16:creationId xmlns:a16="http://schemas.microsoft.com/office/drawing/2014/main" id="{00000000-0008-0000-0100-000009000000}"/>
            </a:ext>
          </a:extLst>
        </xdr:cNvPr>
        <xdr:cNvSpPr/>
      </xdr:nvSpPr>
      <xdr:spPr>
        <a:xfrm>
          <a:off x="4368362" y="952500"/>
          <a:ext cx="256853" cy="224748"/>
        </a:xfrm>
        <a:prstGeom prst="rect">
          <a:avLst/>
        </a:prstGeom>
        <a:solidFill>
          <a:srgbClr val="FFFF00"/>
        </a:solidFill>
        <a:ln>
          <a:solidFill>
            <a:srgbClr val="FF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cs-CZ" sz="1100"/>
        </a:p>
      </xdr:txBody>
    </xdr:sp>
    <xdr:clientData/>
  </xdr:twoCellAnchor>
  <mc:AlternateContent xmlns:mc="http://schemas.openxmlformats.org/markup-compatibility/2006">
    <mc:Choice xmlns:a14="http://schemas.microsoft.com/office/drawing/2010/main" Requires="a14">
      <xdr:twoCellAnchor editAs="oneCell">
        <xdr:from>
          <xdr:col>3</xdr:col>
          <xdr:colOff>2600325</xdr:colOff>
          <xdr:row>4</xdr:row>
          <xdr:rowOff>133350</xdr:rowOff>
        </xdr:from>
        <xdr:to>
          <xdr:col>4</xdr:col>
          <xdr:colOff>47625</xdr:colOff>
          <xdr:row>6</xdr:row>
          <xdr:rowOff>57150</xdr:rowOff>
        </xdr:to>
        <xdr:sp macro="" textlink="">
          <xdr:nvSpPr>
            <xdr:cNvPr id="141840" name="Check Box 1552" hidden="1">
              <a:extLst>
                <a:ext uri="{63B3BB69-23CF-44E3-9099-C40C66FF867C}">
                  <a14:compatExt spid="_x0000_s141840"/>
                </a:ext>
                <a:ext uri="{FF2B5EF4-FFF2-40B4-BE49-F238E27FC236}">
                  <a16:creationId xmlns:a16="http://schemas.microsoft.com/office/drawing/2014/main" id="{00000000-0008-0000-0100-0000102A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171450</xdr:colOff>
          <xdr:row>9</xdr:row>
          <xdr:rowOff>19050</xdr:rowOff>
        </xdr:from>
        <xdr:to>
          <xdr:col>31</xdr:col>
          <xdr:colOff>895350</xdr:colOff>
          <xdr:row>11</xdr:row>
          <xdr:rowOff>57150</xdr:rowOff>
        </xdr:to>
        <xdr:sp macro="" textlink="">
          <xdr:nvSpPr>
            <xdr:cNvPr id="142142" name="Drop Down 1854" hidden="1">
              <a:extLst>
                <a:ext uri="{63B3BB69-23CF-44E3-9099-C40C66FF867C}">
                  <a14:compatExt spid="_x0000_s142142"/>
                </a:ext>
                <a:ext uri="{FF2B5EF4-FFF2-40B4-BE49-F238E27FC236}">
                  <a16:creationId xmlns:a16="http://schemas.microsoft.com/office/drawing/2014/main" id="{00000000-0008-0000-0100-00003E2B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xdr:twoCellAnchor editAs="oneCell">
    <xdr:from>
      <xdr:col>17</xdr:col>
      <xdr:colOff>624053</xdr:colOff>
      <xdr:row>0</xdr:row>
      <xdr:rowOff>109483</xdr:rowOff>
    </xdr:from>
    <xdr:to>
      <xdr:col>26</xdr:col>
      <xdr:colOff>30547</xdr:colOff>
      <xdr:row>5</xdr:row>
      <xdr:rowOff>108060</xdr:rowOff>
    </xdr:to>
    <xdr:pic>
      <xdr:nvPicPr>
        <xdr:cNvPr id="12" name="Obrázek 11">
          <a:extLst>
            <a:ext uri="{FF2B5EF4-FFF2-40B4-BE49-F238E27FC236}">
              <a16:creationId xmlns:a16="http://schemas.microsoft.com/office/drawing/2014/main" id="{00000000-0008-0000-0100-00000C00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9798708" y="109483"/>
          <a:ext cx="5198132" cy="9401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22</xdr:col>
          <xdr:colOff>961588</xdr:colOff>
          <xdr:row>5</xdr:row>
          <xdr:rowOff>142327</xdr:rowOff>
        </xdr:from>
        <xdr:to>
          <xdr:col>26</xdr:col>
          <xdr:colOff>501323</xdr:colOff>
          <xdr:row>11</xdr:row>
          <xdr:rowOff>85724</xdr:rowOff>
        </xdr:to>
        <xdr:pic>
          <xdr:nvPicPr>
            <xdr:cNvPr id="2" name="Obrázek 1">
              <a:extLst>
                <a:ext uri="{FF2B5EF4-FFF2-40B4-BE49-F238E27FC236}">
                  <a16:creationId xmlns:a16="http://schemas.microsoft.com/office/drawing/2014/main" id="{00000000-0008-0000-0100-000002000000}"/>
                </a:ext>
              </a:extLst>
            </xdr:cNvPr>
            <xdr:cNvPicPr>
              <a:picLocks noChangeAspect="1" noChangeArrowheads="1"/>
              <a:extLst>
                <a:ext uri="{84589F7E-364E-4C9E-8A38-B11213B215E9}">
                  <a14:cameraTool cellRange="'Výpočet času'!$AP$24:$AT$27" spid="_x0000_s166288"/>
                </a:ext>
              </a:extLst>
            </xdr:cNvPicPr>
          </xdr:nvPicPr>
          <xdr:blipFill>
            <a:blip xmlns:r="http://schemas.openxmlformats.org/officeDocument/2006/relationships" r:embed="rId13"/>
            <a:srcRect/>
            <a:stretch>
              <a:fillRect/>
            </a:stretch>
          </xdr:blipFill>
          <xdr:spPr bwMode="auto">
            <a:xfrm>
              <a:off x="12063140" y="1083879"/>
              <a:ext cx="2933700" cy="972535"/>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21</xdr:col>
      <xdr:colOff>571500</xdr:colOff>
      <xdr:row>607</xdr:row>
      <xdr:rowOff>89297</xdr:rowOff>
    </xdr:from>
    <xdr:to>
      <xdr:col>21</xdr:col>
      <xdr:colOff>636984</xdr:colOff>
      <xdr:row>610</xdr:row>
      <xdr:rowOff>5953</xdr:rowOff>
    </xdr:to>
    <xdr:sp macro="" textlink="">
      <xdr:nvSpPr>
        <xdr:cNvPr id="20" name="Obdélník 19">
          <a:extLst>
            <a:ext uri="{FF2B5EF4-FFF2-40B4-BE49-F238E27FC236}">
              <a16:creationId xmlns:a16="http://schemas.microsoft.com/office/drawing/2014/main" id="{00000000-0008-0000-0400-000014000000}"/>
            </a:ext>
          </a:extLst>
        </xdr:cNvPr>
        <xdr:cNvSpPr/>
      </xdr:nvSpPr>
      <xdr:spPr>
        <a:xfrm>
          <a:off x="12382500" y="325243031"/>
          <a:ext cx="65484" cy="595313"/>
        </a:xfrm>
        <a:prstGeom prst="rect">
          <a:avLst/>
        </a:prstGeom>
        <a:pattFill prst="wdUpDiag">
          <a:fgClr>
            <a:schemeClr val="tx1"/>
          </a:fgClr>
          <a:bgClr>
            <a:srgbClr val="FFFF00"/>
          </a:bgClr>
        </a:patt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cs-CZ" sz="1100"/>
        </a:p>
      </xdr:txBody>
    </xdr:sp>
    <xdr:clientData/>
  </xdr:twoCellAnchor>
  <xdr:twoCellAnchor>
    <xdr:from>
      <xdr:col>21</xdr:col>
      <xdr:colOff>280146</xdr:colOff>
      <xdr:row>607</xdr:row>
      <xdr:rowOff>89297</xdr:rowOff>
    </xdr:from>
    <xdr:to>
      <xdr:col>21</xdr:col>
      <xdr:colOff>363490</xdr:colOff>
      <xdr:row>610</xdr:row>
      <xdr:rowOff>5953</xdr:rowOff>
    </xdr:to>
    <xdr:sp macro="" textlink="">
      <xdr:nvSpPr>
        <xdr:cNvPr id="48" name="Obdélník 47">
          <a:extLst>
            <a:ext uri="{FF2B5EF4-FFF2-40B4-BE49-F238E27FC236}">
              <a16:creationId xmlns:a16="http://schemas.microsoft.com/office/drawing/2014/main" id="{00000000-0008-0000-0400-000030000000}"/>
            </a:ext>
          </a:extLst>
        </xdr:cNvPr>
        <xdr:cNvSpPr/>
      </xdr:nvSpPr>
      <xdr:spPr>
        <a:xfrm>
          <a:off x="11564470" y="336758826"/>
          <a:ext cx="83344" cy="589009"/>
        </a:xfrm>
        <a:prstGeom prst="rect">
          <a:avLst/>
        </a:prstGeom>
        <a:pattFill prst="wdUpDiag">
          <a:fgClr>
            <a:schemeClr val="tx1"/>
          </a:fgClr>
          <a:bgClr>
            <a:srgbClr val="FFFF00"/>
          </a:bgClr>
        </a:patt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cs-CZ"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www.klasektrading.cz/static/public/uploads/files/dostupnost.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www.klasektrading.cz/static/public/uploads/files/ceny_202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www.klasektrading.cz/static/public/uploads/files/hmotnost.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www.klasektrading.cz/static/public/uploads/files/Palety.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1"/>
      <sheetName val="Videa"/>
    </sheetNames>
    <sheetDataSet>
      <sheetData sheetId="0">
        <row r="1">
          <cell r="A1" t="str">
            <v>Kód</v>
          </cell>
          <cell r="B1" t="str">
            <v>CZ</v>
          </cell>
          <cell r="C1" t="str">
            <v>odpočet</v>
          </cell>
          <cell r="D1" t="str">
            <v>množství</v>
          </cell>
          <cell r="E1" t="str">
            <v>POSLEDNÍ</v>
          </cell>
        </row>
        <row r="2">
          <cell r="A2" t="str">
            <v>Datum:</v>
          </cell>
          <cell r="B2">
            <v>45343.466064814813</v>
          </cell>
          <cell r="C2" t="str">
            <v>dní</v>
          </cell>
          <cell r="D2"/>
          <cell r="E2" t="str">
            <v>KUSY</v>
          </cell>
        </row>
        <row r="3">
          <cell r="A3" t="str">
            <v>BD1L</v>
          </cell>
          <cell r="B3" t="str">
            <v>DOCHÁZÍ</v>
          </cell>
          <cell r="C3" t="str">
            <v/>
          </cell>
          <cell r="D3">
            <v>0</v>
          </cell>
          <cell r="E3">
            <v>1</v>
          </cell>
        </row>
        <row r="4">
          <cell r="A4" t="str">
            <v>BD1XL</v>
          </cell>
          <cell r="B4" t="str">
            <v>VYPRODÁNO</v>
          </cell>
          <cell r="C4" t="str">
            <v/>
          </cell>
          <cell r="D4">
            <v>0</v>
          </cell>
          <cell r="E4" t="str">
            <v/>
          </cell>
        </row>
        <row r="5">
          <cell r="A5" t="str">
            <v>BD1XXL</v>
          </cell>
          <cell r="B5" t="str">
            <v>SKLADEM</v>
          </cell>
          <cell r="C5" t="str">
            <v/>
          </cell>
          <cell r="D5">
            <v>0</v>
          </cell>
          <cell r="E5" t="str">
            <v/>
          </cell>
        </row>
        <row r="6">
          <cell r="A6" t="str">
            <v>BDLE1L</v>
          </cell>
          <cell r="B6" t="str">
            <v>DOCHÁZÍ</v>
          </cell>
          <cell r="C6" t="str">
            <v/>
          </cell>
          <cell r="D6">
            <v>0</v>
          </cell>
          <cell r="E6">
            <v>2</v>
          </cell>
        </row>
        <row r="7">
          <cell r="A7" t="str">
            <v>BDLE1M</v>
          </cell>
          <cell r="B7" t="str">
            <v>16.02.2024</v>
          </cell>
          <cell r="C7" t="str">
            <v/>
          </cell>
          <cell r="D7">
            <v>10</v>
          </cell>
          <cell r="E7" t="str">
            <v/>
          </cell>
        </row>
        <row r="8">
          <cell r="A8" t="str">
            <v>BDLE1XL</v>
          </cell>
          <cell r="B8" t="str">
            <v>16.02.2024</v>
          </cell>
          <cell r="C8" t="str">
            <v/>
          </cell>
          <cell r="D8">
            <v>10</v>
          </cell>
          <cell r="E8" t="str">
            <v/>
          </cell>
        </row>
        <row r="9">
          <cell r="A9" t="str">
            <v>BDLE1XXL</v>
          </cell>
          <cell r="B9" t="str">
            <v>VYPRODÁNO</v>
          </cell>
          <cell r="C9" t="str">
            <v/>
          </cell>
          <cell r="D9">
            <v>0</v>
          </cell>
          <cell r="E9" t="str">
            <v/>
          </cell>
        </row>
        <row r="10">
          <cell r="A10" t="str">
            <v>BK1B</v>
          </cell>
          <cell r="B10" t="str">
            <v>VYPRODÁNO</v>
          </cell>
          <cell r="C10" t="str">
            <v/>
          </cell>
          <cell r="D10">
            <v>0</v>
          </cell>
          <cell r="E10" t="str">
            <v/>
          </cell>
        </row>
        <row r="11">
          <cell r="A11" t="str">
            <v>BK1B(1)</v>
          </cell>
          <cell r="B11" t="str">
            <v>VYPRODÁNO</v>
          </cell>
          <cell r="C11" t="str">
            <v/>
          </cell>
          <cell r="D11">
            <v>0</v>
          </cell>
          <cell r="E11" t="str">
            <v/>
          </cell>
        </row>
        <row r="12">
          <cell r="A12" t="str">
            <v>BK1M</v>
          </cell>
          <cell r="B12" t="str">
            <v>VYPRODÁNO</v>
          </cell>
          <cell r="C12" t="str">
            <v/>
          </cell>
          <cell r="D12">
            <v>0</v>
          </cell>
          <cell r="E12" t="str">
            <v/>
          </cell>
        </row>
        <row r="13">
          <cell r="A13" t="str">
            <v>BK1M(1)</v>
          </cell>
          <cell r="B13" t="str">
            <v>VYPRODÁNO</v>
          </cell>
          <cell r="C13" t="str">
            <v/>
          </cell>
          <cell r="D13">
            <v>0</v>
          </cell>
          <cell r="E13" t="str">
            <v/>
          </cell>
        </row>
        <row r="14">
          <cell r="A14" t="str">
            <v>BK1P</v>
          </cell>
          <cell r="B14" t="str">
            <v>SKLADEM</v>
          </cell>
          <cell r="C14" t="str">
            <v/>
          </cell>
          <cell r="D14">
            <v>0</v>
          </cell>
          <cell r="E14" t="str">
            <v/>
          </cell>
        </row>
        <row r="15">
          <cell r="A15" t="str">
            <v>BK1P(1)</v>
          </cell>
          <cell r="B15" t="str">
            <v>SKLADEM</v>
          </cell>
          <cell r="C15" t="str">
            <v/>
          </cell>
          <cell r="D15">
            <v>0</v>
          </cell>
          <cell r="E15" t="str">
            <v/>
          </cell>
        </row>
        <row r="16">
          <cell r="A16" t="str">
            <v>BK1P(2)</v>
          </cell>
          <cell r="B16" t="str">
            <v>VYPRODÁNO</v>
          </cell>
          <cell r="C16" t="str">
            <v/>
          </cell>
          <cell r="D16">
            <v>0</v>
          </cell>
          <cell r="E16" t="str">
            <v/>
          </cell>
        </row>
        <row r="17">
          <cell r="A17" t="str">
            <v>BK2V</v>
          </cell>
          <cell r="B17" t="str">
            <v>SKLADEM</v>
          </cell>
          <cell r="C17" t="str">
            <v/>
          </cell>
          <cell r="D17">
            <v>0</v>
          </cell>
          <cell r="E17" t="str">
            <v/>
          </cell>
        </row>
        <row r="18">
          <cell r="A18" t="str">
            <v>BK2V(1)</v>
          </cell>
          <cell r="B18" t="str">
            <v>SKLADEM</v>
          </cell>
          <cell r="C18" t="str">
            <v/>
          </cell>
          <cell r="D18">
            <v>0</v>
          </cell>
          <cell r="E18" t="str">
            <v/>
          </cell>
        </row>
        <row r="19">
          <cell r="A19" t="str">
            <v>BP30S</v>
          </cell>
          <cell r="B19" t="str">
            <v>SKLADEM</v>
          </cell>
          <cell r="C19" t="str">
            <v/>
          </cell>
          <cell r="D19">
            <v>0</v>
          </cell>
          <cell r="E19" t="str">
            <v/>
          </cell>
        </row>
        <row r="20">
          <cell r="A20" t="str">
            <v>BP60S</v>
          </cell>
          <cell r="B20" t="str">
            <v>SKLADEM</v>
          </cell>
          <cell r="C20" t="str">
            <v/>
          </cell>
          <cell r="D20">
            <v>0</v>
          </cell>
          <cell r="E20" t="str">
            <v/>
          </cell>
        </row>
        <row r="21">
          <cell r="A21" t="str">
            <v>BP80S</v>
          </cell>
          <cell r="B21" t="str">
            <v>VYPRODÁNO</v>
          </cell>
          <cell r="C21" t="str">
            <v/>
          </cell>
          <cell r="D21">
            <v>0</v>
          </cell>
          <cell r="E21" t="str">
            <v/>
          </cell>
        </row>
        <row r="22">
          <cell r="A22" t="str">
            <v>C100008R</v>
          </cell>
          <cell r="B22" t="str">
            <v>15.05.2024</v>
          </cell>
          <cell r="C22">
            <v>84</v>
          </cell>
          <cell r="D22">
            <v>0</v>
          </cell>
          <cell r="E22" t="str">
            <v/>
          </cell>
        </row>
        <row r="23">
          <cell r="A23" t="str">
            <v>C10008R</v>
          </cell>
          <cell r="B23" t="str">
            <v>SKLADEM</v>
          </cell>
          <cell r="C23" t="str">
            <v/>
          </cell>
          <cell r="D23">
            <v>0</v>
          </cell>
          <cell r="E23" t="str">
            <v/>
          </cell>
        </row>
        <row r="24">
          <cell r="A24" t="str">
            <v>C10014A</v>
          </cell>
          <cell r="B24" t="str">
            <v>SKLADEM</v>
          </cell>
          <cell r="C24" t="str">
            <v/>
          </cell>
          <cell r="D24">
            <v>0</v>
          </cell>
          <cell r="E24" t="str">
            <v/>
          </cell>
        </row>
        <row r="25">
          <cell r="A25" t="str">
            <v>C10014A14</v>
          </cell>
          <cell r="B25" t="str">
            <v>VYPRODÁNO</v>
          </cell>
          <cell r="C25" t="str">
            <v/>
          </cell>
          <cell r="D25">
            <v>0</v>
          </cell>
          <cell r="E25" t="str">
            <v/>
          </cell>
        </row>
        <row r="26">
          <cell r="A26" t="str">
            <v>C10014A14 E</v>
          </cell>
          <cell r="B26" t="str">
            <v>VYPRODÁNO</v>
          </cell>
          <cell r="C26" t="str">
            <v/>
          </cell>
          <cell r="D26">
            <v>0</v>
          </cell>
          <cell r="E26" t="str">
            <v/>
          </cell>
        </row>
        <row r="27">
          <cell r="A27" t="str">
            <v>C10014L</v>
          </cell>
          <cell r="B27" t="str">
            <v>VYPRODÁNO</v>
          </cell>
          <cell r="C27" t="str">
            <v/>
          </cell>
          <cell r="D27">
            <v>0</v>
          </cell>
          <cell r="E27" t="str">
            <v/>
          </cell>
        </row>
        <row r="28">
          <cell r="A28" t="str">
            <v>C10014L14</v>
          </cell>
          <cell r="B28" t="str">
            <v>VYPRODÁNO</v>
          </cell>
          <cell r="C28" t="str">
            <v/>
          </cell>
          <cell r="D28">
            <v>0</v>
          </cell>
          <cell r="E28" t="str">
            <v/>
          </cell>
        </row>
        <row r="29">
          <cell r="A29" t="str">
            <v>C10014L14 E</v>
          </cell>
          <cell r="B29" t="str">
            <v>VYPRODÁNO</v>
          </cell>
          <cell r="C29" t="str">
            <v/>
          </cell>
          <cell r="D29">
            <v>0</v>
          </cell>
          <cell r="E29" t="str">
            <v/>
          </cell>
        </row>
        <row r="30">
          <cell r="A30" t="str">
            <v>C10020BP14</v>
          </cell>
          <cell r="B30" t="str">
            <v>SKLADEM</v>
          </cell>
          <cell r="C30" t="str">
            <v/>
          </cell>
          <cell r="D30">
            <v>0</v>
          </cell>
          <cell r="E30" t="str">
            <v/>
          </cell>
        </row>
        <row r="31">
          <cell r="A31" t="str">
            <v>C10020BPF14</v>
          </cell>
          <cell r="B31" t="str">
            <v>SKLADEM</v>
          </cell>
          <cell r="C31" t="str">
            <v/>
          </cell>
          <cell r="D31">
            <v>0</v>
          </cell>
          <cell r="E31" t="str">
            <v/>
          </cell>
        </row>
        <row r="32">
          <cell r="A32" t="str">
            <v>C10020BPS14</v>
          </cell>
          <cell r="B32" t="str">
            <v>SKLADEM</v>
          </cell>
          <cell r="C32" t="str">
            <v/>
          </cell>
          <cell r="D32">
            <v>0</v>
          </cell>
          <cell r="E32" t="str">
            <v/>
          </cell>
        </row>
        <row r="33">
          <cell r="A33" t="str">
            <v>C10020BPW14</v>
          </cell>
          <cell r="B33" t="str">
            <v>VYPRODÁNO</v>
          </cell>
          <cell r="C33" t="str">
            <v/>
          </cell>
          <cell r="D33">
            <v>0</v>
          </cell>
          <cell r="E33" t="str">
            <v/>
          </cell>
        </row>
        <row r="34">
          <cell r="A34" t="str">
            <v>C10020NID14</v>
          </cell>
          <cell r="B34" t="str">
            <v>30.09.2024</v>
          </cell>
          <cell r="C34">
            <v>222</v>
          </cell>
          <cell r="D34">
            <v>0</v>
          </cell>
          <cell r="E34" t="str">
            <v/>
          </cell>
        </row>
        <row r="35">
          <cell r="A35" t="str">
            <v>C10020XBP14</v>
          </cell>
          <cell r="B35" t="str">
            <v>SKLADEM</v>
          </cell>
          <cell r="C35" t="str">
            <v/>
          </cell>
          <cell r="D35">
            <v>0</v>
          </cell>
          <cell r="E35" t="str">
            <v/>
          </cell>
        </row>
        <row r="36">
          <cell r="A36" t="str">
            <v>C10020XBPW14</v>
          </cell>
          <cell r="B36" t="str">
            <v>SKLADEM</v>
          </cell>
          <cell r="C36" t="str">
            <v/>
          </cell>
          <cell r="D36">
            <v>0</v>
          </cell>
          <cell r="E36" t="str">
            <v/>
          </cell>
        </row>
        <row r="37">
          <cell r="A37" t="str">
            <v>C10020XBPW14 E</v>
          </cell>
          <cell r="B37" t="str">
            <v>VYPRODÁNO</v>
          </cell>
          <cell r="C37" t="str">
            <v/>
          </cell>
          <cell r="D37">
            <v>0</v>
          </cell>
          <cell r="E37" t="str">
            <v/>
          </cell>
        </row>
        <row r="38">
          <cell r="A38" t="str">
            <v>C10020XPR14</v>
          </cell>
          <cell r="B38" t="str">
            <v>SKLADEM</v>
          </cell>
          <cell r="C38" t="str">
            <v/>
          </cell>
          <cell r="D38">
            <v>0</v>
          </cell>
          <cell r="E38" t="str">
            <v/>
          </cell>
        </row>
        <row r="39">
          <cell r="A39" t="str">
            <v>C10020XPR14 E</v>
          </cell>
          <cell r="B39" t="str">
            <v>VYPRODÁNO</v>
          </cell>
          <cell r="C39" t="str">
            <v/>
          </cell>
          <cell r="D39">
            <v>0</v>
          </cell>
          <cell r="E39" t="str">
            <v/>
          </cell>
        </row>
        <row r="40">
          <cell r="A40" t="str">
            <v>C10020XTS14</v>
          </cell>
          <cell r="B40" t="str">
            <v>SKLADEM</v>
          </cell>
          <cell r="C40" t="str">
            <v/>
          </cell>
          <cell r="D40">
            <v>0</v>
          </cell>
          <cell r="E40" t="str">
            <v/>
          </cell>
        </row>
        <row r="41">
          <cell r="A41" t="str">
            <v>C10025B</v>
          </cell>
          <cell r="B41" t="str">
            <v>VYPRODÁNO</v>
          </cell>
          <cell r="C41" t="str">
            <v/>
          </cell>
          <cell r="D41">
            <v>0</v>
          </cell>
          <cell r="E41" t="str">
            <v/>
          </cell>
        </row>
        <row r="42">
          <cell r="A42" t="str">
            <v>C10025B E</v>
          </cell>
          <cell r="B42" t="str">
            <v>VYPRODÁNO</v>
          </cell>
          <cell r="C42" t="str">
            <v/>
          </cell>
          <cell r="D42">
            <v>0</v>
          </cell>
          <cell r="E42" t="str">
            <v/>
          </cell>
        </row>
        <row r="43">
          <cell r="A43" t="str">
            <v>C10025BP</v>
          </cell>
          <cell r="B43" t="str">
            <v>SKLADEM</v>
          </cell>
          <cell r="C43" t="str">
            <v/>
          </cell>
          <cell r="D43">
            <v>0</v>
          </cell>
          <cell r="E43" t="str">
            <v/>
          </cell>
        </row>
        <row r="44">
          <cell r="A44" t="str">
            <v>C10025BPS</v>
          </cell>
          <cell r="B44" t="str">
            <v>15.06.2024</v>
          </cell>
          <cell r="C44">
            <v>115</v>
          </cell>
          <cell r="D44">
            <v>0</v>
          </cell>
          <cell r="E44" t="str">
            <v/>
          </cell>
        </row>
        <row r="45">
          <cell r="A45" t="str">
            <v>C10025BPW/C14</v>
          </cell>
          <cell r="B45" t="str">
            <v>SKLADEM</v>
          </cell>
          <cell r="C45" t="str">
            <v/>
          </cell>
          <cell r="D45">
            <v>0</v>
          </cell>
          <cell r="E45" t="str">
            <v/>
          </cell>
        </row>
        <row r="46">
          <cell r="A46" t="str">
            <v>C10025BPW/C14(T)</v>
          </cell>
          <cell r="B46" t="str">
            <v>SKLADEM</v>
          </cell>
          <cell r="C46" t="str">
            <v/>
          </cell>
          <cell r="D46">
            <v>0</v>
          </cell>
          <cell r="E46" t="str">
            <v/>
          </cell>
        </row>
        <row r="47">
          <cell r="A47" t="str">
            <v>C10025COMA</v>
          </cell>
          <cell r="B47" t="str">
            <v>VYPRODÁNO</v>
          </cell>
          <cell r="C47" t="str">
            <v/>
          </cell>
          <cell r="D47">
            <v>0</v>
          </cell>
          <cell r="E47" t="str">
            <v/>
          </cell>
        </row>
        <row r="48">
          <cell r="A48" t="str">
            <v>C10025COMB</v>
          </cell>
          <cell r="B48" t="str">
            <v>VYPRODÁNO</v>
          </cell>
          <cell r="C48" t="str">
            <v/>
          </cell>
          <cell r="D48">
            <v>0</v>
          </cell>
          <cell r="E48" t="str">
            <v/>
          </cell>
        </row>
        <row r="49">
          <cell r="A49" t="str">
            <v>C10025I</v>
          </cell>
          <cell r="B49" t="str">
            <v>SKLADEM</v>
          </cell>
          <cell r="C49" t="str">
            <v/>
          </cell>
          <cell r="D49">
            <v>0</v>
          </cell>
          <cell r="E49" t="str">
            <v/>
          </cell>
        </row>
        <row r="50">
          <cell r="A50" t="str">
            <v>C10025I E</v>
          </cell>
          <cell r="B50" t="str">
            <v>VYPRODÁNO</v>
          </cell>
          <cell r="C50" t="str">
            <v/>
          </cell>
          <cell r="D50">
            <v>0</v>
          </cell>
          <cell r="E50" t="str">
            <v/>
          </cell>
        </row>
        <row r="51">
          <cell r="A51" t="str">
            <v>C10025P</v>
          </cell>
          <cell r="B51" t="str">
            <v>VYPRODÁNO</v>
          </cell>
          <cell r="C51" t="str">
            <v/>
          </cell>
          <cell r="D51">
            <v>0</v>
          </cell>
          <cell r="E51" t="str">
            <v/>
          </cell>
        </row>
        <row r="52">
          <cell r="A52" t="str">
            <v>C10025PR1</v>
          </cell>
          <cell r="B52" t="str">
            <v>15.05.2024</v>
          </cell>
          <cell r="C52">
            <v>84</v>
          </cell>
          <cell r="D52">
            <v>0</v>
          </cell>
          <cell r="E52" t="str">
            <v/>
          </cell>
        </row>
        <row r="53">
          <cell r="A53" t="str">
            <v>C10025PR2</v>
          </cell>
          <cell r="B53" t="str">
            <v>15.05.2024</v>
          </cell>
          <cell r="C53">
            <v>84</v>
          </cell>
          <cell r="D53">
            <v>0</v>
          </cell>
          <cell r="E53" t="str">
            <v/>
          </cell>
        </row>
        <row r="54">
          <cell r="A54" t="str">
            <v>C10025S</v>
          </cell>
          <cell r="B54" t="str">
            <v>VYPRODÁNO</v>
          </cell>
          <cell r="C54" t="str">
            <v/>
          </cell>
          <cell r="D54">
            <v>0</v>
          </cell>
          <cell r="E54" t="str">
            <v/>
          </cell>
        </row>
        <row r="55">
          <cell r="A55" t="str">
            <v>C10025S E</v>
          </cell>
          <cell r="B55" t="str">
            <v>SKLADEM</v>
          </cell>
          <cell r="C55" t="str">
            <v/>
          </cell>
          <cell r="D55">
            <v>0</v>
          </cell>
          <cell r="E55" t="str">
            <v/>
          </cell>
        </row>
        <row r="56">
          <cell r="A56" t="str">
            <v>C10025SIG/C</v>
          </cell>
          <cell r="B56" t="str">
            <v>VYPRODÁNO</v>
          </cell>
          <cell r="C56" t="str">
            <v/>
          </cell>
          <cell r="D56">
            <v>0</v>
          </cell>
          <cell r="E56" t="str">
            <v/>
          </cell>
        </row>
        <row r="57">
          <cell r="A57" t="str">
            <v>C10025SIG/C(T)</v>
          </cell>
          <cell r="B57" t="str">
            <v>VYPRODÁNO</v>
          </cell>
          <cell r="C57" t="str">
            <v/>
          </cell>
          <cell r="D57">
            <v>0</v>
          </cell>
          <cell r="E57" t="str">
            <v/>
          </cell>
        </row>
        <row r="58">
          <cell r="A58" t="str">
            <v>C10025SIG/IC14</v>
          </cell>
          <cell r="B58" t="str">
            <v>VYPRODÁNO</v>
          </cell>
          <cell r="C58" t="str">
            <v/>
          </cell>
          <cell r="D58">
            <v>0</v>
          </cell>
          <cell r="E58" t="str">
            <v/>
          </cell>
        </row>
        <row r="59">
          <cell r="A59" t="str">
            <v>C10025X E</v>
          </cell>
          <cell r="B59" t="str">
            <v>VYPRODÁNO</v>
          </cell>
          <cell r="C59" t="str">
            <v/>
          </cell>
          <cell r="D59">
            <v>0</v>
          </cell>
          <cell r="E59" t="str">
            <v/>
          </cell>
        </row>
        <row r="60">
          <cell r="A60" t="str">
            <v>C10030XF/C14</v>
          </cell>
          <cell r="B60" t="str">
            <v>SKLADEM</v>
          </cell>
          <cell r="C60" t="str">
            <v/>
          </cell>
          <cell r="D60">
            <v>0</v>
          </cell>
          <cell r="E60" t="str">
            <v/>
          </cell>
        </row>
        <row r="61">
          <cell r="A61" t="str">
            <v>C10030XF/C14(T)</v>
          </cell>
          <cell r="B61" t="str">
            <v>SKLADEM</v>
          </cell>
          <cell r="C61" t="str">
            <v/>
          </cell>
          <cell r="D61">
            <v>0</v>
          </cell>
          <cell r="E61" t="str">
            <v/>
          </cell>
        </row>
        <row r="62">
          <cell r="A62" t="str">
            <v>C1003AD</v>
          </cell>
          <cell r="B62" t="str">
            <v>VYPRODÁNO</v>
          </cell>
          <cell r="C62" t="str">
            <v/>
          </cell>
          <cell r="D62">
            <v>0</v>
          </cell>
          <cell r="E62" t="str">
            <v/>
          </cell>
        </row>
        <row r="63">
          <cell r="A63" t="str">
            <v>C1003B</v>
          </cell>
          <cell r="B63" t="str">
            <v>VYPRODÁNO</v>
          </cell>
          <cell r="C63" t="str">
            <v/>
          </cell>
          <cell r="D63">
            <v>0</v>
          </cell>
          <cell r="E63" t="str">
            <v/>
          </cell>
        </row>
        <row r="64">
          <cell r="A64" t="str">
            <v>C1003B/C14</v>
          </cell>
          <cell r="B64" t="str">
            <v>15.05.2024</v>
          </cell>
          <cell r="C64">
            <v>84</v>
          </cell>
          <cell r="D64">
            <v>0</v>
          </cell>
          <cell r="E64" t="str">
            <v/>
          </cell>
        </row>
        <row r="65">
          <cell r="A65" t="str">
            <v>C1003B/C14(T)</v>
          </cell>
          <cell r="B65" t="str">
            <v>15.05.2024</v>
          </cell>
          <cell r="C65">
            <v>84</v>
          </cell>
          <cell r="D65">
            <v>0</v>
          </cell>
          <cell r="E65" t="str">
            <v/>
          </cell>
        </row>
        <row r="66">
          <cell r="A66" t="str">
            <v>C1003BB/C</v>
          </cell>
          <cell r="B66" t="str">
            <v>15.05.2024</v>
          </cell>
          <cell r="C66">
            <v>84</v>
          </cell>
          <cell r="D66">
            <v>0</v>
          </cell>
          <cell r="E66" t="str">
            <v/>
          </cell>
        </row>
        <row r="67">
          <cell r="A67" t="str">
            <v>C1003BB/C(T)</v>
          </cell>
          <cell r="B67" t="str">
            <v>15.05.2024</v>
          </cell>
          <cell r="C67">
            <v>84</v>
          </cell>
          <cell r="D67">
            <v>0</v>
          </cell>
          <cell r="E67" t="str">
            <v/>
          </cell>
        </row>
        <row r="68">
          <cell r="A68" t="str">
            <v>C1003BO/C</v>
          </cell>
          <cell r="B68" t="str">
            <v>VYPRODÁNO</v>
          </cell>
          <cell r="C68" t="str">
            <v/>
          </cell>
          <cell r="D68">
            <v>0</v>
          </cell>
          <cell r="E68" t="str">
            <v/>
          </cell>
        </row>
        <row r="69">
          <cell r="A69" t="str">
            <v>C1003BO/C(T)</v>
          </cell>
          <cell r="B69" t="str">
            <v>VYPRODÁNO</v>
          </cell>
          <cell r="C69" t="str">
            <v/>
          </cell>
          <cell r="D69">
            <v>0</v>
          </cell>
          <cell r="E69" t="str">
            <v/>
          </cell>
        </row>
        <row r="70">
          <cell r="A70" t="str">
            <v>C1003BO/C14</v>
          </cell>
          <cell r="B70" t="str">
            <v>VYPRODÁNO</v>
          </cell>
          <cell r="C70" t="str">
            <v/>
          </cell>
          <cell r="D70">
            <v>0</v>
          </cell>
          <cell r="E70" t="str">
            <v/>
          </cell>
        </row>
        <row r="71">
          <cell r="A71" t="str">
            <v>C1003BO/C14 E</v>
          </cell>
          <cell r="B71" t="str">
            <v>VYPRODÁNO</v>
          </cell>
          <cell r="C71" t="str">
            <v/>
          </cell>
          <cell r="D71">
            <v>0</v>
          </cell>
          <cell r="E71" t="str">
            <v/>
          </cell>
        </row>
        <row r="72">
          <cell r="A72" t="str">
            <v>C1003BP/C</v>
          </cell>
          <cell r="B72" t="str">
            <v>SKLADEM</v>
          </cell>
          <cell r="C72" t="str">
            <v/>
          </cell>
          <cell r="D72">
            <v>0</v>
          </cell>
          <cell r="E72" t="str">
            <v/>
          </cell>
        </row>
        <row r="73">
          <cell r="A73" t="str">
            <v>C1003BP/C(T)</v>
          </cell>
          <cell r="B73" t="str">
            <v>SKLADEM</v>
          </cell>
          <cell r="C73" t="str">
            <v/>
          </cell>
          <cell r="D73">
            <v>0</v>
          </cell>
          <cell r="E73" t="str">
            <v/>
          </cell>
        </row>
        <row r="74">
          <cell r="A74" t="str">
            <v>C1003BPF/C</v>
          </cell>
          <cell r="B74" t="str">
            <v>SKLADEM</v>
          </cell>
          <cell r="C74" t="str">
            <v/>
          </cell>
          <cell r="D74">
            <v>0</v>
          </cell>
          <cell r="E74" t="str">
            <v/>
          </cell>
        </row>
        <row r="75">
          <cell r="A75" t="str">
            <v>C1003BPF/C(T)</v>
          </cell>
          <cell r="B75" t="str">
            <v>SKLADEM</v>
          </cell>
          <cell r="C75" t="str">
            <v/>
          </cell>
          <cell r="D75">
            <v>0</v>
          </cell>
          <cell r="E75" t="str">
            <v/>
          </cell>
        </row>
        <row r="76">
          <cell r="A76" t="str">
            <v>C1003BPS/C</v>
          </cell>
          <cell r="B76" t="str">
            <v>SKLADEM</v>
          </cell>
          <cell r="C76" t="str">
            <v/>
          </cell>
          <cell r="D76">
            <v>0</v>
          </cell>
          <cell r="E76" t="str">
            <v/>
          </cell>
        </row>
        <row r="77">
          <cell r="A77" t="str">
            <v>C1003BPW/C14</v>
          </cell>
          <cell r="B77" t="str">
            <v>VYPRODÁNO</v>
          </cell>
          <cell r="C77" t="str">
            <v/>
          </cell>
          <cell r="D77">
            <v>0</v>
          </cell>
          <cell r="E77" t="str">
            <v/>
          </cell>
        </row>
        <row r="78">
          <cell r="A78" t="str">
            <v>C1003BPW/C14(T)</v>
          </cell>
          <cell r="B78" t="str">
            <v>VYPRODÁNO</v>
          </cell>
          <cell r="C78" t="str">
            <v/>
          </cell>
          <cell r="D78">
            <v>0</v>
          </cell>
          <cell r="E78" t="str">
            <v/>
          </cell>
        </row>
        <row r="79">
          <cell r="A79" t="str">
            <v>C1003C</v>
          </cell>
          <cell r="B79" t="str">
            <v>VYPRODÁNO</v>
          </cell>
          <cell r="C79" t="str">
            <v/>
          </cell>
          <cell r="D79">
            <v>0</v>
          </cell>
          <cell r="E79" t="str">
            <v/>
          </cell>
        </row>
        <row r="80">
          <cell r="A80" t="str">
            <v>C1003D</v>
          </cell>
          <cell r="B80" t="str">
            <v>VYPRODÁNO</v>
          </cell>
          <cell r="C80" t="str">
            <v/>
          </cell>
          <cell r="D80">
            <v>0</v>
          </cell>
          <cell r="E80" t="str">
            <v/>
          </cell>
        </row>
        <row r="81">
          <cell r="A81" t="str">
            <v>C1003DU/C</v>
          </cell>
          <cell r="B81" t="str">
            <v>VYPRODÁNO</v>
          </cell>
          <cell r="C81" t="str">
            <v/>
          </cell>
          <cell r="D81">
            <v>0</v>
          </cell>
          <cell r="E81" t="str">
            <v/>
          </cell>
        </row>
        <row r="82">
          <cell r="A82" t="str">
            <v>C1003DU/C(T)</v>
          </cell>
          <cell r="B82" t="str">
            <v>VYPRODÁNO</v>
          </cell>
          <cell r="C82" t="str">
            <v/>
          </cell>
          <cell r="D82">
            <v>0</v>
          </cell>
          <cell r="E82" t="str">
            <v/>
          </cell>
        </row>
        <row r="83">
          <cell r="A83" t="str">
            <v>C1003E</v>
          </cell>
          <cell r="B83" t="str">
            <v>VYPRODÁNO</v>
          </cell>
          <cell r="C83" t="str">
            <v/>
          </cell>
          <cell r="D83">
            <v>0</v>
          </cell>
          <cell r="E83" t="str">
            <v/>
          </cell>
        </row>
        <row r="84">
          <cell r="A84" t="str">
            <v>C1003F</v>
          </cell>
          <cell r="B84" t="str">
            <v>VYPRODÁNO</v>
          </cell>
          <cell r="C84" t="str">
            <v/>
          </cell>
          <cell r="D84">
            <v>0</v>
          </cell>
          <cell r="E84" t="str">
            <v/>
          </cell>
        </row>
        <row r="85">
          <cell r="A85" t="str">
            <v>C1003F/C</v>
          </cell>
          <cell r="B85" t="str">
            <v>SKLADEM</v>
          </cell>
          <cell r="C85" t="str">
            <v/>
          </cell>
          <cell r="D85">
            <v>0</v>
          </cell>
          <cell r="E85" t="str">
            <v/>
          </cell>
        </row>
        <row r="86">
          <cell r="A86" t="str">
            <v>C1003F/C14</v>
          </cell>
          <cell r="B86" t="str">
            <v>DOCHÁZÍ</v>
          </cell>
          <cell r="C86" t="str">
            <v/>
          </cell>
          <cell r="D86">
            <v>0</v>
          </cell>
          <cell r="E86">
            <v>23</v>
          </cell>
        </row>
        <row r="87">
          <cell r="A87" t="str">
            <v>C1003H</v>
          </cell>
          <cell r="B87" t="str">
            <v>VYPRODÁNO</v>
          </cell>
          <cell r="C87" t="str">
            <v/>
          </cell>
          <cell r="D87">
            <v>0</v>
          </cell>
          <cell r="E87" t="str">
            <v/>
          </cell>
        </row>
        <row r="88">
          <cell r="A88" t="str">
            <v>C1003CH</v>
          </cell>
          <cell r="B88" t="str">
            <v>VYPRODÁNO</v>
          </cell>
          <cell r="C88" t="str">
            <v/>
          </cell>
          <cell r="D88">
            <v>0</v>
          </cell>
          <cell r="E88" t="str">
            <v/>
          </cell>
        </row>
        <row r="89">
          <cell r="A89" t="str">
            <v>C1003I</v>
          </cell>
          <cell r="B89" t="str">
            <v>VYPRODÁNO</v>
          </cell>
          <cell r="C89" t="str">
            <v/>
          </cell>
          <cell r="D89">
            <v>0</v>
          </cell>
          <cell r="E89" t="str">
            <v/>
          </cell>
        </row>
        <row r="90">
          <cell r="A90" t="str">
            <v>C1003J</v>
          </cell>
          <cell r="B90" t="str">
            <v>VYPRODÁNO</v>
          </cell>
          <cell r="C90" t="str">
            <v/>
          </cell>
          <cell r="D90">
            <v>0</v>
          </cell>
          <cell r="E90" t="str">
            <v/>
          </cell>
        </row>
        <row r="91">
          <cell r="A91" t="str">
            <v>C1003K</v>
          </cell>
          <cell r="B91" t="str">
            <v>VYPRODÁNO</v>
          </cell>
          <cell r="C91" t="str">
            <v/>
          </cell>
          <cell r="D91">
            <v>0</v>
          </cell>
          <cell r="E91" t="str">
            <v/>
          </cell>
        </row>
        <row r="92">
          <cell r="A92" t="str">
            <v>C1003L</v>
          </cell>
          <cell r="B92" t="str">
            <v>VYPRODÁNO</v>
          </cell>
          <cell r="C92" t="str">
            <v/>
          </cell>
          <cell r="D92">
            <v>0</v>
          </cell>
          <cell r="E92" t="str">
            <v/>
          </cell>
        </row>
        <row r="93">
          <cell r="A93" t="str">
            <v>C1003M</v>
          </cell>
          <cell r="B93" t="str">
            <v>VYPRODÁNO</v>
          </cell>
          <cell r="C93" t="str">
            <v/>
          </cell>
          <cell r="D93">
            <v>0</v>
          </cell>
          <cell r="E93" t="str">
            <v/>
          </cell>
        </row>
        <row r="94">
          <cell r="A94" t="str">
            <v>C1003NID/C</v>
          </cell>
          <cell r="B94" t="str">
            <v>VYPRODÁNO</v>
          </cell>
          <cell r="C94" t="str">
            <v/>
          </cell>
          <cell r="D94">
            <v>0</v>
          </cell>
          <cell r="E94" t="str">
            <v/>
          </cell>
        </row>
        <row r="95">
          <cell r="A95" t="str">
            <v>C1003NID/C(T)</v>
          </cell>
          <cell r="B95" t="str">
            <v>VYPRODÁNO</v>
          </cell>
          <cell r="C95" t="str">
            <v/>
          </cell>
          <cell r="D95">
            <v>0</v>
          </cell>
          <cell r="E95" t="str">
            <v/>
          </cell>
        </row>
        <row r="96">
          <cell r="A96" t="str">
            <v>C1003NO/C14</v>
          </cell>
          <cell r="B96" t="str">
            <v>VYPRODÁNO</v>
          </cell>
          <cell r="C96" t="str">
            <v/>
          </cell>
          <cell r="D96">
            <v>0</v>
          </cell>
          <cell r="E96" t="str">
            <v/>
          </cell>
        </row>
        <row r="97">
          <cell r="A97" t="str">
            <v>C1003NO/C14(T)</v>
          </cell>
          <cell r="B97" t="str">
            <v>VYPRODÁNO</v>
          </cell>
          <cell r="C97" t="str">
            <v/>
          </cell>
          <cell r="D97">
            <v>0</v>
          </cell>
          <cell r="E97" t="str">
            <v/>
          </cell>
        </row>
        <row r="98">
          <cell r="A98" t="str">
            <v>C1003O</v>
          </cell>
          <cell r="B98" t="str">
            <v>VYPRODÁNO</v>
          </cell>
          <cell r="C98" t="str">
            <v/>
          </cell>
          <cell r="D98">
            <v>0</v>
          </cell>
          <cell r="E98" t="str">
            <v/>
          </cell>
        </row>
        <row r="99">
          <cell r="A99" t="str">
            <v>C1003P</v>
          </cell>
          <cell r="B99" t="str">
            <v>VYPRODÁNO</v>
          </cell>
          <cell r="C99" t="str">
            <v/>
          </cell>
          <cell r="D99">
            <v>0</v>
          </cell>
          <cell r="E99" t="str">
            <v/>
          </cell>
        </row>
        <row r="100">
          <cell r="A100" t="str">
            <v>C1003Q</v>
          </cell>
          <cell r="B100" t="str">
            <v>VYPRODÁNO</v>
          </cell>
          <cell r="C100" t="str">
            <v/>
          </cell>
          <cell r="D100">
            <v>0</v>
          </cell>
          <cell r="E100" t="str">
            <v/>
          </cell>
        </row>
        <row r="101">
          <cell r="A101" t="str">
            <v>C1003R</v>
          </cell>
          <cell r="B101" t="str">
            <v>VYPRODÁNO</v>
          </cell>
          <cell r="C101" t="str">
            <v/>
          </cell>
          <cell r="D101">
            <v>0</v>
          </cell>
          <cell r="E101" t="str">
            <v/>
          </cell>
        </row>
        <row r="102">
          <cell r="A102" t="str">
            <v>C1003S</v>
          </cell>
          <cell r="B102" t="str">
            <v>VYPRODÁNO</v>
          </cell>
          <cell r="C102" t="str">
            <v/>
          </cell>
          <cell r="D102">
            <v>0</v>
          </cell>
          <cell r="E102" t="str">
            <v/>
          </cell>
        </row>
        <row r="103">
          <cell r="A103" t="str">
            <v>C1003SIG/C</v>
          </cell>
          <cell r="B103" t="str">
            <v>15.09.2024</v>
          </cell>
          <cell r="C103">
            <v>207</v>
          </cell>
          <cell r="D103">
            <v>0</v>
          </cell>
          <cell r="E103" t="str">
            <v/>
          </cell>
        </row>
        <row r="104">
          <cell r="A104" t="str">
            <v>C1003SIG/C(T)</v>
          </cell>
          <cell r="B104" t="str">
            <v>15.09.2024</v>
          </cell>
          <cell r="C104">
            <v>207</v>
          </cell>
          <cell r="D104">
            <v>0</v>
          </cell>
          <cell r="E104" t="str">
            <v/>
          </cell>
        </row>
        <row r="105">
          <cell r="A105" t="str">
            <v>C1003T</v>
          </cell>
          <cell r="B105" t="str">
            <v>VYPRODÁNO</v>
          </cell>
          <cell r="C105" t="str">
            <v/>
          </cell>
          <cell r="D105">
            <v>0</v>
          </cell>
          <cell r="E105" t="str">
            <v/>
          </cell>
        </row>
        <row r="106">
          <cell r="A106" t="str">
            <v>C1003U</v>
          </cell>
          <cell r="B106" t="str">
            <v>VYPRODÁNO</v>
          </cell>
          <cell r="C106" t="str">
            <v/>
          </cell>
          <cell r="D106">
            <v>0</v>
          </cell>
          <cell r="E106" t="str">
            <v/>
          </cell>
        </row>
        <row r="107">
          <cell r="A107" t="str">
            <v>C1003V</v>
          </cell>
          <cell r="B107" t="str">
            <v>VYPRODÁNO</v>
          </cell>
          <cell r="C107" t="str">
            <v/>
          </cell>
          <cell r="D107">
            <v>0</v>
          </cell>
          <cell r="E107" t="str">
            <v/>
          </cell>
        </row>
        <row r="108">
          <cell r="A108" t="str">
            <v>C1003VS/C</v>
          </cell>
          <cell r="B108" t="str">
            <v>15.09.2024</v>
          </cell>
          <cell r="C108">
            <v>207</v>
          </cell>
          <cell r="D108">
            <v>0</v>
          </cell>
          <cell r="E108" t="str">
            <v/>
          </cell>
        </row>
        <row r="109">
          <cell r="A109" t="str">
            <v>C1003VS/C(T)</v>
          </cell>
          <cell r="B109" t="str">
            <v>15.09.2024</v>
          </cell>
          <cell r="C109">
            <v>207</v>
          </cell>
          <cell r="D109">
            <v>0</v>
          </cell>
          <cell r="E109" t="str">
            <v/>
          </cell>
        </row>
        <row r="110">
          <cell r="A110" t="str">
            <v>C1003W</v>
          </cell>
          <cell r="B110" t="str">
            <v>VYPRODÁNO</v>
          </cell>
          <cell r="C110" t="str">
            <v/>
          </cell>
          <cell r="D110">
            <v>0</v>
          </cell>
          <cell r="E110" t="str">
            <v/>
          </cell>
        </row>
        <row r="111">
          <cell r="A111" t="str">
            <v>C1003W/C</v>
          </cell>
          <cell r="B111" t="str">
            <v>VYPRODÁNO</v>
          </cell>
          <cell r="C111" t="str">
            <v/>
          </cell>
          <cell r="D111">
            <v>0</v>
          </cell>
          <cell r="E111" t="str">
            <v/>
          </cell>
        </row>
        <row r="112">
          <cell r="A112" t="str">
            <v>C1003W/C(T)</v>
          </cell>
          <cell r="B112" t="str">
            <v>VYPRODÁNO</v>
          </cell>
          <cell r="C112" t="str">
            <v/>
          </cell>
          <cell r="D112">
            <v>0</v>
          </cell>
          <cell r="E112" t="str">
            <v/>
          </cell>
        </row>
        <row r="113">
          <cell r="A113" t="str">
            <v>C1003W/C14</v>
          </cell>
          <cell r="B113" t="str">
            <v>VYPRODÁNO</v>
          </cell>
          <cell r="C113" t="str">
            <v/>
          </cell>
          <cell r="D113">
            <v>0</v>
          </cell>
          <cell r="E113" t="str">
            <v/>
          </cell>
        </row>
        <row r="114">
          <cell r="A114" t="str">
            <v>C1003W/C14 E</v>
          </cell>
          <cell r="B114" t="str">
            <v>VYPRODÁNO</v>
          </cell>
          <cell r="C114" t="str">
            <v/>
          </cell>
          <cell r="D114">
            <v>0</v>
          </cell>
          <cell r="E114" t="str">
            <v/>
          </cell>
        </row>
        <row r="115">
          <cell r="A115" t="str">
            <v>C1003W/C14(T)</v>
          </cell>
          <cell r="B115" t="str">
            <v>VYPRODÁNO</v>
          </cell>
          <cell r="C115" t="str">
            <v/>
          </cell>
          <cell r="D115">
            <v>0</v>
          </cell>
          <cell r="E115" t="str">
            <v/>
          </cell>
        </row>
        <row r="116">
          <cell r="A116" t="str">
            <v>C1003WT</v>
          </cell>
          <cell r="B116" t="str">
            <v>VYPRODÁNO</v>
          </cell>
          <cell r="C116" t="str">
            <v/>
          </cell>
          <cell r="D116">
            <v>0</v>
          </cell>
          <cell r="E116" t="str">
            <v/>
          </cell>
        </row>
        <row r="117">
          <cell r="A117" t="str">
            <v>C1003X</v>
          </cell>
          <cell r="B117" t="str">
            <v>VYPRODÁNO</v>
          </cell>
          <cell r="C117" t="str">
            <v/>
          </cell>
          <cell r="D117">
            <v>0</v>
          </cell>
          <cell r="E117" t="str">
            <v/>
          </cell>
        </row>
        <row r="118">
          <cell r="A118" t="str">
            <v>C1003Y</v>
          </cell>
          <cell r="B118" t="str">
            <v>VYPRODÁNO</v>
          </cell>
          <cell r="C118" t="str">
            <v/>
          </cell>
          <cell r="D118">
            <v>0</v>
          </cell>
          <cell r="E118" t="str">
            <v/>
          </cell>
        </row>
        <row r="119">
          <cell r="A119" t="str">
            <v>C1008CC</v>
          </cell>
          <cell r="B119" t="str">
            <v>SKLADEM</v>
          </cell>
          <cell r="C119" t="str">
            <v/>
          </cell>
          <cell r="D119">
            <v>0</v>
          </cell>
          <cell r="E119" t="str">
            <v/>
          </cell>
        </row>
        <row r="120">
          <cell r="A120" t="str">
            <v>C100MB</v>
          </cell>
          <cell r="B120" t="str">
            <v>VYPRODÁNO</v>
          </cell>
          <cell r="C120" t="str">
            <v/>
          </cell>
          <cell r="D120">
            <v>0</v>
          </cell>
          <cell r="E120" t="str">
            <v/>
          </cell>
        </row>
        <row r="121">
          <cell r="A121" t="str">
            <v>C100MN</v>
          </cell>
          <cell r="B121" t="str">
            <v>SKLADEM</v>
          </cell>
          <cell r="C121" t="str">
            <v/>
          </cell>
          <cell r="D121">
            <v>0</v>
          </cell>
          <cell r="E121" t="str">
            <v/>
          </cell>
        </row>
        <row r="122">
          <cell r="A122" t="str">
            <v>C100MPT</v>
          </cell>
          <cell r="B122" t="str">
            <v>SKLADEM</v>
          </cell>
          <cell r="C122" t="str">
            <v/>
          </cell>
          <cell r="D122">
            <v>0</v>
          </cell>
          <cell r="E122" t="str">
            <v/>
          </cell>
        </row>
        <row r="123">
          <cell r="A123" t="str">
            <v>C100MPT/C14</v>
          </cell>
          <cell r="B123" t="str">
            <v>SKLADEM</v>
          </cell>
          <cell r="C123" t="str">
            <v/>
          </cell>
          <cell r="D123">
            <v>0</v>
          </cell>
          <cell r="E123" t="str">
            <v/>
          </cell>
        </row>
        <row r="124">
          <cell r="A124" t="str">
            <v>C100MPT/C14(T)</v>
          </cell>
          <cell r="B124" t="str">
            <v>SKLADEM</v>
          </cell>
          <cell r="C124" t="str">
            <v/>
          </cell>
          <cell r="D124">
            <v>0</v>
          </cell>
          <cell r="E124" t="str">
            <v/>
          </cell>
        </row>
        <row r="125">
          <cell r="A125" t="str">
            <v>C100MTS/C14</v>
          </cell>
          <cell r="B125" t="str">
            <v>SKLADEM</v>
          </cell>
          <cell r="C125" t="str">
            <v/>
          </cell>
          <cell r="D125">
            <v>0</v>
          </cell>
          <cell r="E125" t="str">
            <v/>
          </cell>
        </row>
        <row r="126">
          <cell r="A126" t="str">
            <v>C100MTS/C14(T)</v>
          </cell>
          <cell r="B126" t="str">
            <v>SKLADEM</v>
          </cell>
          <cell r="C126" t="str">
            <v/>
          </cell>
          <cell r="D126">
            <v>0</v>
          </cell>
          <cell r="E126" t="str">
            <v/>
          </cell>
        </row>
        <row r="127">
          <cell r="A127" t="str">
            <v>C10545GI/C</v>
          </cell>
          <cell r="B127" t="str">
            <v>15.06.2024</v>
          </cell>
          <cell r="C127">
            <v>115</v>
          </cell>
          <cell r="D127">
            <v>0</v>
          </cell>
          <cell r="E127" t="str">
            <v/>
          </cell>
        </row>
        <row r="128">
          <cell r="A128" t="str">
            <v>C10545GI/C(T)</v>
          </cell>
          <cell r="B128" t="str">
            <v>15.06.2024</v>
          </cell>
          <cell r="C128">
            <v>115</v>
          </cell>
          <cell r="D128">
            <v>0</v>
          </cell>
          <cell r="E128" t="str">
            <v/>
          </cell>
        </row>
        <row r="129">
          <cell r="A129" t="str">
            <v>C105M1</v>
          </cell>
          <cell r="B129" t="str">
            <v>VYPRODÁNO</v>
          </cell>
          <cell r="C129" t="str">
            <v/>
          </cell>
          <cell r="D129">
            <v>0</v>
          </cell>
          <cell r="E129" t="str">
            <v/>
          </cell>
        </row>
        <row r="130">
          <cell r="A130" t="str">
            <v>C105M2</v>
          </cell>
          <cell r="B130" t="str">
            <v>VYPRODÁNO</v>
          </cell>
          <cell r="C130" t="str">
            <v/>
          </cell>
          <cell r="D130">
            <v>0</v>
          </cell>
          <cell r="E130" t="str">
            <v/>
          </cell>
        </row>
        <row r="131">
          <cell r="A131" t="str">
            <v>C106MB</v>
          </cell>
          <cell r="B131" t="str">
            <v>SKLADEM</v>
          </cell>
          <cell r="C131" t="str">
            <v/>
          </cell>
          <cell r="D131">
            <v>0</v>
          </cell>
          <cell r="E131" t="str">
            <v/>
          </cell>
        </row>
        <row r="132">
          <cell r="A132" t="str">
            <v>C106MB E</v>
          </cell>
          <cell r="B132" t="str">
            <v>VYPRODÁNO</v>
          </cell>
          <cell r="C132" t="str">
            <v/>
          </cell>
          <cell r="D132">
            <v>0</v>
          </cell>
          <cell r="E132" t="str">
            <v/>
          </cell>
        </row>
        <row r="133">
          <cell r="A133" t="str">
            <v>C106MH</v>
          </cell>
          <cell r="B133" t="str">
            <v>SKLADEM</v>
          </cell>
          <cell r="C133" t="str">
            <v/>
          </cell>
          <cell r="D133">
            <v>0</v>
          </cell>
          <cell r="E133" t="str">
            <v/>
          </cell>
        </row>
        <row r="134">
          <cell r="A134" t="str">
            <v>C106MH E</v>
          </cell>
          <cell r="B134" t="str">
            <v>VYPRODÁNO</v>
          </cell>
          <cell r="C134" t="str">
            <v/>
          </cell>
          <cell r="D134">
            <v>0</v>
          </cell>
          <cell r="E134" t="str">
            <v/>
          </cell>
        </row>
        <row r="135">
          <cell r="A135" t="str">
            <v>C109MD</v>
          </cell>
          <cell r="B135" t="str">
            <v>VYPRODÁNO</v>
          </cell>
          <cell r="C135" t="str">
            <v/>
          </cell>
          <cell r="D135">
            <v>0</v>
          </cell>
          <cell r="E135" t="str">
            <v/>
          </cell>
        </row>
        <row r="136">
          <cell r="A136" t="str">
            <v>C109MD/P</v>
          </cell>
          <cell r="B136" t="str">
            <v>VYPRODÁNO</v>
          </cell>
          <cell r="C136" t="str">
            <v/>
          </cell>
          <cell r="D136">
            <v>0</v>
          </cell>
          <cell r="E136" t="str">
            <v/>
          </cell>
        </row>
        <row r="137">
          <cell r="A137" t="str">
            <v>C109MG</v>
          </cell>
          <cell r="B137" t="str">
            <v>SKLADEM</v>
          </cell>
          <cell r="C137" t="str">
            <v/>
          </cell>
          <cell r="D137">
            <v>0</v>
          </cell>
          <cell r="E137" t="str">
            <v/>
          </cell>
        </row>
        <row r="138">
          <cell r="A138" t="str">
            <v>C109MG/P</v>
          </cell>
          <cell r="B138" t="str">
            <v>VYPRODÁNO</v>
          </cell>
          <cell r="C138" t="str">
            <v/>
          </cell>
          <cell r="D138">
            <v>0</v>
          </cell>
          <cell r="E138" t="str">
            <v/>
          </cell>
        </row>
        <row r="139">
          <cell r="A139" t="str">
            <v>C109MM</v>
          </cell>
          <cell r="B139" t="str">
            <v>SKLADEM</v>
          </cell>
          <cell r="C139" t="str">
            <v/>
          </cell>
          <cell r="D139">
            <v>0</v>
          </cell>
          <cell r="E139" t="str">
            <v/>
          </cell>
        </row>
        <row r="140">
          <cell r="A140" t="str">
            <v>C111MA</v>
          </cell>
          <cell r="B140" t="str">
            <v>VYPRODÁNO</v>
          </cell>
          <cell r="C140" t="str">
            <v/>
          </cell>
          <cell r="D140">
            <v>0</v>
          </cell>
          <cell r="E140" t="str">
            <v/>
          </cell>
        </row>
        <row r="141">
          <cell r="A141" t="str">
            <v>C111MF/C</v>
          </cell>
          <cell r="B141" t="str">
            <v>SKLADEM</v>
          </cell>
          <cell r="C141" t="str">
            <v/>
          </cell>
          <cell r="D141">
            <v>0</v>
          </cell>
          <cell r="E141" t="str">
            <v/>
          </cell>
        </row>
        <row r="142">
          <cell r="A142" t="str">
            <v>C111MF/C(T)</v>
          </cell>
          <cell r="B142" t="str">
            <v>SKLADEM</v>
          </cell>
          <cell r="C142" t="str">
            <v/>
          </cell>
          <cell r="D142">
            <v>0</v>
          </cell>
          <cell r="E142" t="str">
            <v/>
          </cell>
        </row>
        <row r="143">
          <cell r="A143" t="str">
            <v>C1163MB/C</v>
          </cell>
          <cell r="B143" t="str">
            <v>VYPRODÁNO</v>
          </cell>
          <cell r="C143" t="str">
            <v/>
          </cell>
          <cell r="D143">
            <v>0</v>
          </cell>
          <cell r="E143" t="str">
            <v/>
          </cell>
        </row>
        <row r="144">
          <cell r="A144" t="str">
            <v>C1163MB/C14</v>
          </cell>
          <cell r="B144" t="str">
            <v>SKLADEM</v>
          </cell>
          <cell r="C144" t="str">
            <v/>
          </cell>
          <cell r="D144">
            <v>0</v>
          </cell>
          <cell r="E144" t="str">
            <v/>
          </cell>
        </row>
        <row r="145">
          <cell r="A145" t="str">
            <v>C1163MB/C14 E</v>
          </cell>
          <cell r="B145" t="str">
            <v>VYPRODÁNO</v>
          </cell>
          <cell r="C145" t="str">
            <v/>
          </cell>
          <cell r="D145">
            <v>0</v>
          </cell>
          <cell r="E145" t="str">
            <v/>
          </cell>
        </row>
        <row r="146">
          <cell r="A146" t="str">
            <v>C1163MB/C14(T)</v>
          </cell>
          <cell r="B146" t="str">
            <v>SKLADEM</v>
          </cell>
          <cell r="C146" t="str">
            <v/>
          </cell>
          <cell r="D146">
            <v>0</v>
          </cell>
          <cell r="E146" t="str">
            <v/>
          </cell>
        </row>
        <row r="147">
          <cell r="A147" t="str">
            <v>C12230XPT/C14</v>
          </cell>
          <cell r="B147" t="str">
            <v>SKLADEM</v>
          </cell>
          <cell r="C147" t="str">
            <v/>
          </cell>
          <cell r="D147">
            <v>0</v>
          </cell>
          <cell r="E147" t="str">
            <v/>
          </cell>
        </row>
        <row r="148">
          <cell r="A148" t="str">
            <v>C12230XPT/C14(T)</v>
          </cell>
          <cell r="B148" t="str">
            <v>SKLADEM</v>
          </cell>
          <cell r="C148" t="str">
            <v/>
          </cell>
          <cell r="D148">
            <v>0</v>
          </cell>
          <cell r="E148" t="str">
            <v/>
          </cell>
        </row>
        <row r="149">
          <cell r="A149" t="str">
            <v>C123MSIG/C</v>
          </cell>
          <cell r="B149" t="str">
            <v>VYPRODÁNO</v>
          </cell>
          <cell r="C149" t="str">
            <v/>
          </cell>
          <cell r="D149">
            <v>0</v>
          </cell>
          <cell r="E149" t="str">
            <v/>
          </cell>
        </row>
        <row r="150">
          <cell r="A150" t="str">
            <v>C123MSIG/C(T)</v>
          </cell>
          <cell r="B150" t="str">
            <v>VYPRODÁNO</v>
          </cell>
          <cell r="C150" t="str">
            <v/>
          </cell>
          <cell r="D150">
            <v>0</v>
          </cell>
          <cell r="E150" t="str">
            <v/>
          </cell>
        </row>
        <row r="151">
          <cell r="A151" t="str">
            <v>C123MSIG/I14C</v>
          </cell>
          <cell r="B151" t="str">
            <v>VYPRODÁNO</v>
          </cell>
          <cell r="C151" t="str">
            <v/>
          </cell>
          <cell r="D151">
            <v>0</v>
          </cell>
          <cell r="E151" t="str">
            <v/>
          </cell>
        </row>
        <row r="152">
          <cell r="A152" t="str">
            <v>C123MSIG/I14C(T)</v>
          </cell>
          <cell r="B152" t="str">
            <v>VYPRODÁNO</v>
          </cell>
          <cell r="C152" t="str">
            <v/>
          </cell>
          <cell r="D152">
            <v>0</v>
          </cell>
          <cell r="E152" t="str">
            <v/>
          </cell>
        </row>
        <row r="153">
          <cell r="A153" t="str">
            <v>C12820F/C</v>
          </cell>
          <cell r="B153" t="str">
            <v>SKLADEM</v>
          </cell>
          <cell r="C153" t="str">
            <v/>
          </cell>
          <cell r="D153">
            <v>0</v>
          </cell>
          <cell r="E153" t="str">
            <v/>
          </cell>
        </row>
        <row r="154">
          <cell r="A154" t="str">
            <v>C12820F/C(T)</v>
          </cell>
          <cell r="B154" t="str">
            <v>SKLADEM</v>
          </cell>
          <cell r="C154" t="str">
            <v/>
          </cell>
          <cell r="D154">
            <v>0</v>
          </cell>
          <cell r="E154" t="str">
            <v/>
          </cell>
        </row>
        <row r="155">
          <cell r="A155" t="str">
            <v>C12820F/C14</v>
          </cell>
          <cell r="B155" t="str">
            <v>30.04.2024</v>
          </cell>
          <cell r="C155">
            <v>69</v>
          </cell>
          <cell r="D155">
            <v>0</v>
          </cell>
          <cell r="E155" t="str">
            <v/>
          </cell>
        </row>
        <row r="156">
          <cell r="A156" t="str">
            <v>C12820F/C14 E</v>
          </cell>
          <cell r="B156" t="str">
            <v>VYPRODÁNO</v>
          </cell>
          <cell r="C156" t="str">
            <v/>
          </cell>
          <cell r="D156">
            <v>0</v>
          </cell>
          <cell r="E156" t="str">
            <v/>
          </cell>
        </row>
        <row r="157">
          <cell r="A157" t="str">
            <v>C12820F/C14(T)</v>
          </cell>
          <cell r="B157" t="str">
            <v>30.04.2024</v>
          </cell>
          <cell r="C157">
            <v>69</v>
          </cell>
          <cell r="D157">
            <v>0</v>
          </cell>
          <cell r="E157" t="str">
            <v/>
          </cell>
        </row>
        <row r="158">
          <cell r="A158" t="str">
            <v>C12820NID/C</v>
          </cell>
          <cell r="B158" t="str">
            <v>SKLADEM</v>
          </cell>
          <cell r="C158" t="str">
            <v/>
          </cell>
          <cell r="D158">
            <v>0</v>
          </cell>
          <cell r="E158" t="str">
            <v/>
          </cell>
        </row>
        <row r="159">
          <cell r="A159" t="str">
            <v>C12820NID/C(T)</v>
          </cell>
          <cell r="B159" t="str">
            <v>SKLADEM</v>
          </cell>
          <cell r="C159" t="str">
            <v/>
          </cell>
          <cell r="D159">
            <v>0</v>
          </cell>
          <cell r="E159" t="str">
            <v/>
          </cell>
        </row>
        <row r="160">
          <cell r="A160" t="str">
            <v>C1283XMZ2</v>
          </cell>
          <cell r="B160" t="str">
            <v>VYPRODÁNO</v>
          </cell>
          <cell r="C160" t="str">
            <v/>
          </cell>
          <cell r="D160">
            <v>0</v>
          </cell>
          <cell r="E160" t="str">
            <v/>
          </cell>
        </row>
        <row r="161">
          <cell r="A161" t="str">
            <v>C1283Z</v>
          </cell>
          <cell r="B161" t="str">
            <v>VYPRODÁNO</v>
          </cell>
          <cell r="C161" t="str">
            <v/>
          </cell>
          <cell r="D161">
            <v>0</v>
          </cell>
          <cell r="E161" t="str">
            <v/>
          </cell>
        </row>
        <row r="162">
          <cell r="A162" t="str">
            <v>C128MS/C</v>
          </cell>
          <cell r="B162" t="str">
            <v>VYPRODÁNO</v>
          </cell>
          <cell r="C162" t="str">
            <v/>
          </cell>
          <cell r="D162">
            <v>0</v>
          </cell>
          <cell r="E162" t="str">
            <v/>
          </cell>
        </row>
        <row r="163">
          <cell r="A163" t="str">
            <v>C128MS/C E</v>
          </cell>
          <cell r="B163" t="str">
            <v>VYPRODÁNO</v>
          </cell>
          <cell r="C163" t="str">
            <v/>
          </cell>
          <cell r="D163">
            <v>0</v>
          </cell>
          <cell r="E163" t="str">
            <v/>
          </cell>
        </row>
        <row r="164">
          <cell r="A164" t="str">
            <v>C128MS/C(T)</v>
          </cell>
          <cell r="B164" t="str">
            <v>VYPRODÁNO</v>
          </cell>
          <cell r="C164" t="str">
            <v/>
          </cell>
          <cell r="D164">
            <v>0</v>
          </cell>
          <cell r="E164" t="str">
            <v/>
          </cell>
        </row>
        <row r="165">
          <cell r="A165" t="str">
            <v>C128MS/C14</v>
          </cell>
          <cell r="B165" t="str">
            <v>SKLADEM</v>
          </cell>
          <cell r="C165" t="str">
            <v/>
          </cell>
          <cell r="D165">
            <v>0</v>
          </cell>
          <cell r="E165" t="str">
            <v/>
          </cell>
        </row>
        <row r="166">
          <cell r="A166" t="str">
            <v>C128MS/C14(T)</v>
          </cell>
          <cell r="B166" t="str">
            <v>SKLADEM</v>
          </cell>
          <cell r="C166" t="str">
            <v/>
          </cell>
          <cell r="D166">
            <v>0</v>
          </cell>
          <cell r="E166" t="str">
            <v/>
          </cell>
        </row>
        <row r="167">
          <cell r="A167" t="str">
            <v>C128XMB/C</v>
          </cell>
          <cell r="B167" t="str">
            <v>SKLADEM</v>
          </cell>
          <cell r="C167" t="str">
            <v/>
          </cell>
          <cell r="D167">
            <v>0</v>
          </cell>
          <cell r="E167" t="str">
            <v/>
          </cell>
        </row>
        <row r="168">
          <cell r="A168" t="str">
            <v>C128XMB/C E</v>
          </cell>
          <cell r="B168" t="str">
            <v>VYPRODÁNO</v>
          </cell>
          <cell r="C168" t="str">
            <v/>
          </cell>
          <cell r="D168">
            <v>0</v>
          </cell>
          <cell r="E168" t="str">
            <v/>
          </cell>
        </row>
        <row r="169">
          <cell r="A169" t="str">
            <v>C128XMB/C(T)</v>
          </cell>
          <cell r="B169" t="str">
            <v>SKLADEM</v>
          </cell>
          <cell r="C169" t="str">
            <v/>
          </cell>
          <cell r="D169">
            <v>0</v>
          </cell>
          <cell r="E169" t="str">
            <v/>
          </cell>
        </row>
        <row r="170">
          <cell r="A170" t="str">
            <v>C128XMB/C14</v>
          </cell>
          <cell r="B170" t="str">
            <v>VYPRODÁNO</v>
          </cell>
          <cell r="C170" t="str">
            <v/>
          </cell>
          <cell r="D170">
            <v>0</v>
          </cell>
          <cell r="E170" t="str">
            <v/>
          </cell>
        </row>
        <row r="171">
          <cell r="A171" t="str">
            <v>C128XMPT/C</v>
          </cell>
          <cell r="B171" t="str">
            <v>SKLADEM</v>
          </cell>
          <cell r="C171" t="str">
            <v/>
          </cell>
          <cell r="D171">
            <v>0</v>
          </cell>
          <cell r="E171" t="str">
            <v/>
          </cell>
        </row>
        <row r="172">
          <cell r="A172" t="str">
            <v>C128XMPT/C(T)</v>
          </cell>
          <cell r="B172" t="str">
            <v>SKLADEM</v>
          </cell>
          <cell r="C172" t="str">
            <v/>
          </cell>
          <cell r="D172">
            <v>0</v>
          </cell>
          <cell r="E172" t="str">
            <v/>
          </cell>
        </row>
        <row r="173">
          <cell r="A173" t="str">
            <v>C13020B</v>
          </cell>
          <cell r="B173" t="str">
            <v>SKLADEM</v>
          </cell>
          <cell r="C173" t="str">
            <v/>
          </cell>
          <cell r="D173">
            <v>0</v>
          </cell>
          <cell r="E173" t="str">
            <v/>
          </cell>
        </row>
        <row r="174">
          <cell r="A174" t="str">
            <v>C13020B E</v>
          </cell>
          <cell r="B174" t="str">
            <v>SKLADEM</v>
          </cell>
          <cell r="C174" t="str">
            <v/>
          </cell>
          <cell r="D174">
            <v>0</v>
          </cell>
          <cell r="E174" t="str">
            <v/>
          </cell>
        </row>
        <row r="175">
          <cell r="A175" t="str">
            <v>C13020BP</v>
          </cell>
          <cell r="B175" t="str">
            <v>SKLADEM</v>
          </cell>
          <cell r="C175" t="str">
            <v/>
          </cell>
          <cell r="D175">
            <v>0</v>
          </cell>
          <cell r="E175" t="str">
            <v/>
          </cell>
        </row>
        <row r="176">
          <cell r="A176" t="str">
            <v>C13020F</v>
          </cell>
          <cell r="B176" t="str">
            <v>VYPRODÁNO</v>
          </cell>
          <cell r="C176" t="str">
            <v/>
          </cell>
          <cell r="D176">
            <v>0</v>
          </cell>
          <cell r="E176" t="str">
            <v/>
          </cell>
        </row>
        <row r="177">
          <cell r="A177" t="str">
            <v>C13020F E</v>
          </cell>
          <cell r="B177" t="str">
            <v>VYPRODÁNO</v>
          </cell>
          <cell r="C177" t="str">
            <v/>
          </cell>
          <cell r="D177">
            <v>0</v>
          </cell>
          <cell r="E177" t="str">
            <v/>
          </cell>
        </row>
        <row r="178">
          <cell r="A178" t="str">
            <v>C13020M</v>
          </cell>
          <cell r="B178" t="str">
            <v>SKLADEM</v>
          </cell>
          <cell r="C178" t="str">
            <v/>
          </cell>
          <cell r="D178">
            <v>0</v>
          </cell>
          <cell r="E178" t="str">
            <v/>
          </cell>
        </row>
        <row r="179">
          <cell r="A179" t="str">
            <v>C13020M E</v>
          </cell>
          <cell r="B179" t="str">
            <v>VYPRODÁNO</v>
          </cell>
          <cell r="C179" t="str">
            <v/>
          </cell>
          <cell r="D179">
            <v>0</v>
          </cell>
          <cell r="E179" t="str">
            <v/>
          </cell>
        </row>
        <row r="180">
          <cell r="A180" t="str">
            <v>C13020S</v>
          </cell>
          <cell r="B180" t="str">
            <v>VYPRODÁNO</v>
          </cell>
          <cell r="C180" t="str">
            <v/>
          </cell>
          <cell r="D180">
            <v>0</v>
          </cell>
          <cell r="E180" t="str">
            <v/>
          </cell>
        </row>
        <row r="181">
          <cell r="A181" t="str">
            <v>C13020S E</v>
          </cell>
          <cell r="B181" t="str">
            <v>VYPRODÁNO</v>
          </cell>
          <cell r="C181" t="str">
            <v/>
          </cell>
          <cell r="D181">
            <v>0</v>
          </cell>
          <cell r="E181" t="str">
            <v/>
          </cell>
        </row>
        <row r="182">
          <cell r="A182" t="str">
            <v>C13220B/C</v>
          </cell>
          <cell r="B182" t="str">
            <v>SKLADEM</v>
          </cell>
          <cell r="C182" t="str">
            <v/>
          </cell>
          <cell r="D182">
            <v>0</v>
          </cell>
          <cell r="E182" t="str">
            <v/>
          </cell>
        </row>
        <row r="183">
          <cell r="A183" t="str">
            <v>C13220B/C(T)</v>
          </cell>
          <cell r="B183" t="str">
            <v>SKLADEM</v>
          </cell>
          <cell r="C183" t="str">
            <v/>
          </cell>
          <cell r="D183">
            <v>0</v>
          </cell>
          <cell r="E183" t="str">
            <v/>
          </cell>
        </row>
        <row r="184">
          <cell r="A184" t="str">
            <v>C13220B/C14</v>
          </cell>
          <cell r="B184" t="str">
            <v>SKLADEM</v>
          </cell>
          <cell r="C184" t="str">
            <v/>
          </cell>
          <cell r="D184">
            <v>0</v>
          </cell>
          <cell r="E184" t="str">
            <v/>
          </cell>
        </row>
        <row r="185">
          <cell r="A185" t="str">
            <v>C13220B/C14 E</v>
          </cell>
          <cell r="B185" t="str">
            <v>VYPRODÁNO</v>
          </cell>
          <cell r="C185" t="str">
            <v/>
          </cell>
          <cell r="D185">
            <v>0</v>
          </cell>
          <cell r="E185" t="str">
            <v/>
          </cell>
        </row>
        <row r="186">
          <cell r="A186" t="str">
            <v>C13220B/C14(T)</v>
          </cell>
          <cell r="B186" t="str">
            <v>SKLADEM</v>
          </cell>
          <cell r="C186" t="str">
            <v/>
          </cell>
          <cell r="D186">
            <v>0</v>
          </cell>
          <cell r="E186" t="str">
            <v/>
          </cell>
        </row>
        <row r="187">
          <cell r="A187" t="str">
            <v>C13220TS/C14</v>
          </cell>
          <cell r="B187" t="str">
            <v>SKLADEM</v>
          </cell>
          <cell r="C187" t="str">
            <v/>
          </cell>
          <cell r="D187">
            <v>0</v>
          </cell>
          <cell r="E187" t="str">
            <v/>
          </cell>
        </row>
        <row r="188">
          <cell r="A188" t="str">
            <v>C13220TS/C14(T)</v>
          </cell>
          <cell r="B188" t="str">
            <v>SKLADEM</v>
          </cell>
          <cell r="C188" t="str">
            <v/>
          </cell>
          <cell r="D188">
            <v>0</v>
          </cell>
          <cell r="E188" t="str">
            <v/>
          </cell>
        </row>
        <row r="189">
          <cell r="A189" t="str">
            <v>C132XMPT/C</v>
          </cell>
          <cell r="B189" t="str">
            <v>SKLADEM</v>
          </cell>
          <cell r="C189" t="str">
            <v/>
          </cell>
          <cell r="D189">
            <v>0</v>
          </cell>
          <cell r="E189" t="str">
            <v/>
          </cell>
        </row>
        <row r="190">
          <cell r="A190" t="str">
            <v>C132XMPT/C(T)</v>
          </cell>
          <cell r="B190" t="str">
            <v>SKLADEM</v>
          </cell>
          <cell r="C190" t="str">
            <v/>
          </cell>
          <cell r="D190">
            <v>0</v>
          </cell>
          <cell r="E190" t="str">
            <v/>
          </cell>
        </row>
        <row r="191">
          <cell r="A191" t="str">
            <v>C132XMPT/C14</v>
          </cell>
          <cell r="B191" t="str">
            <v>SKLADEM</v>
          </cell>
          <cell r="C191" t="str">
            <v/>
          </cell>
          <cell r="D191">
            <v>0</v>
          </cell>
          <cell r="E191" t="str">
            <v/>
          </cell>
        </row>
        <row r="192">
          <cell r="A192" t="str">
            <v>C132XMPT/C14(T)</v>
          </cell>
          <cell r="B192" t="str">
            <v>SKLADEM</v>
          </cell>
          <cell r="C192" t="str">
            <v/>
          </cell>
          <cell r="D192">
            <v>0</v>
          </cell>
          <cell r="E192" t="str">
            <v/>
          </cell>
        </row>
        <row r="193">
          <cell r="A193" t="str">
            <v>C13420B</v>
          </cell>
          <cell r="B193" t="str">
            <v>SKLADEM</v>
          </cell>
          <cell r="C193" t="str">
            <v/>
          </cell>
          <cell r="D193">
            <v>0</v>
          </cell>
          <cell r="E193" t="str">
            <v/>
          </cell>
        </row>
        <row r="194">
          <cell r="A194" t="str">
            <v>C13420B E</v>
          </cell>
          <cell r="B194" t="str">
            <v>SKLADEM</v>
          </cell>
          <cell r="C194" t="str">
            <v/>
          </cell>
          <cell r="D194">
            <v>0</v>
          </cell>
          <cell r="E194" t="str">
            <v/>
          </cell>
        </row>
        <row r="195">
          <cell r="A195" t="str">
            <v>C13420H</v>
          </cell>
          <cell r="B195" t="str">
            <v>20.06.2024</v>
          </cell>
          <cell r="C195">
            <v>120</v>
          </cell>
          <cell r="D195">
            <v>0</v>
          </cell>
          <cell r="E195" t="str">
            <v/>
          </cell>
        </row>
        <row r="196">
          <cell r="A196" t="str">
            <v>C13420H E</v>
          </cell>
          <cell r="B196" t="str">
            <v>SKLADEM</v>
          </cell>
          <cell r="C196" t="str">
            <v/>
          </cell>
          <cell r="D196">
            <v>0</v>
          </cell>
          <cell r="E196" t="str">
            <v/>
          </cell>
        </row>
        <row r="197">
          <cell r="A197" t="str">
            <v>C136XMK/C14</v>
          </cell>
          <cell r="B197" t="str">
            <v>SKLADEM</v>
          </cell>
          <cell r="C197" t="str">
            <v/>
          </cell>
          <cell r="D197">
            <v>0</v>
          </cell>
          <cell r="E197" t="str">
            <v/>
          </cell>
        </row>
        <row r="198">
          <cell r="A198" t="str">
            <v>C136XMK/C14(T)</v>
          </cell>
          <cell r="B198" t="str">
            <v>SKLADEM</v>
          </cell>
          <cell r="C198" t="str">
            <v/>
          </cell>
          <cell r="D198">
            <v>0</v>
          </cell>
          <cell r="E198" t="str">
            <v/>
          </cell>
        </row>
        <row r="199">
          <cell r="A199" t="str">
            <v>C136XMTS/C14</v>
          </cell>
          <cell r="B199" t="str">
            <v>SKLADEM</v>
          </cell>
          <cell r="C199" t="str">
            <v/>
          </cell>
          <cell r="D199">
            <v>0</v>
          </cell>
          <cell r="E199" t="str">
            <v/>
          </cell>
        </row>
        <row r="200">
          <cell r="A200" t="str">
            <v>C136XMTS/C14(T)</v>
          </cell>
          <cell r="B200" t="str">
            <v>SKLADEM</v>
          </cell>
          <cell r="C200" t="str">
            <v/>
          </cell>
          <cell r="D200">
            <v>0</v>
          </cell>
          <cell r="E200" t="str">
            <v/>
          </cell>
        </row>
        <row r="201">
          <cell r="A201" t="str">
            <v>C14025XFS/C</v>
          </cell>
          <cell r="B201" t="str">
            <v>15.09.2024</v>
          </cell>
          <cell r="C201">
            <v>207</v>
          </cell>
          <cell r="D201">
            <v>0</v>
          </cell>
          <cell r="E201" t="str">
            <v/>
          </cell>
        </row>
        <row r="202">
          <cell r="A202" t="str">
            <v>C14025XFS/C(T)</v>
          </cell>
          <cell r="B202" t="str">
            <v>15.09.2024</v>
          </cell>
          <cell r="C202">
            <v>207</v>
          </cell>
          <cell r="D202">
            <v>0</v>
          </cell>
          <cell r="E202" t="str">
            <v/>
          </cell>
        </row>
        <row r="203">
          <cell r="A203" t="str">
            <v>C14025XFS/C14</v>
          </cell>
          <cell r="B203" t="str">
            <v>20.06.2024</v>
          </cell>
          <cell r="C203">
            <v>120</v>
          </cell>
          <cell r="D203">
            <v>0</v>
          </cell>
          <cell r="E203" t="str">
            <v/>
          </cell>
        </row>
        <row r="204">
          <cell r="A204" t="str">
            <v>C14025XFS/C14(T)</v>
          </cell>
          <cell r="B204" t="str">
            <v>20.06.2024</v>
          </cell>
          <cell r="C204">
            <v>120</v>
          </cell>
          <cell r="D204">
            <v>0</v>
          </cell>
          <cell r="E204" t="str">
            <v/>
          </cell>
        </row>
        <row r="205">
          <cell r="A205" t="str">
            <v>C1503/C</v>
          </cell>
          <cell r="B205" t="str">
            <v>VYPRODÁNO</v>
          </cell>
          <cell r="C205" t="str">
            <v/>
          </cell>
          <cell r="D205">
            <v>0</v>
          </cell>
          <cell r="E205" t="str">
            <v/>
          </cell>
        </row>
        <row r="206">
          <cell r="A206" t="str">
            <v>C1503A</v>
          </cell>
          <cell r="B206" t="str">
            <v>VYPRODÁNO</v>
          </cell>
          <cell r="C206" t="str">
            <v/>
          </cell>
          <cell r="D206">
            <v>0</v>
          </cell>
          <cell r="E206" t="str">
            <v/>
          </cell>
        </row>
        <row r="207">
          <cell r="A207" t="str">
            <v>C1503BPF/C</v>
          </cell>
          <cell r="B207" t="str">
            <v>SKLADEM</v>
          </cell>
          <cell r="C207" t="str">
            <v/>
          </cell>
          <cell r="D207">
            <v>0</v>
          </cell>
          <cell r="E207" t="str">
            <v/>
          </cell>
        </row>
        <row r="208">
          <cell r="A208" t="str">
            <v>C1503BPF/C(T)</v>
          </cell>
          <cell r="B208" t="str">
            <v>SKLADEM</v>
          </cell>
          <cell r="C208" t="str">
            <v/>
          </cell>
          <cell r="D208">
            <v>0</v>
          </cell>
          <cell r="E208" t="str">
            <v/>
          </cell>
        </row>
        <row r="209">
          <cell r="A209" t="str">
            <v>C1503X</v>
          </cell>
          <cell r="B209" t="str">
            <v>VYPRODÁNO</v>
          </cell>
          <cell r="C209" t="str">
            <v/>
          </cell>
          <cell r="D209">
            <v>0</v>
          </cell>
          <cell r="E209" t="str">
            <v/>
          </cell>
        </row>
        <row r="210">
          <cell r="A210" t="str">
            <v>C1503X/C</v>
          </cell>
          <cell r="B210" t="str">
            <v>SKLADEM</v>
          </cell>
          <cell r="C210" t="str">
            <v/>
          </cell>
          <cell r="D210">
            <v>0</v>
          </cell>
          <cell r="E210" t="str">
            <v/>
          </cell>
        </row>
        <row r="211">
          <cell r="A211" t="str">
            <v>C1503X/C(T)</v>
          </cell>
          <cell r="B211" t="str">
            <v>SKLADEM</v>
          </cell>
          <cell r="C211" t="str">
            <v/>
          </cell>
          <cell r="D211">
            <v>0</v>
          </cell>
          <cell r="E211" t="str">
            <v/>
          </cell>
        </row>
        <row r="212">
          <cell r="A212" t="str">
            <v>C150MF/C</v>
          </cell>
          <cell r="B212" t="str">
            <v>DOCHÁZÍ</v>
          </cell>
          <cell r="C212" t="str">
            <v/>
          </cell>
          <cell r="D212">
            <v>0</v>
          </cell>
          <cell r="E212">
            <v>1</v>
          </cell>
        </row>
        <row r="213">
          <cell r="A213" t="str">
            <v>C150MF/C(T)</v>
          </cell>
          <cell r="B213" t="str">
            <v>DOCHÁZÍ</v>
          </cell>
          <cell r="C213" t="str">
            <v/>
          </cell>
          <cell r="D213">
            <v>0</v>
          </cell>
          <cell r="E213">
            <v>1</v>
          </cell>
        </row>
        <row r="214">
          <cell r="A214" t="str">
            <v>C150MF/C14</v>
          </cell>
          <cell r="B214" t="str">
            <v>SKLADEM</v>
          </cell>
          <cell r="C214" t="str">
            <v/>
          </cell>
          <cell r="D214">
            <v>0</v>
          </cell>
          <cell r="E214" t="str">
            <v/>
          </cell>
        </row>
        <row r="215">
          <cell r="A215" t="str">
            <v>C150MF/C14 E</v>
          </cell>
          <cell r="B215" t="str">
            <v>VYPRODÁNO</v>
          </cell>
          <cell r="C215" t="str">
            <v/>
          </cell>
          <cell r="D215">
            <v>0</v>
          </cell>
          <cell r="E215" t="str">
            <v/>
          </cell>
        </row>
        <row r="216">
          <cell r="A216" t="str">
            <v>C150MF/C14(T)</v>
          </cell>
          <cell r="B216" t="str">
            <v>SKLADEM</v>
          </cell>
          <cell r="C216" t="str">
            <v/>
          </cell>
          <cell r="D216">
            <v>0</v>
          </cell>
          <cell r="E216" t="str">
            <v/>
          </cell>
        </row>
        <row r="217">
          <cell r="A217" t="str">
            <v>C150MPT/C</v>
          </cell>
          <cell r="B217" t="str">
            <v>15.05.2024</v>
          </cell>
          <cell r="C217">
            <v>84</v>
          </cell>
          <cell r="D217">
            <v>0</v>
          </cell>
          <cell r="E217" t="str">
            <v/>
          </cell>
        </row>
        <row r="218">
          <cell r="A218" t="str">
            <v>C150MPT/C(T)</v>
          </cell>
          <cell r="B218" t="str">
            <v>15.05.2024</v>
          </cell>
          <cell r="C218">
            <v>84</v>
          </cell>
          <cell r="D218">
            <v>0</v>
          </cell>
          <cell r="E218" t="str">
            <v/>
          </cell>
        </row>
        <row r="219">
          <cell r="A219" t="str">
            <v>C16100A</v>
          </cell>
          <cell r="B219" t="str">
            <v>VYPRODÁNO</v>
          </cell>
          <cell r="C219" t="str">
            <v/>
          </cell>
          <cell r="D219">
            <v>0</v>
          </cell>
          <cell r="E219" t="str">
            <v/>
          </cell>
        </row>
        <row r="220">
          <cell r="A220" t="str">
            <v>C1614E14</v>
          </cell>
          <cell r="B220" t="str">
            <v>30.09.2024</v>
          </cell>
          <cell r="C220">
            <v>222</v>
          </cell>
          <cell r="D220">
            <v>0</v>
          </cell>
          <cell r="E220" t="str">
            <v/>
          </cell>
        </row>
        <row r="221">
          <cell r="A221" t="str">
            <v>C1614E14 E</v>
          </cell>
          <cell r="B221" t="str">
            <v>SKLADEM</v>
          </cell>
          <cell r="C221" t="str">
            <v/>
          </cell>
          <cell r="D221">
            <v>0</v>
          </cell>
          <cell r="E221" t="str">
            <v/>
          </cell>
        </row>
        <row r="222">
          <cell r="A222" t="str">
            <v>C1614R14</v>
          </cell>
          <cell r="B222" t="str">
            <v>VYPRODÁNO</v>
          </cell>
          <cell r="C222" t="str">
            <v/>
          </cell>
          <cell r="D222">
            <v>0</v>
          </cell>
          <cell r="E222" t="str">
            <v/>
          </cell>
        </row>
        <row r="223">
          <cell r="A223" t="str">
            <v>C1614R14 E</v>
          </cell>
          <cell r="B223" t="str">
            <v>VYPRODÁNO</v>
          </cell>
          <cell r="C223" t="str">
            <v/>
          </cell>
          <cell r="D223">
            <v>0</v>
          </cell>
          <cell r="E223" t="str">
            <v/>
          </cell>
        </row>
        <row r="224">
          <cell r="A224" t="str">
            <v>C1620B</v>
          </cell>
          <cell r="B224" t="str">
            <v>VYPRODÁNO</v>
          </cell>
          <cell r="C224" t="str">
            <v/>
          </cell>
          <cell r="D224">
            <v>0</v>
          </cell>
          <cell r="E224" t="str">
            <v/>
          </cell>
        </row>
        <row r="225">
          <cell r="A225" t="str">
            <v>C1620B E</v>
          </cell>
          <cell r="B225" t="str">
            <v>VYPRODÁNO</v>
          </cell>
          <cell r="C225" t="str">
            <v/>
          </cell>
          <cell r="D225">
            <v>0</v>
          </cell>
          <cell r="E225" t="str">
            <v/>
          </cell>
        </row>
        <row r="226">
          <cell r="A226" t="str">
            <v>C1620B14</v>
          </cell>
          <cell r="B226" t="str">
            <v>VYPRODÁNO</v>
          </cell>
          <cell r="C226" t="str">
            <v/>
          </cell>
          <cell r="D226">
            <v>0</v>
          </cell>
          <cell r="E226" t="str">
            <v/>
          </cell>
        </row>
        <row r="227">
          <cell r="A227" t="str">
            <v>C1620BPF</v>
          </cell>
          <cell r="B227" t="str">
            <v>SKLADEM</v>
          </cell>
          <cell r="C227" t="str">
            <v/>
          </cell>
          <cell r="D227">
            <v>0</v>
          </cell>
          <cell r="E227" t="str">
            <v/>
          </cell>
        </row>
        <row r="228">
          <cell r="A228" t="str">
            <v>C1620DU</v>
          </cell>
          <cell r="B228" t="str">
            <v>15.06.2024</v>
          </cell>
          <cell r="C228">
            <v>115</v>
          </cell>
          <cell r="D228">
            <v>0</v>
          </cell>
          <cell r="E228" t="str">
            <v/>
          </cell>
        </row>
        <row r="229">
          <cell r="A229" t="str">
            <v>C1620DU(5)</v>
          </cell>
          <cell r="B229" t="str">
            <v>SKLADEM</v>
          </cell>
          <cell r="C229" t="str">
            <v/>
          </cell>
          <cell r="D229">
            <v>0</v>
          </cell>
          <cell r="E229" t="str">
            <v/>
          </cell>
        </row>
        <row r="230">
          <cell r="A230" t="str">
            <v>C1620DU(S)</v>
          </cell>
          <cell r="B230" t="str">
            <v>SKLADEM</v>
          </cell>
          <cell r="C230" t="str">
            <v/>
          </cell>
          <cell r="D230">
            <v>0</v>
          </cell>
          <cell r="E230" t="str">
            <v/>
          </cell>
        </row>
        <row r="231">
          <cell r="A231" t="str">
            <v>C1620DUI14</v>
          </cell>
          <cell r="B231" t="str">
            <v>VYPRODÁNO</v>
          </cell>
          <cell r="C231" t="str">
            <v/>
          </cell>
          <cell r="D231">
            <v>0</v>
          </cell>
          <cell r="E231" t="str">
            <v/>
          </cell>
        </row>
        <row r="232">
          <cell r="A232" t="str">
            <v>C1620DUI14(1)</v>
          </cell>
          <cell r="B232" t="str">
            <v>VYPRODÁNO</v>
          </cell>
          <cell r="C232" t="str">
            <v/>
          </cell>
          <cell r="D232">
            <v>0</v>
          </cell>
          <cell r="E232" t="str">
            <v/>
          </cell>
        </row>
        <row r="233">
          <cell r="A233" t="str">
            <v>C1620F</v>
          </cell>
          <cell r="B233" t="str">
            <v>SKLADEM</v>
          </cell>
          <cell r="C233" t="str">
            <v/>
          </cell>
          <cell r="D233">
            <v>0</v>
          </cell>
          <cell r="E233" t="str">
            <v/>
          </cell>
        </row>
        <row r="234">
          <cell r="A234" t="str">
            <v>C1620F E</v>
          </cell>
          <cell r="B234" t="str">
            <v>VYPRODÁNO</v>
          </cell>
          <cell r="C234" t="str">
            <v/>
          </cell>
          <cell r="D234">
            <v>0</v>
          </cell>
          <cell r="E234" t="str">
            <v/>
          </cell>
        </row>
        <row r="235">
          <cell r="A235" t="str">
            <v>C1620F14</v>
          </cell>
          <cell r="B235" t="str">
            <v>SKLADEM</v>
          </cell>
          <cell r="C235" t="str">
            <v/>
          </cell>
          <cell r="D235">
            <v>0</v>
          </cell>
          <cell r="E235" t="str">
            <v/>
          </cell>
        </row>
        <row r="236">
          <cell r="A236" t="str">
            <v>C1620F14 E</v>
          </cell>
          <cell r="B236" t="str">
            <v>VYPRODÁNO</v>
          </cell>
          <cell r="C236" t="str">
            <v/>
          </cell>
          <cell r="D236">
            <v>0</v>
          </cell>
          <cell r="E236" t="str">
            <v/>
          </cell>
        </row>
        <row r="237">
          <cell r="A237" t="str">
            <v>C1620H</v>
          </cell>
          <cell r="B237" t="str">
            <v>SKLADEM</v>
          </cell>
          <cell r="C237" t="str">
            <v/>
          </cell>
          <cell r="D237">
            <v>0</v>
          </cell>
          <cell r="E237" t="str">
            <v/>
          </cell>
        </row>
        <row r="238">
          <cell r="A238" t="str">
            <v>C1620H E</v>
          </cell>
          <cell r="B238" t="str">
            <v>VYPRODÁNO</v>
          </cell>
          <cell r="C238" t="str">
            <v/>
          </cell>
          <cell r="D238">
            <v>0</v>
          </cell>
          <cell r="E238" t="str">
            <v/>
          </cell>
        </row>
        <row r="239">
          <cell r="A239" t="str">
            <v>C1620H14</v>
          </cell>
          <cell r="B239" t="str">
            <v>SKLADEM</v>
          </cell>
          <cell r="C239" t="str">
            <v/>
          </cell>
          <cell r="D239">
            <v>0</v>
          </cell>
          <cell r="E239" t="str">
            <v/>
          </cell>
        </row>
        <row r="240">
          <cell r="A240" t="str">
            <v>C1620K</v>
          </cell>
          <cell r="B240" t="str">
            <v>VYPRODÁNO</v>
          </cell>
          <cell r="C240" t="str">
            <v/>
          </cell>
          <cell r="D240">
            <v>0</v>
          </cell>
          <cell r="E240" t="str">
            <v/>
          </cell>
        </row>
        <row r="241">
          <cell r="A241" t="str">
            <v>C1620K14</v>
          </cell>
          <cell r="B241" t="str">
            <v>VYPRODÁNO</v>
          </cell>
          <cell r="C241" t="str">
            <v/>
          </cell>
          <cell r="D241">
            <v>0</v>
          </cell>
          <cell r="E241" t="str">
            <v/>
          </cell>
        </row>
        <row r="242">
          <cell r="A242" t="str">
            <v>C1620M</v>
          </cell>
          <cell r="B242" t="str">
            <v>15.09.2024</v>
          </cell>
          <cell r="C242">
            <v>207</v>
          </cell>
          <cell r="D242">
            <v>0</v>
          </cell>
          <cell r="E242" t="str">
            <v/>
          </cell>
        </row>
        <row r="243">
          <cell r="A243" t="str">
            <v>C1620M E</v>
          </cell>
          <cell r="B243" t="str">
            <v>VYPRODÁNO</v>
          </cell>
          <cell r="C243" t="str">
            <v/>
          </cell>
          <cell r="D243">
            <v>0</v>
          </cell>
          <cell r="E243" t="str">
            <v/>
          </cell>
        </row>
        <row r="244">
          <cell r="A244" t="str">
            <v>C1620M14</v>
          </cell>
          <cell r="B244" t="str">
            <v>SKLADEM</v>
          </cell>
          <cell r="C244" t="str">
            <v/>
          </cell>
          <cell r="D244">
            <v>0</v>
          </cell>
          <cell r="E244" t="str">
            <v/>
          </cell>
        </row>
        <row r="245">
          <cell r="A245" t="str">
            <v>C1620M14 E</v>
          </cell>
          <cell r="B245" t="str">
            <v>VYPRODÁNO</v>
          </cell>
          <cell r="C245" t="str">
            <v/>
          </cell>
          <cell r="D245">
            <v>0</v>
          </cell>
          <cell r="E245" t="str">
            <v/>
          </cell>
        </row>
        <row r="246">
          <cell r="A246" t="str">
            <v>C1620MIX</v>
          </cell>
          <cell r="B246" t="str">
            <v>VYPRODÁNO</v>
          </cell>
          <cell r="C246" t="str">
            <v/>
          </cell>
          <cell r="D246">
            <v>0</v>
          </cell>
          <cell r="E246" t="str">
            <v/>
          </cell>
        </row>
        <row r="247">
          <cell r="A247" t="str">
            <v>C1620MIX14</v>
          </cell>
          <cell r="B247" t="str">
            <v>VYPRODÁNO</v>
          </cell>
          <cell r="C247" t="str">
            <v/>
          </cell>
          <cell r="D247">
            <v>0</v>
          </cell>
          <cell r="E247" t="str">
            <v/>
          </cell>
        </row>
        <row r="248">
          <cell r="A248" t="str">
            <v>C1620N</v>
          </cell>
          <cell r="B248" t="str">
            <v>SKLADEM</v>
          </cell>
          <cell r="C248" t="str">
            <v/>
          </cell>
          <cell r="D248">
            <v>0</v>
          </cell>
          <cell r="E248" t="str">
            <v/>
          </cell>
        </row>
        <row r="249">
          <cell r="A249" t="str">
            <v>C1620N E</v>
          </cell>
          <cell r="B249" t="str">
            <v>VYPRODÁNO</v>
          </cell>
          <cell r="C249" t="str">
            <v/>
          </cell>
          <cell r="D249">
            <v>0</v>
          </cell>
          <cell r="E249" t="str">
            <v/>
          </cell>
        </row>
        <row r="250">
          <cell r="A250" t="str">
            <v>C1620N14</v>
          </cell>
          <cell r="B250" t="str">
            <v>SKLADEM</v>
          </cell>
          <cell r="C250" t="str">
            <v/>
          </cell>
          <cell r="D250">
            <v>0</v>
          </cell>
          <cell r="E250" t="str">
            <v/>
          </cell>
        </row>
        <row r="251">
          <cell r="A251" t="str">
            <v>C1620T</v>
          </cell>
          <cell r="B251" t="str">
            <v>VYPRODÁNO</v>
          </cell>
          <cell r="C251" t="str">
            <v/>
          </cell>
          <cell r="D251">
            <v>0</v>
          </cell>
          <cell r="E251" t="str">
            <v/>
          </cell>
        </row>
        <row r="252">
          <cell r="A252" t="str">
            <v>C1620T14</v>
          </cell>
          <cell r="B252" t="str">
            <v>VYPRODÁNO</v>
          </cell>
          <cell r="C252" t="str">
            <v/>
          </cell>
          <cell r="D252">
            <v>0</v>
          </cell>
          <cell r="E252" t="str">
            <v/>
          </cell>
        </row>
        <row r="253">
          <cell r="A253" t="str">
            <v>C1625A</v>
          </cell>
          <cell r="B253" t="str">
            <v>VYPRODÁNO</v>
          </cell>
          <cell r="C253" t="str">
            <v/>
          </cell>
          <cell r="D253">
            <v>0</v>
          </cell>
          <cell r="E253" t="str">
            <v/>
          </cell>
        </row>
        <row r="254">
          <cell r="A254" t="str">
            <v>C1625A14</v>
          </cell>
          <cell r="B254" t="str">
            <v>VYPRODÁNO</v>
          </cell>
          <cell r="C254" t="str">
            <v/>
          </cell>
          <cell r="D254">
            <v>0</v>
          </cell>
          <cell r="E254" t="str">
            <v/>
          </cell>
        </row>
        <row r="255">
          <cell r="A255" t="str">
            <v>C1625B</v>
          </cell>
          <cell r="B255" t="str">
            <v>SKLADEM</v>
          </cell>
          <cell r="C255" t="str">
            <v/>
          </cell>
          <cell r="D255">
            <v>0</v>
          </cell>
          <cell r="E255" t="str">
            <v/>
          </cell>
        </row>
        <row r="256">
          <cell r="A256" t="str">
            <v>C1625B14</v>
          </cell>
          <cell r="B256" t="str">
            <v>SKLADEM</v>
          </cell>
          <cell r="C256" t="str">
            <v/>
          </cell>
          <cell r="D256">
            <v>0</v>
          </cell>
          <cell r="E256" t="str">
            <v/>
          </cell>
        </row>
        <row r="257">
          <cell r="A257" t="str">
            <v>C1625BPF</v>
          </cell>
          <cell r="B257" t="str">
            <v>VYPRODÁNO</v>
          </cell>
          <cell r="C257" t="str">
            <v/>
          </cell>
          <cell r="D257">
            <v>0</v>
          </cell>
          <cell r="E257" t="str">
            <v/>
          </cell>
        </row>
        <row r="258">
          <cell r="A258" t="str">
            <v>C1625C</v>
          </cell>
          <cell r="B258" t="str">
            <v>VYPRODÁNO</v>
          </cell>
          <cell r="C258" t="str">
            <v/>
          </cell>
          <cell r="D258">
            <v>0</v>
          </cell>
          <cell r="E258" t="str">
            <v/>
          </cell>
        </row>
        <row r="259">
          <cell r="A259" t="str">
            <v>C1625D</v>
          </cell>
          <cell r="B259" t="str">
            <v>SKLADEM</v>
          </cell>
          <cell r="C259" t="str">
            <v/>
          </cell>
          <cell r="D259">
            <v>0</v>
          </cell>
          <cell r="E259" t="str">
            <v/>
          </cell>
        </row>
        <row r="260">
          <cell r="A260" t="str">
            <v>C1625D E</v>
          </cell>
          <cell r="B260" t="str">
            <v>VYPRODÁNO</v>
          </cell>
          <cell r="C260" t="str">
            <v/>
          </cell>
          <cell r="D260">
            <v>0</v>
          </cell>
          <cell r="E260" t="str">
            <v/>
          </cell>
        </row>
        <row r="261">
          <cell r="A261" t="str">
            <v>C1625D14</v>
          </cell>
          <cell r="B261" t="str">
            <v>SKLADEM</v>
          </cell>
          <cell r="C261" t="str">
            <v/>
          </cell>
          <cell r="D261">
            <v>0</v>
          </cell>
          <cell r="E261" t="str">
            <v/>
          </cell>
        </row>
        <row r="262">
          <cell r="A262" t="str">
            <v>C1625E14</v>
          </cell>
          <cell r="B262" t="str">
            <v>VYPRODÁNO</v>
          </cell>
          <cell r="C262" t="str">
            <v/>
          </cell>
          <cell r="D262">
            <v>0</v>
          </cell>
          <cell r="E262" t="str">
            <v/>
          </cell>
        </row>
        <row r="263">
          <cell r="A263" t="str">
            <v>C1625ES</v>
          </cell>
          <cell r="B263" t="str">
            <v>VYPRODÁNO</v>
          </cell>
          <cell r="C263" t="str">
            <v/>
          </cell>
          <cell r="D263">
            <v>0</v>
          </cell>
          <cell r="E263" t="str">
            <v/>
          </cell>
        </row>
        <row r="264">
          <cell r="A264" t="str">
            <v>C1625ES E</v>
          </cell>
          <cell r="B264" t="str">
            <v>VYPRODÁNO</v>
          </cell>
          <cell r="C264" t="str">
            <v/>
          </cell>
          <cell r="D264">
            <v>0</v>
          </cell>
          <cell r="E264" t="str">
            <v/>
          </cell>
        </row>
        <row r="265">
          <cell r="A265" t="str">
            <v>C1625F</v>
          </cell>
          <cell r="B265" t="str">
            <v>SKLADEM</v>
          </cell>
          <cell r="C265" t="str">
            <v/>
          </cell>
          <cell r="D265">
            <v>0</v>
          </cell>
          <cell r="E265" t="str">
            <v/>
          </cell>
        </row>
        <row r="266">
          <cell r="A266" t="str">
            <v>C1625F14</v>
          </cell>
          <cell r="B266" t="str">
            <v>SKLADEM</v>
          </cell>
          <cell r="C266" t="str">
            <v/>
          </cell>
          <cell r="D266">
            <v>0</v>
          </cell>
          <cell r="E266" t="str">
            <v/>
          </cell>
        </row>
        <row r="267">
          <cell r="A267" t="str">
            <v>C1625G</v>
          </cell>
          <cell r="B267" t="str">
            <v>DOCHÁZÍ</v>
          </cell>
          <cell r="C267" t="str">
            <v/>
          </cell>
          <cell r="D267">
            <v>0</v>
          </cell>
          <cell r="E267">
            <v>14</v>
          </cell>
        </row>
        <row r="268">
          <cell r="A268" t="str">
            <v>C1625K</v>
          </cell>
          <cell r="B268" t="str">
            <v>VYPRODÁNO</v>
          </cell>
          <cell r="C268" t="str">
            <v/>
          </cell>
          <cell r="D268">
            <v>0</v>
          </cell>
          <cell r="E268" t="str">
            <v/>
          </cell>
        </row>
        <row r="269">
          <cell r="A269" t="str">
            <v>C163A</v>
          </cell>
          <cell r="B269" t="str">
            <v>SKLADEM</v>
          </cell>
          <cell r="C269" t="str">
            <v/>
          </cell>
          <cell r="D269">
            <v>0</v>
          </cell>
          <cell r="E269" t="str">
            <v/>
          </cell>
        </row>
        <row r="270">
          <cell r="A270" t="str">
            <v>C163A/P</v>
          </cell>
          <cell r="B270" t="str">
            <v>VYPRODÁNO</v>
          </cell>
          <cell r="C270" t="str">
            <v/>
          </cell>
          <cell r="D270">
            <v>0</v>
          </cell>
          <cell r="E270" t="str">
            <v/>
          </cell>
        </row>
        <row r="271">
          <cell r="A271" t="str">
            <v>C163A14</v>
          </cell>
          <cell r="B271" t="str">
            <v>15.09.2024</v>
          </cell>
          <cell r="C271">
            <v>207</v>
          </cell>
          <cell r="D271">
            <v>0</v>
          </cell>
          <cell r="E271" t="str">
            <v/>
          </cell>
        </row>
        <row r="272">
          <cell r="A272" t="str">
            <v>C163B</v>
          </cell>
          <cell r="B272" t="str">
            <v>SKLADEM</v>
          </cell>
          <cell r="C272" t="str">
            <v/>
          </cell>
          <cell r="D272">
            <v>0</v>
          </cell>
          <cell r="E272" t="str">
            <v/>
          </cell>
        </row>
        <row r="273">
          <cell r="A273" t="str">
            <v>C163B14</v>
          </cell>
          <cell r="B273" t="str">
            <v>VYPRODÁNO</v>
          </cell>
          <cell r="C273" t="str">
            <v/>
          </cell>
          <cell r="D273">
            <v>0</v>
          </cell>
          <cell r="E273" t="str">
            <v/>
          </cell>
        </row>
        <row r="274">
          <cell r="A274" t="str">
            <v>C163BP</v>
          </cell>
          <cell r="B274" t="str">
            <v>SKLADEM</v>
          </cell>
          <cell r="C274" t="str">
            <v/>
          </cell>
          <cell r="D274">
            <v>0</v>
          </cell>
          <cell r="E274" t="str">
            <v/>
          </cell>
        </row>
        <row r="275">
          <cell r="A275" t="str">
            <v>C163C</v>
          </cell>
          <cell r="B275" t="str">
            <v>VYPRODÁNO</v>
          </cell>
          <cell r="C275" t="str">
            <v/>
          </cell>
          <cell r="D275">
            <v>0</v>
          </cell>
          <cell r="E275" t="str">
            <v/>
          </cell>
        </row>
        <row r="276">
          <cell r="A276" t="str">
            <v>C163C E</v>
          </cell>
          <cell r="B276" t="str">
            <v>VYPRODÁNO</v>
          </cell>
          <cell r="C276" t="str">
            <v/>
          </cell>
          <cell r="D276">
            <v>0</v>
          </cell>
          <cell r="E276" t="str">
            <v/>
          </cell>
        </row>
        <row r="277">
          <cell r="A277" t="str">
            <v>C163C14</v>
          </cell>
          <cell r="B277" t="str">
            <v>VYPRODÁNO</v>
          </cell>
          <cell r="C277" t="str">
            <v/>
          </cell>
          <cell r="D277">
            <v>0</v>
          </cell>
          <cell r="E277" t="str">
            <v/>
          </cell>
        </row>
        <row r="278">
          <cell r="A278" t="str">
            <v>C163D</v>
          </cell>
          <cell r="B278" t="str">
            <v>VYPRODÁNO</v>
          </cell>
          <cell r="C278" t="str">
            <v/>
          </cell>
          <cell r="D278">
            <v>0</v>
          </cell>
          <cell r="E278" t="str">
            <v/>
          </cell>
        </row>
        <row r="279">
          <cell r="A279" t="str">
            <v>C163D14</v>
          </cell>
          <cell r="B279" t="str">
            <v>VYPRODÁNO</v>
          </cell>
          <cell r="C279" t="str">
            <v/>
          </cell>
          <cell r="D279">
            <v>0</v>
          </cell>
          <cell r="E279" t="str">
            <v/>
          </cell>
        </row>
        <row r="280">
          <cell r="A280" t="str">
            <v>C163E</v>
          </cell>
          <cell r="B280" t="str">
            <v>15.09.2024</v>
          </cell>
          <cell r="C280">
            <v>207</v>
          </cell>
          <cell r="D280">
            <v>0</v>
          </cell>
          <cell r="E280" t="str">
            <v/>
          </cell>
        </row>
        <row r="281">
          <cell r="A281" t="str">
            <v>C163E14</v>
          </cell>
          <cell r="B281" t="str">
            <v>VYPRODÁNO</v>
          </cell>
          <cell r="C281" t="str">
            <v/>
          </cell>
          <cell r="D281">
            <v>0</v>
          </cell>
          <cell r="E281" t="str">
            <v/>
          </cell>
        </row>
        <row r="282">
          <cell r="A282" t="str">
            <v>C163F</v>
          </cell>
          <cell r="B282" t="str">
            <v>VYPRODÁNO</v>
          </cell>
          <cell r="C282" t="str">
            <v/>
          </cell>
          <cell r="D282">
            <v>0</v>
          </cell>
          <cell r="E282" t="str">
            <v/>
          </cell>
        </row>
        <row r="283">
          <cell r="A283" t="str">
            <v>C163F E</v>
          </cell>
          <cell r="B283" t="str">
            <v>VYPRODÁNO</v>
          </cell>
          <cell r="C283" t="str">
            <v/>
          </cell>
          <cell r="D283">
            <v>0</v>
          </cell>
          <cell r="E283" t="str">
            <v/>
          </cell>
        </row>
        <row r="284">
          <cell r="A284" t="str">
            <v>C163G</v>
          </cell>
          <cell r="B284" t="str">
            <v>VYPRODÁNO</v>
          </cell>
          <cell r="C284" t="str">
            <v/>
          </cell>
          <cell r="D284">
            <v>0</v>
          </cell>
          <cell r="E284" t="str">
            <v/>
          </cell>
        </row>
        <row r="285">
          <cell r="A285" t="str">
            <v>C163G E</v>
          </cell>
          <cell r="B285" t="str">
            <v>VYPRODÁNO</v>
          </cell>
          <cell r="C285" t="str">
            <v/>
          </cell>
          <cell r="D285">
            <v>0</v>
          </cell>
          <cell r="E285" t="str">
            <v/>
          </cell>
        </row>
        <row r="286">
          <cell r="A286" t="str">
            <v>C163G14</v>
          </cell>
          <cell r="B286" t="str">
            <v>VYPRODÁNO</v>
          </cell>
          <cell r="C286" t="str">
            <v/>
          </cell>
          <cell r="D286">
            <v>0</v>
          </cell>
          <cell r="E286" t="str">
            <v/>
          </cell>
        </row>
        <row r="287">
          <cell r="A287" t="str">
            <v>C163H</v>
          </cell>
          <cell r="B287" t="str">
            <v>VYPRODÁNO</v>
          </cell>
          <cell r="C287" t="str">
            <v/>
          </cell>
          <cell r="D287">
            <v>0</v>
          </cell>
          <cell r="E287" t="str">
            <v/>
          </cell>
        </row>
        <row r="288">
          <cell r="A288" t="str">
            <v>C163H E</v>
          </cell>
          <cell r="B288" t="str">
            <v>VYPRODÁNO</v>
          </cell>
          <cell r="C288" t="str">
            <v/>
          </cell>
          <cell r="D288">
            <v>0</v>
          </cell>
          <cell r="E288" t="str">
            <v/>
          </cell>
        </row>
        <row r="289">
          <cell r="A289" t="str">
            <v>C163H14</v>
          </cell>
          <cell r="B289" t="str">
            <v>VYPRODÁNO</v>
          </cell>
          <cell r="C289" t="str">
            <v/>
          </cell>
          <cell r="D289">
            <v>0</v>
          </cell>
          <cell r="E289" t="str">
            <v/>
          </cell>
        </row>
        <row r="290">
          <cell r="A290" t="str">
            <v>C163I</v>
          </cell>
          <cell r="B290" t="str">
            <v>VYPRODÁNO</v>
          </cell>
          <cell r="C290" t="str">
            <v/>
          </cell>
          <cell r="D290">
            <v>0</v>
          </cell>
          <cell r="E290" t="str">
            <v/>
          </cell>
        </row>
        <row r="291">
          <cell r="A291" t="str">
            <v>C163I E</v>
          </cell>
          <cell r="B291" t="str">
            <v>VYPRODÁNO</v>
          </cell>
          <cell r="C291" t="str">
            <v/>
          </cell>
          <cell r="D291">
            <v>0</v>
          </cell>
          <cell r="E291" t="str">
            <v/>
          </cell>
        </row>
        <row r="292">
          <cell r="A292" t="str">
            <v>C163I14</v>
          </cell>
          <cell r="B292" t="str">
            <v>VYPRODÁNO</v>
          </cell>
          <cell r="C292" t="str">
            <v/>
          </cell>
          <cell r="D292">
            <v>0</v>
          </cell>
          <cell r="E292" t="str">
            <v/>
          </cell>
        </row>
        <row r="293">
          <cell r="A293" t="str">
            <v>C163K</v>
          </cell>
          <cell r="B293" t="str">
            <v>15.09.2024</v>
          </cell>
          <cell r="C293">
            <v>207</v>
          </cell>
          <cell r="D293">
            <v>0</v>
          </cell>
          <cell r="E293" t="str">
            <v/>
          </cell>
        </row>
        <row r="294">
          <cell r="A294" t="str">
            <v>C163K14</v>
          </cell>
          <cell r="B294" t="str">
            <v>VYPRODÁNO</v>
          </cell>
          <cell r="C294" t="str">
            <v/>
          </cell>
          <cell r="D294">
            <v>0</v>
          </cell>
          <cell r="E294" t="str">
            <v/>
          </cell>
        </row>
        <row r="295">
          <cell r="A295" t="str">
            <v>C163L</v>
          </cell>
          <cell r="B295" t="str">
            <v>15.09.2024</v>
          </cell>
          <cell r="C295">
            <v>207</v>
          </cell>
          <cell r="D295">
            <v>0</v>
          </cell>
          <cell r="E295" t="str">
            <v/>
          </cell>
        </row>
        <row r="296">
          <cell r="A296" t="str">
            <v>C163L E</v>
          </cell>
          <cell r="B296" t="str">
            <v>VYPRODÁNO</v>
          </cell>
          <cell r="C296" t="str">
            <v/>
          </cell>
          <cell r="D296">
            <v>0</v>
          </cell>
          <cell r="E296" t="str">
            <v/>
          </cell>
        </row>
        <row r="297">
          <cell r="A297" t="str">
            <v>C163L/P</v>
          </cell>
          <cell r="B297" t="str">
            <v>VYPRODÁNO</v>
          </cell>
          <cell r="C297" t="str">
            <v/>
          </cell>
          <cell r="D297">
            <v>0</v>
          </cell>
          <cell r="E297" t="str">
            <v/>
          </cell>
        </row>
        <row r="298">
          <cell r="A298" t="str">
            <v>C163L14</v>
          </cell>
          <cell r="B298" t="str">
            <v>VYPRODÁNO</v>
          </cell>
          <cell r="C298" t="str">
            <v/>
          </cell>
          <cell r="D298">
            <v>0</v>
          </cell>
          <cell r="E298" t="str">
            <v/>
          </cell>
        </row>
        <row r="299">
          <cell r="A299" t="str">
            <v>C163R</v>
          </cell>
          <cell r="B299" t="str">
            <v>VYPRODÁNO</v>
          </cell>
          <cell r="C299" t="str">
            <v/>
          </cell>
          <cell r="D299">
            <v>0</v>
          </cell>
          <cell r="E299" t="str">
            <v/>
          </cell>
        </row>
        <row r="300">
          <cell r="A300" t="str">
            <v>C163R E</v>
          </cell>
          <cell r="B300" t="str">
            <v>VYPRODÁNO</v>
          </cell>
          <cell r="C300" t="str">
            <v/>
          </cell>
          <cell r="D300">
            <v>0</v>
          </cell>
          <cell r="E300" t="str">
            <v/>
          </cell>
        </row>
        <row r="301">
          <cell r="A301" t="str">
            <v>C163R14</v>
          </cell>
          <cell r="B301" t="str">
            <v>VYPRODÁNO</v>
          </cell>
          <cell r="C301" t="str">
            <v/>
          </cell>
          <cell r="D301">
            <v>0</v>
          </cell>
          <cell r="E301" t="str">
            <v/>
          </cell>
        </row>
        <row r="302">
          <cell r="A302" t="str">
            <v>C163S</v>
          </cell>
          <cell r="B302" t="str">
            <v>VYPRODÁNO</v>
          </cell>
          <cell r="C302" t="str">
            <v/>
          </cell>
          <cell r="D302">
            <v>0</v>
          </cell>
          <cell r="E302" t="str">
            <v/>
          </cell>
        </row>
        <row r="303">
          <cell r="A303" t="str">
            <v>C163S E</v>
          </cell>
          <cell r="B303" t="str">
            <v>VYPRODÁNO</v>
          </cell>
          <cell r="C303" t="str">
            <v/>
          </cell>
          <cell r="D303">
            <v>0</v>
          </cell>
          <cell r="E303" t="str">
            <v/>
          </cell>
        </row>
        <row r="304">
          <cell r="A304" t="str">
            <v>C163S14</v>
          </cell>
          <cell r="B304" t="str">
            <v>VYPRODÁNO</v>
          </cell>
          <cell r="C304" t="str">
            <v/>
          </cell>
          <cell r="D304">
            <v>0</v>
          </cell>
          <cell r="E304" t="str">
            <v/>
          </cell>
        </row>
        <row r="305">
          <cell r="A305" t="str">
            <v>C163SIG</v>
          </cell>
          <cell r="B305" t="str">
            <v>30.04.2024</v>
          </cell>
          <cell r="C305">
            <v>69</v>
          </cell>
          <cell r="D305">
            <v>0</v>
          </cell>
          <cell r="E305" t="str">
            <v/>
          </cell>
        </row>
        <row r="306">
          <cell r="A306" t="str">
            <v>C163SIGI14</v>
          </cell>
          <cell r="B306" t="str">
            <v>VYPRODÁNO</v>
          </cell>
          <cell r="C306" t="str">
            <v/>
          </cell>
          <cell r="D306">
            <v>0</v>
          </cell>
          <cell r="E306" t="str">
            <v/>
          </cell>
        </row>
        <row r="307">
          <cell r="A307" t="str">
            <v>C165BR</v>
          </cell>
          <cell r="B307" t="str">
            <v>VYPRODÁNO</v>
          </cell>
          <cell r="C307" t="str">
            <v/>
          </cell>
          <cell r="D307">
            <v>0</v>
          </cell>
          <cell r="E307" t="str">
            <v/>
          </cell>
        </row>
        <row r="308">
          <cell r="A308" t="str">
            <v>C165CC</v>
          </cell>
          <cell r="B308" t="str">
            <v>VYPRODÁNO</v>
          </cell>
          <cell r="C308" t="str">
            <v/>
          </cell>
          <cell r="D308">
            <v>0</v>
          </cell>
          <cell r="E308" t="str">
            <v/>
          </cell>
        </row>
        <row r="309">
          <cell r="A309" t="str">
            <v>C165CD</v>
          </cell>
          <cell r="B309" t="str">
            <v>VYPRODÁNO</v>
          </cell>
          <cell r="C309" t="str">
            <v/>
          </cell>
          <cell r="D309">
            <v>0</v>
          </cell>
          <cell r="E309" t="str">
            <v/>
          </cell>
        </row>
        <row r="310">
          <cell r="A310" t="str">
            <v>C165D</v>
          </cell>
          <cell r="B310" t="str">
            <v>VYPRODÁNO</v>
          </cell>
          <cell r="C310" t="str">
            <v/>
          </cell>
          <cell r="D310">
            <v>0</v>
          </cell>
          <cell r="E310" t="str">
            <v/>
          </cell>
        </row>
        <row r="311">
          <cell r="A311" t="str">
            <v>C165D E</v>
          </cell>
          <cell r="B311" t="str">
            <v>VYPRODÁNO</v>
          </cell>
          <cell r="C311" t="str">
            <v/>
          </cell>
          <cell r="D311">
            <v>0</v>
          </cell>
          <cell r="E311" t="str">
            <v/>
          </cell>
        </row>
        <row r="312">
          <cell r="A312" t="str">
            <v>C165DC</v>
          </cell>
          <cell r="B312" t="str">
            <v>VYPRODÁNO</v>
          </cell>
          <cell r="C312" t="str">
            <v/>
          </cell>
          <cell r="D312">
            <v>0</v>
          </cell>
          <cell r="E312" t="str">
            <v/>
          </cell>
        </row>
        <row r="313">
          <cell r="A313" t="str">
            <v>C165FF</v>
          </cell>
          <cell r="B313" t="str">
            <v>VYPRODÁNO</v>
          </cell>
          <cell r="C313" t="str">
            <v/>
          </cell>
          <cell r="D313">
            <v>0</v>
          </cell>
          <cell r="E313" t="str">
            <v/>
          </cell>
        </row>
        <row r="314">
          <cell r="A314" t="str">
            <v>C165CH</v>
          </cell>
          <cell r="B314" t="str">
            <v>VYPRODÁNO</v>
          </cell>
          <cell r="C314" t="str">
            <v/>
          </cell>
          <cell r="D314">
            <v>0</v>
          </cell>
          <cell r="E314" t="str">
            <v/>
          </cell>
        </row>
        <row r="315">
          <cell r="A315" t="str">
            <v>C165JA</v>
          </cell>
          <cell r="B315" t="str">
            <v>SKLADEM</v>
          </cell>
          <cell r="C315" t="str">
            <v/>
          </cell>
          <cell r="D315">
            <v>0</v>
          </cell>
          <cell r="E315" t="str">
            <v/>
          </cell>
        </row>
        <row r="316">
          <cell r="A316" t="str">
            <v>C165JE</v>
          </cell>
          <cell r="B316" t="str">
            <v>VYPRODÁNO</v>
          </cell>
          <cell r="C316" t="str">
            <v/>
          </cell>
          <cell r="D316">
            <v>0</v>
          </cell>
          <cell r="E316" t="str">
            <v/>
          </cell>
        </row>
        <row r="317">
          <cell r="A317" t="str">
            <v>C165P</v>
          </cell>
          <cell r="B317" t="str">
            <v>SKLADEM</v>
          </cell>
          <cell r="C317" t="str">
            <v/>
          </cell>
          <cell r="D317">
            <v>0</v>
          </cell>
          <cell r="E317" t="str">
            <v/>
          </cell>
        </row>
        <row r="318">
          <cell r="A318" t="str">
            <v>C165P E</v>
          </cell>
          <cell r="B318" t="str">
            <v>SKLADEM</v>
          </cell>
          <cell r="C318" t="str">
            <v/>
          </cell>
          <cell r="D318">
            <v>0</v>
          </cell>
          <cell r="E318" t="str">
            <v/>
          </cell>
        </row>
        <row r="319">
          <cell r="A319" t="str">
            <v>C165RC</v>
          </cell>
          <cell r="B319" t="str">
            <v>VYPRODÁNO</v>
          </cell>
          <cell r="C319" t="str">
            <v/>
          </cell>
          <cell r="D319">
            <v>0</v>
          </cell>
          <cell r="E319" t="str">
            <v/>
          </cell>
        </row>
        <row r="320">
          <cell r="A320" t="str">
            <v>C165RW</v>
          </cell>
          <cell r="B320" t="str">
            <v>VYPRODÁNO</v>
          </cell>
          <cell r="C320" t="str">
            <v/>
          </cell>
          <cell r="D320">
            <v>0</v>
          </cell>
          <cell r="E320" t="str">
            <v/>
          </cell>
        </row>
        <row r="321">
          <cell r="A321" t="str">
            <v>C165SW</v>
          </cell>
          <cell r="B321" t="str">
            <v>VYPRODÁNO</v>
          </cell>
          <cell r="C321" t="str">
            <v/>
          </cell>
          <cell r="D321">
            <v>0</v>
          </cell>
          <cell r="E321" t="str">
            <v/>
          </cell>
        </row>
        <row r="322">
          <cell r="A322" t="str">
            <v>C165T</v>
          </cell>
          <cell r="B322" t="str">
            <v>VYPRODÁNO</v>
          </cell>
          <cell r="C322" t="str">
            <v/>
          </cell>
          <cell r="D322">
            <v>0</v>
          </cell>
          <cell r="E322" t="str">
            <v/>
          </cell>
        </row>
        <row r="323">
          <cell r="A323" t="str">
            <v>C165TI</v>
          </cell>
          <cell r="B323" t="str">
            <v>VYPRODÁNO</v>
          </cell>
          <cell r="C323" t="str">
            <v/>
          </cell>
          <cell r="D323">
            <v>0</v>
          </cell>
          <cell r="E323" t="str">
            <v/>
          </cell>
        </row>
        <row r="324">
          <cell r="A324" t="str">
            <v>C1675P</v>
          </cell>
          <cell r="B324" t="str">
            <v>VYPRODÁNO</v>
          </cell>
          <cell r="C324" t="str">
            <v/>
          </cell>
          <cell r="D324">
            <v>0</v>
          </cell>
          <cell r="E324" t="str">
            <v/>
          </cell>
        </row>
        <row r="325">
          <cell r="A325" t="str">
            <v>C1675V</v>
          </cell>
          <cell r="B325" t="str">
            <v>VYPRODÁNO</v>
          </cell>
          <cell r="C325" t="str">
            <v/>
          </cell>
          <cell r="D325">
            <v>0</v>
          </cell>
          <cell r="E325" t="str">
            <v/>
          </cell>
        </row>
        <row r="326">
          <cell r="A326" t="str">
            <v>C168MF/C</v>
          </cell>
          <cell r="B326" t="str">
            <v>VYPRODÁNO</v>
          </cell>
          <cell r="C326" t="str">
            <v/>
          </cell>
          <cell r="D326">
            <v>0</v>
          </cell>
          <cell r="E326" t="str">
            <v/>
          </cell>
        </row>
        <row r="327">
          <cell r="A327" t="str">
            <v>C168MF/C(T)</v>
          </cell>
          <cell r="B327" t="str">
            <v>VYPRODÁNO</v>
          </cell>
          <cell r="C327" t="str">
            <v/>
          </cell>
          <cell r="D327">
            <v>0</v>
          </cell>
          <cell r="E327" t="str">
            <v/>
          </cell>
        </row>
        <row r="328">
          <cell r="A328" t="str">
            <v>C168MP/C</v>
          </cell>
          <cell r="B328" t="str">
            <v>VYPRODÁNO</v>
          </cell>
          <cell r="C328" t="str">
            <v/>
          </cell>
          <cell r="D328">
            <v>0</v>
          </cell>
          <cell r="E328" t="str">
            <v/>
          </cell>
        </row>
        <row r="329">
          <cell r="A329" t="str">
            <v>C168MR</v>
          </cell>
          <cell r="B329" t="str">
            <v>VYPRODÁNO</v>
          </cell>
          <cell r="C329" t="str">
            <v/>
          </cell>
          <cell r="D329">
            <v>0</v>
          </cell>
          <cell r="E329" t="str">
            <v/>
          </cell>
        </row>
        <row r="330">
          <cell r="A330" t="str">
            <v>C175MA</v>
          </cell>
          <cell r="B330" t="str">
            <v>VYPRODÁNO</v>
          </cell>
          <cell r="C330" t="str">
            <v/>
          </cell>
          <cell r="D330">
            <v>0</v>
          </cell>
          <cell r="E330" t="str">
            <v/>
          </cell>
        </row>
        <row r="331">
          <cell r="A331" t="str">
            <v>C175MF/C</v>
          </cell>
          <cell r="B331" t="str">
            <v>SKLADEM</v>
          </cell>
          <cell r="C331" t="str">
            <v/>
          </cell>
          <cell r="D331">
            <v>0</v>
          </cell>
          <cell r="E331" t="str">
            <v/>
          </cell>
        </row>
        <row r="332">
          <cell r="A332" t="str">
            <v>C175MF/C(T)</v>
          </cell>
          <cell r="B332" t="str">
            <v>SKLADEM</v>
          </cell>
          <cell r="C332" t="str">
            <v/>
          </cell>
          <cell r="D332">
            <v>0</v>
          </cell>
          <cell r="E332" t="str">
            <v/>
          </cell>
        </row>
        <row r="333">
          <cell r="A333" t="str">
            <v>C175MSIG/C</v>
          </cell>
          <cell r="B333" t="str">
            <v>15.09.2024</v>
          </cell>
          <cell r="C333">
            <v>207</v>
          </cell>
          <cell r="D333">
            <v>0</v>
          </cell>
          <cell r="E333" t="str">
            <v/>
          </cell>
        </row>
        <row r="334">
          <cell r="A334" t="str">
            <v>C175MSIG/C E</v>
          </cell>
          <cell r="B334" t="str">
            <v>VYPRODÁNO</v>
          </cell>
          <cell r="C334" t="str">
            <v/>
          </cell>
          <cell r="D334">
            <v>0</v>
          </cell>
          <cell r="E334" t="str">
            <v/>
          </cell>
        </row>
        <row r="335">
          <cell r="A335" t="str">
            <v>C175MSIG/C(T)</v>
          </cell>
          <cell r="B335" t="str">
            <v>15.09.2024</v>
          </cell>
          <cell r="C335">
            <v>207</v>
          </cell>
          <cell r="D335">
            <v>0</v>
          </cell>
          <cell r="E335" t="str">
            <v/>
          </cell>
        </row>
        <row r="336">
          <cell r="A336" t="str">
            <v>C175MZ/C</v>
          </cell>
          <cell r="B336" t="str">
            <v>VYPRODÁNO</v>
          </cell>
          <cell r="C336" t="str">
            <v/>
          </cell>
          <cell r="D336">
            <v>0</v>
          </cell>
          <cell r="E336" t="str">
            <v/>
          </cell>
        </row>
        <row r="337">
          <cell r="A337" t="str">
            <v>C17625Z</v>
          </cell>
          <cell r="B337" t="str">
            <v>VYPRODÁNO</v>
          </cell>
          <cell r="C337" t="str">
            <v/>
          </cell>
          <cell r="D337">
            <v>0</v>
          </cell>
          <cell r="E337" t="str">
            <v/>
          </cell>
        </row>
        <row r="338">
          <cell r="A338" t="str">
            <v>C17825W/C</v>
          </cell>
          <cell r="B338" t="str">
            <v>SKLADEM</v>
          </cell>
          <cell r="C338" t="str">
            <v/>
          </cell>
          <cell r="D338">
            <v>0</v>
          </cell>
          <cell r="E338" t="str">
            <v/>
          </cell>
        </row>
        <row r="339">
          <cell r="A339" t="str">
            <v>C17825W/C E</v>
          </cell>
          <cell r="B339" t="str">
            <v>VYPRODÁNO</v>
          </cell>
          <cell r="C339" t="str">
            <v/>
          </cell>
          <cell r="D339">
            <v>0</v>
          </cell>
          <cell r="E339" t="str">
            <v/>
          </cell>
        </row>
        <row r="340">
          <cell r="A340" t="str">
            <v>C17825W/C(T)</v>
          </cell>
          <cell r="B340" t="str">
            <v>SKLADEM</v>
          </cell>
          <cell r="C340" t="str">
            <v/>
          </cell>
          <cell r="D340">
            <v>0</v>
          </cell>
          <cell r="E340" t="str">
            <v/>
          </cell>
        </row>
        <row r="341">
          <cell r="A341" t="str">
            <v>C17825W/C14</v>
          </cell>
          <cell r="B341" t="str">
            <v>VYPRODÁNO</v>
          </cell>
          <cell r="C341" t="str">
            <v/>
          </cell>
          <cell r="D341">
            <v>0</v>
          </cell>
          <cell r="E341" t="str">
            <v/>
          </cell>
        </row>
        <row r="342">
          <cell r="A342" t="str">
            <v>C18020SIG/C</v>
          </cell>
          <cell r="B342" t="str">
            <v>SKLADEM</v>
          </cell>
          <cell r="C342" t="str">
            <v/>
          </cell>
          <cell r="D342">
            <v>0</v>
          </cell>
          <cell r="E342" t="str">
            <v/>
          </cell>
        </row>
        <row r="343">
          <cell r="A343" t="str">
            <v>C18020SIG/C(T)</v>
          </cell>
          <cell r="B343" t="str">
            <v>SKLADEM</v>
          </cell>
          <cell r="C343" t="str">
            <v/>
          </cell>
          <cell r="D343">
            <v>0</v>
          </cell>
          <cell r="E343" t="str">
            <v/>
          </cell>
        </row>
        <row r="344">
          <cell r="A344" t="str">
            <v>C180MA</v>
          </cell>
          <cell r="B344" t="str">
            <v>VYPRODÁNO</v>
          </cell>
          <cell r="C344" t="str">
            <v/>
          </cell>
          <cell r="D344">
            <v>0</v>
          </cell>
          <cell r="E344" t="str">
            <v/>
          </cell>
        </row>
        <row r="345">
          <cell r="A345" t="str">
            <v>C188MF/C</v>
          </cell>
          <cell r="B345" t="str">
            <v>VYPRODÁNO</v>
          </cell>
          <cell r="C345" t="str">
            <v/>
          </cell>
          <cell r="D345">
            <v>0</v>
          </cell>
          <cell r="E345" t="str">
            <v/>
          </cell>
        </row>
        <row r="346">
          <cell r="A346" t="str">
            <v>C188MF/C(T)</v>
          </cell>
          <cell r="B346" t="str">
            <v>VYPRODÁNO</v>
          </cell>
          <cell r="C346" t="str">
            <v/>
          </cell>
          <cell r="D346">
            <v>0</v>
          </cell>
          <cell r="E346" t="str">
            <v/>
          </cell>
        </row>
        <row r="347">
          <cell r="A347" t="str">
            <v>C188MP</v>
          </cell>
          <cell r="B347" t="str">
            <v>VYPRODÁNO</v>
          </cell>
          <cell r="C347" t="str">
            <v/>
          </cell>
          <cell r="D347">
            <v>0</v>
          </cell>
          <cell r="E347" t="str">
            <v/>
          </cell>
        </row>
        <row r="348">
          <cell r="A348" t="str">
            <v>C188MP/C</v>
          </cell>
          <cell r="B348" t="str">
            <v>VYPRODÁNO</v>
          </cell>
          <cell r="C348" t="str">
            <v/>
          </cell>
          <cell r="D348">
            <v>0</v>
          </cell>
          <cell r="E348" t="str">
            <v/>
          </cell>
        </row>
        <row r="349">
          <cell r="A349" t="str">
            <v>C188MR</v>
          </cell>
          <cell r="B349" t="str">
            <v>VYPRODÁNO</v>
          </cell>
          <cell r="C349" t="str">
            <v/>
          </cell>
          <cell r="D349">
            <v>0</v>
          </cell>
          <cell r="E349" t="str">
            <v/>
          </cell>
        </row>
        <row r="350">
          <cell r="A350" t="str">
            <v>C188MR/C</v>
          </cell>
          <cell r="B350" t="str">
            <v>VYPRODÁNO</v>
          </cell>
          <cell r="C350" t="str">
            <v/>
          </cell>
          <cell r="D350">
            <v>0</v>
          </cell>
          <cell r="E350" t="str">
            <v/>
          </cell>
        </row>
        <row r="351">
          <cell r="A351" t="str">
            <v>C19220F/C</v>
          </cell>
          <cell r="B351" t="str">
            <v>SKLADEM</v>
          </cell>
          <cell r="C351" t="str">
            <v/>
          </cell>
          <cell r="D351" t="str">
            <v>100+</v>
          </cell>
          <cell r="E351" t="str">
            <v/>
          </cell>
        </row>
        <row r="352">
          <cell r="A352" t="str">
            <v>C19220F/C(T)</v>
          </cell>
          <cell r="B352" t="str">
            <v>SKLADEM</v>
          </cell>
          <cell r="C352" t="str">
            <v/>
          </cell>
          <cell r="D352">
            <v>0</v>
          </cell>
          <cell r="E352" t="str">
            <v/>
          </cell>
        </row>
        <row r="353">
          <cell r="A353" t="str">
            <v>C19220F/C14</v>
          </cell>
          <cell r="B353" t="str">
            <v>SKLADEM</v>
          </cell>
          <cell r="C353" t="str">
            <v/>
          </cell>
          <cell r="D353">
            <v>0</v>
          </cell>
          <cell r="E353" t="str">
            <v/>
          </cell>
        </row>
        <row r="354">
          <cell r="A354" t="str">
            <v>C19220F/C14 E</v>
          </cell>
          <cell r="B354" t="str">
            <v>VYPRODÁNO</v>
          </cell>
          <cell r="C354" t="str">
            <v/>
          </cell>
          <cell r="D354">
            <v>0</v>
          </cell>
          <cell r="E354" t="str">
            <v/>
          </cell>
        </row>
        <row r="355">
          <cell r="A355" t="str">
            <v>C19220F/C14(T)</v>
          </cell>
          <cell r="B355" t="str">
            <v>SKLADEM</v>
          </cell>
          <cell r="C355" t="str">
            <v/>
          </cell>
          <cell r="D355">
            <v>0</v>
          </cell>
          <cell r="E355" t="str">
            <v/>
          </cell>
        </row>
        <row r="356">
          <cell r="A356" t="str">
            <v>C19225MF/C14</v>
          </cell>
          <cell r="B356" t="str">
            <v>SKLADEM</v>
          </cell>
          <cell r="C356" t="str">
            <v/>
          </cell>
          <cell r="D356">
            <v>0</v>
          </cell>
          <cell r="E356" t="str">
            <v/>
          </cell>
        </row>
        <row r="357">
          <cell r="A357" t="str">
            <v>C19225MF/C14 E</v>
          </cell>
          <cell r="B357" t="str">
            <v>VYPRODÁNO</v>
          </cell>
          <cell r="C357" t="str">
            <v/>
          </cell>
          <cell r="D357">
            <v>0</v>
          </cell>
          <cell r="E357" t="str">
            <v/>
          </cell>
        </row>
        <row r="358">
          <cell r="A358" t="str">
            <v>C19225MF/C14(T)</v>
          </cell>
          <cell r="B358" t="str">
            <v>SKLADEM</v>
          </cell>
          <cell r="C358" t="str">
            <v/>
          </cell>
          <cell r="D358">
            <v>0</v>
          </cell>
          <cell r="E358" t="str">
            <v/>
          </cell>
        </row>
        <row r="359">
          <cell r="A359" t="str">
            <v>C1923MZ</v>
          </cell>
          <cell r="B359" t="str">
            <v>VYPRODÁNO</v>
          </cell>
          <cell r="C359" t="str">
            <v/>
          </cell>
          <cell r="D359">
            <v>0</v>
          </cell>
          <cell r="E359" t="str">
            <v/>
          </cell>
        </row>
        <row r="360">
          <cell r="A360" t="str">
            <v>C1923XMF/C</v>
          </cell>
          <cell r="B360" t="str">
            <v>SKLADEM</v>
          </cell>
          <cell r="C360" t="str">
            <v/>
          </cell>
          <cell r="D360">
            <v>0</v>
          </cell>
          <cell r="E360" t="str">
            <v/>
          </cell>
        </row>
        <row r="361">
          <cell r="A361" t="str">
            <v>C1923XMZ2</v>
          </cell>
          <cell r="B361" t="str">
            <v>VYPRODÁNO</v>
          </cell>
          <cell r="C361" t="str">
            <v/>
          </cell>
          <cell r="D361">
            <v>0</v>
          </cell>
          <cell r="E361" t="str">
            <v/>
          </cell>
        </row>
        <row r="362">
          <cell r="A362" t="str">
            <v>C1923Z</v>
          </cell>
          <cell r="B362" t="str">
            <v>VYPRODÁNO</v>
          </cell>
          <cell r="C362" t="str">
            <v/>
          </cell>
          <cell r="D362">
            <v>0</v>
          </cell>
          <cell r="E362" t="str">
            <v/>
          </cell>
        </row>
        <row r="363">
          <cell r="A363" t="str">
            <v>C192MSIG/C</v>
          </cell>
          <cell r="B363" t="str">
            <v>VYPRODÁNO</v>
          </cell>
          <cell r="C363" t="str">
            <v/>
          </cell>
          <cell r="D363">
            <v>0</v>
          </cell>
          <cell r="E363" t="str">
            <v/>
          </cell>
        </row>
        <row r="364">
          <cell r="A364" t="str">
            <v>C192MSIG/C(T)</v>
          </cell>
          <cell r="B364" t="str">
            <v>VYPRODÁNO</v>
          </cell>
          <cell r="C364" t="str">
            <v/>
          </cell>
          <cell r="D364">
            <v>0</v>
          </cell>
          <cell r="E364" t="str">
            <v/>
          </cell>
        </row>
        <row r="365">
          <cell r="A365" t="str">
            <v>C193A</v>
          </cell>
          <cell r="B365" t="str">
            <v>VYPRODÁNO</v>
          </cell>
          <cell r="C365" t="str">
            <v/>
          </cell>
          <cell r="D365">
            <v>0</v>
          </cell>
          <cell r="E365" t="str">
            <v/>
          </cell>
        </row>
        <row r="366">
          <cell r="A366" t="str">
            <v>C193A E</v>
          </cell>
          <cell r="B366" t="str">
            <v>VYPRODÁNO</v>
          </cell>
          <cell r="C366" t="str">
            <v/>
          </cell>
          <cell r="D366">
            <v>0</v>
          </cell>
          <cell r="E366" t="str">
            <v/>
          </cell>
        </row>
        <row r="367">
          <cell r="A367" t="str">
            <v>C193A14</v>
          </cell>
          <cell r="B367" t="str">
            <v>VYPRODÁNO</v>
          </cell>
          <cell r="C367" t="str">
            <v/>
          </cell>
          <cell r="D367">
            <v>0</v>
          </cell>
          <cell r="E367" t="str">
            <v/>
          </cell>
        </row>
        <row r="368">
          <cell r="A368" t="str">
            <v>C193B E</v>
          </cell>
          <cell r="B368" t="str">
            <v>VYPRODÁNO</v>
          </cell>
          <cell r="C368" t="str">
            <v/>
          </cell>
          <cell r="D368">
            <v>0</v>
          </cell>
          <cell r="E368" t="str">
            <v/>
          </cell>
        </row>
        <row r="369">
          <cell r="A369" t="str">
            <v>C193BP</v>
          </cell>
          <cell r="B369" t="str">
            <v>SKLADEM</v>
          </cell>
          <cell r="C369" t="str">
            <v/>
          </cell>
          <cell r="D369">
            <v>0</v>
          </cell>
          <cell r="E369" t="str">
            <v/>
          </cell>
        </row>
        <row r="370">
          <cell r="A370" t="str">
            <v>C193C</v>
          </cell>
          <cell r="B370" t="str">
            <v>SKLADEM</v>
          </cell>
          <cell r="C370" t="str">
            <v/>
          </cell>
          <cell r="D370">
            <v>0</v>
          </cell>
          <cell r="E370" t="str">
            <v/>
          </cell>
        </row>
        <row r="371">
          <cell r="A371" t="str">
            <v>C193C14</v>
          </cell>
          <cell r="B371" t="str">
            <v>VYPRODÁNO</v>
          </cell>
          <cell r="C371" t="str">
            <v/>
          </cell>
          <cell r="D371">
            <v>0</v>
          </cell>
          <cell r="E371" t="str">
            <v/>
          </cell>
        </row>
        <row r="372">
          <cell r="A372" t="str">
            <v>C193D</v>
          </cell>
          <cell r="B372" t="str">
            <v>SKLADEM</v>
          </cell>
          <cell r="C372" t="str">
            <v/>
          </cell>
          <cell r="D372">
            <v>0</v>
          </cell>
          <cell r="E372" t="str">
            <v/>
          </cell>
        </row>
        <row r="373">
          <cell r="A373" t="str">
            <v>C193D E</v>
          </cell>
          <cell r="B373" t="str">
            <v>VYPRODÁNO</v>
          </cell>
          <cell r="C373" t="str">
            <v/>
          </cell>
          <cell r="D373">
            <v>0</v>
          </cell>
          <cell r="E373" t="str">
            <v/>
          </cell>
        </row>
        <row r="374">
          <cell r="A374" t="str">
            <v>C193D14</v>
          </cell>
          <cell r="B374" t="str">
            <v>VYPRODÁNO</v>
          </cell>
          <cell r="C374" t="str">
            <v/>
          </cell>
          <cell r="D374">
            <v>0</v>
          </cell>
          <cell r="E374" t="str">
            <v/>
          </cell>
        </row>
        <row r="375">
          <cell r="A375" t="str">
            <v>C193E</v>
          </cell>
          <cell r="B375" t="str">
            <v>VYPRODÁNO</v>
          </cell>
          <cell r="C375" t="str">
            <v/>
          </cell>
          <cell r="D375">
            <v>0</v>
          </cell>
          <cell r="E375" t="str">
            <v/>
          </cell>
        </row>
        <row r="376">
          <cell r="A376" t="str">
            <v>C193E14</v>
          </cell>
          <cell r="B376" t="str">
            <v>VYPRODÁNO</v>
          </cell>
          <cell r="C376" t="str">
            <v/>
          </cell>
          <cell r="D376">
            <v>0</v>
          </cell>
          <cell r="E376" t="str">
            <v/>
          </cell>
        </row>
        <row r="377">
          <cell r="A377" t="str">
            <v>C193F</v>
          </cell>
          <cell r="B377" t="str">
            <v>SKLADEM</v>
          </cell>
          <cell r="C377" t="str">
            <v/>
          </cell>
          <cell r="D377">
            <v>0</v>
          </cell>
          <cell r="E377" t="str">
            <v/>
          </cell>
        </row>
        <row r="378">
          <cell r="A378" t="str">
            <v>C193F14</v>
          </cell>
          <cell r="B378" t="str">
            <v>VYPRODÁNO</v>
          </cell>
          <cell r="C378" t="str">
            <v/>
          </cell>
          <cell r="D378">
            <v>0</v>
          </cell>
          <cell r="E378" t="str">
            <v/>
          </cell>
        </row>
        <row r="379">
          <cell r="A379" t="str">
            <v>C193G</v>
          </cell>
          <cell r="B379" t="str">
            <v>VYPRODÁNO</v>
          </cell>
          <cell r="C379" t="str">
            <v/>
          </cell>
          <cell r="D379">
            <v>0</v>
          </cell>
          <cell r="E379" t="str">
            <v/>
          </cell>
        </row>
        <row r="380">
          <cell r="A380" t="str">
            <v>C193H</v>
          </cell>
          <cell r="B380" t="str">
            <v>VYPRODÁNO</v>
          </cell>
          <cell r="C380" t="str">
            <v/>
          </cell>
          <cell r="D380">
            <v>0</v>
          </cell>
          <cell r="E380" t="str">
            <v/>
          </cell>
        </row>
        <row r="381">
          <cell r="A381" t="str">
            <v>C193H E</v>
          </cell>
          <cell r="B381" t="str">
            <v>VYPRODÁNO</v>
          </cell>
          <cell r="C381" t="str">
            <v/>
          </cell>
          <cell r="D381">
            <v>0</v>
          </cell>
          <cell r="E381" t="str">
            <v/>
          </cell>
        </row>
        <row r="382">
          <cell r="A382" t="str">
            <v>C193H14</v>
          </cell>
          <cell r="B382" t="str">
            <v>VYPRODÁNO</v>
          </cell>
          <cell r="C382" t="str">
            <v/>
          </cell>
          <cell r="D382">
            <v>0</v>
          </cell>
          <cell r="E382" t="str">
            <v/>
          </cell>
        </row>
        <row r="383">
          <cell r="A383" t="str">
            <v>C193I</v>
          </cell>
          <cell r="B383" t="str">
            <v>SKLADEM</v>
          </cell>
          <cell r="C383" t="str">
            <v/>
          </cell>
          <cell r="D383">
            <v>0</v>
          </cell>
          <cell r="E383" t="str">
            <v/>
          </cell>
        </row>
        <row r="384">
          <cell r="A384" t="str">
            <v>C193I14</v>
          </cell>
          <cell r="B384" t="str">
            <v>VYPRODÁNO</v>
          </cell>
          <cell r="C384" t="str">
            <v/>
          </cell>
          <cell r="D384">
            <v>0</v>
          </cell>
          <cell r="E384" t="str">
            <v/>
          </cell>
        </row>
        <row r="385">
          <cell r="A385" t="str">
            <v>C193J</v>
          </cell>
          <cell r="B385" t="str">
            <v>SKLADEM</v>
          </cell>
          <cell r="C385" t="str">
            <v/>
          </cell>
          <cell r="D385">
            <v>0</v>
          </cell>
          <cell r="E385" t="str">
            <v/>
          </cell>
        </row>
        <row r="386">
          <cell r="A386" t="str">
            <v>C193J14</v>
          </cell>
          <cell r="B386" t="str">
            <v>VYPRODÁNO</v>
          </cell>
          <cell r="C386" t="str">
            <v/>
          </cell>
          <cell r="D386">
            <v>0</v>
          </cell>
          <cell r="E386" t="str">
            <v/>
          </cell>
        </row>
        <row r="387">
          <cell r="A387" t="str">
            <v>C193KA</v>
          </cell>
          <cell r="B387" t="str">
            <v>VYPRODÁNO</v>
          </cell>
          <cell r="C387" t="str">
            <v/>
          </cell>
          <cell r="D387">
            <v>0</v>
          </cell>
          <cell r="E387" t="str">
            <v/>
          </cell>
        </row>
        <row r="388">
          <cell r="A388" t="str">
            <v>C193W</v>
          </cell>
          <cell r="B388" t="str">
            <v>VYPRODÁNO</v>
          </cell>
          <cell r="C388" t="str">
            <v/>
          </cell>
          <cell r="D388">
            <v>0</v>
          </cell>
          <cell r="E388" t="str">
            <v/>
          </cell>
        </row>
        <row r="389">
          <cell r="A389" t="str">
            <v>C193W E</v>
          </cell>
          <cell r="B389" t="str">
            <v>VYPRODÁNO</v>
          </cell>
          <cell r="C389" t="str">
            <v/>
          </cell>
          <cell r="D389">
            <v>0</v>
          </cell>
          <cell r="E389" t="str">
            <v/>
          </cell>
        </row>
        <row r="390">
          <cell r="A390" t="str">
            <v>C193W14</v>
          </cell>
          <cell r="B390" t="str">
            <v>VYPRODÁNO</v>
          </cell>
          <cell r="C390" t="str">
            <v/>
          </cell>
          <cell r="D390">
            <v>0</v>
          </cell>
          <cell r="E390" t="str">
            <v/>
          </cell>
        </row>
        <row r="391">
          <cell r="A391" t="str">
            <v>C19620SIG/C</v>
          </cell>
          <cell r="B391" t="str">
            <v>SKLADEM</v>
          </cell>
          <cell r="C391" t="str">
            <v/>
          </cell>
          <cell r="D391">
            <v>0</v>
          </cell>
          <cell r="E391" t="str">
            <v/>
          </cell>
        </row>
        <row r="392">
          <cell r="A392" t="str">
            <v>C19620SIG/C(T)</v>
          </cell>
          <cell r="B392" t="str">
            <v>SKLADEM</v>
          </cell>
          <cell r="C392" t="str">
            <v/>
          </cell>
          <cell r="D392">
            <v>0</v>
          </cell>
          <cell r="E392" t="str">
            <v/>
          </cell>
        </row>
        <row r="393">
          <cell r="A393" t="str">
            <v>C19620SIG/IC14</v>
          </cell>
          <cell r="B393" t="str">
            <v>VYPRODÁNO</v>
          </cell>
          <cell r="C393" t="str">
            <v/>
          </cell>
          <cell r="D393">
            <v>0</v>
          </cell>
          <cell r="E393" t="str">
            <v/>
          </cell>
        </row>
        <row r="394">
          <cell r="A394" t="str">
            <v>C19625/C14</v>
          </cell>
          <cell r="B394" t="str">
            <v>SKLADEM</v>
          </cell>
          <cell r="C394" t="str">
            <v/>
          </cell>
          <cell r="D394">
            <v>0</v>
          </cell>
          <cell r="E394" t="str">
            <v/>
          </cell>
        </row>
        <row r="395">
          <cell r="A395" t="str">
            <v>C19625/C14 E</v>
          </cell>
          <cell r="B395" t="str">
            <v>VYPRODÁNO</v>
          </cell>
          <cell r="C395" t="str">
            <v/>
          </cell>
          <cell r="D395">
            <v>0</v>
          </cell>
          <cell r="E395" t="str">
            <v/>
          </cell>
        </row>
        <row r="396">
          <cell r="A396" t="str">
            <v>C19625/C14(T)</v>
          </cell>
          <cell r="B396" t="str">
            <v>SKLADEM</v>
          </cell>
          <cell r="C396" t="str">
            <v/>
          </cell>
          <cell r="D396">
            <v>0</v>
          </cell>
          <cell r="E396" t="str">
            <v/>
          </cell>
        </row>
        <row r="397">
          <cell r="A397" t="str">
            <v>C19625F/C</v>
          </cell>
          <cell r="B397" t="str">
            <v>15.09.2024</v>
          </cell>
          <cell r="C397">
            <v>207</v>
          </cell>
          <cell r="D397">
            <v>0</v>
          </cell>
          <cell r="E397" t="str">
            <v/>
          </cell>
        </row>
        <row r="398">
          <cell r="A398" t="str">
            <v>C19625F/C(T)</v>
          </cell>
          <cell r="B398" t="str">
            <v>15.09.2024</v>
          </cell>
          <cell r="C398">
            <v>207</v>
          </cell>
          <cell r="D398">
            <v>0</v>
          </cell>
          <cell r="E398" t="str">
            <v/>
          </cell>
        </row>
        <row r="399">
          <cell r="A399" t="str">
            <v>C20020BP</v>
          </cell>
          <cell r="B399" t="str">
            <v>30.09.2024</v>
          </cell>
          <cell r="C399">
            <v>222</v>
          </cell>
          <cell r="D399">
            <v>0</v>
          </cell>
          <cell r="E399" t="str">
            <v/>
          </cell>
        </row>
        <row r="400">
          <cell r="A400" t="str">
            <v>C20020BPF</v>
          </cell>
          <cell r="B400" t="str">
            <v>DOCHÁZÍ</v>
          </cell>
          <cell r="C400" t="str">
            <v/>
          </cell>
          <cell r="D400">
            <v>0</v>
          </cell>
          <cell r="E400">
            <v>92</v>
          </cell>
        </row>
        <row r="401">
          <cell r="A401" t="str">
            <v>C20020BPS</v>
          </cell>
          <cell r="B401" t="str">
            <v>30.09.2024</v>
          </cell>
          <cell r="C401">
            <v>222</v>
          </cell>
          <cell r="D401">
            <v>0</v>
          </cell>
          <cell r="E401" t="str">
            <v/>
          </cell>
        </row>
        <row r="402">
          <cell r="A402" t="str">
            <v>C20020PR</v>
          </cell>
          <cell r="B402" t="str">
            <v>SKLADEM</v>
          </cell>
          <cell r="C402" t="str">
            <v/>
          </cell>
          <cell r="D402">
            <v>0</v>
          </cell>
          <cell r="E402" t="str">
            <v/>
          </cell>
        </row>
        <row r="403">
          <cell r="A403" t="str">
            <v>C20020XBP</v>
          </cell>
          <cell r="B403" t="str">
            <v>SKLADEM</v>
          </cell>
          <cell r="C403" t="str">
            <v/>
          </cell>
          <cell r="D403">
            <v>0</v>
          </cell>
          <cell r="E403" t="str">
            <v/>
          </cell>
        </row>
        <row r="404">
          <cell r="A404" t="str">
            <v>C20020XBPW</v>
          </cell>
          <cell r="B404" t="str">
            <v>SKLADEM</v>
          </cell>
          <cell r="C404" t="str">
            <v/>
          </cell>
          <cell r="D404">
            <v>0</v>
          </cell>
          <cell r="E404" t="str">
            <v/>
          </cell>
        </row>
        <row r="405">
          <cell r="A405" t="str">
            <v>C20020XPR</v>
          </cell>
          <cell r="B405" t="str">
            <v>SKLADEM</v>
          </cell>
          <cell r="C405" t="str">
            <v/>
          </cell>
          <cell r="D405">
            <v>0</v>
          </cell>
          <cell r="E405" t="str">
            <v/>
          </cell>
        </row>
        <row r="406">
          <cell r="A406" t="str">
            <v>C20020XPR E</v>
          </cell>
          <cell r="B406" t="str">
            <v>VYPRODÁNO</v>
          </cell>
          <cell r="C406" t="str">
            <v/>
          </cell>
          <cell r="D406">
            <v>0</v>
          </cell>
          <cell r="E406" t="str">
            <v/>
          </cell>
        </row>
        <row r="407">
          <cell r="A407" t="str">
            <v>C20020XPR/C14</v>
          </cell>
          <cell r="B407" t="str">
            <v>SKLADEM</v>
          </cell>
          <cell r="C407" t="str">
            <v/>
          </cell>
          <cell r="D407">
            <v>0</v>
          </cell>
          <cell r="E407" t="str">
            <v/>
          </cell>
        </row>
        <row r="408">
          <cell r="A408" t="str">
            <v>C20020XPR/C14(T)</v>
          </cell>
          <cell r="B408" t="str">
            <v>SKLADEM</v>
          </cell>
          <cell r="C408" t="str">
            <v/>
          </cell>
          <cell r="D408">
            <v>0</v>
          </cell>
          <cell r="E408" t="str">
            <v/>
          </cell>
        </row>
        <row r="409">
          <cell r="A409" t="str">
            <v>C20020XTS/C14</v>
          </cell>
          <cell r="B409" t="str">
            <v>SKLADEM</v>
          </cell>
          <cell r="C409" t="str">
            <v/>
          </cell>
          <cell r="D409">
            <v>0</v>
          </cell>
          <cell r="E409" t="str">
            <v/>
          </cell>
        </row>
        <row r="410">
          <cell r="A410" t="str">
            <v>C20020XTS/C14(T)</v>
          </cell>
          <cell r="B410" t="str">
            <v>SKLADEM</v>
          </cell>
          <cell r="C410" t="str">
            <v/>
          </cell>
          <cell r="D410">
            <v>0</v>
          </cell>
          <cell r="E410" t="str">
            <v/>
          </cell>
        </row>
        <row r="411">
          <cell r="A411" t="str">
            <v>C20025BPF/C</v>
          </cell>
          <cell r="B411" t="str">
            <v>VYPRODÁNO</v>
          </cell>
          <cell r="C411" t="str">
            <v/>
          </cell>
          <cell r="D411">
            <v>0</v>
          </cell>
          <cell r="E411" t="str">
            <v/>
          </cell>
        </row>
        <row r="412">
          <cell r="A412" t="str">
            <v>C20025BPF/C(T)</v>
          </cell>
          <cell r="B412" t="str">
            <v>VYPRODÁNO</v>
          </cell>
          <cell r="C412" t="str">
            <v/>
          </cell>
          <cell r="D412">
            <v>0</v>
          </cell>
          <cell r="E412" t="str">
            <v/>
          </cell>
        </row>
        <row r="413">
          <cell r="A413" t="str">
            <v>C20025BPS/C</v>
          </cell>
          <cell r="B413" t="str">
            <v>SKLADEM</v>
          </cell>
          <cell r="C413" t="str">
            <v/>
          </cell>
          <cell r="D413">
            <v>12</v>
          </cell>
          <cell r="E413" t="str">
            <v/>
          </cell>
        </row>
        <row r="414">
          <cell r="A414" t="str">
            <v>C20025F/C</v>
          </cell>
          <cell r="B414" t="str">
            <v>SKLADEM</v>
          </cell>
          <cell r="C414" t="str">
            <v/>
          </cell>
          <cell r="D414">
            <v>0</v>
          </cell>
          <cell r="E414" t="str">
            <v/>
          </cell>
        </row>
        <row r="415">
          <cell r="A415" t="str">
            <v>C20025F/C(T)</v>
          </cell>
          <cell r="B415" t="str">
            <v>SKLADEM</v>
          </cell>
          <cell r="C415" t="str">
            <v/>
          </cell>
          <cell r="D415">
            <v>0</v>
          </cell>
          <cell r="E415" t="str">
            <v/>
          </cell>
        </row>
        <row r="416">
          <cell r="A416" t="str">
            <v>C2003A</v>
          </cell>
          <cell r="B416" t="str">
            <v>VYPRODÁNO</v>
          </cell>
          <cell r="C416" t="str">
            <v/>
          </cell>
          <cell r="D416">
            <v>0</v>
          </cell>
          <cell r="E416" t="str">
            <v/>
          </cell>
        </row>
        <row r="417">
          <cell r="A417" t="str">
            <v>C2003BP/C</v>
          </cell>
          <cell r="B417" t="str">
            <v>SKLADEM</v>
          </cell>
          <cell r="C417" t="str">
            <v/>
          </cell>
          <cell r="D417">
            <v>0</v>
          </cell>
          <cell r="E417" t="str">
            <v/>
          </cell>
        </row>
        <row r="418">
          <cell r="A418" t="str">
            <v>C2003BP/C(T)</v>
          </cell>
          <cell r="B418" t="str">
            <v>SKLADEM</v>
          </cell>
          <cell r="C418" t="str">
            <v/>
          </cell>
          <cell r="D418">
            <v>0</v>
          </cell>
          <cell r="E418" t="str">
            <v/>
          </cell>
        </row>
        <row r="419">
          <cell r="A419" t="str">
            <v>C2003DU/C</v>
          </cell>
          <cell r="B419" t="str">
            <v>VYPRODÁNO</v>
          </cell>
          <cell r="C419" t="str">
            <v/>
          </cell>
          <cell r="D419">
            <v>0</v>
          </cell>
          <cell r="E419" t="str">
            <v/>
          </cell>
        </row>
        <row r="420">
          <cell r="A420" t="str">
            <v>C2003DU/C(T)</v>
          </cell>
          <cell r="B420" t="str">
            <v>VYPRODÁNO</v>
          </cell>
          <cell r="C420" t="str">
            <v/>
          </cell>
          <cell r="D420">
            <v>0</v>
          </cell>
          <cell r="E420" t="str">
            <v/>
          </cell>
        </row>
        <row r="421">
          <cell r="A421" t="str">
            <v>C2003F/C</v>
          </cell>
          <cell r="B421" t="str">
            <v>SKLADEM</v>
          </cell>
          <cell r="C421" t="str">
            <v/>
          </cell>
          <cell r="D421">
            <v>0</v>
          </cell>
          <cell r="E421" t="str">
            <v/>
          </cell>
        </row>
        <row r="422">
          <cell r="A422" t="str">
            <v>C2003SIG/C</v>
          </cell>
          <cell r="B422" t="str">
            <v>SKLADEM</v>
          </cell>
          <cell r="C422" t="str">
            <v/>
          </cell>
          <cell r="D422">
            <v>0</v>
          </cell>
          <cell r="E422" t="str">
            <v/>
          </cell>
        </row>
        <row r="423">
          <cell r="A423" t="str">
            <v>C2003SIG/C(T)</v>
          </cell>
          <cell r="B423" t="str">
            <v>SKLADEM</v>
          </cell>
          <cell r="C423" t="str">
            <v/>
          </cell>
          <cell r="D423">
            <v>0</v>
          </cell>
          <cell r="E423" t="str">
            <v/>
          </cell>
        </row>
        <row r="424">
          <cell r="A424" t="str">
            <v>C2003T</v>
          </cell>
          <cell r="B424" t="str">
            <v>VYPRODÁNO</v>
          </cell>
          <cell r="C424" t="str">
            <v/>
          </cell>
          <cell r="D424">
            <v>0</v>
          </cell>
          <cell r="E424" t="str">
            <v/>
          </cell>
        </row>
        <row r="425">
          <cell r="A425" t="str">
            <v>C2003U</v>
          </cell>
          <cell r="B425" t="str">
            <v>VYPRODÁNO</v>
          </cell>
          <cell r="C425" t="str">
            <v/>
          </cell>
          <cell r="D425">
            <v>0</v>
          </cell>
          <cell r="E425" t="str">
            <v/>
          </cell>
        </row>
        <row r="426">
          <cell r="A426" t="str">
            <v>C2003U/C</v>
          </cell>
          <cell r="B426" t="str">
            <v>15.06.2024</v>
          </cell>
          <cell r="C426">
            <v>115</v>
          </cell>
          <cell r="D426">
            <v>0</v>
          </cell>
          <cell r="E426" t="str">
            <v/>
          </cell>
        </row>
        <row r="427">
          <cell r="A427" t="str">
            <v>C2003U/C(T)</v>
          </cell>
          <cell r="B427" t="str">
            <v>15.06.2024</v>
          </cell>
          <cell r="C427">
            <v>115</v>
          </cell>
          <cell r="D427">
            <v>0</v>
          </cell>
          <cell r="E427" t="str">
            <v/>
          </cell>
        </row>
        <row r="428">
          <cell r="A428" t="str">
            <v>C2003X</v>
          </cell>
          <cell r="B428" t="str">
            <v>VYPRODÁNO</v>
          </cell>
          <cell r="C428" t="str">
            <v/>
          </cell>
          <cell r="D428">
            <v>0</v>
          </cell>
          <cell r="E428" t="str">
            <v/>
          </cell>
        </row>
        <row r="429">
          <cell r="A429" t="str">
            <v>C200MF/C</v>
          </cell>
          <cell r="B429" t="str">
            <v>SKLADEM</v>
          </cell>
          <cell r="C429" t="str">
            <v/>
          </cell>
          <cell r="D429">
            <v>0</v>
          </cell>
          <cell r="E429" t="str">
            <v/>
          </cell>
        </row>
        <row r="430">
          <cell r="A430" t="str">
            <v>C200MF/C(T)</v>
          </cell>
          <cell r="B430" t="str">
            <v>SKLADEM</v>
          </cell>
          <cell r="C430" t="str">
            <v/>
          </cell>
          <cell r="D430">
            <v>0</v>
          </cell>
          <cell r="E430" t="str">
            <v/>
          </cell>
        </row>
        <row r="431">
          <cell r="A431" t="str">
            <v>C200MF/C14</v>
          </cell>
          <cell r="B431" t="str">
            <v>30.09.2024</v>
          </cell>
          <cell r="C431">
            <v>222</v>
          </cell>
          <cell r="D431">
            <v>0</v>
          </cell>
          <cell r="E431" t="str">
            <v/>
          </cell>
        </row>
        <row r="432">
          <cell r="A432" t="str">
            <v>C200MF/C14 E</v>
          </cell>
          <cell r="B432" t="str">
            <v>VYPRODÁNO</v>
          </cell>
          <cell r="C432" t="str">
            <v/>
          </cell>
          <cell r="D432">
            <v>0</v>
          </cell>
          <cell r="E432" t="str">
            <v/>
          </cell>
        </row>
        <row r="433">
          <cell r="A433" t="str">
            <v>C200MF/C14(T)</v>
          </cell>
          <cell r="B433" t="str">
            <v>30.09.2024</v>
          </cell>
          <cell r="C433">
            <v>222</v>
          </cell>
          <cell r="D433">
            <v>0</v>
          </cell>
          <cell r="E433" t="str">
            <v/>
          </cell>
        </row>
        <row r="434">
          <cell r="A434" t="str">
            <v>C200MF/IC14</v>
          </cell>
          <cell r="B434" t="str">
            <v>VYPRODÁNO</v>
          </cell>
          <cell r="C434" t="str">
            <v/>
          </cell>
          <cell r="D434">
            <v>0</v>
          </cell>
          <cell r="E434" t="str">
            <v/>
          </cell>
        </row>
        <row r="435">
          <cell r="A435" t="str">
            <v>C200MNID/C</v>
          </cell>
          <cell r="B435" t="str">
            <v>VYPRODÁNO</v>
          </cell>
          <cell r="C435" t="str">
            <v/>
          </cell>
          <cell r="D435">
            <v>0</v>
          </cell>
          <cell r="E435" t="str">
            <v/>
          </cell>
        </row>
        <row r="436">
          <cell r="A436" t="str">
            <v>C200MNID/C(T)</v>
          </cell>
          <cell r="B436" t="str">
            <v>VYPRODÁNO</v>
          </cell>
          <cell r="C436" t="str">
            <v/>
          </cell>
          <cell r="D436">
            <v>0</v>
          </cell>
          <cell r="E436" t="str">
            <v/>
          </cell>
        </row>
        <row r="437">
          <cell r="A437" t="str">
            <v>C2030PA</v>
          </cell>
          <cell r="B437" t="str">
            <v>VYPRODÁNO</v>
          </cell>
          <cell r="C437" t="str">
            <v/>
          </cell>
          <cell r="D437">
            <v>0</v>
          </cell>
          <cell r="E437" t="str">
            <v/>
          </cell>
        </row>
        <row r="438">
          <cell r="A438" t="str">
            <v>C2030PB</v>
          </cell>
          <cell r="B438" t="str">
            <v>VYPRODÁNO</v>
          </cell>
          <cell r="C438" t="str">
            <v/>
          </cell>
          <cell r="D438">
            <v>0</v>
          </cell>
          <cell r="E438" t="str">
            <v/>
          </cell>
        </row>
        <row r="439">
          <cell r="A439" t="str">
            <v>C2030XXA</v>
          </cell>
          <cell r="B439" t="str">
            <v>VYPRODÁNO</v>
          </cell>
          <cell r="C439" t="str">
            <v/>
          </cell>
          <cell r="D439">
            <v>0</v>
          </cell>
          <cell r="E439" t="str">
            <v/>
          </cell>
        </row>
        <row r="440">
          <cell r="A440" t="str">
            <v>C204XMPT/C</v>
          </cell>
          <cell r="B440" t="str">
            <v>SKLADEM</v>
          </cell>
          <cell r="C440" t="str">
            <v/>
          </cell>
          <cell r="D440">
            <v>0</v>
          </cell>
          <cell r="E440" t="str">
            <v/>
          </cell>
        </row>
        <row r="441">
          <cell r="A441" t="str">
            <v>C204XMPT/C(T)</v>
          </cell>
          <cell r="B441" t="str">
            <v>SKLADEM</v>
          </cell>
          <cell r="C441" t="str">
            <v/>
          </cell>
          <cell r="D441">
            <v>0</v>
          </cell>
          <cell r="E441" t="str">
            <v/>
          </cell>
        </row>
        <row r="442">
          <cell r="A442" t="str">
            <v>C204XMPT/C14</v>
          </cell>
          <cell r="B442" t="str">
            <v>15.09.2024</v>
          </cell>
          <cell r="C442">
            <v>207</v>
          </cell>
          <cell r="D442">
            <v>0</v>
          </cell>
          <cell r="E442" t="str">
            <v/>
          </cell>
        </row>
        <row r="443">
          <cell r="A443" t="str">
            <v>C204XMPT/C14(T)</v>
          </cell>
          <cell r="B443" t="str">
            <v>15.09.2024</v>
          </cell>
          <cell r="C443">
            <v>207</v>
          </cell>
          <cell r="D443">
            <v>0</v>
          </cell>
          <cell r="E443" t="str">
            <v/>
          </cell>
        </row>
        <row r="444">
          <cell r="A444" t="str">
            <v>C20814XPR</v>
          </cell>
          <cell r="B444" t="str">
            <v>VYPRODÁNO</v>
          </cell>
          <cell r="C444" t="str">
            <v/>
          </cell>
          <cell r="D444">
            <v>0</v>
          </cell>
          <cell r="E444" t="str">
            <v/>
          </cell>
        </row>
        <row r="445">
          <cell r="A445" t="str">
            <v>C20814XPR14</v>
          </cell>
          <cell r="B445" t="str">
            <v>30.09.2024</v>
          </cell>
          <cell r="C445">
            <v>222</v>
          </cell>
          <cell r="D445">
            <v>0</v>
          </cell>
          <cell r="E445" t="str">
            <v/>
          </cell>
        </row>
        <row r="446">
          <cell r="A446" t="str">
            <v>C210M1</v>
          </cell>
          <cell r="B446" t="str">
            <v>VYPRODÁNO</v>
          </cell>
          <cell r="C446" t="str">
            <v/>
          </cell>
          <cell r="D446">
            <v>0</v>
          </cell>
          <cell r="E446" t="str">
            <v/>
          </cell>
        </row>
        <row r="447">
          <cell r="A447" t="str">
            <v>C212MF/C</v>
          </cell>
          <cell r="B447" t="str">
            <v>15.05.2024</v>
          </cell>
          <cell r="C447">
            <v>84</v>
          </cell>
          <cell r="D447">
            <v>0</v>
          </cell>
          <cell r="E447" t="str">
            <v/>
          </cell>
        </row>
        <row r="448">
          <cell r="A448" t="str">
            <v>C212MF/C(T)</v>
          </cell>
          <cell r="B448" t="str">
            <v>15.05.2024</v>
          </cell>
          <cell r="C448">
            <v>84</v>
          </cell>
          <cell r="D448">
            <v>0</v>
          </cell>
          <cell r="E448" t="str">
            <v/>
          </cell>
        </row>
        <row r="449">
          <cell r="A449" t="str">
            <v>C216XMFS/C</v>
          </cell>
          <cell r="B449" t="str">
            <v>SKLADEM</v>
          </cell>
          <cell r="C449" t="str">
            <v/>
          </cell>
          <cell r="D449">
            <v>0</v>
          </cell>
          <cell r="E449" t="str">
            <v/>
          </cell>
        </row>
        <row r="450">
          <cell r="A450" t="str">
            <v>C216XMFS/C(T)</v>
          </cell>
          <cell r="B450" t="str">
            <v>SKLADEM</v>
          </cell>
          <cell r="C450" t="str">
            <v/>
          </cell>
          <cell r="D450">
            <v>0</v>
          </cell>
          <cell r="E450" t="str">
            <v/>
          </cell>
        </row>
        <row r="451">
          <cell r="A451" t="str">
            <v>C216XMFS/C14</v>
          </cell>
          <cell r="B451" t="str">
            <v>DOCHÁZÍ</v>
          </cell>
          <cell r="C451" t="str">
            <v/>
          </cell>
          <cell r="D451">
            <v>0</v>
          </cell>
          <cell r="E451">
            <v>9</v>
          </cell>
        </row>
        <row r="452">
          <cell r="A452" t="str">
            <v>C216XMFS/C14(T)</v>
          </cell>
          <cell r="B452" t="str">
            <v>DOCHÁZÍ</v>
          </cell>
          <cell r="C452" t="str">
            <v/>
          </cell>
          <cell r="D452">
            <v>0</v>
          </cell>
          <cell r="E452">
            <v>9</v>
          </cell>
        </row>
        <row r="453">
          <cell r="A453" t="str">
            <v>C219XMPT/C</v>
          </cell>
          <cell r="B453" t="str">
            <v>15.08.2024</v>
          </cell>
          <cell r="C453">
            <v>176</v>
          </cell>
          <cell r="D453">
            <v>0</v>
          </cell>
          <cell r="E453" t="str">
            <v/>
          </cell>
        </row>
        <row r="454">
          <cell r="A454" t="str">
            <v>C219XMPT/C(T)</v>
          </cell>
          <cell r="B454" t="str">
            <v>15.08.2024</v>
          </cell>
          <cell r="C454">
            <v>176</v>
          </cell>
          <cell r="D454">
            <v>0</v>
          </cell>
          <cell r="E454" t="str">
            <v/>
          </cell>
        </row>
        <row r="455">
          <cell r="A455" t="str">
            <v>C2223XMK/C</v>
          </cell>
          <cell r="B455" t="str">
            <v>VYPRODÁNO</v>
          </cell>
          <cell r="C455" t="str">
            <v/>
          </cell>
          <cell r="D455">
            <v>0</v>
          </cell>
          <cell r="E455" t="str">
            <v/>
          </cell>
        </row>
        <row r="456">
          <cell r="A456" t="str">
            <v>C222MA/C</v>
          </cell>
          <cell r="B456" t="str">
            <v>VYPRODÁNO</v>
          </cell>
          <cell r="C456" t="str">
            <v/>
          </cell>
          <cell r="D456">
            <v>0</v>
          </cell>
          <cell r="E456" t="str">
            <v/>
          </cell>
        </row>
        <row r="457">
          <cell r="A457" t="str">
            <v>C222MF/C</v>
          </cell>
          <cell r="B457" t="str">
            <v>30.09.2024</v>
          </cell>
          <cell r="C457">
            <v>222</v>
          </cell>
          <cell r="D457">
            <v>0</v>
          </cell>
          <cell r="E457" t="str">
            <v/>
          </cell>
        </row>
        <row r="458">
          <cell r="A458" t="str">
            <v>C222MF/C(T)</v>
          </cell>
          <cell r="B458" t="str">
            <v>30.09.2024</v>
          </cell>
          <cell r="C458">
            <v>222</v>
          </cell>
          <cell r="D458">
            <v>0</v>
          </cell>
          <cell r="E458" t="str">
            <v/>
          </cell>
        </row>
        <row r="459">
          <cell r="A459" t="str">
            <v>C222MNID/C</v>
          </cell>
          <cell r="B459" t="str">
            <v>VYPRODÁNO</v>
          </cell>
          <cell r="C459" t="str">
            <v/>
          </cell>
          <cell r="D459">
            <v>0</v>
          </cell>
          <cell r="E459" t="str">
            <v/>
          </cell>
        </row>
        <row r="460">
          <cell r="A460" t="str">
            <v>C222MNID/C(T)</v>
          </cell>
          <cell r="B460" t="str">
            <v>VYPRODÁNO</v>
          </cell>
          <cell r="C460" t="str">
            <v/>
          </cell>
          <cell r="D460">
            <v>0</v>
          </cell>
          <cell r="E460" t="str">
            <v/>
          </cell>
        </row>
        <row r="461">
          <cell r="A461" t="str">
            <v>C222MNPT/C</v>
          </cell>
          <cell r="B461" t="str">
            <v>15.08.2024</v>
          </cell>
          <cell r="C461">
            <v>176</v>
          </cell>
          <cell r="D461">
            <v>0</v>
          </cell>
          <cell r="E461" t="str">
            <v/>
          </cell>
        </row>
        <row r="462">
          <cell r="A462" t="str">
            <v>C222MNPT/C(T)</v>
          </cell>
          <cell r="B462" t="str">
            <v>15.08.2024</v>
          </cell>
          <cell r="C462">
            <v>176</v>
          </cell>
          <cell r="D462">
            <v>0</v>
          </cell>
          <cell r="E462" t="str">
            <v/>
          </cell>
        </row>
        <row r="463">
          <cell r="A463" t="str">
            <v>C223MF/C</v>
          </cell>
          <cell r="B463" t="str">
            <v>SKLADEM</v>
          </cell>
          <cell r="C463" t="str">
            <v/>
          </cell>
          <cell r="D463">
            <v>0</v>
          </cell>
          <cell r="E463" t="str">
            <v/>
          </cell>
        </row>
        <row r="464">
          <cell r="A464" t="str">
            <v>C223MF/C E</v>
          </cell>
          <cell r="B464" t="str">
            <v>SKLADEM</v>
          </cell>
          <cell r="C464" t="str">
            <v/>
          </cell>
          <cell r="D464">
            <v>0</v>
          </cell>
          <cell r="E464" t="str">
            <v/>
          </cell>
        </row>
        <row r="465">
          <cell r="A465" t="str">
            <v>C223MF/C(T)</v>
          </cell>
          <cell r="B465" t="str">
            <v>SKLADEM</v>
          </cell>
          <cell r="C465" t="str">
            <v/>
          </cell>
          <cell r="D465">
            <v>0</v>
          </cell>
          <cell r="E465" t="str">
            <v/>
          </cell>
        </row>
        <row r="466">
          <cell r="A466" t="str">
            <v>C223MF/C14</v>
          </cell>
          <cell r="B466" t="str">
            <v>VYPRODÁNO</v>
          </cell>
          <cell r="C466" t="str">
            <v/>
          </cell>
          <cell r="D466">
            <v>0</v>
          </cell>
          <cell r="E466" t="str">
            <v/>
          </cell>
        </row>
        <row r="467">
          <cell r="A467" t="str">
            <v>C223MM/C</v>
          </cell>
          <cell r="B467" t="str">
            <v>VYPRODÁNO</v>
          </cell>
          <cell r="C467" t="str">
            <v/>
          </cell>
          <cell r="D467">
            <v>0</v>
          </cell>
          <cell r="E467" t="str">
            <v/>
          </cell>
        </row>
        <row r="468">
          <cell r="A468" t="str">
            <v>C223MM/C E</v>
          </cell>
          <cell r="B468" t="str">
            <v>VYPRODÁNO</v>
          </cell>
          <cell r="C468" t="str">
            <v/>
          </cell>
          <cell r="D468">
            <v>0</v>
          </cell>
          <cell r="E468" t="str">
            <v/>
          </cell>
        </row>
        <row r="469">
          <cell r="A469" t="str">
            <v>C223MM/C14</v>
          </cell>
          <cell r="B469" t="str">
            <v>VYPRODÁNO</v>
          </cell>
          <cell r="C469" t="str">
            <v/>
          </cell>
          <cell r="D469">
            <v>0</v>
          </cell>
          <cell r="E469" t="str">
            <v/>
          </cell>
        </row>
        <row r="470">
          <cell r="A470" t="str">
            <v>C223XMK/C</v>
          </cell>
          <cell r="B470" t="str">
            <v>20.06.2024</v>
          </cell>
          <cell r="C470">
            <v>120</v>
          </cell>
          <cell r="D470">
            <v>0</v>
          </cell>
          <cell r="E470" t="str">
            <v/>
          </cell>
        </row>
        <row r="471">
          <cell r="A471" t="str">
            <v>C223XMK/C(T)</v>
          </cell>
          <cell r="B471" t="str">
            <v>20.06.2024</v>
          </cell>
          <cell r="C471">
            <v>120</v>
          </cell>
          <cell r="D471">
            <v>0</v>
          </cell>
          <cell r="E471" t="str">
            <v/>
          </cell>
        </row>
        <row r="472">
          <cell r="A472" t="str">
            <v>C223XMK/C14</v>
          </cell>
          <cell r="B472" t="str">
            <v>SKLADEM</v>
          </cell>
          <cell r="C472" t="str">
            <v/>
          </cell>
          <cell r="D472">
            <v>0</v>
          </cell>
          <cell r="E472" t="str">
            <v/>
          </cell>
        </row>
        <row r="473">
          <cell r="A473" t="str">
            <v>C223XMK/C14(T)</v>
          </cell>
          <cell r="B473" t="str">
            <v>SKLADEM</v>
          </cell>
          <cell r="C473" t="str">
            <v/>
          </cell>
          <cell r="D473">
            <v>0</v>
          </cell>
          <cell r="E473" t="str">
            <v/>
          </cell>
        </row>
        <row r="474">
          <cell r="A474" t="str">
            <v>C239MSIG/C</v>
          </cell>
          <cell r="B474" t="str">
            <v>VYPRODÁNO</v>
          </cell>
          <cell r="C474" t="str">
            <v/>
          </cell>
          <cell r="D474">
            <v>0</v>
          </cell>
          <cell r="E474" t="str">
            <v/>
          </cell>
        </row>
        <row r="475">
          <cell r="A475" t="str">
            <v>C239MSIG/C(T)</v>
          </cell>
          <cell r="B475" t="str">
            <v>VYPRODÁNO</v>
          </cell>
          <cell r="C475" t="str">
            <v/>
          </cell>
          <cell r="D475">
            <v>0</v>
          </cell>
          <cell r="E475" t="str">
            <v/>
          </cell>
        </row>
        <row r="476">
          <cell r="A476" t="str">
            <v>C23MA</v>
          </cell>
          <cell r="B476" t="str">
            <v>VYPRODÁNO</v>
          </cell>
          <cell r="C476" t="str">
            <v/>
          </cell>
          <cell r="D476">
            <v>0</v>
          </cell>
          <cell r="E476" t="str">
            <v/>
          </cell>
        </row>
        <row r="477">
          <cell r="A477" t="str">
            <v>C23MC</v>
          </cell>
          <cell r="B477" t="str">
            <v>VYPRODÁNO</v>
          </cell>
          <cell r="C477" t="str">
            <v/>
          </cell>
          <cell r="D477">
            <v>0</v>
          </cell>
          <cell r="E477" t="str">
            <v/>
          </cell>
        </row>
        <row r="478">
          <cell r="A478" t="str">
            <v>C23MC E</v>
          </cell>
          <cell r="B478" t="str">
            <v>VYPRODÁNO</v>
          </cell>
          <cell r="C478" t="str">
            <v/>
          </cell>
          <cell r="D478">
            <v>0</v>
          </cell>
          <cell r="E478" t="str">
            <v/>
          </cell>
        </row>
        <row r="479">
          <cell r="A479" t="str">
            <v>C23MO</v>
          </cell>
          <cell r="B479" t="str">
            <v>SKLADEM</v>
          </cell>
          <cell r="C479" t="str">
            <v/>
          </cell>
          <cell r="D479">
            <v>0</v>
          </cell>
          <cell r="E479" t="str">
            <v/>
          </cell>
        </row>
        <row r="480">
          <cell r="A480" t="str">
            <v>C2463A</v>
          </cell>
          <cell r="B480" t="str">
            <v>VYPRODÁNO</v>
          </cell>
          <cell r="C480" t="str">
            <v/>
          </cell>
          <cell r="D480">
            <v>0</v>
          </cell>
          <cell r="E480" t="str">
            <v/>
          </cell>
        </row>
        <row r="481">
          <cell r="A481" t="str">
            <v>C2463A E</v>
          </cell>
          <cell r="B481" t="str">
            <v>VYPRODÁNO</v>
          </cell>
          <cell r="C481" t="str">
            <v/>
          </cell>
          <cell r="D481">
            <v>0</v>
          </cell>
          <cell r="E481" t="str">
            <v/>
          </cell>
        </row>
        <row r="482">
          <cell r="A482" t="str">
            <v>C2463B</v>
          </cell>
          <cell r="B482" t="str">
            <v>30.04.2024</v>
          </cell>
          <cell r="C482">
            <v>69</v>
          </cell>
          <cell r="D482">
            <v>0</v>
          </cell>
          <cell r="E482" t="str">
            <v/>
          </cell>
        </row>
        <row r="483">
          <cell r="A483" t="str">
            <v>C24MG</v>
          </cell>
          <cell r="B483" t="str">
            <v>VYPRODÁNO</v>
          </cell>
          <cell r="C483" t="str">
            <v/>
          </cell>
          <cell r="D483">
            <v>0</v>
          </cell>
          <cell r="E483" t="str">
            <v/>
          </cell>
        </row>
        <row r="484">
          <cell r="A484" t="str">
            <v>C24MH</v>
          </cell>
          <cell r="B484" t="str">
            <v>15.08.2024</v>
          </cell>
          <cell r="C484">
            <v>176</v>
          </cell>
          <cell r="D484">
            <v>0</v>
          </cell>
          <cell r="E484" t="str">
            <v/>
          </cell>
        </row>
        <row r="485">
          <cell r="A485" t="str">
            <v>C24MS</v>
          </cell>
          <cell r="B485" t="str">
            <v>VYPRODÁNO</v>
          </cell>
          <cell r="C485" t="str">
            <v/>
          </cell>
          <cell r="D485">
            <v>0</v>
          </cell>
          <cell r="E485" t="str">
            <v/>
          </cell>
        </row>
        <row r="486">
          <cell r="A486" t="str">
            <v>C2505D</v>
          </cell>
          <cell r="B486" t="str">
            <v>15.07.2024</v>
          </cell>
          <cell r="C486">
            <v>145</v>
          </cell>
          <cell r="D486">
            <v>0</v>
          </cell>
          <cell r="E486" t="str">
            <v/>
          </cell>
        </row>
        <row r="487">
          <cell r="A487" t="str">
            <v>C2508R</v>
          </cell>
          <cell r="B487" t="str">
            <v>SKLADEM</v>
          </cell>
          <cell r="C487" t="str">
            <v/>
          </cell>
          <cell r="D487">
            <v>0</v>
          </cell>
          <cell r="E487" t="str">
            <v/>
          </cell>
        </row>
        <row r="488">
          <cell r="A488" t="str">
            <v>C2520BP</v>
          </cell>
          <cell r="B488" t="str">
            <v>SKLADEM</v>
          </cell>
          <cell r="C488" t="str">
            <v/>
          </cell>
          <cell r="D488">
            <v>0</v>
          </cell>
          <cell r="E488" t="str">
            <v/>
          </cell>
        </row>
        <row r="489">
          <cell r="A489" t="str">
            <v>C2520BPW</v>
          </cell>
          <cell r="B489" t="str">
            <v>VYPRODÁNO</v>
          </cell>
          <cell r="C489" t="str">
            <v/>
          </cell>
          <cell r="D489">
            <v>0</v>
          </cell>
          <cell r="E489" t="str">
            <v/>
          </cell>
        </row>
        <row r="490">
          <cell r="A490" t="str">
            <v>C2520DI</v>
          </cell>
          <cell r="B490" t="str">
            <v>30.09.2024</v>
          </cell>
          <cell r="C490">
            <v>222</v>
          </cell>
          <cell r="D490">
            <v>0</v>
          </cell>
          <cell r="E490" t="str">
            <v/>
          </cell>
        </row>
        <row r="491">
          <cell r="A491" t="str">
            <v>C2520DI14</v>
          </cell>
          <cell r="B491" t="str">
            <v>DOCHÁZÍ</v>
          </cell>
          <cell r="C491" t="str">
            <v/>
          </cell>
          <cell r="D491" t="str">
            <v>100+</v>
          </cell>
          <cell r="E491">
            <v>10</v>
          </cell>
        </row>
        <row r="492">
          <cell r="A492" t="str">
            <v>C2520DU</v>
          </cell>
          <cell r="B492" t="str">
            <v>VYPRODÁNO</v>
          </cell>
          <cell r="C492" t="str">
            <v/>
          </cell>
          <cell r="D492">
            <v>0</v>
          </cell>
          <cell r="E492" t="str">
            <v/>
          </cell>
        </row>
        <row r="493">
          <cell r="A493" t="str">
            <v>C2520DU E</v>
          </cell>
          <cell r="B493" t="str">
            <v>VYPRODÁNO</v>
          </cell>
          <cell r="C493" t="str">
            <v/>
          </cell>
          <cell r="D493">
            <v>0</v>
          </cell>
          <cell r="E493" t="str">
            <v/>
          </cell>
        </row>
        <row r="494">
          <cell r="A494" t="str">
            <v>C2520DU14</v>
          </cell>
          <cell r="B494" t="str">
            <v>VYPRODÁNO</v>
          </cell>
          <cell r="C494" t="str">
            <v/>
          </cell>
          <cell r="D494">
            <v>0</v>
          </cell>
          <cell r="E494" t="str">
            <v/>
          </cell>
        </row>
        <row r="495">
          <cell r="A495" t="str">
            <v>C2520E</v>
          </cell>
          <cell r="B495" t="str">
            <v>VYPRODÁNO</v>
          </cell>
          <cell r="C495" t="str">
            <v/>
          </cell>
          <cell r="D495">
            <v>0</v>
          </cell>
          <cell r="E495" t="str">
            <v/>
          </cell>
        </row>
        <row r="496">
          <cell r="A496" t="str">
            <v>C2520E E</v>
          </cell>
          <cell r="B496" t="str">
            <v>VYPRODÁNO</v>
          </cell>
          <cell r="C496" t="str">
            <v/>
          </cell>
          <cell r="D496">
            <v>0</v>
          </cell>
          <cell r="E496" t="str">
            <v/>
          </cell>
        </row>
        <row r="497">
          <cell r="A497" t="str">
            <v>C2520H</v>
          </cell>
          <cell r="B497" t="str">
            <v>VYPRODÁNO</v>
          </cell>
          <cell r="C497" t="str">
            <v/>
          </cell>
          <cell r="D497">
            <v>0</v>
          </cell>
          <cell r="E497" t="str">
            <v/>
          </cell>
        </row>
        <row r="498">
          <cell r="A498" t="str">
            <v>C2520H E</v>
          </cell>
          <cell r="B498" t="str">
            <v>VYPRODÁNO</v>
          </cell>
          <cell r="C498" t="str">
            <v/>
          </cell>
          <cell r="D498">
            <v>0</v>
          </cell>
          <cell r="E498" t="str">
            <v/>
          </cell>
        </row>
        <row r="499">
          <cell r="A499" t="str">
            <v>C2520H14</v>
          </cell>
          <cell r="B499" t="str">
            <v>VYPRODÁNO</v>
          </cell>
          <cell r="C499" t="str">
            <v/>
          </cell>
          <cell r="D499">
            <v>0</v>
          </cell>
          <cell r="E499" t="str">
            <v/>
          </cell>
        </row>
        <row r="500">
          <cell r="A500" t="str">
            <v>C2520HA</v>
          </cell>
          <cell r="B500" t="str">
            <v>VYPRODÁNO</v>
          </cell>
          <cell r="C500" t="str">
            <v/>
          </cell>
          <cell r="D500">
            <v>0</v>
          </cell>
          <cell r="E500" t="str">
            <v/>
          </cell>
        </row>
        <row r="501">
          <cell r="A501" t="str">
            <v>C2520HA E</v>
          </cell>
          <cell r="B501" t="str">
            <v>VYPRODÁNO</v>
          </cell>
          <cell r="C501" t="str">
            <v/>
          </cell>
          <cell r="D501">
            <v>0</v>
          </cell>
          <cell r="E501" t="str">
            <v/>
          </cell>
        </row>
        <row r="502">
          <cell r="A502" t="str">
            <v>C2520HA14</v>
          </cell>
          <cell r="B502" t="str">
            <v>VYPRODÁNO</v>
          </cell>
          <cell r="C502" t="str">
            <v/>
          </cell>
          <cell r="D502">
            <v>0</v>
          </cell>
          <cell r="E502" t="str">
            <v/>
          </cell>
        </row>
        <row r="503">
          <cell r="A503" t="str">
            <v>C2520MIX</v>
          </cell>
          <cell r="B503" t="str">
            <v>VYPRODÁNO</v>
          </cell>
          <cell r="C503" t="str">
            <v/>
          </cell>
          <cell r="D503">
            <v>0</v>
          </cell>
          <cell r="E503" t="str">
            <v/>
          </cell>
        </row>
        <row r="504">
          <cell r="A504" t="str">
            <v>C2520MIX14</v>
          </cell>
          <cell r="B504" t="str">
            <v>VYPRODÁNO</v>
          </cell>
          <cell r="C504" t="str">
            <v/>
          </cell>
          <cell r="D504">
            <v>0</v>
          </cell>
          <cell r="E504" t="str">
            <v/>
          </cell>
        </row>
        <row r="505">
          <cell r="A505" t="str">
            <v>C2520P</v>
          </cell>
          <cell r="B505" t="str">
            <v>VYPRODÁNO</v>
          </cell>
          <cell r="C505" t="str">
            <v/>
          </cell>
          <cell r="D505">
            <v>0</v>
          </cell>
          <cell r="E505" t="str">
            <v/>
          </cell>
        </row>
        <row r="506">
          <cell r="A506" t="str">
            <v>C2520P14</v>
          </cell>
          <cell r="B506" t="str">
            <v>VYPRODÁNO</v>
          </cell>
          <cell r="C506" t="str">
            <v/>
          </cell>
          <cell r="D506">
            <v>0</v>
          </cell>
          <cell r="E506" t="str">
            <v/>
          </cell>
        </row>
        <row r="507">
          <cell r="A507" t="str">
            <v>C2520PI</v>
          </cell>
          <cell r="B507" t="str">
            <v>VYPRODÁNO</v>
          </cell>
          <cell r="C507" t="str">
            <v/>
          </cell>
          <cell r="D507">
            <v>0</v>
          </cell>
          <cell r="E507" t="str">
            <v/>
          </cell>
        </row>
        <row r="508">
          <cell r="A508" t="str">
            <v>C2520PO</v>
          </cell>
          <cell r="B508" t="str">
            <v>VYPRODÁNO</v>
          </cell>
          <cell r="C508" t="str">
            <v/>
          </cell>
          <cell r="D508">
            <v>0</v>
          </cell>
          <cell r="E508" t="str">
            <v/>
          </cell>
        </row>
        <row r="509">
          <cell r="A509" t="str">
            <v>C2520PO E</v>
          </cell>
          <cell r="B509" t="str">
            <v>VYPRODÁNO</v>
          </cell>
          <cell r="C509" t="str">
            <v/>
          </cell>
          <cell r="D509">
            <v>0</v>
          </cell>
          <cell r="E509" t="str">
            <v/>
          </cell>
        </row>
        <row r="510">
          <cell r="A510" t="str">
            <v>C2520PO14</v>
          </cell>
          <cell r="B510" t="str">
            <v>VYPRODÁNO</v>
          </cell>
          <cell r="C510" t="str">
            <v/>
          </cell>
          <cell r="D510">
            <v>0</v>
          </cell>
          <cell r="E510" t="str">
            <v/>
          </cell>
        </row>
        <row r="511">
          <cell r="A511" t="str">
            <v>C2520R</v>
          </cell>
          <cell r="B511" t="str">
            <v>15.09.2024</v>
          </cell>
          <cell r="C511">
            <v>207</v>
          </cell>
          <cell r="D511">
            <v>0</v>
          </cell>
          <cell r="E511" t="str">
            <v/>
          </cell>
        </row>
        <row r="512">
          <cell r="A512" t="str">
            <v>C2520R E</v>
          </cell>
          <cell r="B512" t="str">
            <v>VYPRODÁNO</v>
          </cell>
          <cell r="C512" t="str">
            <v/>
          </cell>
          <cell r="D512">
            <v>0</v>
          </cell>
          <cell r="E512" t="str">
            <v/>
          </cell>
        </row>
        <row r="513">
          <cell r="A513" t="str">
            <v>C2520R14</v>
          </cell>
          <cell r="B513" t="str">
            <v>VYPRODÁNO</v>
          </cell>
          <cell r="C513" t="str">
            <v/>
          </cell>
          <cell r="D513">
            <v>0</v>
          </cell>
          <cell r="E513" t="str">
            <v/>
          </cell>
        </row>
        <row r="514">
          <cell r="A514" t="str">
            <v>C2520SE</v>
          </cell>
          <cell r="B514" t="str">
            <v>SKLADEM</v>
          </cell>
          <cell r="C514" t="str">
            <v/>
          </cell>
          <cell r="D514">
            <v>0</v>
          </cell>
          <cell r="E514" t="str">
            <v/>
          </cell>
        </row>
        <row r="515">
          <cell r="A515" t="str">
            <v>C2520SE E</v>
          </cell>
          <cell r="B515" t="str">
            <v>VYPRODÁNO</v>
          </cell>
          <cell r="C515" t="str">
            <v/>
          </cell>
          <cell r="D515">
            <v>0</v>
          </cell>
          <cell r="E515" t="str">
            <v/>
          </cell>
        </row>
        <row r="516">
          <cell r="A516" t="str">
            <v>C2520SE14</v>
          </cell>
          <cell r="B516" t="str">
            <v>SKLADEM</v>
          </cell>
          <cell r="C516" t="str">
            <v/>
          </cell>
          <cell r="D516" t="str">
            <v>100+</v>
          </cell>
          <cell r="E516" t="str">
            <v/>
          </cell>
        </row>
        <row r="517">
          <cell r="A517" t="str">
            <v>C2520SE14 E</v>
          </cell>
          <cell r="B517" t="str">
            <v>VYPRODÁNO</v>
          </cell>
          <cell r="C517" t="str">
            <v/>
          </cell>
          <cell r="D517">
            <v>0</v>
          </cell>
          <cell r="E517" t="str">
            <v/>
          </cell>
        </row>
        <row r="518">
          <cell r="A518" t="str">
            <v>C2520SIG</v>
          </cell>
          <cell r="B518" t="str">
            <v>SKLADEM</v>
          </cell>
          <cell r="C518" t="str">
            <v/>
          </cell>
          <cell r="D518">
            <v>0</v>
          </cell>
          <cell r="E518" t="str">
            <v/>
          </cell>
        </row>
        <row r="519">
          <cell r="A519" t="str">
            <v>C2520SIGI14</v>
          </cell>
          <cell r="B519" t="str">
            <v>VYPRODÁNO</v>
          </cell>
          <cell r="C519" t="str">
            <v/>
          </cell>
          <cell r="D519">
            <v>0</v>
          </cell>
          <cell r="E519" t="str">
            <v/>
          </cell>
        </row>
        <row r="520">
          <cell r="A520" t="str">
            <v>C2520SL</v>
          </cell>
          <cell r="B520" t="str">
            <v>SKLADEM</v>
          </cell>
          <cell r="C520" t="str">
            <v/>
          </cell>
          <cell r="D520">
            <v>0</v>
          </cell>
          <cell r="E520" t="str">
            <v/>
          </cell>
        </row>
        <row r="521">
          <cell r="A521" t="str">
            <v>C2520ST</v>
          </cell>
          <cell r="B521" t="str">
            <v>15.09.2024</v>
          </cell>
          <cell r="C521">
            <v>207</v>
          </cell>
          <cell r="D521">
            <v>0</v>
          </cell>
          <cell r="E521" t="str">
            <v/>
          </cell>
        </row>
        <row r="522">
          <cell r="A522" t="str">
            <v>C2520ST E</v>
          </cell>
          <cell r="B522" t="str">
            <v>SKLADEM</v>
          </cell>
          <cell r="C522" t="str">
            <v/>
          </cell>
          <cell r="D522">
            <v>0</v>
          </cell>
          <cell r="E522" t="str">
            <v/>
          </cell>
        </row>
        <row r="523">
          <cell r="A523" t="str">
            <v>C2520ST14</v>
          </cell>
          <cell r="B523" t="str">
            <v>VYPRODÁNO</v>
          </cell>
          <cell r="C523" t="str">
            <v/>
          </cell>
          <cell r="D523">
            <v>0</v>
          </cell>
          <cell r="E523" t="str">
            <v/>
          </cell>
        </row>
        <row r="524">
          <cell r="A524" t="str">
            <v>C2520T</v>
          </cell>
          <cell r="B524" t="str">
            <v>SKLADEM</v>
          </cell>
          <cell r="C524" t="str">
            <v/>
          </cell>
          <cell r="D524">
            <v>0</v>
          </cell>
          <cell r="E524" t="str">
            <v/>
          </cell>
        </row>
        <row r="525">
          <cell r="A525" t="str">
            <v>C2520T14</v>
          </cell>
          <cell r="B525" t="str">
            <v>15.09.2024</v>
          </cell>
          <cell r="C525">
            <v>207</v>
          </cell>
          <cell r="D525">
            <v>0</v>
          </cell>
          <cell r="E525" t="str">
            <v/>
          </cell>
        </row>
        <row r="526">
          <cell r="A526" t="str">
            <v>C2520V</v>
          </cell>
          <cell r="B526" t="str">
            <v>VYPRODÁNO</v>
          </cell>
          <cell r="C526" t="str">
            <v/>
          </cell>
          <cell r="D526">
            <v>0</v>
          </cell>
          <cell r="E526" t="str">
            <v/>
          </cell>
        </row>
        <row r="527">
          <cell r="A527" t="str">
            <v>C2520V E</v>
          </cell>
          <cell r="B527" t="str">
            <v>VYPRODÁNO</v>
          </cell>
          <cell r="C527" t="str">
            <v/>
          </cell>
          <cell r="D527">
            <v>0</v>
          </cell>
          <cell r="E527" t="str">
            <v/>
          </cell>
        </row>
        <row r="528">
          <cell r="A528" t="str">
            <v>C2520V14</v>
          </cell>
          <cell r="B528" t="str">
            <v>VYPRODÁNO</v>
          </cell>
          <cell r="C528" t="str">
            <v/>
          </cell>
          <cell r="D528">
            <v>0</v>
          </cell>
          <cell r="E528" t="str">
            <v/>
          </cell>
        </row>
        <row r="529">
          <cell r="A529" t="str">
            <v>C2520VI</v>
          </cell>
          <cell r="B529" t="str">
            <v>15.09.2024</v>
          </cell>
          <cell r="C529">
            <v>207</v>
          </cell>
          <cell r="D529">
            <v>0</v>
          </cell>
          <cell r="E529" t="str">
            <v/>
          </cell>
        </row>
        <row r="530">
          <cell r="A530" t="str">
            <v>C2520VI E</v>
          </cell>
          <cell r="B530" t="str">
            <v>SKLADEM</v>
          </cell>
          <cell r="C530" t="str">
            <v/>
          </cell>
          <cell r="D530">
            <v>0</v>
          </cell>
          <cell r="E530" t="str">
            <v/>
          </cell>
        </row>
        <row r="531">
          <cell r="A531" t="str">
            <v>C2520VI14</v>
          </cell>
          <cell r="B531" t="str">
            <v>VYPRODÁNO</v>
          </cell>
          <cell r="C531" t="str">
            <v/>
          </cell>
          <cell r="D531">
            <v>0</v>
          </cell>
          <cell r="E531" t="str">
            <v/>
          </cell>
        </row>
        <row r="532">
          <cell r="A532" t="str">
            <v>C2520Y</v>
          </cell>
          <cell r="B532" t="str">
            <v>VYPRODÁNO</v>
          </cell>
          <cell r="C532" t="str">
            <v/>
          </cell>
          <cell r="D532">
            <v>0</v>
          </cell>
          <cell r="E532" t="str">
            <v/>
          </cell>
        </row>
        <row r="533">
          <cell r="A533" t="str">
            <v>C2520Y E</v>
          </cell>
          <cell r="B533" t="str">
            <v>VYPRODÁNO</v>
          </cell>
          <cell r="C533" t="str">
            <v/>
          </cell>
          <cell r="D533">
            <v>0</v>
          </cell>
          <cell r="E533" t="str">
            <v/>
          </cell>
        </row>
        <row r="534">
          <cell r="A534" t="str">
            <v>C2520Y14</v>
          </cell>
          <cell r="B534" t="str">
            <v>VYPRODÁNO</v>
          </cell>
          <cell r="C534" t="str">
            <v/>
          </cell>
          <cell r="D534">
            <v>0</v>
          </cell>
          <cell r="E534" t="str">
            <v/>
          </cell>
        </row>
        <row r="535">
          <cell r="A535" t="str">
            <v>C2520Z</v>
          </cell>
          <cell r="B535" t="str">
            <v>SKLADEM</v>
          </cell>
          <cell r="C535" t="str">
            <v/>
          </cell>
          <cell r="D535">
            <v>0</v>
          </cell>
          <cell r="E535" t="str">
            <v/>
          </cell>
        </row>
        <row r="536">
          <cell r="A536" t="str">
            <v>C2520Z14</v>
          </cell>
          <cell r="B536" t="str">
            <v>VYPRODÁNO</v>
          </cell>
          <cell r="C536" t="str">
            <v/>
          </cell>
          <cell r="D536">
            <v>0</v>
          </cell>
          <cell r="E536" t="str">
            <v/>
          </cell>
        </row>
        <row r="537">
          <cell r="A537" t="str">
            <v>C25220XFS/C</v>
          </cell>
          <cell r="B537" t="str">
            <v>SKLADEM</v>
          </cell>
          <cell r="C537" t="str">
            <v/>
          </cell>
          <cell r="D537">
            <v>0</v>
          </cell>
          <cell r="E537" t="str">
            <v/>
          </cell>
        </row>
        <row r="538">
          <cell r="A538" t="str">
            <v>C25220XFS/C(T)</v>
          </cell>
          <cell r="B538" t="str">
            <v>SKLADEM</v>
          </cell>
          <cell r="C538" t="str">
            <v/>
          </cell>
          <cell r="D538">
            <v>0</v>
          </cell>
          <cell r="E538" t="str">
            <v/>
          </cell>
        </row>
        <row r="539">
          <cell r="A539" t="str">
            <v>C25220XFS/C14</v>
          </cell>
          <cell r="B539" t="str">
            <v>SKLADEM</v>
          </cell>
          <cell r="C539" t="str">
            <v/>
          </cell>
          <cell r="D539">
            <v>0</v>
          </cell>
          <cell r="E539" t="str">
            <v/>
          </cell>
        </row>
        <row r="540">
          <cell r="A540" t="str">
            <v>C25220XFS/C14(T)</v>
          </cell>
          <cell r="B540" t="str">
            <v>SKLADEM</v>
          </cell>
          <cell r="C540" t="str">
            <v/>
          </cell>
          <cell r="D540">
            <v>0</v>
          </cell>
          <cell r="E540" t="str">
            <v/>
          </cell>
        </row>
        <row r="541">
          <cell r="A541" t="str">
            <v>C2525A</v>
          </cell>
          <cell r="B541" t="str">
            <v>VYPRODÁNO</v>
          </cell>
          <cell r="C541" t="str">
            <v/>
          </cell>
          <cell r="D541">
            <v>0</v>
          </cell>
          <cell r="E541" t="str">
            <v/>
          </cell>
        </row>
        <row r="542">
          <cell r="A542" t="str">
            <v>C2525A14</v>
          </cell>
          <cell r="B542" t="str">
            <v>VYPRODÁNO</v>
          </cell>
          <cell r="C542" t="str">
            <v/>
          </cell>
          <cell r="D542">
            <v>0</v>
          </cell>
          <cell r="E542" t="str">
            <v/>
          </cell>
        </row>
        <row r="543">
          <cell r="A543" t="str">
            <v>C2525BPW</v>
          </cell>
          <cell r="B543" t="str">
            <v>SKLADEM</v>
          </cell>
          <cell r="C543" t="str">
            <v/>
          </cell>
          <cell r="D543">
            <v>0</v>
          </cell>
          <cell r="E543" t="str">
            <v/>
          </cell>
        </row>
        <row r="544">
          <cell r="A544" t="str">
            <v>C2525C</v>
          </cell>
          <cell r="B544" t="str">
            <v>SKLADEM</v>
          </cell>
          <cell r="C544" t="str">
            <v/>
          </cell>
          <cell r="D544">
            <v>0</v>
          </cell>
          <cell r="E544" t="str">
            <v/>
          </cell>
        </row>
        <row r="545">
          <cell r="A545" t="str">
            <v>C2525C E</v>
          </cell>
          <cell r="B545" t="str">
            <v>VYPRODÁNO</v>
          </cell>
          <cell r="C545" t="str">
            <v/>
          </cell>
          <cell r="D545">
            <v>0</v>
          </cell>
          <cell r="E545" t="str">
            <v/>
          </cell>
        </row>
        <row r="546">
          <cell r="A546" t="str">
            <v>C2525C14</v>
          </cell>
          <cell r="B546" t="str">
            <v>VYPRODÁNO</v>
          </cell>
          <cell r="C546" t="str">
            <v/>
          </cell>
          <cell r="D546">
            <v>0</v>
          </cell>
          <cell r="E546" t="str">
            <v/>
          </cell>
        </row>
        <row r="547">
          <cell r="A547" t="str">
            <v>C2525C14 E</v>
          </cell>
          <cell r="B547" t="str">
            <v>VYPRODÁNO</v>
          </cell>
          <cell r="C547" t="str">
            <v/>
          </cell>
          <cell r="D547">
            <v>0</v>
          </cell>
          <cell r="E547" t="str">
            <v/>
          </cell>
        </row>
        <row r="548">
          <cell r="A548" t="str">
            <v>C2525DU</v>
          </cell>
          <cell r="B548" t="str">
            <v>SKLADEM</v>
          </cell>
          <cell r="C548" t="str">
            <v/>
          </cell>
          <cell r="D548">
            <v>0</v>
          </cell>
          <cell r="E548" t="str">
            <v/>
          </cell>
        </row>
        <row r="549">
          <cell r="A549" t="str">
            <v>C2525DU E</v>
          </cell>
          <cell r="B549" t="str">
            <v>VYPRODÁNO</v>
          </cell>
          <cell r="C549" t="str">
            <v/>
          </cell>
          <cell r="D549">
            <v>0</v>
          </cell>
          <cell r="E549" t="str">
            <v/>
          </cell>
        </row>
        <row r="550">
          <cell r="A550" t="str">
            <v>C2525F</v>
          </cell>
          <cell r="B550" t="str">
            <v>VYPRODÁNO</v>
          </cell>
          <cell r="C550" t="str">
            <v/>
          </cell>
          <cell r="D550">
            <v>0</v>
          </cell>
          <cell r="E550" t="str">
            <v/>
          </cell>
        </row>
        <row r="551">
          <cell r="A551" t="str">
            <v>C2525F14</v>
          </cell>
          <cell r="B551" t="str">
            <v>VYPRODÁNO</v>
          </cell>
          <cell r="C551" t="str">
            <v/>
          </cell>
          <cell r="D551">
            <v>0</v>
          </cell>
          <cell r="E551" t="str">
            <v/>
          </cell>
        </row>
        <row r="552">
          <cell r="A552" t="str">
            <v>C2525GO</v>
          </cell>
          <cell r="B552" t="str">
            <v>VYPRODÁNO</v>
          </cell>
          <cell r="C552" t="str">
            <v/>
          </cell>
          <cell r="D552">
            <v>0</v>
          </cell>
          <cell r="E552" t="str">
            <v/>
          </cell>
        </row>
        <row r="553">
          <cell r="A553" t="str">
            <v>C2525GR</v>
          </cell>
          <cell r="B553" t="str">
            <v>VYPRODÁNO</v>
          </cell>
          <cell r="C553" t="str">
            <v/>
          </cell>
          <cell r="D553">
            <v>0</v>
          </cell>
          <cell r="E553" t="str">
            <v/>
          </cell>
        </row>
        <row r="554">
          <cell r="A554" t="str">
            <v>C2525GR14</v>
          </cell>
          <cell r="B554" t="str">
            <v>VYPRODÁNO</v>
          </cell>
          <cell r="C554" t="str">
            <v/>
          </cell>
          <cell r="D554">
            <v>0</v>
          </cell>
          <cell r="E554" t="str">
            <v/>
          </cell>
        </row>
        <row r="555">
          <cell r="A555" t="str">
            <v>C2525L</v>
          </cell>
          <cell r="B555" t="str">
            <v>SKLADEM</v>
          </cell>
          <cell r="C555" t="str">
            <v/>
          </cell>
          <cell r="D555">
            <v>0</v>
          </cell>
          <cell r="E555" t="str">
            <v/>
          </cell>
        </row>
        <row r="556">
          <cell r="A556" t="str">
            <v>C2525M</v>
          </cell>
          <cell r="B556" t="str">
            <v>VYPRODÁNO</v>
          </cell>
          <cell r="C556" t="str">
            <v/>
          </cell>
          <cell r="D556">
            <v>0</v>
          </cell>
          <cell r="E556" t="str">
            <v/>
          </cell>
        </row>
        <row r="557">
          <cell r="A557" t="str">
            <v>C2525M14</v>
          </cell>
          <cell r="B557" t="str">
            <v>VYPRODÁNO</v>
          </cell>
          <cell r="C557" t="str">
            <v/>
          </cell>
          <cell r="D557">
            <v>0</v>
          </cell>
          <cell r="E557" t="str">
            <v/>
          </cell>
        </row>
        <row r="558">
          <cell r="A558" t="str">
            <v>C2525SC14</v>
          </cell>
          <cell r="B558" t="str">
            <v>VYPRODÁNO</v>
          </cell>
          <cell r="C558" t="str">
            <v/>
          </cell>
          <cell r="D558">
            <v>0</v>
          </cell>
          <cell r="E558" t="str">
            <v/>
          </cell>
        </row>
        <row r="559">
          <cell r="A559" t="str">
            <v>C2525SIG</v>
          </cell>
          <cell r="B559" t="str">
            <v>SKLADEM</v>
          </cell>
          <cell r="C559" t="str">
            <v/>
          </cell>
          <cell r="D559">
            <v>0</v>
          </cell>
          <cell r="E559" t="str">
            <v/>
          </cell>
        </row>
        <row r="560">
          <cell r="A560" t="str">
            <v>C2525SIG E</v>
          </cell>
          <cell r="B560" t="str">
            <v>VYPRODÁNO</v>
          </cell>
          <cell r="C560" t="str">
            <v/>
          </cell>
          <cell r="D560">
            <v>0</v>
          </cell>
          <cell r="E560" t="str">
            <v/>
          </cell>
        </row>
        <row r="561">
          <cell r="A561" t="str">
            <v>C2525SIG14</v>
          </cell>
          <cell r="B561" t="str">
            <v>VYPRODÁNO</v>
          </cell>
          <cell r="C561" t="str">
            <v/>
          </cell>
          <cell r="D561">
            <v>0</v>
          </cell>
          <cell r="E561" t="str">
            <v/>
          </cell>
        </row>
        <row r="562">
          <cell r="A562" t="str">
            <v>C2525SIGI14</v>
          </cell>
          <cell r="B562" t="str">
            <v>VYPRODÁNO</v>
          </cell>
          <cell r="C562" t="str">
            <v/>
          </cell>
          <cell r="D562">
            <v>0</v>
          </cell>
          <cell r="E562" t="str">
            <v/>
          </cell>
        </row>
        <row r="563">
          <cell r="A563" t="str">
            <v>C2525T</v>
          </cell>
          <cell r="B563" t="str">
            <v>VYPRODÁNO</v>
          </cell>
          <cell r="C563" t="str">
            <v/>
          </cell>
          <cell r="D563">
            <v>0</v>
          </cell>
          <cell r="E563" t="str">
            <v/>
          </cell>
        </row>
        <row r="564">
          <cell r="A564" t="str">
            <v>C2525T E</v>
          </cell>
          <cell r="B564" t="str">
            <v>VYPRODÁNO</v>
          </cell>
          <cell r="C564" t="str">
            <v/>
          </cell>
          <cell r="D564">
            <v>0</v>
          </cell>
          <cell r="E564" t="str">
            <v/>
          </cell>
        </row>
        <row r="565">
          <cell r="A565" t="str">
            <v>C2525T14</v>
          </cell>
          <cell r="B565" t="str">
            <v>VYPRODÁNO</v>
          </cell>
          <cell r="C565" t="str">
            <v/>
          </cell>
          <cell r="D565">
            <v>0</v>
          </cell>
          <cell r="E565" t="str">
            <v/>
          </cell>
        </row>
        <row r="566">
          <cell r="A566" t="str">
            <v>C2525T14 E</v>
          </cell>
          <cell r="B566" t="str">
            <v>VYPRODÁNO</v>
          </cell>
          <cell r="C566" t="str">
            <v/>
          </cell>
          <cell r="D566">
            <v>0</v>
          </cell>
          <cell r="E566" t="str">
            <v/>
          </cell>
        </row>
        <row r="567">
          <cell r="A567" t="str">
            <v>C253A</v>
          </cell>
          <cell r="B567" t="str">
            <v>VYPRODÁNO</v>
          </cell>
          <cell r="C567" t="str">
            <v/>
          </cell>
          <cell r="D567">
            <v>0</v>
          </cell>
          <cell r="E567" t="str">
            <v/>
          </cell>
        </row>
        <row r="568">
          <cell r="A568" t="str">
            <v>C253A/P</v>
          </cell>
          <cell r="B568" t="str">
            <v>VYPRODÁNO</v>
          </cell>
          <cell r="C568" t="str">
            <v/>
          </cell>
          <cell r="D568">
            <v>0</v>
          </cell>
          <cell r="E568" t="str">
            <v/>
          </cell>
        </row>
        <row r="569">
          <cell r="A569" t="str">
            <v>C253B</v>
          </cell>
          <cell r="B569" t="str">
            <v>VYPRODÁNO</v>
          </cell>
          <cell r="C569" t="str">
            <v/>
          </cell>
          <cell r="D569">
            <v>0</v>
          </cell>
          <cell r="E569" t="str">
            <v/>
          </cell>
        </row>
        <row r="570">
          <cell r="A570" t="str">
            <v>C253B E</v>
          </cell>
          <cell r="B570" t="str">
            <v>VYPRODÁNO</v>
          </cell>
          <cell r="C570" t="str">
            <v/>
          </cell>
          <cell r="D570">
            <v>0</v>
          </cell>
          <cell r="E570" t="str">
            <v/>
          </cell>
        </row>
        <row r="571">
          <cell r="A571" t="str">
            <v>C253B14</v>
          </cell>
          <cell r="B571" t="str">
            <v>SKLADEM</v>
          </cell>
          <cell r="C571" t="str">
            <v/>
          </cell>
          <cell r="D571">
            <v>0</v>
          </cell>
          <cell r="E571" t="str">
            <v/>
          </cell>
        </row>
        <row r="572">
          <cell r="A572" t="str">
            <v>C253BP14</v>
          </cell>
          <cell r="B572" t="str">
            <v>SKLADEM</v>
          </cell>
          <cell r="C572" t="str">
            <v/>
          </cell>
          <cell r="D572">
            <v>0</v>
          </cell>
          <cell r="E572" t="str">
            <v/>
          </cell>
        </row>
        <row r="573">
          <cell r="A573" t="str">
            <v>C253BPF14</v>
          </cell>
          <cell r="B573" t="str">
            <v>SKLADEM</v>
          </cell>
          <cell r="C573" t="str">
            <v/>
          </cell>
          <cell r="D573">
            <v>0</v>
          </cell>
          <cell r="E573" t="str">
            <v/>
          </cell>
        </row>
        <row r="574">
          <cell r="A574" t="str">
            <v>C253C</v>
          </cell>
          <cell r="B574" t="str">
            <v>VYPRODÁNO</v>
          </cell>
          <cell r="C574" t="str">
            <v/>
          </cell>
          <cell r="D574">
            <v>0</v>
          </cell>
          <cell r="E574" t="str">
            <v/>
          </cell>
        </row>
        <row r="575">
          <cell r="A575" t="str">
            <v>C253C E</v>
          </cell>
          <cell r="B575" t="str">
            <v>VYPRODÁNO</v>
          </cell>
          <cell r="C575" t="str">
            <v/>
          </cell>
          <cell r="D575">
            <v>0</v>
          </cell>
          <cell r="E575" t="str">
            <v/>
          </cell>
        </row>
        <row r="576">
          <cell r="A576" t="str">
            <v>C253C/P</v>
          </cell>
          <cell r="B576" t="str">
            <v>VYPRODÁNO</v>
          </cell>
          <cell r="C576" t="str">
            <v/>
          </cell>
          <cell r="D576">
            <v>0</v>
          </cell>
          <cell r="E576" t="str">
            <v/>
          </cell>
        </row>
        <row r="577">
          <cell r="A577" t="str">
            <v>C253C14</v>
          </cell>
          <cell r="B577" t="str">
            <v>VYPRODÁNO</v>
          </cell>
          <cell r="C577" t="str">
            <v/>
          </cell>
          <cell r="D577">
            <v>0</v>
          </cell>
          <cell r="E577" t="str">
            <v/>
          </cell>
        </row>
        <row r="578">
          <cell r="A578" t="str">
            <v>C253COMA</v>
          </cell>
          <cell r="B578" t="str">
            <v>VYPRODÁNO</v>
          </cell>
          <cell r="C578" t="str">
            <v/>
          </cell>
          <cell r="D578">
            <v>0</v>
          </cell>
          <cell r="E578" t="str">
            <v/>
          </cell>
        </row>
        <row r="579">
          <cell r="A579" t="str">
            <v>C253COMB</v>
          </cell>
          <cell r="B579" t="str">
            <v>VYPRODÁNO</v>
          </cell>
          <cell r="C579" t="str">
            <v/>
          </cell>
          <cell r="D579">
            <v>0</v>
          </cell>
          <cell r="E579" t="str">
            <v/>
          </cell>
        </row>
        <row r="580">
          <cell r="A580" t="str">
            <v>C253D</v>
          </cell>
          <cell r="B580" t="str">
            <v>VYPRODÁNO</v>
          </cell>
          <cell r="C580" t="str">
            <v/>
          </cell>
          <cell r="D580">
            <v>0</v>
          </cell>
          <cell r="E580" t="str">
            <v/>
          </cell>
        </row>
        <row r="581">
          <cell r="A581" t="str">
            <v>C253D/P</v>
          </cell>
          <cell r="B581" t="str">
            <v>VYPRODÁNO</v>
          </cell>
          <cell r="C581" t="str">
            <v/>
          </cell>
          <cell r="D581">
            <v>0</v>
          </cell>
          <cell r="E581" t="str">
            <v/>
          </cell>
        </row>
        <row r="582">
          <cell r="A582" t="str">
            <v>C253D14</v>
          </cell>
          <cell r="B582" t="str">
            <v>VYPRODÁNO</v>
          </cell>
          <cell r="C582" t="str">
            <v/>
          </cell>
          <cell r="D582">
            <v>0</v>
          </cell>
          <cell r="E582" t="str">
            <v/>
          </cell>
        </row>
        <row r="583">
          <cell r="A583" t="str">
            <v>C253DIA</v>
          </cell>
          <cell r="B583" t="str">
            <v>VYPRODÁNO</v>
          </cell>
          <cell r="C583" t="str">
            <v/>
          </cell>
          <cell r="D583">
            <v>0</v>
          </cell>
          <cell r="E583" t="str">
            <v/>
          </cell>
        </row>
        <row r="584">
          <cell r="A584" t="str">
            <v>C253DU</v>
          </cell>
          <cell r="B584" t="str">
            <v>20.06.2024</v>
          </cell>
          <cell r="C584">
            <v>120</v>
          </cell>
          <cell r="D584">
            <v>0</v>
          </cell>
          <cell r="E584" t="str">
            <v/>
          </cell>
        </row>
        <row r="585">
          <cell r="A585" t="str">
            <v>C253DU E</v>
          </cell>
          <cell r="B585" t="str">
            <v>VYPRODÁNO</v>
          </cell>
          <cell r="C585" t="str">
            <v/>
          </cell>
          <cell r="D585">
            <v>0</v>
          </cell>
          <cell r="E585" t="str">
            <v/>
          </cell>
        </row>
        <row r="586">
          <cell r="A586" t="str">
            <v>C253DU/P</v>
          </cell>
          <cell r="B586" t="str">
            <v>VYPRODÁNO</v>
          </cell>
          <cell r="C586" t="str">
            <v/>
          </cell>
          <cell r="D586">
            <v>0</v>
          </cell>
          <cell r="E586" t="str">
            <v/>
          </cell>
        </row>
        <row r="587">
          <cell r="A587" t="str">
            <v>C253DUI14</v>
          </cell>
          <cell r="B587" t="str">
            <v>VYPRODÁNO</v>
          </cell>
          <cell r="C587" t="str">
            <v/>
          </cell>
          <cell r="D587">
            <v>0</v>
          </cell>
          <cell r="E587" t="str">
            <v/>
          </cell>
        </row>
        <row r="588">
          <cell r="A588" t="str">
            <v>C253E</v>
          </cell>
          <cell r="B588" t="str">
            <v>VYPRODÁNO</v>
          </cell>
          <cell r="C588" t="str">
            <v/>
          </cell>
          <cell r="D588">
            <v>0</v>
          </cell>
          <cell r="E588" t="str">
            <v/>
          </cell>
        </row>
        <row r="589">
          <cell r="A589" t="str">
            <v>C253E E</v>
          </cell>
          <cell r="B589" t="str">
            <v>VYPRODÁNO</v>
          </cell>
          <cell r="C589" t="str">
            <v/>
          </cell>
          <cell r="D589">
            <v>0</v>
          </cell>
          <cell r="E589" t="str">
            <v/>
          </cell>
        </row>
        <row r="590">
          <cell r="A590" t="str">
            <v>C253E/P</v>
          </cell>
          <cell r="B590" t="str">
            <v>VYPRODÁNO</v>
          </cell>
          <cell r="C590" t="str">
            <v/>
          </cell>
          <cell r="D590">
            <v>0</v>
          </cell>
          <cell r="E590" t="str">
            <v/>
          </cell>
        </row>
        <row r="591">
          <cell r="A591" t="str">
            <v>C253E14</v>
          </cell>
          <cell r="B591" t="str">
            <v>SKLADEM</v>
          </cell>
          <cell r="C591" t="str">
            <v/>
          </cell>
          <cell r="D591">
            <v>0</v>
          </cell>
          <cell r="E591" t="str">
            <v/>
          </cell>
        </row>
        <row r="592">
          <cell r="A592" t="str">
            <v>C253EH</v>
          </cell>
          <cell r="B592" t="str">
            <v>VYPRODÁNO</v>
          </cell>
          <cell r="C592" t="str">
            <v/>
          </cell>
          <cell r="D592">
            <v>0</v>
          </cell>
          <cell r="E592" t="str">
            <v/>
          </cell>
        </row>
        <row r="593">
          <cell r="A593" t="str">
            <v>C253F</v>
          </cell>
          <cell r="B593" t="str">
            <v>VYPRODÁNO</v>
          </cell>
          <cell r="C593" t="str">
            <v/>
          </cell>
          <cell r="D593">
            <v>0</v>
          </cell>
          <cell r="E593" t="str">
            <v/>
          </cell>
        </row>
        <row r="594">
          <cell r="A594" t="str">
            <v>C253F14</v>
          </cell>
          <cell r="B594" t="str">
            <v>DOCHÁZÍ</v>
          </cell>
          <cell r="C594" t="str">
            <v/>
          </cell>
          <cell r="D594">
            <v>0</v>
          </cell>
          <cell r="E594">
            <v>2</v>
          </cell>
        </row>
        <row r="595">
          <cell r="A595" t="str">
            <v>C253F14 E</v>
          </cell>
          <cell r="B595" t="str">
            <v>VYPRODÁNO</v>
          </cell>
          <cell r="C595" t="str">
            <v/>
          </cell>
          <cell r="D595">
            <v>0</v>
          </cell>
          <cell r="E595" t="str">
            <v/>
          </cell>
        </row>
        <row r="596">
          <cell r="A596" t="str">
            <v>C253FE</v>
          </cell>
          <cell r="B596" t="str">
            <v>VYPRODÁNO</v>
          </cell>
          <cell r="C596" t="str">
            <v/>
          </cell>
          <cell r="D596">
            <v>0</v>
          </cell>
          <cell r="E596" t="str">
            <v/>
          </cell>
        </row>
        <row r="597">
          <cell r="A597" t="str">
            <v>C253FE14</v>
          </cell>
          <cell r="B597" t="str">
            <v>VYPRODÁNO</v>
          </cell>
          <cell r="C597" t="str">
            <v/>
          </cell>
          <cell r="D597">
            <v>0</v>
          </cell>
          <cell r="E597" t="str">
            <v/>
          </cell>
        </row>
        <row r="598">
          <cell r="A598" t="str">
            <v>C253FE14 E</v>
          </cell>
          <cell r="B598" t="str">
            <v>VYPRODÁNO</v>
          </cell>
          <cell r="C598" t="str">
            <v/>
          </cell>
          <cell r="D598">
            <v>0</v>
          </cell>
          <cell r="E598" t="str">
            <v/>
          </cell>
        </row>
        <row r="599">
          <cell r="A599" t="str">
            <v>C253FR</v>
          </cell>
          <cell r="B599" t="str">
            <v>30.04.2024</v>
          </cell>
          <cell r="C599">
            <v>69</v>
          </cell>
          <cell r="D599">
            <v>0</v>
          </cell>
          <cell r="E599" t="str">
            <v/>
          </cell>
        </row>
        <row r="600">
          <cell r="A600" t="str">
            <v>C253G</v>
          </cell>
          <cell r="B600" t="str">
            <v>VYPRODÁNO</v>
          </cell>
          <cell r="C600" t="str">
            <v/>
          </cell>
          <cell r="D600">
            <v>0</v>
          </cell>
          <cell r="E600" t="str">
            <v/>
          </cell>
        </row>
        <row r="601">
          <cell r="A601" t="str">
            <v>C253G14</v>
          </cell>
          <cell r="B601" t="str">
            <v>VYPRODÁNO</v>
          </cell>
          <cell r="C601" t="str">
            <v/>
          </cell>
          <cell r="D601">
            <v>0</v>
          </cell>
          <cell r="E601" t="str">
            <v/>
          </cell>
        </row>
        <row r="602">
          <cell r="A602" t="str">
            <v>C253G14 E</v>
          </cell>
          <cell r="B602" t="str">
            <v>VYPRODÁNO</v>
          </cell>
          <cell r="C602" t="str">
            <v/>
          </cell>
          <cell r="D602">
            <v>0</v>
          </cell>
          <cell r="E602" t="str">
            <v/>
          </cell>
        </row>
        <row r="603">
          <cell r="A603" t="str">
            <v>C253H</v>
          </cell>
          <cell r="B603" t="str">
            <v>VYPRODÁNO</v>
          </cell>
          <cell r="C603" t="str">
            <v/>
          </cell>
          <cell r="D603">
            <v>0</v>
          </cell>
          <cell r="E603" t="str">
            <v/>
          </cell>
        </row>
        <row r="604">
          <cell r="A604" t="str">
            <v>C253H E</v>
          </cell>
          <cell r="B604" t="str">
            <v>VYPRODÁNO</v>
          </cell>
          <cell r="C604" t="str">
            <v/>
          </cell>
          <cell r="D604">
            <v>0</v>
          </cell>
          <cell r="E604" t="str">
            <v/>
          </cell>
        </row>
        <row r="605">
          <cell r="A605" t="str">
            <v>C253CH</v>
          </cell>
          <cell r="B605" t="str">
            <v>DOCHÁZÍ</v>
          </cell>
          <cell r="C605" t="str">
            <v/>
          </cell>
          <cell r="D605">
            <v>0</v>
          </cell>
          <cell r="E605">
            <v>4</v>
          </cell>
        </row>
        <row r="606">
          <cell r="A606" t="str">
            <v>C253I E</v>
          </cell>
          <cell r="B606" t="str">
            <v>VYPRODÁNO</v>
          </cell>
          <cell r="C606" t="str">
            <v/>
          </cell>
          <cell r="D606">
            <v>0</v>
          </cell>
          <cell r="E606" t="str">
            <v/>
          </cell>
        </row>
        <row r="607">
          <cell r="A607" t="str">
            <v>C253I14</v>
          </cell>
          <cell r="B607" t="str">
            <v>VYPRODÁNO</v>
          </cell>
          <cell r="C607" t="str">
            <v/>
          </cell>
          <cell r="D607">
            <v>0</v>
          </cell>
          <cell r="E607" t="str">
            <v/>
          </cell>
        </row>
        <row r="608">
          <cell r="A608" t="str">
            <v>C253J</v>
          </cell>
          <cell r="B608" t="str">
            <v>VYPRODÁNO</v>
          </cell>
          <cell r="C608" t="str">
            <v/>
          </cell>
          <cell r="D608">
            <v>0</v>
          </cell>
          <cell r="E608" t="str">
            <v/>
          </cell>
        </row>
        <row r="609">
          <cell r="A609" t="str">
            <v>C253L</v>
          </cell>
          <cell r="B609" t="str">
            <v>VYPRODÁNO</v>
          </cell>
          <cell r="C609" t="str">
            <v/>
          </cell>
          <cell r="D609">
            <v>0</v>
          </cell>
          <cell r="E609" t="str">
            <v/>
          </cell>
        </row>
        <row r="610">
          <cell r="A610" t="str">
            <v>C253M</v>
          </cell>
          <cell r="B610" t="str">
            <v>VYPRODÁNO</v>
          </cell>
          <cell r="C610" t="str">
            <v/>
          </cell>
          <cell r="D610">
            <v>0</v>
          </cell>
          <cell r="E610" t="str">
            <v/>
          </cell>
        </row>
        <row r="611">
          <cell r="A611" t="str">
            <v>C253MIX/E</v>
          </cell>
          <cell r="B611" t="str">
            <v>VYPRODÁNO</v>
          </cell>
          <cell r="C611" t="str">
            <v/>
          </cell>
          <cell r="D611">
            <v>0</v>
          </cell>
          <cell r="E611" t="str">
            <v/>
          </cell>
        </row>
        <row r="612">
          <cell r="A612" t="str">
            <v>C253MY</v>
          </cell>
          <cell r="B612" t="str">
            <v>30.04.2024</v>
          </cell>
          <cell r="C612">
            <v>69</v>
          </cell>
          <cell r="D612">
            <v>0</v>
          </cell>
          <cell r="E612" t="str">
            <v/>
          </cell>
        </row>
        <row r="613">
          <cell r="A613" t="str">
            <v>C253N</v>
          </cell>
          <cell r="B613" t="str">
            <v>VYPRODÁNO</v>
          </cell>
          <cell r="C613" t="str">
            <v/>
          </cell>
          <cell r="D613">
            <v>0</v>
          </cell>
          <cell r="E613" t="str">
            <v/>
          </cell>
        </row>
        <row r="614">
          <cell r="A614" t="str">
            <v>C253NID14</v>
          </cell>
          <cell r="B614" t="str">
            <v>VYPRODÁNO</v>
          </cell>
          <cell r="C614" t="str">
            <v/>
          </cell>
          <cell r="D614">
            <v>0</v>
          </cell>
          <cell r="E614" t="str">
            <v/>
          </cell>
        </row>
        <row r="615">
          <cell r="A615" t="str">
            <v>C253NO14</v>
          </cell>
          <cell r="B615" t="str">
            <v>15.09.2024</v>
          </cell>
          <cell r="C615">
            <v>207</v>
          </cell>
          <cell r="D615">
            <v>0</v>
          </cell>
          <cell r="E615" t="str">
            <v/>
          </cell>
        </row>
        <row r="616">
          <cell r="A616" t="str">
            <v>C253NO14 E</v>
          </cell>
          <cell r="B616" t="str">
            <v>VYPRODÁNO</v>
          </cell>
          <cell r="C616" t="str">
            <v/>
          </cell>
          <cell r="D616">
            <v>0</v>
          </cell>
          <cell r="E616" t="str">
            <v/>
          </cell>
        </row>
        <row r="617">
          <cell r="A617" t="str">
            <v>C253O</v>
          </cell>
          <cell r="B617" t="str">
            <v>15.08.2024</v>
          </cell>
          <cell r="C617">
            <v>176</v>
          </cell>
          <cell r="D617">
            <v>0</v>
          </cell>
          <cell r="E617" t="str">
            <v/>
          </cell>
        </row>
        <row r="618">
          <cell r="A618" t="str">
            <v>C253P</v>
          </cell>
          <cell r="B618" t="str">
            <v>VYPRODÁNO</v>
          </cell>
          <cell r="C618" t="str">
            <v/>
          </cell>
          <cell r="D618">
            <v>0</v>
          </cell>
          <cell r="E618" t="str">
            <v/>
          </cell>
        </row>
        <row r="619">
          <cell r="A619" t="str">
            <v>C253P/2</v>
          </cell>
          <cell r="B619" t="str">
            <v>VYPRODÁNO</v>
          </cell>
          <cell r="C619" t="str">
            <v/>
          </cell>
          <cell r="D619">
            <v>0</v>
          </cell>
          <cell r="E619" t="str">
            <v/>
          </cell>
        </row>
        <row r="620">
          <cell r="A620" t="str">
            <v>C253P/2(1)</v>
          </cell>
          <cell r="B620" t="str">
            <v>VYPRODÁNO</v>
          </cell>
          <cell r="C620" t="str">
            <v/>
          </cell>
          <cell r="D620">
            <v>0</v>
          </cell>
          <cell r="E620" t="str">
            <v/>
          </cell>
        </row>
        <row r="621">
          <cell r="A621" t="str">
            <v>C253Q/D</v>
          </cell>
          <cell r="B621" t="str">
            <v>VYPRODÁNO</v>
          </cell>
          <cell r="C621" t="str">
            <v/>
          </cell>
          <cell r="D621">
            <v>0</v>
          </cell>
          <cell r="E621" t="str">
            <v/>
          </cell>
        </row>
        <row r="622">
          <cell r="A622" t="str">
            <v>C253R</v>
          </cell>
          <cell r="B622" t="str">
            <v>VYPRODÁNO</v>
          </cell>
          <cell r="C622" t="str">
            <v/>
          </cell>
          <cell r="D622">
            <v>0</v>
          </cell>
          <cell r="E622" t="str">
            <v/>
          </cell>
        </row>
        <row r="623">
          <cell r="A623" t="str">
            <v>C253RUB</v>
          </cell>
          <cell r="B623" t="str">
            <v>VYPRODÁNO</v>
          </cell>
          <cell r="C623" t="str">
            <v/>
          </cell>
          <cell r="D623">
            <v>0</v>
          </cell>
          <cell r="E623" t="str">
            <v/>
          </cell>
        </row>
        <row r="624">
          <cell r="A624" t="str">
            <v>C253S</v>
          </cell>
          <cell r="B624" t="str">
            <v>VYPRODÁNO</v>
          </cell>
          <cell r="C624" t="str">
            <v/>
          </cell>
          <cell r="D624">
            <v>0</v>
          </cell>
          <cell r="E624" t="str">
            <v/>
          </cell>
        </row>
        <row r="625">
          <cell r="A625" t="str">
            <v>C253SIG</v>
          </cell>
          <cell r="B625" t="str">
            <v>15.08.2024</v>
          </cell>
          <cell r="C625">
            <v>176</v>
          </cell>
          <cell r="D625">
            <v>0</v>
          </cell>
          <cell r="E625" t="str">
            <v/>
          </cell>
        </row>
        <row r="626">
          <cell r="A626" t="str">
            <v>C253SIGN14</v>
          </cell>
          <cell r="B626" t="str">
            <v>VYPRODÁNO</v>
          </cell>
          <cell r="C626" t="str">
            <v/>
          </cell>
          <cell r="D626">
            <v>0</v>
          </cell>
          <cell r="E626" t="str">
            <v/>
          </cell>
        </row>
        <row r="627">
          <cell r="A627" t="str">
            <v>C253SIGN14 E</v>
          </cell>
          <cell r="B627" t="str">
            <v>VYPRODÁNO</v>
          </cell>
          <cell r="C627" t="str">
            <v/>
          </cell>
          <cell r="D627">
            <v>0</v>
          </cell>
          <cell r="E627" t="str">
            <v/>
          </cell>
        </row>
        <row r="628">
          <cell r="A628" t="str">
            <v>C253SK</v>
          </cell>
          <cell r="B628" t="str">
            <v>VYPRODÁNO</v>
          </cell>
          <cell r="C628" t="str">
            <v/>
          </cell>
          <cell r="D628">
            <v>0</v>
          </cell>
          <cell r="E628" t="str">
            <v/>
          </cell>
        </row>
        <row r="629">
          <cell r="A629" t="str">
            <v>C253SK14</v>
          </cell>
          <cell r="B629" t="str">
            <v>VYPRODÁNO</v>
          </cell>
          <cell r="C629" t="str">
            <v/>
          </cell>
          <cell r="D629">
            <v>0</v>
          </cell>
          <cell r="E629" t="str">
            <v/>
          </cell>
        </row>
        <row r="630">
          <cell r="A630" t="str">
            <v>C253ST</v>
          </cell>
          <cell r="B630" t="str">
            <v>VYPRODÁNO</v>
          </cell>
          <cell r="C630" t="str">
            <v/>
          </cell>
          <cell r="D630">
            <v>0</v>
          </cell>
          <cell r="E630" t="str">
            <v/>
          </cell>
        </row>
        <row r="631">
          <cell r="A631" t="str">
            <v>C253T</v>
          </cell>
          <cell r="B631" t="str">
            <v>VYPRODÁNO</v>
          </cell>
          <cell r="C631" t="str">
            <v/>
          </cell>
          <cell r="D631">
            <v>0</v>
          </cell>
          <cell r="E631" t="str">
            <v/>
          </cell>
        </row>
        <row r="632">
          <cell r="A632" t="str">
            <v>C253TH</v>
          </cell>
          <cell r="B632" t="str">
            <v>VYPRODÁNO</v>
          </cell>
          <cell r="C632" t="str">
            <v/>
          </cell>
          <cell r="D632">
            <v>0</v>
          </cell>
          <cell r="E632" t="str">
            <v/>
          </cell>
        </row>
        <row r="633">
          <cell r="A633" t="str">
            <v>C253TH14</v>
          </cell>
          <cell r="B633" t="str">
            <v>SKLADEM</v>
          </cell>
          <cell r="C633" t="str">
            <v/>
          </cell>
          <cell r="D633">
            <v>0</v>
          </cell>
          <cell r="E633" t="str">
            <v/>
          </cell>
        </row>
        <row r="634">
          <cell r="A634" t="str">
            <v>C253TH14 E</v>
          </cell>
          <cell r="B634" t="str">
            <v>VYPRODÁNO</v>
          </cell>
          <cell r="C634" t="str">
            <v/>
          </cell>
          <cell r="D634">
            <v>0</v>
          </cell>
          <cell r="E634" t="str">
            <v/>
          </cell>
        </row>
        <row r="635">
          <cell r="A635" t="str">
            <v>C253U</v>
          </cell>
          <cell r="B635" t="str">
            <v>VYPRODÁNO</v>
          </cell>
          <cell r="C635" t="str">
            <v/>
          </cell>
          <cell r="D635">
            <v>0</v>
          </cell>
          <cell r="E635" t="str">
            <v/>
          </cell>
        </row>
        <row r="636">
          <cell r="A636" t="str">
            <v>C253V</v>
          </cell>
          <cell r="B636" t="str">
            <v>VYPRODÁNO</v>
          </cell>
          <cell r="C636" t="str">
            <v/>
          </cell>
          <cell r="D636">
            <v>0</v>
          </cell>
          <cell r="E636" t="str">
            <v/>
          </cell>
        </row>
        <row r="637">
          <cell r="A637" t="str">
            <v>C253W</v>
          </cell>
          <cell r="B637" t="str">
            <v>VYPRODÁNO</v>
          </cell>
          <cell r="C637" t="str">
            <v/>
          </cell>
          <cell r="D637">
            <v>0</v>
          </cell>
          <cell r="E637" t="str">
            <v/>
          </cell>
        </row>
        <row r="638">
          <cell r="A638" t="str">
            <v>C253X</v>
          </cell>
          <cell r="B638" t="str">
            <v>VYPRODÁNO</v>
          </cell>
          <cell r="C638" t="str">
            <v/>
          </cell>
          <cell r="D638">
            <v>0</v>
          </cell>
          <cell r="E638" t="str">
            <v/>
          </cell>
        </row>
        <row r="639">
          <cell r="A639" t="str">
            <v>C253XMPT/C</v>
          </cell>
          <cell r="B639" t="str">
            <v>SKLADEM</v>
          </cell>
          <cell r="C639" t="str">
            <v/>
          </cell>
          <cell r="D639">
            <v>0</v>
          </cell>
          <cell r="E639" t="str">
            <v/>
          </cell>
        </row>
        <row r="640">
          <cell r="A640" t="str">
            <v>C253XMPT/C(T)</v>
          </cell>
          <cell r="B640" t="str">
            <v>SKLADEM</v>
          </cell>
          <cell r="C640" t="str">
            <v/>
          </cell>
          <cell r="D640">
            <v>0</v>
          </cell>
          <cell r="E640" t="str">
            <v/>
          </cell>
        </row>
        <row r="641">
          <cell r="A641" t="str">
            <v>C253XXA14</v>
          </cell>
          <cell r="B641" t="str">
            <v>VYPRODÁNO</v>
          </cell>
          <cell r="C641" t="str">
            <v/>
          </cell>
          <cell r="D641">
            <v>0</v>
          </cell>
          <cell r="E641" t="str">
            <v/>
          </cell>
        </row>
        <row r="642">
          <cell r="A642" t="str">
            <v>C253XXB14</v>
          </cell>
          <cell r="B642" t="str">
            <v>VYPRODÁNO</v>
          </cell>
          <cell r="C642" t="str">
            <v/>
          </cell>
          <cell r="D642">
            <v>0</v>
          </cell>
          <cell r="E642" t="str">
            <v/>
          </cell>
        </row>
        <row r="643">
          <cell r="A643" t="str">
            <v>C253Y</v>
          </cell>
          <cell r="B643" t="str">
            <v>VYPRODÁNO</v>
          </cell>
          <cell r="C643" t="str">
            <v/>
          </cell>
          <cell r="D643">
            <v>0</v>
          </cell>
          <cell r="E643" t="str">
            <v/>
          </cell>
        </row>
        <row r="644">
          <cell r="A644" t="str">
            <v>C253Z</v>
          </cell>
          <cell r="B644" t="str">
            <v>VYPRODÁNO</v>
          </cell>
          <cell r="C644" t="str">
            <v/>
          </cell>
          <cell r="D644">
            <v>0</v>
          </cell>
          <cell r="E644" t="str">
            <v/>
          </cell>
        </row>
        <row r="645">
          <cell r="A645" t="str">
            <v>C253Z/1</v>
          </cell>
          <cell r="B645" t="str">
            <v>VYPRODÁNO</v>
          </cell>
          <cell r="C645" t="str">
            <v/>
          </cell>
          <cell r="D645">
            <v>0</v>
          </cell>
          <cell r="E645" t="str">
            <v/>
          </cell>
        </row>
        <row r="646">
          <cell r="A646" t="str">
            <v>C253Z/2</v>
          </cell>
          <cell r="B646" t="str">
            <v>VYPRODÁNO</v>
          </cell>
          <cell r="C646" t="str">
            <v/>
          </cell>
          <cell r="D646">
            <v>0</v>
          </cell>
          <cell r="E646" t="str">
            <v/>
          </cell>
        </row>
        <row r="647">
          <cell r="A647" t="str">
            <v>C2545DI</v>
          </cell>
          <cell r="B647" t="str">
            <v>15.06.2024</v>
          </cell>
          <cell r="C647">
            <v>115</v>
          </cell>
          <cell r="D647">
            <v>0</v>
          </cell>
          <cell r="E647" t="str">
            <v/>
          </cell>
        </row>
        <row r="648">
          <cell r="A648" t="str">
            <v>C2545MA</v>
          </cell>
          <cell r="B648" t="str">
            <v>SKLADEM</v>
          </cell>
          <cell r="C648" t="str">
            <v/>
          </cell>
          <cell r="D648">
            <v>0</v>
          </cell>
          <cell r="E648" t="str">
            <v/>
          </cell>
        </row>
        <row r="649">
          <cell r="A649" t="str">
            <v>C2545NO</v>
          </cell>
          <cell r="B649" t="str">
            <v>SKLADEM</v>
          </cell>
          <cell r="C649" t="str">
            <v/>
          </cell>
          <cell r="D649">
            <v>0</v>
          </cell>
          <cell r="E649" t="str">
            <v/>
          </cell>
        </row>
        <row r="650">
          <cell r="A650" t="str">
            <v>C255BP</v>
          </cell>
          <cell r="B650" t="str">
            <v>20.06.2024</v>
          </cell>
          <cell r="C650">
            <v>120</v>
          </cell>
          <cell r="D650">
            <v>0</v>
          </cell>
          <cell r="E650" t="str">
            <v/>
          </cell>
        </row>
        <row r="651">
          <cell r="A651" t="str">
            <v>C255BP E</v>
          </cell>
          <cell r="B651" t="str">
            <v>VYPRODÁNO</v>
          </cell>
          <cell r="C651" t="str">
            <v/>
          </cell>
          <cell r="D651">
            <v>0</v>
          </cell>
          <cell r="E651" t="str">
            <v/>
          </cell>
        </row>
        <row r="652">
          <cell r="A652" t="str">
            <v>C255D</v>
          </cell>
          <cell r="B652" t="str">
            <v>VYPRODÁNO</v>
          </cell>
          <cell r="C652" t="str">
            <v/>
          </cell>
          <cell r="D652">
            <v>0</v>
          </cell>
          <cell r="E652" t="str">
            <v/>
          </cell>
        </row>
        <row r="653">
          <cell r="A653" t="str">
            <v>C255E</v>
          </cell>
          <cell r="B653" t="str">
            <v>VYPRODÁNO</v>
          </cell>
          <cell r="C653" t="str">
            <v/>
          </cell>
          <cell r="D653">
            <v>0</v>
          </cell>
          <cell r="E653" t="str">
            <v/>
          </cell>
        </row>
        <row r="654">
          <cell r="A654" t="str">
            <v>C255E E</v>
          </cell>
          <cell r="B654" t="str">
            <v>VYPRODÁNO</v>
          </cell>
          <cell r="C654" t="str">
            <v/>
          </cell>
          <cell r="D654">
            <v>0</v>
          </cell>
          <cell r="E654" t="str">
            <v/>
          </cell>
        </row>
        <row r="655">
          <cell r="A655" t="str">
            <v>C255CH</v>
          </cell>
          <cell r="B655" t="str">
            <v>VYPRODÁNO</v>
          </cell>
          <cell r="C655" t="str">
            <v/>
          </cell>
          <cell r="D655">
            <v>0</v>
          </cell>
          <cell r="E655" t="str">
            <v/>
          </cell>
        </row>
        <row r="656">
          <cell r="A656" t="str">
            <v>C255CH E</v>
          </cell>
          <cell r="B656" t="str">
            <v>VYPRODÁNO</v>
          </cell>
          <cell r="C656" t="str">
            <v/>
          </cell>
          <cell r="D656">
            <v>0</v>
          </cell>
          <cell r="E656" t="str">
            <v/>
          </cell>
        </row>
        <row r="657">
          <cell r="A657" t="str">
            <v>C255L</v>
          </cell>
          <cell r="B657" t="str">
            <v>VYPRODÁNO</v>
          </cell>
          <cell r="C657" t="str">
            <v/>
          </cell>
          <cell r="D657">
            <v>0</v>
          </cell>
          <cell r="E657" t="str">
            <v/>
          </cell>
        </row>
        <row r="658">
          <cell r="A658" t="str">
            <v>C255M</v>
          </cell>
          <cell r="B658" t="str">
            <v>VYPRODÁNO</v>
          </cell>
          <cell r="C658" t="str">
            <v/>
          </cell>
          <cell r="D658">
            <v>0</v>
          </cell>
          <cell r="E658" t="str">
            <v/>
          </cell>
        </row>
        <row r="659">
          <cell r="A659" t="str">
            <v>C255Z</v>
          </cell>
          <cell r="B659" t="str">
            <v>VYPRODÁNO</v>
          </cell>
          <cell r="C659" t="str">
            <v/>
          </cell>
          <cell r="D659">
            <v>0</v>
          </cell>
          <cell r="E659" t="str">
            <v/>
          </cell>
        </row>
        <row r="660">
          <cell r="A660" t="str">
            <v>C25620F/C</v>
          </cell>
          <cell r="B660" t="str">
            <v>SKLADEM</v>
          </cell>
          <cell r="C660" t="str">
            <v/>
          </cell>
          <cell r="D660">
            <v>0</v>
          </cell>
          <cell r="E660" t="str">
            <v/>
          </cell>
        </row>
        <row r="661">
          <cell r="A661" t="str">
            <v>C25620F/C(T)</v>
          </cell>
          <cell r="B661" t="str">
            <v>SKLADEM</v>
          </cell>
          <cell r="C661" t="str">
            <v/>
          </cell>
          <cell r="D661">
            <v>0</v>
          </cell>
          <cell r="E661" t="str">
            <v/>
          </cell>
        </row>
        <row r="662">
          <cell r="A662" t="str">
            <v>C25620F/C14</v>
          </cell>
          <cell r="B662" t="str">
            <v>SKLADEM</v>
          </cell>
          <cell r="C662" t="str">
            <v/>
          </cell>
          <cell r="D662">
            <v>0</v>
          </cell>
          <cell r="E662" t="str">
            <v/>
          </cell>
        </row>
        <row r="663">
          <cell r="A663" t="str">
            <v>C25620F/C14 E</v>
          </cell>
          <cell r="B663" t="str">
            <v>VYPRODÁNO</v>
          </cell>
          <cell r="C663" t="str">
            <v/>
          </cell>
          <cell r="D663">
            <v>0</v>
          </cell>
          <cell r="E663" t="str">
            <v/>
          </cell>
        </row>
        <row r="664">
          <cell r="A664" t="str">
            <v>C25620F/C14(T)</v>
          </cell>
          <cell r="B664" t="str">
            <v>SKLADEM</v>
          </cell>
          <cell r="C664" t="str">
            <v/>
          </cell>
          <cell r="D664">
            <v>0</v>
          </cell>
          <cell r="E664" t="str">
            <v/>
          </cell>
        </row>
        <row r="665">
          <cell r="A665" t="str">
            <v>C2563F/C</v>
          </cell>
          <cell r="B665" t="str">
            <v>VYPRODÁNO</v>
          </cell>
          <cell r="C665" t="str">
            <v/>
          </cell>
          <cell r="D665">
            <v>0</v>
          </cell>
          <cell r="E665" t="str">
            <v/>
          </cell>
        </row>
        <row r="666">
          <cell r="A666" t="str">
            <v>C2563F/C(T)</v>
          </cell>
          <cell r="B666" t="str">
            <v>VYPRODÁNO</v>
          </cell>
          <cell r="C666" t="str">
            <v/>
          </cell>
          <cell r="D666">
            <v>0</v>
          </cell>
          <cell r="E666" t="str">
            <v/>
          </cell>
        </row>
        <row r="667">
          <cell r="A667" t="str">
            <v>C2563XMF/C</v>
          </cell>
          <cell r="B667" t="str">
            <v>SKLADEM</v>
          </cell>
          <cell r="C667" t="str">
            <v/>
          </cell>
          <cell r="D667">
            <v>0</v>
          </cell>
          <cell r="E667" t="str">
            <v/>
          </cell>
        </row>
        <row r="668">
          <cell r="A668" t="str">
            <v>C2563XMF/C(T)</v>
          </cell>
          <cell r="B668" t="str">
            <v>SKLADEM</v>
          </cell>
          <cell r="C668" t="str">
            <v/>
          </cell>
          <cell r="D668">
            <v>0</v>
          </cell>
          <cell r="E668" t="str">
            <v/>
          </cell>
        </row>
        <row r="669">
          <cell r="A669" t="str">
            <v>C256XMPT/C</v>
          </cell>
          <cell r="B669" t="str">
            <v>VYPRODÁNO</v>
          </cell>
          <cell r="C669" t="str">
            <v/>
          </cell>
          <cell r="D669">
            <v>0</v>
          </cell>
          <cell r="E669" t="str">
            <v/>
          </cell>
        </row>
        <row r="670">
          <cell r="A670" t="str">
            <v>C256XMPT/C(T)</v>
          </cell>
          <cell r="B670" t="str">
            <v>VYPRODÁNO</v>
          </cell>
          <cell r="C670" t="str">
            <v/>
          </cell>
          <cell r="D670">
            <v>0</v>
          </cell>
          <cell r="E670" t="str">
            <v/>
          </cell>
        </row>
        <row r="671">
          <cell r="A671" t="str">
            <v>C2575C</v>
          </cell>
          <cell r="B671" t="str">
            <v>30.04.2024</v>
          </cell>
          <cell r="C671">
            <v>69</v>
          </cell>
          <cell r="D671">
            <v>0</v>
          </cell>
          <cell r="E671" t="str">
            <v/>
          </cell>
        </row>
        <row r="672">
          <cell r="A672" t="str">
            <v>C26020F/C</v>
          </cell>
          <cell r="B672" t="str">
            <v>SKLADEM</v>
          </cell>
          <cell r="C672" t="str">
            <v/>
          </cell>
          <cell r="D672">
            <v>0</v>
          </cell>
          <cell r="E672" t="str">
            <v/>
          </cell>
        </row>
        <row r="673">
          <cell r="A673" t="str">
            <v>C26020F/C(T)</v>
          </cell>
          <cell r="B673" t="str">
            <v>SKLADEM</v>
          </cell>
          <cell r="C673" t="str">
            <v/>
          </cell>
          <cell r="D673">
            <v>0</v>
          </cell>
          <cell r="E673" t="str">
            <v/>
          </cell>
        </row>
        <row r="674">
          <cell r="A674" t="str">
            <v>C26020G/C</v>
          </cell>
          <cell r="B674" t="str">
            <v>VYPRODÁNO</v>
          </cell>
          <cell r="C674" t="str">
            <v/>
          </cell>
          <cell r="D674">
            <v>0</v>
          </cell>
          <cell r="E674" t="str">
            <v/>
          </cell>
        </row>
        <row r="675">
          <cell r="A675" t="str">
            <v>C26020NID/C</v>
          </cell>
          <cell r="B675" t="str">
            <v>15.06.2024</v>
          </cell>
          <cell r="C675">
            <v>115</v>
          </cell>
          <cell r="D675">
            <v>0</v>
          </cell>
          <cell r="E675" t="str">
            <v/>
          </cell>
        </row>
        <row r="676">
          <cell r="A676" t="str">
            <v>C26020NID/C(T)</v>
          </cell>
          <cell r="B676" t="str">
            <v>15.06.2024</v>
          </cell>
          <cell r="C676">
            <v>115</v>
          </cell>
          <cell r="D676">
            <v>0</v>
          </cell>
          <cell r="E676" t="str">
            <v/>
          </cell>
        </row>
        <row r="677">
          <cell r="A677" t="str">
            <v>C26020Z E</v>
          </cell>
          <cell r="B677" t="str">
            <v>VYPRODÁNO</v>
          </cell>
          <cell r="C677" t="str">
            <v/>
          </cell>
          <cell r="D677">
            <v>0</v>
          </cell>
          <cell r="E677" t="str">
            <v/>
          </cell>
        </row>
        <row r="678">
          <cell r="A678" t="str">
            <v>C26420N/C</v>
          </cell>
          <cell r="B678" t="str">
            <v>DOCHÁZÍ</v>
          </cell>
          <cell r="C678" t="str">
            <v/>
          </cell>
          <cell r="D678">
            <v>0</v>
          </cell>
          <cell r="E678">
            <v>29</v>
          </cell>
        </row>
        <row r="679">
          <cell r="A679" t="str">
            <v>C26420N/C(T)</v>
          </cell>
          <cell r="B679" t="str">
            <v>DOCHÁZÍ</v>
          </cell>
          <cell r="C679" t="str">
            <v/>
          </cell>
          <cell r="D679">
            <v>0</v>
          </cell>
          <cell r="E679">
            <v>29</v>
          </cell>
        </row>
        <row r="680">
          <cell r="A680" t="str">
            <v>C26420N/C14</v>
          </cell>
          <cell r="B680" t="str">
            <v>SKLADEM</v>
          </cell>
          <cell r="C680" t="str">
            <v/>
          </cell>
          <cell r="D680">
            <v>0</v>
          </cell>
          <cell r="E680" t="str">
            <v/>
          </cell>
        </row>
        <row r="681">
          <cell r="A681" t="str">
            <v>C26420N/C14 E</v>
          </cell>
          <cell r="B681" t="str">
            <v>VYPRODÁNO</v>
          </cell>
          <cell r="C681" t="str">
            <v/>
          </cell>
          <cell r="D681">
            <v>0</v>
          </cell>
          <cell r="E681" t="str">
            <v/>
          </cell>
        </row>
        <row r="682">
          <cell r="A682" t="str">
            <v>C26420N/C14(T)</v>
          </cell>
          <cell r="B682" t="str">
            <v>SKLADEM</v>
          </cell>
          <cell r="C682" t="str">
            <v/>
          </cell>
          <cell r="D682">
            <v>0</v>
          </cell>
          <cell r="E682" t="str">
            <v/>
          </cell>
        </row>
        <row r="683">
          <cell r="A683" t="str">
            <v>C26425Z</v>
          </cell>
          <cell r="B683" t="str">
            <v>VYPRODÁNO</v>
          </cell>
          <cell r="C683" t="str">
            <v/>
          </cell>
          <cell r="D683">
            <v>0</v>
          </cell>
          <cell r="E683" t="str">
            <v/>
          </cell>
        </row>
        <row r="684">
          <cell r="A684" t="str">
            <v>C26820F/C</v>
          </cell>
          <cell r="B684" t="str">
            <v>DOCHÁZÍ</v>
          </cell>
          <cell r="C684" t="str">
            <v/>
          </cell>
          <cell r="D684">
            <v>0</v>
          </cell>
          <cell r="E684">
            <v>22</v>
          </cell>
        </row>
        <row r="685">
          <cell r="A685" t="str">
            <v>C26820F/C E</v>
          </cell>
          <cell r="B685" t="str">
            <v>SKLADEM</v>
          </cell>
          <cell r="C685" t="str">
            <v/>
          </cell>
          <cell r="D685">
            <v>0</v>
          </cell>
          <cell r="E685" t="str">
            <v/>
          </cell>
        </row>
        <row r="686">
          <cell r="A686" t="str">
            <v>C26820F/C(T)</v>
          </cell>
          <cell r="B686" t="str">
            <v>DOCHÁZÍ</v>
          </cell>
          <cell r="C686" t="str">
            <v/>
          </cell>
          <cell r="D686">
            <v>0</v>
          </cell>
          <cell r="E686">
            <v>22</v>
          </cell>
        </row>
        <row r="687">
          <cell r="A687" t="str">
            <v>C293MA</v>
          </cell>
          <cell r="B687" t="str">
            <v>VYPRODÁNO</v>
          </cell>
          <cell r="C687" t="str">
            <v/>
          </cell>
          <cell r="D687">
            <v>0</v>
          </cell>
          <cell r="E687" t="str">
            <v/>
          </cell>
        </row>
        <row r="688">
          <cell r="A688" t="str">
            <v>C293MA E</v>
          </cell>
          <cell r="B688" t="str">
            <v>VYPRODÁNO</v>
          </cell>
          <cell r="C688" t="str">
            <v/>
          </cell>
          <cell r="D688">
            <v>0</v>
          </cell>
          <cell r="E688" t="str">
            <v/>
          </cell>
        </row>
        <row r="689">
          <cell r="A689" t="str">
            <v>C293MA14</v>
          </cell>
          <cell r="B689" t="str">
            <v>VYPRODÁNO</v>
          </cell>
          <cell r="C689" t="str">
            <v/>
          </cell>
          <cell r="D689">
            <v>0</v>
          </cell>
          <cell r="E689" t="str">
            <v/>
          </cell>
        </row>
        <row r="690">
          <cell r="A690" t="str">
            <v>C293MS</v>
          </cell>
          <cell r="B690" t="str">
            <v>VYPRODÁNO</v>
          </cell>
          <cell r="C690" t="str">
            <v/>
          </cell>
          <cell r="D690">
            <v>0</v>
          </cell>
          <cell r="E690" t="str">
            <v/>
          </cell>
        </row>
        <row r="691">
          <cell r="A691" t="str">
            <v>C293MS E</v>
          </cell>
          <cell r="B691" t="str">
            <v>VYPRODÁNO</v>
          </cell>
          <cell r="C691" t="str">
            <v/>
          </cell>
          <cell r="D691">
            <v>0</v>
          </cell>
          <cell r="E691" t="str">
            <v/>
          </cell>
        </row>
        <row r="692">
          <cell r="A692" t="str">
            <v>C293MS14</v>
          </cell>
          <cell r="B692" t="str">
            <v>VYPRODÁNO</v>
          </cell>
          <cell r="C692" t="str">
            <v/>
          </cell>
          <cell r="D692">
            <v>0</v>
          </cell>
          <cell r="E692" t="str">
            <v/>
          </cell>
        </row>
        <row r="693">
          <cell r="A693" t="str">
            <v>C30008R</v>
          </cell>
          <cell r="B693" t="str">
            <v>SKLADEM</v>
          </cell>
          <cell r="C693" t="str">
            <v/>
          </cell>
          <cell r="D693">
            <v>0</v>
          </cell>
          <cell r="E693" t="str">
            <v/>
          </cell>
        </row>
        <row r="694">
          <cell r="A694" t="str">
            <v>C30025BPW/C</v>
          </cell>
          <cell r="B694" t="str">
            <v>SKLADEM</v>
          </cell>
          <cell r="C694" t="str">
            <v/>
          </cell>
          <cell r="D694">
            <v>0</v>
          </cell>
          <cell r="E694" t="str">
            <v/>
          </cell>
        </row>
        <row r="695">
          <cell r="A695" t="str">
            <v>C30025BPW/C(T)</v>
          </cell>
          <cell r="B695" t="str">
            <v>SKLADEM</v>
          </cell>
          <cell r="C695" t="str">
            <v/>
          </cell>
          <cell r="D695">
            <v>0</v>
          </cell>
          <cell r="E695" t="str">
            <v/>
          </cell>
        </row>
        <row r="696">
          <cell r="A696" t="str">
            <v>C30025F/C</v>
          </cell>
          <cell r="B696" t="str">
            <v>DOCHÁZÍ</v>
          </cell>
          <cell r="C696" t="str">
            <v/>
          </cell>
          <cell r="D696">
            <v>0</v>
          </cell>
          <cell r="E696">
            <v>51</v>
          </cell>
        </row>
        <row r="697">
          <cell r="A697" t="str">
            <v>C30025F/C(T)</v>
          </cell>
          <cell r="B697" t="str">
            <v>DOCHÁZÍ</v>
          </cell>
          <cell r="C697" t="str">
            <v/>
          </cell>
          <cell r="D697">
            <v>0</v>
          </cell>
          <cell r="E697">
            <v>51</v>
          </cell>
        </row>
        <row r="698">
          <cell r="A698" t="str">
            <v>C30025NID/C</v>
          </cell>
          <cell r="B698" t="str">
            <v>VYPRODÁNO</v>
          </cell>
          <cell r="C698" t="str">
            <v/>
          </cell>
          <cell r="D698">
            <v>0</v>
          </cell>
          <cell r="E698" t="str">
            <v/>
          </cell>
        </row>
        <row r="699">
          <cell r="A699" t="str">
            <v>C30025NID/C(T)</v>
          </cell>
          <cell r="B699" t="str">
            <v>VYPRODÁNO</v>
          </cell>
          <cell r="C699" t="str">
            <v/>
          </cell>
          <cell r="D699">
            <v>0</v>
          </cell>
          <cell r="E699" t="str">
            <v/>
          </cell>
        </row>
        <row r="700">
          <cell r="A700" t="str">
            <v>C30025T</v>
          </cell>
          <cell r="B700" t="str">
            <v>VYPRODÁNO</v>
          </cell>
          <cell r="C700" t="str">
            <v/>
          </cell>
          <cell r="D700">
            <v>0</v>
          </cell>
          <cell r="E700" t="str">
            <v/>
          </cell>
        </row>
        <row r="701">
          <cell r="A701" t="str">
            <v>C304MK</v>
          </cell>
          <cell r="B701" t="str">
            <v>15.06.2024</v>
          </cell>
          <cell r="C701">
            <v>115</v>
          </cell>
          <cell r="D701">
            <v>0</v>
          </cell>
          <cell r="E701" t="str">
            <v/>
          </cell>
        </row>
        <row r="702">
          <cell r="A702" t="str">
            <v>C320D</v>
          </cell>
          <cell r="B702" t="str">
            <v>15.06.2024</v>
          </cell>
          <cell r="C702">
            <v>115</v>
          </cell>
          <cell r="D702">
            <v>0</v>
          </cell>
          <cell r="E702" t="str">
            <v/>
          </cell>
        </row>
        <row r="703">
          <cell r="A703" t="str">
            <v>C320DI14</v>
          </cell>
          <cell r="B703" t="str">
            <v>VYPRODÁNO</v>
          </cell>
          <cell r="C703" t="str">
            <v/>
          </cell>
          <cell r="D703">
            <v>0</v>
          </cell>
          <cell r="E703" t="str">
            <v/>
          </cell>
        </row>
        <row r="704">
          <cell r="A704" t="str">
            <v>C32MXA</v>
          </cell>
          <cell r="B704" t="str">
            <v>VYPRODÁNO</v>
          </cell>
          <cell r="C704" t="str">
            <v/>
          </cell>
          <cell r="D704">
            <v>0</v>
          </cell>
          <cell r="E704" t="str">
            <v/>
          </cell>
        </row>
        <row r="705">
          <cell r="A705" t="str">
            <v>C32MXB</v>
          </cell>
          <cell r="B705" t="str">
            <v>VYPRODÁNO</v>
          </cell>
          <cell r="C705" t="str">
            <v/>
          </cell>
          <cell r="D705">
            <v>0</v>
          </cell>
          <cell r="E705" t="str">
            <v/>
          </cell>
        </row>
        <row r="706">
          <cell r="A706" t="str">
            <v>C32MXC</v>
          </cell>
          <cell r="B706" t="str">
            <v>VYPRODÁNO</v>
          </cell>
          <cell r="C706" t="str">
            <v/>
          </cell>
          <cell r="D706">
            <v>0</v>
          </cell>
          <cell r="E706" t="str">
            <v/>
          </cell>
        </row>
        <row r="707">
          <cell r="A707" t="str">
            <v>C330D</v>
          </cell>
          <cell r="B707" t="str">
            <v>15.03.2024</v>
          </cell>
          <cell r="C707">
            <v>23</v>
          </cell>
          <cell r="D707" t="str">
            <v>100+</v>
          </cell>
          <cell r="E707" t="str">
            <v/>
          </cell>
        </row>
        <row r="708">
          <cell r="A708" t="str">
            <v>C330DI14</v>
          </cell>
          <cell r="B708" t="str">
            <v>VYPRODÁNO</v>
          </cell>
          <cell r="C708" t="str">
            <v/>
          </cell>
          <cell r="D708">
            <v>0</v>
          </cell>
          <cell r="E708" t="str">
            <v/>
          </cell>
        </row>
        <row r="709">
          <cell r="A709" t="str">
            <v>C33MSIG</v>
          </cell>
          <cell r="B709" t="str">
            <v>VYPRODÁNO</v>
          </cell>
          <cell r="C709" t="str">
            <v/>
          </cell>
          <cell r="D709">
            <v>0</v>
          </cell>
          <cell r="E709" t="str">
            <v/>
          </cell>
        </row>
        <row r="710">
          <cell r="A710" t="str">
            <v>C33MSIGI14</v>
          </cell>
          <cell r="B710" t="str">
            <v>VYPRODÁNO</v>
          </cell>
          <cell r="C710" t="str">
            <v/>
          </cell>
          <cell r="D710">
            <v>0</v>
          </cell>
          <cell r="E710" t="str">
            <v/>
          </cell>
        </row>
        <row r="711">
          <cell r="A711" t="str">
            <v>C3430XXA</v>
          </cell>
          <cell r="B711" t="str">
            <v>VYPRODÁNO</v>
          </cell>
          <cell r="C711" t="str">
            <v/>
          </cell>
          <cell r="D711">
            <v>0</v>
          </cell>
          <cell r="E711" t="str">
            <v/>
          </cell>
        </row>
        <row r="712">
          <cell r="A712" t="str">
            <v>C3430XXB</v>
          </cell>
          <cell r="B712" t="str">
            <v>VYPRODÁNO</v>
          </cell>
          <cell r="C712" t="str">
            <v/>
          </cell>
          <cell r="D712">
            <v>0</v>
          </cell>
          <cell r="E712" t="str">
            <v/>
          </cell>
        </row>
        <row r="713">
          <cell r="A713" t="str">
            <v>C3430XXC</v>
          </cell>
          <cell r="B713" t="str">
            <v>VYPRODÁNO</v>
          </cell>
          <cell r="C713" t="str">
            <v/>
          </cell>
          <cell r="D713">
            <v>0</v>
          </cell>
          <cell r="E713" t="str">
            <v/>
          </cell>
        </row>
        <row r="714">
          <cell r="A714" t="str">
            <v>C34MXXA</v>
          </cell>
          <cell r="B714" t="str">
            <v>VYPRODÁNO</v>
          </cell>
          <cell r="C714" t="str">
            <v/>
          </cell>
          <cell r="D714">
            <v>0</v>
          </cell>
          <cell r="E714" t="str">
            <v/>
          </cell>
        </row>
        <row r="715">
          <cell r="A715" t="str">
            <v>C34MXXA14</v>
          </cell>
          <cell r="B715" t="str">
            <v>VYPRODÁNO</v>
          </cell>
          <cell r="C715" t="str">
            <v/>
          </cell>
          <cell r="D715">
            <v>0</v>
          </cell>
          <cell r="E715" t="str">
            <v/>
          </cell>
        </row>
        <row r="716">
          <cell r="A716" t="str">
            <v>C34MXXB</v>
          </cell>
          <cell r="B716" t="str">
            <v>VYPRODÁNO</v>
          </cell>
          <cell r="C716" t="str">
            <v/>
          </cell>
          <cell r="D716">
            <v>0</v>
          </cell>
          <cell r="E716" t="str">
            <v/>
          </cell>
        </row>
        <row r="717">
          <cell r="A717" t="str">
            <v>C34MXXB14</v>
          </cell>
          <cell r="B717" t="str">
            <v>VYPRODÁNO</v>
          </cell>
          <cell r="C717" t="str">
            <v/>
          </cell>
          <cell r="D717">
            <v>0</v>
          </cell>
          <cell r="E717" t="str">
            <v/>
          </cell>
        </row>
        <row r="718">
          <cell r="A718" t="str">
            <v>C3545MF</v>
          </cell>
          <cell r="B718" t="str">
            <v>DOCHÁZÍ</v>
          </cell>
          <cell r="C718" t="str">
            <v/>
          </cell>
          <cell r="D718">
            <v>0</v>
          </cell>
          <cell r="E718">
            <v>56</v>
          </cell>
        </row>
        <row r="719">
          <cell r="A719" t="str">
            <v>C3545NO</v>
          </cell>
          <cell r="B719" t="str">
            <v>15.09.2024</v>
          </cell>
          <cell r="C719">
            <v>207</v>
          </cell>
          <cell r="D719">
            <v>0</v>
          </cell>
          <cell r="E719" t="str">
            <v/>
          </cell>
        </row>
        <row r="720">
          <cell r="A720" t="str">
            <v>C363A</v>
          </cell>
          <cell r="B720" t="str">
            <v>VYPRODÁNO</v>
          </cell>
          <cell r="C720" t="str">
            <v/>
          </cell>
          <cell r="D720">
            <v>0</v>
          </cell>
          <cell r="E720" t="str">
            <v/>
          </cell>
        </row>
        <row r="721">
          <cell r="A721" t="str">
            <v>C363B</v>
          </cell>
          <cell r="B721" t="str">
            <v>VYPRODÁNO</v>
          </cell>
          <cell r="C721" t="str">
            <v/>
          </cell>
          <cell r="D721">
            <v>0</v>
          </cell>
          <cell r="E721" t="str">
            <v/>
          </cell>
        </row>
        <row r="722">
          <cell r="A722" t="str">
            <v>C363BPF</v>
          </cell>
          <cell r="B722" t="str">
            <v>SKLADEM</v>
          </cell>
          <cell r="C722" t="str">
            <v/>
          </cell>
          <cell r="D722">
            <v>0</v>
          </cell>
          <cell r="E722" t="str">
            <v/>
          </cell>
        </row>
        <row r="723">
          <cell r="A723" t="str">
            <v>C363C</v>
          </cell>
          <cell r="B723" t="str">
            <v>VYPRODÁNO</v>
          </cell>
          <cell r="C723" t="str">
            <v/>
          </cell>
          <cell r="D723">
            <v>0</v>
          </cell>
          <cell r="E723" t="str">
            <v/>
          </cell>
        </row>
        <row r="724">
          <cell r="A724" t="str">
            <v>C363DR</v>
          </cell>
          <cell r="B724" t="str">
            <v>15.09.2024</v>
          </cell>
          <cell r="C724">
            <v>207</v>
          </cell>
          <cell r="D724">
            <v>0</v>
          </cell>
          <cell r="E724" t="str">
            <v/>
          </cell>
        </row>
        <row r="725">
          <cell r="A725" t="str">
            <v>C363E</v>
          </cell>
          <cell r="B725" t="str">
            <v>VYPRODÁNO</v>
          </cell>
          <cell r="C725" t="str">
            <v/>
          </cell>
          <cell r="D725">
            <v>0</v>
          </cell>
          <cell r="E725" t="str">
            <v/>
          </cell>
        </row>
        <row r="726">
          <cell r="A726" t="str">
            <v>C363E E</v>
          </cell>
          <cell r="B726" t="str">
            <v>VYPRODÁNO</v>
          </cell>
          <cell r="C726" t="str">
            <v/>
          </cell>
          <cell r="D726">
            <v>0</v>
          </cell>
          <cell r="E726" t="str">
            <v/>
          </cell>
        </row>
        <row r="727">
          <cell r="A727" t="str">
            <v>C363F</v>
          </cell>
          <cell r="B727" t="str">
            <v>VYPRODÁNO</v>
          </cell>
          <cell r="C727" t="str">
            <v/>
          </cell>
          <cell r="D727">
            <v>0</v>
          </cell>
          <cell r="E727" t="str">
            <v/>
          </cell>
        </row>
        <row r="728">
          <cell r="A728" t="str">
            <v>C363G</v>
          </cell>
          <cell r="B728" t="str">
            <v>VYPRODÁNO</v>
          </cell>
          <cell r="C728" t="str">
            <v/>
          </cell>
          <cell r="D728">
            <v>0</v>
          </cell>
          <cell r="E728" t="str">
            <v/>
          </cell>
        </row>
        <row r="729">
          <cell r="A729" t="str">
            <v>C363H</v>
          </cell>
          <cell r="B729" t="str">
            <v>VYPRODÁNO</v>
          </cell>
          <cell r="C729" t="str">
            <v/>
          </cell>
          <cell r="D729">
            <v>0</v>
          </cell>
          <cell r="E729" t="str">
            <v/>
          </cell>
        </row>
        <row r="730">
          <cell r="A730" t="str">
            <v>C363H E</v>
          </cell>
          <cell r="B730" t="str">
            <v>VYPRODÁNO</v>
          </cell>
          <cell r="C730" t="str">
            <v/>
          </cell>
          <cell r="D730">
            <v>0</v>
          </cell>
          <cell r="E730" t="str">
            <v/>
          </cell>
        </row>
        <row r="731">
          <cell r="A731" t="str">
            <v>C363CH</v>
          </cell>
          <cell r="B731" t="str">
            <v>VYPRODÁNO</v>
          </cell>
          <cell r="C731" t="str">
            <v/>
          </cell>
          <cell r="D731">
            <v>0</v>
          </cell>
          <cell r="E731" t="str">
            <v/>
          </cell>
        </row>
        <row r="732">
          <cell r="A732" t="str">
            <v>C363I</v>
          </cell>
          <cell r="B732" t="str">
            <v>VYPRODÁNO</v>
          </cell>
          <cell r="C732" t="str">
            <v/>
          </cell>
          <cell r="D732">
            <v>0</v>
          </cell>
          <cell r="E732" t="str">
            <v/>
          </cell>
        </row>
        <row r="733">
          <cell r="A733" t="str">
            <v>C363J</v>
          </cell>
          <cell r="B733" t="str">
            <v>VYPRODÁNO</v>
          </cell>
          <cell r="C733" t="str">
            <v/>
          </cell>
          <cell r="D733">
            <v>0</v>
          </cell>
          <cell r="E733" t="str">
            <v/>
          </cell>
        </row>
        <row r="734">
          <cell r="A734" t="str">
            <v>C363J E</v>
          </cell>
          <cell r="B734" t="str">
            <v>VYPRODÁNO</v>
          </cell>
          <cell r="C734" t="str">
            <v/>
          </cell>
          <cell r="D734">
            <v>0</v>
          </cell>
          <cell r="E734" t="str">
            <v/>
          </cell>
        </row>
        <row r="735">
          <cell r="A735" t="str">
            <v>C363K</v>
          </cell>
          <cell r="B735" t="str">
            <v>VYPRODÁNO</v>
          </cell>
          <cell r="C735" t="str">
            <v/>
          </cell>
          <cell r="D735">
            <v>0</v>
          </cell>
          <cell r="E735" t="str">
            <v/>
          </cell>
        </row>
        <row r="736">
          <cell r="A736" t="str">
            <v>C363K E</v>
          </cell>
          <cell r="B736" t="str">
            <v>VYPRODÁNO</v>
          </cell>
          <cell r="C736" t="str">
            <v/>
          </cell>
          <cell r="D736">
            <v>0</v>
          </cell>
          <cell r="E736" t="str">
            <v/>
          </cell>
        </row>
        <row r="737">
          <cell r="A737" t="str">
            <v>C363PA</v>
          </cell>
          <cell r="B737" t="str">
            <v>15.09.2024</v>
          </cell>
          <cell r="C737">
            <v>207</v>
          </cell>
          <cell r="D737">
            <v>0</v>
          </cell>
          <cell r="E737" t="str">
            <v/>
          </cell>
        </row>
        <row r="738">
          <cell r="A738" t="str">
            <v>C363PL</v>
          </cell>
          <cell r="B738" t="str">
            <v>SKLADEM</v>
          </cell>
          <cell r="C738" t="str">
            <v/>
          </cell>
          <cell r="D738">
            <v>0</v>
          </cell>
          <cell r="E738" t="str">
            <v/>
          </cell>
        </row>
        <row r="739">
          <cell r="A739" t="str">
            <v>C363SIG</v>
          </cell>
          <cell r="B739" t="str">
            <v>VYPRODÁNO</v>
          </cell>
          <cell r="C739" t="str">
            <v/>
          </cell>
          <cell r="D739">
            <v>0</v>
          </cell>
          <cell r="E739" t="str">
            <v/>
          </cell>
        </row>
        <row r="740">
          <cell r="A740" t="str">
            <v>C363WO</v>
          </cell>
          <cell r="B740" t="str">
            <v>VYPRODÁNO</v>
          </cell>
          <cell r="C740" t="str">
            <v/>
          </cell>
          <cell r="D740">
            <v>0</v>
          </cell>
          <cell r="E740" t="str">
            <v/>
          </cell>
        </row>
        <row r="741">
          <cell r="A741" t="str">
            <v>C3645BA</v>
          </cell>
          <cell r="B741" t="str">
            <v>15.09.2024</v>
          </cell>
          <cell r="C741">
            <v>207</v>
          </cell>
          <cell r="D741">
            <v>0</v>
          </cell>
          <cell r="E741" t="str">
            <v/>
          </cell>
        </row>
        <row r="742">
          <cell r="A742" t="str">
            <v>C3645SE</v>
          </cell>
          <cell r="B742" t="str">
            <v>15.09.2024</v>
          </cell>
          <cell r="C742">
            <v>207</v>
          </cell>
          <cell r="D742">
            <v>0</v>
          </cell>
          <cell r="E742" t="str">
            <v/>
          </cell>
        </row>
        <row r="743">
          <cell r="A743" t="str">
            <v>C365B</v>
          </cell>
          <cell r="B743" t="str">
            <v>VYPRODÁNO</v>
          </cell>
          <cell r="C743" t="str">
            <v/>
          </cell>
          <cell r="D743">
            <v>0</v>
          </cell>
          <cell r="E743" t="str">
            <v/>
          </cell>
        </row>
        <row r="744">
          <cell r="A744" t="str">
            <v>C365B E</v>
          </cell>
          <cell r="B744" t="str">
            <v>VYPRODÁNO</v>
          </cell>
          <cell r="C744" t="str">
            <v/>
          </cell>
          <cell r="D744">
            <v>0</v>
          </cell>
          <cell r="E744" t="str">
            <v/>
          </cell>
        </row>
        <row r="745">
          <cell r="A745" t="str">
            <v>C365DU</v>
          </cell>
          <cell r="B745" t="str">
            <v>20.06.2024</v>
          </cell>
          <cell r="C745">
            <v>120</v>
          </cell>
          <cell r="D745">
            <v>0</v>
          </cell>
          <cell r="E745" t="str">
            <v/>
          </cell>
        </row>
        <row r="746">
          <cell r="A746" t="str">
            <v>C365DU E</v>
          </cell>
          <cell r="B746" t="str">
            <v>VYPRODÁNO</v>
          </cell>
          <cell r="C746" t="str">
            <v/>
          </cell>
          <cell r="D746">
            <v>0</v>
          </cell>
          <cell r="E746" t="str">
            <v/>
          </cell>
        </row>
        <row r="747">
          <cell r="A747" t="str">
            <v>C365P</v>
          </cell>
          <cell r="B747" t="str">
            <v>VYPRODÁNO</v>
          </cell>
          <cell r="C747" t="str">
            <v/>
          </cell>
          <cell r="D747">
            <v>0</v>
          </cell>
          <cell r="E747" t="str">
            <v/>
          </cell>
        </row>
        <row r="748">
          <cell r="A748" t="str">
            <v>C365P E</v>
          </cell>
          <cell r="B748" t="str">
            <v>VYPRODÁNO</v>
          </cell>
          <cell r="C748" t="str">
            <v/>
          </cell>
          <cell r="D748">
            <v>0</v>
          </cell>
          <cell r="E748" t="str">
            <v/>
          </cell>
        </row>
        <row r="749">
          <cell r="A749" t="str">
            <v>C365S</v>
          </cell>
          <cell r="B749" t="str">
            <v>VYPRODÁNO</v>
          </cell>
          <cell r="C749" t="str">
            <v/>
          </cell>
          <cell r="D749">
            <v>0</v>
          </cell>
          <cell r="E749" t="str">
            <v/>
          </cell>
        </row>
        <row r="750">
          <cell r="A750" t="str">
            <v>C365S E</v>
          </cell>
          <cell r="B750" t="str">
            <v>VYPRODÁNO</v>
          </cell>
          <cell r="C750" t="str">
            <v/>
          </cell>
          <cell r="D750">
            <v>0</v>
          </cell>
          <cell r="E750" t="str">
            <v/>
          </cell>
        </row>
        <row r="751">
          <cell r="A751" t="str">
            <v>C365V</v>
          </cell>
          <cell r="B751" t="str">
            <v>VYPRODÁNO</v>
          </cell>
          <cell r="C751" t="str">
            <v/>
          </cell>
          <cell r="D751">
            <v>0</v>
          </cell>
          <cell r="E751" t="str">
            <v/>
          </cell>
        </row>
        <row r="752">
          <cell r="A752" t="str">
            <v>C365V E</v>
          </cell>
          <cell r="B752" t="str">
            <v>VYPRODÁNO</v>
          </cell>
          <cell r="C752" t="str">
            <v/>
          </cell>
          <cell r="D752">
            <v>0</v>
          </cell>
          <cell r="E752" t="str">
            <v/>
          </cell>
        </row>
        <row r="753">
          <cell r="A753" t="str">
            <v>C36MH</v>
          </cell>
          <cell r="B753" t="str">
            <v>15.08.2024</v>
          </cell>
          <cell r="C753">
            <v>176</v>
          </cell>
          <cell r="D753">
            <v>0</v>
          </cell>
          <cell r="E753" t="str">
            <v/>
          </cell>
        </row>
        <row r="754">
          <cell r="A754" t="str">
            <v>C36MH E</v>
          </cell>
          <cell r="B754" t="str">
            <v>SKLADEM</v>
          </cell>
          <cell r="C754" t="str">
            <v/>
          </cell>
          <cell r="D754">
            <v>0</v>
          </cell>
          <cell r="E754" t="str">
            <v/>
          </cell>
        </row>
        <row r="755">
          <cell r="A755" t="str">
            <v>C36MS</v>
          </cell>
          <cell r="B755" t="str">
            <v>VYPRODÁNO</v>
          </cell>
          <cell r="C755" t="str">
            <v/>
          </cell>
          <cell r="D755">
            <v>0</v>
          </cell>
          <cell r="E755" t="str">
            <v/>
          </cell>
        </row>
        <row r="756">
          <cell r="A756" t="str">
            <v>C36MS E</v>
          </cell>
          <cell r="B756" t="str">
            <v>VYPRODÁNO</v>
          </cell>
          <cell r="C756" t="str">
            <v/>
          </cell>
          <cell r="D756">
            <v>0</v>
          </cell>
          <cell r="E756" t="str">
            <v/>
          </cell>
        </row>
        <row r="757">
          <cell r="A757" t="str">
            <v>C379XMK/C</v>
          </cell>
          <cell r="B757" t="str">
            <v>SKLADEM</v>
          </cell>
          <cell r="C757" t="str">
            <v/>
          </cell>
          <cell r="D757">
            <v>0</v>
          </cell>
          <cell r="E757" t="str">
            <v/>
          </cell>
        </row>
        <row r="758">
          <cell r="A758" t="str">
            <v>C379XMK/C(T)</v>
          </cell>
          <cell r="B758" t="str">
            <v>SKLADEM</v>
          </cell>
          <cell r="C758" t="str">
            <v/>
          </cell>
          <cell r="D758">
            <v>0</v>
          </cell>
          <cell r="E758" t="str">
            <v/>
          </cell>
        </row>
        <row r="759">
          <cell r="A759" t="str">
            <v>C39020F/C</v>
          </cell>
          <cell r="B759" t="str">
            <v>SKLADEM</v>
          </cell>
          <cell r="C759" t="str">
            <v/>
          </cell>
          <cell r="D759">
            <v>0</v>
          </cell>
          <cell r="E759" t="str">
            <v/>
          </cell>
        </row>
        <row r="760">
          <cell r="A760" t="str">
            <v>C39020F/C(T)</v>
          </cell>
          <cell r="B760" t="str">
            <v>SKLADEM</v>
          </cell>
          <cell r="C760" t="str">
            <v/>
          </cell>
          <cell r="D760">
            <v>0</v>
          </cell>
          <cell r="E760" t="str">
            <v/>
          </cell>
        </row>
        <row r="761">
          <cell r="A761" t="str">
            <v>C39020Z</v>
          </cell>
          <cell r="B761" t="str">
            <v>VYPRODÁNO</v>
          </cell>
          <cell r="C761" t="str">
            <v/>
          </cell>
          <cell r="D761">
            <v>0</v>
          </cell>
          <cell r="E761" t="str">
            <v/>
          </cell>
        </row>
        <row r="762">
          <cell r="A762" t="str">
            <v>C39MPT</v>
          </cell>
          <cell r="B762" t="str">
            <v>SKLADEM</v>
          </cell>
          <cell r="C762" t="str">
            <v/>
          </cell>
          <cell r="D762">
            <v>0</v>
          </cell>
          <cell r="E762" t="str">
            <v/>
          </cell>
        </row>
        <row r="763">
          <cell r="A763" t="str">
            <v>C39MPT14</v>
          </cell>
          <cell r="B763" t="str">
            <v>SKLADEM</v>
          </cell>
          <cell r="C763" t="str">
            <v/>
          </cell>
          <cell r="D763">
            <v>0</v>
          </cell>
          <cell r="E763" t="str">
            <v/>
          </cell>
        </row>
        <row r="764">
          <cell r="A764" t="str">
            <v>C40020XPR/C14</v>
          </cell>
          <cell r="B764" t="str">
            <v>15.06.2024</v>
          </cell>
          <cell r="C764">
            <v>115</v>
          </cell>
          <cell r="D764">
            <v>0</v>
          </cell>
          <cell r="E764" t="str">
            <v/>
          </cell>
        </row>
        <row r="765">
          <cell r="A765" t="str">
            <v>C40020XPR/C14(T)</v>
          </cell>
          <cell r="B765" t="str">
            <v>15.06.2024</v>
          </cell>
          <cell r="C765">
            <v>115</v>
          </cell>
          <cell r="D765">
            <v>0</v>
          </cell>
          <cell r="E765" t="str">
            <v/>
          </cell>
        </row>
        <row r="766">
          <cell r="A766" t="str">
            <v>C40025F/C</v>
          </cell>
          <cell r="B766" t="str">
            <v>SKLADEM</v>
          </cell>
          <cell r="C766" t="str">
            <v/>
          </cell>
          <cell r="D766" t="str">
            <v>100+</v>
          </cell>
          <cell r="E766" t="str">
            <v/>
          </cell>
        </row>
        <row r="767">
          <cell r="A767" t="str">
            <v>C40025F/C(T)</v>
          </cell>
          <cell r="B767" t="str">
            <v>SKLADEM</v>
          </cell>
          <cell r="C767" t="str">
            <v/>
          </cell>
          <cell r="D767">
            <v>0</v>
          </cell>
          <cell r="E767" t="str">
            <v/>
          </cell>
        </row>
        <row r="768">
          <cell r="A768" t="str">
            <v>C40025F/C14</v>
          </cell>
          <cell r="B768" t="str">
            <v>VYPRODÁNO</v>
          </cell>
          <cell r="C768" t="str">
            <v/>
          </cell>
          <cell r="D768">
            <v>0</v>
          </cell>
          <cell r="E768" t="str">
            <v/>
          </cell>
        </row>
        <row r="769">
          <cell r="A769" t="str">
            <v>C4025XXA</v>
          </cell>
          <cell r="B769" t="str">
            <v>VYPRODÁNO</v>
          </cell>
          <cell r="C769" t="str">
            <v/>
          </cell>
          <cell r="D769">
            <v>0</v>
          </cell>
          <cell r="E769" t="str">
            <v/>
          </cell>
        </row>
        <row r="770">
          <cell r="A770" t="str">
            <v>C4025XXA14</v>
          </cell>
          <cell r="B770" t="str">
            <v>VYPRODÁNO</v>
          </cell>
          <cell r="C770" t="str">
            <v/>
          </cell>
          <cell r="D770">
            <v>0</v>
          </cell>
          <cell r="E770" t="str">
            <v/>
          </cell>
        </row>
        <row r="771">
          <cell r="A771" t="str">
            <v>C4025XXB</v>
          </cell>
          <cell r="B771" t="str">
            <v>VYPRODÁNO</v>
          </cell>
          <cell r="C771" t="str">
            <v/>
          </cell>
          <cell r="D771">
            <v>0</v>
          </cell>
          <cell r="E771" t="str">
            <v/>
          </cell>
        </row>
        <row r="772">
          <cell r="A772" t="str">
            <v>C4025XXB14</v>
          </cell>
          <cell r="B772" t="str">
            <v>VYPRODÁNO</v>
          </cell>
          <cell r="C772" t="str">
            <v/>
          </cell>
          <cell r="D772">
            <v>0</v>
          </cell>
          <cell r="E772" t="str">
            <v/>
          </cell>
        </row>
        <row r="773">
          <cell r="A773" t="str">
            <v>C40FMB</v>
          </cell>
          <cell r="B773" t="str">
            <v>VYPRODÁNO</v>
          </cell>
          <cell r="C773" t="str">
            <v/>
          </cell>
          <cell r="D773">
            <v>0</v>
          </cell>
          <cell r="E773" t="str">
            <v/>
          </cell>
        </row>
        <row r="774">
          <cell r="A774" t="str">
            <v>C40FMH</v>
          </cell>
          <cell r="B774" t="str">
            <v>SKLADEM</v>
          </cell>
          <cell r="C774" t="str">
            <v/>
          </cell>
          <cell r="D774">
            <v>0</v>
          </cell>
          <cell r="E774" t="str">
            <v/>
          </cell>
        </row>
        <row r="775">
          <cell r="A775" t="str">
            <v>C40FMP</v>
          </cell>
          <cell r="B775" t="str">
            <v>VYPRODÁNO</v>
          </cell>
          <cell r="C775" t="str">
            <v/>
          </cell>
          <cell r="D775">
            <v>0</v>
          </cell>
          <cell r="E775" t="str">
            <v/>
          </cell>
        </row>
        <row r="776">
          <cell r="A776" t="str">
            <v>C41MSIG</v>
          </cell>
          <cell r="B776" t="str">
            <v>SKLADEM</v>
          </cell>
          <cell r="C776" t="str">
            <v/>
          </cell>
          <cell r="D776">
            <v>0</v>
          </cell>
          <cell r="E776" t="str">
            <v/>
          </cell>
        </row>
        <row r="777">
          <cell r="A777" t="str">
            <v>C41MSIGI14</v>
          </cell>
          <cell r="B777" t="str">
            <v>VYPRODÁNO</v>
          </cell>
          <cell r="C777" t="str">
            <v/>
          </cell>
          <cell r="D777">
            <v>0</v>
          </cell>
          <cell r="E777" t="str">
            <v/>
          </cell>
        </row>
        <row r="778">
          <cell r="A778" t="str">
            <v>C424MH/C</v>
          </cell>
          <cell r="B778" t="str">
            <v>VYPRODÁNO</v>
          </cell>
          <cell r="C778" t="str">
            <v/>
          </cell>
          <cell r="D778">
            <v>0</v>
          </cell>
          <cell r="E778" t="str">
            <v/>
          </cell>
        </row>
        <row r="779">
          <cell r="A779" t="str">
            <v>C424MH/C E</v>
          </cell>
          <cell r="B779" t="str">
            <v>VYPRODÁNO</v>
          </cell>
          <cell r="C779" t="str">
            <v/>
          </cell>
          <cell r="D779">
            <v>0</v>
          </cell>
          <cell r="E779" t="str">
            <v/>
          </cell>
        </row>
        <row r="780">
          <cell r="A780" t="str">
            <v>C424MH/C14</v>
          </cell>
          <cell r="B780" t="str">
            <v>VYPRODÁNO</v>
          </cell>
          <cell r="C780" t="str">
            <v/>
          </cell>
          <cell r="D780">
            <v>0</v>
          </cell>
          <cell r="E780" t="str">
            <v/>
          </cell>
        </row>
        <row r="781">
          <cell r="A781" t="str">
            <v>C42MH</v>
          </cell>
          <cell r="B781" t="str">
            <v>VYPRODÁNO</v>
          </cell>
          <cell r="C781" t="str">
            <v/>
          </cell>
          <cell r="D781">
            <v>0</v>
          </cell>
          <cell r="E781" t="str">
            <v/>
          </cell>
        </row>
        <row r="782">
          <cell r="A782" t="str">
            <v>C42MM</v>
          </cell>
          <cell r="B782" t="str">
            <v>15.08.2024</v>
          </cell>
          <cell r="C782">
            <v>176</v>
          </cell>
          <cell r="D782">
            <v>0</v>
          </cell>
          <cell r="E782" t="str">
            <v/>
          </cell>
        </row>
        <row r="783">
          <cell r="A783" t="str">
            <v>C42MU</v>
          </cell>
          <cell r="B783" t="str">
            <v>VYPRODÁNO</v>
          </cell>
          <cell r="C783" t="str">
            <v/>
          </cell>
          <cell r="D783">
            <v>0</v>
          </cell>
          <cell r="E783" t="str">
            <v/>
          </cell>
        </row>
        <row r="784">
          <cell r="A784" t="str">
            <v>C42MXXA</v>
          </cell>
          <cell r="B784" t="str">
            <v>VYPRODÁNO</v>
          </cell>
          <cell r="C784" t="str">
            <v/>
          </cell>
          <cell r="D784">
            <v>0</v>
          </cell>
          <cell r="E784" t="str">
            <v/>
          </cell>
        </row>
        <row r="785">
          <cell r="A785" t="str">
            <v>C42MXXA14</v>
          </cell>
          <cell r="B785" t="str">
            <v>VYPRODÁNO</v>
          </cell>
          <cell r="C785" t="str">
            <v/>
          </cell>
          <cell r="D785">
            <v>0</v>
          </cell>
          <cell r="E785" t="str">
            <v/>
          </cell>
        </row>
        <row r="786">
          <cell r="A786" t="str">
            <v>C42XM1</v>
          </cell>
          <cell r="B786" t="str">
            <v>VYPRODÁNO</v>
          </cell>
          <cell r="C786" t="str">
            <v/>
          </cell>
          <cell r="D786">
            <v>0</v>
          </cell>
          <cell r="E786" t="str">
            <v/>
          </cell>
        </row>
        <row r="787">
          <cell r="A787" t="str">
            <v>C42XM2</v>
          </cell>
          <cell r="B787" t="str">
            <v>VYPRODÁNO</v>
          </cell>
          <cell r="C787" t="str">
            <v/>
          </cell>
          <cell r="D787">
            <v>0</v>
          </cell>
          <cell r="E787" t="str">
            <v/>
          </cell>
        </row>
        <row r="788">
          <cell r="A788" t="str">
            <v>C42XMB</v>
          </cell>
          <cell r="B788" t="str">
            <v>VYPRODÁNO</v>
          </cell>
          <cell r="C788" t="str">
            <v/>
          </cell>
          <cell r="D788">
            <v>0</v>
          </cell>
          <cell r="E788" t="str">
            <v/>
          </cell>
        </row>
        <row r="789">
          <cell r="A789" t="str">
            <v>C42XMK</v>
          </cell>
          <cell r="B789" t="str">
            <v>VYPRODÁNO</v>
          </cell>
          <cell r="C789" t="str">
            <v/>
          </cell>
          <cell r="D789">
            <v>0</v>
          </cell>
          <cell r="E789" t="str">
            <v/>
          </cell>
        </row>
        <row r="790">
          <cell r="A790" t="str">
            <v>C42XMK E</v>
          </cell>
          <cell r="B790" t="str">
            <v>VYPRODÁNO</v>
          </cell>
          <cell r="C790" t="str">
            <v/>
          </cell>
          <cell r="D790">
            <v>0</v>
          </cell>
          <cell r="E790" t="str">
            <v/>
          </cell>
        </row>
        <row r="791">
          <cell r="A791" t="str">
            <v>C42XMS</v>
          </cell>
          <cell r="B791" t="str">
            <v>VYPRODÁNO</v>
          </cell>
          <cell r="C791" t="str">
            <v/>
          </cell>
          <cell r="D791">
            <v>0</v>
          </cell>
          <cell r="E791" t="str">
            <v/>
          </cell>
        </row>
        <row r="792">
          <cell r="A792" t="str">
            <v>C42XMV</v>
          </cell>
          <cell r="B792" t="str">
            <v>VYPRODÁNO</v>
          </cell>
          <cell r="C792" t="str">
            <v/>
          </cell>
          <cell r="D792">
            <v>0</v>
          </cell>
          <cell r="E792" t="str">
            <v/>
          </cell>
        </row>
        <row r="793">
          <cell r="A793" t="str">
            <v>C446MM/C</v>
          </cell>
          <cell r="B793" t="str">
            <v>15.05.2024</v>
          </cell>
          <cell r="C793">
            <v>84</v>
          </cell>
          <cell r="D793">
            <v>0</v>
          </cell>
          <cell r="E793" t="str">
            <v/>
          </cell>
        </row>
        <row r="794">
          <cell r="A794" t="str">
            <v>C446MM/C(T)</v>
          </cell>
          <cell r="B794" t="str">
            <v>15.05.2024</v>
          </cell>
          <cell r="C794">
            <v>84</v>
          </cell>
          <cell r="D794">
            <v>0</v>
          </cell>
          <cell r="E794" t="str">
            <v/>
          </cell>
        </row>
        <row r="795">
          <cell r="A795" t="str">
            <v>C46MA</v>
          </cell>
          <cell r="B795" t="str">
            <v>VYPRODÁNO</v>
          </cell>
          <cell r="C795" t="str">
            <v/>
          </cell>
          <cell r="D795">
            <v>0</v>
          </cell>
          <cell r="E795" t="str">
            <v/>
          </cell>
        </row>
        <row r="796">
          <cell r="A796" t="str">
            <v>C46MA14</v>
          </cell>
          <cell r="B796" t="str">
            <v>VYPRODÁNO</v>
          </cell>
          <cell r="C796" t="str">
            <v/>
          </cell>
          <cell r="D796">
            <v>0</v>
          </cell>
          <cell r="E796" t="str">
            <v/>
          </cell>
        </row>
        <row r="797">
          <cell r="A797" t="str">
            <v>C47MB</v>
          </cell>
          <cell r="B797" t="str">
            <v>VYPRODÁNO</v>
          </cell>
          <cell r="C797" t="str">
            <v/>
          </cell>
          <cell r="D797">
            <v>0</v>
          </cell>
          <cell r="E797" t="str">
            <v/>
          </cell>
        </row>
        <row r="798">
          <cell r="A798" t="str">
            <v>C47MB E</v>
          </cell>
          <cell r="B798" t="str">
            <v>VYPRODÁNO</v>
          </cell>
          <cell r="C798" t="str">
            <v/>
          </cell>
          <cell r="D798">
            <v>0</v>
          </cell>
          <cell r="E798" t="str">
            <v/>
          </cell>
        </row>
        <row r="799">
          <cell r="A799" t="str">
            <v>C47MI</v>
          </cell>
          <cell r="B799" t="str">
            <v>SKLADEM</v>
          </cell>
          <cell r="C799" t="str">
            <v/>
          </cell>
          <cell r="D799">
            <v>0</v>
          </cell>
          <cell r="E799" t="str">
            <v/>
          </cell>
        </row>
        <row r="800">
          <cell r="A800" t="str">
            <v>C47MT</v>
          </cell>
          <cell r="B800" t="str">
            <v>VYPRODÁNO</v>
          </cell>
          <cell r="C800" t="str">
            <v/>
          </cell>
          <cell r="D800">
            <v>0</v>
          </cell>
          <cell r="E800" t="str">
            <v/>
          </cell>
        </row>
        <row r="801">
          <cell r="A801" t="str">
            <v>C47MT E</v>
          </cell>
          <cell r="B801" t="str">
            <v>VYPRODÁNO</v>
          </cell>
          <cell r="C801" t="str">
            <v/>
          </cell>
          <cell r="D801">
            <v>0</v>
          </cell>
          <cell r="E801" t="str">
            <v/>
          </cell>
        </row>
        <row r="802">
          <cell r="A802" t="str">
            <v>C47XM1</v>
          </cell>
          <cell r="B802" t="str">
            <v>VYPRODÁNO</v>
          </cell>
          <cell r="C802" t="str">
            <v/>
          </cell>
          <cell r="D802">
            <v>0</v>
          </cell>
          <cell r="E802" t="str">
            <v/>
          </cell>
        </row>
        <row r="803">
          <cell r="A803" t="str">
            <v>C47XM2</v>
          </cell>
          <cell r="B803" t="str">
            <v>VYPRODÁNO</v>
          </cell>
          <cell r="C803" t="str">
            <v/>
          </cell>
          <cell r="D803">
            <v>0</v>
          </cell>
          <cell r="E803" t="str">
            <v/>
          </cell>
        </row>
        <row r="804">
          <cell r="A804" t="str">
            <v>C47XM2 E</v>
          </cell>
          <cell r="B804" t="str">
            <v>VYPRODÁNO</v>
          </cell>
          <cell r="C804" t="str">
            <v/>
          </cell>
          <cell r="D804">
            <v>0</v>
          </cell>
          <cell r="E804" t="str">
            <v/>
          </cell>
        </row>
        <row r="805">
          <cell r="A805" t="str">
            <v>C47XM3</v>
          </cell>
          <cell r="B805" t="str">
            <v>VYPRODÁNO</v>
          </cell>
          <cell r="C805" t="str">
            <v/>
          </cell>
          <cell r="D805">
            <v>0</v>
          </cell>
          <cell r="E805" t="str">
            <v/>
          </cell>
        </row>
        <row r="806">
          <cell r="A806" t="str">
            <v>C47XM4</v>
          </cell>
          <cell r="B806" t="str">
            <v>VYPRODÁNO</v>
          </cell>
          <cell r="C806" t="str">
            <v/>
          </cell>
          <cell r="D806">
            <v>0</v>
          </cell>
          <cell r="E806" t="str">
            <v/>
          </cell>
        </row>
        <row r="807">
          <cell r="A807" t="str">
            <v>C47XMA</v>
          </cell>
          <cell r="B807" t="str">
            <v>SKLADEM</v>
          </cell>
          <cell r="C807" t="str">
            <v/>
          </cell>
          <cell r="D807">
            <v>0</v>
          </cell>
          <cell r="E807" t="str">
            <v/>
          </cell>
        </row>
        <row r="808">
          <cell r="A808" t="str">
            <v>C47XMCOMA</v>
          </cell>
          <cell r="B808" t="str">
            <v>VYPRODÁNO</v>
          </cell>
          <cell r="C808" t="str">
            <v/>
          </cell>
          <cell r="D808">
            <v>0</v>
          </cell>
          <cell r="E808" t="str">
            <v/>
          </cell>
        </row>
        <row r="809">
          <cell r="A809" t="str">
            <v>C47XMCOMB</v>
          </cell>
          <cell r="B809" t="str">
            <v>VYPRODÁNO</v>
          </cell>
          <cell r="C809" t="str">
            <v/>
          </cell>
          <cell r="D809">
            <v>0</v>
          </cell>
          <cell r="E809" t="str">
            <v/>
          </cell>
        </row>
        <row r="810">
          <cell r="A810" t="str">
            <v>C47XMF</v>
          </cell>
          <cell r="B810" t="str">
            <v>VYPRODÁNO</v>
          </cell>
          <cell r="C810" t="str">
            <v/>
          </cell>
          <cell r="D810">
            <v>0</v>
          </cell>
          <cell r="E810" t="str">
            <v/>
          </cell>
        </row>
        <row r="811">
          <cell r="A811" t="str">
            <v>C47XMS</v>
          </cell>
          <cell r="B811" t="str">
            <v>VYPRODÁNO</v>
          </cell>
          <cell r="C811" t="str">
            <v/>
          </cell>
          <cell r="D811">
            <v>0</v>
          </cell>
          <cell r="E811" t="str">
            <v/>
          </cell>
        </row>
        <row r="812">
          <cell r="A812" t="str">
            <v>C47XMT</v>
          </cell>
          <cell r="B812" t="str">
            <v>SKLADEM</v>
          </cell>
          <cell r="C812" t="str">
            <v/>
          </cell>
          <cell r="D812">
            <v>0</v>
          </cell>
          <cell r="E812" t="str">
            <v/>
          </cell>
        </row>
        <row r="813">
          <cell r="A813" t="str">
            <v>C4825MP</v>
          </cell>
          <cell r="B813" t="str">
            <v>SKLADEM</v>
          </cell>
          <cell r="C813" t="str">
            <v/>
          </cell>
          <cell r="D813">
            <v>90</v>
          </cell>
          <cell r="E813" t="str">
            <v/>
          </cell>
        </row>
        <row r="814">
          <cell r="A814" t="str">
            <v>C4825MP14</v>
          </cell>
          <cell r="B814" t="str">
            <v>VYPRODÁNO</v>
          </cell>
          <cell r="C814" t="str">
            <v/>
          </cell>
          <cell r="D814">
            <v>0</v>
          </cell>
          <cell r="E814" t="str">
            <v/>
          </cell>
        </row>
        <row r="815">
          <cell r="A815" t="str">
            <v>C4825MQ</v>
          </cell>
          <cell r="B815" t="str">
            <v>VYPRODÁNO</v>
          </cell>
          <cell r="C815" t="str">
            <v/>
          </cell>
          <cell r="D815">
            <v>0</v>
          </cell>
          <cell r="E815" t="str">
            <v/>
          </cell>
        </row>
        <row r="816">
          <cell r="A816" t="str">
            <v>C4825MQ14</v>
          </cell>
          <cell r="B816" t="str">
            <v>VYPRODÁNO</v>
          </cell>
          <cell r="C816" t="str">
            <v/>
          </cell>
          <cell r="D816">
            <v>0</v>
          </cell>
          <cell r="E816" t="str">
            <v/>
          </cell>
        </row>
        <row r="817">
          <cell r="A817" t="str">
            <v>C48MA</v>
          </cell>
          <cell r="B817" t="str">
            <v>VYPRODÁNO</v>
          </cell>
          <cell r="C817" t="str">
            <v/>
          </cell>
          <cell r="D817">
            <v>0</v>
          </cell>
          <cell r="E817" t="str">
            <v/>
          </cell>
        </row>
        <row r="818">
          <cell r="A818" t="str">
            <v>C48MA14</v>
          </cell>
          <cell r="B818" t="str">
            <v>VYPRODÁNO</v>
          </cell>
          <cell r="C818" t="str">
            <v/>
          </cell>
          <cell r="D818">
            <v>0</v>
          </cell>
          <cell r="E818" t="str">
            <v/>
          </cell>
        </row>
        <row r="819">
          <cell r="A819" t="str">
            <v>C4920B</v>
          </cell>
          <cell r="B819" t="str">
            <v>VYPRODÁNO</v>
          </cell>
          <cell r="C819" t="str">
            <v/>
          </cell>
          <cell r="D819">
            <v>0</v>
          </cell>
          <cell r="E819" t="str">
            <v/>
          </cell>
        </row>
        <row r="820">
          <cell r="A820" t="str">
            <v>C4920B E</v>
          </cell>
          <cell r="B820" t="str">
            <v>VYPRODÁNO</v>
          </cell>
          <cell r="C820" t="str">
            <v/>
          </cell>
          <cell r="D820">
            <v>0</v>
          </cell>
          <cell r="E820" t="str">
            <v/>
          </cell>
        </row>
        <row r="821">
          <cell r="A821" t="str">
            <v>C4920B14</v>
          </cell>
          <cell r="B821" t="str">
            <v>VYPRODÁNO</v>
          </cell>
          <cell r="C821" t="str">
            <v/>
          </cell>
          <cell r="D821">
            <v>0</v>
          </cell>
          <cell r="E821" t="str">
            <v/>
          </cell>
        </row>
        <row r="822">
          <cell r="A822" t="str">
            <v>C4920B14 E</v>
          </cell>
          <cell r="B822" t="str">
            <v>VYPRODÁNO</v>
          </cell>
          <cell r="C822" t="str">
            <v/>
          </cell>
          <cell r="D822">
            <v>0</v>
          </cell>
          <cell r="E822" t="str">
            <v/>
          </cell>
        </row>
        <row r="823">
          <cell r="A823" t="str">
            <v>C4920BPF</v>
          </cell>
          <cell r="B823" t="str">
            <v>SKLADEM</v>
          </cell>
          <cell r="C823" t="str">
            <v/>
          </cell>
          <cell r="D823">
            <v>0</v>
          </cell>
          <cell r="E823" t="str">
            <v/>
          </cell>
        </row>
        <row r="824">
          <cell r="A824" t="str">
            <v>C4920D</v>
          </cell>
          <cell r="B824" t="str">
            <v>VYPRODÁNO</v>
          </cell>
          <cell r="C824" t="str">
            <v/>
          </cell>
          <cell r="D824">
            <v>0</v>
          </cell>
          <cell r="E824" t="str">
            <v/>
          </cell>
        </row>
        <row r="825">
          <cell r="A825" t="str">
            <v>C4920D E</v>
          </cell>
          <cell r="B825" t="str">
            <v>VYPRODÁNO</v>
          </cell>
          <cell r="C825" t="str">
            <v/>
          </cell>
          <cell r="D825">
            <v>0</v>
          </cell>
          <cell r="E825" t="str">
            <v/>
          </cell>
        </row>
        <row r="826">
          <cell r="A826" t="str">
            <v>C4920D14</v>
          </cell>
          <cell r="B826" t="str">
            <v>VYPRODÁNO</v>
          </cell>
          <cell r="C826" t="str">
            <v/>
          </cell>
          <cell r="D826">
            <v>0</v>
          </cell>
          <cell r="E826" t="str">
            <v/>
          </cell>
        </row>
        <row r="827">
          <cell r="A827" t="str">
            <v>C4920DR</v>
          </cell>
          <cell r="B827" t="str">
            <v>SKLADEM</v>
          </cell>
          <cell r="C827" t="str">
            <v/>
          </cell>
          <cell r="D827">
            <v>0</v>
          </cell>
          <cell r="E827" t="str">
            <v/>
          </cell>
        </row>
        <row r="828">
          <cell r="A828" t="str">
            <v>C4920DR14</v>
          </cell>
          <cell r="B828" t="str">
            <v>SKLADEM</v>
          </cell>
          <cell r="C828" t="str">
            <v/>
          </cell>
          <cell r="D828">
            <v>0</v>
          </cell>
          <cell r="E828" t="str">
            <v/>
          </cell>
        </row>
        <row r="829">
          <cell r="A829" t="str">
            <v>C4920K</v>
          </cell>
          <cell r="B829" t="str">
            <v>SKLADEM</v>
          </cell>
          <cell r="C829" t="str">
            <v/>
          </cell>
          <cell r="D829">
            <v>0</v>
          </cell>
          <cell r="E829" t="str">
            <v/>
          </cell>
        </row>
        <row r="830">
          <cell r="A830" t="str">
            <v>C4920K E</v>
          </cell>
          <cell r="B830" t="str">
            <v>VYPRODÁNO</v>
          </cell>
          <cell r="C830" t="str">
            <v/>
          </cell>
          <cell r="D830">
            <v>0</v>
          </cell>
          <cell r="E830" t="str">
            <v/>
          </cell>
        </row>
        <row r="831">
          <cell r="A831" t="str">
            <v>C4920K14</v>
          </cell>
          <cell r="B831" t="str">
            <v>VYPRODÁNO</v>
          </cell>
          <cell r="C831" t="str">
            <v/>
          </cell>
          <cell r="D831">
            <v>0</v>
          </cell>
          <cell r="E831" t="str">
            <v/>
          </cell>
        </row>
        <row r="832">
          <cell r="A832" t="str">
            <v>C4920K14 E</v>
          </cell>
          <cell r="B832" t="str">
            <v>VYPRODÁNO</v>
          </cell>
          <cell r="C832" t="str">
            <v/>
          </cell>
          <cell r="D832">
            <v>0</v>
          </cell>
          <cell r="E832" t="str">
            <v/>
          </cell>
        </row>
        <row r="833">
          <cell r="A833" t="str">
            <v>C4920NID</v>
          </cell>
          <cell r="B833" t="str">
            <v>SKLADEM</v>
          </cell>
          <cell r="C833" t="str">
            <v/>
          </cell>
          <cell r="D833">
            <v>0</v>
          </cell>
          <cell r="E833" t="str">
            <v/>
          </cell>
        </row>
        <row r="834">
          <cell r="A834" t="str">
            <v>C4920S</v>
          </cell>
          <cell r="B834" t="str">
            <v>SKLADEM</v>
          </cell>
          <cell r="C834" t="str">
            <v/>
          </cell>
          <cell r="D834">
            <v>0</v>
          </cell>
          <cell r="E834" t="str">
            <v/>
          </cell>
        </row>
        <row r="835">
          <cell r="A835" t="str">
            <v>C4920S E</v>
          </cell>
          <cell r="B835" t="str">
            <v>VYPRODÁNO</v>
          </cell>
          <cell r="C835" t="str">
            <v/>
          </cell>
          <cell r="D835">
            <v>0</v>
          </cell>
          <cell r="E835" t="str">
            <v/>
          </cell>
        </row>
        <row r="836">
          <cell r="A836" t="str">
            <v>C4920S14</v>
          </cell>
          <cell r="B836" t="str">
            <v>20.06.2024</v>
          </cell>
          <cell r="C836">
            <v>120</v>
          </cell>
          <cell r="D836">
            <v>0</v>
          </cell>
          <cell r="E836" t="str">
            <v/>
          </cell>
        </row>
        <row r="837">
          <cell r="A837" t="str">
            <v>C4920S14 E</v>
          </cell>
          <cell r="B837" t="str">
            <v>VYPRODÁNO</v>
          </cell>
          <cell r="C837" t="str">
            <v/>
          </cell>
          <cell r="D837">
            <v>0</v>
          </cell>
          <cell r="E837" t="str">
            <v/>
          </cell>
        </row>
        <row r="838">
          <cell r="A838" t="str">
            <v>C4920SIG</v>
          </cell>
          <cell r="B838" t="str">
            <v>20.06.2024</v>
          </cell>
          <cell r="C838">
            <v>120</v>
          </cell>
          <cell r="D838">
            <v>0</v>
          </cell>
          <cell r="E838" t="str">
            <v/>
          </cell>
        </row>
        <row r="839">
          <cell r="A839" t="str">
            <v>C4920SIG E</v>
          </cell>
          <cell r="B839" t="str">
            <v>VYPRODÁNO</v>
          </cell>
          <cell r="C839" t="str">
            <v/>
          </cell>
          <cell r="D839">
            <v>0</v>
          </cell>
          <cell r="E839" t="str">
            <v/>
          </cell>
        </row>
        <row r="840">
          <cell r="A840" t="str">
            <v>C4920SIG14</v>
          </cell>
          <cell r="B840" t="str">
            <v>SKLADEM</v>
          </cell>
          <cell r="C840" t="str">
            <v/>
          </cell>
          <cell r="D840">
            <v>0</v>
          </cell>
          <cell r="E840" t="str">
            <v/>
          </cell>
        </row>
        <row r="841">
          <cell r="A841" t="str">
            <v>C4920SIGI14</v>
          </cell>
          <cell r="B841" t="str">
            <v>VYPRODÁNO</v>
          </cell>
          <cell r="C841" t="str">
            <v/>
          </cell>
          <cell r="D841">
            <v>0</v>
          </cell>
          <cell r="E841" t="str">
            <v/>
          </cell>
        </row>
        <row r="842">
          <cell r="A842" t="str">
            <v>C4925BO</v>
          </cell>
          <cell r="B842" t="str">
            <v>VYPRODÁNO</v>
          </cell>
          <cell r="C842" t="str">
            <v/>
          </cell>
          <cell r="D842">
            <v>0</v>
          </cell>
          <cell r="E842" t="str">
            <v/>
          </cell>
        </row>
        <row r="843">
          <cell r="A843" t="str">
            <v>C4925BO E</v>
          </cell>
          <cell r="B843" t="str">
            <v>VYPRODÁNO</v>
          </cell>
          <cell r="C843" t="str">
            <v/>
          </cell>
          <cell r="D843">
            <v>0</v>
          </cell>
          <cell r="E843" t="str">
            <v/>
          </cell>
        </row>
        <row r="844">
          <cell r="A844" t="str">
            <v>C4925BP14</v>
          </cell>
          <cell r="B844" t="str">
            <v>SKLADEM</v>
          </cell>
          <cell r="C844" t="str">
            <v/>
          </cell>
          <cell r="D844">
            <v>0</v>
          </cell>
          <cell r="E844" t="str">
            <v/>
          </cell>
        </row>
        <row r="845">
          <cell r="A845" t="str">
            <v>C4925D</v>
          </cell>
          <cell r="B845" t="str">
            <v>SKLADEM</v>
          </cell>
          <cell r="C845" t="str">
            <v/>
          </cell>
          <cell r="D845">
            <v>0</v>
          </cell>
          <cell r="E845" t="str">
            <v/>
          </cell>
        </row>
        <row r="846">
          <cell r="A846" t="str">
            <v>C4925D E</v>
          </cell>
          <cell r="B846" t="str">
            <v>VYPRODÁNO</v>
          </cell>
          <cell r="C846" t="str">
            <v/>
          </cell>
          <cell r="D846">
            <v>0</v>
          </cell>
          <cell r="E846" t="str">
            <v/>
          </cell>
        </row>
        <row r="847">
          <cell r="A847" t="str">
            <v>C4925G</v>
          </cell>
          <cell r="B847" t="str">
            <v>SKLADEM</v>
          </cell>
          <cell r="C847" t="str">
            <v/>
          </cell>
          <cell r="D847">
            <v>0</v>
          </cell>
          <cell r="E847" t="str">
            <v/>
          </cell>
        </row>
        <row r="848">
          <cell r="A848" t="str">
            <v>C4925G |</v>
          </cell>
          <cell r="B848" t="str">
            <v>VYPRODÁNO</v>
          </cell>
          <cell r="C848" t="str">
            <v/>
          </cell>
          <cell r="D848">
            <v>0</v>
          </cell>
          <cell r="E848" t="str">
            <v/>
          </cell>
        </row>
        <row r="849">
          <cell r="A849" t="str">
            <v>C4925G E</v>
          </cell>
          <cell r="B849" t="str">
            <v>VYPRODÁNO</v>
          </cell>
          <cell r="C849" t="str">
            <v/>
          </cell>
          <cell r="D849">
            <v>0</v>
          </cell>
          <cell r="E849" t="str">
            <v/>
          </cell>
        </row>
        <row r="850">
          <cell r="A850" t="str">
            <v>C4925G14</v>
          </cell>
          <cell r="B850" t="str">
            <v>VYPRODÁNO</v>
          </cell>
          <cell r="C850" t="str">
            <v/>
          </cell>
          <cell r="D850">
            <v>0</v>
          </cell>
          <cell r="E850" t="str">
            <v/>
          </cell>
        </row>
        <row r="851">
          <cell r="A851" t="str">
            <v>C4925GI</v>
          </cell>
          <cell r="B851" t="str">
            <v>VYPRODÁNO</v>
          </cell>
          <cell r="C851" t="str">
            <v/>
          </cell>
          <cell r="D851">
            <v>0</v>
          </cell>
          <cell r="E851" t="str">
            <v/>
          </cell>
        </row>
        <row r="852">
          <cell r="A852" t="str">
            <v>C4925NO14</v>
          </cell>
          <cell r="B852" t="str">
            <v>SKLADEM</v>
          </cell>
          <cell r="C852" t="str">
            <v/>
          </cell>
          <cell r="D852">
            <v>0</v>
          </cell>
          <cell r="E852" t="str">
            <v/>
          </cell>
        </row>
        <row r="853">
          <cell r="A853" t="str">
            <v>C4925NO14 E</v>
          </cell>
          <cell r="B853" t="str">
            <v>VYPRODÁNO</v>
          </cell>
          <cell r="C853" t="str">
            <v/>
          </cell>
          <cell r="D853">
            <v>0</v>
          </cell>
          <cell r="E853" t="str">
            <v/>
          </cell>
        </row>
        <row r="854">
          <cell r="A854" t="str">
            <v>C4925P</v>
          </cell>
          <cell r="B854" t="str">
            <v>SKLADEM</v>
          </cell>
          <cell r="C854" t="str">
            <v/>
          </cell>
          <cell r="D854">
            <v>0</v>
          </cell>
          <cell r="E854" t="str">
            <v/>
          </cell>
        </row>
        <row r="855">
          <cell r="A855" t="str">
            <v>C4925P14</v>
          </cell>
          <cell r="B855" t="str">
            <v>VYPRODÁNO</v>
          </cell>
          <cell r="C855" t="str">
            <v/>
          </cell>
          <cell r="D855">
            <v>0</v>
          </cell>
          <cell r="E855" t="str">
            <v/>
          </cell>
        </row>
        <row r="856">
          <cell r="A856" t="str">
            <v>C4925SIG</v>
          </cell>
          <cell r="B856" t="str">
            <v>SKLADEM</v>
          </cell>
          <cell r="C856" t="str">
            <v/>
          </cell>
          <cell r="D856">
            <v>0</v>
          </cell>
          <cell r="E856" t="str">
            <v/>
          </cell>
        </row>
        <row r="857">
          <cell r="A857" t="str">
            <v>C4925SIG E</v>
          </cell>
          <cell r="B857" t="str">
            <v>VYPRODÁNO</v>
          </cell>
          <cell r="C857" t="str">
            <v/>
          </cell>
          <cell r="D857">
            <v>0</v>
          </cell>
          <cell r="E857" t="str">
            <v/>
          </cell>
        </row>
        <row r="858">
          <cell r="A858" t="str">
            <v>C4925SIG14</v>
          </cell>
          <cell r="B858" t="str">
            <v>VYPRODÁNO</v>
          </cell>
          <cell r="C858" t="str">
            <v/>
          </cell>
          <cell r="D858">
            <v>0</v>
          </cell>
          <cell r="E858" t="str">
            <v/>
          </cell>
        </row>
        <row r="859">
          <cell r="A859" t="str">
            <v>C4925V</v>
          </cell>
          <cell r="B859" t="str">
            <v>SKLADEM</v>
          </cell>
          <cell r="C859" t="str">
            <v/>
          </cell>
          <cell r="D859">
            <v>0</v>
          </cell>
          <cell r="E859" t="str">
            <v/>
          </cell>
        </row>
        <row r="860">
          <cell r="A860" t="str">
            <v>C4925V14</v>
          </cell>
          <cell r="B860" t="str">
            <v>15.06.2024</v>
          </cell>
          <cell r="C860">
            <v>115</v>
          </cell>
          <cell r="D860">
            <v>0</v>
          </cell>
          <cell r="E860" t="str">
            <v/>
          </cell>
        </row>
        <row r="861">
          <cell r="A861" t="str">
            <v>C4925VS</v>
          </cell>
          <cell r="B861" t="str">
            <v>SKLADEM</v>
          </cell>
          <cell r="C861" t="str">
            <v/>
          </cell>
          <cell r="D861">
            <v>0</v>
          </cell>
          <cell r="E861" t="str">
            <v/>
          </cell>
        </row>
        <row r="862">
          <cell r="A862" t="str">
            <v>C493A</v>
          </cell>
          <cell r="B862" t="str">
            <v>VYPRODÁNO</v>
          </cell>
          <cell r="C862" t="str">
            <v/>
          </cell>
          <cell r="D862">
            <v>0</v>
          </cell>
          <cell r="E862" t="str">
            <v/>
          </cell>
        </row>
        <row r="863">
          <cell r="A863" t="str">
            <v>C493A E</v>
          </cell>
          <cell r="B863" t="str">
            <v>VYPRODÁNO</v>
          </cell>
          <cell r="C863" t="str">
            <v/>
          </cell>
          <cell r="D863">
            <v>0</v>
          </cell>
          <cell r="E863" t="str">
            <v/>
          </cell>
        </row>
        <row r="864">
          <cell r="A864" t="str">
            <v>C493A/P</v>
          </cell>
          <cell r="B864" t="str">
            <v>VYPRODÁNO</v>
          </cell>
          <cell r="C864" t="str">
            <v/>
          </cell>
          <cell r="D864">
            <v>0</v>
          </cell>
          <cell r="E864" t="str">
            <v/>
          </cell>
        </row>
        <row r="865">
          <cell r="A865" t="str">
            <v>C493B</v>
          </cell>
          <cell r="B865" t="str">
            <v>VYPRODÁNO</v>
          </cell>
          <cell r="C865" t="str">
            <v/>
          </cell>
          <cell r="D865">
            <v>0</v>
          </cell>
          <cell r="E865" t="str">
            <v/>
          </cell>
        </row>
        <row r="866">
          <cell r="A866" t="str">
            <v>C493B E</v>
          </cell>
          <cell r="B866" t="str">
            <v>VYPRODÁNO</v>
          </cell>
          <cell r="C866" t="str">
            <v/>
          </cell>
          <cell r="D866">
            <v>0</v>
          </cell>
          <cell r="E866" t="str">
            <v/>
          </cell>
        </row>
        <row r="867">
          <cell r="A867" t="str">
            <v>C493BP</v>
          </cell>
          <cell r="B867" t="str">
            <v>SKLADEM</v>
          </cell>
          <cell r="C867" t="str">
            <v/>
          </cell>
          <cell r="D867">
            <v>0</v>
          </cell>
          <cell r="E867" t="str">
            <v/>
          </cell>
        </row>
        <row r="868">
          <cell r="A868" t="str">
            <v>C493BPF</v>
          </cell>
          <cell r="B868" t="str">
            <v>VYPRODÁNO</v>
          </cell>
          <cell r="C868" t="str">
            <v/>
          </cell>
          <cell r="D868">
            <v>0</v>
          </cell>
          <cell r="E868" t="str">
            <v/>
          </cell>
        </row>
        <row r="869">
          <cell r="A869" t="str">
            <v>C493BPS</v>
          </cell>
          <cell r="B869" t="str">
            <v>SKLADEM</v>
          </cell>
          <cell r="C869" t="str">
            <v/>
          </cell>
          <cell r="D869">
            <v>0</v>
          </cell>
          <cell r="E869" t="str">
            <v/>
          </cell>
        </row>
        <row r="870">
          <cell r="A870" t="str">
            <v>C493BW</v>
          </cell>
          <cell r="B870" t="str">
            <v>20.06.2024</v>
          </cell>
          <cell r="C870">
            <v>120</v>
          </cell>
          <cell r="D870">
            <v>0</v>
          </cell>
          <cell r="E870" t="str">
            <v/>
          </cell>
        </row>
        <row r="871">
          <cell r="A871" t="str">
            <v>C493C</v>
          </cell>
          <cell r="B871" t="str">
            <v>VYPRODÁNO</v>
          </cell>
          <cell r="C871" t="str">
            <v/>
          </cell>
          <cell r="D871">
            <v>0</v>
          </cell>
          <cell r="E871" t="str">
            <v/>
          </cell>
        </row>
        <row r="872">
          <cell r="A872" t="str">
            <v>C493CR</v>
          </cell>
          <cell r="B872" t="str">
            <v>VYPRODÁNO</v>
          </cell>
          <cell r="C872" t="str">
            <v/>
          </cell>
          <cell r="D872">
            <v>0</v>
          </cell>
          <cell r="E872" t="str">
            <v/>
          </cell>
        </row>
        <row r="873">
          <cell r="A873" t="str">
            <v>C493D/P</v>
          </cell>
          <cell r="B873" t="str">
            <v>VYPRODÁNO</v>
          </cell>
          <cell r="C873" t="str">
            <v/>
          </cell>
          <cell r="D873">
            <v>0</v>
          </cell>
          <cell r="E873" t="str">
            <v/>
          </cell>
        </row>
        <row r="874">
          <cell r="A874" t="str">
            <v>C493DU</v>
          </cell>
          <cell r="B874" t="str">
            <v>15.05.2024</v>
          </cell>
          <cell r="C874">
            <v>84</v>
          </cell>
          <cell r="D874">
            <v>0</v>
          </cell>
          <cell r="E874" t="str">
            <v/>
          </cell>
        </row>
        <row r="875">
          <cell r="A875" t="str">
            <v>C493DU E</v>
          </cell>
          <cell r="B875" t="str">
            <v>VYPRODÁNO</v>
          </cell>
          <cell r="C875" t="str">
            <v/>
          </cell>
          <cell r="D875">
            <v>0</v>
          </cell>
          <cell r="E875" t="str">
            <v/>
          </cell>
        </row>
        <row r="876">
          <cell r="A876" t="str">
            <v>C493DZ</v>
          </cell>
          <cell r="B876" t="str">
            <v>VYPRODÁNO</v>
          </cell>
          <cell r="C876" t="str">
            <v/>
          </cell>
          <cell r="D876">
            <v>0</v>
          </cell>
          <cell r="E876" t="str">
            <v/>
          </cell>
        </row>
        <row r="877">
          <cell r="A877" t="str">
            <v>C493DZ E</v>
          </cell>
          <cell r="B877" t="str">
            <v>VYPRODÁNO</v>
          </cell>
          <cell r="C877" t="str">
            <v/>
          </cell>
          <cell r="D877">
            <v>0</v>
          </cell>
          <cell r="E877" t="str">
            <v/>
          </cell>
        </row>
        <row r="878">
          <cell r="A878" t="str">
            <v>C493E</v>
          </cell>
          <cell r="B878" t="str">
            <v>VYPRODÁNO</v>
          </cell>
          <cell r="C878" t="str">
            <v/>
          </cell>
          <cell r="D878">
            <v>0</v>
          </cell>
          <cell r="E878" t="str">
            <v/>
          </cell>
        </row>
        <row r="879">
          <cell r="A879" t="str">
            <v>C493F</v>
          </cell>
          <cell r="B879" t="str">
            <v>VYPRODÁNO</v>
          </cell>
          <cell r="C879" t="str">
            <v/>
          </cell>
          <cell r="D879">
            <v>0</v>
          </cell>
          <cell r="E879" t="str">
            <v/>
          </cell>
        </row>
        <row r="880">
          <cell r="A880" t="str">
            <v>C493G</v>
          </cell>
          <cell r="B880" t="str">
            <v>VYPRODÁNO</v>
          </cell>
          <cell r="C880" t="str">
            <v/>
          </cell>
          <cell r="D880">
            <v>0</v>
          </cell>
          <cell r="E880" t="str">
            <v/>
          </cell>
        </row>
        <row r="881">
          <cell r="A881" t="str">
            <v>C493G/2</v>
          </cell>
          <cell r="B881" t="str">
            <v>VYPRODÁNO</v>
          </cell>
          <cell r="C881" t="str">
            <v/>
          </cell>
          <cell r="D881">
            <v>0</v>
          </cell>
          <cell r="E881" t="str">
            <v/>
          </cell>
        </row>
        <row r="882">
          <cell r="A882" t="str">
            <v>C493GH</v>
          </cell>
          <cell r="B882" t="str">
            <v>SKLADEM</v>
          </cell>
          <cell r="C882" t="str">
            <v/>
          </cell>
          <cell r="D882">
            <v>0</v>
          </cell>
          <cell r="E882" t="str">
            <v/>
          </cell>
        </row>
        <row r="883">
          <cell r="A883" t="str">
            <v>C493GH E</v>
          </cell>
          <cell r="B883" t="str">
            <v>SKLADEM</v>
          </cell>
          <cell r="C883" t="str">
            <v/>
          </cell>
          <cell r="D883">
            <v>0</v>
          </cell>
          <cell r="E883" t="str">
            <v/>
          </cell>
        </row>
        <row r="884">
          <cell r="A884" t="str">
            <v>C493H</v>
          </cell>
          <cell r="B884" t="str">
            <v>VYPRODÁNO</v>
          </cell>
          <cell r="C884" t="str">
            <v/>
          </cell>
          <cell r="D884">
            <v>0</v>
          </cell>
          <cell r="E884" t="str">
            <v/>
          </cell>
        </row>
        <row r="885">
          <cell r="A885" t="str">
            <v>C493H E</v>
          </cell>
          <cell r="B885" t="str">
            <v>VYPRODÁNO</v>
          </cell>
          <cell r="C885" t="str">
            <v/>
          </cell>
          <cell r="D885">
            <v>0</v>
          </cell>
          <cell r="E885" t="str">
            <v/>
          </cell>
        </row>
        <row r="886">
          <cell r="A886" t="str">
            <v>C493CH</v>
          </cell>
          <cell r="B886" t="str">
            <v>VYPRODÁNO</v>
          </cell>
          <cell r="C886" t="str">
            <v/>
          </cell>
          <cell r="D886">
            <v>0</v>
          </cell>
          <cell r="E886" t="str">
            <v/>
          </cell>
        </row>
        <row r="887">
          <cell r="A887" t="str">
            <v>C493CH E</v>
          </cell>
          <cell r="B887" t="str">
            <v>VYPRODÁNO</v>
          </cell>
          <cell r="C887" t="str">
            <v/>
          </cell>
          <cell r="D887">
            <v>0</v>
          </cell>
          <cell r="E887" t="str">
            <v/>
          </cell>
        </row>
        <row r="888">
          <cell r="A888" t="str">
            <v>C493J</v>
          </cell>
          <cell r="B888" t="str">
            <v>VYPRODÁNO</v>
          </cell>
          <cell r="C888" t="str">
            <v/>
          </cell>
          <cell r="D888">
            <v>0</v>
          </cell>
          <cell r="E888" t="str">
            <v/>
          </cell>
        </row>
        <row r="889">
          <cell r="A889" t="str">
            <v>C493L</v>
          </cell>
          <cell r="B889" t="str">
            <v>VYPRODÁNO</v>
          </cell>
          <cell r="C889" t="str">
            <v/>
          </cell>
          <cell r="D889">
            <v>0</v>
          </cell>
          <cell r="E889" t="str">
            <v/>
          </cell>
        </row>
        <row r="890">
          <cell r="A890" t="str">
            <v>C493LI</v>
          </cell>
          <cell r="B890" t="str">
            <v>30.04.2024</v>
          </cell>
          <cell r="C890">
            <v>69</v>
          </cell>
          <cell r="D890">
            <v>0</v>
          </cell>
          <cell r="E890" t="str">
            <v/>
          </cell>
        </row>
        <row r="891">
          <cell r="A891" t="str">
            <v>C493M</v>
          </cell>
          <cell r="B891" t="str">
            <v>VYPRODÁNO</v>
          </cell>
          <cell r="C891" t="str">
            <v/>
          </cell>
          <cell r="D891">
            <v>0</v>
          </cell>
          <cell r="E891" t="str">
            <v/>
          </cell>
        </row>
        <row r="892">
          <cell r="A892" t="str">
            <v>C493MA</v>
          </cell>
          <cell r="B892" t="str">
            <v>15.09.2024</v>
          </cell>
          <cell r="C892">
            <v>207</v>
          </cell>
          <cell r="D892">
            <v>0</v>
          </cell>
          <cell r="E892" t="str">
            <v/>
          </cell>
        </row>
        <row r="893">
          <cell r="A893" t="str">
            <v>C493O</v>
          </cell>
          <cell r="B893" t="str">
            <v>VYPRODÁNO</v>
          </cell>
          <cell r="C893" t="str">
            <v/>
          </cell>
          <cell r="D893">
            <v>0</v>
          </cell>
          <cell r="E893" t="str">
            <v/>
          </cell>
        </row>
        <row r="894">
          <cell r="A894" t="str">
            <v>C493P</v>
          </cell>
          <cell r="B894" t="str">
            <v>VYPRODÁNO</v>
          </cell>
          <cell r="C894" t="str">
            <v/>
          </cell>
          <cell r="D894">
            <v>0</v>
          </cell>
          <cell r="E894" t="str">
            <v/>
          </cell>
        </row>
        <row r="895">
          <cell r="A895" t="str">
            <v>C493PR</v>
          </cell>
          <cell r="B895" t="str">
            <v>15.09.2024</v>
          </cell>
          <cell r="C895">
            <v>207</v>
          </cell>
          <cell r="D895">
            <v>0</v>
          </cell>
          <cell r="E895" t="str">
            <v/>
          </cell>
        </row>
        <row r="896">
          <cell r="A896" t="str">
            <v>C493Q</v>
          </cell>
          <cell r="B896" t="str">
            <v>VYPRODÁNO</v>
          </cell>
          <cell r="C896" t="str">
            <v/>
          </cell>
          <cell r="D896">
            <v>0</v>
          </cell>
          <cell r="E896" t="str">
            <v/>
          </cell>
        </row>
        <row r="897">
          <cell r="A897" t="str">
            <v>C493R</v>
          </cell>
          <cell r="B897" t="str">
            <v>VYPRODÁNO</v>
          </cell>
          <cell r="C897" t="str">
            <v/>
          </cell>
          <cell r="D897">
            <v>0</v>
          </cell>
          <cell r="E897" t="str">
            <v/>
          </cell>
        </row>
        <row r="898">
          <cell r="A898" t="str">
            <v>C493RG</v>
          </cell>
          <cell r="B898" t="str">
            <v>SKLADEM</v>
          </cell>
          <cell r="C898" t="str">
            <v/>
          </cell>
          <cell r="D898">
            <v>6</v>
          </cell>
          <cell r="E898" t="str">
            <v/>
          </cell>
        </row>
        <row r="899">
          <cell r="A899" t="str">
            <v>C493RG E</v>
          </cell>
          <cell r="B899" t="str">
            <v>VYPRODÁNO</v>
          </cell>
          <cell r="C899" t="str">
            <v/>
          </cell>
          <cell r="D899">
            <v>0</v>
          </cell>
          <cell r="E899" t="str">
            <v/>
          </cell>
        </row>
        <row r="900">
          <cell r="A900" t="str">
            <v>C493RU</v>
          </cell>
          <cell r="B900" t="str">
            <v>SKLADEM</v>
          </cell>
          <cell r="C900" t="str">
            <v/>
          </cell>
          <cell r="D900">
            <v>0</v>
          </cell>
          <cell r="E900" t="str">
            <v/>
          </cell>
        </row>
        <row r="901">
          <cell r="A901" t="str">
            <v>C493RU E</v>
          </cell>
          <cell r="B901" t="str">
            <v>SKLADEM</v>
          </cell>
          <cell r="C901" t="str">
            <v/>
          </cell>
          <cell r="D901">
            <v>0</v>
          </cell>
          <cell r="E901" t="str">
            <v/>
          </cell>
        </row>
        <row r="902">
          <cell r="A902" t="str">
            <v>C493SH</v>
          </cell>
          <cell r="B902" t="str">
            <v>VYPRODÁNO</v>
          </cell>
          <cell r="C902" t="str">
            <v/>
          </cell>
          <cell r="D902">
            <v>0</v>
          </cell>
          <cell r="E902" t="str">
            <v/>
          </cell>
        </row>
        <row r="903">
          <cell r="A903" t="str">
            <v>C493SK</v>
          </cell>
          <cell r="B903" t="str">
            <v>VYPRODÁNO</v>
          </cell>
          <cell r="C903" t="str">
            <v/>
          </cell>
          <cell r="D903">
            <v>0</v>
          </cell>
          <cell r="E903" t="str">
            <v/>
          </cell>
        </row>
        <row r="904">
          <cell r="A904" t="str">
            <v>C493SW</v>
          </cell>
          <cell r="B904" t="str">
            <v>SKLADEM</v>
          </cell>
          <cell r="C904" t="str">
            <v/>
          </cell>
          <cell r="D904">
            <v>0</v>
          </cell>
          <cell r="E904" t="str">
            <v/>
          </cell>
        </row>
        <row r="905">
          <cell r="A905" t="str">
            <v>C493SW E</v>
          </cell>
          <cell r="B905" t="str">
            <v>VYPRODÁNO</v>
          </cell>
          <cell r="C905" t="str">
            <v/>
          </cell>
          <cell r="D905">
            <v>0</v>
          </cell>
          <cell r="E905" t="str">
            <v/>
          </cell>
        </row>
        <row r="906">
          <cell r="A906" t="str">
            <v>C493T</v>
          </cell>
          <cell r="B906" t="str">
            <v>VYPRODÁNO</v>
          </cell>
          <cell r="C906" t="str">
            <v/>
          </cell>
          <cell r="D906">
            <v>0</v>
          </cell>
          <cell r="E906" t="str">
            <v/>
          </cell>
        </row>
        <row r="907">
          <cell r="A907" t="str">
            <v>C493T E</v>
          </cell>
          <cell r="B907" t="str">
            <v>VYPRODÁNO</v>
          </cell>
          <cell r="C907" t="str">
            <v/>
          </cell>
          <cell r="D907">
            <v>0</v>
          </cell>
          <cell r="E907" t="str">
            <v/>
          </cell>
        </row>
        <row r="908">
          <cell r="A908" t="str">
            <v>C493TO</v>
          </cell>
          <cell r="B908" t="str">
            <v>VYPRODÁNO</v>
          </cell>
          <cell r="C908" t="str">
            <v/>
          </cell>
          <cell r="D908">
            <v>0</v>
          </cell>
          <cell r="E908" t="str">
            <v/>
          </cell>
        </row>
        <row r="909">
          <cell r="A909" t="str">
            <v>C493W</v>
          </cell>
          <cell r="B909" t="str">
            <v>VYPRODÁNO</v>
          </cell>
          <cell r="C909" t="str">
            <v/>
          </cell>
          <cell r="D909">
            <v>0</v>
          </cell>
          <cell r="E909" t="str">
            <v/>
          </cell>
        </row>
        <row r="910">
          <cell r="A910" t="str">
            <v>C493X</v>
          </cell>
          <cell r="B910" t="str">
            <v>VYPRODÁNO</v>
          </cell>
          <cell r="C910" t="str">
            <v/>
          </cell>
          <cell r="D910">
            <v>0</v>
          </cell>
          <cell r="E910" t="str">
            <v/>
          </cell>
        </row>
        <row r="911">
          <cell r="A911" t="str">
            <v>C493Z</v>
          </cell>
          <cell r="B911" t="str">
            <v>VYPRODÁNO</v>
          </cell>
          <cell r="C911" t="str">
            <v/>
          </cell>
          <cell r="D911">
            <v>0</v>
          </cell>
          <cell r="E911" t="str">
            <v/>
          </cell>
        </row>
        <row r="912">
          <cell r="A912" t="str">
            <v>C493Z/2</v>
          </cell>
          <cell r="B912" t="str">
            <v>VYPRODÁNO</v>
          </cell>
          <cell r="C912" t="str">
            <v/>
          </cell>
          <cell r="D912">
            <v>0</v>
          </cell>
          <cell r="E912" t="str">
            <v/>
          </cell>
        </row>
        <row r="913">
          <cell r="A913" t="str">
            <v>C493Z/3</v>
          </cell>
          <cell r="B913" t="str">
            <v>VYPRODÁNO</v>
          </cell>
          <cell r="C913" t="str">
            <v/>
          </cell>
          <cell r="D913">
            <v>0</v>
          </cell>
          <cell r="E913" t="str">
            <v/>
          </cell>
        </row>
        <row r="914">
          <cell r="A914" t="str">
            <v>C493Z/4</v>
          </cell>
          <cell r="B914" t="str">
            <v>VYPRODÁNO</v>
          </cell>
          <cell r="C914" t="str">
            <v/>
          </cell>
          <cell r="D914">
            <v>0</v>
          </cell>
          <cell r="E914" t="str">
            <v/>
          </cell>
        </row>
        <row r="915">
          <cell r="A915" t="str">
            <v>C493Z/5</v>
          </cell>
          <cell r="B915" t="str">
            <v>VYPRODÁNO</v>
          </cell>
          <cell r="C915" t="str">
            <v/>
          </cell>
          <cell r="D915">
            <v>0</v>
          </cell>
          <cell r="E915" t="str">
            <v/>
          </cell>
        </row>
        <row r="916">
          <cell r="A916" t="str">
            <v>C495GW E</v>
          </cell>
          <cell r="B916" t="str">
            <v>VYPRODÁNO</v>
          </cell>
          <cell r="C916" t="str">
            <v/>
          </cell>
          <cell r="D916">
            <v>0</v>
          </cell>
          <cell r="E916" t="str">
            <v/>
          </cell>
        </row>
        <row r="917">
          <cell r="A917" t="str">
            <v>C495V</v>
          </cell>
          <cell r="B917" t="str">
            <v>VYPRODÁNO</v>
          </cell>
          <cell r="C917" t="str">
            <v/>
          </cell>
          <cell r="D917">
            <v>0</v>
          </cell>
          <cell r="E917" t="str">
            <v/>
          </cell>
        </row>
        <row r="918">
          <cell r="A918" t="str">
            <v>C495V E</v>
          </cell>
          <cell r="B918" t="str">
            <v>VYPRODÁNO</v>
          </cell>
          <cell r="C918" t="str">
            <v/>
          </cell>
          <cell r="D918">
            <v>0</v>
          </cell>
          <cell r="E918" t="str">
            <v/>
          </cell>
        </row>
        <row r="919">
          <cell r="A919" t="str">
            <v>C495X</v>
          </cell>
          <cell r="B919" t="str">
            <v>VYPRODÁNO</v>
          </cell>
          <cell r="C919" t="str">
            <v/>
          </cell>
          <cell r="D919">
            <v>0</v>
          </cell>
          <cell r="E919" t="str">
            <v/>
          </cell>
        </row>
        <row r="920">
          <cell r="A920" t="str">
            <v>C495X E</v>
          </cell>
          <cell r="B920" t="str">
            <v>VYPRODÁNO</v>
          </cell>
          <cell r="C920" t="str">
            <v/>
          </cell>
          <cell r="D920">
            <v>0</v>
          </cell>
          <cell r="E920" t="str">
            <v/>
          </cell>
        </row>
        <row r="921">
          <cell r="A921" t="str">
            <v>C4963V</v>
          </cell>
          <cell r="B921" t="str">
            <v>SKLADEM</v>
          </cell>
          <cell r="C921" t="str">
            <v/>
          </cell>
          <cell r="D921">
            <v>0</v>
          </cell>
          <cell r="E921" t="str">
            <v/>
          </cell>
        </row>
        <row r="922">
          <cell r="A922" t="str">
            <v>C503AA</v>
          </cell>
          <cell r="B922" t="str">
            <v>VYPRODÁNO</v>
          </cell>
          <cell r="C922" t="str">
            <v/>
          </cell>
          <cell r="D922">
            <v>0</v>
          </cell>
          <cell r="E922" t="str">
            <v/>
          </cell>
        </row>
        <row r="923">
          <cell r="A923" t="str">
            <v>C503AB</v>
          </cell>
          <cell r="B923" t="str">
            <v>VYPRODÁNO</v>
          </cell>
          <cell r="C923" t="str">
            <v/>
          </cell>
          <cell r="D923">
            <v>0</v>
          </cell>
          <cell r="E923" t="str">
            <v/>
          </cell>
        </row>
        <row r="924">
          <cell r="A924" t="str">
            <v>C503AC</v>
          </cell>
          <cell r="B924" t="str">
            <v>VYPRODÁNO</v>
          </cell>
          <cell r="C924" t="str">
            <v/>
          </cell>
          <cell r="D924">
            <v>0</v>
          </cell>
          <cell r="E924" t="str">
            <v/>
          </cell>
        </row>
        <row r="925">
          <cell r="A925" t="str">
            <v>C503BB</v>
          </cell>
          <cell r="B925" t="str">
            <v>VYPRODÁNO</v>
          </cell>
          <cell r="C925" t="str">
            <v/>
          </cell>
          <cell r="D925">
            <v>0</v>
          </cell>
          <cell r="E925" t="str">
            <v/>
          </cell>
        </row>
        <row r="926">
          <cell r="A926" t="str">
            <v>C503BI</v>
          </cell>
          <cell r="B926" t="str">
            <v>30.09.2024</v>
          </cell>
          <cell r="C926">
            <v>222</v>
          </cell>
          <cell r="D926">
            <v>0</v>
          </cell>
          <cell r="E926" t="str">
            <v/>
          </cell>
        </row>
        <row r="927">
          <cell r="A927" t="str">
            <v>C503BO</v>
          </cell>
          <cell r="B927" t="str">
            <v>VYPRODÁNO</v>
          </cell>
          <cell r="C927" t="str">
            <v/>
          </cell>
          <cell r="D927">
            <v>0</v>
          </cell>
          <cell r="E927" t="str">
            <v/>
          </cell>
        </row>
        <row r="928">
          <cell r="A928" t="str">
            <v>C503BO E</v>
          </cell>
          <cell r="B928" t="str">
            <v>VYPRODÁNO</v>
          </cell>
          <cell r="C928" t="str">
            <v/>
          </cell>
          <cell r="D928">
            <v>0</v>
          </cell>
          <cell r="E928" t="str">
            <v/>
          </cell>
        </row>
        <row r="929">
          <cell r="A929" t="str">
            <v>C503BPW/C14</v>
          </cell>
          <cell r="B929" t="str">
            <v>VYPRODÁNO</v>
          </cell>
          <cell r="C929" t="str">
            <v/>
          </cell>
          <cell r="D929">
            <v>0</v>
          </cell>
          <cell r="E929" t="str">
            <v/>
          </cell>
        </row>
        <row r="930">
          <cell r="A930" t="str">
            <v>C503BPW/C14(T)</v>
          </cell>
          <cell r="B930" t="str">
            <v>VYPRODÁNO</v>
          </cell>
          <cell r="C930" t="str">
            <v/>
          </cell>
          <cell r="D930">
            <v>0</v>
          </cell>
          <cell r="E930" t="str">
            <v/>
          </cell>
        </row>
        <row r="931">
          <cell r="A931" t="str">
            <v>C503BW/C14</v>
          </cell>
          <cell r="B931" t="str">
            <v>SKLADEM</v>
          </cell>
          <cell r="C931" t="str">
            <v/>
          </cell>
          <cell r="D931">
            <v>0</v>
          </cell>
          <cell r="E931" t="str">
            <v/>
          </cell>
        </row>
        <row r="932">
          <cell r="A932" t="str">
            <v>C503BW/C14(T)</v>
          </cell>
          <cell r="B932" t="str">
            <v>SKLADEM</v>
          </cell>
          <cell r="C932" t="str">
            <v/>
          </cell>
          <cell r="D932">
            <v>0</v>
          </cell>
          <cell r="E932" t="str">
            <v/>
          </cell>
        </row>
        <row r="933">
          <cell r="A933" t="str">
            <v>C503C</v>
          </cell>
          <cell r="B933" t="str">
            <v>VYPRODÁNO</v>
          </cell>
          <cell r="C933" t="str">
            <v/>
          </cell>
          <cell r="D933">
            <v>0</v>
          </cell>
          <cell r="E933" t="str">
            <v/>
          </cell>
        </row>
        <row r="934">
          <cell r="A934" t="str">
            <v>C503D</v>
          </cell>
          <cell r="B934" t="str">
            <v>VYPRODÁNO</v>
          </cell>
          <cell r="C934" t="str">
            <v/>
          </cell>
          <cell r="D934">
            <v>0</v>
          </cell>
          <cell r="E934" t="str">
            <v/>
          </cell>
        </row>
        <row r="935">
          <cell r="A935" t="str">
            <v>C503DU</v>
          </cell>
          <cell r="B935" t="str">
            <v>VYPRODÁNO</v>
          </cell>
          <cell r="C935" t="str">
            <v/>
          </cell>
          <cell r="D935">
            <v>0</v>
          </cell>
          <cell r="E935" t="str">
            <v/>
          </cell>
        </row>
        <row r="936">
          <cell r="A936" t="str">
            <v>C503DU E</v>
          </cell>
          <cell r="B936" t="str">
            <v>VYPRODÁNO</v>
          </cell>
          <cell r="C936" t="str">
            <v/>
          </cell>
          <cell r="D936">
            <v>0</v>
          </cell>
          <cell r="E936" t="str">
            <v/>
          </cell>
        </row>
        <row r="937">
          <cell r="A937" t="str">
            <v>C503E</v>
          </cell>
          <cell r="B937" t="str">
            <v>VYPRODÁNO</v>
          </cell>
          <cell r="C937" t="str">
            <v/>
          </cell>
          <cell r="D937">
            <v>0</v>
          </cell>
          <cell r="E937" t="str">
            <v/>
          </cell>
        </row>
        <row r="938">
          <cell r="A938" t="str">
            <v>C503F</v>
          </cell>
          <cell r="B938" t="str">
            <v>VYPRODÁNO</v>
          </cell>
          <cell r="C938" t="str">
            <v/>
          </cell>
          <cell r="D938">
            <v>0</v>
          </cell>
          <cell r="E938" t="str">
            <v/>
          </cell>
        </row>
        <row r="939">
          <cell r="A939" t="str">
            <v>C503F/C14</v>
          </cell>
          <cell r="B939" t="str">
            <v>SKLADEM</v>
          </cell>
          <cell r="C939" t="str">
            <v/>
          </cell>
          <cell r="D939">
            <v>0</v>
          </cell>
          <cell r="E939" t="str">
            <v/>
          </cell>
        </row>
        <row r="940">
          <cell r="A940" t="str">
            <v>C503F/C14 E</v>
          </cell>
          <cell r="B940" t="str">
            <v>VYPRODÁNO</v>
          </cell>
          <cell r="C940" t="str">
            <v/>
          </cell>
          <cell r="D940">
            <v>0</v>
          </cell>
          <cell r="E940" t="str">
            <v/>
          </cell>
        </row>
        <row r="941">
          <cell r="A941" t="str">
            <v>C503F/C14(T)</v>
          </cell>
          <cell r="B941" t="str">
            <v>SKLADEM</v>
          </cell>
          <cell r="C941" t="str">
            <v/>
          </cell>
          <cell r="D941">
            <v>0</v>
          </cell>
          <cell r="E941" t="str">
            <v/>
          </cell>
        </row>
        <row r="942">
          <cell r="A942" t="str">
            <v>C503G</v>
          </cell>
          <cell r="B942" t="str">
            <v>VYPRODÁNO</v>
          </cell>
          <cell r="C942" t="str">
            <v/>
          </cell>
          <cell r="D942">
            <v>0</v>
          </cell>
          <cell r="E942" t="str">
            <v/>
          </cell>
        </row>
        <row r="943">
          <cell r="A943" t="str">
            <v>C503H</v>
          </cell>
          <cell r="B943" t="str">
            <v>VYPRODÁNO</v>
          </cell>
          <cell r="C943" t="str">
            <v/>
          </cell>
          <cell r="D943">
            <v>0</v>
          </cell>
          <cell r="E943" t="str">
            <v/>
          </cell>
        </row>
        <row r="944">
          <cell r="A944" t="str">
            <v>C503CH</v>
          </cell>
          <cell r="B944" t="str">
            <v>VYPRODÁNO</v>
          </cell>
          <cell r="C944" t="str">
            <v/>
          </cell>
          <cell r="D944">
            <v>0</v>
          </cell>
          <cell r="E944" t="str">
            <v/>
          </cell>
        </row>
        <row r="945">
          <cell r="A945" t="str">
            <v>C503I</v>
          </cell>
          <cell r="B945" t="str">
            <v>VYPRODÁNO</v>
          </cell>
          <cell r="C945" t="str">
            <v/>
          </cell>
          <cell r="D945">
            <v>0</v>
          </cell>
          <cell r="E945" t="str">
            <v/>
          </cell>
        </row>
        <row r="946">
          <cell r="A946" t="str">
            <v>C503J</v>
          </cell>
          <cell r="B946" t="str">
            <v>VYPRODÁNO</v>
          </cell>
          <cell r="C946" t="str">
            <v/>
          </cell>
          <cell r="D946">
            <v>0</v>
          </cell>
          <cell r="E946" t="str">
            <v/>
          </cell>
        </row>
        <row r="947">
          <cell r="A947" t="str">
            <v>C503K</v>
          </cell>
          <cell r="B947" t="str">
            <v>VYPRODÁNO</v>
          </cell>
          <cell r="C947" t="str">
            <v/>
          </cell>
          <cell r="D947">
            <v>0</v>
          </cell>
          <cell r="E947" t="str">
            <v/>
          </cell>
        </row>
        <row r="948">
          <cell r="A948" t="str">
            <v>C503L</v>
          </cell>
          <cell r="B948" t="str">
            <v>VYPRODÁNO</v>
          </cell>
          <cell r="C948" t="str">
            <v/>
          </cell>
          <cell r="D948">
            <v>0</v>
          </cell>
          <cell r="E948" t="str">
            <v/>
          </cell>
        </row>
        <row r="949">
          <cell r="A949" t="str">
            <v>C503M</v>
          </cell>
          <cell r="B949" t="str">
            <v>VYPRODÁNO</v>
          </cell>
          <cell r="C949" t="str">
            <v/>
          </cell>
          <cell r="D949">
            <v>0</v>
          </cell>
          <cell r="E949" t="str">
            <v/>
          </cell>
        </row>
        <row r="950">
          <cell r="A950" t="str">
            <v>C503ME</v>
          </cell>
          <cell r="B950" t="str">
            <v>SKLADEM</v>
          </cell>
          <cell r="C950" t="str">
            <v/>
          </cell>
          <cell r="D950">
            <v>0</v>
          </cell>
          <cell r="E950" t="str">
            <v/>
          </cell>
        </row>
        <row r="951">
          <cell r="A951" t="str">
            <v>C503ME/C14</v>
          </cell>
          <cell r="B951" t="str">
            <v>VYPRODÁNO</v>
          </cell>
          <cell r="C951" t="str">
            <v/>
          </cell>
          <cell r="D951">
            <v>0</v>
          </cell>
          <cell r="E951" t="str">
            <v/>
          </cell>
        </row>
        <row r="952">
          <cell r="A952" t="str">
            <v>C503ME/C14 E</v>
          </cell>
          <cell r="B952" t="str">
            <v>VYPRODÁNO</v>
          </cell>
          <cell r="C952" t="str">
            <v/>
          </cell>
          <cell r="D952">
            <v>0</v>
          </cell>
          <cell r="E952" t="str">
            <v/>
          </cell>
        </row>
        <row r="953">
          <cell r="A953" t="str">
            <v>C503ME/C14(T)</v>
          </cell>
          <cell r="B953" t="str">
            <v>VYPRODÁNO</v>
          </cell>
          <cell r="C953" t="str">
            <v/>
          </cell>
          <cell r="D953">
            <v>0</v>
          </cell>
          <cell r="E953" t="str">
            <v/>
          </cell>
        </row>
        <row r="954">
          <cell r="A954" t="str">
            <v>C503N</v>
          </cell>
          <cell r="B954" t="str">
            <v>VYPRODÁNO</v>
          </cell>
          <cell r="C954" t="str">
            <v/>
          </cell>
          <cell r="D954">
            <v>0</v>
          </cell>
          <cell r="E954" t="str">
            <v/>
          </cell>
        </row>
        <row r="955">
          <cell r="A955" t="str">
            <v>C503NID/C14</v>
          </cell>
          <cell r="B955" t="str">
            <v>DOCHÁZÍ</v>
          </cell>
          <cell r="C955" t="str">
            <v/>
          </cell>
          <cell r="D955">
            <v>0</v>
          </cell>
          <cell r="E955">
            <v>30</v>
          </cell>
        </row>
        <row r="956">
          <cell r="A956" t="str">
            <v>C503NID/C14(T)</v>
          </cell>
          <cell r="B956" t="str">
            <v>DOCHÁZÍ</v>
          </cell>
          <cell r="C956" t="str">
            <v/>
          </cell>
          <cell r="D956">
            <v>0</v>
          </cell>
          <cell r="E956">
            <v>30</v>
          </cell>
        </row>
        <row r="957">
          <cell r="A957" t="str">
            <v>C503O</v>
          </cell>
          <cell r="B957" t="str">
            <v>VYPRODÁNO</v>
          </cell>
          <cell r="C957" t="str">
            <v/>
          </cell>
          <cell r="D957">
            <v>0</v>
          </cell>
          <cell r="E957" t="str">
            <v/>
          </cell>
        </row>
        <row r="958">
          <cell r="A958" t="str">
            <v>C503P</v>
          </cell>
          <cell r="B958" t="str">
            <v>VYPRODÁNO</v>
          </cell>
          <cell r="C958" t="str">
            <v/>
          </cell>
          <cell r="D958">
            <v>0</v>
          </cell>
          <cell r="E958" t="str">
            <v/>
          </cell>
        </row>
        <row r="959">
          <cell r="A959" t="str">
            <v>C503Q</v>
          </cell>
          <cell r="B959" t="str">
            <v>VYPRODÁNO</v>
          </cell>
          <cell r="C959" t="str">
            <v/>
          </cell>
          <cell r="D959">
            <v>0</v>
          </cell>
          <cell r="E959" t="str">
            <v/>
          </cell>
        </row>
        <row r="960">
          <cell r="A960" t="str">
            <v>C503R</v>
          </cell>
          <cell r="B960" t="str">
            <v>VYPRODÁNO</v>
          </cell>
          <cell r="C960" t="str">
            <v/>
          </cell>
          <cell r="D960">
            <v>0</v>
          </cell>
          <cell r="E960" t="str">
            <v/>
          </cell>
        </row>
        <row r="961">
          <cell r="A961" t="str">
            <v>C503RA</v>
          </cell>
          <cell r="B961" t="str">
            <v>SKLADEM</v>
          </cell>
          <cell r="C961" t="str">
            <v/>
          </cell>
          <cell r="D961">
            <v>0</v>
          </cell>
          <cell r="E961" t="str">
            <v/>
          </cell>
        </row>
        <row r="962">
          <cell r="A962" t="str">
            <v>C503RA E</v>
          </cell>
          <cell r="B962" t="str">
            <v>VYPRODÁNO</v>
          </cell>
          <cell r="C962" t="str">
            <v/>
          </cell>
          <cell r="D962">
            <v>0</v>
          </cell>
          <cell r="E962" t="str">
            <v/>
          </cell>
        </row>
        <row r="963">
          <cell r="A963" t="str">
            <v>C503RO</v>
          </cell>
          <cell r="B963" t="str">
            <v>SKLADEM</v>
          </cell>
          <cell r="C963" t="str">
            <v/>
          </cell>
          <cell r="D963">
            <v>0</v>
          </cell>
          <cell r="E963" t="str">
            <v/>
          </cell>
        </row>
        <row r="964">
          <cell r="A964" t="str">
            <v>C503RO E</v>
          </cell>
          <cell r="B964" t="str">
            <v>VYPRODÁNO</v>
          </cell>
          <cell r="C964" t="str">
            <v/>
          </cell>
          <cell r="D964">
            <v>0</v>
          </cell>
          <cell r="E964" t="str">
            <v/>
          </cell>
        </row>
        <row r="965">
          <cell r="A965" t="str">
            <v>C503RO/C14</v>
          </cell>
          <cell r="B965" t="str">
            <v>15.05.2024</v>
          </cell>
          <cell r="C965">
            <v>84</v>
          </cell>
          <cell r="D965">
            <v>0</v>
          </cell>
          <cell r="E965" t="str">
            <v/>
          </cell>
        </row>
        <row r="966">
          <cell r="A966" t="str">
            <v>C503RO/C14 E</v>
          </cell>
          <cell r="B966" t="str">
            <v>VYPRODÁNO</v>
          </cell>
          <cell r="C966" t="str">
            <v/>
          </cell>
          <cell r="D966">
            <v>0</v>
          </cell>
          <cell r="E966" t="str">
            <v/>
          </cell>
        </row>
        <row r="967">
          <cell r="A967" t="str">
            <v>C503RO/C14(T)</v>
          </cell>
          <cell r="B967" t="str">
            <v>15.05.2024</v>
          </cell>
          <cell r="C967">
            <v>84</v>
          </cell>
          <cell r="D967">
            <v>0</v>
          </cell>
          <cell r="E967" t="str">
            <v/>
          </cell>
        </row>
        <row r="968">
          <cell r="A968" t="str">
            <v>C503S</v>
          </cell>
          <cell r="B968" t="str">
            <v>VYPRODÁNO</v>
          </cell>
          <cell r="C968" t="str">
            <v/>
          </cell>
          <cell r="D968">
            <v>0</v>
          </cell>
          <cell r="E968" t="str">
            <v/>
          </cell>
        </row>
        <row r="969">
          <cell r="A969" t="str">
            <v>C503SIG/C14</v>
          </cell>
          <cell r="B969" t="str">
            <v>SKLADEM</v>
          </cell>
          <cell r="C969" t="str">
            <v/>
          </cell>
          <cell r="D969">
            <v>0</v>
          </cell>
          <cell r="E969" t="str">
            <v/>
          </cell>
        </row>
        <row r="970">
          <cell r="A970" t="str">
            <v>C503SIG/C14(T)</v>
          </cell>
          <cell r="B970" t="str">
            <v>SKLADEM</v>
          </cell>
          <cell r="C970" t="str">
            <v/>
          </cell>
          <cell r="D970">
            <v>0</v>
          </cell>
          <cell r="E970" t="str">
            <v/>
          </cell>
        </row>
        <row r="971">
          <cell r="A971" t="str">
            <v>C503SIGA</v>
          </cell>
          <cell r="B971" t="str">
            <v>15.05.2024</v>
          </cell>
          <cell r="C971">
            <v>84</v>
          </cell>
          <cell r="D971">
            <v>0</v>
          </cell>
          <cell r="E971" t="str">
            <v/>
          </cell>
        </row>
        <row r="972">
          <cell r="A972" t="str">
            <v>C503SIGB</v>
          </cell>
          <cell r="B972" t="str">
            <v>VYPRODÁNO</v>
          </cell>
          <cell r="C972" t="str">
            <v/>
          </cell>
          <cell r="D972">
            <v>0</v>
          </cell>
          <cell r="E972" t="str">
            <v/>
          </cell>
        </row>
        <row r="973">
          <cell r="A973" t="str">
            <v>C503T</v>
          </cell>
          <cell r="B973" t="str">
            <v>DOCHÁZÍ</v>
          </cell>
          <cell r="C973" t="str">
            <v/>
          </cell>
          <cell r="D973">
            <v>0</v>
          </cell>
          <cell r="E973">
            <v>5</v>
          </cell>
        </row>
        <row r="974">
          <cell r="A974" t="str">
            <v>C503TS/C14</v>
          </cell>
          <cell r="B974" t="str">
            <v>SKLADEM</v>
          </cell>
          <cell r="C974" t="str">
            <v/>
          </cell>
          <cell r="D974">
            <v>0</v>
          </cell>
          <cell r="E974" t="str">
            <v/>
          </cell>
        </row>
        <row r="975">
          <cell r="A975" t="str">
            <v>C503TS/C14(T)</v>
          </cell>
          <cell r="B975" t="str">
            <v>SKLADEM</v>
          </cell>
          <cell r="C975" t="str">
            <v/>
          </cell>
          <cell r="D975">
            <v>0</v>
          </cell>
          <cell r="E975" t="str">
            <v/>
          </cell>
        </row>
        <row r="976">
          <cell r="A976" t="str">
            <v>C503U</v>
          </cell>
          <cell r="B976" t="str">
            <v>VYPRODÁNO</v>
          </cell>
          <cell r="C976" t="str">
            <v/>
          </cell>
          <cell r="D976">
            <v>0</v>
          </cell>
          <cell r="E976" t="str">
            <v/>
          </cell>
        </row>
        <row r="977">
          <cell r="A977" t="str">
            <v>C503V</v>
          </cell>
          <cell r="B977" t="str">
            <v>VYPRODÁNO</v>
          </cell>
          <cell r="C977" t="str">
            <v/>
          </cell>
          <cell r="D977">
            <v>0</v>
          </cell>
          <cell r="E977" t="str">
            <v/>
          </cell>
        </row>
        <row r="978">
          <cell r="A978" t="str">
            <v>C503W</v>
          </cell>
          <cell r="B978" t="str">
            <v>VYPRODÁNO</v>
          </cell>
          <cell r="C978" t="str">
            <v/>
          </cell>
          <cell r="D978">
            <v>0</v>
          </cell>
          <cell r="E978" t="str">
            <v/>
          </cell>
        </row>
        <row r="979">
          <cell r="A979" t="str">
            <v>C503WI</v>
          </cell>
          <cell r="B979" t="str">
            <v>SKLADEM</v>
          </cell>
          <cell r="C979" t="str">
            <v/>
          </cell>
          <cell r="D979">
            <v>0</v>
          </cell>
          <cell r="E979" t="str">
            <v/>
          </cell>
        </row>
        <row r="980">
          <cell r="A980" t="str">
            <v>C503Y</v>
          </cell>
          <cell r="B980" t="str">
            <v>VYPRODÁNO</v>
          </cell>
          <cell r="C980" t="str">
            <v/>
          </cell>
          <cell r="D980">
            <v>0</v>
          </cell>
          <cell r="E980" t="str">
            <v/>
          </cell>
        </row>
        <row r="981">
          <cell r="A981" t="str">
            <v>C505V</v>
          </cell>
          <cell r="B981" t="str">
            <v>VYPRODÁNO</v>
          </cell>
          <cell r="C981" t="str">
            <v/>
          </cell>
          <cell r="D981">
            <v>0</v>
          </cell>
          <cell r="E981" t="str">
            <v/>
          </cell>
        </row>
        <row r="982">
          <cell r="A982" t="str">
            <v>C505V/C</v>
          </cell>
          <cell r="B982" t="str">
            <v>15.06.2024</v>
          </cell>
          <cell r="C982">
            <v>115</v>
          </cell>
          <cell r="D982">
            <v>0</v>
          </cell>
          <cell r="E982" t="str">
            <v/>
          </cell>
        </row>
        <row r="983">
          <cell r="A983" t="str">
            <v>C505V/C(T)</v>
          </cell>
          <cell r="B983" t="str">
            <v>15.06.2024</v>
          </cell>
          <cell r="C983">
            <v>115</v>
          </cell>
          <cell r="D983">
            <v>0</v>
          </cell>
          <cell r="E983" t="str">
            <v/>
          </cell>
        </row>
        <row r="984">
          <cell r="A984" t="str">
            <v>C505X</v>
          </cell>
          <cell r="B984" t="str">
            <v>VYPRODÁNO</v>
          </cell>
          <cell r="C984" t="str">
            <v/>
          </cell>
          <cell r="D984">
            <v>0</v>
          </cell>
          <cell r="E984" t="str">
            <v/>
          </cell>
        </row>
        <row r="985">
          <cell r="A985" t="str">
            <v>C505X/C</v>
          </cell>
          <cell r="B985" t="str">
            <v>15.06.2024</v>
          </cell>
          <cell r="C985">
            <v>115</v>
          </cell>
          <cell r="D985">
            <v>0</v>
          </cell>
          <cell r="E985" t="str">
            <v/>
          </cell>
        </row>
        <row r="986">
          <cell r="A986" t="str">
            <v>C505X/C(T)</v>
          </cell>
          <cell r="B986" t="str">
            <v>15.06.2024</v>
          </cell>
          <cell r="C986">
            <v>115</v>
          </cell>
          <cell r="D986">
            <v>0</v>
          </cell>
          <cell r="E986" t="str">
            <v/>
          </cell>
        </row>
        <row r="987">
          <cell r="A987" t="str">
            <v>C505Z</v>
          </cell>
          <cell r="B987" t="str">
            <v>VYPRODÁNO</v>
          </cell>
          <cell r="C987" t="str">
            <v/>
          </cell>
          <cell r="D987">
            <v>0</v>
          </cell>
          <cell r="E987" t="str">
            <v/>
          </cell>
        </row>
        <row r="988">
          <cell r="A988" t="str">
            <v>C50MCOMA</v>
          </cell>
          <cell r="B988" t="str">
            <v>VYPRODÁNO</v>
          </cell>
          <cell r="C988" t="str">
            <v/>
          </cell>
          <cell r="D988">
            <v>0</v>
          </cell>
          <cell r="E988" t="str">
            <v/>
          </cell>
        </row>
        <row r="989">
          <cell r="A989" t="str">
            <v>C50MCH</v>
          </cell>
          <cell r="B989" t="str">
            <v>SKLADEM</v>
          </cell>
          <cell r="C989" t="str">
            <v/>
          </cell>
          <cell r="D989">
            <v>0</v>
          </cell>
          <cell r="E989" t="str">
            <v/>
          </cell>
        </row>
        <row r="990">
          <cell r="A990" t="str">
            <v>C50MCH14</v>
          </cell>
          <cell r="B990" t="str">
            <v>VYPRODÁNO</v>
          </cell>
          <cell r="C990" t="str">
            <v/>
          </cell>
          <cell r="D990">
            <v>0</v>
          </cell>
          <cell r="E990" t="str">
            <v/>
          </cell>
        </row>
        <row r="991">
          <cell r="A991" t="str">
            <v>C50MCH14 E</v>
          </cell>
          <cell r="B991" t="str">
            <v>VYPRODÁNO</v>
          </cell>
          <cell r="C991" t="str">
            <v/>
          </cell>
          <cell r="D991">
            <v>0</v>
          </cell>
          <cell r="E991" t="str">
            <v/>
          </cell>
        </row>
        <row r="992">
          <cell r="A992" t="str">
            <v>C50MNID</v>
          </cell>
          <cell r="B992" t="str">
            <v>VYPRODÁNO</v>
          </cell>
          <cell r="C992" t="str">
            <v/>
          </cell>
          <cell r="D992">
            <v>0</v>
          </cell>
          <cell r="E992" t="str">
            <v/>
          </cell>
        </row>
        <row r="993">
          <cell r="A993" t="str">
            <v>C50MNID14</v>
          </cell>
          <cell r="B993" t="str">
            <v>VYPRODÁNO</v>
          </cell>
          <cell r="C993" t="str">
            <v/>
          </cell>
          <cell r="D993">
            <v>0</v>
          </cell>
          <cell r="E993" t="str">
            <v/>
          </cell>
        </row>
        <row r="994">
          <cell r="A994" t="str">
            <v>C50MO</v>
          </cell>
          <cell r="B994" t="str">
            <v>DOCHÁZÍ</v>
          </cell>
          <cell r="C994" t="str">
            <v/>
          </cell>
          <cell r="D994">
            <v>0</v>
          </cell>
          <cell r="E994">
            <v>4</v>
          </cell>
        </row>
        <row r="995">
          <cell r="A995" t="str">
            <v>C50MO E</v>
          </cell>
          <cell r="B995" t="str">
            <v>VYPRODÁNO</v>
          </cell>
          <cell r="C995" t="str">
            <v/>
          </cell>
          <cell r="D995">
            <v>0</v>
          </cell>
          <cell r="E995" t="str">
            <v/>
          </cell>
        </row>
        <row r="996">
          <cell r="A996" t="str">
            <v>C50MO14</v>
          </cell>
          <cell r="B996" t="str">
            <v>SKLADEM</v>
          </cell>
          <cell r="C996" t="str">
            <v/>
          </cell>
          <cell r="D996">
            <v>0</v>
          </cell>
          <cell r="E996" t="str">
            <v/>
          </cell>
        </row>
        <row r="997">
          <cell r="A997" t="str">
            <v>C50MO14 E</v>
          </cell>
          <cell r="B997" t="str">
            <v>VYPRODÁNO</v>
          </cell>
          <cell r="C997" t="str">
            <v/>
          </cell>
          <cell r="D997">
            <v>0</v>
          </cell>
          <cell r="E997" t="str">
            <v/>
          </cell>
        </row>
        <row r="998">
          <cell r="A998" t="str">
            <v>C52020F/C</v>
          </cell>
          <cell r="B998" t="str">
            <v>15.09.2024</v>
          </cell>
          <cell r="C998">
            <v>207</v>
          </cell>
          <cell r="D998">
            <v>0</v>
          </cell>
          <cell r="E998" t="str">
            <v/>
          </cell>
        </row>
        <row r="999">
          <cell r="A999" t="str">
            <v>C52020F/C(T)</v>
          </cell>
          <cell r="B999" t="str">
            <v>15.09.2024</v>
          </cell>
          <cell r="C999">
            <v>207</v>
          </cell>
          <cell r="D999">
            <v>0</v>
          </cell>
          <cell r="E999" t="str">
            <v/>
          </cell>
        </row>
        <row r="1000">
          <cell r="A1000" t="str">
            <v>C5230XXA</v>
          </cell>
          <cell r="B1000" t="str">
            <v>VYPRODÁNO</v>
          </cell>
          <cell r="C1000" t="str">
            <v/>
          </cell>
          <cell r="D1000">
            <v>0</v>
          </cell>
          <cell r="E1000" t="str">
            <v/>
          </cell>
        </row>
        <row r="1001">
          <cell r="A1001" t="str">
            <v>C5230XXB</v>
          </cell>
          <cell r="B1001" t="str">
            <v>VYPRODÁNO</v>
          </cell>
          <cell r="C1001" t="str">
            <v/>
          </cell>
          <cell r="D1001">
            <v>0</v>
          </cell>
          <cell r="E1001" t="str">
            <v/>
          </cell>
        </row>
        <row r="1002">
          <cell r="A1002" t="str">
            <v>C52FMF</v>
          </cell>
          <cell r="B1002" t="str">
            <v>VYPRODÁNO</v>
          </cell>
          <cell r="C1002" t="str">
            <v/>
          </cell>
          <cell r="D1002">
            <v>0</v>
          </cell>
          <cell r="E1002" t="str">
            <v/>
          </cell>
        </row>
        <row r="1003">
          <cell r="A1003" t="str">
            <v>C52FMF14</v>
          </cell>
          <cell r="B1003" t="str">
            <v>VYPRODÁNO</v>
          </cell>
          <cell r="C1003" t="str">
            <v/>
          </cell>
          <cell r="D1003">
            <v>0</v>
          </cell>
          <cell r="E1003" t="str">
            <v/>
          </cell>
        </row>
        <row r="1004">
          <cell r="A1004" t="str">
            <v>C52FMP</v>
          </cell>
          <cell r="B1004" t="str">
            <v>VYPRODÁNO</v>
          </cell>
          <cell r="C1004" t="str">
            <v/>
          </cell>
          <cell r="D1004">
            <v>0</v>
          </cell>
          <cell r="E1004" t="str">
            <v/>
          </cell>
        </row>
        <row r="1005">
          <cell r="A1005" t="str">
            <v>C52FMP14</v>
          </cell>
          <cell r="B1005" t="str">
            <v>VYPRODÁNO</v>
          </cell>
          <cell r="C1005" t="str">
            <v/>
          </cell>
          <cell r="D1005">
            <v>0</v>
          </cell>
          <cell r="E1005" t="str">
            <v/>
          </cell>
        </row>
        <row r="1006">
          <cell r="A1006" t="str">
            <v>C52MXA</v>
          </cell>
          <cell r="B1006" t="str">
            <v>VYPRODÁNO</v>
          </cell>
          <cell r="C1006" t="str">
            <v/>
          </cell>
          <cell r="D1006">
            <v>0</v>
          </cell>
          <cell r="E1006" t="str">
            <v/>
          </cell>
        </row>
        <row r="1007">
          <cell r="A1007" t="str">
            <v>C52MXB</v>
          </cell>
          <cell r="B1007" t="str">
            <v>VYPRODÁNO</v>
          </cell>
          <cell r="C1007" t="str">
            <v/>
          </cell>
          <cell r="D1007">
            <v>0</v>
          </cell>
          <cell r="E1007" t="str">
            <v/>
          </cell>
        </row>
        <row r="1008">
          <cell r="A1008" t="str">
            <v>C52MXC</v>
          </cell>
          <cell r="B1008" t="str">
            <v>VYPRODÁNO</v>
          </cell>
          <cell r="C1008" t="str">
            <v/>
          </cell>
          <cell r="D1008">
            <v>0</v>
          </cell>
          <cell r="E1008" t="str">
            <v/>
          </cell>
        </row>
        <row r="1009">
          <cell r="A1009" t="str">
            <v>C5330XXA</v>
          </cell>
          <cell r="B1009" t="str">
            <v>VYPRODÁNO</v>
          </cell>
          <cell r="C1009" t="str">
            <v/>
          </cell>
          <cell r="D1009">
            <v>0</v>
          </cell>
          <cell r="E1009" t="str">
            <v/>
          </cell>
        </row>
        <row r="1010">
          <cell r="A1010" t="str">
            <v>C53620F/C</v>
          </cell>
          <cell r="B1010" t="str">
            <v>15.09.2024</v>
          </cell>
          <cell r="C1010">
            <v>207</v>
          </cell>
          <cell r="D1010">
            <v>0</v>
          </cell>
          <cell r="E1010" t="str">
            <v/>
          </cell>
        </row>
        <row r="1011">
          <cell r="A1011" t="str">
            <v>C53620F/C(T)</v>
          </cell>
          <cell r="B1011" t="str">
            <v>15.09.2024</v>
          </cell>
          <cell r="C1011">
            <v>207</v>
          </cell>
          <cell r="D1011">
            <v>0</v>
          </cell>
          <cell r="E1011" t="str">
            <v/>
          </cell>
        </row>
        <row r="1012">
          <cell r="A1012" t="str">
            <v>C56MXXA</v>
          </cell>
          <cell r="B1012" t="str">
            <v>VYPRODÁNO</v>
          </cell>
          <cell r="C1012" t="str">
            <v/>
          </cell>
          <cell r="D1012">
            <v>0</v>
          </cell>
          <cell r="E1012" t="str">
            <v/>
          </cell>
        </row>
        <row r="1013">
          <cell r="A1013" t="str">
            <v>C583MN/C</v>
          </cell>
          <cell r="B1013" t="str">
            <v>VYPRODÁNO</v>
          </cell>
          <cell r="C1013" t="str">
            <v/>
          </cell>
          <cell r="D1013">
            <v>0</v>
          </cell>
          <cell r="E1013" t="str">
            <v/>
          </cell>
        </row>
        <row r="1014">
          <cell r="A1014" t="str">
            <v>C583MN/C14</v>
          </cell>
          <cell r="B1014" t="str">
            <v>VYPRODÁNO</v>
          </cell>
          <cell r="C1014" t="str">
            <v/>
          </cell>
          <cell r="D1014">
            <v>0</v>
          </cell>
          <cell r="E1014" t="str">
            <v/>
          </cell>
        </row>
        <row r="1015">
          <cell r="A1015" t="str">
            <v>C583MN/C14 E</v>
          </cell>
          <cell r="B1015" t="str">
            <v>VYPRODÁNO</v>
          </cell>
          <cell r="C1015" t="str">
            <v/>
          </cell>
          <cell r="D1015">
            <v>0</v>
          </cell>
          <cell r="E1015" t="str">
            <v/>
          </cell>
        </row>
        <row r="1016">
          <cell r="A1016" t="str">
            <v>C583MN/C14(T)</v>
          </cell>
          <cell r="B1016" t="str">
            <v>VYPRODÁNO</v>
          </cell>
          <cell r="C1016" t="str">
            <v/>
          </cell>
          <cell r="D1016">
            <v>0</v>
          </cell>
          <cell r="E1016" t="str">
            <v/>
          </cell>
        </row>
        <row r="1017">
          <cell r="A1017" t="str">
            <v>C6020XXA</v>
          </cell>
          <cell r="B1017" t="str">
            <v>VYPRODÁNO</v>
          </cell>
          <cell r="C1017" t="str">
            <v/>
          </cell>
          <cell r="D1017">
            <v>0</v>
          </cell>
          <cell r="E1017" t="str">
            <v/>
          </cell>
        </row>
        <row r="1018">
          <cell r="A1018" t="str">
            <v>C6020XXA14</v>
          </cell>
          <cell r="B1018" t="str">
            <v>VYPRODÁNO</v>
          </cell>
          <cell r="C1018" t="str">
            <v/>
          </cell>
          <cell r="D1018">
            <v>0</v>
          </cell>
          <cell r="E1018" t="str">
            <v/>
          </cell>
        </row>
        <row r="1019">
          <cell r="A1019" t="str">
            <v>C6020XXB</v>
          </cell>
          <cell r="B1019" t="str">
            <v>VYPRODÁNO</v>
          </cell>
          <cell r="C1019" t="str">
            <v/>
          </cell>
          <cell r="D1019">
            <v>0</v>
          </cell>
          <cell r="E1019" t="str">
            <v/>
          </cell>
        </row>
        <row r="1020">
          <cell r="A1020" t="str">
            <v>C6020XXB14</v>
          </cell>
          <cell r="B1020" t="str">
            <v>VYPRODÁNO</v>
          </cell>
          <cell r="C1020" t="str">
            <v/>
          </cell>
          <cell r="D1020">
            <v>0</v>
          </cell>
          <cell r="E1020" t="str">
            <v/>
          </cell>
        </row>
        <row r="1021">
          <cell r="A1021" t="str">
            <v>C60MXXA</v>
          </cell>
          <cell r="B1021" t="str">
            <v>VYPRODÁNO</v>
          </cell>
          <cell r="C1021" t="str">
            <v/>
          </cell>
          <cell r="D1021">
            <v>0</v>
          </cell>
          <cell r="E1021" t="str">
            <v/>
          </cell>
        </row>
        <row r="1022">
          <cell r="A1022" t="str">
            <v>C60MXXA14</v>
          </cell>
          <cell r="B1022" t="str">
            <v>VYPRODÁNO</v>
          </cell>
          <cell r="C1022" t="str">
            <v/>
          </cell>
          <cell r="D1022">
            <v>0</v>
          </cell>
          <cell r="E1022" t="str">
            <v/>
          </cell>
        </row>
        <row r="1023">
          <cell r="A1023" t="str">
            <v>C60MXXB</v>
          </cell>
          <cell r="B1023" t="str">
            <v>VYPRODÁNO</v>
          </cell>
          <cell r="C1023" t="str">
            <v/>
          </cell>
          <cell r="D1023">
            <v>0</v>
          </cell>
          <cell r="E1023" t="str">
            <v/>
          </cell>
        </row>
        <row r="1024">
          <cell r="A1024" t="str">
            <v>C60MXXB14</v>
          </cell>
          <cell r="B1024" t="str">
            <v>VYPRODÁNO</v>
          </cell>
          <cell r="C1024" t="str">
            <v/>
          </cell>
          <cell r="D1024">
            <v>0</v>
          </cell>
          <cell r="E1024" t="str">
            <v/>
          </cell>
        </row>
        <row r="1025">
          <cell r="A1025" t="str">
            <v>C61MA</v>
          </cell>
          <cell r="B1025" t="str">
            <v>VYPRODÁNO</v>
          </cell>
          <cell r="C1025" t="str">
            <v/>
          </cell>
          <cell r="D1025">
            <v>0</v>
          </cell>
          <cell r="E1025" t="str">
            <v/>
          </cell>
        </row>
        <row r="1026">
          <cell r="A1026" t="str">
            <v>C61MA14</v>
          </cell>
          <cell r="B1026" t="str">
            <v>VYPRODÁNO</v>
          </cell>
          <cell r="C1026" t="str">
            <v/>
          </cell>
          <cell r="D1026">
            <v>0</v>
          </cell>
          <cell r="E1026" t="str">
            <v/>
          </cell>
        </row>
        <row r="1027">
          <cell r="A1027" t="str">
            <v>C61MB</v>
          </cell>
          <cell r="B1027" t="str">
            <v>VYPRODÁNO</v>
          </cell>
          <cell r="C1027" t="str">
            <v/>
          </cell>
          <cell r="D1027">
            <v>0</v>
          </cell>
          <cell r="E1027" t="str">
            <v/>
          </cell>
        </row>
        <row r="1028">
          <cell r="A1028" t="str">
            <v>C61MB14</v>
          </cell>
          <cell r="B1028" t="str">
            <v>VYPRODÁNO</v>
          </cell>
          <cell r="C1028" t="str">
            <v/>
          </cell>
          <cell r="D1028">
            <v>0</v>
          </cell>
          <cell r="E1028" t="str">
            <v/>
          </cell>
        </row>
        <row r="1029">
          <cell r="A1029" t="str">
            <v>C61MXXA</v>
          </cell>
          <cell r="B1029" t="str">
            <v>VYPRODÁNO</v>
          </cell>
          <cell r="C1029" t="str">
            <v/>
          </cell>
          <cell r="D1029">
            <v>0</v>
          </cell>
          <cell r="E1029" t="str">
            <v/>
          </cell>
        </row>
        <row r="1030">
          <cell r="A1030" t="str">
            <v>C61MXXA14</v>
          </cell>
          <cell r="B1030" t="str">
            <v>VYPRODÁNO</v>
          </cell>
          <cell r="C1030" t="str">
            <v/>
          </cell>
          <cell r="D1030">
            <v>0</v>
          </cell>
          <cell r="E1030" t="str">
            <v/>
          </cell>
        </row>
        <row r="1031">
          <cell r="A1031" t="str">
            <v>C62MXXA</v>
          </cell>
          <cell r="B1031" t="str">
            <v>VYPRODÁNO</v>
          </cell>
          <cell r="C1031" t="str">
            <v/>
          </cell>
          <cell r="D1031">
            <v>0</v>
          </cell>
          <cell r="E1031" t="str">
            <v/>
          </cell>
        </row>
        <row r="1032">
          <cell r="A1032" t="str">
            <v>C62SMA</v>
          </cell>
          <cell r="B1032" t="str">
            <v>VYPRODÁNO</v>
          </cell>
          <cell r="C1032" t="str">
            <v/>
          </cell>
          <cell r="D1032">
            <v>0</v>
          </cell>
          <cell r="E1032" t="str">
            <v/>
          </cell>
        </row>
        <row r="1033">
          <cell r="A1033" t="str">
            <v>C62SMA E</v>
          </cell>
          <cell r="B1033" t="str">
            <v>VYPRODÁNO</v>
          </cell>
          <cell r="C1033" t="str">
            <v/>
          </cell>
          <cell r="D1033">
            <v>0</v>
          </cell>
          <cell r="E1033" t="str">
            <v/>
          </cell>
        </row>
        <row r="1034">
          <cell r="A1034" t="str">
            <v>C62SMT</v>
          </cell>
          <cell r="B1034" t="str">
            <v>SKLADEM</v>
          </cell>
          <cell r="C1034" t="str">
            <v/>
          </cell>
          <cell r="D1034">
            <v>0</v>
          </cell>
          <cell r="E1034" t="str">
            <v/>
          </cell>
        </row>
        <row r="1035">
          <cell r="A1035" t="str">
            <v>C62SMT E</v>
          </cell>
          <cell r="B1035" t="str">
            <v>SKLADEM</v>
          </cell>
          <cell r="C1035" t="str">
            <v/>
          </cell>
          <cell r="D1035">
            <v>0</v>
          </cell>
          <cell r="E1035" t="str">
            <v/>
          </cell>
        </row>
        <row r="1036">
          <cell r="A1036" t="str">
            <v>C63MM</v>
          </cell>
          <cell r="B1036" t="str">
            <v>SKLADEM</v>
          </cell>
          <cell r="C1036" t="str">
            <v/>
          </cell>
          <cell r="D1036">
            <v>0</v>
          </cell>
          <cell r="E1036" t="str">
            <v/>
          </cell>
        </row>
        <row r="1037">
          <cell r="A1037" t="str">
            <v>C63MP</v>
          </cell>
          <cell r="B1037" t="str">
            <v>SKLADEM</v>
          </cell>
          <cell r="C1037" t="str">
            <v/>
          </cell>
          <cell r="D1037">
            <v>0</v>
          </cell>
          <cell r="E1037" t="str">
            <v/>
          </cell>
        </row>
        <row r="1038">
          <cell r="A1038" t="str">
            <v>C63MP E</v>
          </cell>
          <cell r="B1038" t="str">
            <v>SKLADEM</v>
          </cell>
          <cell r="C1038" t="str">
            <v/>
          </cell>
          <cell r="D1038">
            <v>0</v>
          </cell>
          <cell r="E1038" t="str">
            <v/>
          </cell>
        </row>
        <row r="1039">
          <cell r="A1039" t="str">
            <v>C63MR</v>
          </cell>
          <cell r="B1039" t="str">
            <v>VYPRODÁNO</v>
          </cell>
          <cell r="C1039" t="str">
            <v/>
          </cell>
          <cell r="D1039">
            <v>0</v>
          </cell>
          <cell r="E1039" t="str">
            <v/>
          </cell>
        </row>
        <row r="1040">
          <cell r="A1040" t="str">
            <v>C6420B</v>
          </cell>
          <cell r="B1040" t="str">
            <v>SKLADEM</v>
          </cell>
          <cell r="C1040" t="str">
            <v/>
          </cell>
          <cell r="D1040">
            <v>0</v>
          </cell>
          <cell r="E1040" t="str">
            <v/>
          </cell>
        </row>
        <row r="1041">
          <cell r="A1041" t="str">
            <v>C6420B E</v>
          </cell>
          <cell r="B1041" t="str">
            <v>VYPRODÁNO</v>
          </cell>
          <cell r="C1041" t="str">
            <v/>
          </cell>
          <cell r="D1041">
            <v>0</v>
          </cell>
          <cell r="E1041" t="str">
            <v/>
          </cell>
        </row>
        <row r="1042">
          <cell r="A1042" t="str">
            <v>C6420B14</v>
          </cell>
          <cell r="B1042" t="str">
            <v>VYPRODÁNO</v>
          </cell>
          <cell r="C1042" t="str">
            <v/>
          </cell>
          <cell r="D1042">
            <v>0</v>
          </cell>
          <cell r="E1042" t="str">
            <v/>
          </cell>
        </row>
        <row r="1043">
          <cell r="A1043" t="str">
            <v>C6420B14 E</v>
          </cell>
          <cell r="B1043" t="str">
            <v>VYPRODÁNO</v>
          </cell>
          <cell r="C1043" t="str">
            <v/>
          </cell>
          <cell r="D1043">
            <v>0</v>
          </cell>
          <cell r="E1043" t="str">
            <v/>
          </cell>
        </row>
        <row r="1044">
          <cell r="A1044" t="str">
            <v>C6420BPW</v>
          </cell>
          <cell r="B1044" t="str">
            <v>SKLADEM</v>
          </cell>
          <cell r="C1044" t="str">
            <v/>
          </cell>
          <cell r="D1044">
            <v>0</v>
          </cell>
          <cell r="E1044" t="str">
            <v/>
          </cell>
        </row>
        <row r="1045">
          <cell r="A1045" t="str">
            <v>C6420D</v>
          </cell>
          <cell r="B1045" t="str">
            <v>SKLADEM</v>
          </cell>
          <cell r="C1045" t="str">
            <v/>
          </cell>
          <cell r="D1045">
            <v>0</v>
          </cell>
          <cell r="E1045" t="str">
            <v/>
          </cell>
        </row>
        <row r="1046">
          <cell r="A1046" t="str">
            <v>C6420D14</v>
          </cell>
          <cell r="B1046" t="str">
            <v>30.04.2024</v>
          </cell>
          <cell r="C1046">
            <v>69</v>
          </cell>
          <cell r="D1046">
            <v>0</v>
          </cell>
          <cell r="E1046" t="str">
            <v/>
          </cell>
        </row>
        <row r="1047">
          <cell r="A1047" t="str">
            <v>C6420D14 E</v>
          </cell>
          <cell r="B1047" t="str">
            <v>VYPRODÁNO</v>
          </cell>
          <cell r="C1047" t="str">
            <v/>
          </cell>
          <cell r="D1047">
            <v>0</v>
          </cell>
          <cell r="E1047" t="str">
            <v/>
          </cell>
        </row>
        <row r="1048">
          <cell r="A1048" t="str">
            <v>C6420DU/C</v>
          </cell>
          <cell r="B1048" t="str">
            <v>30.04.2024</v>
          </cell>
          <cell r="C1048">
            <v>69</v>
          </cell>
          <cell r="D1048">
            <v>0</v>
          </cell>
          <cell r="E1048" t="str">
            <v/>
          </cell>
        </row>
        <row r="1049">
          <cell r="A1049" t="str">
            <v>C6420DU/IC14</v>
          </cell>
          <cell r="B1049" t="str">
            <v>VYPRODÁNO</v>
          </cell>
          <cell r="C1049" t="str">
            <v/>
          </cell>
          <cell r="D1049">
            <v>0</v>
          </cell>
          <cell r="E1049" t="str">
            <v/>
          </cell>
        </row>
        <row r="1050">
          <cell r="A1050" t="str">
            <v>C6420DU/IC14(1)</v>
          </cell>
          <cell r="B1050" t="str">
            <v>VYPRODÁNO</v>
          </cell>
          <cell r="C1050" t="str">
            <v/>
          </cell>
          <cell r="D1050">
            <v>0</v>
          </cell>
          <cell r="E1050" t="str">
            <v/>
          </cell>
        </row>
        <row r="1051">
          <cell r="A1051" t="str">
            <v>C6420G</v>
          </cell>
          <cell r="B1051" t="str">
            <v>SKLADEM</v>
          </cell>
          <cell r="C1051" t="str">
            <v/>
          </cell>
          <cell r="D1051">
            <v>0</v>
          </cell>
          <cell r="E1051" t="str">
            <v/>
          </cell>
        </row>
        <row r="1052">
          <cell r="A1052" t="str">
            <v>C6420G E</v>
          </cell>
          <cell r="B1052" t="str">
            <v>VYPRODÁNO</v>
          </cell>
          <cell r="C1052" t="str">
            <v/>
          </cell>
          <cell r="D1052">
            <v>0</v>
          </cell>
          <cell r="E1052" t="str">
            <v/>
          </cell>
        </row>
        <row r="1053">
          <cell r="A1053" t="str">
            <v>C6420G14</v>
          </cell>
          <cell r="B1053" t="str">
            <v>SKLADEM</v>
          </cell>
          <cell r="C1053" t="str">
            <v/>
          </cell>
          <cell r="D1053">
            <v>0</v>
          </cell>
          <cell r="E1053" t="str">
            <v/>
          </cell>
        </row>
        <row r="1054">
          <cell r="A1054" t="str">
            <v>C6420G14 E</v>
          </cell>
          <cell r="B1054" t="str">
            <v>VYPRODÁNO</v>
          </cell>
          <cell r="C1054" t="str">
            <v/>
          </cell>
          <cell r="D1054">
            <v>0</v>
          </cell>
          <cell r="E1054" t="str">
            <v/>
          </cell>
        </row>
        <row r="1055">
          <cell r="A1055" t="str">
            <v>C6420H</v>
          </cell>
          <cell r="B1055" t="str">
            <v>VYPRODÁNO</v>
          </cell>
          <cell r="C1055" t="str">
            <v/>
          </cell>
          <cell r="D1055">
            <v>0</v>
          </cell>
          <cell r="E1055" t="str">
            <v/>
          </cell>
        </row>
        <row r="1056">
          <cell r="A1056" t="str">
            <v>C6420H14</v>
          </cell>
          <cell r="B1056" t="str">
            <v>VYPRODÁNO</v>
          </cell>
          <cell r="C1056" t="str">
            <v/>
          </cell>
          <cell r="D1056">
            <v>0</v>
          </cell>
          <cell r="E1056" t="str">
            <v/>
          </cell>
        </row>
        <row r="1057">
          <cell r="A1057" t="str">
            <v>C6420H14 E</v>
          </cell>
          <cell r="B1057" t="str">
            <v>VYPRODÁNO</v>
          </cell>
          <cell r="C1057" t="str">
            <v/>
          </cell>
          <cell r="D1057">
            <v>0</v>
          </cell>
          <cell r="E1057" t="str">
            <v/>
          </cell>
        </row>
        <row r="1058">
          <cell r="A1058" t="str">
            <v>C6420HE</v>
          </cell>
          <cell r="B1058" t="str">
            <v>VYPRODÁNO</v>
          </cell>
          <cell r="C1058" t="str">
            <v/>
          </cell>
          <cell r="D1058">
            <v>0</v>
          </cell>
          <cell r="E1058" t="str">
            <v/>
          </cell>
        </row>
        <row r="1059">
          <cell r="A1059" t="str">
            <v>C6420HE14</v>
          </cell>
          <cell r="B1059" t="str">
            <v>VYPRODÁNO</v>
          </cell>
          <cell r="C1059" t="str">
            <v/>
          </cell>
          <cell r="D1059">
            <v>0</v>
          </cell>
          <cell r="E1059" t="str">
            <v/>
          </cell>
        </row>
        <row r="1060">
          <cell r="A1060" t="str">
            <v>C6420HE14 E</v>
          </cell>
          <cell r="B1060" t="str">
            <v>VYPRODÁNO</v>
          </cell>
          <cell r="C1060" t="str">
            <v/>
          </cell>
          <cell r="D1060">
            <v>0</v>
          </cell>
          <cell r="E1060" t="str">
            <v/>
          </cell>
        </row>
        <row r="1061">
          <cell r="A1061" t="str">
            <v>C6425XPT</v>
          </cell>
          <cell r="B1061" t="str">
            <v>15.06.2024</v>
          </cell>
          <cell r="C1061">
            <v>115</v>
          </cell>
          <cell r="D1061">
            <v>0</v>
          </cell>
          <cell r="E1061" t="str">
            <v/>
          </cell>
        </row>
        <row r="1062">
          <cell r="A1062" t="str">
            <v>C6438P</v>
          </cell>
          <cell r="B1062" t="str">
            <v>VYPRODÁNO</v>
          </cell>
          <cell r="C1062" t="str">
            <v/>
          </cell>
          <cell r="D1062">
            <v>0</v>
          </cell>
          <cell r="E1062" t="str">
            <v/>
          </cell>
        </row>
        <row r="1063">
          <cell r="A1063" t="str">
            <v>C643A</v>
          </cell>
          <cell r="B1063" t="str">
            <v>VYPRODÁNO</v>
          </cell>
          <cell r="C1063" t="str">
            <v/>
          </cell>
          <cell r="D1063">
            <v>0</v>
          </cell>
          <cell r="E1063" t="str">
            <v/>
          </cell>
        </row>
        <row r="1064">
          <cell r="A1064" t="str">
            <v>C643B</v>
          </cell>
          <cell r="B1064" t="str">
            <v>VYPRODÁNO</v>
          </cell>
          <cell r="C1064" t="str">
            <v/>
          </cell>
          <cell r="D1064">
            <v>0</v>
          </cell>
          <cell r="E1064" t="str">
            <v/>
          </cell>
        </row>
        <row r="1065">
          <cell r="A1065" t="str">
            <v>C643B E</v>
          </cell>
          <cell r="B1065" t="str">
            <v>VYPRODÁNO</v>
          </cell>
          <cell r="C1065" t="str">
            <v/>
          </cell>
          <cell r="D1065">
            <v>0</v>
          </cell>
          <cell r="E1065" t="str">
            <v/>
          </cell>
        </row>
        <row r="1066">
          <cell r="A1066" t="str">
            <v>C643BI</v>
          </cell>
          <cell r="B1066" t="str">
            <v>SKLADEM</v>
          </cell>
          <cell r="C1066" t="str">
            <v/>
          </cell>
          <cell r="D1066">
            <v>21</v>
          </cell>
          <cell r="E1066" t="str">
            <v/>
          </cell>
        </row>
        <row r="1067">
          <cell r="A1067" t="str">
            <v>C643BI E</v>
          </cell>
          <cell r="B1067" t="str">
            <v>VYPRODÁNO</v>
          </cell>
          <cell r="C1067" t="str">
            <v/>
          </cell>
          <cell r="D1067">
            <v>0</v>
          </cell>
          <cell r="E1067" t="str">
            <v/>
          </cell>
        </row>
        <row r="1068">
          <cell r="A1068" t="str">
            <v>C643BI14</v>
          </cell>
          <cell r="B1068" t="str">
            <v>VYPRODÁNO</v>
          </cell>
          <cell r="C1068" t="str">
            <v/>
          </cell>
          <cell r="D1068">
            <v>0</v>
          </cell>
          <cell r="E1068" t="str">
            <v/>
          </cell>
        </row>
        <row r="1069">
          <cell r="A1069" t="str">
            <v>C643BPF</v>
          </cell>
          <cell r="B1069" t="str">
            <v>SKLADEM</v>
          </cell>
          <cell r="C1069" t="str">
            <v/>
          </cell>
          <cell r="D1069">
            <v>0</v>
          </cell>
          <cell r="E1069" t="str">
            <v/>
          </cell>
        </row>
        <row r="1070">
          <cell r="A1070" t="str">
            <v>C643C</v>
          </cell>
          <cell r="B1070" t="str">
            <v>VYPRODÁNO</v>
          </cell>
          <cell r="C1070" t="str">
            <v/>
          </cell>
          <cell r="D1070">
            <v>0</v>
          </cell>
          <cell r="E1070" t="str">
            <v/>
          </cell>
        </row>
        <row r="1071">
          <cell r="A1071" t="str">
            <v>C643C E</v>
          </cell>
          <cell r="B1071" t="str">
            <v>VYPRODÁNO</v>
          </cell>
          <cell r="C1071" t="str">
            <v/>
          </cell>
          <cell r="D1071">
            <v>0</v>
          </cell>
          <cell r="E1071" t="str">
            <v/>
          </cell>
        </row>
        <row r="1072">
          <cell r="A1072" t="str">
            <v>C643C/P</v>
          </cell>
          <cell r="B1072" t="str">
            <v>VYPRODÁNO</v>
          </cell>
          <cell r="C1072" t="str">
            <v/>
          </cell>
          <cell r="D1072">
            <v>0</v>
          </cell>
          <cell r="E1072" t="str">
            <v/>
          </cell>
        </row>
        <row r="1073">
          <cell r="A1073" t="str">
            <v>C643D</v>
          </cell>
          <cell r="B1073" t="str">
            <v>VYPRODÁNO</v>
          </cell>
          <cell r="C1073" t="str">
            <v/>
          </cell>
          <cell r="D1073">
            <v>0</v>
          </cell>
          <cell r="E1073" t="str">
            <v/>
          </cell>
        </row>
        <row r="1074">
          <cell r="A1074" t="str">
            <v>C643D E</v>
          </cell>
          <cell r="B1074" t="str">
            <v>VYPRODÁNO</v>
          </cell>
          <cell r="C1074" t="str">
            <v/>
          </cell>
          <cell r="D1074">
            <v>0</v>
          </cell>
          <cell r="E1074" t="str">
            <v/>
          </cell>
        </row>
        <row r="1075">
          <cell r="A1075" t="str">
            <v>C643E</v>
          </cell>
          <cell r="B1075" t="str">
            <v>VYPRODÁNO</v>
          </cell>
          <cell r="C1075" t="str">
            <v/>
          </cell>
          <cell r="D1075">
            <v>0</v>
          </cell>
          <cell r="E1075" t="str">
            <v/>
          </cell>
        </row>
        <row r="1076">
          <cell r="A1076" t="str">
            <v>C643E E</v>
          </cell>
          <cell r="B1076" t="str">
            <v>VYPRODÁNO</v>
          </cell>
          <cell r="C1076" t="str">
            <v/>
          </cell>
          <cell r="D1076">
            <v>0</v>
          </cell>
          <cell r="E1076" t="str">
            <v/>
          </cell>
        </row>
        <row r="1077">
          <cell r="A1077" t="str">
            <v>C643H</v>
          </cell>
          <cell r="B1077" t="str">
            <v>SKLADEM</v>
          </cell>
          <cell r="C1077" t="str">
            <v/>
          </cell>
          <cell r="D1077">
            <v>0</v>
          </cell>
          <cell r="E1077" t="str">
            <v/>
          </cell>
        </row>
        <row r="1078">
          <cell r="A1078" t="str">
            <v>C643M</v>
          </cell>
          <cell r="B1078" t="str">
            <v>SKLADEM</v>
          </cell>
          <cell r="C1078" t="str">
            <v/>
          </cell>
          <cell r="D1078">
            <v>31</v>
          </cell>
          <cell r="E1078" t="str">
            <v/>
          </cell>
        </row>
        <row r="1079">
          <cell r="A1079" t="str">
            <v>C643MCOMA</v>
          </cell>
          <cell r="B1079" t="str">
            <v>VYPRODÁNO</v>
          </cell>
          <cell r="C1079" t="str">
            <v/>
          </cell>
          <cell r="D1079">
            <v>0</v>
          </cell>
          <cell r="E1079" t="str">
            <v/>
          </cell>
        </row>
        <row r="1080">
          <cell r="A1080" t="str">
            <v>C643MN</v>
          </cell>
          <cell r="B1080" t="str">
            <v>SKLADEM</v>
          </cell>
          <cell r="C1080" t="str">
            <v/>
          </cell>
          <cell r="D1080">
            <v>0</v>
          </cell>
          <cell r="E1080" t="str">
            <v/>
          </cell>
        </row>
        <row r="1081">
          <cell r="A1081" t="str">
            <v>C643MN E</v>
          </cell>
          <cell r="B1081" t="str">
            <v>SKLADEM</v>
          </cell>
          <cell r="C1081" t="str">
            <v/>
          </cell>
          <cell r="D1081">
            <v>0</v>
          </cell>
          <cell r="E1081" t="str">
            <v/>
          </cell>
        </row>
        <row r="1082">
          <cell r="A1082" t="str">
            <v>C643MZ1</v>
          </cell>
          <cell r="B1082" t="str">
            <v>VYPRODÁNO</v>
          </cell>
          <cell r="C1082" t="str">
            <v/>
          </cell>
          <cell r="D1082">
            <v>0</v>
          </cell>
          <cell r="E1082" t="str">
            <v/>
          </cell>
        </row>
        <row r="1083">
          <cell r="A1083" t="str">
            <v>C643MZ2</v>
          </cell>
          <cell r="B1083" t="str">
            <v>VYPRODÁNO</v>
          </cell>
          <cell r="C1083" t="str">
            <v/>
          </cell>
          <cell r="D1083">
            <v>0</v>
          </cell>
          <cell r="E1083" t="str">
            <v/>
          </cell>
        </row>
        <row r="1084">
          <cell r="A1084" t="str">
            <v>C643MZ3</v>
          </cell>
          <cell r="B1084" t="str">
            <v>VYPRODÁNO</v>
          </cell>
          <cell r="C1084" t="str">
            <v/>
          </cell>
          <cell r="D1084">
            <v>0</v>
          </cell>
          <cell r="E1084" t="str">
            <v/>
          </cell>
        </row>
        <row r="1085">
          <cell r="A1085" t="str">
            <v>C643MZ4</v>
          </cell>
          <cell r="B1085" t="str">
            <v>VYPRODÁNO</v>
          </cell>
          <cell r="C1085" t="str">
            <v/>
          </cell>
          <cell r="D1085">
            <v>0</v>
          </cell>
          <cell r="E1085" t="str">
            <v/>
          </cell>
        </row>
        <row r="1086">
          <cell r="A1086" t="str">
            <v>C643XMCOMA</v>
          </cell>
          <cell r="B1086" t="str">
            <v>VYPRODÁNO</v>
          </cell>
          <cell r="C1086" t="str">
            <v/>
          </cell>
          <cell r="D1086">
            <v>0</v>
          </cell>
          <cell r="E1086" t="str">
            <v/>
          </cell>
        </row>
        <row r="1087">
          <cell r="A1087" t="str">
            <v>C643XMCOMB</v>
          </cell>
          <cell r="B1087" t="str">
            <v>VYPRODÁNO</v>
          </cell>
          <cell r="C1087" t="str">
            <v/>
          </cell>
          <cell r="D1087">
            <v>0</v>
          </cell>
          <cell r="E1087" t="str">
            <v/>
          </cell>
        </row>
        <row r="1088">
          <cell r="A1088" t="str">
            <v>C643XMO</v>
          </cell>
          <cell r="B1088" t="str">
            <v>SKLADEM</v>
          </cell>
          <cell r="C1088" t="str">
            <v/>
          </cell>
          <cell r="D1088">
            <v>0</v>
          </cell>
          <cell r="E1088" t="str">
            <v/>
          </cell>
        </row>
        <row r="1089">
          <cell r="A1089" t="str">
            <v>C643XMO E</v>
          </cell>
          <cell r="B1089" t="str">
            <v>VYPRODÁNO</v>
          </cell>
          <cell r="C1089" t="str">
            <v/>
          </cell>
          <cell r="D1089">
            <v>0</v>
          </cell>
          <cell r="E1089" t="str">
            <v/>
          </cell>
        </row>
        <row r="1090">
          <cell r="A1090" t="str">
            <v>C643XMS</v>
          </cell>
          <cell r="B1090" t="str">
            <v>SKLADEM</v>
          </cell>
          <cell r="C1090" t="str">
            <v/>
          </cell>
          <cell r="D1090">
            <v>0</v>
          </cell>
          <cell r="E1090" t="str">
            <v/>
          </cell>
        </row>
        <row r="1091">
          <cell r="A1091" t="str">
            <v>C643XMS E</v>
          </cell>
          <cell r="B1091" t="str">
            <v>VYPRODÁNO</v>
          </cell>
          <cell r="C1091" t="str">
            <v/>
          </cell>
          <cell r="D1091">
            <v>0</v>
          </cell>
          <cell r="E1091" t="str">
            <v/>
          </cell>
        </row>
        <row r="1092">
          <cell r="A1092" t="str">
            <v>C643XMZ5</v>
          </cell>
          <cell r="B1092" t="str">
            <v>VYPRODÁNO</v>
          </cell>
          <cell r="C1092" t="str">
            <v/>
          </cell>
          <cell r="D1092">
            <v>0</v>
          </cell>
          <cell r="E1092" t="str">
            <v/>
          </cell>
        </row>
        <row r="1093">
          <cell r="A1093" t="str">
            <v>C643XMZ6</v>
          </cell>
          <cell r="B1093" t="str">
            <v>VYPRODÁNO</v>
          </cell>
          <cell r="C1093" t="str">
            <v/>
          </cell>
          <cell r="D1093">
            <v>0</v>
          </cell>
          <cell r="E1093" t="str">
            <v/>
          </cell>
        </row>
        <row r="1094">
          <cell r="A1094" t="str">
            <v>C643XMZ7</v>
          </cell>
          <cell r="B1094" t="str">
            <v>VYPRODÁNO</v>
          </cell>
          <cell r="C1094" t="str">
            <v/>
          </cell>
          <cell r="D1094">
            <v>0</v>
          </cell>
          <cell r="E1094" t="str">
            <v/>
          </cell>
        </row>
        <row r="1095">
          <cell r="A1095" t="str">
            <v>C643Z</v>
          </cell>
          <cell r="B1095" t="str">
            <v>VYPRODÁNO</v>
          </cell>
          <cell r="C1095" t="str">
            <v/>
          </cell>
          <cell r="D1095">
            <v>0</v>
          </cell>
          <cell r="E1095" t="str">
            <v/>
          </cell>
        </row>
        <row r="1096">
          <cell r="A1096" t="str">
            <v>C643ZO</v>
          </cell>
          <cell r="B1096" t="str">
            <v>VYPRODÁNO</v>
          </cell>
          <cell r="C1096" t="str">
            <v/>
          </cell>
          <cell r="D1096">
            <v>0</v>
          </cell>
          <cell r="E1096" t="str">
            <v/>
          </cell>
        </row>
        <row r="1097">
          <cell r="A1097" t="str">
            <v>C64MNID14</v>
          </cell>
          <cell r="B1097" t="str">
            <v>VYPRODÁNO</v>
          </cell>
          <cell r="C1097" t="str">
            <v/>
          </cell>
          <cell r="D1097">
            <v>0</v>
          </cell>
          <cell r="E1097" t="str">
            <v/>
          </cell>
        </row>
        <row r="1098">
          <cell r="A1098" t="str">
            <v>C64MP</v>
          </cell>
          <cell r="B1098" t="str">
            <v>SKLADEM</v>
          </cell>
          <cell r="C1098" t="str">
            <v/>
          </cell>
          <cell r="D1098">
            <v>0</v>
          </cell>
          <cell r="E1098" t="str">
            <v/>
          </cell>
        </row>
        <row r="1099">
          <cell r="A1099" t="str">
            <v>C64MP E</v>
          </cell>
          <cell r="B1099" t="str">
            <v>VYPRODÁNO</v>
          </cell>
          <cell r="C1099" t="str">
            <v/>
          </cell>
          <cell r="D1099">
            <v>0</v>
          </cell>
          <cell r="E1099" t="str">
            <v/>
          </cell>
        </row>
        <row r="1100">
          <cell r="A1100" t="str">
            <v>C64MP14</v>
          </cell>
          <cell r="B1100" t="str">
            <v>VYPRODÁNO</v>
          </cell>
          <cell r="C1100" t="str">
            <v/>
          </cell>
          <cell r="D1100">
            <v>0</v>
          </cell>
          <cell r="E1100" t="str">
            <v/>
          </cell>
        </row>
        <row r="1101">
          <cell r="A1101" t="str">
            <v>C64MPR</v>
          </cell>
          <cell r="B1101" t="str">
            <v>VYPRODÁNO</v>
          </cell>
          <cell r="C1101" t="str">
            <v/>
          </cell>
          <cell r="D1101">
            <v>0</v>
          </cell>
          <cell r="E1101" t="str">
            <v/>
          </cell>
        </row>
        <row r="1102">
          <cell r="A1102" t="str">
            <v>C64MSIG</v>
          </cell>
          <cell r="B1102" t="str">
            <v>VYPRODÁNO</v>
          </cell>
          <cell r="C1102" t="str">
            <v/>
          </cell>
          <cell r="D1102">
            <v>0</v>
          </cell>
          <cell r="E1102" t="str">
            <v/>
          </cell>
        </row>
        <row r="1103">
          <cell r="A1103" t="str">
            <v>C64MSIG E</v>
          </cell>
          <cell r="B1103" t="str">
            <v>VYPRODÁNO</v>
          </cell>
          <cell r="C1103" t="str">
            <v/>
          </cell>
          <cell r="D1103">
            <v>0</v>
          </cell>
          <cell r="E1103" t="str">
            <v/>
          </cell>
        </row>
        <row r="1104">
          <cell r="A1104" t="str">
            <v>C64MT</v>
          </cell>
          <cell r="B1104" t="str">
            <v>SKLADEM</v>
          </cell>
          <cell r="C1104" t="str">
            <v/>
          </cell>
          <cell r="D1104">
            <v>0</v>
          </cell>
          <cell r="E1104" t="str">
            <v/>
          </cell>
        </row>
        <row r="1105">
          <cell r="A1105" t="str">
            <v>C64MT E</v>
          </cell>
          <cell r="B1105" t="str">
            <v>VYPRODÁNO</v>
          </cell>
          <cell r="C1105" t="str">
            <v/>
          </cell>
          <cell r="D1105">
            <v>0</v>
          </cell>
          <cell r="E1105" t="str">
            <v/>
          </cell>
        </row>
        <row r="1106">
          <cell r="A1106" t="str">
            <v>C64MT14</v>
          </cell>
          <cell r="B1106" t="str">
            <v>SKLADEM</v>
          </cell>
          <cell r="C1106" t="str">
            <v/>
          </cell>
          <cell r="D1106">
            <v>0</v>
          </cell>
          <cell r="E1106" t="str">
            <v/>
          </cell>
        </row>
        <row r="1107">
          <cell r="A1107" t="str">
            <v>C64MTE</v>
          </cell>
          <cell r="B1107" t="str">
            <v>VYPRODÁNO</v>
          </cell>
          <cell r="C1107" t="str">
            <v/>
          </cell>
          <cell r="D1107">
            <v>0</v>
          </cell>
          <cell r="E1107" t="str">
            <v/>
          </cell>
        </row>
        <row r="1108">
          <cell r="A1108" t="str">
            <v>C64MXXA</v>
          </cell>
          <cell r="B1108" t="str">
            <v>VYPRODÁNO</v>
          </cell>
          <cell r="C1108" t="str">
            <v/>
          </cell>
          <cell r="D1108">
            <v>0</v>
          </cell>
          <cell r="E1108" t="str">
            <v/>
          </cell>
        </row>
        <row r="1109">
          <cell r="A1109" t="str">
            <v>C64MXXB</v>
          </cell>
          <cell r="B1109" t="str">
            <v>VYPRODÁNO</v>
          </cell>
          <cell r="C1109" t="str">
            <v/>
          </cell>
          <cell r="D1109">
            <v>0</v>
          </cell>
          <cell r="E1109" t="str">
            <v/>
          </cell>
        </row>
        <row r="1110">
          <cell r="A1110" t="str">
            <v>C6620L</v>
          </cell>
          <cell r="B1110" t="str">
            <v>15.03.2024</v>
          </cell>
          <cell r="C1110">
            <v>23</v>
          </cell>
          <cell r="D1110" t="str">
            <v>100+</v>
          </cell>
          <cell r="E1110" t="str">
            <v/>
          </cell>
        </row>
        <row r="1111">
          <cell r="A1111" t="str">
            <v>C6620L E</v>
          </cell>
          <cell r="B1111" t="str">
            <v>VYPRODÁNO</v>
          </cell>
          <cell r="C1111" t="str">
            <v/>
          </cell>
          <cell r="D1111">
            <v>0</v>
          </cell>
          <cell r="E1111" t="str">
            <v/>
          </cell>
        </row>
        <row r="1112">
          <cell r="A1112" t="str">
            <v>C6620L14</v>
          </cell>
          <cell r="B1112" t="str">
            <v>SKLADEM</v>
          </cell>
          <cell r="C1112" t="str">
            <v/>
          </cell>
          <cell r="D1112">
            <v>0</v>
          </cell>
          <cell r="E1112" t="str">
            <v/>
          </cell>
        </row>
        <row r="1113">
          <cell r="A1113" t="str">
            <v>C6620P</v>
          </cell>
          <cell r="B1113" t="str">
            <v>15.06.2024</v>
          </cell>
          <cell r="C1113">
            <v>115</v>
          </cell>
          <cell r="D1113">
            <v>0</v>
          </cell>
          <cell r="E1113" t="str">
            <v/>
          </cell>
        </row>
        <row r="1114">
          <cell r="A1114" t="str">
            <v>C6620P E</v>
          </cell>
          <cell r="B1114" t="str">
            <v>VYPRODÁNO</v>
          </cell>
          <cell r="C1114" t="str">
            <v/>
          </cell>
          <cell r="D1114">
            <v>0</v>
          </cell>
          <cell r="E1114" t="str">
            <v/>
          </cell>
        </row>
        <row r="1115">
          <cell r="A1115" t="str">
            <v>C6620P14</v>
          </cell>
          <cell r="B1115" t="str">
            <v>SKLADEM</v>
          </cell>
          <cell r="C1115" t="str">
            <v/>
          </cell>
          <cell r="D1115">
            <v>0</v>
          </cell>
          <cell r="E1115" t="str">
            <v/>
          </cell>
        </row>
        <row r="1116">
          <cell r="A1116" t="str">
            <v>C6620S14</v>
          </cell>
          <cell r="B1116" t="str">
            <v>VYPRODÁNO</v>
          </cell>
          <cell r="C1116" t="str">
            <v/>
          </cell>
          <cell r="D1116">
            <v>0</v>
          </cell>
          <cell r="E1116" t="str">
            <v/>
          </cell>
        </row>
        <row r="1117">
          <cell r="A1117" t="str">
            <v>C6620SIG</v>
          </cell>
          <cell r="B1117" t="str">
            <v>SKLADEM</v>
          </cell>
          <cell r="C1117" t="str">
            <v/>
          </cell>
          <cell r="D1117">
            <v>0</v>
          </cell>
          <cell r="E1117" t="str">
            <v/>
          </cell>
        </row>
        <row r="1118">
          <cell r="A1118" t="str">
            <v>C6620SIGI14</v>
          </cell>
          <cell r="B1118" t="str">
            <v>VYPRODÁNO</v>
          </cell>
          <cell r="C1118" t="str">
            <v/>
          </cell>
          <cell r="D1118">
            <v>0</v>
          </cell>
          <cell r="E1118" t="str">
            <v/>
          </cell>
        </row>
        <row r="1119">
          <cell r="A1119" t="str">
            <v>C6620XXA</v>
          </cell>
          <cell r="B1119" t="str">
            <v>VYPRODÁNO</v>
          </cell>
          <cell r="C1119" t="str">
            <v/>
          </cell>
          <cell r="D1119">
            <v>0</v>
          </cell>
          <cell r="E1119" t="str">
            <v/>
          </cell>
        </row>
        <row r="1120">
          <cell r="A1120" t="str">
            <v>C6620XXA14</v>
          </cell>
          <cell r="B1120" t="str">
            <v>VYPRODÁNO</v>
          </cell>
          <cell r="C1120" t="str">
            <v/>
          </cell>
          <cell r="D1120">
            <v>0</v>
          </cell>
          <cell r="E1120" t="str">
            <v/>
          </cell>
        </row>
        <row r="1121">
          <cell r="A1121" t="str">
            <v>C6620XXB</v>
          </cell>
          <cell r="B1121" t="str">
            <v>VYPRODÁNO</v>
          </cell>
          <cell r="C1121" t="str">
            <v/>
          </cell>
          <cell r="D1121">
            <v>0</v>
          </cell>
          <cell r="E1121" t="str">
            <v/>
          </cell>
        </row>
        <row r="1122">
          <cell r="A1122" t="str">
            <v>C6620XXB14</v>
          </cell>
          <cell r="B1122" t="str">
            <v>VYPRODÁNO</v>
          </cell>
          <cell r="C1122" t="str">
            <v/>
          </cell>
          <cell r="D1122">
            <v>0</v>
          </cell>
          <cell r="E1122" t="str">
            <v/>
          </cell>
        </row>
        <row r="1123">
          <cell r="A1123" t="str">
            <v>C6625XXA</v>
          </cell>
          <cell r="B1123" t="str">
            <v>VYPRODÁNO</v>
          </cell>
          <cell r="C1123" t="str">
            <v/>
          </cell>
          <cell r="D1123">
            <v>0</v>
          </cell>
          <cell r="E1123" t="str">
            <v/>
          </cell>
        </row>
        <row r="1124">
          <cell r="A1124" t="str">
            <v>C66SMMA</v>
          </cell>
          <cell r="B1124" t="str">
            <v>VYPRODÁNO</v>
          </cell>
          <cell r="C1124" t="str">
            <v/>
          </cell>
          <cell r="D1124">
            <v>0</v>
          </cell>
          <cell r="E1124" t="str">
            <v/>
          </cell>
        </row>
        <row r="1125">
          <cell r="A1125" t="str">
            <v>C66SMMA E</v>
          </cell>
          <cell r="B1125" t="str">
            <v>VYPRODÁNO</v>
          </cell>
          <cell r="C1125" t="str">
            <v/>
          </cell>
          <cell r="D1125">
            <v>0</v>
          </cell>
          <cell r="E1125" t="str">
            <v/>
          </cell>
        </row>
        <row r="1126">
          <cell r="A1126" t="str">
            <v>C66SMMO</v>
          </cell>
          <cell r="B1126" t="str">
            <v>SKLADEM</v>
          </cell>
          <cell r="C1126" t="str">
            <v/>
          </cell>
          <cell r="D1126">
            <v>0</v>
          </cell>
          <cell r="E1126" t="str">
            <v/>
          </cell>
        </row>
        <row r="1127">
          <cell r="A1127" t="str">
            <v>C66SMMO E</v>
          </cell>
          <cell r="B1127" t="str">
            <v>VYPRODÁNO</v>
          </cell>
          <cell r="C1127" t="str">
            <v/>
          </cell>
          <cell r="D1127">
            <v>0</v>
          </cell>
          <cell r="E1127" t="str">
            <v/>
          </cell>
        </row>
        <row r="1128">
          <cell r="A1128" t="str">
            <v>C68XMCS</v>
          </cell>
          <cell r="B1128" t="str">
            <v>DOCHÁZÍ</v>
          </cell>
          <cell r="C1128" t="str">
            <v/>
          </cell>
          <cell r="D1128">
            <v>0</v>
          </cell>
          <cell r="E1128">
            <v>24</v>
          </cell>
        </row>
        <row r="1129">
          <cell r="A1129" t="str">
            <v>C68XMCS14</v>
          </cell>
          <cell r="B1129" t="str">
            <v>SKLADEM</v>
          </cell>
          <cell r="C1129" t="str">
            <v/>
          </cell>
          <cell r="D1129">
            <v>0</v>
          </cell>
          <cell r="E1129" t="str">
            <v/>
          </cell>
        </row>
        <row r="1130">
          <cell r="A1130" t="str">
            <v>C68XMPT</v>
          </cell>
          <cell r="B1130" t="str">
            <v>SKLADEM</v>
          </cell>
          <cell r="C1130" t="str">
            <v/>
          </cell>
          <cell r="D1130">
            <v>0</v>
          </cell>
          <cell r="E1130" t="str">
            <v/>
          </cell>
        </row>
        <row r="1131">
          <cell r="A1131" t="str">
            <v>C68XMPT14</v>
          </cell>
          <cell r="B1131" t="str">
            <v>DOCHÁZÍ</v>
          </cell>
          <cell r="C1131" t="str">
            <v/>
          </cell>
          <cell r="D1131">
            <v>0</v>
          </cell>
          <cell r="E1131">
            <v>4</v>
          </cell>
        </row>
        <row r="1132">
          <cell r="A1132" t="str">
            <v>C68XMPT14 E</v>
          </cell>
          <cell r="B1132" t="str">
            <v>VYPRODÁNO</v>
          </cell>
          <cell r="C1132" t="str">
            <v/>
          </cell>
          <cell r="D1132">
            <v>0</v>
          </cell>
          <cell r="E1132" t="str">
            <v/>
          </cell>
        </row>
        <row r="1133">
          <cell r="A1133" t="str">
            <v>C69MXXA</v>
          </cell>
          <cell r="B1133" t="str">
            <v>VYPRODÁNO</v>
          </cell>
          <cell r="C1133" t="str">
            <v/>
          </cell>
          <cell r="D1133">
            <v>0</v>
          </cell>
          <cell r="E1133" t="str">
            <v/>
          </cell>
        </row>
        <row r="1134">
          <cell r="A1134" t="str">
            <v>C755R</v>
          </cell>
          <cell r="B1134" t="str">
            <v>VYPRODÁNO</v>
          </cell>
          <cell r="C1134" t="str">
            <v/>
          </cell>
          <cell r="D1134">
            <v>0</v>
          </cell>
          <cell r="E1134" t="str">
            <v/>
          </cell>
        </row>
        <row r="1135">
          <cell r="A1135" t="str">
            <v>C755R/C</v>
          </cell>
          <cell r="B1135" t="str">
            <v>15.08.2024</v>
          </cell>
          <cell r="C1135">
            <v>176</v>
          </cell>
          <cell r="D1135">
            <v>0</v>
          </cell>
          <cell r="E1135" t="str">
            <v/>
          </cell>
        </row>
        <row r="1136">
          <cell r="A1136" t="str">
            <v>C755R/C(T)</v>
          </cell>
          <cell r="B1136" t="str">
            <v>15.08.2024</v>
          </cell>
          <cell r="C1136">
            <v>176</v>
          </cell>
          <cell r="D1136">
            <v>0</v>
          </cell>
          <cell r="E1136" t="str">
            <v/>
          </cell>
        </row>
        <row r="1137">
          <cell r="A1137" t="str">
            <v>C755Z</v>
          </cell>
          <cell r="B1137" t="str">
            <v>VYPRODÁNO</v>
          </cell>
          <cell r="C1137" t="str">
            <v/>
          </cell>
          <cell r="D1137">
            <v>0</v>
          </cell>
          <cell r="E1137" t="str">
            <v/>
          </cell>
        </row>
        <row r="1138">
          <cell r="A1138" t="str">
            <v>C75MXXA</v>
          </cell>
          <cell r="B1138" t="str">
            <v>VYPRODÁNO</v>
          </cell>
          <cell r="C1138" t="str">
            <v/>
          </cell>
          <cell r="D1138">
            <v>0</v>
          </cell>
          <cell r="E1138" t="str">
            <v/>
          </cell>
        </row>
        <row r="1139">
          <cell r="A1139" t="str">
            <v>C78FMK</v>
          </cell>
          <cell r="B1139" t="str">
            <v>VYPRODÁNO</v>
          </cell>
          <cell r="C1139" t="str">
            <v/>
          </cell>
          <cell r="D1139">
            <v>0</v>
          </cell>
          <cell r="E1139" t="str">
            <v/>
          </cell>
        </row>
        <row r="1140">
          <cell r="A1140" t="str">
            <v>C78FMP</v>
          </cell>
          <cell r="B1140" t="str">
            <v>VYPRODÁNO</v>
          </cell>
          <cell r="C1140" t="str">
            <v/>
          </cell>
          <cell r="D1140">
            <v>0</v>
          </cell>
          <cell r="E1140" t="str">
            <v/>
          </cell>
        </row>
        <row r="1141">
          <cell r="A1141" t="str">
            <v>C78FMT</v>
          </cell>
          <cell r="B1141" t="str">
            <v>VYPRODÁNO</v>
          </cell>
          <cell r="C1141" t="str">
            <v/>
          </cell>
          <cell r="D1141">
            <v>0</v>
          </cell>
          <cell r="E1141" t="str">
            <v/>
          </cell>
        </row>
        <row r="1142">
          <cell r="A1142" t="str">
            <v>C78MXXA</v>
          </cell>
          <cell r="B1142" t="str">
            <v>VYPRODÁNO</v>
          </cell>
          <cell r="C1142" t="str">
            <v/>
          </cell>
          <cell r="D1142">
            <v>0</v>
          </cell>
          <cell r="E1142" t="str">
            <v/>
          </cell>
        </row>
        <row r="1143">
          <cell r="A1143" t="str">
            <v>C80020XPR/C</v>
          </cell>
          <cell r="B1143" t="str">
            <v>VYPRODÁNO</v>
          </cell>
          <cell r="C1143" t="str">
            <v/>
          </cell>
          <cell r="D1143">
            <v>0</v>
          </cell>
          <cell r="E1143" t="str">
            <v/>
          </cell>
        </row>
        <row r="1144">
          <cell r="A1144" t="str">
            <v>C80020XPR/C(T)</v>
          </cell>
          <cell r="B1144" t="str">
            <v>VYPRODÁNO</v>
          </cell>
          <cell r="C1144" t="str">
            <v/>
          </cell>
          <cell r="D1144">
            <v>0</v>
          </cell>
          <cell r="E1144" t="str">
            <v/>
          </cell>
        </row>
        <row r="1145">
          <cell r="A1145" t="str">
            <v>C84M12E/C</v>
          </cell>
          <cell r="B1145" t="str">
            <v>VYPRODÁNO</v>
          </cell>
          <cell r="C1145" t="str">
            <v/>
          </cell>
          <cell r="D1145">
            <v>0</v>
          </cell>
          <cell r="E1145" t="str">
            <v/>
          </cell>
        </row>
        <row r="1146">
          <cell r="A1146" t="str">
            <v>C84M12E/C(T)</v>
          </cell>
          <cell r="B1146" t="str">
            <v>VYPRODÁNO</v>
          </cell>
          <cell r="C1146" t="str">
            <v/>
          </cell>
          <cell r="D1146">
            <v>0</v>
          </cell>
          <cell r="E1146" t="str">
            <v/>
          </cell>
        </row>
        <row r="1147">
          <cell r="A1147" t="str">
            <v>C84M12F/C</v>
          </cell>
          <cell r="B1147" t="str">
            <v>30.09.2024</v>
          </cell>
          <cell r="C1147">
            <v>222</v>
          </cell>
          <cell r="D1147">
            <v>0</v>
          </cell>
          <cell r="E1147" t="str">
            <v/>
          </cell>
        </row>
        <row r="1148">
          <cell r="A1148" t="str">
            <v>C84M12F/C(T)</v>
          </cell>
          <cell r="B1148" t="str">
            <v>30.09.2024</v>
          </cell>
          <cell r="C1148">
            <v>222</v>
          </cell>
          <cell r="D1148">
            <v>0</v>
          </cell>
          <cell r="E1148" t="str">
            <v/>
          </cell>
        </row>
        <row r="1149">
          <cell r="A1149" t="str">
            <v>C84M12S/C</v>
          </cell>
          <cell r="B1149" t="str">
            <v>15.07.2024</v>
          </cell>
          <cell r="C1149">
            <v>145</v>
          </cell>
          <cell r="D1149">
            <v>0</v>
          </cell>
          <cell r="E1149" t="str">
            <v/>
          </cell>
        </row>
        <row r="1150">
          <cell r="A1150" t="str">
            <v>C84M12S/C(T)</v>
          </cell>
          <cell r="B1150" t="str">
            <v>15.07.2024</v>
          </cell>
          <cell r="C1150">
            <v>145</v>
          </cell>
          <cell r="D1150">
            <v>0</v>
          </cell>
          <cell r="E1150" t="str">
            <v/>
          </cell>
        </row>
        <row r="1151">
          <cell r="A1151" t="str">
            <v>C84MA</v>
          </cell>
          <cell r="B1151" t="str">
            <v>VYPRODÁNO</v>
          </cell>
          <cell r="C1151" t="str">
            <v/>
          </cell>
          <cell r="D1151">
            <v>0</v>
          </cell>
          <cell r="E1151" t="str">
            <v/>
          </cell>
        </row>
        <row r="1152">
          <cell r="A1152" t="str">
            <v>C84MA/K</v>
          </cell>
          <cell r="B1152" t="str">
            <v>VYPRODÁNO</v>
          </cell>
          <cell r="C1152" t="str">
            <v/>
          </cell>
          <cell r="D1152">
            <v>0</v>
          </cell>
          <cell r="E1152" t="str">
            <v/>
          </cell>
        </row>
        <row r="1153">
          <cell r="A1153" t="str">
            <v>C84MC</v>
          </cell>
          <cell r="B1153" t="str">
            <v>VYPRODÁNO</v>
          </cell>
          <cell r="C1153" t="str">
            <v/>
          </cell>
          <cell r="D1153">
            <v>0</v>
          </cell>
          <cell r="E1153" t="str">
            <v/>
          </cell>
        </row>
        <row r="1154">
          <cell r="A1154" t="str">
            <v>C84MC/C</v>
          </cell>
          <cell r="B1154" t="str">
            <v>15.08.2024</v>
          </cell>
          <cell r="C1154">
            <v>176</v>
          </cell>
          <cell r="D1154">
            <v>0</v>
          </cell>
          <cell r="E1154" t="str">
            <v/>
          </cell>
        </row>
        <row r="1155">
          <cell r="A1155" t="str">
            <v>C84MC/C(T)</v>
          </cell>
          <cell r="B1155" t="str">
            <v>15.08.2024</v>
          </cell>
          <cell r="C1155">
            <v>176</v>
          </cell>
          <cell r="D1155">
            <v>0</v>
          </cell>
          <cell r="E1155" t="str">
            <v/>
          </cell>
        </row>
        <row r="1156">
          <cell r="A1156" t="str">
            <v>C84MD</v>
          </cell>
          <cell r="B1156" t="str">
            <v>VYPRODÁNO</v>
          </cell>
          <cell r="C1156" t="str">
            <v/>
          </cell>
          <cell r="D1156">
            <v>0</v>
          </cell>
          <cell r="E1156" t="str">
            <v/>
          </cell>
        </row>
        <row r="1157">
          <cell r="A1157" t="str">
            <v>C84ME</v>
          </cell>
          <cell r="B1157" t="str">
            <v>VYPRODÁNO</v>
          </cell>
          <cell r="C1157" t="str">
            <v/>
          </cell>
          <cell r="D1157">
            <v>0</v>
          </cell>
          <cell r="E1157" t="str">
            <v/>
          </cell>
        </row>
        <row r="1158">
          <cell r="A1158" t="str">
            <v>C84MF/C</v>
          </cell>
          <cell r="B1158" t="str">
            <v>VYPRODÁNO</v>
          </cell>
          <cell r="C1158" t="str">
            <v/>
          </cell>
          <cell r="D1158">
            <v>0</v>
          </cell>
          <cell r="E1158" t="str">
            <v/>
          </cell>
        </row>
        <row r="1159">
          <cell r="A1159" t="str">
            <v>C84MS</v>
          </cell>
          <cell r="B1159" t="str">
            <v>VYPRODÁNO</v>
          </cell>
          <cell r="C1159" t="str">
            <v/>
          </cell>
          <cell r="D1159">
            <v>0</v>
          </cell>
          <cell r="E1159" t="str">
            <v/>
          </cell>
        </row>
        <row r="1160">
          <cell r="A1160" t="str">
            <v>C84MZ</v>
          </cell>
          <cell r="B1160" t="str">
            <v>VYPRODÁNO</v>
          </cell>
          <cell r="C1160" t="str">
            <v/>
          </cell>
          <cell r="D1160">
            <v>0</v>
          </cell>
          <cell r="E1160" t="str">
            <v/>
          </cell>
        </row>
        <row r="1161">
          <cell r="A1161" t="str">
            <v>C8825BR</v>
          </cell>
          <cell r="B1161" t="str">
            <v>SKLADEM</v>
          </cell>
          <cell r="C1161" t="str">
            <v/>
          </cell>
          <cell r="D1161">
            <v>0</v>
          </cell>
          <cell r="E1161" t="str">
            <v/>
          </cell>
        </row>
        <row r="1162">
          <cell r="A1162" t="str">
            <v>C8825G</v>
          </cell>
          <cell r="B1162" t="str">
            <v>SKLADEM</v>
          </cell>
          <cell r="C1162" t="str">
            <v/>
          </cell>
          <cell r="D1162">
            <v>0</v>
          </cell>
          <cell r="E1162" t="str">
            <v/>
          </cell>
        </row>
        <row r="1163">
          <cell r="A1163" t="str">
            <v>C8825G E</v>
          </cell>
          <cell r="B1163" t="str">
            <v>VYPRODÁNO</v>
          </cell>
          <cell r="C1163" t="str">
            <v/>
          </cell>
          <cell r="D1163">
            <v>0</v>
          </cell>
          <cell r="E1163" t="str">
            <v/>
          </cell>
        </row>
        <row r="1164">
          <cell r="A1164" t="str">
            <v>C8825M</v>
          </cell>
          <cell r="B1164" t="str">
            <v>DOCHÁZÍ</v>
          </cell>
          <cell r="C1164" t="str">
            <v/>
          </cell>
          <cell r="D1164">
            <v>0</v>
          </cell>
          <cell r="E1164">
            <v>59</v>
          </cell>
        </row>
        <row r="1165">
          <cell r="A1165" t="str">
            <v>C8825M E</v>
          </cell>
          <cell r="B1165" t="str">
            <v>SKLADEM</v>
          </cell>
          <cell r="C1165" t="str">
            <v/>
          </cell>
          <cell r="D1165">
            <v>0</v>
          </cell>
          <cell r="E1165" t="str">
            <v/>
          </cell>
        </row>
        <row r="1166">
          <cell r="A1166" t="str">
            <v>C8825P</v>
          </cell>
          <cell r="B1166" t="str">
            <v>VYPRODÁNO</v>
          </cell>
          <cell r="C1166" t="str">
            <v/>
          </cell>
          <cell r="D1166">
            <v>0</v>
          </cell>
          <cell r="E1166" t="str">
            <v/>
          </cell>
        </row>
        <row r="1167">
          <cell r="A1167" t="str">
            <v>C8825PA</v>
          </cell>
          <cell r="B1167" t="str">
            <v>SKLADEM</v>
          </cell>
          <cell r="C1167" t="str">
            <v/>
          </cell>
          <cell r="D1167">
            <v>0</v>
          </cell>
          <cell r="E1167" t="str">
            <v/>
          </cell>
        </row>
        <row r="1168">
          <cell r="A1168" t="str">
            <v>C8825PA E</v>
          </cell>
          <cell r="B1168" t="str">
            <v>SKLADEM</v>
          </cell>
          <cell r="C1168" t="str">
            <v/>
          </cell>
          <cell r="D1168">
            <v>0</v>
          </cell>
          <cell r="E1168" t="str">
            <v/>
          </cell>
        </row>
        <row r="1169">
          <cell r="A1169" t="str">
            <v>C8825VI</v>
          </cell>
          <cell r="B1169" t="str">
            <v>VYPRODÁNO</v>
          </cell>
          <cell r="C1169" t="str">
            <v/>
          </cell>
          <cell r="D1169">
            <v>0</v>
          </cell>
          <cell r="E1169" t="str">
            <v/>
          </cell>
        </row>
        <row r="1170">
          <cell r="A1170" t="str">
            <v>C8925B</v>
          </cell>
          <cell r="B1170" t="str">
            <v>SKLADEM</v>
          </cell>
          <cell r="C1170" t="str">
            <v/>
          </cell>
          <cell r="D1170">
            <v>0</v>
          </cell>
          <cell r="E1170" t="str">
            <v/>
          </cell>
        </row>
        <row r="1171">
          <cell r="A1171" t="str">
            <v>C8925B E</v>
          </cell>
          <cell r="B1171" t="str">
            <v>VYPRODÁNO</v>
          </cell>
          <cell r="C1171" t="str">
            <v/>
          </cell>
          <cell r="D1171">
            <v>0</v>
          </cell>
          <cell r="E1171" t="str">
            <v/>
          </cell>
        </row>
        <row r="1172">
          <cell r="A1172" t="str">
            <v>C8925M</v>
          </cell>
          <cell r="B1172" t="str">
            <v>VYPRODÁNO</v>
          </cell>
          <cell r="C1172" t="str">
            <v/>
          </cell>
          <cell r="D1172">
            <v>0</v>
          </cell>
          <cell r="E1172" t="str">
            <v/>
          </cell>
        </row>
        <row r="1173">
          <cell r="A1173" t="str">
            <v>C8925M E</v>
          </cell>
          <cell r="B1173" t="str">
            <v>VYPRODÁNO</v>
          </cell>
          <cell r="C1173" t="str">
            <v/>
          </cell>
          <cell r="D1173">
            <v>0</v>
          </cell>
          <cell r="E1173" t="str">
            <v/>
          </cell>
        </row>
        <row r="1174">
          <cell r="A1174" t="str">
            <v>C8925N</v>
          </cell>
          <cell r="B1174" t="str">
            <v>DOCHÁZÍ</v>
          </cell>
          <cell r="C1174" t="str">
            <v/>
          </cell>
          <cell r="D1174">
            <v>0</v>
          </cell>
          <cell r="E1174">
            <v>3</v>
          </cell>
        </row>
        <row r="1175">
          <cell r="A1175" t="str">
            <v>C8925N E</v>
          </cell>
          <cell r="B1175" t="str">
            <v>VYPRODÁNO</v>
          </cell>
          <cell r="C1175" t="str">
            <v/>
          </cell>
          <cell r="D1175">
            <v>0</v>
          </cell>
          <cell r="E1175" t="str">
            <v/>
          </cell>
        </row>
        <row r="1176">
          <cell r="A1176" t="str">
            <v>C8925N14</v>
          </cell>
          <cell r="B1176" t="str">
            <v>VYPRODÁNO</v>
          </cell>
          <cell r="C1176" t="str">
            <v/>
          </cell>
          <cell r="D1176">
            <v>0</v>
          </cell>
          <cell r="E1176" t="str">
            <v/>
          </cell>
        </row>
        <row r="1177">
          <cell r="A1177" t="str">
            <v>C9020C</v>
          </cell>
          <cell r="B1177" t="str">
            <v>VYPRODÁNO</v>
          </cell>
          <cell r="C1177" t="str">
            <v/>
          </cell>
          <cell r="D1177">
            <v>0</v>
          </cell>
          <cell r="E1177" t="str">
            <v/>
          </cell>
        </row>
        <row r="1178">
          <cell r="A1178" t="str">
            <v>C9020C E</v>
          </cell>
          <cell r="B1178" t="str">
            <v>VYPRODÁNO</v>
          </cell>
          <cell r="C1178" t="str">
            <v/>
          </cell>
          <cell r="D1178">
            <v>0</v>
          </cell>
          <cell r="E1178" t="str">
            <v/>
          </cell>
        </row>
        <row r="1179">
          <cell r="A1179" t="str">
            <v>C9020SIG</v>
          </cell>
          <cell r="B1179" t="str">
            <v>30.09.2024</v>
          </cell>
          <cell r="C1179">
            <v>222</v>
          </cell>
          <cell r="D1179">
            <v>0</v>
          </cell>
          <cell r="E1179" t="str">
            <v/>
          </cell>
        </row>
        <row r="1180">
          <cell r="A1180" t="str">
            <v>C9020SIG E</v>
          </cell>
          <cell r="B1180" t="str">
            <v>VYPRODÁNO</v>
          </cell>
          <cell r="C1180" t="str">
            <v/>
          </cell>
          <cell r="D1180">
            <v>0</v>
          </cell>
          <cell r="E1180" t="str">
            <v/>
          </cell>
        </row>
        <row r="1181">
          <cell r="A1181" t="str">
            <v>C9020SIG14</v>
          </cell>
          <cell r="B1181" t="str">
            <v>VYPRODÁNO</v>
          </cell>
          <cell r="C1181" t="str">
            <v/>
          </cell>
          <cell r="D1181">
            <v>0</v>
          </cell>
          <cell r="E1181" t="str">
            <v/>
          </cell>
        </row>
        <row r="1182">
          <cell r="A1182" t="str">
            <v>C9020V</v>
          </cell>
          <cell r="B1182" t="str">
            <v>SKLADEM</v>
          </cell>
          <cell r="C1182" t="str">
            <v/>
          </cell>
          <cell r="D1182">
            <v>0</v>
          </cell>
          <cell r="E1182" t="str">
            <v/>
          </cell>
        </row>
        <row r="1183">
          <cell r="A1183" t="str">
            <v>C9020V E</v>
          </cell>
          <cell r="B1183" t="str">
            <v>VYPRODÁNO</v>
          </cell>
          <cell r="C1183" t="str">
            <v/>
          </cell>
          <cell r="D1183">
            <v>0</v>
          </cell>
          <cell r="E1183" t="str">
            <v/>
          </cell>
        </row>
        <row r="1184">
          <cell r="A1184" t="str">
            <v>C9020X</v>
          </cell>
          <cell r="B1184" t="str">
            <v>DOCHÁZÍ</v>
          </cell>
          <cell r="C1184" t="str">
            <v/>
          </cell>
          <cell r="D1184">
            <v>0</v>
          </cell>
          <cell r="E1184">
            <v>60</v>
          </cell>
        </row>
        <row r="1185">
          <cell r="A1185" t="str">
            <v>C9020X E</v>
          </cell>
          <cell r="B1185" t="str">
            <v>SKLADEM</v>
          </cell>
          <cell r="C1185" t="str">
            <v/>
          </cell>
          <cell r="D1185">
            <v>0</v>
          </cell>
          <cell r="E1185" t="str">
            <v/>
          </cell>
        </row>
        <row r="1186">
          <cell r="A1186" t="str">
            <v>C920H14</v>
          </cell>
          <cell r="B1186" t="str">
            <v>VYPRODÁNO</v>
          </cell>
          <cell r="C1186" t="str">
            <v/>
          </cell>
          <cell r="D1186">
            <v>0</v>
          </cell>
          <cell r="E1186" t="str">
            <v/>
          </cell>
        </row>
        <row r="1187">
          <cell r="A1187" t="str">
            <v>C920L</v>
          </cell>
          <cell r="B1187" t="str">
            <v>15.06.2024</v>
          </cell>
          <cell r="C1187">
            <v>115</v>
          </cell>
          <cell r="D1187">
            <v>0</v>
          </cell>
          <cell r="E1187" t="str">
            <v/>
          </cell>
        </row>
        <row r="1188">
          <cell r="A1188" t="str">
            <v>C920L14</v>
          </cell>
          <cell r="B1188" t="str">
            <v>VYPRODÁNO</v>
          </cell>
          <cell r="C1188" t="str">
            <v/>
          </cell>
          <cell r="D1188">
            <v>0</v>
          </cell>
          <cell r="E1188" t="str">
            <v/>
          </cell>
        </row>
        <row r="1189">
          <cell r="A1189" t="str">
            <v>C920M</v>
          </cell>
          <cell r="B1189" t="str">
            <v>SKLADEM</v>
          </cell>
          <cell r="C1189" t="str">
            <v/>
          </cell>
          <cell r="D1189">
            <v>0</v>
          </cell>
          <cell r="E1189" t="str">
            <v/>
          </cell>
        </row>
        <row r="1190">
          <cell r="A1190" t="str">
            <v>C920M14</v>
          </cell>
          <cell r="B1190" t="str">
            <v>VYPRODÁNO</v>
          </cell>
          <cell r="C1190" t="str">
            <v/>
          </cell>
          <cell r="D1190">
            <v>0</v>
          </cell>
          <cell r="E1190" t="str">
            <v/>
          </cell>
        </row>
        <row r="1191">
          <cell r="A1191" t="str">
            <v>C9625MF/C14</v>
          </cell>
          <cell r="B1191" t="str">
            <v>SKLADEM</v>
          </cell>
          <cell r="C1191" t="str">
            <v/>
          </cell>
          <cell r="D1191">
            <v>0</v>
          </cell>
          <cell r="E1191" t="str">
            <v/>
          </cell>
        </row>
        <row r="1192">
          <cell r="A1192" t="str">
            <v>C9625MF/C14 E</v>
          </cell>
          <cell r="B1192" t="str">
            <v>VYPRODÁNO</v>
          </cell>
          <cell r="C1192" t="str">
            <v/>
          </cell>
          <cell r="D1192">
            <v>0</v>
          </cell>
          <cell r="E1192" t="str">
            <v/>
          </cell>
        </row>
        <row r="1193">
          <cell r="A1193" t="str">
            <v>C9625MF/C14(T)</v>
          </cell>
          <cell r="B1193" t="str">
            <v>SKLADEM</v>
          </cell>
          <cell r="C1193" t="str">
            <v/>
          </cell>
          <cell r="D1193">
            <v>0</v>
          </cell>
          <cell r="E1193" t="str">
            <v/>
          </cell>
        </row>
        <row r="1194">
          <cell r="A1194" t="str">
            <v>C96MB</v>
          </cell>
          <cell r="B1194" t="str">
            <v>SKLADEM</v>
          </cell>
          <cell r="C1194" t="str">
            <v/>
          </cell>
          <cell r="D1194">
            <v>0</v>
          </cell>
          <cell r="E1194" t="str">
            <v/>
          </cell>
        </row>
        <row r="1195">
          <cell r="A1195" t="str">
            <v>C9825C/C</v>
          </cell>
          <cell r="B1195" t="str">
            <v>15.09.2024</v>
          </cell>
          <cell r="C1195">
            <v>207</v>
          </cell>
          <cell r="D1195">
            <v>0</v>
          </cell>
          <cell r="E1195" t="str">
            <v/>
          </cell>
        </row>
        <row r="1196">
          <cell r="A1196" t="str">
            <v>C9825C/C E</v>
          </cell>
          <cell r="B1196" t="str">
            <v>VYPRODÁNO</v>
          </cell>
          <cell r="C1196" t="str">
            <v/>
          </cell>
          <cell r="D1196">
            <v>0</v>
          </cell>
          <cell r="E1196" t="str">
            <v/>
          </cell>
        </row>
        <row r="1197">
          <cell r="A1197" t="str">
            <v>C9825C/C(T)</v>
          </cell>
          <cell r="B1197" t="str">
            <v>15.09.2024</v>
          </cell>
          <cell r="C1197">
            <v>207</v>
          </cell>
          <cell r="D1197">
            <v>0</v>
          </cell>
          <cell r="E1197" t="str">
            <v/>
          </cell>
        </row>
        <row r="1198">
          <cell r="A1198" t="str">
            <v>C9825C/C14</v>
          </cell>
          <cell r="B1198" t="str">
            <v>30.04.2024</v>
          </cell>
          <cell r="C1198">
            <v>69</v>
          </cell>
          <cell r="D1198">
            <v>0</v>
          </cell>
          <cell r="E1198" t="str">
            <v/>
          </cell>
        </row>
        <row r="1199">
          <cell r="A1199" t="str">
            <v>C9825C/C14 E</v>
          </cell>
          <cell r="B1199" t="str">
            <v>VYPRODÁNO</v>
          </cell>
          <cell r="C1199" t="str">
            <v/>
          </cell>
          <cell r="D1199">
            <v>0</v>
          </cell>
          <cell r="E1199" t="str">
            <v/>
          </cell>
        </row>
        <row r="1200">
          <cell r="A1200" t="str">
            <v>C9825C/C14(T)</v>
          </cell>
          <cell r="B1200" t="str">
            <v>30.04.2024</v>
          </cell>
          <cell r="C1200">
            <v>69</v>
          </cell>
          <cell r="D1200">
            <v>0</v>
          </cell>
          <cell r="E1200" t="str">
            <v/>
          </cell>
        </row>
        <row r="1201">
          <cell r="A1201" t="str">
            <v>C9825DU/C</v>
          </cell>
          <cell r="B1201" t="str">
            <v>VYPRODÁNO</v>
          </cell>
          <cell r="C1201" t="str">
            <v/>
          </cell>
          <cell r="D1201">
            <v>0</v>
          </cell>
          <cell r="E1201" t="str">
            <v/>
          </cell>
        </row>
        <row r="1202">
          <cell r="A1202" t="str">
            <v>C9825DU/C E</v>
          </cell>
          <cell r="B1202" t="str">
            <v>VYPRODÁNO</v>
          </cell>
          <cell r="C1202" t="str">
            <v/>
          </cell>
          <cell r="D1202">
            <v>0</v>
          </cell>
          <cell r="E1202" t="str">
            <v/>
          </cell>
        </row>
        <row r="1203">
          <cell r="A1203" t="str">
            <v>C9825SIG/C</v>
          </cell>
          <cell r="B1203" t="str">
            <v>SKLADEM</v>
          </cell>
          <cell r="C1203" t="str">
            <v/>
          </cell>
          <cell r="D1203">
            <v>0</v>
          </cell>
          <cell r="E1203" t="str">
            <v/>
          </cell>
        </row>
        <row r="1204">
          <cell r="A1204" t="str">
            <v>C9825SIG/C E</v>
          </cell>
          <cell r="B1204" t="str">
            <v>SKLADEM</v>
          </cell>
          <cell r="C1204" t="str">
            <v/>
          </cell>
          <cell r="D1204">
            <v>0</v>
          </cell>
          <cell r="E1204" t="str">
            <v/>
          </cell>
        </row>
        <row r="1205">
          <cell r="A1205" t="str">
            <v>C9825SIG/C(T)</v>
          </cell>
          <cell r="B1205" t="str">
            <v>SKLADEM</v>
          </cell>
          <cell r="C1205" t="str">
            <v/>
          </cell>
          <cell r="D1205">
            <v>0</v>
          </cell>
          <cell r="E1205" t="str">
            <v/>
          </cell>
        </row>
        <row r="1206">
          <cell r="A1206" t="str">
            <v>C9825SIG/C14</v>
          </cell>
          <cell r="B1206" t="str">
            <v>15.09.2024</v>
          </cell>
          <cell r="C1206">
            <v>207</v>
          </cell>
          <cell r="D1206">
            <v>0</v>
          </cell>
          <cell r="E1206" t="str">
            <v/>
          </cell>
        </row>
        <row r="1207">
          <cell r="A1207" t="str">
            <v>C9825SIG/C14(T)</v>
          </cell>
          <cell r="B1207" t="str">
            <v>15.09.2024</v>
          </cell>
          <cell r="C1207">
            <v>207</v>
          </cell>
          <cell r="D1207">
            <v>0</v>
          </cell>
          <cell r="E1207" t="str">
            <v/>
          </cell>
        </row>
        <row r="1208">
          <cell r="A1208" t="str">
            <v>C98MXXA</v>
          </cell>
          <cell r="B1208" t="str">
            <v>VYPRODÁNO</v>
          </cell>
          <cell r="C1208" t="str">
            <v/>
          </cell>
          <cell r="D1208">
            <v>0</v>
          </cell>
          <cell r="E1208" t="str">
            <v/>
          </cell>
        </row>
        <row r="1209">
          <cell r="A1209" t="str">
            <v xml:space="preserve">Catalog </v>
          </cell>
          <cell r="B1209" t="str">
            <v>VYPRODÁNO</v>
          </cell>
          <cell r="C1209" t="str">
            <v/>
          </cell>
          <cell r="D1209">
            <v>0</v>
          </cell>
          <cell r="E1209" t="str">
            <v/>
          </cell>
        </row>
        <row r="1210">
          <cell r="A1210" t="str">
            <v>CD1</v>
          </cell>
          <cell r="B1210" t="str">
            <v>VYPRODÁNO</v>
          </cell>
          <cell r="C1210" t="str">
            <v/>
          </cell>
          <cell r="D1210">
            <v>0</v>
          </cell>
          <cell r="E1210" t="str">
            <v/>
          </cell>
        </row>
        <row r="1211">
          <cell r="A1211" t="str">
            <v>CDK1</v>
          </cell>
          <cell r="B1211" t="str">
            <v>SKLADEM</v>
          </cell>
          <cell r="C1211" t="str">
            <v/>
          </cell>
          <cell r="D1211">
            <v>0</v>
          </cell>
          <cell r="E1211" t="str">
            <v/>
          </cell>
        </row>
        <row r="1212">
          <cell r="A1212" t="str">
            <v>CDK1(1)</v>
          </cell>
          <cell r="B1212" t="str">
            <v>SKLADEM</v>
          </cell>
          <cell r="C1212" t="str">
            <v/>
          </cell>
          <cell r="D1212">
            <v>0</v>
          </cell>
          <cell r="E1212" t="str">
            <v/>
          </cell>
        </row>
        <row r="1213">
          <cell r="A1213" t="str">
            <v>CDLE1</v>
          </cell>
          <cell r="B1213" t="str">
            <v>SKLADEM</v>
          </cell>
          <cell r="C1213" t="str">
            <v/>
          </cell>
          <cell r="D1213">
            <v>0</v>
          </cell>
          <cell r="E1213" t="str">
            <v/>
          </cell>
        </row>
        <row r="1214">
          <cell r="A1214" t="str">
            <v>CF10020G</v>
          </cell>
          <cell r="B1214" t="str">
            <v>SKLADEM</v>
          </cell>
          <cell r="C1214" t="str">
            <v/>
          </cell>
          <cell r="D1214">
            <v>0</v>
          </cell>
          <cell r="E1214" t="str">
            <v/>
          </cell>
        </row>
        <row r="1215">
          <cell r="A1215" t="str">
            <v>CF10020G E</v>
          </cell>
          <cell r="B1215" t="str">
            <v>SKLADEM</v>
          </cell>
          <cell r="C1215" t="str">
            <v/>
          </cell>
          <cell r="D1215">
            <v>0</v>
          </cell>
          <cell r="E1215" t="str">
            <v/>
          </cell>
        </row>
        <row r="1216">
          <cell r="A1216" t="str">
            <v>CF10020P</v>
          </cell>
          <cell r="B1216" t="str">
            <v>SKLADEM</v>
          </cell>
          <cell r="C1216" t="str">
            <v/>
          </cell>
          <cell r="D1216">
            <v>0</v>
          </cell>
          <cell r="E1216" t="str">
            <v/>
          </cell>
        </row>
        <row r="1217">
          <cell r="A1217" t="str">
            <v>CF10020P E</v>
          </cell>
          <cell r="B1217" t="str">
            <v>VYPRODÁNO</v>
          </cell>
          <cell r="C1217" t="str">
            <v/>
          </cell>
          <cell r="D1217">
            <v>0</v>
          </cell>
          <cell r="E1217" t="str">
            <v/>
          </cell>
        </row>
        <row r="1218">
          <cell r="A1218" t="str">
            <v>CF1003E</v>
          </cell>
          <cell r="B1218" t="str">
            <v>VYPRODÁNO</v>
          </cell>
          <cell r="C1218" t="str">
            <v/>
          </cell>
          <cell r="D1218">
            <v>0</v>
          </cell>
          <cell r="E1218" t="str">
            <v/>
          </cell>
        </row>
        <row r="1219">
          <cell r="A1219" t="str">
            <v>CF1003L</v>
          </cell>
          <cell r="B1219" t="str">
            <v>VYPRODÁNO</v>
          </cell>
          <cell r="C1219" t="str">
            <v/>
          </cell>
          <cell r="D1219">
            <v>0</v>
          </cell>
          <cell r="E1219" t="str">
            <v/>
          </cell>
        </row>
        <row r="1220">
          <cell r="A1220" t="str">
            <v>CF1003P/C</v>
          </cell>
          <cell r="B1220" t="str">
            <v>SKLADEM</v>
          </cell>
          <cell r="C1220" t="str">
            <v/>
          </cell>
          <cell r="D1220">
            <v>0</v>
          </cell>
          <cell r="E1220" t="str">
            <v/>
          </cell>
        </row>
        <row r="1221">
          <cell r="A1221" t="str">
            <v>CF1003P/C(T)</v>
          </cell>
          <cell r="B1221" t="str">
            <v>SKLADEM</v>
          </cell>
          <cell r="C1221" t="str">
            <v/>
          </cell>
          <cell r="D1221">
            <v>0</v>
          </cell>
          <cell r="E1221" t="str">
            <v/>
          </cell>
        </row>
        <row r="1222">
          <cell r="A1222" t="str">
            <v>CF1003R</v>
          </cell>
          <cell r="B1222" t="str">
            <v>VYPRODÁNO</v>
          </cell>
          <cell r="C1222" t="str">
            <v/>
          </cell>
          <cell r="D1222">
            <v>0</v>
          </cell>
          <cell r="E1222" t="str">
            <v/>
          </cell>
        </row>
        <row r="1223">
          <cell r="A1223" t="str">
            <v>CF1003T</v>
          </cell>
          <cell r="B1223" t="str">
            <v>VYPRODÁNO</v>
          </cell>
          <cell r="C1223" t="str">
            <v/>
          </cell>
          <cell r="D1223">
            <v>0</v>
          </cell>
          <cell r="E1223" t="str">
            <v/>
          </cell>
        </row>
        <row r="1224">
          <cell r="A1224" t="str">
            <v>CF1003X1</v>
          </cell>
          <cell r="B1224" t="str">
            <v>VYPRODÁNO</v>
          </cell>
          <cell r="C1224" t="str">
            <v/>
          </cell>
          <cell r="D1224">
            <v>0</v>
          </cell>
          <cell r="E1224" t="str">
            <v/>
          </cell>
        </row>
        <row r="1225">
          <cell r="A1225" t="str">
            <v>CF1003X10</v>
          </cell>
          <cell r="B1225" t="str">
            <v>VYPRODÁNO</v>
          </cell>
          <cell r="C1225" t="str">
            <v/>
          </cell>
          <cell r="D1225">
            <v>0</v>
          </cell>
          <cell r="E1225" t="str">
            <v/>
          </cell>
        </row>
        <row r="1226">
          <cell r="A1226" t="str">
            <v>CF1003X11</v>
          </cell>
          <cell r="B1226" t="str">
            <v>VYPRODÁNO</v>
          </cell>
          <cell r="C1226" t="str">
            <v/>
          </cell>
          <cell r="D1226">
            <v>0</v>
          </cell>
          <cell r="E1226" t="str">
            <v/>
          </cell>
        </row>
        <row r="1227">
          <cell r="A1227" t="str">
            <v>CF1003X12</v>
          </cell>
          <cell r="B1227" t="str">
            <v>VYPRODÁNO</v>
          </cell>
          <cell r="C1227" t="str">
            <v/>
          </cell>
          <cell r="D1227">
            <v>0</v>
          </cell>
          <cell r="E1227" t="str">
            <v/>
          </cell>
        </row>
        <row r="1228">
          <cell r="A1228" t="str">
            <v>CF1003X13</v>
          </cell>
          <cell r="B1228" t="str">
            <v>VYPRODÁNO</v>
          </cell>
          <cell r="C1228" t="str">
            <v/>
          </cell>
          <cell r="D1228">
            <v>0</v>
          </cell>
          <cell r="E1228" t="str">
            <v/>
          </cell>
        </row>
        <row r="1229">
          <cell r="A1229" t="str">
            <v>CF1003X14</v>
          </cell>
          <cell r="B1229" t="str">
            <v>VYPRODÁNO</v>
          </cell>
          <cell r="C1229" t="str">
            <v/>
          </cell>
          <cell r="D1229">
            <v>0</v>
          </cell>
          <cell r="E1229" t="str">
            <v/>
          </cell>
        </row>
        <row r="1230">
          <cell r="A1230" t="str">
            <v>CF1003X15</v>
          </cell>
          <cell r="B1230" t="str">
            <v>VYPRODÁNO</v>
          </cell>
          <cell r="C1230" t="str">
            <v/>
          </cell>
          <cell r="D1230">
            <v>0</v>
          </cell>
          <cell r="E1230" t="str">
            <v/>
          </cell>
        </row>
        <row r="1231">
          <cell r="A1231" t="str">
            <v>CF1003X16</v>
          </cell>
          <cell r="B1231" t="str">
            <v>VYPRODÁNO</v>
          </cell>
          <cell r="C1231" t="str">
            <v/>
          </cell>
          <cell r="D1231">
            <v>0</v>
          </cell>
          <cell r="E1231" t="str">
            <v/>
          </cell>
        </row>
        <row r="1232">
          <cell r="A1232" t="str">
            <v>CF1003X17</v>
          </cell>
          <cell r="B1232" t="str">
            <v>VYPRODÁNO</v>
          </cell>
          <cell r="C1232" t="str">
            <v/>
          </cell>
          <cell r="D1232">
            <v>0</v>
          </cell>
          <cell r="E1232" t="str">
            <v/>
          </cell>
        </row>
        <row r="1233">
          <cell r="A1233" t="str">
            <v>CF1003X18</v>
          </cell>
          <cell r="B1233" t="str">
            <v>VYPRODÁNO</v>
          </cell>
          <cell r="C1233" t="str">
            <v/>
          </cell>
          <cell r="D1233">
            <v>0</v>
          </cell>
          <cell r="E1233" t="str">
            <v/>
          </cell>
        </row>
        <row r="1234">
          <cell r="A1234" t="str">
            <v>CF1003X19</v>
          </cell>
          <cell r="B1234" t="str">
            <v>VYPRODÁNO</v>
          </cell>
          <cell r="C1234" t="str">
            <v/>
          </cell>
          <cell r="D1234">
            <v>0</v>
          </cell>
          <cell r="E1234" t="str">
            <v/>
          </cell>
        </row>
        <row r="1235">
          <cell r="A1235" t="str">
            <v>CF1003X2</v>
          </cell>
          <cell r="B1235" t="str">
            <v>VYPRODÁNO</v>
          </cell>
          <cell r="C1235" t="str">
            <v/>
          </cell>
          <cell r="D1235">
            <v>0</v>
          </cell>
          <cell r="E1235" t="str">
            <v/>
          </cell>
        </row>
        <row r="1236">
          <cell r="A1236" t="str">
            <v>CF1003X20</v>
          </cell>
          <cell r="B1236" t="str">
            <v>VYPRODÁNO</v>
          </cell>
          <cell r="C1236" t="str">
            <v/>
          </cell>
          <cell r="D1236">
            <v>0</v>
          </cell>
          <cell r="E1236" t="str">
            <v/>
          </cell>
        </row>
        <row r="1237">
          <cell r="A1237" t="str">
            <v>CF1003X21</v>
          </cell>
          <cell r="B1237" t="str">
            <v>VYPRODÁNO</v>
          </cell>
          <cell r="C1237" t="str">
            <v/>
          </cell>
          <cell r="D1237">
            <v>0</v>
          </cell>
          <cell r="E1237" t="str">
            <v/>
          </cell>
        </row>
        <row r="1238">
          <cell r="A1238" t="str">
            <v>CF1003X22</v>
          </cell>
          <cell r="B1238" t="str">
            <v>VYPRODÁNO</v>
          </cell>
          <cell r="C1238" t="str">
            <v/>
          </cell>
          <cell r="D1238">
            <v>0</v>
          </cell>
          <cell r="E1238" t="str">
            <v/>
          </cell>
        </row>
        <row r="1239">
          <cell r="A1239" t="str">
            <v>CF1003X23</v>
          </cell>
          <cell r="B1239" t="str">
            <v>VYPRODÁNO</v>
          </cell>
          <cell r="C1239" t="str">
            <v/>
          </cell>
          <cell r="D1239">
            <v>0</v>
          </cell>
          <cell r="E1239" t="str">
            <v/>
          </cell>
        </row>
        <row r="1240">
          <cell r="A1240" t="str">
            <v>CF1003X24</v>
          </cell>
          <cell r="B1240" t="str">
            <v>VYPRODÁNO</v>
          </cell>
          <cell r="C1240" t="str">
            <v/>
          </cell>
          <cell r="D1240">
            <v>0</v>
          </cell>
          <cell r="E1240" t="str">
            <v/>
          </cell>
        </row>
        <row r="1241">
          <cell r="A1241" t="str">
            <v>CF1003X25</v>
          </cell>
          <cell r="B1241" t="str">
            <v>VYPRODÁNO</v>
          </cell>
          <cell r="C1241" t="str">
            <v/>
          </cell>
          <cell r="D1241">
            <v>0</v>
          </cell>
          <cell r="E1241" t="str">
            <v/>
          </cell>
        </row>
        <row r="1242">
          <cell r="A1242" t="str">
            <v>CF1003X26</v>
          </cell>
          <cell r="B1242" t="str">
            <v>VYPRODÁNO</v>
          </cell>
          <cell r="C1242" t="str">
            <v/>
          </cell>
          <cell r="D1242">
            <v>0</v>
          </cell>
          <cell r="E1242" t="str">
            <v/>
          </cell>
        </row>
        <row r="1243">
          <cell r="A1243" t="str">
            <v>CF1003X27</v>
          </cell>
          <cell r="B1243" t="str">
            <v>VYPRODÁNO</v>
          </cell>
          <cell r="C1243" t="str">
            <v/>
          </cell>
          <cell r="D1243">
            <v>0</v>
          </cell>
          <cell r="E1243" t="str">
            <v/>
          </cell>
        </row>
        <row r="1244">
          <cell r="A1244" t="str">
            <v>CF1003X28</v>
          </cell>
          <cell r="B1244" t="str">
            <v>VYPRODÁNO</v>
          </cell>
          <cell r="C1244" t="str">
            <v/>
          </cell>
          <cell r="D1244">
            <v>0</v>
          </cell>
          <cell r="E1244" t="str">
            <v/>
          </cell>
        </row>
        <row r="1245">
          <cell r="A1245" t="str">
            <v>CF1003X29</v>
          </cell>
          <cell r="B1245" t="str">
            <v>VYPRODÁNO</v>
          </cell>
          <cell r="C1245" t="str">
            <v/>
          </cell>
          <cell r="D1245">
            <v>0</v>
          </cell>
          <cell r="E1245" t="str">
            <v/>
          </cell>
        </row>
        <row r="1246">
          <cell r="A1246" t="str">
            <v>CF1003X3</v>
          </cell>
          <cell r="B1246" t="str">
            <v>VYPRODÁNO</v>
          </cell>
          <cell r="C1246" t="str">
            <v/>
          </cell>
          <cell r="D1246">
            <v>0</v>
          </cell>
          <cell r="E1246" t="str">
            <v/>
          </cell>
        </row>
        <row r="1247">
          <cell r="A1247" t="str">
            <v>CF1003X30</v>
          </cell>
          <cell r="B1247" t="str">
            <v>VYPRODÁNO</v>
          </cell>
          <cell r="C1247" t="str">
            <v/>
          </cell>
          <cell r="D1247">
            <v>0</v>
          </cell>
          <cell r="E1247" t="str">
            <v/>
          </cell>
        </row>
        <row r="1248">
          <cell r="A1248" t="str">
            <v>CF1003X31</v>
          </cell>
          <cell r="B1248" t="str">
            <v>VYPRODÁNO</v>
          </cell>
          <cell r="C1248" t="str">
            <v/>
          </cell>
          <cell r="D1248">
            <v>0</v>
          </cell>
          <cell r="E1248" t="str">
            <v/>
          </cell>
        </row>
        <row r="1249">
          <cell r="A1249" t="str">
            <v>CF1003X32</v>
          </cell>
          <cell r="B1249" t="str">
            <v>VYPRODÁNO</v>
          </cell>
          <cell r="C1249" t="str">
            <v/>
          </cell>
          <cell r="D1249">
            <v>0</v>
          </cell>
          <cell r="E1249" t="str">
            <v/>
          </cell>
        </row>
        <row r="1250">
          <cell r="A1250" t="str">
            <v>CF1003X4</v>
          </cell>
          <cell r="B1250" t="str">
            <v>VYPRODÁNO</v>
          </cell>
          <cell r="C1250" t="str">
            <v/>
          </cell>
          <cell r="D1250">
            <v>0</v>
          </cell>
          <cell r="E1250" t="str">
            <v/>
          </cell>
        </row>
        <row r="1251">
          <cell r="A1251" t="str">
            <v>CF1003X48</v>
          </cell>
          <cell r="B1251" t="str">
            <v>VYPRODÁNO</v>
          </cell>
          <cell r="C1251" t="str">
            <v/>
          </cell>
          <cell r="D1251">
            <v>0</v>
          </cell>
          <cell r="E1251" t="str">
            <v/>
          </cell>
        </row>
        <row r="1252">
          <cell r="A1252" t="str">
            <v>CF1003X5</v>
          </cell>
          <cell r="B1252" t="str">
            <v>VYPRODÁNO</v>
          </cell>
          <cell r="C1252" t="str">
            <v/>
          </cell>
          <cell r="D1252">
            <v>0</v>
          </cell>
          <cell r="E1252" t="str">
            <v/>
          </cell>
        </row>
        <row r="1253">
          <cell r="A1253" t="str">
            <v>CF1003X50</v>
          </cell>
          <cell r="B1253" t="str">
            <v>VYPRODÁNO</v>
          </cell>
          <cell r="C1253" t="str">
            <v/>
          </cell>
          <cell r="D1253">
            <v>0</v>
          </cell>
          <cell r="E1253" t="str">
            <v/>
          </cell>
        </row>
        <row r="1254">
          <cell r="A1254" t="str">
            <v>CF1003X51</v>
          </cell>
          <cell r="B1254" t="str">
            <v>VYPRODÁNO</v>
          </cell>
          <cell r="C1254" t="str">
            <v/>
          </cell>
          <cell r="D1254">
            <v>0</v>
          </cell>
          <cell r="E1254" t="str">
            <v/>
          </cell>
        </row>
        <row r="1255">
          <cell r="A1255" t="str">
            <v>CF1003X53</v>
          </cell>
          <cell r="B1255" t="str">
            <v>VYPRODÁNO</v>
          </cell>
          <cell r="C1255" t="str">
            <v/>
          </cell>
          <cell r="D1255">
            <v>0</v>
          </cell>
          <cell r="E1255" t="str">
            <v/>
          </cell>
        </row>
        <row r="1256">
          <cell r="A1256" t="str">
            <v>CF1003X54</v>
          </cell>
          <cell r="B1256" t="str">
            <v>VYPRODÁNO</v>
          </cell>
          <cell r="C1256" t="str">
            <v/>
          </cell>
          <cell r="D1256">
            <v>0</v>
          </cell>
          <cell r="E1256" t="str">
            <v/>
          </cell>
        </row>
        <row r="1257">
          <cell r="A1257" t="str">
            <v>CF1003X6</v>
          </cell>
          <cell r="B1257" t="str">
            <v>VYPRODÁNO</v>
          </cell>
          <cell r="C1257" t="str">
            <v/>
          </cell>
          <cell r="D1257">
            <v>0</v>
          </cell>
          <cell r="E1257" t="str">
            <v/>
          </cell>
        </row>
        <row r="1258">
          <cell r="A1258" t="str">
            <v>CF1003X7</v>
          </cell>
          <cell r="B1258" t="str">
            <v>VYPRODÁNO</v>
          </cell>
          <cell r="C1258" t="str">
            <v/>
          </cell>
          <cell r="D1258">
            <v>0</v>
          </cell>
          <cell r="E1258" t="str">
            <v/>
          </cell>
        </row>
        <row r="1259">
          <cell r="A1259" t="str">
            <v>CF1003X8</v>
          </cell>
          <cell r="B1259" t="str">
            <v>VYPRODÁNO</v>
          </cell>
          <cell r="C1259" t="str">
            <v/>
          </cell>
          <cell r="D1259">
            <v>0</v>
          </cell>
          <cell r="E1259" t="str">
            <v/>
          </cell>
        </row>
        <row r="1260">
          <cell r="A1260" t="str">
            <v>CF1003X9</v>
          </cell>
          <cell r="B1260" t="str">
            <v>VYPRODÁNO</v>
          </cell>
          <cell r="C1260" t="str">
            <v/>
          </cell>
          <cell r="D1260">
            <v>0</v>
          </cell>
          <cell r="E1260" t="str">
            <v/>
          </cell>
        </row>
        <row r="1261">
          <cell r="A1261" t="str">
            <v>CF1352X6</v>
          </cell>
          <cell r="B1261" t="str">
            <v>SKLADEM</v>
          </cell>
          <cell r="C1261" t="str">
            <v/>
          </cell>
          <cell r="D1261">
            <v>0</v>
          </cell>
          <cell r="E1261" t="str">
            <v/>
          </cell>
        </row>
        <row r="1262">
          <cell r="A1262" t="str">
            <v>CF1352X7</v>
          </cell>
          <cell r="B1262" t="str">
            <v>SKLADEM</v>
          </cell>
          <cell r="C1262" t="str">
            <v/>
          </cell>
          <cell r="D1262">
            <v>0</v>
          </cell>
          <cell r="E1262" t="str">
            <v/>
          </cell>
        </row>
        <row r="1263">
          <cell r="A1263" t="str">
            <v>CF1352X8</v>
          </cell>
          <cell r="B1263" t="str">
            <v>VYPRODÁNO</v>
          </cell>
          <cell r="C1263" t="str">
            <v/>
          </cell>
          <cell r="D1263">
            <v>0</v>
          </cell>
          <cell r="E1263" t="str">
            <v/>
          </cell>
        </row>
        <row r="1264">
          <cell r="A1264" t="str">
            <v>CF2525A</v>
          </cell>
          <cell r="B1264" t="str">
            <v>VYPRODÁNO</v>
          </cell>
          <cell r="C1264" t="str">
            <v/>
          </cell>
          <cell r="D1264">
            <v>0</v>
          </cell>
          <cell r="E1264" t="str">
            <v/>
          </cell>
        </row>
        <row r="1265">
          <cell r="A1265" t="str">
            <v>CF2525A E</v>
          </cell>
          <cell r="B1265" t="str">
            <v>VYPRODÁNO</v>
          </cell>
          <cell r="C1265" t="str">
            <v/>
          </cell>
          <cell r="D1265">
            <v>0</v>
          </cell>
          <cell r="E1265" t="str">
            <v/>
          </cell>
        </row>
        <row r="1266">
          <cell r="A1266" t="str">
            <v>CF2525A14</v>
          </cell>
          <cell r="B1266" t="str">
            <v>VYPRODÁNO</v>
          </cell>
          <cell r="C1266" t="str">
            <v/>
          </cell>
          <cell r="D1266">
            <v>0</v>
          </cell>
          <cell r="E1266" t="str">
            <v/>
          </cell>
        </row>
        <row r="1267">
          <cell r="A1267" t="str">
            <v>CF2525D</v>
          </cell>
          <cell r="B1267" t="str">
            <v>SKLADEM</v>
          </cell>
          <cell r="C1267" t="str">
            <v/>
          </cell>
          <cell r="D1267">
            <v>0</v>
          </cell>
          <cell r="E1267" t="str">
            <v/>
          </cell>
        </row>
        <row r="1268">
          <cell r="A1268" t="str">
            <v>CF2525D E</v>
          </cell>
          <cell r="B1268" t="str">
            <v>VYPRODÁNO</v>
          </cell>
          <cell r="C1268" t="str">
            <v/>
          </cell>
          <cell r="D1268">
            <v>0</v>
          </cell>
          <cell r="E1268" t="str">
            <v/>
          </cell>
        </row>
        <row r="1269">
          <cell r="A1269" t="str">
            <v>CF2525G</v>
          </cell>
          <cell r="B1269" t="str">
            <v>VYPRODÁNO</v>
          </cell>
          <cell r="C1269" t="str">
            <v/>
          </cell>
          <cell r="D1269">
            <v>0</v>
          </cell>
          <cell r="E1269" t="str">
            <v/>
          </cell>
        </row>
        <row r="1270">
          <cell r="A1270" t="str">
            <v>CF2525G14</v>
          </cell>
          <cell r="B1270" t="str">
            <v>VYPRODÁNO</v>
          </cell>
          <cell r="C1270" t="str">
            <v/>
          </cell>
          <cell r="D1270">
            <v>0</v>
          </cell>
          <cell r="E1270" t="str">
            <v/>
          </cell>
        </row>
        <row r="1271">
          <cell r="A1271" t="str">
            <v>CF2525G14 E</v>
          </cell>
          <cell r="B1271" t="str">
            <v>VYPRODÁNO</v>
          </cell>
          <cell r="C1271" t="str">
            <v/>
          </cell>
          <cell r="D1271">
            <v>0</v>
          </cell>
          <cell r="E1271" t="str">
            <v/>
          </cell>
        </row>
        <row r="1272">
          <cell r="A1272" t="str">
            <v>CF2525O</v>
          </cell>
          <cell r="B1272" t="str">
            <v>SKLADEM</v>
          </cell>
          <cell r="C1272" t="str">
            <v/>
          </cell>
          <cell r="D1272">
            <v>0</v>
          </cell>
          <cell r="E1272" t="str">
            <v/>
          </cell>
        </row>
        <row r="1273">
          <cell r="A1273" t="str">
            <v>CF2525O14</v>
          </cell>
          <cell r="B1273" t="str">
            <v>VYPRODÁNO</v>
          </cell>
          <cell r="C1273" t="str">
            <v/>
          </cell>
          <cell r="D1273">
            <v>0</v>
          </cell>
          <cell r="E1273" t="str">
            <v/>
          </cell>
        </row>
        <row r="1274">
          <cell r="A1274" t="str">
            <v>CF2525R</v>
          </cell>
          <cell r="B1274" t="str">
            <v>VYPRODÁNO</v>
          </cell>
          <cell r="C1274" t="str">
            <v/>
          </cell>
          <cell r="D1274">
            <v>0</v>
          </cell>
          <cell r="E1274" t="str">
            <v/>
          </cell>
        </row>
        <row r="1275">
          <cell r="A1275" t="str">
            <v>CF2525R14</v>
          </cell>
          <cell r="B1275" t="str">
            <v>VYPRODÁNO</v>
          </cell>
          <cell r="C1275" t="str">
            <v/>
          </cell>
          <cell r="D1275">
            <v>0</v>
          </cell>
          <cell r="E1275" t="str">
            <v/>
          </cell>
        </row>
        <row r="1276">
          <cell r="A1276" t="str">
            <v>CF2525S</v>
          </cell>
          <cell r="B1276" t="str">
            <v>SKLADEM</v>
          </cell>
          <cell r="C1276" t="str">
            <v/>
          </cell>
          <cell r="D1276">
            <v>0</v>
          </cell>
          <cell r="E1276" t="str">
            <v/>
          </cell>
        </row>
        <row r="1277">
          <cell r="A1277" t="str">
            <v>CF2525S14</v>
          </cell>
          <cell r="B1277" t="str">
            <v>VYPRODÁNO</v>
          </cell>
          <cell r="C1277" t="str">
            <v/>
          </cell>
          <cell r="D1277">
            <v>0</v>
          </cell>
          <cell r="E1277" t="str">
            <v/>
          </cell>
        </row>
        <row r="1278">
          <cell r="A1278" t="str">
            <v>CF2525XXA</v>
          </cell>
          <cell r="B1278" t="str">
            <v>VYPRODÁNO</v>
          </cell>
          <cell r="C1278" t="str">
            <v/>
          </cell>
          <cell r="D1278">
            <v>0</v>
          </cell>
          <cell r="E1278" t="str">
            <v/>
          </cell>
        </row>
        <row r="1279">
          <cell r="A1279" t="str">
            <v>CF2525XXA14</v>
          </cell>
          <cell r="B1279" t="str">
            <v>VYPRODÁNO</v>
          </cell>
          <cell r="C1279" t="str">
            <v/>
          </cell>
          <cell r="D1279">
            <v>0</v>
          </cell>
          <cell r="E1279" t="str">
            <v/>
          </cell>
        </row>
        <row r="1280">
          <cell r="A1280" t="str">
            <v>CF253C</v>
          </cell>
          <cell r="B1280" t="str">
            <v>VYPRODÁNO</v>
          </cell>
          <cell r="C1280" t="str">
            <v/>
          </cell>
          <cell r="D1280">
            <v>0</v>
          </cell>
          <cell r="E1280" t="str">
            <v/>
          </cell>
        </row>
        <row r="1281">
          <cell r="A1281" t="str">
            <v>CF253C14</v>
          </cell>
          <cell r="B1281" t="str">
            <v>VYPRODÁNO</v>
          </cell>
          <cell r="C1281" t="str">
            <v/>
          </cell>
          <cell r="D1281">
            <v>0</v>
          </cell>
          <cell r="E1281" t="str">
            <v/>
          </cell>
        </row>
        <row r="1282">
          <cell r="A1282" t="str">
            <v>CF253D</v>
          </cell>
          <cell r="B1282" t="str">
            <v>VYPRODÁNO</v>
          </cell>
          <cell r="C1282" t="str">
            <v/>
          </cell>
          <cell r="D1282">
            <v>0</v>
          </cell>
          <cell r="E1282" t="str">
            <v/>
          </cell>
        </row>
        <row r="1283">
          <cell r="A1283" t="str">
            <v>CF253D14</v>
          </cell>
          <cell r="B1283" t="str">
            <v>15.05.2024</v>
          </cell>
          <cell r="C1283">
            <v>84</v>
          </cell>
          <cell r="D1283">
            <v>0</v>
          </cell>
          <cell r="E1283" t="str">
            <v/>
          </cell>
        </row>
        <row r="1284">
          <cell r="A1284" t="str">
            <v>CF253K</v>
          </cell>
          <cell r="B1284" t="str">
            <v>VYPRODÁNO</v>
          </cell>
          <cell r="C1284" t="str">
            <v/>
          </cell>
          <cell r="D1284">
            <v>0</v>
          </cell>
          <cell r="E1284" t="str">
            <v/>
          </cell>
        </row>
        <row r="1285">
          <cell r="A1285" t="str">
            <v>CF253K E</v>
          </cell>
          <cell r="B1285" t="str">
            <v>VYPRODÁNO</v>
          </cell>
          <cell r="C1285" t="str">
            <v/>
          </cell>
          <cell r="D1285">
            <v>0</v>
          </cell>
          <cell r="E1285" t="str">
            <v/>
          </cell>
        </row>
        <row r="1286">
          <cell r="A1286" t="str">
            <v>CF253K14</v>
          </cell>
          <cell r="B1286" t="str">
            <v>15.05.2024</v>
          </cell>
          <cell r="C1286">
            <v>84</v>
          </cell>
          <cell r="D1286">
            <v>0</v>
          </cell>
          <cell r="E1286" t="str">
            <v/>
          </cell>
        </row>
        <row r="1287">
          <cell r="A1287" t="str">
            <v>CF253L</v>
          </cell>
          <cell r="B1287" t="str">
            <v>VYPRODÁNO</v>
          </cell>
          <cell r="C1287" t="str">
            <v/>
          </cell>
          <cell r="D1287">
            <v>0</v>
          </cell>
          <cell r="E1287" t="str">
            <v/>
          </cell>
        </row>
        <row r="1288">
          <cell r="A1288" t="str">
            <v>CF253L E</v>
          </cell>
          <cell r="B1288" t="str">
            <v>VYPRODÁNO</v>
          </cell>
          <cell r="C1288" t="str">
            <v/>
          </cell>
          <cell r="D1288">
            <v>0</v>
          </cell>
          <cell r="E1288" t="str">
            <v/>
          </cell>
        </row>
        <row r="1289">
          <cell r="A1289" t="str">
            <v>CF253L14</v>
          </cell>
          <cell r="B1289" t="str">
            <v>VYPRODÁNO</v>
          </cell>
          <cell r="C1289" t="str">
            <v/>
          </cell>
          <cell r="D1289">
            <v>0</v>
          </cell>
          <cell r="E1289" t="str">
            <v/>
          </cell>
        </row>
        <row r="1290">
          <cell r="A1290" t="str">
            <v>CF253R</v>
          </cell>
          <cell r="B1290" t="str">
            <v>VYPRODÁNO</v>
          </cell>
          <cell r="C1290" t="str">
            <v/>
          </cell>
          <cell r="D1290">
            <v>0</v>
          </cell>
          <cell r="E1290" t="str">
            <v/>
          </cell>
        </row>
        <row r="1291">
          <cell r="A1291" t="str">
            <v>CF253R E</v>
          </cell>
          <cell r="B1291" t="str">
            <v>VYPRODÁNO</v>
          </cell>
          <cell r="C1291" t="str">
            <v/>
          </cell>
          <cell r="D1291">
            <v>0</v>
          </cell>
          <cell r="E1291" t="str">
            <v/>
          </cell>
        </row>
        <row r="1292">
          <cell r="A1292" t="str">
            <v>CF253R14</v>
          </cell>
          <cell r="B1292" t="str">
            <v>15.05.2024</v>
          </cell>
          <cell r="C1292">
            <v>84</v>
          </cell>
          <cell r="D1292">
            <v>0</v>
          </cell>
          <cell r="E1292" t="str">
            <v/>
          </cell>
        </row>
        <row r="1293">
          <cell r="A1293" t="str">
            <v>CF253STA</v>
          </cell>
          <cell r="B1293" t="str">
            <v>VYPRODÁNO</v>
          </cell>
          <cell r="C1293" t="str">
            <v/>
          </cell>
          <cell r="D1293">
            <v>0</v>
          </cell>
          <cell r="E1293" t="str">
            <v/>
          </cell>
        </row>
        <row r="1294">
          <cell r="A1294" t="str">
            <v>CF253STB</v>
          </cell>
          <cell r="B1294" t="str">
            <v>VYPRODÁNO</v>
          </cell>
          <cell r="C1294" t="str">
            <v/>
          </cell>
          <cell r="D1294">
            <v>0</v>
          </cell>
          <cell r="E1294" t="str">
            <v/>
          </cell>
        </row>
        <row r="1295">
          <cell r="A1295" t="str">
            <v>CF253STC</v>
          </cell>
          <cell r="B1295" t="str">
            <v>VYPRODÁNO</v>
          </cell>
          <cell r="C1295" t="str">
            <v/>
          </cell>
          <cell r="D1295">
            <v>0</v>
          </cell>
          <cell r="E1295" t="str">
            <v/>
          </cell>
        </row>
        <row r="1296">
          <cell r="A1296" t="str">
            <v>CF253STD</v>
          </cell>
          <cell r="B1296" t="str">
            <v>VYPRODÁNO</v>
          </cell>
          <cell r="C1296" t="str">
            <v/>
          </cell>
          <cell r="D1296">
            <v>0</v>
          </cell>
          <cell r="E1296" t="str">
            <v/>
          </cell>
        </row>
        <row r="1297">
          <cell r="A1297" t="str">
            <v>CF253STE</v>
          </cell>
          <cell r="B1297" t="str">
            <v>VYPRODÁNO</v>
          </cell>
          <cell r="C1297" t="str">
            <v/>
          </cell>
          <cell r="D1297">
            <v>0</v>
          </cell>
          <cell r="E1297" t="str">
            <v/>
          </cell>
        </row>
        <row r="1298">
          <cell r="A1298" t="str">
            <v>CF253STF</v>
          </cell>
          <cell r="B1298" t="str">
            <v>VYPRODÁNO</v>
          </cell>
          <cell r="C1298" t="str">
            <v/>
          </cell>
          <cell r="D1298">
            <v>0</v>
          </cell>
          <cell r="E1298" t="str">
            <v/>
          </cell>
        </row>
        <row r="1299">
          <cell r="A1299" t="str">
            <v>CF253STG</v>
          </cell>
          <cell r="B1299" t="str">
            <v>VYPRODÁNO</v>
          </cell>
          <cell r="C1299" t="str">
            <v/>
          </cell>
          <cell r="D1299">
            <v>0</v>
          </cell>
          <cell r="E1299" t="str">
            <v/>
          </cell>
        </row>
        <row r="1300">
          <cell r="A1300" t="str">
            <v>CF253W</v>
          </cell>
          <cell r="B1300" t="str">
            <v>VYPRODÁNO</v>
          </cell>
          <cell r="C1300" t="str">
            <v/>
          </cell>
          <cell r="D1300">
            <v>0</v>
          </cell>
          <cell r="E1300" t="str">
            <v/>
          </cell>
        </row>
        <row r="1301">
          <cell r="A1301" t="str">
            <v>CF253W14</v>
          </cell>
          <cell r="B1301" t="str">
            <v>VYPRODÁNO</v>
          </cell>
          <cell r="C1301" t="str">
            <v/>
          </cell>
          <cell r="D1301">
            <v>0</v>
          </cell>
          <cell r="E1301" t="str">
            <v/>
          </cell>
        </row>
        <row r="1302">
          <cell r="A1302" t="str">
            <v>CF253XXA14</v>
          </cell>
          <cell r="B1302" t="str">
            <v>VYPRODÁNO</v>
          </cell>
          <cell r="C1302" t="str">
            <v/>
          </cell>
          <cell r="D1302">
            <v>0</v>
          </cell>
          <cell r="E1302" t="str">
            <v/>
          </cell>
        </row>
        <row r="1303">
          <cell r="A1303" t="str">
            <v>CF253XXB14</v>
          </cell>
          <cell r="B1303" t="str">
            <v>VYPRODÁNO</v>
          </cell>
          <cell r="C1303" t="str">
            <v/>
          </cell>
          <cell r="D1303">
            <v>0</v>
          </cell>
          <cell r="E1303" t="str">
            <v/>
          </cell>
        </row>
        <row r="1304">
          <cell r="A1304" t="str">
            <v>CF2702X6</v>
          </cell>
          <cell r="B1304" t="str">
            <v>VYPRODÁNO</v>
          </cell>
          <cell r="C1304" t="str">
            <v/>
          </cell>
          <cell r="D1304">
            <v>0</v>
          </cell>
          <cell r="E1304" t="str">
            <v/>
          </cell>
        </row>
        <row r="1305">
          <cell r="A1305" t="str">
            <v>CF2702X7</v>
          </cell>
          <cell r="B1305" t="str">
            <v>VYPRODÁNO</v>
          </cell>
          <cell r="C1305" t="str">
            <v/>
          </cell>
          <cell r="D1305">
            <v>0</v>
          </cell>
          <cell r="E1305" t="str">
            <v/>
          </cell>
        </row>
        <row r="1306">
          <cell r="A1306" t="str">
            <v>CF2702X8</v>
          </cell>
          <cell r="B1306" t="str">
            <v>VYPRODÁNO</v>
          </cell>
          <cell r="C1306" t="str">
            <v/>
          </cell>
          <cell r="D1306">
            <v>0</v>
          </cell>
          <cell r="E1306" t="str">
            <v/>
          </cell>
        </row>
        <row r="1307">
          <cell r="A1307" t="str">
            <v>CF3025XXA</v>
          </cell>
          <cell r="B1307" t="str">
            <v>VYPRODÁNO</v>
          </cell>
          <cell r="C1307" t="str">
            <v/>
          </cell>
          <cell r="D1307">
            <v>0</v>
          </cell>
          <cell r="E1307" t="str">
            <v/>
          </cell>
        </row>
        <row r="1308">
          <cell r="A1308" t="str">
            <v>CF3025XXA14</v>
          </cell>
          <cell r="B1308" t="str">
            <v>VYPRODÁNO</v>
          </cell>
          <cell r="C1308" t="str">
            <v/>
          </cell>
          <cell r="D1308">
            <v>0</v>
          </cell>
          <cell r="E1308" t="str">
            <v/>
          </cell>
        </row>
        <row r="1309">
          <cell r="A1309" t="str">
            <v>CF3025XXB</v>
          </cell>
          <cell r="B1309" t="str">
            <v>VYPRODÁNO</v>
          </cell>
          <cell r="C1309" t="str">
            <v/>
          </cell>
          <cell r="D1309">
            <v>0</v>
          </cell>
          <cell r="E1309" t="str">
            <v/>
          </cell>
        </row>
        <row r="1310">
          <cell r="A1310" t="str">
            <v>CF3025XXB14</v>
          </cell>
          <cell r="B1310" t="str">
            <v>VYPRODÁNO</v>
          </cell>
          <cell r="C1310" t="str">
            <v/>
          </cell>
          <cell r="D1310">
            <v>0</v>
          </cell>
          <cell r="E1310" t="str">
            <v/>
          </cell>
        </row>
        <row r="1311">
          <cell r="A1311" t="str">
            <v>CF363C</v>
          </cell>
          <cell r="B1311" t="str">
            <v>VYPRODÁNO</v>
          </cell>
          <cell r="C1311" t="str">
            <v/>
          </cell>
          <cell r="D1311">
            <v>0</v>
          </cell>
          <cell r="E1311" t="str">
            <v/>
          </cell>
        </row>
        <row r="1312">
          <cell r="A1312" t="str">
            <v>CF363H</v>
          </cell>
          <cell r="B1312" t="str">
            <v>VYPRODÁNO</v>
          </cell>
          <cell r="C1312" t="str">
            <v/>
          </cell>
          <cell r="D1312">
            <v>0</v>
          </cell>
          <cell r="E1312" t="str">
            <v/>
          </cell>
        </row>
        <row r="1313">
          <cell r="A1313" t="str">
            <v>CF363L</v>
          </cell>
          <cell r="B1313" t="str">
            <v>VYPRODÁNO</v>
          </cell>
          <cell r="C1313" t="str">
            <v/>
          </cell>
          <cell r="D1313">
            <v>0</v>
          </cell>
          <cell r="E1313" t="str">
            <v/>
          </cell>
        </row>
        <row r="1314">
          <cell r="A1314" t="str">
            <v>CF363L E</v>
          </cell>
          <cell r="B1314" t="str">
            <v>VYPRODÁNO</v>
          </cell>
          <cell r="C1314" t="str">
            <v/>
          </cell>
          <cell r="D1314">
            <v>0</v>
          </cell>
          <cell r="E1314" t="str">
            <v/>
          </cell>
        </row>
        <row r="1315">
          <cell r="A1315" t="str">
            <v>CF363S</v>
          </cell>
          <cell r="B1315" t="str">
            <v>20.06.2024</v>
          </cell>
          <cell r="C1315">
            <v>120</v>
          </cell>
          <cell r="D1315">
            <v>0</v>
          </cell>
          <cell r="E1315" t="str">
            <v/>
          </cell>
        </row>
        <row r="1316">
          <cell r="A1316" t="str">
            <v>CF363V</v>
          </cell>
          <cell r="B1316" t="str">
            <v>VYPRODÁNO</v>
          </cell>
          <cell r="C1316" t="str">
            <v/>
          </cell>
          <cell r="D1316">
            <v>0</v>
          </cell>
          <cell r="E1316" t="str">
            <v/>
          </cell>
        </row>
        <row r="1317">
          <cell r="A1317" t="str">
            <v>CF363V E</v>
          </cell>
          <cell r="B1317" t="str">
            <v>VYPRODÁNO</v>
          </cell>
          <cell r="C1317" t="str">
            <v/>
          </cell>
          <cell r="D1317">
            <v>0</v>
          </cell>
          <cell r="E1317" t="str">
            <v/>
          </cell>
        </row>
        <row r="1318">
          <cell r="A1318" t="str">
            <v>CF363V/P</v>
          </cell>
          <cell r="B1318" t="str">
            <v>VYPRODÁNO</v>
          </cell>
          <cell r="C1318" t="str">
            <v/>
          </cell>
          <cell r="D1318">
            <v>0</v>
          </cell>
          <cell r="E1318" t="str">
            <v/>
          </cell>
        </row>
        <row r="1319">
          <cell r="A1319" t="str">
            <v>CF4025P</v>
          </cell>
          <cell r="B1319" t="str">
            <v>VYPRODÁNO</v>
          </cell>
          <cell r="C1319" t="str">
            <v/>
          </cell>
          <cell r="D1319">
            <v>0</v>
          </cell>
          <cell r="E1319" t="str">
            <v/>
          </cell>
        </row>
        <row r="1320">
          <cell r="A1320" t="str">
            <v>CF4920A</v>
          </cell>
          <cell r="B1320" t="str">
            <v>SKLADEM</v>
          </cell>
          <cell r="C1320" t="str">
            <v/>
          </cell>
          <cell r="D1320">
            <v>0</v>
          </cell>
          <cell r="E1320" t="str">
            <v/>
          </cell>
        </row>
        <row r="1321">
          <cell r="A1321" t="str">
            <v>CF4920A E</v>
          </cell>
          <cell r="B1321" t="str">
            <v>VYPRODÁNO</v>
          </cell>
          <cell r="C1321" t="str">
            <v/>
          </cell>
          <cell r="D1321">
            <v>0</v>
          </cell>
          <cell r="E1321" t="str">
            <v/>
          </cell>
        </row>
        <row r="1322">
          <cell r="A1322" t="str">
            <v>CF4920A14</v>
          </cell>
          <cell r="B1322" t="str">
            <v>VYPRODÁNO</v>
          </cell>
          <cell r="C1322" t="str">
            <v/>
          </cell>
          <cell r="D1322">
            <v>0</v>
          </cell>
          <cell r="E1322" t="str">
            <v/>
          </cell>
        </row>
        <row r="1323">
          <cell r="A1323" t="str">
            <v>CF4920F</v>
          </cell>
          <cell r="B1323" t="str">
            <v>VYPRODÁNO</v>
          </cell>
          <cell r="C1323" t="str">
            <v/>
          </cell>
          <cell r="D1323">
            <v>0</v>
          </cell>
          <cell r="E1323" t="str">
            <v/>
          </cell>
        </row>
        <row r="1324">
          <cell r="A1324" t="str">
            <v>CF4920F E</v>
          </cell>
          <cell r="B1324" t="str">
            <v>VYPRODÁNO</v>
          </cell>
          <cell r="C1324" t="str">
            <v/>
          </cell>
          <cell r="D1324">
            <v>0</v>
          </cell>
          <cell r="E1324" t="str">
            <v/>
          </cell>
        </row>
        <row r="1325">
          <cell r="A1325" t="str">
            <v>CF4920G</v>
          </cell>
          <cell r="B1325" t="str">
            <v>SKLADEM</v>
          </cell>
          <cell r="C1325" t="str">
            <v/>
          </cell>
          <cell r="D1325">
            <v>0</v>
          </cell>
          <cell r="E1325" t="str">
            <v/>
          </cell>
        </row>
        <row r="1326">
          <cell r="A1326" t="str">
            <v>CF4920G E</v>
          </cell>
          <cell r="B1326" t="str">
            <v>VYPRODÁNO</v>
          </cell>
          <cell r="C1326" t="str">
            <v/>
          </cell>
          <cell r="D1326">
            <v>0</v>
          </cell>
          <cell r="E1326" t="str">
            <v/>
          </cell>
        </row>
        <row r="1327">
          <cell r="A1327" t="str">
            <v>CF4920G14</v>
          </cell>
          <cell r="B1327" t="str">
            <v>30.09.2024</v>
          </cell>
          <cell r="C1327">
            <v>222</v>
          </cell>
          <cell r="D1327">
            <v>0</v>
          </cell>
          <cell r="E1327" t="str">
            <v/>
          </cell>
        </row>
        <row r="1328">
          <cell r="A1328" t="str">
            <v>CF4920J</v>
          </cell>
          <cell r="B1328" t="str">
            <v>30.09.2024</v>
          </cell>
          <cell r="C1328">
            <v>222</v>
          </cell>
          <cell r="D1328">
            <v>0</v>
          </cell>
          <cell r="E1328" t="str">
            <v/>
          </cell>
        </row>
        <row r="1329">
          <cell r="A1329" t="str">
            <v>CF4920J E</v>
          </cell>
          <cell r="B1329" t="str">
            <v>VYPRODÁNO</v>
          </cell>
          <cell r="C1329" t="str">
            <v/>
          </cell>
          <cell r="D1329">
            <v>0</v>
          </cell>
          <cell r="E1329" t="str">
            <v/>
          </cell>
        </row>
        <row r="1330">
          <cell r="A1330" t="str">
            <v>CF4920J14</v>
          </cell>
          <cell r="B1330" t="str">
            <v>VYPRODÁNO</v>
          </cell>
          <cell r="C1330" t="str">
            <v/>
          </cell>
          <cell r="D1330">
            <v>0</v>
          </cell>
          <cell r="E1330" t="str">
            <v/>
          </cell>
        </row>
        <row r="1331">
          <cell r="A1331" t="str">
            <v>CF4920S</v>
          </cell>
          <cell r="B1331" t="str">
            <v>VYPRODÁNO</v>
          </cell>
          <cell r="C1331" t="str">
            <v/>
          </cell>
          <cell r="D1331">
            <v>0</v>
          </cell>
          <cell r="E1331" t="str">
            <v/>
          </cell>
        </row>
        <row r="1332">
          <cell r="A1332" t="str">
            <v>CF4920S E</v>
          </cell>
          <cell r="B1332" t="str">
            <v>VYPRODÁNO</v>
          </cell>
          <cell r="C1332" t="str">
            <v/>
          </cell>
          <cell r="D1332">
            <v>0</v>
          </cell>
          <cell r="E1332" t="str">
            <v/>
          </cell>
        </row>
        <row r="1333">
          <cell r="A1333" t="str">
            <v>CF4920V</v>
          </cell>
          <cell r="B1333" t="str">
            <v>VYPRODÁNO</v>
          </cell>
          <cell r="C1333" t="str">
            <v/>
          </cell>
          <cell r="D1333">
            <v>0</v>
          </cell>
          <cell r="E1333" t="str">
            <v/>
          </cell>
        </row>
        <row r="1334">
          <cell r="A1334" t="str">
            <v>CF4920V E</v>
          </cell>
          <cell r="B1334" t="str">
            <v>VYPRODÁNO</v>
          </cell>
          <cell r="C1334" t="str">
            <v/>
          </cell>
          <cell r="D1334">
            <v>0</v>
          </cell>
          <cell r="E1334" t="str">
            <v/>
          </cell>
        </row>
        <row r="1335">
          <cell r="A1335" t="str">
            <v>CF4920VIP</v>
          </cell>
          <cell r="B1335" t="str">
            <v>SKLADEM</v>
          </cell>
          <cell r="C1335" t="str">
            <v/>
          </cell>
          <cell r="D1335">
            <v>0</v>
          </cell>
          <cell r="E1335" t="str">
            <v/>
          </cell>
        </row>
        <row r="1336">
          <cell r="A1336" t="str">
            <v>CF4920VIP E</v>
          </cell>
          <cell r="B1336" t="str">
            <v>VYPRODÁNO</v>
          </cell>
          <cell r="C1336" t="str">
            <v/>
          </cell>
          <cell r="D1336">
            <v>0</v>
          </cell>
          <cell r="E1336" t="str">
            <v/>
          </cell>
        </row>
        <row r="1337">
          <cell r="A1337" t="str">
            <v>CF4920VIP14</v>
          </cell>
          <cell r="B1337" t="str">
            <v>VYPRODÁNO</v>
          </cell>
          <cell r="C1337" t="str">
            <v/>
          </cell>
          <cell r="D1337">
            <v>0</v>
          </cell>
          <cell r="E1337" t="str">
            <v/>
          </cell>
        </row>
        <row r="1338">
          <cell r="A1338" t="str">
            <v>CF4925B</v>
          </cell>
          <cell r="B1338" t="str">
            <v>SKLADEM</v>
          </cell>
          <cell r="C1338" t="str">
            <v/>
          </cell>
          <cell r="D1338">
            <v>0</v>
          </cell>
          <cell r="E1338" t="str">
            <v/>
          </cell>
        </row>
        <row r="1339">
          <cell r="A1339" t="str">
            <v>CF4925B E</v>
          </cell>
          <cell r="B1339" t="str">
            <v>VYPRODÁNO</v>
          </cell>
          <cell r="C1339" t="str">
            <v/>
          </cell>
          <cell r="D1339">
            <v>0</v>
          </cell>
          <cell r="E1339" t="str">
            <v/>
          </cell>
        </row>
        <row r="1340">
          <cell r="A1340" t="str">
            <v>CF4925B14</v>
          </cell>
          <cell r="B1340" t="str">
            <v>VYPRODÁNO</v>
          </cell>
          <cell r="C1340" t="str">
            <v/>
          </cell>
          <cell r="D1340">
            <v>0</v>
          </cell>
          <cell r="E1340" t="str">
            <v/>
          </cell>
        </row>
        <row r="1341">
          <cell r="A1341" t="str">
            <v>CF4925D</v>
          </cell>
          <cell r="B1341" t="str">
            <v>15.06.2024</v>
          </cell>
          <cell r="C1341">
            <v>115</v>
          </cell>
          <cell r="D1341">
            <v>0</v>
          </cell>
          <cell r="E1341" t="str">
            <v/>
          </cell>
        </row>
        <row r="1342">
          <cell r="A1342" t="str">
            <v>CF4925D E</v>
          </cell>
          <cell r="B1342" t="str">
            <v>VYPRODÁNO</v>
          </cell>
          <cell r="C1342" t="str">
            <v/>
          </cell>
          <cell r="D1342">
            <v>0</v>
          </cell>
          <cell r="E1342" t="str">
            <v/>
          </cell>
        </row>
        <row r="1343">
          <cell r="A1343" t="str">
            <v>CF4925S</v>
          </cell>
          <cell r="B1343" t="str">
            <v>SKLADEM</v>
          </cell>
          <cell r="C1343" t="str">
            <v/>
          </cell>
          <cell r="D1343">
            <v>0</v>
          </cell>
          <cell r="E1343" t="str">
            <v/>
          </cell>
        </row>
        <row r="1344">
          <cell r="A1344" t="str">
            <v>CF493D</v>
          </cell>
          <cell r="B1344" t="str">
            <v>VYPRODÁNO</v>
          </cell>
          <cell r="C1344" t="str">
            <v/>
          </cell>
          <cell r="D1344">
            <v>0</v>
          </cell>
          <cell r="E1344" t="str">
            <v/>
          </cell>
        </row>
        <row r="1345">
          <cell r="A1345" t="str">
            <v>CF493ME</v>
          </cell>
          <cell r="B1345" t="str">
            <v>SKLADEM</v>
          </cell>
          <cell r="C1345" t="str">
            <v/>
          </cell>
          <cell r="D1345">
            <v>0</v>
          </cell>
          <cell r="E1345" t="str">
            <v/>
          </cell>
        </row>
        <row r="1346">
          <cell r="A1346" t="str">
            <v>CF493ME E</v>
          </cell>
          <cell r="B1346" t="str">
            <v>SKLADEM</v>
          </cell>
          <cell r="C1346" t="str">
            <v/>
          </cell>
          <cell r="D1346">
            <v>0</v>
          </cell>
          <cell r="E1346" t="str">
            <v/>
          </cell>
        </row>
        <row r="1347">
          <cell r="A1347" t="str">
            <v>CF493MO</v>
          </cell>
          <cell r="B1347" t="str">
            <v>VYPRODÁNO</v>
          </cell>
          <cell r="C1347" t="str">
            <v/>
          </cell>
          <cell r="D1347">
            <v>0</v>
          </cell>
          <cell r="E1347" t="str">
            <v/>
          </cell>
        </row>
        <row r="1348">
          <cell r="A1348" t="str">
            <v>CF493MO E</v>
          </cell>
          <cell r="B1348" t="str">
            <v>VYPRODÁNO</v>
          </cell>
          <cell r="C1348" t="str">
            <v/>
          </cell>
          <cell r="D1348">
            <v>0</v>
          </cell>
          <cell r="E1348" t="str">
            <v/>
          </cell>
        </row>
        <row r="1349">
          <cell r="A1349" t="str">
            <v>CF493SA</v>
          </cell>
          <cell r="B1349" t="str">
            <v>DOCHÁZÍ</v>
          </cell>
          <cell r="C1349" t="str">
            <v/>
          </cell>
          <cell r="D1349">
            <v>0</v>
          </cell>
          <cell r="E1349">
            <v>4</v>
          </cell>
        </row>
        <row r="1350">
          <cell r="A1350" t="str">
            <v>CF493ST</v>
          </cell>
          <cell r="B1350" t="str">
            <v>SKLADEM</v>
          </cell>
          <cell r="C1350" t="str">
            <v/>
          </cell>
          <cell r="D1350">
            <v>0</v>
          </cell>
          <cell r="E1350" t="str">
            <v/>
          </cell>
        </row>
        <row r="1351">
          <cell r="A1351" t="str">
            <v>CF493STA</v>
          </cell>
          <cell r="B1351" t="str">
            <v>VYPRODÁNO</v>
          </cell>
          <cell r="C1351" t="str">
            <v/>
          </cell>
          <cell r="D1351">
            <v>0</v>
          </cell>
          <cell r="E1351" t="str">
            <v/>
          </cell>
        </row>
        <row r="1352">
          <cell r="A1352" t="str">
            <v>CF493STC</v>
          </cell>
          <cell r="B1352" t="str">
            <v>VYPRODÁNO</v>
          </cell>
          <cell r="C1352" t="str">
            <v/>
          </cell>
          <cell r="D1352">
            <v>0</v>
          </cell>
          <cell r="E1352" t="str">
            <v/>
          </cell>
        </row>
        <row r="1353">
          <cell r="A1353" t="str">
            <v>CF493STK</v>
          </cell>
          <cell r="B1353" t="str">
            <v>VYPRODÁNO</v>
          </cell>
          <cell r="C1353" t="str">
            <v/>
          </cell>
          <cell r="D1353">
            <v>0</v>
          </cell>
          <cell r="E1353" t="str">
            <v/>
          </cell>
        </row>
        <row r="1354">
          <cell r="A1354" t="str">
            <v>CF493STL</v>
          </cell>
          <cell r="B1354" t="str">
            <v>VYPRODÁNO</v>
          </cell>
          <cell r="C1354" t="str">
            <v/>
          </cell>
          <cell r="D1354">
            <v>0</v>
          </cell>
          <cell r="E1354" t="str">
            <v/>
          </cell>
        </row>
        <row r="1355">
          <cell r="A1355" t="str">
            <v>CF493STO</v>
          </cell>
          <cell r="B1355" t="str">
            <v>VYPRODÁNO</v>
          </cell>
          <cell r="C1355" t="str">
            <v/>
          </cell>
          <cell r="D1355">
            <v>0</v>
          </cell>
          <cell r="E1355" t="str">
            <v/>
          </cell>
        </row>
        <row r="1356">
          <cell r="A1356" t="str">
            <v>CF493V</v>
          </cell>
          <cell r="B1356" t="str">
            <v>VYPRODÁNO</v>
          </cell>
          <cell r="C1356" t="str">
            <v/>
          </cell>
          <cell r="D1356">
            <v>0</v>
          </cell>
          <cell r="E1356" t="str">
            <v/>
          </cell>
        </row>
        <row r="1357">
          <cell r="A1357" t="str">
            <v>CF493W</v>
          </cell>
          <cell r="B1357" t="str">
            <v>20.06.2024</v>
          </cell>
          <cell r="C1357">
            <v>120</v>
          </cell>
          <cell r="D1357">
            <v>0</v>
          </cell>
          <cell r="E1357" t="str">
            <v/>
          </cell>
        </row>
        <row r="1358">
          <cell r="A1358" t="str">
            <v>CF493Y</v>
          </cell>
          <cell r="B1358" t="str">
            <v>VYPRODÁNO</v>
          </cell>
          <cell r="C1358" t="str">
            <v/>
          </cell>
          <cell r="D1358">
            <v>0</v>
          </cell>
          <cell r="E1358" t="str">
            <v/>
          </cell>
        </row>
        <row r="1359">
          <cell r="A1359" t="str">
            <v>CF493Z</v>
          </cell>
          <cell r="B1359" t="str">
            <v>VYPRODÁNO</v>
          </cell>
          <cell r="C1359" t="str">
            <v/>
          </cell>
          <cell r="D1359">
            <v>0</v>
          </cell>
          <cell r="E1359" t="str">
            <v/>
          </cell>
        </row>
        <row r="1360">
          <cell r="A1360" t="str">
            <v>CF493Z/2</v>
          </cell>
          <cell r="B1360" t="str">
            <v>VYPRODÁNO</v>
          </cell>
          <cell r="C1360" t="str">
            <v/>
          </cell>
          <cell r="D1360">
            <v>0</v>
          </cell>
          <cell r="E1360" t="str">
            <v/>
          </cell>
        </row>
        <row r="1361">
          <cell r="A1361" t="str">
            <v>CF503X1</v>
          </cell>
          <cell r="B1361" t="str">
            <v>VYPRODÁNO</v>
          </cell>
          <cell r="C1361" t="str">
            <v/>
          </cell>
          <cell r="D1361">
            <v>0</v>
          </cell>
          <cell r="E1361" t="str">
            <v/>
          </cell>
        </row>
        <row r="1362">
          <cell r="A1362" t="str">
            <v>CF503X10</v>
          </cell>
          <cell r="B1362" t="str">
            <v>VYPRODÁNO</v>
          </cell>
          <cell r="C1362" t="str">
            <v/>
          </cell>
          <cell r="D1362">
            <v>0</v>
          </cell>
          <cell r="E1362" t="str">
            <v/>
          </cell>
        </row>
        <row r="1363">
          <cell r="A1363" t="str">
            <v>CF503X11</v>
          </cell>
          <cell r="B1363" t="str">
            <v>VYPRODÁNO</v>
          </cell>
          <cell r="C1363" t="str">
            <v/>
          </cell>
          <cell r="D1363">
            <v>0</v>
          </cell>
          <cell r="E1363" t="str">
            <v/>
          </cell>
        </row>
        <row r="1364">
          <cell r="A1364" t="str">
            <v>CF503X12</v>
          </cell>
          <cell r="B1364" t="str">
            <v>20.06.2024</v>
          </cell>
          <cell r="C1364">
            <v>120</v>
          </cell>
          <cell r="D1364">
            <v>0</v>
          </cell>
          <cell r="E1364" t="str">
            <v/>
          </cell>
        </row>
        <row r="1365">
          <cell r="A1365" t="str">
            <v>CF503X13</v>
          </cell>
          <cell r="B1365" t="str">
            <v>VYPRODÁNO</v>
          </cell>
          <cell r="C1365" t="str">
            <v/>
          </cell>
          <cell r="D1365">
            <v>0</v>
          </cell>
          <cell r="E1365" t="str">
            <v/>
          </cell>
        </row>
        <row r="1366">
          <cell r="A1366" t="str">
            <v>CF503X14</v>
          </cell>
          <cell r="B1366" t="str">
            <v>SKLADEM</v>
          </cell>
          <cell r="C1366" t="str">
            <v/>
          </cell>
          <cell r="D1366">
            <v>0</v>
          </cell>
          <cell r="E1366" t="str">
            <v/>
          </cell>
        </row>
        <row r="1367">
          <cell r="A1367" t="str">
            <v>CF503X15</v>
          </cell>
          <cell r="B1367" t="str">
            <v>SKLADEM</v>
          </cell>
          <cell r="C1367" t="str">
            <v/>
          </cell>
          <cell r="D1367">
            <v>0</v>
          </cell>
          <cell r="E1367" t="str">
            <v/>
          </cell>
        </row>
        <row r="1368">
          <cell r="A1368" t="str">
            <v>CF503X16</v>
          </cell>
          <cell r="B1368" t="str">
            <v>SKLADEM</v>
          </cell>
          <cell r="C1368" t="str">
            <v/>
          </cell>
          <cell r="D1368">
            <v>0</v>
          </cell>
          <cell r="E1368" t="str">
            <v/>
          </cell>
        </row>
        <row r="1369">
          <cell r="A1369" t="str">
            <v>CF503X17</v>
          </cell>
          <cell r="B1369" t="str">
            <v>SKLADEM</v>
          </cell>
          <cell r="C1369" t="str">
            <v/>
          </cell>
          <cell r="D1369">
            <v>0</v>
          </cell>
          <cell r="E1369" t="str">
            <v/>
          </cell>
        </row>
        <row r="1370">
          <cell r="A1370" t="str">
            <v>CF503X18</v>
          </cell>
          <cell r="B1370" t="str">
            <v>VYPRODÁNO</v>
          </cell>
          <cell r="C1370" t="str">
            <v/>
          </cell>
          <cell r="D1370">
            <v>0</v>
          </cell>
          <cell r="E1370" t="str">
            <v/>
          </cell>
        </row>
        <row r="1371">
          <cell r="A1371" t="str">
            <v>CF503X19</v>
          </cell>
          <cell r="B1371" t="str">
            <v>VYPRODÁNO</v>
          </cell>
          <cell r="C1371" t="str">
            <v/>
          </cell>
          <cell r="D1371">
            <v>0</v>
          </cell>
          <cell r="E1371" t="str">
            <v/>
          </cell>
        </row>
        <row r="1372">
          <cell r="A1372" t="str">
            <v>CF503X2</v>
          </cell>
          <cell r="B1372" t="str">
            <v>VYPRODÁNO</v>
          </cell>
          <cell r="C1372" t="str">
            <v/>
          </cell>
          <cell r="D1372">
            <v>0</v>
          </cell>
          <cell r="E1372" t="str">
            <v/>
          </cell>
        </row>
        <row r="1373">
          <cell r="A1373" t="str">
            <v>CF503X20</v>
          </cell>
          <cell r="B1373" t="str">
            <v>VYPRODÁNO</v>
          </cell>
          <cell r="C1373" t="str">
            <v/>
          </cell>
          <cell r="D1373">
            <v>0</v>
          </cell>
          <cell r="E1373" t="str">
            <v/>
          </cell>
        </row>
        <row r="1374">
          <cell r="A1374" t="str">
            <v>CF503X21</v>
          </cell>
          <cell r="B1374" t="str">
            <v>VYPRODÁNO</v>
          </cell>
          <cell r="C1374" t="str">
            <v/>
          </cell>
          <cell r="D1374">
            <v>0</v>
          </cell>
          <cell r="E1374" t="str">
            <v/>
          </cell>
        </row>
        <row r="1375">
          <cell r="A1375" t="str">
            <v>CF503X22</v>
          </cell>
          <cell r="B1375" t="str">
            <v>VYPRODÁNO</v>
          </cell>
          <cell r="C1375" t="str">
            <v/>
          </cell>
          <cell r="D1375">
            <v>0</v>
          </cell>
          <cell r="E1375" t="str">
            <v/>
          </cell>
        </row>
        <row r="1376">
          <cell r="A1376" t="str">
            <v>CF503X23</v>
          </cell>
          <cell r="B1376" t="str">
            <v>VYPRODÁNO</v>
          </cell>
          <cell r="C1376" t="str">
            <v/>
          </cell>
          <cell r="D1376">
            <v>0</v>
          </cell>
          <cell r="E1376" t="str">
            <v/>
          </cell>
        </row>
        <row r="1377">
          <cell r="A1377" t="str">
            <v>CF503X24</v>
          </cell>
          <cell r="B1377" t="str">
            <v>VYPRODÁNO</v>
          </cell>
          <cell r="C1377" t="str">
            <v/>
          </cell>
          <cell r="D1377">
            <v>0</v>
          </cell>
          <cell r="E1377" t="str">
            <v/>
          </cell>
        </row>
        <row r="1378">
          <cell r="A1378" t="str">
            <v>CF503X25</v>
          </cell>
          <cell r="B1378" t="str">
            <v>VYPRODÁNO</v>
          </cell>
          <cell r="C1378" t="str">
            <v/>
          </cell>
          <cell r="D1378">
            <v>0</v>
          </cell>
          <cell r="E1378" t="str">
            <v/>
          </cell>
        </row>
        <row r="1379">
          <cell r="A1379" t="str">
            <v>CF503X26</v>
          </cell>
          <cell r="B1379" t="str">
            <v>VYPRODÁNO</v>
          </cell>
          <cell r="C1379" t="str">
            <v/>
          </cell>
          <cell r="D1379">
            <v>0</v>
          </cell>
          <cell r="E1379" t="str">
            <v/>
          </cell>
        </row>
        <row r="1380">
          <cell r="A1380" t="str">
            <v>CF503X27</v>
          </cell>
          <cell r="B1380" t="str">
            <v>VYPRODÁNO</v>
          </cell>
          <cell r="C1380" t="str">
            <v/>
          </cell>
          <cell r="D1380">
            <v>0</v>
          </cell>
          <cell r="E1380" t="str">
            <v/>
          </cell>
        </row>
        <row r="1381">
          <cell r="A1381" t="str">
            <v>CF503X28</v>
          </cell>
          <cell r="B1381" t="str">
            <v>VYPRODÁNO</v>
          </cell>
          <cell r="C1381" t="str">
            <v/>
          </cell>
          <cell r="D1381">
            <v>0</v>
          </cell>
          <cell r="E1381" t="str">
            <v/>
          </cell>
        </row>
        <row r="1382">
          <cell r="A1382" t="str">
            <v>CF503X29</v>
          </cell>
          <cell r="B1382" t="str">
            <v>SKLADEM</v>
          </cell>
          <cell r="C1382" t="str">
            <v/>
          </cell>
          <cell r="D1382">
            <v>0</v>
          </cell>
          <cell r="E1382" t="str">
            <v/>
          </cell>
        </row>
        <row r="1383">
          <cell r="A1383" t="str">
            <v>CF503X3</v>
          </cell>
          <cell r="B1383" t="str">
            <v>SKLADEM</v>
          </cell>
          <cell r="C1383" t="str">
            <v/>
          </cell>
          <cell r="D1383">
            <v>0</v>
          </cell>
          <cell r="E1383" t="str">
            <v/>
          </cell>
        </row>
        <row r="1384">
          <cell r="A1384" t="str">
            <v>CF503X30</v>
          </cell>
          <cell r="B1384" t="str">
            <v>VYPRODÁNO</v>
          </cell>
          <cell r="C1384" t="str">
            <v/>
          </cell>
          <cell r="D1384">
            <v>0</v>
          </cell>
          <cell r="E1384" t="str">
            <v/>
          </cell>
        </row>
        <row r="1385">
          <cell r="A1385" t="str">
            <v>CF503X31</v>
          </cell>
          <cell r="B1385" t="str">
            <v>VYPRODÁNO</v>
          </cell>
          <cell r="C1385" t="str">
            <v/>
          </cell>
          <cell r="D1385">
            <v>0</v>
          </cell>
          <cell r="E1385" t="str">
            <v/>
          </cell>
        </row>
        <row r="1386">
          <cell r="A1386" t="str">
            <v>CF503X32</v>
          </cell>
          <cell r="B1386" t="str">
            <v>VYPRODÁNO</v>
          </cell>
          <cell r="C1386" t="str">
            <v/>
          </cell>
          <cell r="D1386">
            <v>0</v>
          </cell>
          <cell r="E1386" t="str">
            <v/>
          </cell>
        </row>
        <row r="1387">
          <cell r="A1387" t="str">
            <v>CF503X4</v>
          </cell>
          <cell r="B1387" t="str">
            <v>SKLADEM</v>
          </cell>
          <cell r="C1387" t="str">
            <v/>
          </cell>
          <cell r="D1387">
            <v>0</v>
          </cell>
          <cell r="E1387" t="str">
            <v/>
          </cell>
        </row>
        <row r="1388">
          <cell r="A1388" t="str">
            <v>CF503X48</v>
          </cell>
          <cell r="B1388" t="str">
            <v>20.06.2024</v>
          </cell>
          <cell r="C1388">
            <v>120</v>
          </cell>
          <cell r="D1388">
            <v>0</v>
          </cell>
          <cell r="E1388" t="str">
            <v/>
          </cell>
        </row>
        <row r="1389">
          <cell r="A1389" t="str">
            <v>CF503X5</v>
          </cell>
          <cell r="B1389" t="str">
            <v>SKLADEM</v>
          </cell>
          <cell r="C1389" t="str">
            <v/>
          </cell>
          <cell r="D1389">
            <v>0</v>
          </cell>
          <cell r="E1389" t="str">
            <v/>
          </cell>
        </row>
        <row r="1390">
          <cell r="A1390" t="str">
            <v>CF503X50</v>
          </cell>
          <cell r="B1390" t="str">
            <v>VYPRODÁNO</v>
          </cell>
          <cell r="C1390" t="str">
            <v/>
          </cell>
          <cell r="D1390">
            <v>0</v>
          </cell>
          <cell r="E1390" t="str">
            <v/>
          </cell>
        </row>
        <row r="1391">
          <cell r="A1391" t="str">
            <v>CF503X51</v>
          </cell>
          <cell r="B1391" t="str">
            <v>VYPRODÁNO</v>
          </cell>
          <cell r="C1391" t="str">
            <v/>
          </cell>
          <cell r="D1391">
            <v>0</v>
          </cell>
          <cell r="E1391" t="str">
            <v/>
          </cell>
        </row>
        <row r="1392">
          <cell r="A1392" t="str">
            <v>CF503X53</v>
          </cell>
          <cell r="B1392" t="str">
            <v>VYPRODÁNO</v>
          </cell>
          <cell r="C1392" t="str">
            <v/>
          </cell>
          <cell r="D1392">
            <v>0</v>
          </cell>
          <cell r="E1392" t="str">
            <v/>
          </cell>
        </row>
        <row r="1393">
          <cell r="A1393" t="str">
            <v>CF503X54</v>
          </cell>
          <cell r="B1393" t="str">
            <v>30.09.2024</v>
          </cell>
          <cell r="C1393">
            <v>222</v>
          </cell>
          <cell r="D1393">
            <v>0</v>
          </cell>
          <cell r="E1393" t="str">
            <v/>
          </cell>
        </row>
        <row r="1394">
          <cell r="A1394" t="str">
            <v>CF503X6</v>
          </cell>
          <cell r="B1394" t="str">
            <v>VYPRODÁNO</v>
          </cell>
          <cell r="C1394" t="str">
            <v/>
          </cell>
          <cell r="D1394">
            <v>0</v>
          </cell>
          <cell r="E1394" t="str">
            <v/>
          </cell>
        </row>
        <row r="1395">
          <cell r="A1395" t="str">
            <v>CF503X7</v>
          </cell>
          <cell r="B1395" t="str">
            <v>20.06.2024</v>
          </cell>
          <cell r="C1395">
            <v>120</v>
          </cell>
          <cell r="D1395">
            <v>0</v>
          </cell>
          <cell r="E1395" t="str">
            <v/>
          </cell>
        </row>
        <row r="1396">
          <cell r="A1396" t="str">
            <v>CF503X8</v>
          </cell>
          <cell r="B1396" t="str">
            <v>SKLADEM</v>
          </cell>
          <cell r="C1396" t="str">
            <v/>
          </cell>
          <cell r="D1396">
            <v>0</v>
          </cell>
          <cell r="E1396" t="str">
            <v/>
          </cell>
        </row>
        <row r="1397">
          <cell r="A1397" t="str">
            <v>CF503X9</v>
          </cell>
          <cell r="B1397" t="str">
            <v>VYPRODÁNO</v>
          </cell>
          <cell r="C1397" t="str">
            <v/>
          </cell>
          <cell r="D1397">
            <v>0</v>
          </cell>
          <cell r="E1397" t="str">
            <v/>
          </cell>
        </row>
        <row r="1398">
          <cell r="A1398" t="str">
            <v>CF643A</v>
          </cell>
          <cell r="B1398" t="str">
            <v>VYPRODÁNO</v>
          </cell>
          <cell r="C1398" t="str">
            <v/>
          </cell>
          <cell r="D1398">
            <v>0</v>
          </cell>
          <cell r="E1398" t="str">
            <v/>
          </cell>
        </row>
        <row r="1399">
          <cell r="A1399" t="str">
            <v>CF643B</v>
          </cell>
          <cell r="B1399" t="str">
            <v>VYPRODÁNO</v>
          </cell>
          <cell r="C1399" t="str">
            <v/>
          </cell>
          <cell r="D1399">
            <v>0</v>
          </cell>
          <cell r="E1399" t="str">
            <v/>
          </cell>
        </row>
        <row r="1400">
          <cell r="A1400" t="str">
            <v>CF643BP</v>
          </cell>
          <cell r="B1400" t="str">
            <v>VYPRODÁNO</v>
          </cell>
          <cell r="C1400" t="str">
            <v/>
          </cell>
          <cell r="D1400">
            <v>0</v>
          </cell>
          <cell r="E1400" t="str">
            <v/>
          </cell>
        </row>
        <row r="1401">
          <cell r="A1401" t="str">
            <v>CF643C</v>
          </cell>
          <cell r="B1401" t="str">
            <v>VYPRODÁNO</v>
          </cell>
          <cell r="C1401" t="str">
            <v/>
          </cell>
          <cell r="D1401">
            <v>0</v>
          </cell>
          <cell r="E1401" t="str">
            <v/>
          </cell>
        </row>
        <row r="1402">
          <cell r="A1402" t="str">
            <v>CF643G</v>
          </cell>
          <cell r="B1402" t="str">
            <v>VYPRODÁNO</v>
          </cell>
          <cell r="C1402" t="str">
            <v/>
          </cell>
          <cell r="D1402">
            <v>0</v>
          </cell>
          <cell r="E1402" t="str">
            <v/>
          </cell>
        </row>
        <row r="1403">
          <cell r="A1403" t="str">
            <v>CF643M</v>
          </cell>
          <cell r="B1403" t="str">
            <v>15.03.2024</v>
          </cell>
          <cell r="C1403">
            <v>23</v>
          </cell>
          <cell r="D1403">
            <v>98</v>
          </cell>
          <cell r="E1403" t="str">
            <v/>
          </cell>
        </row>
        <row r="1404">
          <cell r="A1404" t="str">
            <v>CF643M E</v>
          </cell>
          <cell r="B1404" t="str">
            <v>SKLADEM</v>
          </cell>
          <cell r="C1404" t="str">
            <v/>
          </cell>
          <cell r="D1404">
            <v>0</v>
          </cell>
          <cell r="E1404" t="str">
            <v/>
          </cell>
        </row>
        <row r="1405">
          <cell r="A1405" t="str">
            <v>CF643T</v>
          </cell>
          <cell r="B1405" t="str">
            <v>SKLADEM</v>
          </cell>
          <cell r="C1405" t="str">
            <v/>
          </cell>
          <cell r="D1405">
            <v>0</v>
          </cell>
          <cell r="E1405" t="str">
            <v/>
          </cell>
        </row>
        <row r="1406">
          <cell r="A1406" t="str">
            <v>CF643Z</v>
          </cell>
          <cell r="B1406" t="str">
            <v>VYPRODÁNO</v>
          </cell>
          <cell r="C1406" t="str">
            <v/>
          </cell>
          <cell r="D1406">
            <v>0</v>
          </cell>
          <cell r="E1406" t="str">
            <v/>
          </cell>
        </row>
        <row r="1407">
          <cell r="A1407" t="str">
            <v>CF9825BR/C</v>
          </cell>
          <cell r="B1407" t="str">
            <v>VYPRODÁNO</v>
          </cell>
          <cell r="C1407" t="str">
            <v/>
          </cell>
          <cell r="D1407">
            <v>0</v>
          </cell>
          <cell r="E1407" t="str">
            <v/>
          </cell>
        </row>
        <row r="1408">
          <cell r="A1408" t="str">
            <v>CF9825DU/C</v>
          </cell>
          <cell r="B1408" t="str">
            <v>VYPRODÁNO</v>
          </cell>
          <cell r="C1408" t="str">
            <v/>
          </cell>
          <cell r="D1408">
            <v>0</v>
          </cell>
          <cell r="E1408" t="str">
            <v/>
          </cell>
        </row>
        <row r="1409">
          <cell r="A1409" t="str">
            <v>CKF2535S</v>
          </cell>
          <cell r="B1409" t="str">
            <v>VYPRODÁNO</v>
          </cell>
          <cell r="C1409" t="str">
            <v/>
          </cell>
          <cell r="D1409">
            <v>0</v>
          </cell>
          <cell r="E1409" t="str">
            <v/>
          </cell>
        </row>
        <row r="1410">
          <cell r="A1410" t="str">
            <v>CM9825DU/C</v>
          </cell>
          <cell r="B1410" t="str">
            <v>VYPRODÁNO</v>
          </cell>
          <cell r="C1410" t="str">
            <v/>
          </cell>
          <cell r="D1410">
            <v>0</v>
          </cell>
          <cell r="E1410" t="str">
            <v/>
          </cell>
        </row>
        <row r="1411">
          <cell r="A1411" t="str">
            <v>CM9825DU/C E</v>
          </cell>
          <cell r="B1411" t="str">
            <v>VYPRODÁNO</v>
          </cell>
          <cell r="C1411" t="str">
            <v/>
          </cell>
          <cell r="D1411">
            <v>0</v>
          </cell>
          <cell r="E1411" t="str">
            <v/>
          </cell>
        </row>
        <row r="1412">
          <cell r="A1412" t="str">
            <v>CON40F</v>
          </cell>
          <cell r="B1412" t="str">
            <v>SKLADEM</v>
          </cell>
          <cell r="C1412" t="str">
            <v/>
          </cell>
          <cell r="D1412">
            <v>0</v>
          </cell>
          <cell r="E1412" t="str">
            <v/>
          </cell>
        </row>
        <row r="1413">
          <cell r="A1413" t="str">
            <v>CON40P</v>
          </cell>
          <cell r="B1413" t="str">
            <v>VYPRODÁNO</v>
          </cell>
          <cell r="C1413" t="str">
            <v/>
          </cell>
          <cell r="D1413">
            <v>0</v>
          </cell>
          <cell r="E1413" t="str">
            <v/>
          </cell>
        </row>
        <row r="1414">
          <cell r="A1414" t="str">
            <v>CON40S</v>
          </cell>
          <cell r="B1414" t="str">
            <v>SKLADEM</v>
          </cell>
          <cell r="C1414" t="str">
            <v/>
          </cell>
          <cell r="D1414">
            <v>0</v>
          </cell>
          <cell r="E1414" t="str">
            <v/>
          </cell>
        </row>
        <row r="1415">
          <cell r="A1415" t="str">
            <v>CON80F</v>
          </cell>
          <cell r="B1415" t="str">
            <v>VYPRODÁNO</v>
          </cell>
          <cell r="C1415" t="str">
            <v/>
          </cell>
          <cell r="D1415">
            <v>0</v>
          </cell>
          <cell r="E1415" t="str">
            <v/>
          </cell>
        </row>
        <row r="1416">
          <cell r="A1416" t="str">
            <v>CON80P</v>
          </cell>
          <cell r="B1416" t="str">
            <v>SKLADEM</v>
          </cell>
          <cell r="C1416" t="str">
            <v/>
          </cell>
          <cell r="D1416">
            <v>0</v>
          </cell>
          <cell r="E1416" t="str">
            <v/>
          </cell>
        </row>
        <row r="1417">
          <cell r="A1417" t="str">
            <v>CON80P (G)</v>
          </cell>
          <cell r="B1417" t="str">
            <v>VYPRODÁNO</v>
          </cell>
          <cell r="C1417" t="str">
            <v/>
          </cell>
          <cell r="D1417">
            <v>0</v>
          </cell>
          <cell r="E1417" t="str">
            <v/>
          </cell>
        </row>
        <row r="1418">
          <cell r="A1418" t="str">
            <v>CON80S</v>
          </cell>
          <cell r="B1418" t="str">
            <v>VYPRODÁNO</v>
          </cell>
          <cell r="C1418" t="str">
            <v/>
          </cell>
          <cell r="D1418">
            <v>0</v>
          </cell>
          <cell r="E1418" t="str">
            <v/>
          </cell>
        </row>
        <row r="1419">
          <cell r="A1419" t="str">
            <v>CP5DU14(G)</v>
          </cell>
          <cell r="B1419" t="str">
            <v>SKLADEM</v>
          </cell>
          <cell r="C1419" t="str">
            <v/>
          </cell>
          <cell r="D1419">
            <v>0</v>
          </cell>
          <cell r="E1419" t="str">
            <v/>
          </cell>
        </row>
        <row r="1420">
          <cell r="A1420" t="str">
            <v>CP5DU14(G)1</v>
          </cell>
          <cell r="B1420" t="str">
            <v>SKLADEM</v>
          </cell>
          <cell r="C1420" t="str">
            <v/>
          </cell>
          <cell r="D1420">
            <v>0</v>
          </cell>
          <cell r="E1420" t="str">
            <v/>
          </cell>
        </row>
        <row r="1421">
          <cell r="A1421" t="str">
            <v>CP5DU14(R)</v>
          </cell>
          <cell r="B1421" t="str">
            <v>SKLADEM</v>
          </cell>
          <cell r="C1421" t="str">
            <v/>
          </cell>
          <cell r="D1421">
            <v>0</v>
          </cell>
          <cell r="E1421" t="str">
            <v/>
          </cell>
        </row>
        <row r="1422">
          <cell r="A1422" t="str">
            <v>CP5DU14(R)1</v>
          </cell>
          <cell r="B1422" t="str">
            <v>SKLADEM</v>
          </cell>
          <cell r="C1422" t="str">
            <v/>
          </cell>
          <cell r="D1422">
            <v>0</v>
          </cell>
          <cell r="E1422" t="str">
            <v/>
          </cell>
        </row>
        <row r="1423">
          <cell r="A1423" t="str">
            <v>CS1003X10</v>
          </cell>
          <cell r="B1423" t="str">
            <v>VYPRODÁNO</v>
          </cell>
          <cell r="C1423" t="str">
            <v/>
          </cell>
          <cell r="D1423">
            <v>0</v>
          </cell>
          <cell r="E1423" t="str">
            <v/>
          </cell>
        </row>
        <row r="1424">
          <cell r="A1424" t="str">
            <v>CS1003X11</v>
          </cell>
          <cell r="B1424" t="str">
            <v>VYPRODÁNO</v>
          </cell>
          <cell r="C1424" t="str">
            <v/>
          </cell>
          <cell r="D1424">
            <v>0</v>
          </cell>
          <cell r="E1424" t="str">
            <v/>
          </cell>
        </row>
        <row r="1425">
          <cell r="A1425" t="str">
            <v>CS1003X12</v>
          </cell>
          <cell r="B1425" t="str">
            <v>VYPRODÁNO</v>
          </cell>
          <cell r="C1425" t="str">
            <v/>
          </cell>
          <cell r="D1425">
            <v>0</v>
          </cell>
          <cell r="E1425" t="str">
            <v/>
          </cell>
        </row>
        <row r="1426">
          <cell r="A1426" t="str">
            <v>CS1003X13</v>
          </cell>
          <cell r="B1426" t="str">
            <v>VYPRODÁNO</v>
          </cell>
          <cell r="C1426" t="str">
            <v/>
          </cell>
          <cell r="D1426">
            <v>0</v>
          </cell>
          <cell r="E1426" t="str">
            <v/>
          </cell>
        </row>
        <row r="1427">
          <cell r="A1427" t="str">
            <v>CS1003X14</v>
          </cell>
          <cell r="B1427" t="str">
            <v>VYPRODÁNO</v>
          </cell>
          <cell r="C1427" t="str">
            <v/>
          </cell>
          <cell r="D1427">
            <v>0</v>
          </cell>
          <cell r="E1427" t="str">
            <v/>
          </cell>
        </row>
        <row r="1428">
          <cell r="A1428" t="str">
            <v>CS1003X15</v>
          </cell>
          <cell r="B1428" t="str">
            <v>VYPRODÁNO</v>
          </cell>
          <cell r="C1428" t="str">
            <v/>
          </cell>
          <cell r="D1428">
            <v>0</v>
          </cell>
          <cell r="E1428" t="str">
            <v/>
          </cell>
        </row>
        <row r="1429">
          <cell r="A1429" t="str">
            <v>CS1003X16</v>
          </cell>
          <cell r="B1429" t="str">
            <v>VYPRODÁNO</v>
          </cell>
          <cell r="C1429" t="str">
            <v/>
          </cell>
          <cell r="D1429">
            <v>0</v>
          </cell>
          <cell r="E1429" t="str">
            <v/>
          </cell>
        </row>
        <row r="1430">
          <cell r="A1430" t="str">
            <v>CS1003X17</v>
          </cell>
          <cell r="B1430" t="str">
            <v>VYPRODÁNO</v>
          </cell>
          <cell r="C1430" t="str">
            <v/>
          </cell>
          <cell r="D1430">
            <v>0</v>
          </cell>
          <cell r="E1430" t="str">
            <v/>
          </cell>
        </row>
        <row r="1431">
          <cell r="A1431" t="str">
            <v>CS1003X18</v>
          </cell>
          <cell r="B1431" t="str">
            <v>VYPRODÁNO</v>
          </cell>
          <cell r="C1431" t="str">
            <v/>
          </cell>
          <cell r="D1431">
            <v>0</v>
          </cell>
          <cell r="E1431" t="str">
            <v/>
          </cell>
        </row>
        <row r="1432">
          <cell r="A1432" t="str">
            <v>CS1003X19</v>
          </cell>
          <cell r="B1432" t="str">
            <v>VYPRODÁNO</v>
          </cell>
          <cell r="C1432" t="str">
            <v/>
          </cell>
          <cell r="D1432">
            <v>0</v>
          </cell>
          <cell r="E1432" t="str">
            <v/>
          </cell>
        </row>
        <row r="1433">
          <cell r="A1433" t="str">
            <v>CS1003X20</v>
          </cell>
          <cell r="B1433" t="str">
            <v>VYPRODÁNO</v>
          </cell>
          <cell r="C1433" t="str">
            <v/>
          </cell>
          <cell r="D1433">
            <v>0</v>
          </cell>
          <cell r="E1433" t="str">
            <v/>
          </cell>
        </row>
        <row r="1434">
          <cell r="A1434" t="str">
            <v>CS1003X21</v>
          </cell>
          <cell r="B1434" t="str">
            <v>VYPRODÁNO</v>
          </cell>
          <cell r="C1434" t="str">
            <v/>
          </cell>
          <cell r="D1434">
            <v>0</v>
          </cell>
          <cell r="E1434" t="str">
            <v/>
          </cell>
        </row>
        <row r="1435">
          <cell r="A1435" t="str">
            <v>CS1003X22</v>
          </cell>
          <cell r="B1435" t="str">
            <v>VYPRODÁNO</v>
          </cell>
          <cell r="C1435" t="str">
            <v/>
          </cell>
          <cell r="D1435">
            <v>0</v>
          </cell>
          <cell r="E1435" t="str">
            <v/>
          </cell>
        </row>
        <row r="1436">
          <cell r="A1436" t="str">
            <v>CS1003X23</v>
          </cell>
          <cell r="B1436" t="str">
            <v>VYPRODÁNO</v>
          </cell>
          <cell r="C1436" t="str">
            <v/>
          </cell>
          <cell r="D1436">
            <v>0</v>
          </cell>
          <cell r="E1436" t="str">
            <v/>
          </cell>
        </row>
        <row r="1437">
          <cell r="A1437" t="str">
            <v>CS1003X24</v>
          </cell>
          <cell r="B1437" t="str">
            <v>VYPRODÁNO</v>
          </cell>
          <cell r="C1437" t="str">
            <v/>
          </cell>
          <cell r="D1437">
            <v>0</v>
          </cell>
          <cell r="E1437" t="str">
            <v/>
          </cell>
        </row>
        <row r="1438">
          <cell r="A1438" t="str">
            <v>CS1003X25</v>
          </cell>
          <cell r="B1438" t="str">
            <v>VYPRODÁNO</v>
          </cell>
          <cell r="C1438" t="str">
            <v/>
          </cell>
          <cell r="D1438">
            <v>0</v>
          </cell>
          <cell r="E1438" t="str">
            <v/>
          </cell>
        </row>
        <row r="1439">
          <cell r="A1439" t="str">
            <v>CS1003X26</v>
          </cell>
          <cell r="B1439" t="str">
            <v>VYPRODÁNO</v>
          </cell>
          <cell r="C1439" t="str">
            <v/>
          </cell>
          <cell r="D1439">
            <v>0</v>
          </cell>
          <cell r="E1439" t="str">
            <v/>
          </cell>
        </row>
        <row r="1440">
          <cell r="A1440" t="str">
            <v>CS1003X27</v>
          </cell>
          <cell r="B1440" t="str">
            <v>VYPRODÁNO</v>
          </cell>
          <cell r="C1440" t="str">
            <v/>
          </cell>
          <cell r="D1440">
            <v>0</v>
          </cell>
          <cell r="E1440" t="str">
            <v/>
          </cell>
        </row>
        <row r="1441">
          <cell r="A1441" t="str">
            <v>CS1003X28</v>
          </cell>
          <cell r="B1441" t="str">
            <v>VYPRODÁNO</v>
          </cell>
          <cell r="C1441" t="str">
            <v/>
          </cell>
          <cell r="D1441">
            <v>0</v>
          </cell>
          <cell r="E1441" t="str">
            <v/>
          </cell>
        </row>
        <row r="1442">
          <cell r="A1442" t="str">
            <v>CS1003X29</v>
          </cell>
          <cell r="B1442" t="str">
            <v>VYPRODÁNO</v>
          </cell>
          <cell r="C1442" t="str">
            <v/>
          </cell>
          <cell r="D1442">
            <v>0</v>
          </cell>
          <cell r="E1442" t="str">
            <v/>
          </cell>
        </row>
        <row r="1443">
          <cell r="A1443" t="str">
            <v>CS1003X31</v>
          </cell>
          <cell r="B1443" t="str">
            <v>VYPRODÁNO</v>
          </cell>
          <cell r="C1443" t="str">
            <v/>
          </cell>
          <cell r="D1443">
            <v>0</v>
          </cell>
          <cell r="E1443" t="str">
            <v/>
          </cell>
        </row>
        <row r="1444">
          <cell r="A1444" t="str">
            <v>CS1003X32</v>
          </cell>
          <cell r="B1444" t="str">
            <v>VYPRODÁNO</v>
          </cell>
          <cell r="C1444" t="str">
            <v/>
          </cell>
          <cell r="D1444">
            <v>0</v>
          </cell>
          <cell r="E1444" t="str">
            <v/>
          </cell>
        </row>
        <row r="1445">
          <cell r="A1445" t="str">
            <v>CS1003X33</v>
          </cell>
          <cell r="B1445" t="str">
            <v>VYPRODÁNO</v>
          </cell>
          <cell r="C1445" t="str">
            <v/>
          </cell>
          <cell r="D1445">
            <v>0</v>
          </cell>
          <cell r="E1445" t="str">
            <v/>
          </cell>
        </row>
        <row r="1446">
          <cell r="A1446" t="str">
            <v>CS1003X34</v>
          </cell>
          <cell r="B1446" t="str">
            <v>VYPRODÁNO</v>
          </cell>
          <cell r="C1446" t="str">
            <v/>
          </cell>
          <cell r="D1446">
            <v>0</v>
          </cell>
          <cell r="E1446" t="str">
            <v/>
          </cell>
        </row>
        <row r="1447">
          <cell r="A1447" t="str">
            <v>CS1003X35</v>
          </cell>
          <cell r="B1447" t="str">
            <v>VYPRODÁNO</v>
          </cell>
          <cell r="C1447" t="str">
            <v/>
          </cell>
          <cell r="D1447">
            <v>0</v>
          </cell>
          <cell r="E1447" t="str">
            <v/>
          </cell>
        </row>
        <row r="1448">
          <cell r="A1448" t="str">
            <v>CS1003X36</v>
          </cell>
          <cell r="B1448" t="str">
            <v>VYPRODÁNO</v>
          </cell>
          <cell r="C1448" t="str">
            <v/>
          </cell>
          <cell r="D1448">
            <v>0</v>
          </cell>
          <cell r="E1448" t="str">
            <v/>
          </cell>
        </row>
        <row r="1449">
          <cell r="A1449" t="str">
            <v>CS1003X37</v>
          </cell>
          <cell r="B1449" t="str">
            <v>VYPRODÁNO</v>
          </cell>
          <cell r="C1449" t="str">
            <v/>
          </cell>
          <cell r="D1449">
            <v>0</v>
          </cell>
          <cell r="E1449" t="str">
            <v/>
          </cell>
        </row>
        <row r="1450">
          <cell r="A1450" t="str">
            <v>CS1003X38</v>
          </cell>
          <cell r="B1450" t="str">
            <v>VYPRODÁNO</v>
          </cell>
          <cell r="C1450" t="str">
            <v/>
          </cell>
          <cell r="D1450">
            <v>0</v>
          </cell>
          <cell r="E1450" t="str">
            <v/>
          </cell>
        </row>
        <row r="1451">
          <cell r="A1451" t="str">
            <v>CS1003X52</v>
          </cell>
          <cell r="B1451" t="str">
            <v>VYPRODÁNO</v>
          </cell>
          <cell r="C1451" t="str">
            <v/>
          </cell>
          <cell r="D1451">
            <v>0</v>
          </cell>
          <cell r="E1451" t="str">
            <v/>
          </cell>
        </row>
        <row r="1452">
          <cell r="A1452" t="str">
            <v>CS1003X55</v>
          </cell>
          <cell r="B1452" t="str">
            <v>VYPRODÁNO</v>
          </cell>
          <cell r="C1452" t="str">
            <v/>
          </cell>
          <cell r="D1452">
            <v>0</v>
          </cell>
          <cell r="E1452" t="str">
            <v/>
          </cell>
        </row>
        <row r="1453">
          <cell r="A1453" t="str">
            <v>CS1003X8</v>
          </cell>
          <cell r="B1453" t="str">
            <v>VYPRODÁNO</v>
          </cell>
          <cell r="C1453" t="str">
            <v/>
          </cell>
          <cell r="D1453">
            <v>0</v>
          </cell>
          <cell r="E1453" t="str">
            <v/>
          </cell>
        </row>
        <row r="1454">
          <cell r="A1454" t="str">
            <v>CS1003X9</v>
          </cell>
          <cell r="B1454" t="str">
            <v>VYPRODÁNO</v>
          </cell>
          <cell r="C1454" t="str">
            <v/>
          </cell>
          <cell r="D1454">
            <v>0</v>
          </cell>
          <cell r="E1454" t="str">
            <v/>
          </cell>
        </row>
        <row r="1455">
          <cell r="A1455" t="str">
            <v>CS1352X10</v>
          </cell>
          <cell r="B1455" t="str">
            <v>15.06.2024</v>
          </cell>
          <cell r="C1455">
            <v>115</v>
          </cell>
          <cell r="D1455">
            <v>0</v>
          </cell>
          <cell r="E1455" t="str">
            <v/>
          </cell>
        </row>
        <row r="1456">
          <cell r="A1456" t="str">
            <v>CS1352X12</v>
          </cell>
          <cell r="B1456" t="str">
            <v>VYPRODÁNO</v>
          </cell>
          <cell r="C1456" t="str">
            <v/>
          </cell>
          <cell r="D1456">
            <v>0</v>
          </cell>
          <cell r="E1456" t="str">
            <v/>
          </cell>
        </row>
        <row r="1457">
          <cell r="A1457" t="str">
            <v>CS1352X13</v>
          </cell>
          <cell r="B1457" t="str">
            <v>VYPRODÁNO</v>
          </cell>
          <cell r="C1457" t="str">
            <v/>
          </cell>
          <cell r="D1457">
            <v>0</v>
          </cell>
          <cell r="E1457" t="str">
            <v/>
          </cell>
        </row>
        <row r="1458">
          <cell r="A1458" t="str">
            <v>CS1352X14</v>
          </cell>
          <cell r="B1458" t="str">
            <v>SKLADEM</v>
          </cell>
          <cell r="C1458" t="str">
            <v/>
          </cell>
          <cell r="D1458">
            <v>0</v>
          </cell>
          <cell r="E1458" t="str">
            <v/>
          </cell>
        </row>
        <row r="1459">
          <cell r="A1459" t="str">
            <v>CS1352X15</v>
          </cell>
          <cell r="B1459" t="str">
            <v>VYPRODÁNO</v>
          </cell>
          <cell r="C1459" t="str">
            <v/>
          </cell>
          <cell r="D1459">
            <v>0</v>
          </cell>
          <cell r="E1459" t="str">
            <v/>
          </cell>
        </row>
        <row r="1460">
          <cell r="A1460" t="str">
            <v>CS1352X15 E</v>
          </cell>
          <cell r="B1460" t="str">
            <v>VYPRODÁNO</v>
          </cell>
          <cell r="C1460" t="str">
            <v/>
          </cell>
          <cell r="D1460">
            <v>0</v>
          </cell>
          <cell r="E1460" t="str">
            <v/>
          </cell>
        </row>
        <row r="1461">
          <cell r="A1461" t="str">
            <v>CS1352X16</v>
          </cell>
          <cell r="B1461" t="str">
            <v>VYPRODÁNO</v>
          </cell>
          <cell r="C1461" t="str">
            <v/>
          </cell>
          <cell r="D1461">
            <v>0</v>
          </cell>
          <cell r="E1461" t="str">
            <v/>
          </cell>
        </row>
        <row r="1462">
          <cell r="A1462" t="str">
            <v>CS1352X4</v>
          </cell>
          <cell r="B1462" t="str">
            <v>VYPRODÁNO</v>
          </cell>
          <cell r="C1462" t="str">
            <v/>
          </cell>
          <cell r="D1462">
            <v>0</v>
          </cell>
          <cell r="E1462" t="str">
            <v/>
          </cell>
        </row>
        <row r="1463">
          <cell r="A1463" t="str">
            <v>CS1352X5</v>
          </cell>
          <cell r="B1463" t="str">
            <v>SKLADEM</v>
          </cell>
          <cell r="C1463" t="str">
            <v/>
          </cell>
          <cell r="D1463">
            <v>0</v>
          </cell>
          <cell r="E1463" t="str">
            <v/>
          </cell>
        </row>
        <row r="1464">
          <cell r="A1464" t="str">
            <v>CS1352X9</v>
          </cell>
          <cell r="B1464" t="str">
            <v>SKLADEM</v>
          </cell>
          <cell r="C1464" t="str">
            <v/>
          </cell>
          <cell r="D1464">
            <v>0</v>
          </cell>
          <cell r="E1464" t="str">
            <v/>
          </cell>
        </row>
        <row r="1465">
          <cell r="A1465" t="str">
            <v>CS27020F/C</v>
          </cell>
          <cell r="B1465" t="str">
            <v>VYPRODÁNO</v>
          </cell>
          <cell r="C1465" t="str">
            <v/>
          </cell>
          <cell r="D1465">
            <v>0</v>
          </cell>
          <cell r="E1465" t="str">
            <v/>
          </cell>
        </row>
        <row r="1466">
          <cell r="A1466" t="str">
            <v>CS2702X12</v>
          </cell>
          <cell r="B1466" t="str">
            <v>VYPRODÁNO</v>
          </cell>
          <cell r="C1466" t="str">
            <v/>
          </cell>
          <cell r="D1466">
            <v>0</v>
          </cell>
          <cell r="E1466" t="str">
            <v/>
          </cell>
        </row>
        <row r="1467">
          <cell r="A1467" t="str">
            <v>CS2702X13</v>
          </cell>
          <cell r="B1467" t="str">
            <v>VYPRODÁNO</v>
          </cell>
          <cell r="C1467" t="str">
            <v/>
          </cell>
          <cell r="D1467">
            <v>0</v>
          </cell>
          <cell r="E1467" t="str">
            <v/>
          </cell>
        </row>
        <row r="1468">
          <cell r="A1468" t="str">
            <v>CS2702X14</v>
          </cell>
          <cell r="B1468" t="str">
            <v>VYPRODÁNO</v>
          </cell>
          <cell r="C1468" t="str">
            <v/>
          </cell>
          <cell r="D1468">
            <v>0</v>
          </cell>
          <cell r="E1468" t="str">
            <v/>
          </cell>
        </row>
        <row r="1469">
          <cell r="A1469" t="str">
            <v>CS2702X15</v>
          </cell>
          <cell r="B1469" t="str">
            <v>VYPRODÁNO</v>
          </cell>
          <cell r="C1469" t="str">
            <v/>
          </cell>
          <cell r="D1469">
            <v>0</v>
          </cell>
          <cell r="E1469" t="str">
            <v/>
          </cell>
        </row>
        <row r="1470">
          <cell r="A1470" t="str">
            <v>CS2702X4</v>
          </cell>
          <cell r="B1470" t="str">
            <v>VYPRODÁNO</v>
          </cell>
          <cell r="C1470" t="str">
            <v/>
          </cell>
          <cell r="D1470">
            <v>0</v>
          </cell>
          <cell r="E1470" t="str">
            <v/>
          </cell>
        </row>
        <row r="1471">
          <cell r="A1471" t="str">
            <v>CS2702X5</v>
          </cell>
          <cell r="B1471" t="str">
            <v>VYPRODÁNO</v>
          </cell>
          <cell r="C1471" t="str">
            <v/>
          </cell>
          <cell r="D1471">
            <v>0</v>
          </cell>
          <cell r="E1471" t="str">
            <v/>
          </cell>
        </row>
        <row r="1472">
          <cell r="A1472" t="str">
            <v>CS2702X9</v>
          </cell>
          <cell r="B1472" t="str">
            <v>VYPRODÁNO</v>
          </cell>
          <cell r="C1472" t="str">
            <v/>
          </cell>
          <cell r="D1472">
            <v>0</v>
          </cell>
          <cell r="E1472" t="str">
            <v/>
          </cell>
        </row>
        <row r="1473">
          <cell r="A1473" t="str">
            <v>CS2BB</v>
          </cell>
          <cell r="B1473" t="str">
            <v>30.04.2024</v>
          </cell>
          <cell r="C1473">
            <v>69</v>
          </cell>
          <cell r="D1473">
            <v>0</v>
          </cell>
          <cell r="E1473" t="str">
            <v/>
          </cell>
        </row>
        <row r="1474">
          <cell r="A1474" t="str">
            <v>CS503X10</v>
          </cell>
          <cell r="B1474" t="str">
            <v>VYPRODÁNO</v>
          </cell>
          <cell r="C1474" t="str">
            <v/>
          </cell>
          <cell r="D1474">
            <v>0</v>
          </cell>
          <cell r="E1474" t="str">
            <v/>
          </cell>
        </row>
        <row r="1475">
          <cell r="A1475" t="str">
            <v>CS503X11</v>
          </cell>
          <cell r="B1475" t="str">
            <v>20.06.2024</v>
          </cell>
          <cell r="C1475">
            <v>120</v>
          </cell>
          <cell r="D1475">
            <v>0</v>
          </cell>
          <cell r="E1475" t="str">
            <v/>
          </cell>
        </row>
        <row r="1476">
          <cell r="A1476" t="str">
            <v>CS503X12</v>
          </cell>
          <cell r="B1476" t="str">
            <v>DOCHÁZÍ</v>
          </cell>
          <cell r="C1476" t="str">
            <v/>
          </cell>
          <cell r="D1476">
            <v>0</v>
          </cell>
          <cell r="E1476">
            <v>5</v>
          </cell>
        </row>
        <row r="1477">
          <cell r="A1477" t="str">
            <v>CS503X13</v>
          </cell>
          <cell r="B1477" t="str">
            <v>VYPRODÁNO</v>
          </cell>
          <cell r="C1477" t="str">
            <v/>
          </cell>
          <cell r="D1477">
            <v>0</v>
          </cell>
          <cell r="E1477" t="str">
            <v/>
          </cell>
        </row>
        <row r="1478">
          <cell r="A1478" t="str">
            <v>CS503X14</v>
          </cell>
          <cell r="B1478" t="str">
            <v>SKLADEM</v>
          </cell>
          <cell r="C1478" t="str">
            <v/>
          </cell>
          <cell r="D1478">
            <v>0</v>
          </cell>
          <cell r="E1478" t="str">
            <v/>
          </cell>
        </row>
        <row r="1479">
          <cell r="A1479" t="str">
            <v>CS503X15</v>
          </cell>
          <cell r="B1479" t="str">
            <v>SKLADEM</v>
          </cell>
          <cell r="C1479" t="str">
            <v/>
          </cell>
          <cell r="D1479">
            <v>0</v>
          </cell>
          <cell r="E1479" t="str">
            <v/>
          </cell>
        </row>
        <row r="1480">
          <cell r="A1480" t="str">
            <v>CS503X16</v>
          </cell>
          <cell r="B1480" t="str">
            <v>VYPRODÁNO</v>
          </cell>
          <cell r="C1480" t="str">
            <v/>
          </cell>
          <cell r="D1480">
            <v>0</v>
          </cell>
          <cell r="E1480" t="str">
            <v/>
          </cell>
        </row>
        <row r="1481">
          <cell r="A1481" t="str">
            <v>CS503X17</v>
          </cell>
          <cell r="B1481" t="str">
            <v>SKLADEM</v>
          </cell>
          <cell r="C1481" t="str">
            <v/>
          </cell>
          <cell r="D1481">
            <v>0</v>
          </cell>
          <cell r="E1481" t="str">
            <v/>
          </cell>
        </row>
        <row r="1482">
          <cell r="A1482" t="str">
            <v>CS503X18</v>
          </cell>
          <cell r="B1482" t="str">
            <v>SKLADEM</v>
          </cell>
          <cell r="C1482" t="str">
            <v/>
          </cell>
          <cell r="D1482">
            <v>0</v>
          </cell>
          <cell r="E1482" t="str">
            <v/>
          </cell>
        </row>
        <row r="1483">
          <cell r="A1483" t="str">
            <v>CS503X19</v>
          </cell>
          <cell r="B1483" t="str">
            <v>SKLADEM</v>
          </cell>
          <cell r="C1483" t="str">
            <v/>
          </cell>
          <cell r="D1483">
            <v>0</v>
          </cell>
          <cell r="E1483" t="str">
            <v/>
          </cell>
        </row>
        <row r="1484">
          <cell r="A1484" t="str">
            <v>CS503X20</v>
          </cell>
          <cell r="B1484" t="str">
            <v>SKLADEM</v>
          </cell>
          <cell r="C1484" t="str">
            <v/>
          </cell>
          <cell r="D1484">
            <v>0</v>
          </cell>
          <cell r="E1484" t="str">
            <v/>
          </cell>
        </row>
        <row r="1485">
          <cell r="A1485" t="str">
            <v>CS503X21</v>
          </cell>
          <cell r="B1485" t="str">
            <v>SKLADEM</v>
          </cell>
          <cell r="C1485" t="str">
            <v/>
          </cell>
          <cell r="D1485">
            <v>0</v>
          </cell>
          <cell r="E1485" t="str">
            <v/>
          </cell>
        </row>
        <row r="1486">
          <cell r="A1486" t="str">
            <v>CS503X22</v>
          </cell>
          <cell r="B1486" t="str">
            <v>VYPRODÁNO</v>
          </cell>
          <cell r="C1486" t="str">
            <v/>
          </cell>
          <cell r="D1486">
            <v>0</v>
          </cell>
          <cell r="E1486" t="str">
            <v/>
          </cell>
        </row>
        <row r="1487">
          <cell r="A1487" t="str">
            <v>CS503X23</v>
          </cell>
          <cell r="B1487" t="str">
            <v>VYPRODÁNO</v>
          </cell>
          <cell r="C1487" t="str">
            <v/>
          </cell>
          <cell r="D1487">
            <v>0</v>
          </cell>
          <cell r="E1487" t="str">
            <v/>
          </cell>
        </row>
        <row r="1488">
          <cell r="A1488" t="str">
            <v>CS503X24</v>
          </cell>
          <cell r="B1488" t="str">
            <v>VYPRODÁNO</v>
          </cell>
          <cell r="C1488" t="str">
            <v/>
          </cell>
          <cell r="D1488">
            <v>0</v>
          </cell>
          <cell r="E1488" t="str">
            <v/>
          </cell>
        </row>
        <row r="1489">
          <cell r="A1489" t="str">
            <v>CS503X25</v>
          </cell>
          <cell r="B1489" t="str">
            <v>VYPRODÁNO</v>
          </cell>
          <cell r="C1489" t="str">
            <v/>
          </cell>
          <cell r="D1489">
            <v>0</v>
          </cell>
          <cell r="E1489" t="str">
            <v/>
          </cell>
        </row>
        <row r="1490">
          <cell r="A1490" t="str">
            <v>CS503X26</v>
          </cell>
          <cell r="B1490" t="str">
            <v>SKLADEM</v>
          </cell>
          <cell r="C1490" t="str">
            <v/>
          </cell>
          <cell r="D1490">
            <v>0</v>
          </cell>
          <cell r="E1490" t="str">
            <v/>
          </cell>
        </row>
        <row r="1491">
          <cell r="A1491" t="str">
            <v>CS503X27</v>
          </cell>
          <cell r="B1491" t="str">
            <v>VYPRODÁNO</v>
          </cell>
          <cell r="C1491" t="str">
            <v/>
          </cell>
          <cell r="D1491">
            <v>0</v>
          </cell>
          <cell r="E1491" t="str">
            <v/>
          </cell>
        </row>
        <row r="1492">
          <cell r="A1492" t="str">
            <v>CS503X28</v>
          </cell>
          <cell r="B1492" t="str">
            <v>VYPRODÁNO</v>
          </cell>
          <cell r="C1492" t="str">
            <v/>
          </cell>
          <cell r="D1492">
            <v>0</v>
          </cell>
          <cell r="E1492" t="str">
            <v/>
          </cell>
        </row>
        <row r="1493">
          <cell r="A1493" t="str">
            <v>CS503X29</v>
          </cell>
          <cell r="B1493" t="str">
            <v>SKLADEM</v>
          </cell>
          <cell r="C1493" t="str">
            <v/>
          </cell>
          <cell r="D1493">
            <v>0</v>
          </cell>
          <cell r="E1493" t="str">
            <v/>
          </cell>
        </row>
        <row r="1494">
          <cell r="A1494" t="str">
            <v>CS503X31</v>
          </cell>
          <cell r="B1494" t="str">
            <v>VYPRODÁNO</v>
          </cell>
          <cell r="C1494" t="str">
            <v/>
          </cell>
          <cell r="D1494">
            <v>0</v>
          </cell>
          <cell r="E1494" t="str">
            <v/>
          </cell>
        </row>
        <row r="1495">
          <cell r="A1495" t="str">
            <v>CS503X32</v>
          </cell>
          <cell r="B1495" t="str">
            <v>VYPRODÁNO</v>
          </cell>
          <cell r="C1495" t="str">
            <v/>
          </cell>
          <cell r="D1495">
            <v>0</v>
          </cell>
          <cell r="E1495" t="str">
            <v/>
          </cell>
        </row>
        <row r="1496">
          <cell r="A1496" t="str">
            <v>CS503X33</v>
          </cell>
          <cell r="B1496" t="str">
            <v>SKLADEM</v>
          </cell>
          <cell r="C1496" t="str">
            <v/>
          </cell>
          <cell r="D1496">
            <v>0</v>
          </cell>
          <cell r="E1496" t="str">
            <v/>
          </cell>
        </row>
        <row r="1497">
          <cell r="A1497" t="str">
            <v>CS503X34</v>
          </cell>
          <cell r="B1497" t="str">
            <v>VYPRODÁNO</v>
          </cell>
          <cell r="C1497" t="str">
            <v/>
          </cell>
          <cell r="D1497">
            <v>0</v>
          </cell>
          <cell r="E1497" t="str">
            <v/>
          </cell>
        </row>
        <row r="1498">
          <cell r="A1498" t="str">
            <v>CS503X35</v>
          </cell>
          <cell r="B1498" t="str">
            <v>SKLADEM</v>
          </cell>
          <cell r="C1498" t="str">
            <v/>
          </cell>
          <cell r="D1498">
            <v>0</v>
          </cell>
          <cell r="E1498" t="str">
            <v/>
          </cell>
        </row>
        <row r="1499">
          <cell r="A1499" t="str">
            <v>CS503X36</v>
          </cell>
          <cell r="B1499" t="str">
            <v>VYPRODÁNO</v>
          </cell>
          <cell r="C1499" t="str">
            <v/>
          </cell>
          <cell r="D1499">
            <v>0</v>
          </cell>
          <cell r="E1499" t="str">
            <v/>
          </cell>
        </row>
        <row r="1500">
          <cell r="A1500" t="str">
            <v>CS503X37</v>
          </cell>
          <cell r="B1500" t="str">
            <v>DOCHÁZÍ</v>
          </cell>
          <cell r="C1500" t="str">
            <v/>
          </cell>
          <cell r="D1500">
            <v>0</v>
          </cell>
          <cell r="E1500">
            <v>5</v>
          </cell>
        </row>
        <row r="1501">
          <cell r="A1501" t="str">
            <v>CS503X38</v>
          </cell>
          <cell r="B1501" t="str">
            <v>SKLADEM</v>
          </cell>
          <cell r="C1501" t="str">
            <v/>
          </cell>
          <cell r="D1501">
            <v>0</v>
          </cell>
          <cell r="E1501" t="str">
            <v/>
          </cell>
        </row>
        <row r="1502">
          <cell r="A1502" t="str">
            <v>CS503X52</v>
          </cell>
          <cell r="B1502" t="str">
            <v>VYPRODÁNO</v>
          </cell>
          <cell r="C1502" t="str">
            <v/>
          </cell>
          <cell r="D1502">
            <v>0</v>
          </cell>
          <cell r="E1502" t="str">
            <v/>
          </cell>
        </row>
        <row r="1503">
          <cell r="A1503" t="str">
            <v>CS503X55</v>
          </cell>
          <cell r="B1503" t="str">
            <v>SKLADEM</v>
          </cell>
          <cell r="C1503" t="str">
            <v/>
          </cell>
          <cell r="D1503">
            <v>0</v>
          </cell>
          <cell r="E1503" t="str">
            <v/>
          </cell>
        </row>
        <row r="1504">
          <cell r="A1504" t="str">
            <v>CS503X8</v>
          </cell>
          <cell r="B1504" t="str">
            <v>SKLADEM</v>
          </cell>
          <cell r="C1504" t="str">
            <v/>
          </cell>
          <cell r="D1504">
            <v>0</v>
          </cell>
          <cell r="E1504" t="str">
            <v/>
          </cell>
        </row>
        <row r="1505">
          <cell r="A1505" t="str">
            <v>CS503X9</v>
          </cell>
          <cell r="B1505" t="str">
            <v>SKLADEM</v>
          </cell>
          <cell r="C1505" t="str">
            <v/>
          </cell>
          <cell r="D1505">
            <v>0</v>
          </cell>
          <cell r="E1505" t="str">
            <v/>
          </cell>
        </row>
        <row r="1506">
          <cell r="A1506" t="str">
            <v>CSS13A</v>
          </cell>
          <cell r="B1506" t="str">
            <v>VYPRODÁNO</v>
          </cell>
          <cell r="C1506" t="str">
            <v/>
          </cell>
          <cell r="D1506">
            <v>0</v>
          </cell>
          <cell r="E1506" t="str">
            <v/>
          </cell>
        </row>
        <row r="1507">
          <cell r="A1507" t="str">
            <v>CSS13B</v>
          </cell>
          <cell r="B1507" t="str">
            <v>VYPRODÁNO</v>
          </cell>
          <cell r="C1507" t="str">
            <v/>
          </cell>
          <cell r="D1507">
            <v>0</v>
          </cell>
          <cell r="E1507" t="str">
            <v/>
          </cell>
        </row>
        <row r="1508">
          <cell r="A1508" t="str">
            <v>CSS13C</v>
          </cell>
          <cell r="B1508" t="str">
            <v>VYPRODÁNO</v>
          </cell>
          <cell r="C1508" t="str">
            <v/>
          </cell>
          <cell r="D1508">
            <v>0</v>
          </cell>
          <cell r="E1508" t="str">
            <v/>
          </cell>
        </row>
        <row r="1509">
          <cell r="A1509" t="str">
            <v>CSS13D</v>
          </cell>
          <cell r="B1509" t="str">
            <v>VYPRODÁNO</v>
          </cell>
          <cell r="C1509" t="str">
            <v/>
          </cell>
          <cell r="D1509">
            <v>0</v>
          </cell>
          <cell r="E1509" t="str">
            <v/>
          </cell>
        </row>
        <row r="1510">
          <cell r="A1510" t="str">
            <v>CSS13E</v>
          </cell>
          <cell r="B1510" t="str">
            <v>VYPRODÁNO</v>
          </cell>
          <cell r="C1510" t="str">
            <v/>
          </cell>
          <cell r="D1510">
            <v>0</v>
          </cell>
          <cell r="E1510" t="str">
            <v/>
          </cell>
        </row>
        <row r="1511">
          <cell r="A1511" t="str">
            <v>CSS13F</v>
          </cell>
          <cell r="B1511" t="str">
            <v>VYPRODÁNO</v>
          </cell>
          <cell r="C1511" t="str">
            <v/>
          </cell>
          <cell r="D1511">
            <v>0</v>
          </cell>
          <cell r="E1511" t="str">
            <v/>
          </cell>
        </row>
        <row r="1512">
          <cell r="A1512" t="str">
            <v>CSS15D</v>
          </cell>
          <cell r="B1512" t="str">
            <v>VYPRODÁNO</v>
          </cell>
          <cell r="C1512" t="str">
            <v/>
          </cell>
          <cell r="D1512">
            <v>0</v>
          </cell>
          <cell r="E1512" t="str">
            <v/>
          </cell>
        </row>
        <row r="1513">
          <cell r="A1513" t="str">
            <v>CSS15F</v>
          </cell>
          <cell r="B1513" t="str">
            <v>VYPRODÁNO</v>
          </cell>
          <cell r="C1513" t="str">
            <v/>
          </cell>
          <cell r="D1513">
            <v>0</v>
          </cell>
          <cell r="E1513" t="str">
            <v/>
          </cell>
        </row>
        <row r="1514">
          <cell r="A1514" t="str">
            <v>CSS15H</v>
          </cell>
          <cell r="B1514" t="str">
            <v>VYPRODÁNO</v>
          </cell>
          <cell r="C1514" t="str">
            <v/>
          </cell>
          <cell r="D1514">
            <v>0</v>
          </cell>
          <cell r="E1514" t="str">
            <v/>
          </cell>
        </row>
        <row r="1515">
          <cell r="A1515" t="str">
            <v>CSS57A</v>
          </cell>
          <cell r="B1515" t="str">
            <v>VYPRODÁNO</v>
          </cell>
          <cell r="C1515" t="str">
            <v/>
          </cell>
          <cell r="D1515">
            <v>0</v>
          </cell>
          <cell r="E1515" t="str">
            <v/>
          </cell>
        </row>
        <row r="1516">
          <cell r="A1516" t="str">
            <v>CSS5B</v>
          </cell>
          <cell r="B1516" t="str">
            <v>VYPRODÁNO</v>
          </cell>
          <cell r="C1516" t="str">
            <v/>
          </cell>
          <cell r="D1516">
            <v>0</v>
          </cell>
          <cell r="E1516" t="str">
            <v/>
          </cell>
        </row>
        <row r="1517">
          <cell r="A1517" t="str">
            <v>CSS7DA</v>
          </cell>
          <cell r="B1517" t="str">
            <v>VYPRODÁNO</v>
          </cell>
          <cell r="C1517" t="str">
            <v/>
          </cell>
          <cell r="D1517">
            <v>0</v>
          </cell>
          <cell r="E1517" t="str">
            <v/>
          </cell>
        </row>
        <row r="1518">
          <cell r="A1518" t="str">
            <v>CSS8A</v>
          </cell>
          <cell r="B1518" t="str">
            <v>VYPRODÁNO</v>
          </cell>
          <cell r="C1518" t="str">
            <v/>
          </cell>
          <cell r="D1518">
            <v>0</v>
          </cell>
          <cell r="E1518" t="str">
            <v/>
          </cell>
        </row>
        <row r="1519">
          <cell r="A1519" t="str">
            <v>CSS8B</v>
          </cell>
          <cell r="B1519" t="str">
            <v>VYPRODÁNO</v>
          </cell>
          <cell r="C1519" t="str">
            <v/>
          </cell>
          <cell r="D1519">
            <v>0</v>
          </cell>
          <cell r="E1519" t="str">
            <v/>
          </cell>
        </row>
        <row r="1520">
          <cell r="A1520" t="str">
            <v>CSS8C</v>
          </cell>
          <cell r="B1520" t="str">
            <v>VYPRODÁNO</v>
          </cell>
          <cell r="C1520" t="str">
            <v/>
          </cell>
          <cell r="D1520">
            <v>0</v>
          </cell>
          <cell r="E1520" t="str">
            <v/>
          </cell>
        </row>
        <row r="1521">
          <cell r="A1521" t="str">
            <v>CSS8D</v>
          </cell>
          <cell r="B1521" t="str">
            <v>VYPRODÁNO</v>
          </cell>
          <cell r="C1521" t="str">
            <v/>
          </cell>
          <cell r="D1521">
            <v>0</v>
          </cell>
          <cell r="E1521" t="str">
            <v/>
          </cell>
        </row>
        <row r="1522">
          <cell r="A1522" t="str">
            <v>CST12S</v>
          </cell>
          <cell r="B1522" t="str">
            <v>SKLADEM</v>
          </cell>
          <cell r="C1522" t="str">
            <v/>
          </cell>
          <cell r="D1522">
            <v>0</v>
          </cell>
          <cell r="E1522" t="str">
            <v/>
          </cell>
        </row>
        <row r="1523">
          <cell r="A1523" t="str">
            <v>CT1920A E</v>
          </cell>
          <cell r="B1523" t="str">
            <v>VYPRODÁNO</v>
          </cell>
          <cell r="C1523" t="str">
            <v/>
          </cell>
          <cell r="D1523">
            <v>0</v>
          </cell>
          <cell r="E1523" t="str">
            <v/>
          </cell>
        </row>
        <row r="1524">
          <cell r="A1524" t="str">
            <v>CT1930XB</v>
          </cell>
          <cell r="B1524" t="str">
            <v>VYPRODÁNO</v>
          </cell>
          <cell r="C1524" t="str">
            <v/>
          </cell>
          <cell r="D1524">
            <v>0</v>
          </cell>
          <cell r="E1524" t="str">
            <v/>
          </cell>
        </row>
        <row r="1525">
          <cell r="A1525" t="str">
            <v>CT2526A E</v>
          </cell>
          <cell r="B1525" t="str">
            <v>VYPRODÁNO</v>
          </cell>
          <cell r="C1525" t="str">
            <v/>
          </cell>
          <cell r="D1525">
            <v>0</v>
          </cell>
          <cell r="E1525" t="str">
            <v/>
          </cell>
        </row>
        <row r="1526">
          <cell r="A1526" t="str">
            <v>CT2526B E</v>
          </cell>
          <cell r="B1526" t="str">
            <v>VYPRODÁNO</v>
          </cell>
          <cell r="C1526" t="str">
            <v/>
          </cell>
          <cell r="D1526">
            <v>0</v>
          </cell>
          <cell r="E1526" t="str">
            <v/>
          </cell>
        </row>
        <row r="1527">
          <cell r="A1527" t="str">
            <v>CT3630A E</v>
          </cell>
          <cell r="B1527" t="str">
            <v>VYPRODÁNO</v>
          </cell>
          <cell r="C1527" t="str">
            <v/>
          </cell>
          <cell r="D1527">
            <v>0</v>
          </cell>
          <cell r="E1527" t="str">
            <v/>
          </cell>
        </row>
        <row r="1528">
          <cell r="A1528" t="str">
            <v>CT3630B E</v>
          </cell>
          <cell r="B1528" t="str">
            <v>VYPRODÁNO</v>
          </cell>
          <cell r="C1528" t="str">
            <v/>
          </cell>
          <cell r="D1528">
            <v>0</v>
          </cell>
          <cell r="E1528" t="str">
            <v/>
          </cell>
        </row>
        <row r="1529">
          <cell r="A1529" t="str">
            <v>CT3630XD</v>
          </cell>
          <cell r="B1529" t="str">
            <v>VYPRODÁNO</v>
          </cell>
          <cell r="C1529" t="str">
            <v/>
          </cell>
          <cell r="D1529">
            <v>0</v>
          </cell>
          <cell r="E1529" t="str">
            <v/>
          </cell>
        </row>
        <row r="1530">
          <cell r="A1530" t="str">
            <v>CT3630XE</v>
          </cell>
          <cell r="B1530" t="str">
            <v>VYPRODÁNO</v>
          </cell>
          <cell r="C1530" t="str">
            <v/>
          </cell>
          <cell r="D1530">
            <v>0</v>
          </cell>
          <cell r="E1530" t="str">
            <v/>
          </cell>
        </row>
        <row r="1531">
          <cell r="A1531" t="str">
            <v>CT4826A E</v>
          </cell>
          <cell r="B1531" t="str">
            <v>VYPRODÁNO</v>
          </cell>
          <cell r="C1531" t="str">
            <v/>
          </cell>
          <cell r="D1531">
            <v>0</v>
          </cell>
          <cell r="E1531" t="str">
            <v/>
          </cell>
        </row>
        <row r="1532">
          <cell r="A1532" t="str">
            <v>CT4830B E</v>
          </cell>
          <cell r="B1532" t="str">
            <v>VYPRODÁNO</v>
          </cell>
          <cell r="C1532" t="str">
            <v/>
          </cell>
          <cell r="D1532">
            <v>0</v>
          </cell>
          <cell r="E1532" t="str">
            <v/>
          </cell>
        </row>
        <row r="1533">
          <cell r="A1533" t="str">
            <v>CV1003A</v>
          </cell>
          <cell r="B1533" t="str">
            <v>VYPRODÁNO</v>
          </cell>
          <cell r="C1533" t="str">
            <v/>
          </cell>
          <cell r="D1533">
            <v>0</v>
          </cell>
          <cell r="E1533" t="str">
            <v/>
          </cell>
        </row>
        <row r="1534">
          <cell r="A1534" t="str">
            <v>CV1003X39</v>
          </cell>
          <cell r="B1534" t="str">
            <v>VYPRODÁNO</v>
          </cell>
          <cell r="C1534" t="str">
            <v/>
          </cell>
          <cell r="D1534">
            <v>0</v>
          </cell>
          <cell r="E1534" t="str">
            <v/>
          </cell>
        </row>
        <row r="1535">
          <cell r="A1535" t="str">
            <v>CV1003X40</v>
          </cell>
          <cell r="B1535" t="str">
            <v>VYPRODÁNO</v>
          </cell>
          <cell r="C1535" t="str">
            <v/>
          </cell>
          <cell r="D1535">
            <v>0</v>
          </cell>
          <cell r="E1535" t="str">
            <v/>
          </cell>
        </row>
        <row r="1536">
          <cell r="A1536" t="str">
            <v>CV1003X41</v>
          </cell>
          <cell r="B1536" t="str">
            <v>VYPRODÁNO</v>
          </cell>
          <cell r="C1536" t="str">
            <v/>
          </cell>
          <cell r="D1536">
            <v>0</v>
          </cell>
          <cell r="E1536" t="str">
            <v/>
          </cell>
        </row>
        <row r="1537">
          <cell r="A1537" t="str">
            <v>CV1003X43</v>
          </cell>
          <cell r="B1537" t="str">
            <v>VYPRODÁNO</v>
          </cell>
          <cell r="C1537" t="str">
            <v/>
          </cell>
          <cell r="D1537">
            <v>0</v>
          </cell>
          <cell r="E1537" t="str">
            <v/>
          </cell>
        </row>
        <row r="1538">
          <cell r="A1538" t="str">
            <v>CV1003X44</v>
          </cell>
          <cell r="B1538" t="str">
            <v>VYPRODÁNO</v>
          </cell>
          <cell r="C1538" t="str">
            <v/>
          </cell>
          <cell r="D1538">
            <v>0</v>
          </cell>
          <cell r="E1538" t="str">
            <v/>
          </cell>
        </row>
        <row r="1539">
          <cell r="A1539" t="str">
            <v>CV1003X45</v>
          </cell>
          <cell r="B1539" t="str">
            <v>VYPRODÁNO</v>
          </cell>
          <cell r="C1539" t="str">
            <v/>
          </cell>
          <cell r="D1539">
            <v>0</v>
          </cell>
          <cell r="E1539" t="str">
            <v/>
          </cell>
        </row>
        <row r="1540">
          <cell r="A1540" t="str">
            <v>CV503X39</v>
          </cell>
          <cell r="B1540" t="str">
            <v>VYPRODÁNO</v>
          </cell>
          <cell r="C1540" t="str">
            <v/>
          </cell>
          <cell r="D1540">
            <v>0</v>
          </cell>
          <cell r="E1540" t="str">
            <v/>
          </cell>
        </row>
        <row r="1541">
          <cell r="A1541" t="str">
            <v>CV503X40</v>
          </cell>
          <cell r="B1541" t="str">
            <v>VYPRODÁNO</v>
          </cell>
          <cell r="C1541" t="str">
            <v/>
          </cell>
          <cell r="D1541">
            <v>0</v>
          </cell>
          <cell r="E1541" t="str">
            <v/>
          </cell>
        </row>
        <row r="1542">
          <cell r="A1542" t="str">
            <v>CV503X41</v>
          </cell>
          <cell r="B1542" t="str">
            <v>SKLADEM</v>
          </cell>
          <cell r="C1542" t="str">
            <v/>
          </cell>
          <cell r="D1542">
            <v>0</v>
          </cell>
          <cell r="E1542" t="str">
            <v/>
          </cell>
        </row>
        <row r="1543">
          <cell r="A1543" t="str">
            <v>CV503X42</v>
          </cell>
          <cell r="B1543" t="str">
            <v>VYPRODÁNO</v>
          </cell>
          <cell r="C1543" t="str">
            <v/>
          </cell>
          <cell r="D1543">
            <v>0</v>
          </cell>
          <cell r="E1543" t="str">
            <v/>
          </cell>
        </row>
        <row r="1544">
          <cell r="A1544" t="str">
            <v>CV503X43</v>
          </cell>
          <cell r="B1544" t="str">
            <v>VYPRODÁNO</v>
          </cell>
          <cell r="C1544" t="str">
            <v/>
          </cell>
          <cell r="D1544">
            <v>0</v>
          </cell>
          <cell r="E1544" t="str">
            <v/>
          </cell>
        </row>
        <row r="1545">
          <cell r="A1545" t="str">
            <v>CV503X44</v>
          </cell>
          <cell r="B1545" t="str">
            <v>SKLADEM</v>
          </cell>
          <cell r="C1545" t="str">
            <v/>
          </cell>
          <cell r="D1545">
            <v>0</v>
          </cell>
          <cell r="E1545" t="str">
            <v/>
          </cell>
        </row>
        <row r="1546">
          <cell r="A1546" t="str">
            <v>CV503X45</v>
          </cell>
          <cell r="B1546" t="str">
            <v>SKLADEM</v>
          </cell>
          <cell r="C1546" t="str">
            <v/>
          </cell>
          <cell r="D1546">
            <v>0</v>
          </cell>
          <cell r="E1546" t="str">
            <v/>
          </cell>
        </row>
        <row r="1547">
          <cell r="A1547" t="str">
            <v>CW1003X14</v>
          </cell>
          <cell r="B1547" t="str">
            <v>VYPRODÁNO</v>
          </cell>
          <cell r="C1547" t="str">
            <v/>
          </cell>
          <cell r="D1547">
            <v>0</v>
          </cell>
          <cell r="E1547" t="str">
            <v/>
          </cell>
        </row>
        <row r="1548">
          <cell r="A1548" t="str">
            <v>CW1003X47</v>
          </cell>
          <cell r="B1548" t="str">
            <v>VYPRODÁNO</v>
          </cell>
          <cell r="C1548" t="str">
            <v/>
          </cell>
          <cell r="D1548">
            <v>0</v>
          </cell>
          <cell r="E1548" t="str">
            <v/>
          </cell>
        </row>
        <row r="1549">
          <cell r="A1549" t="str">
            <v>CW30020A</v>
          </cell>
          <cell r="B1549" t="str">
            <v>VYPRODÁNO</v>
          </cell>
          <cell r="C1549" t="str">
            <v/>
          </cell>
          <cell r="D1549">
            <v>0</v>
          </cell>
          <cell r="E1549" t="str">
            <v/>
          </cell>
        </row>
        <row r="1550">
          <cell r="A1550" t="str">
            <v>CW503X14</v>
          </cell>
          <cell r="B1550" t="str">
            <v>VYPRODÁNO</v>
          </cell>
          <cell r="C1550" t="str">
            <v/>
          </cell>
          <cell r="D1550">
            <v>0</v>
          </cell>
          <cell r="E1550" t="str">
            <v/>
          </cell>
        </row>
        <row r="1551">
          <cell r="A1551" t="str">
            <v>CW503X47</v>
          </cell>
          <cell r="B1551" t="str">
            <v>VYPRODÁNO</v>
          </cell>
          <cell r="C1551" t="str">
            <v/>
          </cell>
          <cell r="D1551">
            <v>0</v>
          </cell>
          <cell r="E1551" t="str">
            <v/>
          </cell>
        </row>
        <row r="1552">
          <cell r="A1552" t="str">
            <v>CX1003X46</v>
          </cell>
          <cell r="B1552" t="str">
            <v>VYPRODÁNO</v>
          </cell>
          <cell r="C1552" t="str">
            <v/>
          </cell>
          <cell r="D1552">
            <v>0</v>
          </cell>
          <cell r="E1552" t="str">
            <v/>
          </cell>
        </row>
        <row r="1553">
          <cell r="A1553" t="str">
            <v>CX1003X49</v>
          </cell>
          <cell r="B1553" t="str">
            <v>VYPRODÁNO</v>
          </cell>
          <cell r="C1553" t="str">
            <v/>
          </cell>
          <cell r="D1553">
            <v>0</v>
          </cell>
          <cell r="E1553" t="str">
            <v/>
          </cell>
        </row>
        <row r="1554">
          <cell r="A1554" t="str">
            <v>CX1352X1</v>
          </cell>
          <cell r="B1554" t="str">
            <v>VYPRODÁNO</v>
          </cell>
          <cell r="C1554" t="str">
            <v/>
          </cell>
          <cell r="D1554">
            <v>0</v>
          </cell>
          <cell r="E1554" t="str">
            <v/>
          </cell>
        </row>
        <row r="1555">
          <cell r="A1555" t="str">
            <v>CX1352X11</v>
          </cell>
          <cell r="B1555" t="str">
            <v>15.06.2024</v>
          </cell>
          <cell r="C1555">
            <v>115</v>
          </cell>
          <cell r="D1555">
            <v>0</v>
          </cell>
          <cell r="E1555" t="str">
            <v/>
          </cell>
        </row>
        <row r="1556">
          <cell r="A1556" t="str">
            <v>CX1352X2</v>
          </cell>
          <cell r="B1556" t="str">
            <v>SKLADEM</v>
          </cell>
          <cell r="C1556" t="str">
            <v/>
          </cell>
          <cell r="D1556">
            <v>0</v>
          </cell>
          <cell r="E1556" t="str">
            <v/>
          </cell>
        </row>
        <row r="1557">
          <cell r="A1557" t="str">
            <v>CX1352X3</v>
          </cell>
          <cell r="B1557" t="str">
            <v>VYPRODÁNO</v>
          </cell>
          <cell r="C1557" t="str">
            <v/>
          </cell>
          <cell r="D1557">
            <v>0</v>
          </cell>
          <cell r="E1557" t="str">
            <v/>
          </cell>
        </row>
        <row r="1558">
          <cell r="A1558" t="str">
            <v>CX1620D</v>
          </cell>
          <cell r="B1558" t="str">
            <v>SKLADEM</v>
          </cell>
          <cell r="C1558" t="str">
            <v/>
          </cell>
          <cell r="D1558">
            <v>0</v>
          </cell>
          <cell r="E1558" t="str">
            <v/>
          </cell>
        </row>
        <row r="1559">
          <cell r="A1559" t="str">
            <v>CX1620X</v>
          </cell>
          <cell r="B1559" t="str">
            <v>15.08.2024</v>
          </cell>
          <cell r="C1559">
            <v>176</v>
          </cell>
          <cell r="D1559">
            <v>0</v>
          </cell>
          <cell r="E1559" t="str">
            <v/>
          </cell>
        </row>
        <row r="1560">
          <cell r="A1560" t="str">
            <v>CX2702X1</v>
          </cell>
          <cell r="B1560" t="str">
            <v>VYPRODÁNO</v>
          </cell>
          <cell r="C1560" t="str">
            <v/>
          </cell>
          <cell r="D1560">
            <v>0</v>
          </cell>
          <cell r="E1560" t="str">
            <v/>
          </cell>
        </row>
        <row r="1561">
          <cell r="A1561" t="str">
            <v>CX2702X11</v>
          </cell>
          <cell r="B1561" t="str">
            <v>VYPRODÁNO</v>
          </cell>
          <cell r="C1561" t="str">
            <v/>
          </cell>
          <cell r="D1561">
            <v>0</v>
          </cell>
          <cell r="E1561" t="str">
            <v/>
          </cell>
        </row>
        <row r="1562">
          <cell r="A1562" t="str">
            <v>CX2702X2</v>
          </cell>
          <cell r="B1562" t="str">
            <v>VYPRODÁNO</v>
          </cell>
          <cell r="C1562" t="str">
            <v/>
          </cell>
          <cell r="D1562">
            <v>0</v>
          </cell>
          <cell r="E1562" t="str">
            <v/>
          </cell>
        </row>
        <row r="1563">
          <cell r="A1563" t="str">
            <v>CX2702X3</v>
          </cell>
          <cell r="B1563" t="str">
            <v>VYPRODÁNO</v>
          </cell>
          <cell r="C1563" t="str">
            <v/>
          </cell>
          <cell r="D1563">
            <v>0</v>
          </cell>
          <cell r="E1563" t="str">
            <v/>
          </cell>
        </row>
        <row r="1564">
          <cell r="A1564" t="str">
            <v>CX503X46</v>
          </cell>
          <cell r="B1564" t="str">
            <v>VYPRODÁNO</v>
          </cell>
          <cell r="C1564" t="str">
            <v/>
          </cell>
          <cell r="D1564">
            <v>0</v>
          </cell>
          <cell r="E1564" t="str">
            <v/>
          </cell>
        </row>
        <row r="1565">
          <cell r="A1565" t="str">
            <v>CX503X49</v>
          </cell>
          <cell r="B1565" t="str">
            <v>VYPRODÁNO</v>
          </cell>
          <cell r="C1565" t="str">
            <v/>
          </cell>
          <cell r="D1565">
            <v>0</v>
          </cell>
          <cell r="E1565" t="str">
            <v/>
          </cell>
        </row>
        <row r="1566">
          <cell r="A1566" t="str">
            <v>D1D</v>
          </cell>
          <cell r="B1566" t="str">
            <v>SKLADEM</v>
          </cell>
          <cell r="C1566" t="str">
            <v/>
          </cell>
          <cell r="D1566">
            <v>0</v>
          </cell>
          <cell r="E1566" t="str">
            <v/>
          </cell>
        </row>
        <row r="1567">
          <cell r="A1567" t="str">
            <v>D1D(1)</v>
          </cell>
          <cell r="B1567" t="str">
            <v>VYPRODÁNO</v>
          </cell>
          <cell r="C1567" t="str">
            <v/>
          </cell>
          <cell r="D1567">
            <v>0</v>
          </cell>
          <cell r="E1567" t="str">
            <v/>
          </cell>
        </row>
        <row r="1568">
          <cell r="A1568" t="str">
            <v>D1D(2)</v>
          </cell>
          <cell r="B1568" t="str">
            <v>VYPRODÁNO</v>
          </cell>
          <cell r="C1568" t="str">
            <v/>
          </cell>
          <cell r="D1568">
            <v>0</v>
          </cell>
          <cell r="E1568" t="str">
            <v/>
          </cell>
        </row>
        <row r="1569">
          <cell r="A1569" t="str">
            <v>D1M E</v>
          </cell>
          <cell r="B1569" t="str">
            <v>VYPRODÁNO</v>
          </cell>
          <cell r="C1569" t="str">
            <v/>
          </cell>
          <cell r="D1569">
            <v>0</v>
          </cell>
          <cell r="E1569" t="str">
            <v/>
          </cell>
        </row>
        <row r="1570">
          <cell r="A1570" t="str">
            <v>D2C</v>
          </cell>
          <cell r="B1570" t="str">
            <v>SKLADEM</v>
          </cell>
          <cell r="C1570" t="str">
            <v/>
          </cell>
          <cell r="D1570">
            <v>0</v>
          </cell>
          <cell r="E1570" t="str">
            <v/>
          </cell>
        </row>
        <row r="1571">
          <cell r="A1571" t="str">
            <v>D2C(1)</v>
          </cell>
          <cell r="B1571" t="str">
            <v>SKLADEM</v>
          </cell>
          <cell r="C1571" t="str">
            <v/>
          </cell>
          <cell r="D1571">
            <v>0</v>
          </cell>
          <cell r="E1571" t="str">
            <v/>
          </cell>
        </row>
        <row r="1572">
          <cell r="A1572" t="str">
            <v>D2CN</v>
          </cell>
          <cell r="B1572" t="str">
            <v>SKLADEM</v>
          </cell>
          <cell r="C1572" t="str">
            <v/>
          </cell>
          <cell r="D1572">
            <v>0</v>
          </cell>
          <cell r="E1572" t="str">
            <v/>
          </cell>
        </row>
        <row r="1573">
          <cell r="A1573" t="str">
            <v>D2CN(1)</v>
          </cell>
          <cell r="B1573" t="str">
            <v>SKLADEM</v>
          </cell>
          <cell r="C1573" t="str">
            <v/>
          </cell>
          <cell r="D1573">
            <v>0</v>
          </cell>
          <cell r="E1573" t="str">
            <v/>
          </cell>
        </row>
        <row r="1574">
          <cell r="A1574" t="str">
            <v>D3SK</v>
          </cell>
          <cell r="B1574" t="str">
            <v>SKLADEM</v>
          </cell>
          <cell r="C1574" t="str">
            <v/>
          </cell>
          <cell r="D1574">
            <v>0</v>
          </cell>
          <cell r="E1574" t="str">
            <v/>
          </cell>
        </row>
        <row r="1575">
          <cell r="A1575" t="str">
            <v>DBB1E</v>
          </cell>
          <cell r="B1575" t="str">
            <v>25.04.2024</v>
          </cell>
          <cell r="C1575">
            <v>64</v>
          </cell>
          <cell r="D1575">
            <v>90</v>
          </cell>
          <cell r="E1575" t="str">
            <v/>
          </cell>
        </row>
        <row r="1576">
          <cell r="A1576" t="str">
            <v>DBP1</v>
          </cell>
          <cell r="B1576" t="str">
            <v>VYPRODÁNO</v>
          </cell>
          <cell r="C1576" t="str">
            <v/>
          </cell>
          <cell r="D1576">
            <v>0</v>
          </cell>
          <cell r="E1576" t="str">
            <v/>
          </cell>
        </row>
        <row r="1577">
          <cell r="A1577" t="str">
            <v>DD1</v>
          </cell>
          <cell r="B1577" t="str">
            <v>SKLADEM</v>
          </cell>
          <cell r="C1577" t="str">
            <v/>
          </cell>
          <cell r="D1577">
            <v>0</v>
          </cell>
          <cell r="E1577" t="str">
            <v/>
          </cell>
        </row>
        <row r="1578">
          <cell r="A1578" t="str">
            <v>DF10CM</v>
          </cell>
          <cell r="B1578" t="str">
            <v>15.08.2024</v>
          </cell>
          <cell r="C1578">
            <v>176</v>
          </cell>
          <cell r="D1578">
            <v>0</v>
          </cell>
          <cell r="E1578" t="str">
            <v/>
          </cell>
        </row>
        <row r="1579">
          <cell r="A1579" t="str">
            <v>DF10CM E</v>
          </cell>
          <cell r="B1579" t="str">
            <v>SKLADEM</v>
          </cell>
          <cell r="C1579" t="str">
            <v/>
          </cell>
          <cell r="D1579">
            <v>0</v>
          </cell>
          <cell r="E1579" t="str">
            <v/>
          </cell>
        </row>
        <row r="1580">
          <cell r="A1580" t="str">
            <v>DF10CM(1)</v>
          </cell>
          <cell r="B1580" t="str">
            <v>VYPRODÁNO</v>
          </cell>
          <cell r="C1580" t="str">
            <v/>
          </cell>
          <cell r="D1580">
            <v>0</v>
          </cell>
          <cell r="E1580" t="str">
            <v/>
          </cell>
        </row>
        <row r="1581">
          <cell r="A1581" t="str">
            <v>DF12CM</v>
          </cell>
          <cell r="B1581" t="str">
            <v>SKLADEM</v>
          </cell>
          <cell r="C1581" t="str">
            <v/>
          </cell>
          <cell r="D1581">
            <v>0</v>
          </cell>
          <cell r="E1581" t="str">
            <v/>
          </cell>
        </row>
        <row r="1582">
          <cell r="A1582" t="str">
            <v>DF12CM0</v>
          </cell>
          <cell r="B1582" t="str">
            <v>VYPRODÁNO</v>
          </cell>
          <cell r="C1582" t="str">
            <v/>
          </cell>
          <cell r="D1582">
            <v>0</v>
          </cell>
          <cell r="E1582" t="str">
            <v/>
          </cell>
        </row>
        <row r="1583">
          <cell r="A1583" t="str">
            <v>DF12CM0-9</v>
          </cell>
          <cell r="B1583" t="str">
            <v>VYPRODÁNO</v>
          </cell>
          <cell r="C1583" t="str">
            <v/>
          </cell>
          <cell r="D1583">
            <v>0</v>
          </cell>
          <cell r="E1583" t="str">
            <v/>
          </cell>
        </row>
        <row r="1584">
          <cell r="A1584" t="str">
            <v>DF12CM1</v>
          </cell>
          <cell r="B1584" t="str">
            <v>VYPRODÁNO</v>
          </cell>
          <cell r="C1584" t="str">
            <v/>
          </cell>
          <cell r="D1584">
            <v>0</v>
          </cell>
          <cell r="E1584" t="str">
            <v/>
          </cell>
        </row>
        <row r="1585">
          <cell r="A1585" t="str">
            <v>DF12CM2</v>
          </cell>
          <cell r="B1585" t="str">
            <v>VYPRODÁNO</v>
          </cell>
          <cell r="C1585" t="str">
            <v/>
          </cell>
          <cell r="D1585">
            <v>0</v>
          </cell>
          <cell r="E1585" t="str">
            <v/>
          </cell>
        </row>
        <row r="1586">
          <cell r="A1586" t="str">
            <v>DF12CM3</v>
          </cell>
          <cell r="B1586" t="str">
            <v>VYPRODÁNO</v>
          </cell>
          <cell r="C1586" t="str">
            <v/>
          </cell>
          <cell r="D1586">
            <v>0</v>
          </cell>
          <cell r="E1586" t="str">
            <v/>
          </cell>
        </row>
        <row r="1587">
          <cell r="A1587" t="str">
            <v>DF12CM4</v>
          </cell>
          <cell r="B1587" t="str">
            <v>VYPRODÁNO</v>
          </cell>
          <cell r="C1587" t="str">
            <v/>
          </cell>
          <cell r="D1587">
            <v>0</v>
          </cell>
          <cell r="E1587" t="str">
            <v/>
          </cell>
        </row>
        <row r="1588">
          <cell r="A1588" t="str">
            <v>DF12CM5</v>
          </cell>
          <cell r="B1588" t="str">
            <v>VYPRODÁNO</v>
          </cell>
          <cell r="C1588" t="str">
            <v/>
          </cell>
          <cell r="D1588">
            <v>0</v>
          </cell>
          <cell r="E1588" t="str">
            <v/>
          </cell>
        </row>
        <row r="1589">
          <cell r="A1589" t="str">
            <v>DF12CM6</v>
          </cell>
          <cell r="B1589" t="str">
            <v>VYPRODÁNO</v>
          </cell>
          <cell r="C1589" t="str">
            <v/>
          </cell>
          <cell r="D1589">
            <v>0</v>
          </cell>
          <cell r="E1589" t="str">
            <v/>
          </cell>
        </row>
        <row r="1590">
          <cell r="A1590" t="str">
            <v>DF12CM7</v>
          </cell>
          <cell r="B1590" t="str">
            <v>VYPRODÁNO</v>
          </cell>
          <cell r="C1590" t="str">
            <v/>
          </cell>
          <cell r="D1590">
            <v>0</v>
          </cell>
          <cell r="E1590" t="str">
            <v/>
          </cell>
        </row>
        <row r="1591">
          <cell r="A1591" t="str">
            <v>DF12CM8</v>
          </cell>
          <cell r="B1591" t="str">
            <v>VYPRODÁNO</v>
          </cell>
          <cell r="C1591" t="str">
            <v/>
          </cell>
          <cell r="D1591">
            <v>0</v>
          </cell>
          <cell r="E1591" t="str">
            <v/>
          </cell>
        </row>
        <row r="1592">
          <cell r="A1592" t="str">
            <v>DF12CM9</v>
          </cell>
          <cell r="B1592" t="str">
            <v>VYPRODÁNO</v>
          </cell>
          <cell r="C1592" t="str">
            <v/>
          </cell>
          <cell r="D1592">
            <v>0</v>
          </cell>
          <cell r="E1592" t="str">
            <v/>
          </cell>
        </row>
        <row r="1593">
          <cell r="A1593" t="str">
            <v>DF15CM</v>
          </cell>
          <cell r="B1593" t="str">
            <v>VYPRODÁNO</v>
          </cell>
          <cell r="C1593" t="str">
            <v/>
          </cell>
          <cell r="D1593">
            <v>0</v>
          </cell>
          <cell r="E1593" t="str">
            <v/>
          </cell>
        </row>
        <row r="1594">
          <cell r="A1594" t="str">
            <v>DF15CM(1)</v>
          </cell>
          <cell r="B1594" t="str">
            <v>VYPRODÁNO</v>
          </cell>
          <cell r="C1594" t="str">
            <v/>
          </cell>
          <cell r="D1594">
            <v>0</v>
          </cell>
          <cell r="E1594" t="str">
            <v/>
          </cell>
        </row>
        <row r="1595">
          <cell r="A1595" t="str">
            <v>DF20CM</v>
          </cell>
          <cell r="B1595" t="str">
            <v>SKLADEM</v>
          </cell>
          <cell r="C1595" t="str">
            <v/>
          </cell>
          <cell r="D1595">
            <v>0</v>
          </cell>
          <cell r="E1595" t="str">
            <v/>
          </cell>
        </row>
        <row r="1596">
          <cell r="A1596" t="str">
            <v>DF20CM E</v>
          </cell>
          <cell r="B1596" t="str">
            <v>VYPRODÁNO</v>
          </cell>
          <cell r="C1596" t="str">
            <v/>
          </cell>
          <cell r="D1596">
            <v>0</v>
          </cell>
          <cell r="E1596" t="str">
            <v/>
          </cell>
        </row>
        <row r="1597">
          <cell r="A1597" t="str">
            <v>DF20CM(1)</v>
          </cell>
          <cell r="B1597" t="str">
            <v>VYPRODÁNO</v>
          </cell>
          <cell r="C1597" t="str">
            <v/>
          </cell>
          <cell r="D1597">
            <v>0</v>
          </cell>
          <cell r="E1597" t="str">
            <v/>
          </cell>
        </row>
        <row r="1598">
          <cell r="A1598" t="str">
            <v>DF20CM(2)</v>
          </cell>
          <cell r="B1598" t="str">
            <v>VYPRODÁNO</v>
          </cell>
          <cell r="C1598" t="str">
            <v/>
          </cell>
          <cell r="D1598">
            <v>0</v>
          </cell>
          <cell r="E1598" t="str">
            <v/>
          </cell>
        </row>
        <row r="1599">
          <cell r="A1599" t="str">
            <v>DF20CM(3)</v>
          </cell>
          <cell r="B1599" t="str">
            <v>VYPRODÁNO</v>
          </cell>
          <cell r="C1599" t="str">
            <v/>
          </cell>
          <cell r="D1599">
            <v>0</v>
          </cell>
          <cell r="E1599" t="str">
            <v/>
          </cell>
        </row>
        <row r="1600">
          <cell r="A1600" t="str">
            <v>DF20CM1S</v>
          </cell>
          <cell r="B1600" t="str">
            <v>VYPRODÁNO</v>
          </cell>
          <cell r="C1600" t="str">
            <v/>
          </cell>
          <cell r="D1600">
            <v>0</v>
          </cell>
          <cell r="E1600" t="str">
            <v/>
          </cell>
        </row>
        <row r="1601">
          <cell r="A1601" t="str">
            <v>DF20CM1Z</v>
          </cell>
          <cell r="B1601" t="str">
            <v>VYPRODÁNO</v>
          </cell>
          <cell r="C1601" t="str">
            <v/>
          </cell>
          <cell r="D1601">
            <v>0</v>
          </cell>
          <cell r="E1601" t="str">
            <v/>
          </cell>
        </row>
        <row r="1602">
          <cell r="A1602" t="str">
            <v>DF20CM-O</v>
          </cell>
          <cell r="B1602" t="str">
            <v>VYPRODÁNO</v>
          </cell>
          <cell r="C1602" t="str">
            <v/>
          </cell>
          <cell r="D1602">
            <v>0</v>
          </cell>
          <cell r="E1602" t="str">
            <v/>
          </cell>
        </row>
        <row r="1603">
          <cell r="A1603" t="str">
            <v>DF30CM</v>
          </cell>
          <cell r="B1603" t="str">
            <v>15.03.2024</v>
          </cell>
          <cell r="C1603">
            <v>23</v>
          </cell>
          <cell r="D1603" t="str">
            <v>100+</v>
          </cell>
          <cell r="E1603" t="str">
            <v/>
          </cell>
        </row>
        <row r="1604">
          <cell r="A1604" t="str">
            <v>DF30CM(1)</v>
          </cell>
          <cell r="B1604" t="str">
            <v>VYPRODÁNO</v>
          </cell>
          <cell r="C1604" t="str">
            <v/>
          </cell>
          <cell r="D1604">
            <v>0</v>
          </cell>
          <cell r="E1604" t="str">
            <v/>
          </cell>
        </row>
        <row r="1605">
          <cell r="A1605" t="str">
            <v>DP1B</v>
          </cell>
          <cell r="B1605" t="str">
            <v>VYPRODÁNO</v>
          </cell>
          <cell r="C1605" t="str">
            <v/>
          </cell>
          <cell r="D1605">
            <v>0</v>
          </cell>
          <cell r="E1605" t="str">
            <v/>
          </cell>
        </row>
        <row r="1606">
          <cell r="A1606" t="str">
            <v>DP1B SK</v>
          </cell>
          <cell r="B1606" t="str">
            <v>VYPRODÁNO</v>
          </cell>
          <cell r="C1606" t="str">
            <v/>
          </cell>
          <cell r="D1606">
            <v>0</v>
          </cell>
          <cell r="E1606" t="str">
            <v/>
          </cell>
        </row>
        <row r="1607">
          <cell r="A1607" t="str">
            <v>DP1BP</v>
          </cell>
          <cell r="B1607" t="str">
            <v>15.09.2024</v>
          </cell>
          <cell r="C1607">
            <v>207</v>
          </cell>
          <cell r="D1607">
            <v>0</v>
          </cell>
          <cell r="E1607" t="str">
            <v/>
          </cell>
        </row>
        <row r="1608">
          <cell r="A1608" t="str">
            <v>DP1BP(1)</v>
          </cell>
          <cell r="B1608" t="str">
            <v>VYPRODÁNO</v>
          </cell>
          <cell r="C1608" t="str">
            <v/>
          </cell>
          <cell r="D1608">
            <v>0</v>
          </cell>
          <cell r="E1608" t="str">
            <v/>
          </cell>
        </row>
        <row r="1609">
          <cell r="A1609" t="str">
            <v>DP1BS</v>
          </cell>
          <cell r="B1609" t="str">
            <v>DOCHÁZÍ</v>
          </cell>
          <cell r="C1609" t="str">
            <v/>
          </cell>
          <cell r="D1609">
            <v>0</v>
          </cell>
          <cell r="E1609">
            <v>10</v>
          </cell>
        </row>
        <row r="1610">
          <cell r="A1610" t="str">
            <v>DP1BS(1)</v>
          </cell>
          <cell r="B1610" t="str">
            <v>SKLADEM</v>
          </cell>
          <cell r="C1610" t="str">
            <v/>
          </cell>
          <cell r="D1610">
            <v>0</v>
          </cell>
          <cell r="E1610" t="str">
            <v/>
          </cell>
        </row>
        <row r="1611">
          <cell r="A1611" t="str">
            <v>DP1CB</v>
          </cell>
          <cell r="B1611" t="str">
            <v>SKLADEM</v>
          </cell>
          <cell r="C1611" t="str">
            <v/>
          </cell>
          <cell r="D1611">
            <v>0</v>
          </cell>
          <cell r="E1611" t="str">
            <v/>
          </cell>
        </row>
        <row r="1612">
          <cell r="A1612" t="str">
            <v>DP1CB(1)</v>
          </cell>
          <cell r="B1612" t="str">
            <v>SKLADEM</v>
          </cell>
          <cell r="C1612" t="str">
            <v/>
          </cell>
          <cell r="D1612">
            <v>0</v>
          </cell>
          <cell r="E1612" t="str">
            <v/>
          </cell>
        </row>
        <row r="1613">
          <cell r="A1613" t="str">
            <v>DP1EM</v>
          </cell>
          <cell r="B1613" t="str">
            <v>SKLADEM</v>
          </cell>
          <cell r="C1613" t="str">
            <v/>
          </cell>
          <cell r="D1613">
            <v>0</v>
          </cell>
          <cell r="E1613" t="str">
            <v/>
          </cell>
        </row>
        <row r="1614">
          <cell r="A1614" t="str">
            <v>DP1FD</v>
          </cell>
          <cell r="B1614" t="str">
            <v>SKLADEM</v>
          </cell>
          <cell r="C1614" t="str">
            <v/>
          </cell>
          <cell r="D1614">
            <v>0</v>
          </cell>
          <cell r="E1614" t="str">
            <v/>
          </cell>
        </row>
        <row r="1615">
          <cell r="A1615" t="str">
            <v>DP1FD E</v>
          </cell>
          <cell r="B1615" t="str">
            <v>VYPRODÁNO</v>
          </cell>
          <cell r="C1615" t="str">
            <v/>
          </cell>
          <cell r="D1615">
            <v>0</v>
          </cell>
          <cell r="E1615" t="str">
            <v/>
          </cell>
        </row>
        <row r="1616">
          <cell r="A1616" t="str">
            <v>DP1FM</v>
          </cell>
          <cell r="B1616" t="str">
            <v>SKLADEM</v>
          </cell>
          <cell r="C1616" t="str">
            <v/>
          </cell>
          <cell r="D1616">
            <v>0</v>
          </cell>
          <cell r="E1616" t="str">
            <v/>
          </cell>
        </row>
        <row r="1617">
          <cell r="A1617" t="str">
            <v>DP1FR</v>
          </cell>
          <cell r="B1617" t="str">
            <v>15.05.2024</v>
          </cell>
          <cell r="C1617">
            <v>84</v>
          </cell>
          <cell r="D1617">
            <v>0</v>
          </cell>
          <cell r="E1617" t="str">
            <v/>
          </cell>
        </row>
        <row r="1618">
          <cell r="A1618" t="str">
            <v>DP1FR E</v>
          </cell>
          <cell r="B1618" t="str">
            <v>VYPRODÁNO</v>
          </cell>
          <cell r="C1618" t="str">
            <v/>
          </cell>
          <cell r="D1618">
            <v>0</v>
          </cell>
          <cell r="E1618" t="str">
            <v/>
          </cell>
        </row>
        <row r="1619">
          <cell r="A1619" t="str">
            <v>DP1FR(1)</v>
          </cell>
          <cell r="B1619" t="str">
            <v>VYPRODÁNO</v>
          </cell>
          <cell r="C1619" t="str">
            <v/>
          </cell>
          <cell r="D1619">
            <v>0</v>
          </cell>
          <cell r="E1619" t="str">
            <v/>
          </cell>
        </row>
        <row r="1620">
          <cell r="A1620" t="str">
            <v>DP1M</v>
          </cell>
          <cell r="B1620" t="str">
            <v>SKLADEM</v>
          </cell>
          <cell r="C1620" t="str">
            <v/>
          </cell>
          <cell r="D1620">
            <v>0</v>
          </cell>
          <cell r="E1620" t="str">
            <v/>
          </cell>
        </row>
        <row r="1621">
          <cell r="A1621" t="str">
            <v>DP1M(1)</v>
          </cell>
          <cell r="B1621" t="str">
            <v>VYPRODÁNO</v>
          </cell>
          <cell r="C1621" t="str">
            <v/>
          </cell>
          <cell r="D1621">
            <v>0</v>
          </cell>
          <cell r="E1621" t="str">
            <v/>
          </cell>
        </row>
        <row r="1622">
          <cell r="A1622" t="str">
            <v>DP1P</v>
          </cell>
          <cell r="B1622" t="str">
            <v>SKLADEM</v>
          </cell>
          <cell r="C1622" t="str">
            <v/>
          </cell>
          <cell r="D1622">
            <v>0</v>
          </cell>
          <cell r="E1622" t="str">
            <v/>
          </cell>
        </row>
        <row r="1623">
          <cell r="A1623" t="str">
            <v>DP1P(1)</v>
          </cell>
          <cell r="B1623" t="str">
            <v>SKLADEM</v>
          </cell>
          <cell r="C1623" t="str">
            <v/>
          </cell>
          <cell r="D1623">
            <v>0</v>
          </cell>
          <cell r="E1623" t="str">
            <v/>
          </cell>
        </row>
        <row r="1624">
          <cell r="A1624" t="str">
            <v>DP1R</v>
          </cell>
          <cell r="B1624" t="str">
            <v>15.03.2024</v>
          </cell>
          <cell r="C1624">
            <v>23</v>
          </cell>
          <cell r="D1624" t="str">
            <v>100+</v>
          </cell>
          <cell r="E1624" t="str">
            <v/>
          </cell>
        </row>
        <row r="1625">
          <cell r="A1625" t="str">
            <v>DP1R(1)</v>
          </cell>
          <cell r="B1625" t="str">
            <v>15.03.2024</v>
          </cell>
          <cell r="C1625">
            <v>23</v>
          </cell>
          <cell r="D1625">
            <v>50</v>
          </cell>
          <cell r="E1625" t="str">
            <v/>
          </cell>
        </row>
        <row r="1626">
          <cell r="A1626" t="str">
            <v>DP1SW</v>
          </cell>
          <cell r="B1626" t="str">
            <v>SKLADEM</v>
          </cell>
          <cell r="C1626" t="str">
            <v/>
          </cell>
          <cell r="D1626">
            <v>0</v>
          </cell>
          <cell r="E1626" t="str">
            <v/>
          </cell>
        </row>
        <row r="1627">
          <cell r="A1627" t="str">
            <v>DP1T</v>
          </cell>
          <cell r="B1627" t="str">
            <v>20.06.2024</v>
          </cell>
          <cell r="C1627">
            <v>120</v>
          </cell>
          <cell r="D1627">
            <v>0</v>
          </cell>
          <cell r="E1627" t="str">
            <v/>
          </cell>
        </row>
        <row r="1628">
          <cell r="A1628" t="str">
            <v>DP1T SK</v>
          </cell>
          <cell r="B1628" t="str">
            <v>SKLADEM</v>
          </cell>
          <cell r="C1628" t="str">
            <v/>
          </cell>
          <cell r="D1628">
            <v>0</v>
          </cell>
          <cell r="E1628" t="str">
            <v/>
          </cell>
        </row>
        <row r="1629">
          <cell r="A1629" t="str">
            <v>DP1TA</v>
          </cell>
          <cell r="B1629" t="str">
            <v>SKLADEM</v>
          </cell>
          <cell r="C1629" t="str">
            <v/>
          </cell>
          <cell r="D1629">
            <v>0</v>
          </cell>
          <cell r="E1629" t="str">
            <v/>
          </cell>
        </row>
        <row r="1630">
          <cell r="A1630" t="str">
            <v>DP1TA(1)</v>
          </cell>
          <cell r="B1630" t="str">
            <v>SKLADEM</v>
          </cell>
          <cell r="C1630" t="str">
            <v/>
          </cell>
          <cell r="D1630">
            <v>0</v>
          </cell>
          <cell r="E1630" t="str">
            <v/>
          </cell>
        </row>
        <row r="1631">
          <cell r="A1631" t="str">
            <v>DP1VC</v>
          </cell>
          <cell r="B1631" t="str">
            <v>VYPRODÁNO</v>
          </cell>
          <cell r="C1631" t="str">
            <v/>
          </cell>
          <cell r="D1631">
            <v>0</v>
          </cell>
          <cell r="E1631" t="str">
            <v/>
          </cell>
        </row>
        <row r="1632">
          <cell r="A1632" t="str">
            <v>DP1VC SK</v>
          </cell>
          <cell r="B1632" t="str">
            <v>VYPRODÁNO</v>
          </cell>
          <cell r="C1632" t="str">
            <v/>
          </cell>
          <cell r="D1632">
            <v>0</v>
          </cell>
          <cell r="E1632" t="str">
            <v/>
          </cell>
        </row>
        <row r="1633">
          <cell r="A1633" t="str">
            <v>DP1VO</v>
          </cell>
          <cell r="B1633" t="str">
            <v>VYPRODÁNO</v>
          </cell>
          <cell r="C1633" t="str">
            <v/>
          </cell>
          <cell r="D1633">
            <v>0</v>
          </cell>
          <cell r="E1633" t="str">
            <v/>
          </cell>
        </row>
        <row r="1634">
          <cell r="A1634" t="str">
            <v>DP1VO SK</v>
          </cell>
          <cell r="B1634" t="str">
            <v>VYPRODÁNO</v>
          </cell>
          <cell r="C1634" t="str">
            <v/>
          </cell>
          <cell r="D1634">
            <v>0</v>
          </cell>
          <cell r="E1634" t="str">
            <v/>
          </cell>
        </row>
        <row r="1635">
          <cell r="A1635" t="str">
            <v>DP1VR</v>
          </cell>
          <cell r="B1635" t="str">
            <v>15.09.2024</v>
          </cell>
          <cell r="C1635">
            <v>207</v>
          </cell>
          <cell r="D1635">
            <v>0</v>
          </cell>
          <cell r="E1635" t="str">
            <v/>
          </cell>
        </row>
        <row r="1636">
          <cell r="A1636" t="str">
            <v>DP1Z20</v>
          </cell>
          <cell r="B1636" t="str">
            <v>15.03.2024</v>
          </cell>
          <cell r="C1636">
            <v>23</v>
          </cell>
          <cell r="D1636" t="str">
            <v>100+</v>
          </cell>
          <cell r="E1636" t="str">
            <v/>
          </cell>
        </row>
        <row r="1637">
          <cell r="A1637" t="str">
            <v>DP1Z50</v>
          </cell>
          <cell r="B1637" t="str">
            <v>SKLADEM</v>
          </cell>
          <cell r="C1637" t="str">
            <v/>
          </cell>
          <cell r="D1637">
            <v>0</v>
          </cell>
          <cell r="E1637" t="str">
            <v/>
          </cell>
        </row>
        <row r="1638">
          <cell r="A1638" t="str">
            <v>DP2CB</v>
          </cell>
          <cell r="B1638" t="str">
            <v>SKLADEM</v>
          </cell>
          <cell r="C1638" t="str">
            <v/>
          </cell>
          <cell r="D1638">
            <v>0</v>
          </cell>
          <cell r="E1638" t="str">
            <v/>
          </cell>
        </row>
        <row r="1639">
          <cell r="A1639" t="str">
            <v>DP2CB(1)</v>
          </cell>
          <cell r="B1639" t="str">
            <v>VYPRODÁNO</v>
          </cell>
          <cell r="C1639" t="str">
            <v/>
          </cell>
          <cell r="D1639">
            <v>0</v>
          </cell>
          <cell r="E1639" t="str">
            <v/>
          </cell>
        </row>
        <row r="1640">
          <cell r="A1640" t="str">
            <v>DP2W</v>
          </cell>
          <cell r="B1640" t="str">
            <v>DOCHÁZÍ</v>
          </cell>
          <cell r="C1640" t="str">
            <v/>
          </cell>
          <cell r="D1640" t="str">
            <v>100+</v>
          </cell>
          <cell r="E1640">
            <v>16</v>
          </cell>
        </row>
        <row r="1641">
          <cell r="A1641" t="str">
            <v>DS1</v>
          </cell>
          <cell r="B1641" t="str">
            <v>SKLADEM</v>
          </cell>
          <cell r="C1641" t="str">
            <v/>
          </cell>
          <cell r="D1641">
            <v>0</v>
          </cell>
          <cell r="E1641" t="str">
            <v/>
          </cell>
        </row>
        <row r="1642">
          <cell r="A1642" t="str">
            <v>DS1(1)</v>
          </cell>
          <cell r="B1642" t="str">
            <v>VYPRODÁNO</v>
          </cell>
          <cell r="C1642" t="str">
            <v/>
          </cell>
          <cell r="D1642">
            <v>0</v>
          </cell>
          <cell r="E1642" t="str">
            <v/>
          </cell>
        </row>
        <row r="1643">
          <cell r="A1643" t="str">
            <v>EB15</v>
          </cell>
          <cell r="B1643" t="str">
            <v>15.09.2024</v>
          </cell>
          <cell r="C1643">
            <v>207</v>
          </cell>
          <cell r="D1643">
            <v>0</v>
          </cell>
          <cell r="E1643" t="str">
            <v/>
          </cell>
        </row>
        <row r="1644">
          <cell r="A1644" t="str">
            <v>EB9</v>
          </cell>
          <cell r="B1644" t="str">
            <v>DOCHÁZÍ</v>
          </cell>
          <cell r="C1644" t="str">
            <v/>
          </cell>
          <cell r="D1644">
            <v>0</v>
          </cell>
          <cell r="E1644">
            <v>12</v>
          </cell>
        </row>
        <row r="1645">
          <cell r="A1645" t="str">
            <v>ED500M</v>
          </cell>
          <cell r="B1645" t="str">
            <v>VYPRODÁNO</v>
          </cell>
          <cell r="C1645" t="str">
            <v/>
          </cell>
          <cell r="D1645">
            <v>0</v>
          </cell>
          <cell r="E1645" t="str">
            <v/>
          </cell>
        </row>
        <row r="1646">
          <cell r="A1646" t="str">
            <v>EP03M</v>
          </cell>
          <cell r="B1646" t="str">
            <v>VYPRODÁNO</v>
          </cell>
          <cell r="C1646" t="str">
            <v/>
          </cell>
          <cell r="D1646">
            <v>0</v>
          </cell>
          <cell r="E1646" t="str">
            <v/>
          </cell>
        </row>
        <row r="1647">
          <cell r="A1647" t="str">
            <v>EP1M</v>
          </cell>
          <cell r="B1647" t="str">
            <v>SKLADEM</v>
          </cell>
          <cell r="C1647" t="str">
            <v/>
          </cell>
          <cell r="D1647">
            <v>0</v>
          </cell>
          <cell r="E1647" t="str">
            <v/>
          </cell>
        </row>
        <row r="1648">
          <cell r="A1648" t="str">
            <v>EP2M</v>
          </cell>
          <cell r="B1648" t="str">
            <v>SKLADEM</v>
          </cell>
          <cell r="C1648" t="str">
            <v/>
          </cell>
          <cell r="D1648">
            <v>0</v>
          </cell>
          <cell r="E1648" t="str">
            <v/>
          </cell>
        </row>
        <row r="1649">
          <cell r="A1649" t="str">
            <v>EP3M</v>
          </cell>
          <cell r="B1649" t="str">
            <v>SKLADEM</v>
          </cell>
          <cell r="C1649" t="str">
            <v/>
          </cell>
          <cell r="D1649">
            <v>0</v>
          </cell>
          <cell r="E1649" t="str">
            <v/>
          </cell>
        </row>
        <row r="1650">
          <cell r="A1650" t="str">
            <v>EP5M</v>
          </cell>
          <cell r="B1650" t="str">
            <v>SKLADEM</v>
          </cell>
          <cell r="C1650" t="str">
            <v/>
          </cell>
          <cell r="D1650">
            <v>0</v>
          </cell>
          <cell r="E1650" t="str">
            <v/>
          </cell>
        </row>
        <row r="1651">
          <cell r="A1651" t="str">
            <v>EUR1</v>
          </cell>
          <cell r="B1651" t="str">
            <v>SKLADEM</v>
          </cell>
          <cell r="C1651" t="str">
            <v/>
          </cell>
          <cell r="D1651">
            <v>0</v>
          </cell>
          <cell r="E1651" t="str">
            <v/>
          </cell>
        </row>
        <row r="1652">
          <cell r="A1652" t="str">
            <v>EURO</v>
          </cell>
          <cell r="B1652" t="str">
            <v>VYPRODÁNO</v>
          </cell>
          <cell r="C1652" t="str">
            <v/>
          </cell>
          <cell r="D1652">
            <v>0</v>
          </cell>
          <cell r="E1652" t="str">
            <v/>
          </cell>
        </row>
        <row r="1653">
          <cell r="A1653" t="str">
            <v>EXIT</v>
          </cell>
          <cell r="B1653" t="str">
            <v>VYPRODÁNO</v>
          </cell>
          <cell r="C1653" t="str">
            <v/>
          </cell>
          <cell r="D1653">
            <v>0</v>
          </cell>
          <cell r="E1653" t="str">
            <v/>
          </cell>
        </row>
        <row r="1654">
          <cell r="A1654" t="str">
            <v>F1000C</v>
          </cell>
          <cell r="B1654" t="str">
            <v>VYPRODÁNO</v>
          </cell>
          <cell r="C1654" t="str">
            <v/>
          </cell>
          <cell r="D1654">
            <v>0</v>
          </cell>
          <cell r="E1654" t="str">
            <v/>
          </cell>
        </row>
        <row r="1655">
          <cell r="A1655" t="str">
            <v>F1000MIX</v>
          </cell>
          <cell r="B1655" t="str">
            <v>VYPRODÁNO</v>
          </cell>
          <cell r="C1655" t="str">
            <v/>
          </cell>
          <cell r="D1655">
            <v>0</v>
          </cell>
          <cell r="E1655" t="str">
            <v/>
          </cell>
        </row>
        <row r="1656">
          <cell r="A1656" t="str">
            <v>F1000SC</v>
          </cell>
          <cell r="B1656" t="str">
            <v>SKLADEM</v>
          </cell>
          <cell r="C1656" t="str">
            <v/>
          </cell>
          <cell r="D1656">
            <v>0</v>
          </cell>
          <cell r="E1656" t="str">
            <v/>
          </cell>
        </row>
        <row r="1657">
          <cell r="A1657" t="str">
            <v>F1000SC E</v>
          </cell>
          <cell r="B1657" t="str">
            <v>VYPRODÁNO</v>
          </cell>
          <cell r="C1657" t="str">
            <v/>
          </cell>
          <cell r="D1657">
            <v>0</v>
          </cell>
          <cell r="E1657" t="str">
            <v/>
          </cell>
        </row>
        <row r="1658">
          <cell r="A1658" t="str">
            <v>F1000SS</v>
          </cell>
          <cell r="B1658" t="str">
            <v>SKLADEM</v>
          </cell>
          <cell r="C1658" t="str">
            <v/>
          </cell>
          <cell r="D1658">
            <v>0</v>
          </cell>
          <cell r="E1658" t="str">
            <v/>
          </cell>
        </row>
        <row r="1659">
          <cell r="A1659" t="str">
            <v>F100C</v>
          </cell>
          <cell r="B1659" t="str">
            <v>SKLADEM</v>
          </cell>
          <cell r="C1659" t="str">
            <v/>
          </cell>
          <cell r="D1659" t="str">
            <v>100+</v>
          </cell>
          <cell r="E1659" t="str">
            <v/>
          </cell>
        </row>
        <row r="1660">
          <cell r="A1660" t="str">
            <v>F100DC</v>
          </cell>
          <cell r="B1660" t="str">
            <v>SKLADEM</v>
          </cell>
          <cell r="C1660" t="str">
            <v/>
          </cell>
          <cell r="D1660">
            <v>0</v>
          </cell>
          <cell r="E1660" t="str">
            <v/>
          </cell>
        </row>
        <row r="1661">
          <cell r="A1661" t="str">
            <v>F10E</v>
          </cell>
          <cell r="B1661" t="str">
            <v>SKLADEM</v>
          </cell>
          <cell r="C1661" t="str">
            <v/>
          </cell>
          <cell r="D1661">
            <v>0</v>
          </cell>
          <cell r="E1661" t="str">
            <v/>
          </cell>
        </row>
        <row r="1662">
          <cell r="A1662" t="str">
            <v>F11M</v>
          </cell>
          <cell r="B1662" t="str">
            <v>20.06.2024</v>
          </cell>
          <cell r="C1662">
            <v>120</v>
          </cell>
          <cell r="D1662">
            <v>0</v>
          </cell>
          <cell r="E1662" t="str">
            <v/>
          </cell>
        </row>
        <row r="1663">
          <cell r="A1663" t="str">
            <v>F12C</v>
          </cell>
          <cell r="B1663" t="str">
            <v>VYPRODÁNO</v>
          </cell>
          <cell r="C1663" t="str">
            <v/>
          </cell>
          <cell r="D1663">
            <v>0</v>
          </cell>
          <cell r="E1663" t="str">
            <v/>
          </cell>
        </row>
        <row r="1664">
          <cell r="A1664" t="str">
            <v>F13T</v>
          </cell>
          <cell r="B1664" t="str">
            <v>VYPRODÁNO</v>
          </cell>
          <cell r="C1664" t="str">
            <v/>
          </cell>
          <cell r="D1664">
            <v>0</v>
          </cell>
          <cell r="E1664" t="str">
            <v/>
          </cell>
        </row>
        <row r="1665">
          <cell r="A1665" t="str">
            <v>F14R</v>
          </cell>
          <cell r="B1665" t="str">
            <v>20.06.2024</v>
          </cell>
          <cell r="C1665">
            <v>120</v>
          </cell>
          <cell r="D1665">
            <v>0</v>
          </cell>
          <cell r="E1665" t="str">
            <v/>
          </cell>
        </row>
        <row r="1666">
          <cell r="A1666" t="str">
            <v>F14R F</v>
          </cell>
          <cell r="B1666" t="str">
            <v>SKLADEM</v>
          </cell>
          <cell r="C1666" t="str">
            <v/>
          </cell>
          <cell r="D1666">
            <v>0</v>
          </cell>
          <cell r="E1666" t="str">
            <v/>
          </cell>
        </row>
        <row r="1667">
          <cell r="A1667" t="str">
            <v>F1500C</v>
          </cell>
          <cell r="B1667" t="str">
            <v>SKLADEM</v>
          </cell>
          <cell r="C1667" t="str">
            <v/>
          </cell>
          <cell r="D1667">
            <v>0</v>
          </cell>
          <cell r="E1667" t="str">
            <v/>
          </cell>
        </row>
        <row r="1668">
          <cell r="A1668" t="str">
            <v>F1500SC</v>
          </cell>
          <cell r="B1668" t="str">
            <v>VYPRODÁNO</v>
          </cell>
          <cell r="C1668" t="str">
            <v/>
          </cell>
          <cell r="D1668">
            <v>0</v>
          </cell>
          <cell r="E1668" t="str">
            <v/>
          </cell>
        </row>
        <row r="1669">
          <cell r="A1669" t="str">
            <v>F1500SS</v>
          </cell>
          <cell r="B1669" t="str">
            <v>SKLADEM</v>
          </cell>
          <cell r="C1669" t="str">
            <v/>
          </cell>
          <cell r="D1669">
            <v>0</v>
          </cell>
          <cell r="E1669" t="str">
            <v/>
          </cell>
        </row>
        <row r="1670">
          <cell r="A1670" t="str">
            <v>F15BR</v>
          </cell>
          <cell r="B1670" t="str">
            <v>SKLADEM</v>
          </cell>
          <cell r="C1670" t="str">
            <v/>
          </cell>
          <cell r="D1670">
            <v>0</v>
          </cell>
          <cell r="E1670" t="str">
            <v/>
          </cell>
        </row>
        <row r="1671">
          <cell r="A1671" t="str">
            <v>F16CS</v>
          </cell>
          <cell r="B1671" t="str">
            <v>SKLADEM</v>
          </cell>
          <cell r="C1671" t="str">
            <v/>
          </cell>
          <cell r="D1671">
            <v>0</v>
          </cell>
          <cell r="E1671" t="str">
            <v/>
          </cell>
        </row>
        <row r="1672">
          <cell r="A1672" t="str">
            <v>F1M</v>
          </cell>
          <cell r="B1672" t="str">
            <v>SKLADEM</v>
          </cell>
          <cell r="C1672" t="str">
            <v/>
          </cell>
          <cell r="D1672">
            <v>0</v>
          </cell>
          <cell r="E1672" t="str">
            <v/>
          </cell>
        </row>
        <row r="1673">
          <cell r="A1673" t="str">
            <v>F1M E</v>
          </cell>
          <cell r="B1673" t="str">
            <v>VYPRODÁNO</v>
          </cell>
          <cell r="C1673" t="str">
            <v/>
          </cell>
          <cell r="D1673">
            <v>0</v>
          </cell>
          <cell r="E1673" t="str">
            <v/>
          </cell>
        </row>
        <row r="1674">
          <cell r="A1674" t="str">
            <v>F1MF</v>
          </cell>
          <cell r="B1674" t="str">
            <v>VYPRODÁNO</v>
          </cell>
          <cell r="C1674" t="str">
            <v/>
          </cell>
          <cell r="D1674">
            <v>0</v>
          </cell>
          <cell r="E1674" t="str">
            <v/>
          </cell>
        </row>
        <row r="1675">
          <cell r="A1675" t="str">
            <v>F1U</v>
          </cell>
          <cell r="B1675" t="str">
            <v>VYPRODÁNO</v>
          </cell>
          <cell r="C1675" t="str">
            <v/>
          </cell>
          <cell r="D1675">
            <v>0</v>
          </cell>
          <cell r="E1675" t="str">
            <v/>
          </cell>
        </row>
        <row r="1676">
          <cell r="A1676" t="str">
            <v>F250C</v>
          </cell>
          <cell r="B1676" t="str">
            <v>30.09.2024</v>
          </cell>
          <cell r="C1676">
            <v>222</v>
          </cell>
          <cell r="D1676">
            <v>0</v>
          </cell>
          <cell r="E1676" t="str">
            <v/>
          </cell>
        </row>
        <row r="1677">
          <cell r="A1677" t="str">
            <v>F250SC</v>
          </cell>
          <cell r="B1677" t="str">
            <v>SKLADEM</v>
          </cell>
          <cell r="C1677" t="str">
            <v/>
          </cell>
          <cell r="D1677">
            <v>0</v>
          </cell>
          <cell r="E1677" t="str">
            <v/>
          </cell>
        </row>
        <row r="1678">
          <cell r="A1678" t="str">
            <v>F250SS</v>
          </cell>
          <cell r="B1678" t="str">
            <v>SKLADEM</v>
          </cell>
          <cell r="C1678" t="str">
            <v/>
          </cell>
          <cell r="D1678">
            <v>0</v>
          </cell>
          <cell r="E1678" t="str">
            <v/>
          </cell>
        </row>
        <row r="1679">
          <cell r="A1679" t="str">
            <v>F2DD</v>
          </cell>
          <cell r="B1679" t="str">
            <v>VYPRODÁNO</v>
          </cell>
          <cell r="C1679" t="str">
            <v/>
          </cell>
          <cell r="D1679">
            <v>0</v>
          </cell>
          <cell r="E1679" t="str">
            <v/>
          </cell>
        </row>
        <row r="1680">
          <cell r="A1680" t="str">
            <v>F2M</v>
          </cell>
          <cell r="B1680" t="str">
            <v>SKLADEM</v>
          </cell>
          <cell r="C1680" t="str">
            <v/>
          </cell>
          <cell r="D1680">
            <v>0</v>
          </cell>
          <cell r="E1680" t="str">
            <v/>
          </cell>
        </row>
        <row r="1681">
          <cell r="A1681" t="str">
            <v>F2VO</v>
          </cell>
          <cell r="B1681" t="str">
            <v>VYPRODÁNO</v>
          </cell>
          <cell r="C1681" t="str">
            <v/>
          </cell>
          <cell r="D1681">
            <v>0</v>
          </cell>
          <cell r="E1681" t="str">
            <v/>
          </cell>
        </row>
        <row r="1682">
          <cell r="A1682" t="str">
            <v>F3CC</v>
          </cell>
          <cell r="B1682" t="str">
            <v>SKLADEM</v>
          </cell>
          <cell r="C1682" t="str">
            <v/>
          </cell>
          <cell r="D1682">
            <v>0</v>
          </cell>
          <cell r="E1682" t="str">
            <v/>
          </cell>
        </row>
        <row r="1683">
          <cell r="A1683" t="str">
            <v>F3N</v>
          </cell>
          <cell r="B1683" t="str">
            <v>SKLADEM</v>
          </cell>
          <cell r="C1683" t="str">
            <v/>
          </cell>
          <cell r="D1683">
            <v>0</v>
          </cell>
          <cell r="E1683" t="str">
            <v/>
          </cell>
        </row>
        <row r="1684">
          <cell r="A1684" t="str">
            <v>F4V</v>
          </cell>
          <cell r="B1684" t="str">
            <v>VYPRODÁNO</v>
          </cell>
          <cell r="C1684" t="str">
            <v/>
          </cell>
          <cell r="D1684">
            <v>0</v>
          </cell>
          <cell r="E1684" t="str">
            <v/>
          </cell>
        </row>
        <row r="1685">
          <cell r="A1685" t="str">
            <v>F500C</v>
          </cell>
          <cell r="B1685" t="str">
            <v>SKLADEM</v>
          </cell>
          <cell r="C1685" t="str">
            <v/>
          </cell>
          <cell r="D1685">
            <v>0</v>
          </cell>
          <cell r="E1685" t="str">
            <v/>
          </cell>
        </row>
        <row r="1686">
          <cell r="A1686" t="str">
            <v>F500NO</v>
          </cell>
          <cell r="B1686" t="str">
            <v>VYPRODÁNO</v>
          </cell>
          <cell r="C1686" t="str">
            <v/>
          </cell>
          <cell r="D1686">
            <v>0</v>
          </cell>
          <cell r="E1686" t="str">
            <v/>
          </cell>
        </row>
        <row r="1687">
          <cell r="A1687" t="str">
            <v>F500SC</v>
          </cell>
          <cell r="B1687" t="str">
            <v>VYPRODÁNO</v>
          </cell>
          <cell r="C1687" t="str">
            <v/>
          </cell>
          <cell r="D1687">
            <v>0</v>
          </cell>
          <cell r="E1687" t="str">
            <v/>
          </cell>
        </row>
        <row r="1688">
          <cell r="A1688" t="str">
            <v>F500SC E</v>
          </cell>
          <cell r="B1688" t="str">
            <v>VYPRODÁNO</v>
          </cell>
          <cell r="C1688" t="str">
            <v/>
          </cell>
          <cell r="D1688">
            <v>0</v>
          </cell>
          <cell r="E1688" t="str">
            <v/>
          </cell>
        </row>
        <row r="1689">
          <cell r="A1689" t="str">
            <v>F500SIG</v>
          </cell>
          <cell r="B1689" t="str">
            <v>DOCHÁZÍ</v>
          </cell>
          <cell r="C1689" t="str">
            <v/>
          </cell>
          <cell r="D1689">
            <v>0</v>
          </cell>
          <cell r="E1689">
            <v>11</v>
          </cell>
        </row>
        <row r="1690">
          <cell r="A1690" t="str">
            <v>F500SS</v>
          </cell>
          <cell r="B1690" t="str">
            <v>SKLADEM</v>
          </cell>
          <cell r="C1690" t="str">
            <v/>
          </cell>
          <cell r="D1690">
            <v>0</v>
          </cell>
          <cell r="E1690" t="str">
            <v/>
          </cell>
        </row>
        <row r="1691">
          <cell r="A1691" t="str">
            <v>F6K</v>
          </cell>
          <cell r="B1691" t="str">
            <v>SKLADEM</v>
          </cell>
          <cell r="C1691" t="str">
            <v/>
          </cell>
          <cell r="D1691">
            <v>0</v>
          </cell>
          <cell r="E1691" t="str">
            <v/>
          </cell>
        </row>
        <row r="1692">
          <cell r="A1692" t="str">
            <v>F7F</v>
          </cell>
          <cell r="B1692" t="str">
            <v>VYPRODÁNO</v>
          </cell>
          <cell r="C1692" t="str">
            <v/>
          </cell>
          <cell r="D1692">
            <v>0</v>
          </cell>
          <cell r="E1692" t="str">
            <v/>
          </cell>
        </row>
        <row r="1693">
          <cell r="A1693" t="str">
            <v>F8B</v>
          </cell>
          <cell r="B1693" t="str">
            <v>SKLADEM</v>
          </cell>
          <cell r="C1693" t="str">
            <v/>
          </cell>
          <cell r="D1693">
            <v>0</v>
          </cell>
          <cell r="E1693" t="str">
            <v/>
          </cell>
        </row>
        <row r="1694">
          <cell r="A1694" t="str">
            <v>F9P</v>
          </cell>
          <cell r="B1694" t="str">
            <v>VYPRODÁNO</v>
          </cell>
          <cell r="C1694" t="str">
            <v/>
          </cell>
          <cell r="D1694">
            <v>0</v>
          </cell>
          <cell r="E1694" t="str">
            <v/>
          </cell>
        </row>
        <row r="1695">
          <cell r="A1695" t="str">
            <v>F-CF253STC</v>
          </cell>
          <cell r="B1695" t="str">
            <v>VYPRODÁNO</v>
          </cell>
          <cell r="C1695" t="str">
            <v/>
          </cell>
          <cell r="D1695">
            <v>0</v>
          </cell>
          <cell r="E1695" t="str">
            <v/>
          </cell>
        </row>
        <row r="1696">
          <cell r="A1696" t="str">
            <v>F-CF253STF</v>
          </cell>
          <cell r="B1696" t="str">
            <v>VYPRODÁNO</v>
          </cell>
          <cell r="C1696" t="str">
            <v/>
          </cell>
          <cell r="D1696">
            <v>0</v>
          </cell>
          <cell r="E1696" t="str">
            <v/>
          </cell>
        </row>
        <row r="1697">
          <cell r="A1697" t="str">
            <v>FM50A</v>
          </cell>
          <cell r="B1697" t="str">
            <v>VYPRODÁNO</v>
          </cell>
          <cell r="C1697" t="str">
            <v/>
          </cell>
          <cell r="D1697">
            <v>0</v>
          </cell>
          <cell r="E1697" t="str">
            <v/>
          </cell>
        </row>
        <row r="1698">
          <cell r="A1698" t="str">
            <v>FM75A</v>
          </cell>
          <cell r="B1698" t="str">
            <v>VYPRODÁNO</v>
          </cell>
          <cell r="C1698" t="str">
            <v/>
          </cell>
          <cell r="D1698">
            <v>0</v>
          </cell>
          <cell r="E1698" t="str">
            <v/>
          </cell>
        </row>
        <row r="1699">
          <cell r="A1699" t="str">
            <v>FP2</v>
          </cell>
          <cell r="B1699" t="str">
            <v>VYPRODÁNO</v>
          </cell>
          <cell r="C1699" t="str">
            <v/>
          </cell>
          <cell r="D1699">
            <v>0</v>
          </cell>
          <cell r="E1699" t="str">
            <v/>
          </cell>
        </row>
        <row r="1700">
          <cell r="A1700" t="str">
            <v>FP3</v>
          </cell>
          <cell r="B1700" t="str">
            <v>VYPRODÁNO</v>
          </cell>
          <cell r="C1700" t="str">
            <v/>
          </cell>
          <cell r="D1700">
            <v>0</v>
          </cell>
          <cell r="E1700" t="str">
            <v/>
          </cell>
        </row>
        <row r="1701">
          <cell r="A1701" t="str">
            <v>FPS1</v>
          </cell>
          <cell r="B1701" t="str">
            <v>SKLADEM</v>
          </cell>
          <cell r="C1701" t="str">
            <v/>
          </cell>
          <cell r="D1701" t="str">
            <v>100+</v>
          </cell>
          <cell r="E1701" t="str">
            <v/>
          </cell>
        </row>
        <row r="1702">
          <cell r="A1702" t="str">
            <v>HD1</v>
          </cell>
          <cell r="B1702" t="str">
            <v>SKLADEM</v>
          </cell>
          <cell r="C1702" t="str">
            <v/>
          </cell>
          <cell r="D1702">
            <v>0</v>
          </cell>
          <cell r="E1702" t="str">
            <v/>
          </cell>
        </row>
        <row r="1703">
          <cell r="A1703" t="str">
            <v>HDP60B</v>
          </cell>
          <cell r="B1703" t="str">
            <v>SKLADEM</v>
          </cell>
          <cell r="C1703" t="str">
            <v/>
          </cell>
          <cell r="D1703">
            <v>50</v>
          </cell>
          <cell r="E1703" t="str">
            <v/>
          </cell>
        </row>
        <row r="1704">
          <cell r="A1704" t="str">
            <v>HDP60C</v>
          </cell>
          <cell r="B1704" t="str">
            <v>SKLADEM</v>
          </cell>
          <cell r="C1704" t="str">
            <v/>
          </cell>
          <cell r="D1704">
            <v>0</v>
          </cell>
          <cell r="E1704" t="str">
            <v/>
          </cell>
        </row>
        <row r="1705">
          <cell r="A1705" t="str">
            <v>HDP60CER</v>
          </cell>
          <cell r="B1705" t="str">
            <v>DOCHÁZÍ</v>
          </cell>
          <cell r="C1705" t="str">
            <v/>
          </cell>
          <cell r="D1705">
            <v>0</v>
          </cell>
          <cell r="E1705">
            <v>19</v>
          </cell>
        </row>
        <row r="1706">
          <cell r="A1706" t="str">
            <v>HDP60M</v>
          </cell>
          <cell r="B1706" t="str">
            <v>SKLADEM</v>
          </cell>
          <cell r="C1706" t="str">
            <v/>
          </cell>
          <cell r="D1706">
            <v>0</v>
          </cell>
          <cell r="E1706" t="str">
            <v/>
          </cell>
        </row>
        <row r="1707">
          <cell r="A1707" t="str">
            <v>HDP60O</v>
          </cell>
          <cell r="B1707" t="str">
            <v>SKLADEM</v>
          </cell>
          <cell r="C1707" t="str">
            <v/>
          </cell>
          <cell r="D1707">
            <v>0</v>
          </cell>
          <cell r="E1707" t="str">
            <v/>
          </cell>
        </row>
        <row r="1708">
          <cell r="A1708" t="str">
            <v>HDP60ZE</v>
          </cell>
          <cell r="B1708" t="str">
            <v>SKLADEM</v>
          </cell>
          <cell r="C1708" t="str">
            <v/>
          </cell>
          <cell r="D1708">
            <v>13</v>
          </cell>
          <cell r="E1708" t="str">
            <v/>
          </cell>
        </row>
        <row r="1709">
          <cell r="A1709" t="str">
            <v>HDP60ZL</v>
          </cell>
          <cell r="B1709" t="str">
            <v>SKLADEM</v>
          </cell>
          <cell r="C1709" t="str">
            <v/>
          </cell>
          <cell r="D1709">
            <v>0</v>
          </cell>
          <cell r="E1709" t="str">
            <v/>
          </cell>
        </row>
        <row r="1710">
          <cell r="A1710" t="str">
            <v>IF220A</v>
          </cell>
          <cell r="B1710" t="str">
            <v>SKLADEM</v>
          </cell>
          <cell r="C1710" t="str">
            <v/>
          </cell>
          <cell r="D1710">
            <v>0</v>
          </cell>
          <cell r="E1710" t="str">
            <v/>
          </cell>
        </row>
        <row r="1711">
          <cell r="A1711" t="str">
            <v>IF3M10</v>
          </cell>
          <cell r="B1711" t="str">
            <v>VYPRODÁNO</v>
          </cell>
          <cell r="C1711" t="str">
            <v/>
          </cell>
          <cell r="D1711">
            <v>0</v>
          </cell>
          <cell r="E1711" t="str">
            <v/>
          </cell>
        </row>
        <row r="1712">
          <cell r="A1712" t="str">
            <v>IF3MA</v>
          </cell>
          <cell r="B1712" t="str">
            <v>15.08.2024</v>
          </cell>
          <cell r="C1712">
            <v>176</v>
          </cell>
          <cell r="D1712">
            <v>0</v>
          </cell>
          <cell r="E1712" t="str">
            <v/>
          </cell>
        </row>
        <row r="1713">
          <cell r="A1713" t="str">
            <v>IF3MB</v>
          </cell>
          <cell r="B1713" t="str">
            <v>VYPRODÁNO</v>
          </cell>
          <cell r="C1713" t="str">
            <v/>
          </cell>
          <cell r="D1713">
            <v>0</v>
          </cell>
          <cell r="E1713" t="str">
            <v/>
          </cell>
        </row>
        <row r="1714">
          <cell r="A1714" t="str">
            <v>IF530A</v>
          </cell>
          <cell r="B1714" t="str">
            <v>VYPRODÁNO</v>
          </cell>
          <cell r="C1714" t="str">
            <v/>
          </cell>
          <cell r="D1714">
            <v>0</v>
          </cell>
          <cell r="E1714" t="str">
            <v/>
          </cell>
        </row>
        <row r="1715">
          <cell r="A1715" t="str">
            <v>IF560B</v>
          </cell>
          <cell r="B1715" t="str">
            <v>SKLADEM</v>
          </cell>
          <cell r="C1715" t="str">
            <v/>
          </cell>
          <cell r="D1715">
            <v>0</v>
          </cell>
          <cell r="E1715" t="str">
            <v/>
          </cell>
        </row>
        <row r="1716">
          <cell r="A1716" t="str">
            <v>IF5M10</v>
          </cell>
          <cell r="B1716" t="str">
            <v>VYPRODÁNO</v>
          </cell>
          <cell r="C1716" t="str">
            <v/>
          </cell>
          <cell r="D1716">
            <v>0</v>
          </cell>
          <cell r="E1716" t="str">
            <v/>
          </cell>
        </row>
        <row r="1717">
          <cell r="A1717" t="str">
            <v>IF660B</v>
          </cell>
          <cell r="B1717" t="str">
            <v>SKLADEM</v>
          </cell>
          <cell r="C1717" t="str">
            <v/>
          </cell>
          <cell r="D1717">
            <v>0</v>
          </cell>
          <cell r="E1717" t="str">
            <v/>
          </cell>
        </row>
        <row r="1718">
          <cell r="A1718" t="str">
            <v>IF8M10</v>
          </cell>
          <cell r="B1718" t="str">
            <v>VYPRODÁNO</v>
          </cell>
          <cell r="C1718" t="str">
            <v/>
          </cell>
          <cell r="D1718">
            <v>0</v>
          </cell>
          <cell r="E1718" t="str">
            <v/>
          </cell>
        </row>
        <row r="1719">
          <cell r="A1719" t="str">
            <v>IS60S</v>
          </cell>
          <cell r="B1719" t="str">
            <v>VYPRODÁNO</v>
          </cell>
          <cell r="C1719" t="str">
            <v/>
          </cell>
          <cell r="D1719">
            <v>0</v>
          </cell>
          <cell r="E1719" t="str">
            <v/>
          </cell>
        </row>
        <row r="1720">
          <cell r="A1720" t="str">
            <v>IV3M</v>
          </cell>
          <cell r="B1720" t="str">
            <v>VYPRODÁNO</v>
          </cell>
          <cell r="C1720" t="str">
            <v/>
          </cell>
          <cell r="D1720">
            <v>0</v>
          </cell>
          <cell r="E1720" t="str">
            <v/>
          </cell>
        </row>
        <row r="1721">
          <cell r="A1721" t="str">
            <v>IV5M</v>
          </cell>
          <cell r="B1721" t="str">
            <v>VYPRODÁNO</v>
          </cell>
          <cell r="C1721" t="str">
            <v/>
          </cell>
          <cell r="D1721">
            <v>0</v>
          </cell>
          <cell r="E1721" t="str">
            <v/>
          </cell>
        </row>
        <row r="1722">
          <cell r="A1722" t="str">
            <v>IV8M</v>
          </cell>
          <cell r="B1722" t="str">
            <v>VYPRODÁNO</v>
          </cell>
          <cell r="C1722" t="str">
            <v/>
          </cell>
          <cell r="D1722">
            <v>0</v>
          </cell>
          <cell r="E1722" t="str">
            <v/>
          </cell>
        </row>
        <row r="1723">
          <cell r="A1723" t="str">
            <v>K01M</v>
          </cell>
          <cell r="B1723" t="str">
            <v>SKLADEM</v>
          </cell>
          <cell r="C1723" t="str">
            <v/>
          </cell>
          <cell r="D1723">
            <v>0</v>
          </cell>
          <cell r="E1723" t="str">
            <v/>
          </cell>
        </row>
        <row r="1724">
          <cell r="A1724" t="str">
            <v>K0201</v>
          </cell>
          <cell r="B1724" t="str">
            <v>VYPRODÁNO</v>
          </cell>
          <cell r="C1724" t="str">
            <v/>
          </cell>
          <cell r="D1724">
            <v>0</v>
          </cell>
          <cell r="E1724" t="str">
            <v/>
          </cell>
        </row>
        <row r="1725">
          <cell r="A1725" t="str">
            <v>K0201(1)</v>
          </cell>
          <cell r="B1725" t="str">
            <v>VYPRODÁNO</v>
          </cell>
          <cell r="C1725" t="str">
            <v/>
          </cell>
          <cell r="D1725">
            <v>0</v>
          </cell>
          <cell r="E1725" t="str">
            <v/>
          </cell>
        </row>
        <row r="1726">
          <cell r="A1726" t="str">
            <v>K0201(2)</v>
          </cell>
          <cell r="B1726" t="str">
            <v>VYPRODÁNO</v>
          </cell>
          <cell r="C1726" t="str">
            <v/>
          </cell>
          <cell r="D1726">
            <v>0</v>
          </cell>
          <cell r="E1726" t="str">
            <v/>
          </cell>
        </row>
        <row r="1727">
          <cell r="A1727" t="str">
            <v>K0203</v>
          </cell>
          <cell r="B1727" t="str">
            <v>VYPRODÁNO</v>
          </cell>
          <cell r="C1727" t="str">
            <v/>
          </cell>
          <cell r="D1727">
            <v>0</v>
          </cell>
          <cell r="E1727" t="str">
            <v/>
          </cell>
        </row>
        <row r="1728">
          <cell r="A1728" t="str">
            <v>K0203(1)</v>
          </cell>
          <cell r="B1728" t="str">
            <v>VYPRODÁNO</v>
          </cell>
          <cell r="C1728" t="str">
            <v/>
          </cell>
          <cell r="D1728">
            <v>0</v>
          </cell>
          <cell r="E1728" t="str">
            <v/>
          </cell>
        </row>
        <row r="1729">
          <cell r="A1729" t="str">
            <v>K0203(2)</v>
          </cell>
          <cell r="B1729" t="str">
            <v>VYPRODÁNO</v>
          </cell>
          <cell r="C1729" t="str">
            <v/>
          </cell>
          <cell r="D1729">
            <v>0</v>
          </cell>
          <cell r="E1729" t="str">
            <v/>
          </cell>
        </row>
        <row r="1730">
          <cell r="A1730" t="str">
            <v>K0203(25)</v>
          </cell>
          <cell r="B1730" t="str">
            <v>VYPRODÁNO</v>
          </cell>
          <cell r="C1730" t="str">
            <v/>
          </cell>
          <cell r="D1730">
            <v>0</v>
          </cell>
          <cell r="E1730" t="str">
            <v/>
          </cell>
        </row>
        <row r="1731">
          <cell r="A1731" t="str">
            <v>K0203/2</v>
          </cell>
          <cell r="B1731" t="str">
            <v>VYPRODÁNO</v>
          </cell>
          <cell r="C1731" t="str">
            <v/>
          </cell>
          <cell r="D1731">
            <v>0</v>
          </cell>
          <cell r="E1731" t="str">
            <v/>
          </cell>
        </row>
        <row r="1732">
          <cell r="A1732" t="str">
            <v>K0203/2(1)</v>
          </cell>
          <cell r="B1732" t="str">
            <v>VYPRODÁNO</v>
          </cell>
          <cell r="C1732" t="str">
            <v/>
          </cell>
          <cell r="D1732">
            <v>0</v>
          </cell>
          <cell r="E1732" t="str">
            <v/>
          </cell>
        </row>
        <row r="1733">
          <cell r="A1733" t="str">
            <v>K0203BP</v>
          </cell>
          <cell r="B1733" t="str">
            <v>DOCHÁZÍ</v>
          </cell>
          <cell r="C1733" t="str">
            <v/>
          </cell>
          <cell r="D1733" t="str">
            <v>100+</v>
          </cell>
          <cell r="E1733">
            <v>51</v>
          </cell>
        </row>
        <row r="1734">
          <cell r="A1734" t="str">
            <v>K0203K</v>
          </cell>
          <cell r="B1734" t="str">
            <v>SKLADEM</v>
          </cell>
          <cell r="C1734" t="str">
            <v/>
          </cell>
          <cell r="D1734">
            <v>0</v>
          </cell>
          <cell r="E1734" t="str">
            <v/>
          </cell>
        </row>
        <row r="1735">
          <cell r="A1735" t="str">
            <v>K0203KB</v>
          </cell>
          <cell r="B1735" t="str">
            <v>15.06.2024</v>
          </cell>
          <cell r="C1735">
            <v>115</v>
          </cell>
          <cell r="D1735">
            <v>0</v>
          </cell>
          <cell r="E1735" t="str">
            <v/>
          </cell>
        </row>
        <row r="1736">
          <cell r="A1736" t="str">
            <v>K1000R</v>
          </cell>
          <cell r="B1736" t="str">
            <v>SKLADEM</v>
          </cell>
          <cell r="C1736" t="str">
            <v/>
          </cell>
          <cell r="D1736">
            <v>0</v>
          </cell>
          <cell r="E1736" t="str">
            <v/>
          </cell>
        </row>
        <row r="1737">
          <cell r="A1737" t="str">
            <v>K100R</v>
          </cell>
          <cell r="B1737" t="str">
            <v>VYPRODÁNO</v>
          </cell>
          <cell r="C1737" t="str">
            <v/>
          </cell>
          <cell r="D1737">
            <v>0</v>
          </cell>
          <cell r="E1737" t="str">
            <v/>
          </cell>
        </row>
        <row r="1738">
          <cell r="A1738" t="str">
            <v>K10M</v>
          </cell>
          <cell r="B1738" t="str">
            <v>30.04.2024</v>
          </cell>
          <cell r="C1738">
            <v>69</v>
          </cell>
          <cell r="D1738">
            <v>0</v>
          </cell>
          <cell r="E1738" t="str">
            <v/>
          </cell>
        </row>
        <row r="1739">
          <cell r="A1739" t="str">
            <v>K1969R</v>
          </cell>
          <cell r="B1739" t="str">
            <v>SKLADEM</v>
          </cell>
          <cell r="C1739" t="str">
            <v/>
          </cell>
          <cell r="D1739">
            <v>0</v>
          </cell>
          <cell r="E1739" t="str">
            <v/>
          </cell>
        </row>
        <row r="1740">
          <cell r="A1740" t="str">
            <v>K200R</v>
          </cell>
          <cell r="B1740" t="str">
            <v>SKLADEM</v>
          </cell>
          <cell r="C1740" t="str">
            <v/>
          </cell>
          <cell r="D1740">
            <v>0</v>
          </cell>
          <cell r="E1740" t="str">
            <v/>
          </cell>
        </row>
        <row r="1741">
          <cell r="A1741" t="str">
            <v>K20K</v>
          </cell>
          <cell r="B1741" t="str">
            <v>SKLADEM</v>
          </cell>
          <cell r="C1741" t="str">
            <v/>
          </cell>
          <cell r="D1741">
            <v>0</v>
          </cell>
          <cell r="E1741" t="str">
            <v/>
          </cell>
        </row>
        <row r="1742">
          <cell r="A1742" t="str">
            <v>K5000R</v>
          </cell>
          <cell r="B1742" t="str">
            <v>VYPRODÁNO</v>
          </cell>
          <cell r="C1742" t="str">
            <v/>
          </cell>
          <cell r="D1742">
            <v>0</v>
          </cell>
          <cell r="E1742" t="str">
            <v/>
          </cell>
        </row>
        <row r="1743">
          <cell r="A1743" t="str">
            <v>K500R</v>
          </cell>
          <cell r="B1743" t="str">
            <v>SKLADEM</v>
          </cell>
          <cell r="C1743" t="str">
            <v/>
          </cell>
          <cell r="D1743">
            <v>0</v>
          </cell>
          <cell r="E1743" t="str">
            <v/>
          </cell>
        </row>
        <row r="1744">
          <cell r="A1744" t="str">
            <v>K5M</v>
          </cell>
          <cell r="B1744" t="str">
            <v>VYPRODÁNO</v>
          </cell>
          <cell r="C1744" t="str">
            <v/>
          </cell>
          <cell r="D1744">
            <v>0</v>
          </cell>
          <cell r="E1744" t="str">
            <v/>
          </cell>
        </row>
        <row r="1745">
          <cell r="A1745" t="str">
            <v>K60K</v>
          </cell>
          <cell r="B1745" t="str">
            <v>SKLADEM</v>
          </cell>
          <cell r="C1745" t="str">
            <v/>
          </cell>
          <cell r="D1745">
            <v>0</v>
          </cell>
          <cell r="E1745" t="str">
            <v/>
          </cell>
        </row>
        <row r="1746">
          <cell r="A1746" t="str">
            <v>K-C10025BPW/C14</v>
          </cell>
          <cell r="B1746" t="str">
            <v>SKLADEM</v>
          </cell>
          <cell r="C1746" t="str">
            <v/>
          </cell>
          <cell r="D1746">
            <v>0</v>
          </cell>
          <cell r="E1746" t="str">
            <v/>
          </cell>
        </row>
        <row r="1747">
          <cell r="A1747" t="str">
            <v>K-C10030XF/C14</v>
          </cell>
          <cell r="B1747" t="str">
            <v>SKLADEM</v>
          </cell>
          <cell r="C1747" t="str">
            <v/>
          </cell>
          <cell r="D1747">
            <v>0</v>
          </cell>
          <cell r="E1747" t="str">
            <v/>
          </cell>
        </row>
        <row r="1748">
          <cell r="A1748" t="str">
            <v>K-C1003B/C14</v>
          </cell>
          <cell r="B1748" t="str">
            <v>VYPRODÁNO</v>
          </cell>
          <cell r="C1748" t="str">
            <v/>
          </cell>
          <cell r="D1748">
            <v>0</v>
          </cell>
          <cell r="E1748" t="str">
            <v/>
          </cell>
        </row>
        <row r="1749">
          <cell r="A1749" t="str">
            <v>K-C1003BB/C</v>
          </cell>
          <cell r="B1749" t="str">
            <v>SKLADEM</v>
          </cell>
          <cell r="C1749" t="str">
            <v/>
          </cell>
          <cell r="D1749">
            <v>0</v>
          </cell>
          <cell r="E1749" t="str">
            <v/>
          </cell>
        </row>
        <row r="1750">
          <cell r="A1750" t="str">
            <v>K-C1003BO/C</v>
          </cell>
          <cell r="B1750" t="str">
            <v>VYPRODÁNO</v>
          </cell>
          <cell r="C1750" t="str">
            <v/>
          </cell>
          <cell r="D1750">
            <v>0</v>
          </cell>
          <cell r="E1750" t="str">
            <v/>
          </cell>
        </row>
        <row r="1751">
          <cell r="A1751" t="str">
            <v>K-C1003BP/C</v>
          </cell>
          <cell r="B1751" t="str">
            <v>SKLADEM</v>
          </cell>
          <cell r="C1751" t="str">
            <v/>
          </cell>
          <cell r="D1751">
            <v>0</v>
          </cell>
          <cell r="E1751" t="str">
            <v/>
          </cell>
        </row>
        <row r="1752">
          <cell r="A1752" t="str">
            <v>K-C1003BPF/C</v>
          </cell>
          <cell r="B1752" t="str">
            <v>SKLADEM</v>
          </cell>
          <cell r="C1752" t="str">
            <v/>
          </cell>
          <cell r="D1752">
            <v>0</v>
          </cell>
          <cell r="E1752" t="str">
            <v/>
          </cell>
        </row>
        <row r="1753">
          <cell r="A1753" t="str">
            <v>K-C1003BPW/C14</v>
          </cell>
          <cell r="B1753" t="str">
            <v>VYPRODÁNO</v>
          </cell>
          <cell r="C1753" t="str">
            <v/>
          </cell>
          <cell r="D1753">
            <v>0</v>
          </cell>
          <cell r="E1753" t="str">
            <v/>
          </cell>
        </row>
        <row r="1754">
          <cell r="A1754" t="str">
            <v>K-C1003NO/C14</v>
          </cell>
          <cell r="B1754" t="str">
            <v>SKLADEM</v>
          </cell>
          <cell r="C1754" t="str">
            <v/>
          </cell>
          <cell r="D1754">
            <v>0</v>
          </cell>
          <cell r="E1754" t="str">
            <v/>
          </cell>
        </row>
        <row r="1755">
          <cell r="A1755" t="str">
            <v>K-C1003SIG/C</v>
          </cell>
          <cell r="B1755" t="str">
            <v>SKLADEM</v>
          </cell>
          <cell r="C1755" t="str">
            <v/>
          </cell>
          <cell r="D1755">
            <v>0</v>
          </cell>
          <cell r="E1755" t="str">
            <v/>
          </cell>
        </row>
        <row r="1756">
          <cell r="A1756" t="str">
            <v>K-C1003VS/C</v>
          </cell>
          <cell r="B1756" t="str">
            <v>VYPRODÁNO</v>
          </cell>
          <cell r="C1756" t="str">
            <v/>
          </cell>
          <cell r="D1756">
            <v>0</v>
          </cell>
          <cell r="E1756" t="str">
            <v/>
          </cell>
        </row>
        <row r="1757">
          <cell r="A1757" t="str">
            <v>K-C1003W/C</v>
          </cell>
          <cell r="B1757" t="str">
            <v>VYPRODÁNO</v>
          </cell>
          <cell r="C1757" t="str">
            <v/>
          </cell>
          <cell r="D1757">
            <v>0</v>
          </cell>
          <cell r="E1757" t="str">
            <v/>
          </cell>
        </row>
        <row r="1758">
          <cell r="A1758" t="str">
            <v>K-C1003W/C14</v>
          </cell>
          <cell r="B1758" t="str">
            <v>VYPRODÁNO</v>
          </cell>
          <cell r="C1758" t="str">
            <v/>
          </cell>
          <cell r="D1758">
            <v>0</v>
          </cell>
          <cell r="E1758" t="str">
            <v/>
          </cell>
        </row>
        <row r="1759">
          <cell r="A1759" t="str">
            <v>K-C10545GI/C</v>
          </cell>
          <cell r="B1759" t="str">
            <v>SKLADEM</v>
          </cell>
          <cell r="C1759" t="str">
            <v/>
          </cell>
          <cell r="D1759">
            <v>0</v>
          </cell>
          <cell r="E1759" t="str">
            <v/>
          </cell>
        </row>
        <row r="1760">
          <cell r="A1760" t="str">
            <v>K-C1163MB/C14</v>
          </cell>
          <cell r="B1760" t="str">
            <v>VYPRODÁNO</v>
          </cell>
          <cell r="C1760" t="str">
            <v/>
          </cell>
          <cell r="D1760">
            <v>0</v>
          </cell>
          <cell r="E1760" t="str">
            <v/>
          </cell>
        </row>
        <row r="1761">
          <cell r="A1761" t="str">
            <v>K-C12230XPT/C14</v>
          </cell>
          <cell r="B1761" t="str">
            <v>SKLADEM</v>
          </cell>
          <cell r="C1761" t="str">
            <v/>
          </cell>
          <cell r="D1761">
            <v>0</v>
          </cell>
          <cell r="E1761" t="str">
            <v/>
          </cell>
        </row>
        <row r="1762">
          <cell r="A1762" t="str">
            <v>K-C12820F/C</v>
          </cell>
          <cell r="B1762" t="str">
            <v>VYPRODÁNO</v>
          </cell>
          <cell r="C1762" t="str">
            <v/>
          </cell>
          <cell r="D1762">
            <v>0</v>
          </cell>
          <cell r="E1762" t="str">
            <v/>
          </cell>
        </row>
        <row r="1763">
          <cell r="A1763" t="str">
            <v>K-C12820F/C14</v>
          </cell>
          <cell r="B1763" t="str">
            <v>VYPRODÁNO</v>
          </cell>
          <cell r="C1763" t="str">
            <v/>
          </cell>
          <cell r="D1763">
            <v>0</v>
          </cell>
          <cell r="E1763" t="str">
            <v/>
          </cell>
        </row>
        <row r="1764">
          <cell r="A1764" t="str">
            <v>K-C128XMB/C</v>
          </cell>
          <cell r="B1764" t="str">
            <v>SKLADEM</v>
          </cell>
          <cell r="C1764" t="str">
            <v/>
          </cell>
          <cell r="D1764">
            <v>0</v>
          </cell>
          <cell r="E1764" t="str">
            <v/>
          </cell>
        </row>
        <row r="1765">
          <cell r="A1765" t="str">
            <v>K-C128XMPT/C</v>
          </cell>
          <cell r="B1765" t="str">
            <v>SKLADEM</v>
          </cell>
          <cell r="C1765" t="str">
            <v/>
          </cell>
          <cell r="D1765">
            <v>0</v>
          </cell>
          <cell r="E1765" t="str">
            <v/>
          </cell>
        </row>
        <row r="1766">
          <cell r="A1766" t="str">
            <v>K-C13220B/C14</v>
          </cell>
          <cell r="B1766" t="str">
            <v>SKLADEM</v>
          </cell>
          <cell r="C1766" t="str">
            <v/>
          </cell>
          <cell r="D1766">
            <v>0</v>
          </cell>
          <cell r="E1766" t="str">
            <v/>
          </cell>
        </row>
        <row r="1767">
          <cell r="A1767" t="str">
            <v>K-C132XMPT/C</v>
          </cell>
          <cell r="B1767" t="str">
            <v>SKLADEM</v>
          </cell>
          <cell r="C1767" t="str">
            <v/>
          </cell>
          <cell r="D1767">
            <v>0</v>
          </cell>
          <cell r="E1767" t="str">
            <v/>
          </cell>
        </row>
        <row r="1768">
          <cell r="A1768" t="str">
            <v>K-C132XMPT/C14</v>
          </cell>
          <cell r="B1768" t="str">
            <v>SKLADEM</v>
          </cell>
          <cell r="C1768" t="str">
            <v/>
          </cell>
          <cell r="D1768">
            <v>0</v>
          </cell>
          <cell r="E1768" t="str">
            <v/>
          </cell>
        </row>
        <row r="1769">
          <cell r="A1769" t="str">
            <v>K-C14025XFS/C</v>
          </cell>
          <cell r="B1769" t="str">
            <v>SKLADEM</v>
          </cell>
          <cell r="C1769" t="str">
            <v/>
          </cell>
          <cell r="D1769">
            <v>0</v>
          </cell>
          <cell r="E1769" t="str">
            <v/>
          </cell>
        </row>
        <row r="1770">
          <cell r="A1770" t="str">
            <v>K-C14025XFS/C14</v>
          </cell>
          <cell r="B1770" t="str">
            <v>SKLADEM</v>
          </cell>
          <cell r="C1770" t="str">
            <v/>
          </cell>
          <cell r="D1770">
            <v>0</v>
          </cell>
          <cell r="E1770" t="str">
            <v/>
          </cell>
        </row>
        <row r="1771">
          <cell r="A1771" t="str">
            <v>K-C1503BPF/C</v>
          </cell>
          <cell r="B1771" t="str">
            <v>SKLADEM</v>
          </cell>
          <cell r="C1771" t="str">
            <v/>
          </cell>
          <cell r="D1771">
            <v>0</v>
          </cell>
          <cell r="E1771" t="str">
            <v/>
          </cell>
        </row>
        <row r="1772">
          <cell r="A1772" t="str">
            <v>K-C1503X/C</v>
          </cell>
          <cell r="B1772" t="str">
            <v>VYPRODÁNO</v>
          </cell>
          <cell r="C1772" t="str">
            <v/>
          </cell>
          <cell r="D1772">
            <v>0</v>
          </cell>
          <cell r="E1772" t="str">
            <v/>
          </cell>
        </row>
        <row r="1773">
          <cell r="A1773" t="str">
            <v>K-C150MF/C</v>
          </cell>
          <cell r="B1773" t="str">
            <v>SKLADEM</v>
          </cell>
          <cell r="C1773" t="str">
            <v/>
          </cell>
          <cell r="D1773">
            <v>0</v>
          </cell>
          <cell r="E1773" t="str">
            <v/>
          </cell>
        </row>
        <row r="1774">
          <cell r="A1774" t="str">
            <v>K-C150MPT/C</v>
          </cell>
          <cell r="B1774" t="str">
            <v>SKLADEM</v>
          </cell>
          <cell r="C1774" t="str">
            <v/>
          </cell>
          <cell r="D1774">
            <v>0</v>
          </cell>
          <cell r="E1774" t="str">
            <v/>
          </cell>
        </row>
        <row r="1775">
          <cell r="A1775" t="str">
            <v>K-C175MSIG/C</v>
          </cell>
          <cell r="B1775" t="str">
            <v>SKLADEM</v>
          </cell>
          <cell r="C1775" t="str">
            <v/>
          </cell>
          <cell r="D1775">
            <v>0</v>
          </cell>
          <cell r="E1775" t="str">
            <v/>
          </cell>
        </row>
        <row r="1776">
          <cell r="A1776" t="str">
            <v>K-C18020SIG/C</v>
          </cell>
          <cell r="B1776" t="str">
            <v>SKLADEM</v>
          </cell>
          <cell r="C1776" t="str">
            <v/>
          </cell>
          <cell r="D1776">
            <v>0</v>
          </cell>
          <cell r="E1776" t="str">
            <v/>
          </cell>
        </row>
        <row r="1777">
          <cell r="A1777" t="str">
            <v>K-C180MA</v>
          </cell>
          <cell r="B1777" t="str">
            <v>VYPRODÁNO</v>
          </cell>
          <cell r="C1777" t="str">
            <v/>
          </cell>
          <cell r="D1777">
            <v>0</v>
          </cell>
          <cell r="E1777" t="str">
            <v/>
          </cell>
        </row>
        <row r="1778">
          <cell r="A1778" t="str">
            <v>K-C188MF/C</v>
          </cell>
          <cell r="B1778" t="str">
            <v>VYPRODÁNO</v>
          </cell>
          <cell r="C1778" t="str">
            <v/>
          </cell>
          <cell r="D1778">
            <v>0</v>
          </cell>
          <cell r="E1778" t="str">
            <v/>
          </cell>
        </row>
        <row r="1779">
          <cell r="A1779" t="str">
            <v>K-C19220F/C</v>
          </cell>
          <cell r="B1779" t="str">
            <v>SKLADEM</v>
          </cell>
          <cell r="C1779" t="str">
            <v/>
          </cell>
          <cell r="D1779">
            <v>0</v>
          </cell>
          <cell r="E1779" t="str">
            <v/>
          </cell>
        </row>
        <row r="1780">
          <cell r="A1780" t="str">
            <v>K-C19225MF/C14</v>
          </cell>
          <cell r="B1780" t="str">
            <v>VYPRODÁNO</v>
          </cell>
          <cell r="C1780" t="str">
            <v/>
          </cell>
          <cell r="D1780">
            <v>0</v>
          </cell>
          <cell r="E1780" t="str">
            <v/>
          </cell>
        </row>
        <row r="1781">
          <cell r="A1781" t="str">
            <v>K-C20020XPR/C14</v>
          </cell>
          <cell r="B1781" t="str">
            <v>SKLADEM</v>
          </cell>
          <cell r="C1781" t="str">
            <v/>
          </cell>
          <cell r="D1781">
            <v>0</v>
          </cell>
          <cell r="E1781" t="str">
            <v/>
          </cell>
        </row>
        <row r="1782">
          <cell r="A1782" t="str">
            <v>K-C20025BPF/C</v>
          </cell>
          <cell r="B1782" t="str">
            <v>VYPRODÁNO</v>
          </cell>
          <cell r="C1782" t="str">
            <v/>
          </cell>
          <cell r="D1782">
            <v>0</v>
          </cell>
          <cell r="E1782" t="str">
            <v/>
          </cell>
        </row>
        <row r="1783">
          <cell r="A1783" t="str">
            <v>K-C20025F/C</v>
          </cell>
          <cell r="B1783" t="str">
            <v>VYPRODÁNO</v>
          </cell>
          <cell r="C1783" t="str">
            <v/>
          </cell>
          <cell r="D1783">
            <v>0</v>
          </cell>
          <cell r="E1783" t="str">
            <v/>
          </cell>
        </row>
        <row r="1784">
          <cell r="A1784" t="str">
            <v>K-C2003BP/C</v>
          </cell>
          <cell r="B1784" t="str">
            <v>SKLADEM</v>
          </cell>
          <cell r="C1784" t="str">
            <v/>
          </cell>
          <cell r="D1784">
            <v>0</v>
          </cell>
          <cell r="E1784" t="str">
            <v/>
          </cell>
        </row>
        <row r="1785">
          <cell r="A1785" t="str">
            <v>K-C2003U/C</v>
          </cell>
          <cell r="B1785" t="str">
            <v>VYPRODÁNO</v>
          </cell>
          <cell r="C1785" t="str">
            <v/>
          </cell>
          <cell r="D1785">
            <v>0</v>
          </cell>
          <cell r="E1785" t="str">
            <v/>
          </cell>
        </row>
        <row r="1786">
          <cell r="A1786" t="str">
            <v>K-C200MF/C</v>
          </cell>
          <cell r="B1786" t="str">
            <v>SKLADEM</v>
          </cell>
          <cell r="C1786" t="str">
            <v/>
          </cell>
          <cell r="D1786">
            <v>0</v>
          </cell>
          <cell r="E1786" t="str">
            <v/>
          </cell>
        </row>
        <row r="1787">
          <cell r="A1787" t="str">
            <v>K-C200MF/C14</v>
          </cell>
          <cell r="B1787" t="str">
            <v>VYPRODÁNO</v>
          </cell>
          <cell r="C1787" t="str">
            <v/>
          </cell>
          <cell r="D1787">
            <v>0</v>
          </cell>
          <cell r="E1787" t="str">
            <v/>
          </cell>
        </row>
        <row r="1788">
          <cell r="A1788" t="str">
            <v>K-C200MNID/C</v>
          </cell>
          <cell r="B1788" t="str">
            <v>VYPRODÁNO</v>
          </cell>
          <cell r="C1788" t="str">
            <v/>
          </cell>
          <cell r="D1788">
            <v>0</v>
          </cell>
          <cell r="E1788" t="str">
            <v/>
          </cell>
        </row>
        <row r="1789">
          <cell r="A1789" t="str">
            <v>K-C204XMPT/C</v>
          </cell>
          <cell r="B1789" t="str">
            <v>SKLADEM</v>
          </cell>
          <cell r="C1789" t="str">
            <v/>
          </cell>
          <cell r="D1789">
            <v>0</v>
          </cell>
          <cell r="E1789" t="str">
            <v/>
          </cell>
        </row>
        <row r="1790">
          <cell r="A1790" t="str">
            <v>K-C204XMPT/C14</v>
          </cell>
          <cell r="B1790" t="str">
            <v>SKLADEM</v>
          </cell>
          <cell r="C1790" t="str">
            <v/>
          </cell>
          <cell r="D1790">
            <v>0</v>
          </cell>
          <cell r="E1790" t="str">
            <v/>
          </cell>
        </row>
        <row r="1791">
          <cell r="A1791" t="str">
            <v>K-C212MF/C</v>
          </cell>
          <cell r="B1791" t="str">
            <v>SKLADEM</v>
          </cell>
          <cell r="C1791" t="str">
            <v/>
          </cell>
          <cell r="D1791">
            <v>0</v>
          </cell>
          <cell r="E1791" t="str">
            <v/>
          </cell>
        </row>
        <row r="1792">
          <cell r="A1792" t="str">
            <v>K-C216XMFS/C</v>
          </cell>
          <cell r="B1792" t="str">
            <v>SKLADEM</v>
          </cell>
          <cell r="C1792" t="str">
            <v/>
          </cell>
          <cell r="D1792">
            <v>0</v>
          </cell>
          <cell r="E1792" t="str">
            <v/>
          </cell>
        </row>
        <row r="1793">
          <cell r="A1793" t="str">
            <v>K-C216XMFS/C14</v>
          </cell>
          <cell r="B1793" t="str">
            <v>SKLADEM</v>
          </cell>
          <cell r="C1793" t="str">
            <v/>
          </cell>
          <cell r="D1793">
            <v>0</v>
          </cell>
          <cell r="E1793" t="str">
            <v/>
          </cell>
        </row>
        <row r="1794">
          <cell r="A1794" t="str">
            <v>K-C219XMPT/C</v>
          </cell>
          <cell r="B1794" t="str">
            <v>SKLADEM</v>
          </cell>
          <cell r="C1794" t="str">
            <v/>
          </cell>
          <cell r="D1794">
            <v>0</v>
          </cell>
          <cell r="E1794" t="str">
            <v/>
          </cell>
        </row>
        <row r="1795">
          <cell r="A1795" t="str">
            <v>K-C222MF/C</v>
          </cell>
          <cell r="B1795" t="str">
            <v>SKLADEM</v>
          </cell>
          <cell r="C1795" t="str">
            <v/>
          </cell>
          <cell r="D1795">
            <v>0</v>
          </cell>
          <cell r="E1795" t="str">
            <v/>
          </cell>
        </row>
        <row r="1796">
          <cell r="A1796" t="str">
            <v>K-C222MNID/C</v>
          </cell>
          <cell r="B1796" t="str">
            <v>VYPRODÁNO</v>
          </cell>
          <cell r="C1796" t="str">
            <v/>
          </cell>
          <cell r="D1796">
            <v>0</v>
          </cell>
          <cell r="E1796" t="str">
            <v/>
          </cell>
        </row>
        <row r="1797">
          <cell r="A1797" t="str">
            <v>K-C222MNPT/C</v>
          </cell>
          <cell r="B1797" t="str">
            <v>SKLADEM</v>
          </cell>
          <cell r="C1797" t="str">
            <v/>
          </cell>
          <cell r="D1797">
            <v>0</v>
          </cell>
          <cell r="E1797" t="str">
            <v/>
          </cell>
        </row>
        <row r="1798">
          <cell r="A1798" t="str">
            <v>K-C223XMK/C</v>
          </cell>
          <cell r="B1798" t="str">
            <v>SKLADEM</v>
          </cell>
          <cell r="C1798" t="str">
            <v/>
          </cell>
          <cell r="D1798">
            <v>0</v>
          </cell>
          <cell r="E1798" t="str">
            <v/>
          </cell>
        </row>
        <row r="1799">
          <cell r="A1799" t="str">
            <v>K-C223XMK/C14</v>
          </cell>
          <cell r="B1799" t="str">
            <v>SKLADEM</v>
          </cell>
          <cell r="C1799" t="str">
            <v/>
          </cell>
          <cell r="D1799">
            <v>0</v>
          </cell>
          <cell r="E1799" t="str">
            <v/>
          </cell>
        </row>
        <row r="1800">
          <cell r="A1800" t="str">
            <v>K-C25220XFS/C</v>
          </cell>
          <cell r="B1800" t="str">
            <v>VYPRODÁNO</v>
          </cell>
          <cell r="C1800" t="str">
            <v/>
          </cell>
          <cell r="D1800">
            <v>0</v>
          </cell>
          <cell r="E1800" t="str">
            <v/>
          </cell>
        </row>
        <row r="1801">
          <cell r="A1801" t="str">
            <v>K-C25220XFS/C14</v>
          </cell>
          <cell r="B1801" t="str">
            <v>SKLADEM</v>
          </cell>
          <cell r="C1801" t="str">
            <v/>
          </cell>
          <cell r="D1801">
            <v>0</v>
          </cell>
          <cell r="E1801" t="str">
            <v/>
          </cell>
        </row>
        <row r="1802">
          <cell r="A1802" t="str">
            <v>K-C253XMPT/C</v>
          </cell>
          <cell r="B1802" t="str">
            <v>SKLADEM</v>
          </cell>
          <cell r="C1802" t="str">
            <v/>
          </cell>
          <cell r="D1802">
            <v>0</v>
          </cell>
          <cell r="E1802" t="str">
            <v/>
          </cell>
        </row>
        <row r="1803">
          <cell r="A1803" t="str">
            <v>K-C25620F/C</v>
          </cell>
          <cell r="B1803" t="str">
            <v>SKLADEM</v>
          </cell>
          <cell r="C1803" t="str">
            <v/>
          </cell>
          <cell r="D1803">
            <v>0</v>
          </cell>
          <cell r="E1803" t="str">
            <v/>
          </cell>
        </row>
        <row r="1804">
          <cell r="A1804" t="str">
            <v>K-C2563F/C</v>
          </cell>
          <cell r="B1804" t="str">
            <v>VYPRODÁNO</v>
          </cell>
          <cell r="C1804" t="str">
            <v/>
          </cell>
          <cell r="D1804">
            <v>0</v>
          </cell>
          <cell r="E1804" t="str">
            <v/>
          </cell>
        </row>
        <row r="1805">
          <cell r="A1805" t="str">
            <v>K-C2563XMF/C</v>
          </cell>
          <cell r="B1805" t="str">
            <v>SKLADEM</v>
          </cell>
          <cell r="C1805" t="str">
            <v/>
          </cell>
          <cell r="D1805">
            <v>0</v>
          </cell>
          <cell r="E1805" t="str">
            <v/>
          </cell>
        </row>
        <row r="1806">
          <cell r="A1806" t="str">
            <v>K-C256XMPT/C</v>
          </cell>
          <cell r="B1806" t="str">
            <v>VYPRODÁNO</v>
          </cell>
          <cell r="C1806" t="str">
            <v/>
          </cell>
          <cell r="D1806">
            <v>0</v>
          </cell>
          <cell r="E1806" t="str">
            <v/>
          </cell>
        </row>
        <row r="1807">
          <cell r="A1807" t="str">
            <v>K-C26020F/C</v>
          </cell>
          <cell r="B1807" t="str">
            <v>SKLADEM</v>
          </cell>
          <cell r="C1807" t="str">
            <v/>
          </cell>
          <cell r="D1807">
            <v>0</v>
          </cell>
          <cell r="E1807" t="str">
            <v/>
          </cell>
        </row>
        <row r="1808">
          <cell r="A1808" t="str">
            <v>K-C26420N/C</v>
          </cell>
          <cell r="B1808" t="str">
            <v>SKLADEM</v>
          </cell>
          <cell r="C1808" t="str">
            <v/>
          </cell>
          <cell r="D1808">
            <v>0</v>
          </cell>
          <cell r="E1808" t="str">
            <v/>
          </cell>
        </row>
        <row r="1809">
          <cell r="A1809" t="str">
            <v>K-C30025BPW/C</v>
          </cell>
          <cell r="B1809" t="str">
            <v>SKLADEM</v>
          </cell>
          <cell r="C1809" t="str">
            <v/>
          </cell>
          <cell r="D1809">
            <v>0</v>
          </cell>
          <cell r="E1809" t="str">
            <v/>
          </cell>
        </row>
        <row r="1810">
          <cell r="A1810" t="str">
            <v>K-C30025F/C</v>
          </cell>
          <cell r="B1810" t="str">
            <v>SKLADEM</v>
          </cell>
          <cell r="C1810" t="str">
            <v/>
          </cell>
          <cell r="D1810">
            <v>0</v>
          </cell>
          <cell r="E1810" t="str">
            <v/>
          </cell>
        </row>
        <row r="1811">
          <cell r="A1811" t="str">
            <v>K-C30025NID/C</v>
          </cell>
          <cell r="B1811" t="str">
            <v>VYPRODÁNO</v>
          </cell>
          <cell r="C1811" t="str">
            <v/>
          </cell>
          <cell r="D1811">
            <v>0</v>
          </cell>
          <cell r="E1811" t="str">
            <v/>
          </cell>
        </row>
        <row r="1812">
          <cell r="A1812" t="str">
            <v>K-C379XMK/C</v>
          </cell>
          <cell r="B1812" t="str">
            <v>VYPRODÁNO</v>
          </cell>
          <cell r="C1812" t="str">
            <v/>
          </cell>
          <cell r="D1812">
            <v>0</v>
          </cell>
          <cell r="E1812" t="str">
            <v/>
          </cell>
        </row>
        <row r="1813">
          <cell r="A1813" t="str">
            <v>K-C39020F/C</v>
          </cell>
          <cell r="B1813" t="str">
            <v>SKLADEM</v>
          </cell>
          <cell r="C1813" t="str">
            <v/>
          </cell>
          <cell r="D1813">
            <v>0</v>
          </cell>
          <cell r="E1813" t="str">
            <v/>
          </cell>
        </row>
        <row r="1814">
          <cell r="A1814" t="str">
            <v>K-C40020XPR/C14</v>
          </cell>
          <cell r="B1814" t="str">
            <v>SKLADEM</v>
          </cell>
          <cell r="C1814" t="str">
            <v/>
          </cell>
          <cell r="D1814">
            <v>0</v>
          </cell>
          <cell r="E1814" t="str">
            <v/>
          </cell>
        </row>
        <row r="1815">
          <cell r="A1815" t="str">
            <v>K-C40025F/C</v>
          </cell>
          <cell r="B1815" t="str">
            <v>SKLADEM</v>
          </cell>
          <cell r="C1815" t="str">
            <v/>
          </cell>
          <cell r="D1815">
            <v>0</v>
          </cell>
          <cell r="E1815" t="str">
            <v/>
          </cell>
        </row>
        <row r="1816">
          <cell r="A1816" t="str">
            <v>K-C503BPW/C14</v>
          </cell>
          <cell r="B1816" t="str">
            <v>VYPRODÁNO</v>
          </cell>
          <cell r="C1816" t="str">
            <v/>
          </cell>
          <cell r="D1816">
            <v>0</v>
          </cell>
          <cell r="E1816" t="str">
            <v/>
          </cell>
        </row>
        <row r="1817">
          <cell r="A1817" t="str">
            <v>K-C503BW/C14</v>
          </cell>
          <cell r="B1817" t="str">
            <v>VYPRODÁNO</v>
          </cell>
          <cell r="C1817" t="str">
            <v/>
          </cell>
          <cell r="D1817">
            <v>0</v>
          </cell>
          <cell r="E1817" t="str">
            <v/>
          </cell>
        </row>
        <row r="1818">
          <cell r="A1818" t="str">
            <v>K-C503F/C14</v>
          </cell>
          <cell r="B1818" t="str">
            <v>VYPRODÁNO</v>
          </cell>
          <cell r="C1818" t="str">
            <v/>
          </cell>
          <cell r="D1818">
            <v>0</v>
          </cell>
          <cell r="E1818" t="str">
            <v/>
          </cell>
        </row>
        <row r="1819">
          <cell r="A1819" t="str">
            <v>K-C503ME/C14</v>
          </cell>
          <cell r="B1819" t="str">
            <v>SKLADEM</v>
          </cell>
          <cell r="C1819" t="str">
            <v/>
          </cell>
          <cell r="D1819">
            <v>0</v>
          </cell>
          <cell r="E1819" t="str">
            <v/>
          </cell>
        </row>
        <row r="1820">
          <cell r="A1820" t="str">
            <v>K-C503NID/C14</v>
          </cell>
          <cell r="B1820" t="str">
            <v>SKLADEM</v>
          </cell>
          <cell r="C1820" t="str">
            <v/>
          </cell>
          <cell r="D1820">
            <v>0</v>
          </cell>
          <cell r="E1820" t="str">
            <v/>
          </cell>
        </row>
        <row r="1821">
          <cell r="A1821" t="str">
            <v>K-C503RO/C14</v>
          </cell>
          <cell r="B1821" t="str">
            <v>VYPRODÁNO</v>
          </cell>
          <cell r="C1821" t="str">
            <v/>
          </cell>
          <cell r="D1821">
            <v>0</v>
          </cell>
          <cell r="E1821" t="str">
            <v/>
          </cell>
        </row>
        <row r="1822">
          <cell r="A1822" t="str">
            <v>K-C503SIG/C14</v>
          </cell>
          <cell r="B1822" t="str">
            <v>VYPRODÁNO</v>
          </cell>
          <cell r="C1822" t="str">
            <v/>
          </cell>
          <cell r="D1822">
            <v>0</v>
          </cell>
          <cell r="E1822" t="str">
            <v/>
          </cell>
        </row>
        <row r="1823">
          <cell r="A1823" t="str">
            <v>K-C505V/C</v>
          </cell>
          <cell r="B1823" t="str">
            <v>SKLADEM</v>
          </cell>
          <cell r="C1823" t="str">
            <v/>
          </cell>
          <cell r="D1823">
            <v>0</v>
          </cell>
          <cell r="E1823" t="str">
            <v/>
          </cell>
        </row>
        <row r="1824">
          <cell r="A1824" t="str">
            <v>K-C505X/C</v>
          </cell>
          <cell r="B1824" t="str">
            <v>SKLADEM</v>
          </cell>
          <cell r="C1824" t="str">
            <v/>
          </cell>
          <cell r="D1824">
            <v>0</v>
          </cell>
          <cell r="E1824" t="str">
            <v/>
          </cell>
        </row>
        <row r="1825">
          <cell r="A1825" t="str">
            <v>K-C52020F/C</v>
          </cell>
          <cell r="B1825" t="str">
            <v>SKLADEM</v>
          </cell>
          <cell r="C1825" t="str">
            <v/>
          </cell>
          <cell r="D1825">
            <v>0</v>
          </cell>
          <cell r="E1825" t="str">
            <v/>
          </cell>
        </row>
        <row r="1826">
          <cell r="A1826" t="str">
            <v>K-C53620F/C</v>
          </cell>
          <cell r="B1826" t="str">
            <v>SKLADEM</v>
          </cell>
          <cell r="C1826" t="str">
            <v/>
          </cell>
          <cell r="D1826">
            <v>0</v>
          </cell>
          <cell r="E1826" t="str">
            <v/>
          </cell>
        </row>
        <row r="1827">
          <cell r="A1827" t="str">
            <v>K-C583MN/C14</v>
          </cell>
          <cell r="B1827" t="str">
            <v>VYPRODÁNO</v>
          </cell>
          <cell r="C1827" t="str">
            <v/>
          </cell>
          <cell r="D1827">
            <v>0</v>
          </cell>
          <cell r="E1827" t="str">
            <v/>
          </cell>
        </row>
        <row r="1828">
          <cell r="A1828" t="str">
            <v>K-C755R/C</v>
          </cell>
          <cell r="B1828" t="str">
            <v>SKLADEM</v>
          </cell>
          <cell r="C1828" t="str">
            <v/>
          </cell>
          <cell r="D1828">
            <v>0</v>
          </cell>
          <cell r="E1828" t="str">
            <v/>
          </cell>
        </row>
        <row r="1829">
          <cell r="A1829" t="str">
            <v>K-C80020XPR/C</v>
          </cell>
          <cell r="B1829" t="str">
            <v>VYPRODÁNO</v>
          </cell>
          <cell r="C1829" t="str">
            <v/>
          </cell>
          <cell r="D1829">
            <v>0</v>
          </cell>
          <cell r="E1829" t="str">
            <v/>
          </cell>
        </row>
        <row r="1830">
          <cell r="A1830" t="str">
            <v>K-C84M12E/C</v>
          </cell>
          <cell r="B1830" t="str">
            <v>VYPRODÁNO</v>
          </cell>
          <cell r="C1830" t="str">
            <v/>
          </cell>
          <cell r="D1830">
            <v>0</v>
          </cell>
          <cell r="E1830" t="str">
            <v/>
          </cell>
        </row>
        <row r="1831">
          <cell r="A1831" t="str">
            <v>K-C84M12F/C</v>
          </cell>
          <cell r="B1831" t="str">
            <v>SKLADEM</v>
          </cell>
          <cell r="C1831" t="str">
            <v/>
          </cell>
          <cell r="D1831">
            <v>0</v>
          </cell>
          <cell r="E1831" t="str">
            <v/>
          </cell>
        </row>
        <row r="1832">
          <cell r="A1832" t="str">
            <v>K-C84M12S/C</v>
          </cell>
          <cell r="B1832" t="str">
            <v>SKLADEM</v>
          </cell>
          <cell r="C1832" t="str">
            <v/>
          </cell>
          <cell r="D1832">
            <v>0</v>
          </cell>
          <cell r="E1832" t="str">
            <v/>
          </cell>
        </row>
        <row r="1833">
          <cell r="A1833" t="str">
            <v>K-C84MC/C</v>
          </cell>
          <cell r="B1833" t="str">
            <v>SKLADEM</v>
          </cell>
          <cell r="C1833" t="str">
            <v/>
          </cell>
          <cell r="D1833">
            <v>0</v>
          </cell>
          <cell r="E1833" t="str">
            <v/>
          </cell>
        </row>
        <row r="1834">
          <cell r="A1834" t="str">
            <v>K-C9625MF/C14</v>
          </cell>
          <cell r="B1834" t="str">
            <v>SKLADEM</v>
          </cell>
          <cell r="C1834" t="str">
            <v/>
          </cell>
          <cell r="D1834">
            <v>0</v>
          </cell>
          <cell r="E1834" t="str">
            <v/>
          </cell>
        </row>
        <row r="1835">
          <cell r="A1835" t="str">
            <v>K-C9825C/C</v>
          </cell>
          <cell r="B1835" t="str">
            <v>VYPRODÁNO</v>
          </cell>
          <cell r="C1835" t="str">
            <v/>
          </cell>
          <cell r="D1835">
            <v>0</v>
          </cell>
          <cell r="E1835" t="str">
            <v/>
          </cell>
        </row>
        <row r="1836">
          <cell r="A1836" t="str">
            <v>K-C9825C/C14</v>
          </cell>
          <cell r="B1836" t="str">
            <v>SKLADEM</v>
          </cell>
          <cell r="C1836" t="str">
            <v/>
          </cell>
          <cell r="D1836">
            <v>0</v>
          </cell>
          <cell r="E1836" t="str">
            <v/>
          </cell>
        </row>
        <row r="1837">
          <cell r="A1837" t="str">
            <v>KD1</v>
          </cell>
          <cell r="B1837" t="str">
            <v>VYPRODÁNO</v>
          </cell>
          <cell r="C1837" t="str">
            <v/>
          </cell>
          <cell r="D1837">
            <v>0</v>
          </cell>
          <cell r="E1837" t="str">
            <v/>
          </cell>
        </row>
        <row r="1838">
          <cell r="A1838" t="str">
            <v>KDLE1</v>
          </cell>
          <cell r="B1838" t="str">
            <v>SKLADEM</v>
          </cell>
          <cell r="C1838" t="str">
            <v/>
          </cell>
          <cell r="D1838">
            <v>0</v>
          </cell>
          <cell r="E1838" t="str">
            <v/>
          </cell>
        </row>
        <row r="1839">
          <cell r="A1839" t="str">
            <v>KK2021</v>
          </cell>
          <cell r="B1839" t="str">
            <v>VYPRODÁNO</v>
          </cell>
          <cell r="C1839" t="str">
            <v/>
          </cell>
          <cell r="D1839">
            <v>0</v>
          </cell>
          <cell r="E1839" t="str">
            <v/>
          </cell>
        </row>
        <row r="1840">
          <cell r="A1840" t="str">
            <v>KK2022</v>
          </cell>
          <cell r="B1840" t="str">
            <v>VYPRODÁNO</v>
          </cell>
          <cell r="C1840" t="str">
            <v/>
          </cell>
          <cell r="D1840">
            <v>0</v>
          </cell>
          <cell r="E1840" t="str">
            <v/>
          </cell>
        </row>
        <row r="1841">
          <cell r="A1841" t="str">
            <v>LM0SW</v>
          </cell>
          <cell r="B1841" t="str">
            <v>SKLADEM</v>
          </cell>
          <cell r="C1841" t="str">
            <v/>
          </cell>
          <cell r="D1841">
            <v>0</v>
          </cell>
          <cell r="E1841" t="str">
            <v/>
          </cell>
        </row>
        <row r="1842">
          <cell r="A1842" t="str">
            <v>LM0SW(1)</v>
          </cell>
          <cell r="B1842" t="str">
            <v>SKLADEM</v>
          </cell>
          <cell r="C1842" t="str">
            <v/>
          </cell>
          <cell r="D1842">
            <v>0</v>
          </cell>
          <cell r="E1842" t="str">
            <v/>
          </cell>
        </row>
        <row r="1843">
          <cell r="A1843" t="str">
            <v>LM1O</v>
          </cell>
          <cell r="B1843" t="str">
            <v>15.06.2024</v>
          </cell>
          <cell r="C1843">
            <v>115</v>
          </cell>
          <cell r="D1843">
            <v>0</v>
          </cell>
          <cell r="E1843" t="str">
            <v/>
          </cell>
        </row>
        <row r="1844">
          <cell r="A1844" t="str">
            <v>LM2C</v>
          </cell>
          <cell r="B1844" t="str">
            <v>15.09.2024</v>
          </cell>
          <cell r="C1844">
            <v>207</v>
          </cell>
          <cell r="D1844">
            <v>0</v>
          </cell>
          <cell r="E1844" t="str">
            <v/>
          </cell>
        </row>
        <row r="1845">
          <cell r="A1845" t="str">
            <v>LM2V</v>
          </cell>
          <cell r="B1845" t="str">
            <v>15.08.2024</v>
          </cell>
          <cell r="C1845">
            <v>176</v>
          </cell>
          <cell r="D1845">
            <v>0</v>
          </cell>
          <cell r="E1845" t="str">
            <v/>
          </cell>
        </row>
        <row r="1846">
          <cell r="A1846" t="str">
            <v>LM3T</v>
          </cell>
          <cell r="B1846" t="str">
            <v>SKLADEM</v>
          </cell>
          <cell r="C1846" t="str">
            <v/>
          </cell>
          <cell r="D1846">
            <v>0</v>
          </cell>
          <cell r="E1846" t="str">
            <v/>
          </cell>
        </row>
        <row r="1847">
          <cell r="A1847" t="str">
            <v>LM4O</v>
          </cell>
          <cell r="B1847" t="str">
            <v>SKLADEM</v>
          </cell>
          <cell r="C1847" t="str">
            <v/>
          </cell>
          <cell r="D1847">
            <v>0</v>
          </cell>
          <cell r="E1847" t="str">
            <v/>
          </cell>
        </row>
        <row r="1848">
          <cell r="A1848" t="str">
            <v>LM5W</v>
          </cell>
          <cell r="B1848" t="str">
            <v>SKLADEM</v>
          </cell>
          <cell r="C1848" t="str">
            <v/>
          </cell>
          <cell r="D1848">
            <v>0</v>
          </cell>
          <cell r="E1848" t="str">
            <v/>
          </cell>
        </row>
        <row r="1849">
          <cell r="A1849" t="str">
            <v>LM6M</v>
          </cell>
          <cell r="B1849" t="str">
            <v>15.06.2024</v>
          </cell>
          <cell r="C1849">
            <v>115</v>
          </cell>
          <cell r="D1849">
            <v>0</v>
          </cell>
          <cell r="E1849" t="str">
            <v/>
          </cell>
        </row>
        <row r="1850">
          <cell r="A1850" t="str">
            <v>LM7S</v>
          </cell>
          <cell r="B1850" t="str">
            <v>30.04.2024</v>
          </cell>
          <cell r="C1850">
            <v>69</v>
          </cell>
          <cell r="D1850">
            <v>0</v>
          </cell>
          <cell r="E1850" t="str">
            <v/>
          </cell>
        </row>
        <row r="1851">
          <cell r="A1851" t="str">
            <v>LM7S(1)</v>
          </cell>
          <cell r="B1851" t="str">
            <v>VYPRODÁNO</v>
          </cell>
          <cell r="C1851" t="str">
            <v/>
          </cell>
          <cell r="D1851">
            <v>0</v>
          </cell>
          <cell r="E1851" t="str">
            <v/>
          </cell>
        </row>
        <row r="1852">
          <cell r="A1852" t="str">
            <v>LS1</v>
          </cell>
          <cell r="B1852" t="str">
            <v>VYPRODÁNO</v>
          </cell>
          <cell r="C1852" t="str">
            <v/>
          </cell>
          <cell r="D1852">
            <v>0</v>
          </cell>
          <cell r="E1852" t="str">
            <v/>
          </cell>
        </row>
        <row r="1853">
          <cell r="A1853" t="str">
            <v>LS2</v>
          </cell>
          <cell r="B1853" t="str">
            <v>VYPRODÁNO</v>
          </cell>
          <cell r="C1853" t="str">
            <v/>
          </cell>
          <cell r="D1853">
            <v>0</v>
          </cell>
          <cell r="E1853" t="str">
            <v/>
          </cell>
        </row>
        <row r="1854">
          <cell r="A1854" t="str">
            <v>M2</v>
          </cell>
          <cell r="B1854" t="str">
            <v>SKLADEM</v>
          </cell>
          <cell r="C1854" t="str">
            <v/>
          </cell>
          <cell r="D1854">
            <v>0</v>
          </cell>
          <cell r="E1854" t="str">
            <v/>
          </cell>
        </row>
        <row r="1855">
          <cell r="A1855" t="str">
            <v>M25</v>
          </cell>
          <cell r="B1855" t="str">
            <v>VYPRODÁNO</v>
          </cell>
          <cell r="C1855" t="str">
            <v/>
          </cell>
          <cell r="D1855">
            <v>0</v>
          </cell>
          <cell r="E1855" t="str">
            <v/>
          </cell>
        </row>
        <row r="1856">
          <cell r="A1856" t="str">
            <v>M3</v>
          </cell>
          <cell r="B1856" t="str">
            <v>SKLADEM</v>
          </cell>
          <cell r="C1856" t="str">
            <v/>
          </cell>
          <cell r="D1856">
            <v>0</v>
          </cell>
          <cell r="E1856" t="str">
            <v/>
          </cell>
        </row>
        <row r="1857">
          <cell r="A1857" t="str">
            <v>M4</v>
          </cell>
          <cell r="B1857" t="str">
            <v>15.06.2024</v>
          </cell>
          <cell r="C1857">
            <v>115</v>
          </cell>
          <cell r="D1857">
            <v>0</v>
          </cell>
          <cell r="E1857" t="str">
            <v/>
          </cell>
        </row>
        <row r="1858">
          <cell r="A1858" t="str">
            <v>M5</v>
          </cell>
          <cell r="B1858" t="str">
            <v>SKLADEM</v>
          </cell>
          <cell r="C1858" t="str">
            <v/>
          </cell>
          <cell r="D1858">
            <v>0</v>
          </cell>
          <cell r="E1858" t="str">
            <v/>
          </cell>
        </row>
        <row r="1859">
          <cell r="A1859" t="str">
            <v>M6</v>
          </cell>
          <cell r="B1859" t="str">
            <v>SKLADEM</v>
          </cell>
          <cell r="C1859" t="str">
            <v/>
          </cell>
          <cell r="D1859">
            <v>0</v>
          </cell>
          <cell r="E1859" t="str">
            <v/>
          </cell>
        </row>
        <row r="1860">
          <cell r="A1860" t="str">
            <v>MDLE1L</v>
          </cell>
          <cell r="B1860" t="str">
            <v>SKLADEM</v>
          </cell>
          <cell r="C1860" t="str">
            <v/>
          </cell>
          <cell r="D1860">
            <v>15</v>
          </cell>
          <cell r="E1860" t="str">
            <v/>
          </cell>
        </row>
        <row r="1861">
          <cell r="A1861" t="str">
            <v>MDLE1M</v>
          </cell>
          <cell r="B1861" t="str">
            <v>SKLADEM</v>
          </cell>
          <cell r="C1861" t="str">
            <v/>
          </cell>
          <cell r="D1861">
            <v>15</v>
          </cell>
          <cell r="E1861" t="str">
            <v/>
          </cell>
        </row>
        <row r="1862">
          <cell r="A1862" t="str">
            <v>MDLE1XL</v>
          </cell>
          <cell r="B1862" t="str">
            <v>DOCHÁZÍ</v>
          </cell>
          <cell r="C1862" t="str">
            <v/>
          </cell>
          <cell r="D1862">
            <v>0</v>
          </cell>
          <cell r="E1862">
            <v>1</v>
          </cell>
        </row>
        <row r="1863">
          <cell r="A1863" t="str">
            <v>MDLE1XXL</v>
          </cell>
          <cell r="B1863" t="str">
            <v>VYPRODÁNO</v>
          </cell>
          <cell r="C1863" t="str">
            <v/>
          </cell>
          <cell r="D1863">
            <v>0</v>
          </cell>
          <cell r="E1863" t="str">
            <v/>
          </cell>
        </row>
        <row r="1864">
          <cell r="A1864" t="str">
            <v>N1</v>
          </cell>
          <cell r="B1864" t="str">
            <v>SKLADEM</v>
          </cell>
          <cell r="C1864" t="str">
            <v/>
          </cell>
          <cell r="D1864">
            <v>0</v>
          </cell>
          <cell r="E1864" t="str">
            <v/>
          </cell>
        </row>
        <row r="1865">
          <cell r="A1865" t="str">
            <v>ND1</v>
          </cell>
          <cell r="B1865" t="str">
            <v>SKLADEM</v>
          </cell>
          <cell r="C1865" t="str">
            <v/>
          </cell>
          <cell r="D1865">
            <v>0</v>
          </cell>
          <cell r="E1865" t="str">
            <v/>
          </cell>
        </row>
        <row r="1866">
          <cell r="A1866" t="str">
            <v>NL26</v>
          </cell>
          <cell r="B1866" t="str">
            <v>VYPRODÁNO</v>
          </cell>
          <cell r="C1866" t="str">
            <v/>
          </cell>
          <cell r="D1866">
            <v>0</v>
          </cell>
          <cell r="E1866" t="str">
            <v/>
          </cell>
        </row>
        <row r="1867">
          <cell r="A1867" t="str">
            <v>number</v>
          </cell>
          <cell r="B1867" t="str">
            <v>VYPRODÁNO</v>
          </cell>
          <cell r="C1867" t="str">
            <v/>
          </cell>
          <cell r="D1867">
            <v>0</v>
          </cell>
          <cell r="E1867" t="str">
            <v/>
          </cell>
        </row>
        <row r="1868">
          <cell r="A1868" t="str">
            <v>OS2</v>
          </cell>
          <cell r="B1868" t="str">
            <v>VYPRODÁNO</v>
          </cell>
          <cell r="C1868" t="str">
            <v/>
          </cell>
          <cell r="D1868">
            <v>0</v>
          </cell>
          <cell r="E1868" t="str">
            <v/>
          </cell>
        </row>
        <row r="1869">
          <cell r="A1869" t="str">
            <v>OZ4</v>
          </cell>
          <cell r="B1869" t="str">
            <v>SKLADEM</v>
          </cell>
          <cell r="C1869" t="str">
            <v/>
          </cell>
          <cell r="D1869">
            <v>0</v>
          </cell>
          <cell r="E1869" t="str">
            <v/>
          </cell>
        </row>
        <row r="1870">
          <cell r="A1870" t="str">
            <v>P01</v>
          </cell>
          <cell r="B1870" t="str">
            <v>VYPRODÁNO</v>
          </cell>
          <cell r="C1870" t="str">
            <v/>
          </cell>
          <cell r="D1870">
            <v>0</v>
          </cell>
          <cell r="E1870" t="str">
            <v/>
          </cell>
        </row>
        <row r="1871">
          <cell r="A1871" t="str">
            <v>P05D</v>
          </cell>
          <cell r="B1871" t="str">
            <v>30.06.2024</v>
          </cell>
          <cell r="C1871">
            <v>130</v>
          </cell>
          <cell r="D1871">
            <v>0</v>
          </cell>
          <cell r="E1871" t="str">
            <v/>
          </cell>
        </row>
        <row r="1872">
          <cell r="A1872" t="str">
            <v>P066D20</v>
          </cell>
          <cell r="B1872" t="str">
            <v>31.03.2024</v>
          </cell>
          <cell r="C1872">
            <v>39</v>
          </cell>
          <cell r="D1872" t="str">
            <v>100+</v>
          </cell>
          <cell r="E1872" t="str">
            <v/>
          </cell>
        </row>
        <row r="1873">
          <cell r="A1873" t="str">
            <v>P1</v>
          </cell>
          <cell r="B1873" t="str">
            <v>VYPRODÁNO</v>
          </cell>
          <cell r="C1873" t="str">
            <v/>
          </cell>
          <cell r="D1873">
            <v>0</v>
          </cell>
          <cell r="E1873" t="str">
            <v/>
          </cell>
        </row>
        <row r="1874">
          <cell r="A1874" t="str">
            <v>P10D10</v>
          </cell>
          <cell r="B1874" t="str">
            <v>VYPRODÁNO</v>
          </cell>
          <cell r="C1874" t="str">
            <v/>
          </cell>
          <cell r="D1874">
            <v>0</v>
          </cell>
          <cell r="E1874" t="str">
            <v/>
          </cell>
        </row>
        <row r="1875">
          <cell r="A1875" t="str">
            <v>P10D20</v>
          </cell>
          <cell r="B1875" t="str">
            <v>29.02.2024</v>
          </cell>
          <cell r="C1875">
            <v>8</v>
          </cell>
          <cell r="D1875" t="str">
            <v>100+</v>
          </cell>
          <cell r="E1875" t="str">
            <v/>
          </cell>
        </row>
        <row r="1876">
          <cell r="A1876" t="str">
            <v>P11D E</v>
          </cell>
          <cell r="B1876" t="str">
            <v>VYPRODÁNO</v>
          </cell>
          <cell r="C1876" t="str">
            <v/>
          </cell>
          <cell r="D1876">
            <v>0</v>
          </cell>
          <cell r="E1876" t="str">
            <v/>
          </cell>
        </row>
        <row r="1877">
          <cell r="A1877" t="str">
            <v>P170</v>
          </cell>
          <cell r="B1877" t="str">
            <v>VYPRODÁNO</v>
          </cell>
          <cell r="C1877" t="str">
            <v/>
          </cell>
          <cell r="D1877">
            <v>0</v>
          </cell>
          <cell r="E1877" t="str">
            <v/>
          </cell>
        </row>
        <row r="1878">
          <cell r="A1878" t="str">
            <v>P1D</v>
          </cell>
          <cell r="B1878" t="str">
            <v>SKLADEM</v>
          </cell>
          <cell r="C1878" t="str">
            <v/>
          </cell>
          <cell r="D1878">
            <v>0</v>
          </cell>
          <cell r="E1878" t="str">
            <v/>
          </cell>
        </row>
        <row r="1879">
          <cell r="A1879" t="str">
            <v>P1DB</v>
          </cell>
          <cell r="B1879" t="str">
            <v>VYPRODÁNO</v>
          </cell>
          <cell r="C1879" t="str">
            <v/>
          </cell>
          <cell r="D1879">
            <v>0</v>
          </cell>
          <cell r="E1879" t="str">
            <v/>
          </cell>
        </row>
        <row r="1880">
          <cell r="A1880" t="str">
            <v>P22D E</v>
          </cell>
          <cell r="B1880" t="str">
            <v>VYPRODÁNO</v>
          </cell>
          <cell r="C1880" t="str">
            <v/>
          </cell>
          <cell r="D1880">
            <v>0</v>
          </cell>
          <cell r="E1880" t="str">
            <v/>
          </cell>
        </row>
        <row r="1881">
          <cell r="A1881" t="str">
            <v>P2D</v>
          </cell>
          <cell r="B1881" t="str">
            <v>SKLADEM</v>
          </cell>
          <cell r="C1881" t="str">
            <v/>
          </cell>
          <cell r="D1881">
            <v>0</v>
          </cell>
          <cell r="E1881" t="str">
            <v/>
          </cell>
        </row>
        <row r="1882">
          <cell r="A1882" t="str">
            <v>P2DB</v>
          </cell>
          <cell r="B1882" t="str">
            <v>VYPRODÁNO</v>
          </cell>
          <cell r="C1882" t="str">
            <v/>
          </cell>
          <cell r="D1882">
            <v>0</v>
          </cell>
          <cell r="E1882" t="str">
            <v/>
          </cell>
        </row>
        <row r="1883">
          <cell r="A1883" t="str">
            <v>P30D</v>
          </cell>
          <cell r="B1883" t="str">
            <v>VYPRODÁNO</v>
          </cell>
          <cell r="C1883" t="str">
            <v/>
          </cell>
          <cell r="D1883">
            <v>0</v>
          </cell>
          <cell r="E1883" t="str">
            <v/>
          </cell>
        </row>
        <row r="1884">
          <cell r="A1884" t="str">
            <v>P30D E</v>
          </cell>
          <cell r="B1884" t="str">
            <v>VYPRODÁNO</v>
          </cell>
          <cell r="C1884" t="str">
            <v/>
          </cell>
          <cell r="D1884">
            <v>0</v>
          </cell>
          <cell r="E1884" t="str">
            <v/>
          </cell>
        </row>
        <row r="1885">
          <cell r="A1885" t="str">
            <v>P30P</v>
          </cell>
          <cell r="B1885" t="str">
            <v>VYPRODÁNO</v>
          </cell>
          <cell r="C1885" t="str">
            <v/>
          </cell>
          <cell r="D1885">
            <v>0</v>
          </cell>
          <cell r="E1885" t="str">
            <v/>
          </cell>
        </row>
        <row r="1886">
          <cell r="A1886" t="str">
            <v>P3B</v>
          </cell>
          <cell r="B1886" t="str">
            <v>VYPRODÁNO</v>
          </cell>
          <cell r="C1886" t="str">
            <v/>
          </cell>
          <cell r="D1886">
            <v>0</v>
          </cell>
          <cell r="E1886" t="str">
            <v/>
          </cell>
        </row>
        <row r="1887">
          <cell r="A1887" t="str">
            <v>P40B20</v>
          </cell>
          <cell r="B1887" t="str">
            <v>VYPRODÁNO</v>
          </cell>
          <cell r="C1887" t="str">
            <v/>
          </cell>
          <cell r="D1887">
            <v>0</v>
          </cell>
          <cell r="E1887" t="str">
            <v/>
          </cell>
        </row>
        <row r="1888">
          <cell r="A1888" t="str">
            <v>P40B25</v>
          </cell>
          <cell r="B1888" t="str">
            <v>SKLADEM</v>
          </cell>
          <cell r="C1888" t="str">
            <v/>
          </cell>
          <cell r="D1888">
            <v>0</v>
          </cell>
          <cell r="E1888" t="str">
            <v/>
          </cell>
        </row>
        <row r="1889">
          <cell r="A1889" t="str">
            <v>P40C20</v>
          </cell>
          <cell r="B1889" t="str">
            <v>VYPRODÁNO</v>
          </cell>
          <cell r="C1889" t="str">
            <v/>
          </cell>
          <cell r="D1889">
            <v>0</v>
          </cell>
          <cell r="E1889" t="str">
            <v/>
          </cell>
        </row>
        <row r="1890">
          <cell r="A1890" t="str">
            <v>P40C25</v>
          </cell>
          <cell r="B1890" t="str">
            <v>SKLADEM</v>
          </cell>
          <cell r="C1890" t="str">
            <v/>
          </cell>
          <cell r="D1890">
            <v>0</v>
          </cell>
          <cell r="E1890" t="str">
            <v/>
          </cell>
        </row>
        <row r="1891">
          <cell r="A1891" t="str">
            <v>P40MO25</v>
          </cell>
          <cell r="B1891" t="str">
            <v>SKLADEM</v>
          </cell>
          <cell r="C1891" t="str">
            <v/>
          </cell>
          <cell r="D1891">
            <v>0</v>
          </cell>
          <cell r="E1891" t="str">
            <v/>
          </cell>
        </row>
        <row r="1892">
          <cell r="A1892" t="str">
            <v>P40Z20</v>
          </cell>
          <cell r="B1892" t="str">
            <v>VYPRODÁNO</v>
          </cell>
          <cell r="C1892" t="str">
            <v/>
          </cell>
          <cell r="D1892">
            <v>0</v>
          </cell>
          <cell r="E1892" t="str">
            <v/>
          </cell>
        </row>
        <row r="1893">
          <cell r="A1893" t="str">
            <v>P40Z25</v>
          </cell>
          <cell r="B1893" t="str">
            <v>SKLADEM</v>
          </cell>
          <cell r="C1893" t="str">
            <v/>
          </cell>
          <cell r="D1893">
            <v>0</v>
          </cell>
          <cell r="E1893" t="str">
            <v/>
          </cell>
        </row>
        <row r="1894">
          <cell r="A1894" t="str">
            <v>P40ZL25</v>
          </cell>
          <cell r="B1894" t="str">
            <v>DOCHÁZÍ</v>
          </cell>
          <cell r="C1894" t="str">
            <v/>
          </cell>
          <cell r="D1894">
            <v>0</v>
          </cell>
          <cell r="E1894">
            <v>11</v>
          </cell>
        </row>
        <row r="1895">
          <cell r="A1895" t="str">
            <v>P44D</v>
          </cell>
          <cell r="B1895" t="str">
            <v>VYPRODÁNO</v>
          </cell>
          <cell r="C1895" t="str">
            <v/>
          </cell>
          <cell r="D1895">
            <v>0</v>
          </cell>
          <cell r="E1895" t="str">
            <v/>
          </cell>
        </row>
        <row r="1896">
          <cell r="A1896" t="str">
            <v>P44D E</v>
          </cell>
          <cell r="B1896" t="str">
            <v>VYPRODÁNO</v>
          </cell>
          <cell r="C1896" t="str">
            <v/>
          </cell>
          <cell r="D1896">
            <v>0</v>
          </cell>
          <cell r="E1896" t="str">
            <v/>
          </cell>
        </row>
        <row r="1897">
          <cell r="A1897" t="str">
            <v>P4A</v>
          </cell>
          <cell r="B1897" t="str">
            <v>VYPRODÁNO</v>
          </cell>
          <cell r="C1897" t="str">
            <v/>
          </cell>
          <cell r="D1897">
            <v>0</v>
          </cell>
          <cell r="E1897" t="str">
            <v/>
          </cell>
        </row>
        <row r="1898">
          <cell r="A1898" t="str">
            <v>P4A(1)</v>
          </cell>
          <cell r="B1898" t="str">
            <v>SKLADEM</v>
          </cell>
          <cell r="C1898" t="str">
            <v/>
          </cell>
          <cell r="D1898">
            <v>0</v>
          </cell>
          <cell r="E1898" t="str">
            <v/>
          </cell>
        </row>
        <row r="1899">
          <cell r="A1899" t="str">
            <v>P4B</v>
          </cell>
          <cell r="B1899" t="str">
            <v>SKLADEM</v>
          </cell>
          <cell r="C1899" t="str">
            <v/>
          </cell>
          <cell r="D1899">
            <v>0</v>
          </cell>
          <cell r="E1899" t="str">
            <v/>
          </cell>
        </row>
        <row r="1900">
          <cell r="A1900" t="str">
            <v>P50D</v>
          </cell>
          <cell r="B1900" t="str">
            <v>VYPRODÁNO</v>
          </cell>
          <cell r="C1900" t="str">
            <v/>
          </cell>
          <cell r="D1900">
            <v>0</v>
          </cell>
          <cell r="E1900" t="str">
            <v/>
          </cell>
        </row>
        <row r="1901">
          <cell r="A1901" t="str">
            <v>P50D E</v>
          </cell>
          <cell r="B1901" t="str">
            <v>VYPRODÁNO</v>
          </cell>
          <cell r="C1901" t="str">
            <v/>
          </cell>
          <cell r="D1901">
            <v>0</v>
          </cell>
          <cell r="E1901" t="str">
            <v/>
          </cell>
        </row>
        <row r="1902">
          <cell r="A1902" t="str">
            <v>P5A13</v>
          </cell>
          <cell r="B1902" t="str">
            <v>SKLADEM</v>
          </cell>
          <cell r="C1902" t="str">
            <v/>
          </cell>
          <cell r="D1902">
            <v>0</v>
          </cell>
          <cell r="E1902" t="str">
            <v/>
          </cell>
        </row>
        <row r="1903">
          <cell r="A1903" t="str">
            <v>P5C E</v>
          </cell>
          <cell r="B1903" t="str">
            <v>VYPRODÁNO</v>
          </cell>
          <cell r="C1903" t="str">
            <v/>
          </cell>
          <cell r="D1903">
            <v>0</v>
          </cell>
          <cell r="E1903" t="str">
            <v/>
          </cell>
        </row>
        <row r="1904">
          <cell r="A1904" t="str">
            <v>P5C13</v>
          </cell>
          <cell r="B1904" t="str">
            <v>VYPRODÁNO</v>
          </cell>
          <cell r="C1904" t="str">
            <v/>
          </cell>
          <cell r="D1904">
            <v>0</v>
          </cell>
          <cell r="E1904" t="str">
            <v/>
          </cell>
        </row>
        <row r="1905">
          <cell r="A1905" t="str">
            <v>P5D E</v>
          </cell>
          <cell r="B1905" t="str">
            <v>VYPRODÁNO</v>
          </cell>
          <cell r="C1905" t="str">
            <v/>
          </cell>
          <cell r="D1905">
            <v>0</v>
          </cell>
          <cell r="E1905" t="str">
            <v/>
          </cell>
        </row>
        <row r="1906">
          <cell r="A1906" t="str">
            <v>P5D13</v>
          </cell>
          <cell r="B1906" t="str">
            <v>SKLADEM</v>
          </cell>
          <cell r="C1906" t="str">
            <v/>
          </cell>
          <cell r="D1906">
            <v>0</v>
          </cell>
          <cell r="E1906" t="str">
            <v/>
          </cell>
        </row>
        <row r="1907">
          <cell r="A1907" t="str">
            <v>P5D13(W)</v>
          </cell>
          <cell r="B1907" t="str">
            <v>SKLADEM</v>
          </cell>
          <cell r="C1907" t="str">
            <v/>
          </cell>
          <cell r="D1907">
            <v>0</v>
          </cell>
          <cell r="E1907" t="str">
            <v/>
          </cell>
        </row>
        <row r="1908">
          <cell r="A1908" t="str">
            <v>P5DU</v>
          </cell>
          <cell r="B1908" t="str">
            <v>08.04.2024</v>
          </cell>
          <cell r="C1908">
            <v>47</v>
          </cell>
          <cell r="D1908" t="str">
            <v>100+</v>
          </cell>
          <cell r="E1908" t="str">
            <v/>
          </cell>
        </row>
        <row r="1909">
          <cell r="A1909" t="str">
            <v>P5DU13</v>
          </cell>
          <cell r="B1909" t="str">
            <v>15.06.2024</v>
          </cell>
          <cell r="C1909">
            <v>115</v>
          </cell>
          <cell r="D1909">
            <v>0</v>
          </cell>
          <cell r="E1909" t="str">
            <v/>
          </cell>
        </row>
        <row r="1910">
          <cell r="A1910" t="str">
            <v>P5DU13(1)</v>
          </cell>
          <cell r="B1910" t="str">
            <v>VYPRODÁNO</v>
          </cell>
          <cell r="C1910" t="str">
            <v/>
          </cell>
          <cell r="D1910">
            <v>0</v>
          </cell>
          <cell r="E1910" t="str">
            <v/>
          </cell>
        </row>
        <row r="1911">
          <cell r="A1911" t="str">
            <v>P5DU13(1)B</v>
          </cell>
          <cell r="B1911" t="str">
            <v>VYPRODÁNO</v>
          </cell>
          <cell r="C1911" t="str">
            <v/>
          </cell>
          <cell r="D1911">
            <v>0</v>
          </cell>
          <cell r="E1911" t="str">
            <v/>
          </cell>
        </row>
        <row r="1912">
          <cell r="A1912" t="str">
            <v>P5DU13(M)</v>
          </cell>
          <cell r="B1912" t="str">
            <v>SKLADEM</v>
          </cell>
          <cell r="C1912" t="str">
            <v/>
          </cell>
          <cell r="D1912">
            <v>0</v>
          </cell>
          <cell r="E1912" t="str">
            <v/>
          </cell>
        </row>
        <row r="1913">
          <cell r="A1913" t="str">
            <v>P60V</v>
          </cell>
          <cell r="B1913" t="str">
            <v>VYPRODÁNO</v>
          </cell>
          <cell r="C1913" t="str">
            <v/>
          </cell>
          <cell r="D1913">
            <v>0</v>
          </cell>
          <cell r="E1913" t="str">
            <v/>
          </cell>
        </row>
        <row r="1914">
          <cell r="A1914" t="str">
            <v>P6A11</v>
          </cell>
          <cell r="B1914" t="str">
            <v>VYPRODÁNO</v>
          </cell>
          <cell r="C1914" t="str">
            <v/>
          </cell>
          <cell r="D1914">
            <v>0</v>
          </cell>
          <cell r="E1914" t="str">
            <v/>
          </cell>
        </row>
        <row r="1915">
          <cell r="A1915" t="str">
            <v>P6A11 E</v>
          </cell>
          <cell r="B1915" t="str">
            <v>VYPRODÁNO</v>
          </cell>
          <cell r="C1915" t="str">
            <v/>
          </cell>
          <cell r="D1915">
            <v>0</v>
          </cell>
          <cell r="E1915" t="str">
            <v/>
          </cell>
        </row>
        <row r="1916">
          <cell r="A1916" t="str">
            <v>P6A13</v>
          </cell>
          <cell r="B1916" t="str">
            <v>VYPRODÁNO</v>
          </cell>
          <cell r="C1916" t="str">
            <v/>
          </cell>
          <cell r="D1916">
            <v>0</v>
          </cell>
          <cell r="E1916" t="str">
            <v/>
          </cell>
        </row>
        <row r="1917">
          <cell r="A1917" t="str">
            <v>P6A13(G)</v>
          </cell>
          <cell r="B1917" t="str">
            <v>VYPRODÁNO</v>
          </cell>
          <cell r="C1917" t="str">
            <v/>
          </cell>
          <cell r="D1917">
            <v>0</v>
          </cell>
          <cell r="E1917" t="str">
            <v/>
          </cell>
        </row>
        <row r="1918">
          <cell r="A1918" t="str">
            <v>P6A13(G)F3</v>
          </cell>
          <cell r="B1918" t="str">
            <v>01.09.2024</v>
          </cell>
          <cell r="C1918">
            <v>193</v>
          </cell>
          <cell r="D1918">
            <v>0</v>
          </cell>
          <cell r="E1918" t="str">
            <v/>
          </cell>
        </row>
        <row r="1919">
          <cell r="A1919" t="str">
            <v>P6A13(G)F3-1</v>
          </cell>
          <cell r="B1919" t="str">
            <v>DOCHÁZÍ</v>
          </cell>
          <cell r="C1919" t="str">
            <v/>
          </cell>
          <cell r="D1919">
            <v>0</v>
          </cell>
          <cell r="E1919">
            <v>28</v>
          </cell>
        </row>
        <row r="1920">
          <cell r="A1920" t="str">
            <v>P6A13(R)</v>
          </cell>
          <cell r="B1920" t="str">
            <v>VYPRODÁNO</v>
          </cell>
          <cell r="C1920" t="str">
            <v/>
          </cell>
          <cell r="D1920">
            <v>0</v>
          </cell>
          <cell r="E1920" t="str">
            <v/>
          </cell>
        </row>
        <row r="1921">
          <cell r="A1921" t="str">
            <v>P6A13(R)F3</v>
          </cell>
          <cell r="B1921" t="str">
            <v>SKLADEM</v>
          </cell>
          <cell r="C1921" t="str">
            <v/>
          </cell>
          <cell r="D1921">
            <v>0</v>
          </cell>
          <cell r="E1921" t="str">
            <v/>
          </cell>
        </row>
        <row r="1922">
          <cell r="A1922" t="str">
            <v>P6A13(R)F3-1</v>
          </cell>
          <cell r="B1922" t="str">
            <v>SKLADEM</v>
          </cell>
          <cell r="C1922" t="str">
            <v/>
          </cell>
          <cell r="D1922">
            <v>0</v>
          </cell>
          <cell r="E1922" t="str">
            <v/>
          </cell>
        </row>
        <row r="1923">
          <cell r="A1923" t="str">
            <v>P6A14</v>
          </cell>
          <cell r="B1923" t="str">
            <v>VYPRODÁNO</v>
          </cell>
          <cell r="C1923" t="str">
            <v/>
          </cell>
          <cell r="D1923">
            <v>0</v>
          </cell>
          <cell r="E1923" t="str">
            <v/>
          </cell>
        </row>
        <row r="1924">
          <cell r="A1924" t="str">
            <v>P6A14(1)</v>
          </cell>
          <cell r="B1924" t="str">
            <v>VYPRODÁNO</v>
          </cell>
          <cell r="C1924" t="str">
            <v/>
          </cell>
          <cell r="D1924">
            <v>0</v>
          </cell>
          <cell r="E1924" t="str">
            <v/>
          </cell>
        </row>
        <row r="1925">
          <cell r="A1925" t="str">
            <v>P6A14F3</v>
          </cell>
          <cell r="B1925" t="str">
            <v>15.08.2024</v>
          </cell>
          <cell r="C1925">
            <v>176</v>
          </cell>
          <cell r="D1925">
            <v>0</v>
          </cell>
          <cell r="E1925" t="str">
            <v/>
          </cell>
        </row>
        <row r="1926">
          <cell r="A1926" t="str">
            <v>P6A14F3(R)</v>
          </cell>
          <cell r="B1926" t="str">
            <v>SKLADEM</v>
          </cell>
          <cell r="C1926" t="str">
            <v/>
          </cell>
          <cell r="D1926">
            <v>0</v>
          </cell>
          <cell r="E1926" t="str">
            <v/>
          </cell>
        </row>
        <row r="1927">
          <cell r="A1927" t="str">
            <v>P6AB13</v>
          </cell>
          <cell r="B1927" t="str">
            <v>VYPRODÁNO</v>
          </cell>
          <cell r="C1927" t="str">
            <v/>
          </cell>
          <cell r="D1927">
            <v>0</v>
          </cell>
          <cell r="E1927" t="str">
            <v/>
          </cell>
        </row>
        <row r="1928">
          <cell r="A1928" t="str">
            <v>P6AE</v>
          </cell>
          <cell r="B1928" t="str">
            <v>29.02.2024</v>
          </cell>
          <cell r="C1928">
            <v>8</v>
          </cell>
          <cell r="D1928" t="str">
            <v>100+</v>
          </cell>
          <cell r="E1928" t="str">
            <v/>
          </cell>
        </row>
        <row r="1929">
          <cell r="A1929" t="str">
            <v>P6AE E</v>
          </cell>
          <cell r="B1929" t="str">
            <v>VYPRODÁNO</v>
          </cell>
          <cell r="C1929" t="str">
            <v/>
          </cell>
          <cell r="D1929">
            <v>0</v>
          </cell>
          <cell r="E1929" t="str">
            <v/>
          </cell>
        </row>
        <row r="1930">
          <cell r="A1930" t="str">
            <v>P6AF11</v>
          </cell>
          <cell r="B1930" t="str">
            <v>VYPRODÁNO</v>
          </cell>
          <cell r="C1930" t="str">
            <v/>
          </cell>
          <cell r="D1930">
            <v>0</v>
          </cell>
          <cell r="E1930" t="str">
            <v/>
          </cell>
        </row>
        <row r="1931">
          <cell r="A1931" t="str">
            <v>P6AF11 E</v>
          </cell>
          <cell r="B1931" t="str">
            <v>VYPRODÁNO</v>
          </cell>
          <cell r="C1931" t="str">
            <v/>
          </cell>
          <cell r="D1931">
            <v>0</v>
          </cell>
          <cell r="E1931" t="str">
            <v/>
          </cell>
        </row>
        <row r="1932">
          <cell r="A1932" t="str">
            <v>P6AF13</v>
          </cell>
          <cell r="B1932" t="str">
            <v>VYPRODÁNO</v>
          </cell>
          <cell r="C1932" t="str">
            <v/>
          </cell>
          <cell r="D1932">
            <v>0</v>
          </cell>
          <cell r="E1932" t="str">
            <v/>
          </cell>
        </row>
        <row r="1933">
          <cell r="A1933" t="str">
            <v>P6AFM</v>
          </cell>
          <cell r="B1933" t="str">
            <v>VYPRODÁNO</v>
          </cell>
          <cell r="C1933" t="str">
            <v/>
          </cell>
          <cell r="D1933">
            <v>0</v>
          </cell>
          <cell r="E1933" t="str">
            <v/>
          </cell>
        </row>
        <row r="1934">
          <cell r="A1934" t="str">
            <v>P6AM</v>
          </cell>
          <cell r="B1934" t="str">
            <v>VYPRODÁNO</v>
          </cell>
          <cell r="C1934" t="str">
            <v/>
          </cell>
          <cell r="D1934">
            <v>0</v>
          </cell>
          <cell r="E1934" t="str">
            <v/>
          </cell>
        </row>
        <row r="1935">
          <cell r="A1935" t="str">
            <v>P6AP13</v>
          </cell>
          <cell r="B1935" t="str">
            <v>VYPRODÁNO</v>
          </cell>
          <cell r="C1935" t="str">
            <v/>
          </cell>
          <cell r="D1935">
            <v>0</v>
          </cell>
          <cell r="E1935" t="str">
            <v/>
          </cell>
        </row>
        <row r="1936">
          <cell r="A1936" t="str">
            <v>P6B11</v>
          </cell>
          <cell r="B1936" t="str">
            <v>VYPRODÁNO</v>
          </cell>
          <cell r="C1936" t="str">
            <v/>
          </cell>
          <cell r="D1936">
            <v>0</v>
          </cell>
          <cell r="E1936" t="str">
            <v/>
          </cell>
        </row>
        <row r="1937">
          <cell r="A1937" t="str">
            <v>P6B11 E</v>
          </cell>
          <cell r="B1937" t="str">
            <v>VYPRODÁNO</v>
          </cell>
          <cell r="C1937" t="str">
            <v/>
          </cell>
          <cell r="D1937">
            <v>0</v>
          </cell>
          <cell r="E1937" t="str">
            <v/>
          </cell>
        </row>
        <row r="1938">
          <cell r="A1938" t="str">
            <v>P7A14</v>
          </cell>
          <cell r="B1938" t="str">
            <v>SKLADEM</v>
          </cell>
          <cell r="C1938" t="str">
            <v/>
          </cell>
          <cell r="D1938">
            <v>0</v>
          </cell>
          <cell r="E1938" t="str">
            <v/>
          </cell>
        </row>
        <row r="1939">
          <cell r="A1939" t="str">
            <v>P7D E</v>
          </cell>
          <cell r="B1939" t="str">
            <v>VYPRODÁNO</v>
          </cell>
          <cell r="C1939" t="str">
            <v/>
          </cell>
          <cell r="D1939">
            <v>0</v>
          </cell>
          <cell r="E1939" t="str">
            <v/>
          </cell>
        </row>
        <row r="1940">
          <cell r="A1940" t="str">
            <v>P7V E</v>
          </cell>
          <cell r="B1940" t="str">
            <v>VYPRODÁNO</v>
          </cell>
          <cell r="C1940" t="str">
            <v/>
          </cell>
          <cell r="D1940">
            <v>0</v>
          </cell>
          <cell r="E1940" t="str">
            <v/>
          </cell>
        </row>
        <row r="1941">
          <cell r="A1941" t="str">
            <v>P8DCH</v>
          </cell>
          <cell r="B1941" t="str">
            <v>DOCHÁZÍ</v>
          </cell>
          <cell r="C1941" t="str">
            <v/>
          </cell>
          <cell r="D1941">
            <v>0</v>
          </cell>
          <cell r="E1941">
            <v>20</v>
          </cell>
        </row>
        <row r="1942">
          <cell r="A1942" t="str">
            <v>P8DCH(CH)</v>
          </cell>
          <cell r="B1942" t="str">
            <v>VYPRODÁNO</v>
          </cell>
          <cell r="C1942" t="str">
            <v/>
          </cell>
          <cell r="D1942">
            <v>0</v>
          </cell>
          <cell r="E1942" t="str">
            <v/>
          </cell>
        </row>
        <row r="1943">
          <cell r="A1943" t="str">
            <v>PB120D</v>
          </cell>
          <cell r="B1943" t="str">
            <v>30.04.2024</v>
          </cell>
          <cell r="C1943">
            <v>69</v>
          </cell>
          <cell r="D1943">
            <v>0</v>
          </cell>
          <cell r="E1943" t="str">
            <v/>
          </cell>
        </row>
        <row r="1944">
          <cell r="A1944" t="str">
            <v>PB120D E</v>
          </cell>
          <cell r="B1944" t="str">
            <v>VYPRODÁNO</v>
          </cell>
          <cell r="C1944" t="str">
            <v/>
          </cell>
          <cell r="D1944">
            <v>0</v>
          </cell>
          <cell r="E1944" t="str">
            <v/>
          </cell>
        </row>
        <row r="1945">
          <cell r="A1945" t="str">
            <v>PK1</v>
          </cell>
          <cell r="B1945" t="str">
            <v>VYPRODÁNO</v>
          </cell>
          <cell r="C1945" t="str">
            <v/>
          </cell>
          <cell r="D1945">
            <v>0</v>
          </cell>
          <cell r="E1945" t="str">
            <v/>
          </cell>
        </row>
        <row r="1946">
          <cell r="A1946" t="str">
            <v>PK2</v>
          </cell>
          <cell r="B1946" t="str">
            <v>VYPRODÁNO</v>
          </cell>
          <cell r="C1946" t="str">
            <v/>
          </cell>
          <cell r="D1946">
            <v>0</v>
          </cell>
          <cell r="E1946" t="str">
            <v/>
          </cell>
        </row>
        <row r="1947">
          <cell r="A1947" t="str">
            <v>PL1CZE</v>
          </cell>
          <cell r="B1947" t="str">
            <v>VYPRODÁNO</v>
          </cell>
          <cell r="C1947" t="str">
            <v/>
          </cell>
          <cell r="D1947">
            <v>0</v>
          </cell>
          <cell r="E1947" t="str">
            <v/>
          </cell>
        </row>
        <row r="1948">
          <cell r="A1948" t="str">
            <v>PL1DU</v>
          </cell>
          <cell r="B1948" t="str">
            <v>SKLADEM</v>
          </cell>
          <cell r="C1948" t="str">
            <v/>
          </cell>
          <cell r="D1948">
            <v>0</v>
          </cell>
          <cell r="E1948" t="str">
            <v/>
          </cell>
        </row>
        <row r="1949">
          <cell r="A1949" t="str">
            <v>PL1SVK</v>
          </cell>
          <cell r="B1949" t="str">
            <v>VYPRODÁNO</v>
          </cell>
          <cell r="C1949" t="str">
            <v/>
          </cell>
          <cell r="D1949">
            <v>0</v>
          </cell>
          <cell r="E1949" t="str">
            <v/>
          </cell>
        </row>
        <row r="1950">
          <cell r="A1950" t="str">
            <v>PL2CZE</v>
          </cell>
          <cell r="B1950" t="str">
            <v>VYPRODÁNO</v>
          </cell>
          <cell r="C1950" t="str">
            <v/>
          </cell>
          <cell r="D1950">
            <v>0</v>
          </cell>
          <cell r="E1950" t="str">
            <v/>
          </cell>
        </row>
        <row r="1951">
          <cell r="A1951" t="str">
            <v>PL2SVK</v>
          </cell>
          <cell r="B1951" t="str">
            <v>VYPRODÁNO</v>
          </cell>
          <cell r="C1951" t="str">
            <v/>
          </cell>
          <cell r="D1951">
            <v>0</v>
          </cell>
          <cell r="E1951" t="str">
            <v/>
          </cell>
        </row>
        <row r="1952">
          <cell r="A1952" t="str">
            <v>PLZ420</v>
          </cell>
          <cell r="B1952" t="str">
            <v>DOCHÁZÍ</v>
          </cell>
          <cell r="C1952" t="str">
            <v/>
          </cell>
          <cell r="D1952">
            <v>0</v>
          </cell>
          <cell r="E1952">
            <v>16</v>
          </cell>
        </row>
        <row r="1953">
          <cell r="A1953" t="str">
            <v>PLZ720D</v>
          </cell>
          <cell r="B1953" t="str">
            <v>VYPRODÁNO</v>
          </cell>
          <cell r="C1953" t="str">
            <v/>
          </cell>
          <cell r="D1953">
            <v>0</v>
          </cell>
          <cell r="E1953" t="str">
            <v/>
          </cell>
        </row>
        <row r="1954">
          <cell r="A1954" t="str">
            <v>PPMD1</v>
          </cell>
          <cell r="B1954" t="str">
            <v>DOCHÁZÍ</v>
          </cell>
          <cell r="C1954" t="str">
            <v/>
          </cell>
          <cell r="D1954">
            <v>0</v>
          </cell>
          <cell r="E1954">
            <v>5</v>
          </cell>
        </row>
        <row r="1955">
          <cell r="A1955" t="str">
            <v>PS05D</v>
          </cell>
          <cell r="B1955" t="str">
            <v>VYPRODÁNO</v>
          </cell>
          <cell r="C1955" t="str">
            <v/>
          </cell>
          <cell r="D1955">
            <v>0</v>
          </cell>
          <cell r="E1955" t="str">
            <v/>
          </cell>
        </row>
        <row r="1956">
          <cell r="A1956" t="str">
            <v>PS05D(1)</v>
          </cell>
          <cell r="B1956" t="str">
            <v>VYPRODÁNO</v>
          </cell>
          <cell r="C1956" t="str">
            <v/>
          </cell>
          <cell r="D1956">
            <v>0</v>
          </cell>
          <cell r="E1956" t="str">
            <v/>
          </cell>
        </row>
        <row r="1957">
          <cell r="A1957" t="str">
            <v>PS10D10</v>
          </cell>
          <cell r="B1957" t="str">
            <v>VYPRODÁNO</v>
          </cell>
          <cell r="C1957" t="str">
            <v/>
          </cell>
          <cell r="D1957">
            <v>0</v>
          </cell>
          <cell r="E1957" t="str">
            <v/>
          </cell>
        </row>
        <row r="1958">
          <cell r="A1958" t="str">
            <v>PS10D10(1)</v>
          </cell>
          <cell r="B1958" t="str">
            <v>VYPRODÁNO</v>
          </cell>
          <cell r="C1958" t="str">
            <v/>
          </cell>
          <cell r="D1958">
            <v>0</v>
          </cell>
          <cell r="E1958" t="str">
            <v/>
          </cell>
        </row>
        <row r="1959">
          <cell r="A1959" t="str">
            <v>R100M</v>
          </cell>
          <cell r="B1959" t="str">
            <v>15.03.2024</v>
          </cell>
          <cell r="C1959">
            <v>23</v>
          </cell>
          <cell r="D1959" t="str">
            <v>100+</v>
          </cell>
          <cell r="E1959" t="str">
            <v/>
          </cell>
        </row>
        <row r="1960">
          <cell r="A1960" t="str">
            <v>R12T1</v>
          </cell>
          <cell r="B1960" t="str">
            <v>SKLADEM</v>
          </cell>
          <cell r="C1960" t="str">
            <v/>
          </cell>
          <cell r="D1960">
            <v>0</v>
          </cell>
          <cell r="E1960" t="str">
            <v/>
          </cell>
        </row>
        <row r="1961">
          <cell r="A1961" t="str">
            <v>R12T3</v>
          </cell>
          <cell r="B1961" t="str">
            <v>SKLADEM</v>
          </cell>
          <cell r="C1961" t="str">
            <v/>
          </cell>
          <cell r="D1961">
            <v>0</v>
          </cell>
          <cell r="E1961" t="str">
            <v/>
          </cell>
        </row>
        <row r="1962">
          <cell r="A1962" t="str">
            <v>R135A</v>
          </cell>
          <cell r="B1962" t="str">
            <v>VYPRODÁNO</v>
          </cell>
          <cell r="C1962" t="str">
            <v/>
          </cell>
          <cell r="D1962">
            <v>0</v>
          </cell>
          <cell r="E1962" t="str">
            <v/>
          </cell>
        </row>
        <row r="1963">
          <cell r="A1963" t="str">
            <v>R135A E</v>
          </cell>
          <cell r="B1963" t="str">
            <v>VYPRODÁNO</v>
          </cell>
          <cell r="C1963" t="str">
            <v/>
          </cell>
          <cell r="D1963">
            <v>0</v>
          </cell>
          <cell r="E1963" t="str">
            <v/>
          </cell>
        </row>
        <row r="1964">
          <cell r="A1964" t="str">
            <v>R135D</v>
          </cell>
          <cell r="B1964" t="str">
            <v>VYPRODÁNO</v>
          </cell>
          <cell r="C1964" t="str">
            <v/>
          </cell>
          <cell r="D1964">
            <v>0</v>
          </cell>
          <cell r="E1964" t="str">
            <v/>
          </cell>
        </row>
        <row r="1965">
          <cell r="A1965" t="str">
            <v>R170B</v>
          </cell>
          <cell r="B1965" t="str">
            <v>SKLADEM</v>
          </cell>
          <cell r="C1965" t="str">
            <v/>
          </cell>
          <cell r="D1965">
            <v>0</v>
          </cell>
          <cell r="E1965" t="str">
            <v/>
          </cell>
        </row>
        <row r="1966">
          <cell r="A1966" t="str">
            <v>R170B E</v>
          </cell>
          <cell r="B1966" t="str">
            <v>VYPRODÁNO</v>
          </cell>
          <cell r="C1966" t="str">
            <v/>
          </cell>
          <cell r="D1966">
            <v>0</v>
          </cell>
          <cell r="E1966" t="str">
            <v/>
          </cell>
        </row>
        <row r="1967">
          <cell r="A1967" t="str">
            <v>R170M</v>
          </cell>
          <cell r="B1967" t="str">
            <v>SKLADEM</v>
          </cell>
          <cell r="C1967" t="str">
            <v/>
          </cell>
          <cell r="D1967">
            <v>0</v>
          </cell>
          <cell r="E1967" t="str">
            <v/>
          </cell>
        </row>
        <row r="1968">
          <cell r="A1968" t="str">
            <v>R170T</v>
          </cell>
          <cell r="B1968" t="str">
            <v>VYPRODÁNO</v>
          </cell>
          <cell r="C1968" t="str">
            <v/>
          </cell>
          <cell r="D1968">
            <v>0</v>
          </cell>
          <cell r="E1968" t="str">
            <v/>
          </cell>
        </row>
        <row r="1969">
          <cell r="A1969" t="str">
            <v>R170X</v>
          </cell>
          <cell r="B1969" t="str">
            <v>SKLADEM</v>
          </cell>
          <cell r="C1969" t="str">
            <v/>
          </cell>
          <cell r="D1969">
            <v>0</v>
          </cell>
          <cell r="E1969" t="str">
            <v/>
          </cell>
        </row>
        <row r="1970">
          <cell r="A1970" t="str">
            <v>R1A</v>
          </cell>
          <cell r="B1970" t="str">
            <v>VYPRODÁNO</v>
          </cell>
          <cell r="C1970" t="str">
            <v/>
          </cell>
          <cell r="D1970">
            <v>0</v>
          </cell>
          <cell r="E1970" t="str">
            <v/>
          </cell>
        </row>
        <row r="1971">
          <cell r="A1971" t="str">
            <v>R1A14</v>
          </cell>
          <cell r="B1971" t="str">
            <v>VYPRODÁNO</v>
          </cell>
          <cell r="C1971" t="str">
            <v/>
          </cell>
          <cell r="D1971">
            <v>0</v>
          </cell>
          <cell r="E1971" t="str">
            <v/>
          </cell>
        </row>
        <row r="1972">
          <cell r="A1972" t="str">
            <v>R1B</v>
          </cell>
          <cell r="B1972" t="str">
            <v>VYPRODÁNO</v>
          </cell>
          <cell r="C1972" t="str">
            <v/>
          </cell>
          <cell r="D1972">
            <v>0</v>
          </cell>
          <cell r="E1972" t="str">
            <v/>
          </cell>
        </row>
        <row r="1973">
          <cell r="A1973" t="str">
            <v>R1B14</v>
          </cell>
          <cell r="B1973" t="str">
            <v>VYPRODÁNO</v>
          </cell>
          <cell r="C1973" t="str">
            <v/>
          </cell>
          <cell r="D1973">
            <v>0</v>
          </cell>
          <cell r="E1973" t="str">
            <v/>
          </cell>
        </row>
        <row r="1974">
          <cell r="A1974" t="str">
            <v>R1C</v>
          </cell>
          <cell r="B1974" t="str">
            <v>VYPRODÁNO</v>
          </cell>
          <cell r="C1974" t="str">
            <v/>
          </cell>
          <cell r="D1974">
            <v>0</v>
          </cell>
          <cell r="E1974" t="str">
            <v/>
          </cell>
        </row>
        <row r="1975">
          <cell r="A1975" t="str">
            <v>R1C14</v>
          </cell>
          <cell r="B1975" t="str">
            <v>VYPRODÁNO</v>
          </cell>
          <cell r="C1975" t="str">
            <v/>
          </cell>
          <cell r="D1975">
            <v>0</v>
          </cell>
          <cell r="E1975" t="str">
            <v/>
          </cell>
        </row>
        <row r="1976">
          <cell r="A1976" t="str">
            <v>R1D</v>
          </cell>
          <cell r="B1976" t="str">
            <v>VYPRODÁNO</v>
          </cell>
          <cell r="C1976" t="str">
            <v/>
          </cell>
          <cell r="D1976">
            <v>0</v>
          </cell>
          <cell r="E1976" t="str">
            <v/>
          </cell>
        </row>
        <row r="1977">
          <cell r="A1977" t="str">
            <v>R1D14</v>
          </cell>
          <cell r="B1977" t="str">
            <v>VYPRODÁNO</v>
          </cell>
          <cell r="C1977" t="str">
            <v/>
          </cell>
          <cell r="D1977">
            <v>0</v>
          </cell>
          <cell r="E1977" t="str">
            <v/>
          </cell>
        </row>
        <row r="1978">
          <cell r="A1978" t="str">
            <v>R1E</v>
          </cell>
          <cell r="B1978" t="str">
            <v>VYPRODÁNO</v>
          </cell>
          <cell r="C1978" t="str">
            <v/>
          </cell>
          <cell r="D1978">
            <v>0</v>
          </cell>
          <cell r="E1978" t="str">
            <v/>
          </cell>
        </row>
        <row r="1979">
          <cell r="A1979" t="str">
            <v>R1E14</v>
          </cell>
          <cell r="B1979" t="str">
            <v>VYPRODÁNO</v>
          </cell>
          <cell r="C1979" t="str">
            <v/>
          </cell>
          <cell r="D1979">
            <v>0</v>
          </cell>
          <cell r="E1979" t="str">
            <v/>
          </cell>
        </row>
        <row r="1980">
          <cell r="A1980" t="str">
            <v>R1F</v>
          </cell>
          <cell r="B1980" t="str">
            <v>VYPRODÁNO</v>
          </cell>
          <cell r="C1980" t="str">
            <v/>
          </cell>
          <cell r="D1980">
            <v>0</v>
          </cell>
          <cell r="E1980" t="str">
            <v/>
          </cell>
        </row>
        <row r="1981">
          <cell r="A1981" t="str">
            <v>R1F14</v>
          </cell>
          <cell r="B1981" t="str">
            <v>VYPRODÁNO</v>
          </cell>
          <cell r="C1981" t="str">
            <v/>
          </cell>
          <cell r="D1981">
            <v>0</v>
          </cell>
          <cell r="E1981" t="str">
            <v/>
          </cell>
        </row>
        <row r="1982">
          <cell r="A1982" t="str">
            <v>R2A</v>
          </cell>
          <cell r="B1982" t="str">
            <v>VYPRODÁNO</v>
          </cell>
          <cell r="C1982" t="str">
            <v/>
          </cell>
          <cell r="D1982">
            <v>0</v>
          </cell>
          <cell r="E1982" t="str">
            <v/>
          </cell>
        </row>
        <row r="1983">
          <cell r="A1983" t="str">
            <v>R2A14</v>
          </cell>
          <cell r="B1983" t="str">
            <v>VYPRODÁNO</v>
          </cell>
          <cell r="C1983" t="str">
            <v/>
          </cell>
          <cell r="D1983">
            <v>0</v>
          </cell>
          <cell r="E1983" t="str">
            <v/>
          </cell>
        </row>
        <row r="1984">
          <cell r="A1984" t="str">
            <v>R2B</v>
          </cell>
          <cell r="B1984" t="str">
            <v>VYPRODÁNO</v>
          </cell>
          <cell r="C1984" t="str">
            <v/>
          </cell>
          <cell r="D1984">
            <v>0</v>
          </cell>
          <cell r="E1984" t="str">
            <v/>
          </cell>
        </row>
        <row r="1985">
          <cell r="A1985" t="str">
            <v>R2B14</v>
          </cell>
          <cell r="B1985" t="str">
            <v>VYPRODÁNO</v>
          </cell>
          <cell r="C1985" t="str">
            <v/>
          </cell>
          <cell r="D1985">
            <v>0</v>
          </cell>
          <cell r="E1985" t="str">
            <v/>
          </cell>
        </row>
        <row r="1986">
          <cell r="A1986" t="str">
            <v>R2C</v>
          </cell>
          <cell r="B1986" t="str">
            <v>VYPRODÁNO</v>
          </cell>
          <cell r="C1986" t="str">
            <v/>
          </cell>
          <cell r="D1986">
            <v>0</v>
          </cell>
          <cell r="E1986" t="str">
            <v/>
          </cell>
        </row>
        <row r="1987">
          <cell r="A1987" t="str">
            <v>R2C14</v>
          </cell>
          <cell r="B1987" t="str">
            <v>VYPRODÁNO</v>
          </cell>
          <cell r="C1987" t="str">
            <v/>
          </cell>
          <cell r="D1987">
            <v>0</v>
          </cell>
          <cell r="E1987" t="str">
            <v/>
          </cell>
        </row>
        <row r="1988">
          <cell r="A1988" t="str">
            <v>R2D</v>
          </cell>
          <cell r="B1988" t="str">
            <v>VYPRODÁNO</v>
          </cell>
          <cell r="C1988" t="str">
            <v/>
          </cell>
          <cell r="D1988">
            <v>0</v>
          </cell>
          <cell r="E1988" t="str">
            <v/>
          </cell>
        </row>
        <row r="1989">
          <cell r="A1989" t="str">
            <v>R2D14</v>
          </cell>
          <cell r="B1989" t="str">
            <v>VYPRODÁNO</v>
          </cell>
          <cell r="C1989" t="str">
            <v/>
          </cell>
          <cell r="D1989">
            <v>0</v>
          </cell>
          <cell r="E1989" t="str">
            <v/>
          </cell>
        </row>
        <row r="1990">
          <cell r="A1990" t="str">
            <v>R2E</v>
          </cell>
          <cell r="B1990" t="str">
            <v>VYPRODÁNO</v>
          </cell>
          <cell r="C1990" t="str">
            <v/>
          </cell>
          <cell r="D1990">
            <v>0</v>
          </cell>
          <cell r="E1990" t="str">
            <v/>
          </cell>
        </row>
        <row r="1991">
          <cell r="A1991" t="str">
            <v>R2E14</v>
          </cell>
          <cell r="B1991" t="str">
            <v>VYPRODÁNO</v>
          </cell>
          <cell r="C1991" t="str">
            <v/>
          </cell>
          <cell r="D1991">
            <v>0</v>
          </cell>
          <cell r="E1991" t="str">
            <v/>
          </cell>
        </row>
        <row r="1992">
          <cell r="A1992" t="str">
            <v>R2F</v>
          </cell>
          <cell r="B1992" t="str">
            <v>VYPRODÁNO</v>
          </cell>
          <cell r="C1992" t="str">
            <v/>
          </cell>
          <cell r="D1992">
            <v>0</v>
          </cell>
          <cell r="E1992" t="str">
            <v/>
          </cell>
        </row>
        <row r="1993">
          <cell r="A1993" t="str">
            <v>R2F14</v>
          </cell>
          <cell r="B1993" t="str">
            <v>VYPRODÁNO</v>
          </cell>
          <cell r="C1993" t="str">
            <v/>
          </cell>
          <cell r="D1993">
            <v>0</v>
          </cell>
          <cell r="E1993" t="str">
            <v/>
          </cell>
        </row>
        <row r="1994">
          <cell r="A1994" t="str">
            <v>R2G</v>
          </cell>
          <cell r="B1994" t="str">
            <v>VYPRODÁNO</v>
          </cell>
          <cell r="C1994" t="str">
            <v/>
          </cell>
          <cell r="D1994">
            <v>0</v>
          </cell>
          <cell r="E1994" t="str">
            <v/>
          </cell>
        </row>
        <row r="1995">
          <cell r="A1995" t="str">
            <v>R2G14</v>
          </cell>
          <cell r="B1995" t="str">
            <v>VYPRODÁNO</v>
          </cell>
          <cell r="C1995" t="str">
            <v/>
          </cell>
          <cell r="D1995">
            <v>0</v>
          </cell>
          <cell r="E1995" t="str">
            <v/>
          </cell>
        </row>
        <row r="1996">
          <cell r="A1996" t="str">
            <v>R3A</v>
          </cell>
          <cell r="B1996" t="str">
            <v>VYPRODÁNO</v>
          </cell>
          <cell r="C1996" t="str">
            <v/>
          </cell>
          <cell r="D1996">
            <v>0</v>
          </cell>
          <cell r="E1996" t="str">
            <v/>
          </cell>
        </row>
        <row r="1997">
          <cell r="A1997" t="str">
            <v>R3A14</v>
          </cell>
          <cell r="B1997" t="str">
            <v>VYPRODÁNO</v>
          </cell>
          <cell r="C1997" t="str">
            <v/>
          </cell>
          <cell r="D1997">
            <v>0</v>
          </cell>
          <cell r="E1997" t="str">
            <v/>
          </cell>
        </row>
        <row r="1998">
          <cell r="A1998" t="str">
            <v>R3B</v>
          </cell>
          <cell r="B1998" t="str">
            <v>VYPRODÁNO</v>
          </cell>
          <cell r="C1998" t="str">
            <v/>
          </cell>
          <cell r="D1998">
            <v>0</v>
          </cell>
          <cell r="E1998" t="str">
            <v/>
          </cell>
        </row>
        <row r="1999">
          <cell r="A1999" t="str">
            <v>R3B14</v>
          </cell>
          <cell r="B1999" t="str">
            <v>VYPRODÁNO</v>
          </cell>
          <cell r="C1999" t="str">
            <v/>
          </cell>
          <cell r="D1999">
            <v>0</v>
          </cell>
          <cell r="E1999" t="str">
            <v/>
          </cell>
        </row>
        <row r="2000">
          <cell r="A2000" t="str">
            <v>R3C</v>
          </cell>
          <cell r="B2000" t="str">
            <v>VYPRODÁNO</v>
          </cell>
          <cell r="C2000" t="str">
            <v/>
          </cell>
          <cell r="D2000">
            <v>0</v>
          </cell>
          <cell r="E2000" t="str">
            <v/>
          </cell>
        </row>
        <row r="2001">
          <cell r="A2001" t="str">
            <v>R3C14</v>
          </cell>
          <cell r="B2001" t="str">
            <v>VYPRODÁNO</v>
          </cell>
          <cell r="C2001" t="str">
            <v/>
          </cell>
          <cell r="D2001">
            <v>0</v>
          </cell>
          <cell r="E2001" t="str">
            <v/>
          </cell>
        </row>
        <row r="2002">
          <cell r="A2002" t="str">
            <v>R3D</v>
          </cell>
          <cell r="B2002" t="str">
            <v>VYPRODÁNO</v>
          </cell>
          <cell r="C2002" t="str">
            <v/>
          </cell>
          <cell r="D2002">
            <v>0</v>
          </cell>
          <cell r="E2002" t="str">
            <v/>
          </cell>
        </row>
        <row r="2003">
          <cell r="A2003" t="str">
            <v>R3D14</v>
          </cell>
          <cell r="B2003" t="str">
            <v>VYPRODÁNO</v>
          </cell>
          <cell r="C2003" t="str">
            <v/>
          </cell>
          <cell r="D2003">
            <v>0</v>
          </cell>
          <cell r="E2003" t="str">
            <v/>
          </cell>
        </row>
        <row r="2004">
          <cell r="A2004" t="str">
            <v>R3E</v>
          </cell>
          <cell r="B2004" t="str">
            <v>VYPRODÁNO</v>
          </cell>
          <cell r="C2004" t="str">
            <v/>
          </cell>
          <cell r="D2004">
            <v>0</v>
          </cell>
          <cell r="E2004" t="str">
            <v/>
          </cell>
        </row>
        <row r="2005">
          <cell r="A2005" t="str">
            <v>R3E14</v>
          </cell>
          <cell r="B2005" t="str">
            <v>VYPRODÁNO</v>
          </cell>
          <cell r="C2005" t="str">
            <v/>
          </cell>
          <cell r="D2005">
            <v>0</v>
          </cell>
          <cell r="E2005" t="str">
            <v/>
          </cell>
        </row>
        <row r="2006">
          <cell r="A2006" t="str">
            <v>R3F</v>
          </cell>
          <cell r="B2006" t="str">
            <v>VYPRODÁNO</v>
          </cell>
          <cell r="C2006" t="str">
            <v/>
          </cell>
          <cell r="D2006">
            <v>0</v>
          </cell>
          <cell r="E2006" t="str">
            <v/>
          </cell>
        </row>
        <row r="2007">
          <cell r="A2007" t="str">
            <v>R3F14</v>
          </cell>
          <cell r="B2007" t="str">
            <v>VYPRODÁNO</v>
          </cell>
          <cell r="C2007" t="str">
            <v/>
          </cell>
          <cell r="D2007">
            <v>0</v>
          </cell>
          <cell r="E2007" t="str">
            <v/>
          </cell>
        </row>
        <row r="2008">
          <cell r="A2008" t="str">
            <v>R3G</v>
          </cell>
          <cell r="B2008" t="str">
            <v>VYPRODÁNO</v>
          </cell>
          <cell r="C2008" t="str">
            <v/>
          </cell>
          <cell r="D2008">
            <v>0</v>
          </cell>
          <cell r="E2008" t="str">
            <v/>
          </cell>
        </row>
        <row r="2009">
          <cell r="A2009" t="str">
            <v>R4420B</v>
          </cell>
          <cell r="B2009" t="str">
            <v>SKLADEM</v>
          </cell>
          <cell r="C2009" t="str">
            <v/>
          </cell>
          <cell r="D2009">
            <v>0</v>
          </cell>
          <cell r="E2009" t="str">
            <v/>
          </cell>
        </row>
        <row r="2010">
          <cell r="A2010" t="str">
            <v>R4805E</v>
          </cell>
          <cell r="B2010" t="str">
            <v>VYPRODÁNO</v>
          </cell>
          <cell r="C2010" t="str">
            <v/>
          </cell>
          <cell r="D2010">
            <v>0</v>
          </cell>
          <cell r="E2010" t="str">
            <v/>
          </cell>
        </row>
        <row r="2011">
          <cell r="A2011" t="str">
            <v>R4805P</v>
          </cell>
          <cell r="B2011" t="str">
            <v>VYPRODÁNO</v>
          </cell>
          <cell r="C2011" t="str">
            <v/>
          </cell>
          <cell r="D2011">
            <v>0</v>
          </cell>
          <cell r="E2011" t="str">
            <v/>
          </cell>
        </row>
        <row r="2012">
          <cell r="A2012" t="str">
            <v>R4A</v>
          </cell>
          <cell r="B2012" t="str">
            <v>VYPRODÁNO</v>
          </cell>
          <cell r="C2012" t="str">
            <v/>
          </cell>
          <cell r="D2012">
            <v>0</v>
          </cell>
          <cell r="E2012" t="str">
            <v/>
          </cell>
        </row>
        <row r="2013">
          <cell r="A2013" t="str">
            <v>R4A14</v>
          </cell>
          <cell r="B2013" t="str">
            <v>VYPRODÁNO</v>
          </cell>
          <cell r="C2013" t="str">
            <v/>
          </cell>
          <cell r="D2013">
            <v>0</v>
          </cell>
          <cell r="E2013" t="str">
            <v/>
          </cell>
        </row>
        <row r="2014">
          <cell r="A2014" t="str">
            <v>R4B</v>
          </cell>
          <cell r="B2014" t="str">
            <v>VYPRODÁNO</v>
          </cell>
          <cell r="C2014" t="str">
            <v/>
          </cell>
          <cell r="D2014">
            <v>0</v>
          </cell>
          <cell r="E2014" t="str">
            <v/>
          </cell>
        </row>
        <row r="2015">
          <cell r="A2015" t="str">
            <v>R4B14</v>
          </cell>
          <cell r="B2015" t="str">
            <v>VYPRODÁNO</v>
          </cell>
          <cell r="C2015" t="str">
            <v/>
          </cell>
          <cell r="D2015">
            <v>0</v>
          </cell>
          <cell r="E2015" t="str">
            <v/>
          </cell>
        </row>
        <row r="2016">
          <cell r="A2016" t="str">
            <v>R4C</v>
          </cell>
          <cell r="B2016" t="str">
            <v>VYPRODÁNO</v>
          </cell>
          <cell r="C2016" t="str">
            <v/>
          </cell>
          <cell r="D2016">
            <v>0</v>
          </cell>
          <cell r="E2016" t="str">
            <v/>
          </cell>
        </row>
        <row r="2017">
          <cell r="A2017" t="str">
            <v>R4C14</v>
          </cell>
          <cell r="B2017" t="str">
            <v>VYPRODÁNO</v>
          </cell>
          <cell r="C2017" t="str">
            <v/>
          </cell>
          <cell r="D2017">
            <v>0</v>
          </cell>
          <cell r="E2017" t="str">
            <v/>
          </cell>
        </row>
        <row r="2018">
          <cell r="A2018" t="str">
            <v>R4D</v>
          </cell>
          <cell r="B2018" t="str">
            <v>VYPRODÁNO</v>
          </cell>
          <cell r="C2018" t="str">
            <v/>
          </cell>
          <cell r="D2018">
            <v>0</v>
          </cell>
          <cell r="E2018" t="str">
            <v/>
          </cell>
        </row>
        <row r="2019">
          <cell r="A2019" t="str">
            <v>R4D14</v>
          </cell>
          <cell r="B2019" t="str">
            <v>VYPRODÁNO</v>
          </cell>
          <cell r="C2019" t="str">
            <v/>
          </cell>
          <cell r="D2019">
            <v>0</v>
          </cell>
          <cell r="E2019" t="str">
            <v/>
          </cell>
        </row>
        <row r="2020">
          <cell r="A2020" t="str">
            <v>R4E</v>
          </cell>
          <cell r="B2020" t="str">
            <v>VYPRODÁNO</v>
          </cell>
          <cell r="C2020" t="str">
            <v/>
          </cell>
          <cell r="D2020">
            <v>0</v>
          </cell>
          <cell r="E2020" t="str">
            <v/>
          </cell>
        </row>
        <row r="2021">
          <cell r="A2021" t="str">
            <v>R4E14</v>
          </cell>
          <cell r="B2021" t="str">
            <v>VYPRODÁNO</v>
          </cell>
          <cell r="C2021" t="str">
            <v/>
          </cell>
          <cell r="D2021">
            <v>0</v>
          </cell>
          <cell r="E2021" t="str">
            <v/>
          </cell>
        </row>
        <row r="2022">
          <cell r="A2022" t="str">
            <v>R4F</v>
          </cell>
          <cell r="B2022" t="str">
            <v>VYPRODÁNO</v>
          </cell>
          <cell r="C2022" t="str">
            <v/>
          </cell>
          <cell r="D2022">
            <v>0</v>
          </cell>
          <cell r="E2022" t="str">
            <v/>
          </cell>
        </row>
        <row r="2023">
          <cell r="A2023" t="str">
            <v>R4F14</v>
          </cell>
          <cell r="B2023" t="str">
            <v>VYPRODÁNO</v>
          </cell>
          <cell r="C2023" t="str">
            <v/>
          </cell>
          <cell r="D2023">
            <v>0</v>
          </cell>
          <cell r="E2023" t="str">
            <v/>
          </cell>
        </row>
        <row r="2024">
          <cell r="A2024" t="str">
            <v>R5410B</v>
          </cell>
          <cell r="B2024" t="str">
            <v>SKLADEM</v>
          </cell>
          <cell r="C2024" t="str">
            <v/>
          </cell>
          <cell r="D2024">
            <v>0</v>
          </cell>
          <cell r="E2024" t="str">
            <v/>
          </cell>
        </row>
        <row r="2025">
          <cell r="A2025" t="str">
            <v>R5420K</v>
          </cell>
          <cell r="B2025" t="str">
            <v>SKLADEM</v>
          </cell>
          <cell r="C2025" t="str">
            <v/>
          </cell>
          <cell r="D2025">
            <v>0</v>
          </cell>
          <cell r="E2025" t="str">
            <v/>
          </cell>
        </row>
        <row r="2026">
          <cell r="A2026" t="str">
            <v>R5808D</v>
          </cell>
          <cell r="B2026" t="str">
            <v>SKLADEM</v>
          </cell>
          <cell r="C2026" t="str">
            <v/>
          </cell>
          <cell r="D2026" t="str">
            <v>100+</v>
          </cell>
          <cell r="E2026" t="str">
            <v/>
          </cell>
        </row>
        <row r="2027">
          <cell r="A2027" t="str">
            <v>R5808D E</v>
          </cell>
          <cell r="B2027" t="str">
            <v>VYPRODÁNO</v>
          </cell>
          <cell r="C2027" t="str">
            <v/>
          </cell>
          <cell r="D2027">
            <v>0</v>
          </cell>
          <cell r="E2027" t="str">
            <v/>
          </cell>
        </row>
        <row r="2028">
          <cell r="A2028" t="str">
            <v>R5A</v>
          </cell>
          <cell r="B2028" t="str">
            <v>VYPRODÁNO</v>
          </cell>
          <cell r="C2028" t="str">
            <v/>
          </cell>
          <cell r="D2028">
            <v>0</v>
          </cell>
          <cell r="E2028" t="str">
            <v/>
          </cell>
        </row>
        <row r="2029">
          <cell r="A2029" t="str">
            <v>R5A14</v>
          </cell>
          <cell r="B2029" t="str">
            <v>VYPRODÁNO</v>
          </cell>
          <cell r="C2029" t="str">
            <v/>
          </cell>
          <cell r="D2029">
            <v>0</v>
          </cell>
          <cell r="E2029" t="str">
            <v/>
          </cell>
        </row>
        <row r="2030">
          <cell r="A2030" t="str">
            <v>R5B</v>
          </cell>
          <cell r="B2030" t="str">
            <v>VYPRODÁNO</v>
          </cell>
          <cell r="C2030" t="str">
            <v/>
          </cell>
          <cell r="D2030">
            <v>0</v>
          </cell>
          <cell r="E2030" t="str">
            <v/>
          </cell>
        </row>
        <row r="2031">
          <cell r="A2031" t="str">
            <v>R5B14</v>
          </cell>
          <cell r="B2031" t="str">
            <v>VYPRODÁNO</v>
          </cell>
          <cell r="C2031" t="str">
            <v/>
          </cell>
          <cell r="D2031">
            <v>0</v>
          </cell>
          <cell r="E2031" t="str">
            <v/>
          </cell>
        </row>
        <row r="2032">
          <cell r="A2032" t="str">
            <v>R5C</v>
          </cell>
          <cell r="B2032" t="str">
            <v>VYPRODÁNO</v>
          </cell>
          <cell r="C2032" t="str">
            <v/>
          </cell>
          <cell r="D2032">
            <v>0</v>
          </cell>
          <cell r="E2032" t="str">
            <v/>
          </cell>
        </row>
        <row r="2033">
          <cell r="A2033" t="str">
            <v>R5C14</v>
          </cell>
          <cell r="B2033" t="str">
            <v>VYPRODÁNO</v>
          </cell>
          <cell r="C2033" t="str">
            <v/>
          </cell>
          <cell r="D2033">
            <v>0</v>
          </cell>
          <cell r="E2033" t="str">
            <v/>
          </cell>
        </row>
        <row r="2034">
          <cell r="A2034" t="str">
            <v>R5D</v>
          </cell>
          <cell r="B2034" t="str">
            <v>VYPRODÁNO</v>
          </cell>
          <cell r="C2034" t="str">
            <v/>
          </cell>
          <cell r="D2034">
            <v>0</v>
          </cell>
          <cell r="E2034" t="str">
            <v/>
          </cell>
        </row>
        <row r="2035">
          <cell r="A2035" t="str">
            <v>R5D14</v>
          </cell>
          <cell r="B2035" t="str">
            <v>VYPRODÁNO</v>
          </cell>
          <cell r="C2035" t="str">
            <v/>
          </cell>
          <cell r="D2035">
            <v>0</v>
          </cell>
          <cell r="E2035" t="str">
            <v/>
          </cell>
        </row>
        <row r="2036">
          <cell r="A2036" t="str">
            <v>R5E</v>
          </cell>
          <cell r="B2036" t="str">
            <v>VYPRODÁNO</v>
          </cell>
          <cell r="C2036" t="str">
            <v/>
          </cell>
          <cell r="D2036">
            <v>0</v>
          </cell>
          <cell r="E2036" t="str">
            <v/>
          </cell>
        </row>
        <row r="2037">
          <cell r="A2037" t="str">
            <v>R5E14</v>
          </cell>
          <cell r="B2037" t="str">
            <v>VYPRODÁNO</v>
          </cell>
          <cell r="C2037" t="str">
            <v/>
          </cell>
          <cell r="D2037">
            <v>0</v>
          </cell>
          <cell r="E2037" t="str">
            <v/>
          </cell>
        </row>
        <row r="2038">
          <cell r="A2038" t="str">
            <v>R5F</v>
          </cell>
          <cell r="B2038" t="str">
            <v>VYPRODÁNO</v>
          </cell>
          <cell r="C2038" t="str">
            <v/>
          </cell>
          <cell r="D2038">
            <v>0</v>
          </cell>
          <cell r="E2038" t="str">
            <v/>
          </cell>
        </row>
        <row r="2039">
          <cell r="A2039" t="str">
            <v>R5F14</v>
          </cell>
          <cell r="B2039" t="str">
            <v>VYPRODÁNO</v>
          </cell>
          <cell r="C2039" t="str">
            <v/>
          </cell>
          <cell r="D2039">
            <v>0</v>
          </cell>
          <cell r="E2039" t="str">
            <v/>
          </cell>
        </row>
        <row r="2040">
          <cell r="A2040" t="str">
            <v>R6008E</v>
          </cell>
          <cell r="B2040" t="str">
            <v>SKLADEM</v>
          </cell>
          <cell r="C2040" t="str">
            <v/>
          </cell>
          <cell r="D2040">
            <v>0</v>
          </cell>
          <cell r="E2040" t="str">
            <v/>
          </cell>
        </row>
        <row r="2041">
          <cell r="A2041" t="str">
            <v>R6008K</v>
          </cell>
          <cell r="B2041" t="str">
            <v>VYPRODÁNO</v>
          </cell>
          <cell r="C2041" t="str">
            <v/>
          </cell>
          <cell r="D2041">
            <v>0</v>
          </cell>
          <cell r="E2041" t="str">
            <v/>
          </cell>
        </row>
        <row r="2042">
          <cell r="A2042" t="str">
            <v>R6008M</v>
          </cell>
          <cell r="B2042" t="str">
            <v>SKLADEM</v>
          </cell>
          <cell r="C2042" t="str">
            <v/>
          </cell>
          <cell r="D2042">
            <v>0</v>
          </cell>
          <cell r="E2042" t="str">
            <v/>
          </cell>
        </row>
        <row r="2043">
          <cell r="A2043" t="str">
            <v>R6020B</v>
          </cell>
          <cell r="B2043" t="str">
            <v>SKLADEM</v>
          </cell>
          <cell r="C2043" t="str">
            <v/>
          </cell>
          <cell r="D2043">
            <v>0</v>
          </cell>
          <cell r="E2043" t="str">
            <v/>
          </cell>
        </row>
        <row r="2044">
          <cell r="A2044" t="str">
            <v>R6020M</v>
          </cell>
          <cell r="B2044" t="str">
            <v>SKLADEM</v>
          </cell>
          <cell r="C2044" t="str">
            <v/>
          </cell>
          <cell r="D2044">
            <v>0</v>
          </cell>
          <cell r="E2044" t="str">
            <v/>
          </cell>
        </row>
        <row r="2045">
          <cell r="A2045" t="str">
            <v>R6508S</v>
          </cell>
          <cell r="B2045" t="str">
            <v>SKLADEM</v>
          </cell>
          <cell r="C2045" t="str">
            <v/>
          </cell>
          <cell r="D2045">
            <v>0</v>
          </cell>
          <cell r="E2045" t="str">
            <v/>
          </cell>
        </row>
        <row r="2046">
          <cell r="A2046" t="str">
            <v>R6520BK</v>
          </cell>
          <cell r="B2046" t="str">
            <v>VYPRODÁNO</v>
          </cell>
          <cell r="C2046" t="str">
            <v/>
          </cell>
          <cell r="D2046">
            <v>0</v>
          </cell>
          <cell r="E2046" t="str">
            <v/>
          </cell>
        </row>
        <row r="2047">
          <cell r="A2047" t="str">
            <v>R6520BK/2</v>
          </cell>
          <cell r="B2047" t="str">
            <v>SKLADEM</v>
          </cell>
          <cell r="C2047" t="str">
            <v/>
          </cell>
          <cell r="D2047">
            <v>0</v>
          </cell>
          <cell r="E2047" t="str">
            <v/>
          </cell>
        </row>
        <row r="2048">
          <cell r="A2048" t="str">
            <v>R6A</v>
          </cell>
          <cell r="B2048" t="str">
            <v>VYPRODÁNO</v>
          </cell>
          <cell r="C2048" t="str">
            <v/>
          </cell>
          <cell r="D2048">
            <v>0</v>
          </cell>
          <cell r="E2048" t="str">
            <v/>
          </cell>
        </row>
        <row r="2049">
          <cell r="A2049" t="str">
            <v>R6A14</v>
          </cell>
          <cell r="B2049" t="str">
            <v>VYPRODÁNO</v>
          </cell>
          <cell r="C2049" t="str">
            <v/>
          </cell>
          <cell r="D2049">
            <v>0</v>
          </cell>
          <cell r="E2049" t="str">
            <v/>
          </cell>
        </row>
        <row r="2050">
          <cell r="A2050" t="str">
            <v>R6B</v>
          </cell>
          <cell r="B2050" t="str">
            <v>VYPRODÁNO</v>
          </cell>
          <cell r="C2050" t="str">
            <v/>
          </cell>
          <cell r="D2050">
            <v>0</v>
          </cell>
          <cell r="E2050" t="str">
            <v/>
          </cell>
        </row>
        <row r="2051">
          <cell r="A2051" t="str">
            <v>R6B14</v>
          </cell>
          <cell r="B2051" t="str">
            <v>VYPRODÁNO</v>
          </cell>
          <cell r="C2051" t="str">
            <v/>
          </cell>
          <cell r="D2051">
            <v>0</v>
          </cell>
          <cell r="E2051" t="str">
            <v/>
          </cell>
        </row>
        <row r="2052">
          <cell r="A2052" t="str">
            <v>R6C</v>
          </cell>
          <cell r="B2052" t="str">
            <v>VYPRODÁNO</v>
          </cell>
          <cell r="C2052" t="str">
            <v/>
          </cell>
          <cell r="D2052">
            <v>0</v>
          </cell>
          <cell r="E2052" t="str">
            <v/>
          </cell>
        </row>
        <row r="2053">
          <cell r="A2053" t="str">
            <v>R6C14</v>
          </cell>
          <cell r="B2053" t="str">
            <v>VYPRODÁNO</v>
          </cell>
          <cell r="C2053" t="str">
            <v/>
          </cell>
          <cell r="D2053">
            <v>0</v>
          </cell>
          <cell r="E2053" t="str">
            <v/>
          </cell>
        </row>
        <row r="2054">
          <cell r="A2054" t="str">
            <v>R6D</v>
          </cell>
          <cell r="B2054" t="str">
            <v>VYPRODÁNO</v>
          </cell>
          <cell r="C2054" t="str">
            <v/>
          </cell>
          <cell r="D2054">
            <v>0</v>
          </cell>
          <cell r="E2054" t="str">
            <v/>
          </cell>
        </row>
        <row r="2055">
          <cell r="A2055" t="str">
            <v>R6D14</v>
          </cell>
          <cell r="B2055" t="str">
            <v>VYPRODÁNO</v>
          </cell>
          <cell r="C2055" t="str">
            <v/>
          </cell>
          <cell r="D2055">
            <v>0</v>
          </cell>
          <cell r="E2055" t="str">
            <v/>
          </cell>
        </row>
        <row r="2056">
          <cell r="A2056" t="str">
            <v>R6E</v>
          </cell>
          <cell r="B2056" t="str">
            <v>VYPRODÁNO</v>
          </cell>
          <cell r="C2056" t="str">
            <v/>
          </cell>
          <cell r="D2056">
            <v>0</v>
          </cell>
          <cell r="E2056" t="str">
            <v/>
          </cell>
        </row>
        <row r="2057">
          <cell r="A2057" t="str">
            <v>R6E14</v>
          </cell>
          <cell r="B2057" t="str">
            <v>VYPRODÁNO</v>
          </cell>
          <cell r="C2057" t="str">
            <v/>
          </cell>
          <cell r="D2057">
            <v>0</v>
          </cell>
          <cell r="E2057" t="str">
            <v/>
          </cell>
        </row>
        <row r="2058">
          <cell r="A2058" t="str">
            <v>R6F</v>
          </cell>
          <cell r="B2058" t="str">
            <v>VYPRODÁNO</v>
          </cell>
          <cell r="C2058" t="str">
            <v/>
          </cell>
          <cell r="D2058">
            <v>0</v>
          </cell>
          <cell r="E2058" t="str">
            <v/>
          </cell>
        </row>
        <row r="2059">
          <cell r="A2059" t="str">
            <v>R6F14</v>
          </cell>
          <cell r="B2059" t="str">
            <v>VYPRODÁNO</v>
          </cell>
          <cell r="C2059" t="str">
            <v/>
          </cell>
          <cell r="D2059">
            <v>0</v>
          </cell>
          <cell r="E2059" t="str">
            <v/>
          </cell>
        </row>
        <row r="2060">
          <cell r="A2060" t="str">
            <v>R7020BK</v>
          </cell>
          <cell r="B2060" t="str">
            <v>VYPRODÁNO</v>
          </cell>
          <cell r="C2060" t="str">
            <v/>
          </cell>
          <cell r="D2060">
            <v>0</v>
          </cell>
          <cell r="E2060" t="str">
            <v/>
          </cell>
        </row>
        <row r="2061">
          <cell r="A2061" t="str">
            <v>R7020K</v>
          </cell>
          <cell r="B2061" t="str">
            <v>SKLADEM</v>
          </cell>
          <cell r="C2061" t="str">
            <v/>
          </cell>
          <cell r="D2061">
            <v>0</v>
          </cell>
          <cell r="E2061" t="str">
            <v/>
          </cell>
        </row>
        <row r="2062">
          <cell r="A2062" t="str">
            <v>R7020M</v>
          </cell>
          <cell r="B2062" t="str">
            <v>SKLADEM</v>
          </cell>
          <cell r="C2062" t="str">
            <v/>
          </cell>
          <cell r="D2062">
            <v>0</v>
          </cell>
          <cell r="E2062" t="str">
            <v/>
          </cell>
        </row>
        <row r="2063">
          <cell r="A2063" t="str">
            <v>R7040B</v>
          </cell>
          <cell r="B2063" t="str">
            <v>VYPRODÁNO</v>
          </cell>
          <cell r="C2063" t="str">
            <v/>
          </cell>
          <cell r="D2063">
            <v>0</v>
          </cell>
          <cell r="E2063" t="str">
            <v/>
          </cell>
        </row>
        <row r="2064">
          <cell r="A2064" t="str">
            <v>R7040C</v>
          </cell>
          <cell r="B2064" t="str">
            <v>SKLADEM</v>
          </cell>
          <cell r="C2064" t="str">
            <v/>
          </cell>
          <cell r="D2064">
            <v>0</v>
          </cell>
          <cell r="E2064" t="str">
            <v/>
          </cell>
        </row>
        <row r="2065">
          <cell r="A2065" t="str">
            <v>R7508E</v>
          </cell>
          <cell r="B2065" t="str">
            <v>SKLADEM</v>
          </cell>
          <cell r="C2065" t="str">
            <v/>
          </cell>
          <cell r="D2065">
            <v>0</v>
          </cell>
          <cell r="E2065" t="str">
            <v/>
          </cell>
        </row>
        <row r="2066">
          <cell r="A2066" t="str">
            <v>R7508SIG</v>
          </cell>
          <cell r="B2066" t="str">
            <v>SKLADEM</v>
          </cell>
          <cell r="C2066" t="str">
            <v/>
          </cell>
          <cell r="D2066">
            <v>0</v>
          </cell>
          <cell r="E2066" t="str">
            <v/>
          </cell>
        </row>
        <row r="2067">
          <cell r="A2067" t="str">
            <v>R7520K</v>
          </cell>
          <cell r="B2067" t="str">
            <v>VYPRODÁNO</v>
          </cell>
          <cell r="C2067" t="str">
            <v/>
          </cell>
          <cell r="D2067">
            <v>0</v>
          </cell>
          <cell r="E2067" t="str">
            <v/>
          </cell>
        </row>
        <row r="2068">
          <cell r="A2068" t="str">
            <v>R7530B</v>
          </cell>
          <cell r="B2068" t="str">
            <v>VYPRODÁNO</v>
          </cell>
          <cell r="C2068" t="str">
            <v/>
          </cell>
          <cell r="D2068">
            <v>0</v>
          </cell>
          <cell r="E2068" t="str">
            <v/>
          </cell>
        </row>
        <row r="2069">
          <cell r="A2069" t="str">
            <v>R7538A</v>
          </cell>
          <cell r="B2069" t="str">
            <v>VYPRODÁNO</v>
          </cell>
          <cell r="C2069" t="str">
            <v/>
          </cell>
          <cell r="D2069">
            <v>0</v>
          </cell>
          <cell r="E2069" t="str">
            <v/>
          </cell>
        </row>
        <row r="2070">
          <cell r="A2070" t="str">
            <v>R7538B</v>
          </cell>
          <cell r="B2070" t="str">
            <v>VYPRODÁNO</v>
          </cell>
          <cell r="C2070" t="str">
            <v/>
          </cell>
          <cell r="D2070">
            <v>0</v>
          </cell>
          <cell r="E2070" t="str">
            <v/>
          </cell>
        </row>
        <row r="2071">
          <cell r="A2071" t="str">
            <v>R7538C</v>
          </cell>
          <cell r="B2071" t="str">
            <v>VYPRODÁNO</v>
          </cell>
          <cell r="C2071" t="str">
            <v/>
          </cell>
          <cell r="D2071">
            <v>0</v>
          </cell>
          <cell r="E2071" t="str">
            <v/>
          </cell>
        </row>
        <row r="2072">
          <cell r="A2072" t="str">
            <v>R7538D</v>
          </cell>
          <cell r="B2072" t="str">
            <v>SKLADEM</v>
          </cell>
          <cell r="C2072" t="str">
            <v/>
          </cell>
          <cell r="D2072">
            <v>0</v>
          </cell>
          <cell r="E2072" t="str">
            <v/>
          </cell>
        </row>
        <row r="2073">
          <cell r="A2073" t="str">
            <v>R7538E</v>
          </cell>
          <cell r="B2073" t="str">
            <v>SKLADEM</v>
          </cell>
          <cell r="C2073" t="str">
            <v/>
          </cell>
          <cell r="D2073">
            <v>0</v>
          </cell>
          <cell r="E2073" t="str">
            <v/>
          </cell>
        </row>
        <row r="2074">
          <cell r="A2074" t="str">
            <v>R7538F</v>
          </cell>
          <cell r="B2074" t="str">
            <v>VYPRODÁNO</v>
          </cell>
          <cell r="C2074" t="str">
            <v/>
          </cell>
          <cell r="D2074">
            <v>0</v>
          </cell>
          <cell r="E2074" t="str">
            <v/>
          </cell>
        </row>
        <row r="2075">
          <cell r="A2075" t="str">
            <v>R7538F E</v>
          </cell>
          <cell r="B2075" t="str">
            <v>VYPRODÁNO</v>
          </cell>
          <cell r="C2075" t="str">
            <v/>
          </cell>
          <cell r="D2075">
            <v>0</v>
          </cell>
          <cell r="E2075" t="str">
            <v/>
          </cell>
        </row>
        <row r="2076">
          <cell r="A2076" t="str">
            <v>R7538G</v>
          </cell>
          <cell r="B2076" t="str">
            <v>VYPRODÁNO</v>
          </cell>
          <cell r="C2076" t="str">
            <v/>
          </cell>
          <cell r="D2076">
            <v>0</v>
          </cell>
          <cell r="E2076" t="str">
            <v/>
          </cell>
        </row>
        <row r="2077">
          <cell r="A2077" t="str">
            <v>R7538H</v>
          </cell>
          <cell r="B2077" t="str">
            <v>DOCHÁZÍ</v>
          </cell>
          <cell r="C2077" t="str">
            <v/>
          </cell>
          <cell r="D2077">
            <v>0</v>
          </cell>
          <cell r="E2077">
            <v>3</v>
          </cell>
        </row>
        <row r="2078">
          <cell r="A2078" t="str">
            <v>R7538CH</v>
          </cell>
          <cell r="B2078" t="str">
            <v>SKLADEM</v>
          </cell>
          <cell r="C2078" t="str">
            <v/>
          </cell>
          <cell r="D2078">
            <v>0</v>
          </cell>
          <cell r="E2078" t="str">
            <v/>
          </cell>
        </row>
        <row r="2079">
          <cell r="A2079" t="str">
            <v>R7538I</v>
          </cell>
          <cell r="B2079" t="str">
            <v>SKLADEM</v>
          </cell>
          <cell r="C2079" t="str">
            <v/>
          </cell>
          <cell r="D2079">
            <v>0</v>
          </cell>
          <cell r="E2079" t="str">
            <v/>
          </cell>
        </row>
        <row r="2080">
          <cell r="A2080" t="str">
            <v>R7538S</v>
          </cell>
          <cell r="B2080" t="str">
            <v>SKLADEM</v>
          </cell>
          <cell r="C2080" t="str">
            <v/>
          </cell>
          <cell r="D2080">
            <v>0</v>
          </cell>
          <cell r="E2080" t="str">
            <v/>
          </cell>
        </row>
        <row r="2081">
          <cell r="A2081" t="str">
            <v>RB1</v>
          </cell>
          <cell r="B2081" t="str">
            <v>SKLADEM</v>
          </cell>
          <cell r="C2081" t="str">
            <v/>
          </cell>
          <cell r="D2081">
            <v>0</v>
          </cell>
          <cell r="E2081" t="str">
            <v/>
          </cell>
        </row>
        <row r="2082">
          <cell r="A2082" t="str">
            <v>RB1(1)</v>
          </cell>
          <cell r="B2082" t="str">
            <v>VYPRODÁNO</v>
          </cell>
          <cell r="C2082" t="str">
            <v/>
          </cell>
          <cell r="D2082">
            <v>0</v>
          </cell>
          <cell r="E2082" t="str">
            <v/>
          </cell>
        </row>
        <row r="2083">
          <cell r="A2083" t="str">
            <v>RB5G</v>
          </cell>
          <cell r="B2083" t="str">
            <v>VYPRODÁNO</v>
          </cell>
          <cell r="C2083" t="str">
            <v/>
          </cell>
          <cell r="D2083">
            <v>0</v>
          </cell>
          <cell r="E2083" t="str">
            <v/>
          </cell>
        </row>
        <row r="2084">
          <cell r="A2084" t="str">
            <v>RB5H</v>
          </cell>
          <cell r="B2084" t="str">
            <v>VYPRODÁNO</v>
          </cell>
          <cell r="C2084" t="str">
            <v/>
          </cell>
          <cell r="D2084">
            <v>0</v>
          </cell>
          <cell r="E2084" t="str">
            <v/>
          </cell>
        </row>
        <row r="2085">
          <cell r="A2085" t="str">
            <v>RBS2014</v>
          </cell>
          <cell r="B2085" t="str">
            <v>VYPRODÁNO</v>
          </cell>
          <cell r="C2085" t="str">
            <v/>
          </cell>
          <cell r="D2085">
            <v>0</v>
          </cell>
          <cell r="E2085" t="str">
            <v/>
          </cell>
        </row>
        <row r="2086">
          <cell r="A2086" t="str">
            <v>RBS75</v>
          </cell>
          <cell r="B2086" t="str">
            <v>VYPRODÁNO</v>
          </cell>
          <cell r="C2086" t="str">
            <v/>
          </cell>
          <cell r="D2086">
            <v>0</v>
          </cell>
          <cell r="E2086" t="str">
            <v/>
          </cell>
        </row>
        <row r="2087">
          <cell r="A2087" t="str">
            <v>RD8</v>
          </cell>
          <cell r="B2087" t="str">
            <v>SKLADEM</v>
          </cell>
          <cell r="C2087" t="str">
            <v/>
          </cell>
          <cell r="D2087">
            <v>0</v>
          </cell>
          <cell r="E2087" t="str">
            <v/>
          </cell>
        </row>
        <row r="2088">
          <cell r="A2088" t="str">
            <v>RDG1B</v>
          </cell>
          <cell r="B2088" t="str">
            <v>15.06.2024</v>
          </cell>
          <cell r="C2088">
            <v>115</v>
          </cell>
          <cell r="D2088">
            <v>0</v>
          </cell>
          <cell r="E2088" t="str">
            <v/>
          </cell>
        </row>
        <row r="2089">
          <cell r="A2089" t="str">
            <v>RDG1B(1)</v>
          </cell>
          <cell r="B2089" t="str">
            <v>SKLADEM</v>
          </cell>
          <cell r="C2089" t="str">
            <v/>
          </cell>
          <cell r="D2089">
            <v>0</v>
          </cell>
          <cell r="E2089" t="str">
            <v/>
          </cell>
        </row>
        <row r="2090">
          <cell r="A2090" t="str">
            <v>RDG1B-P</v>
          </cell>
          <cell r="B2090" t="str">
            <v>DOCHÁZÍ</v>
          </cell>
          <cell r="C2090" t="str">
            <v/>
          </cell>
          <cell r="D2090">
            <v>0</v>
          </cell>
          <cell r="E2090">
            <v>2</v>
          </cell>
        </row>
        <row r="2091">
          <cell r="A2091" t="str">
            <v>RDG1B-P(1)</v>
          </cell>
          <cell r="B2091" t="str">
            <v>VYPRODÁNO</v>
          </cell>
          <cell r="C2091" t="str">
            <v/>
          </cell>
          <cell r="D2091">
            <v>0</v>
          </cell>
          <cell r="E2091" t="str">
            <v/>
          </cell>
        </row>
        <row r="2092">
          <cell r="A2092" t="str">
            <v>RDG1C</v>
          </cell>
          <cell r="B2092" t="str">
            <v>SKLADEM</v>
          </cell>
          <cell r="C2092" t="str">
            <v/>
          </cell>
          <cell r="D2092">
            <v>0</v>
          </cell>
          <cell r="E2092" t="str">
            <v/>
          </cell>
        </row>
        <row r="2093">
          <cell r="A2093" t="str">
            <v>RDG1C(1)</v>
          </cell>
          <cell r="B2093" t="str">
            <v>DOCHÁZÍ</v>
          </cell>
          <cell r="C2093" t="str">
            <v/>
          </cell>
          <cell r="D2093">
            <v>0</v>
          </cell>
          <cell r="E2093">
            <v>3</v>
          </cell>
        </row>
        <row r="2094">
          <cell r="A2094" t="str">
            <v>RDG1C-P</v>
          </cell>
          <cell r="B2094" t="str">
            <v>SKLADEM</v>
          </cell>
          <cell r="C2094" t="str">
            <v/>
          </cell>
          <cell r="D2094">
            <v>0</v>
          </cell>
          <cell r="E2094" t="str">
            <v/>
          </cell>
        </row>
        <row r="2095">
          <cell r="A2095" t="str">
            <v>RDG1C-P(1)</v>
          </cell>
          <cell r="B2095" t="str">
            <v>VYPRODÁNO</v>
          </cell>
          <cell r="C2095" t="str">
            <v/>
          </cell>
          <cell r="D2095">
            <v>0</v>
          </cell>
          <cell r="E2095" t="str">
            <v/>
          </cell>
        </row>
        <row r="2096">
          <cell r="A2096" t="str">
            <v>RDG1M</v>
          </cell>
          <cell r="B2096" t="str">
            <v>SKLADEM</v>
          </cell>
          <cell r="C2096" t="str">
            <v/>
          </cell>
          <cell r="D2096">
            <v>0</v>
          </cell>
          <cell r="E2096" t="str">
            <v/>
          </cell>
        </row>
        <row r="2097">
          <cell r="A2097" t="str">
            <v>RDG1M(1)</v>
          </cell>
          <cell r="B2097" t="str">
            <v>VYPRODÁNO</v>
          </cell>
          <cell r="C2097" t="str">
            <v/>
          </cell>
          <cell r="D2097">
            <v>0</v>
          </cell>
          <cell r="E2097" t="str">
            <v/>
          </cell>
        </row>
        <row r="2098">
          <cell r="A2098" t="str">
            <v>RDG1M-P</v>
          </cell>
          <cell r="B2098" t="str">
            <v>DOCHÁZÍ</v>
          </cell>
          <cell r="C2098" t="str">
            <v/>
          </cell>
          <cell r="D2098">
            <v>0</v>
          </cell>
          <cell r="E2098">
            <v>4</v>
          </cell>
        </row>
        <row r="2099">
          <cell r="A2099" t="str">
            <v>RDG1M-P(1)</v>
          </cell>
          <cell r="B2099" t="str">
            <v>VYPRODÁNO</v>
          </cell>
          <cell r="C2099" t="str">
            <v/>
          </cell>
          <cell r="D2099">
            <v>0</v>
          </cell>
          <cell r="E2099" t="str">
            <v/>
          </cell>
        </row>
        <row r="2100">
          <cell r="A2100" t="str">
            <v>RDG1O</v>
          </cell>
          <cell r="B2100" t="str">
            <v>SKLADEM</v>
          </cell>
          <cell r="C2100" t="str">
            <v/>
          </cell>
          <cell r="D2100">
            <v>0</v>
          </cell>
          <cell r="E2100" t="str">
            <v/>
          </cell>
        </row>
        <row r="2101">
          <cell r="A2101" t="str">
            <v>RDG1O(1)</v>
          </cell>
          <cell r="B2101" t="str">
            <v>DOCHÁZÍ</v>
          </cell>
          <cell r="C2101" t="str">
            <v/>
          </cell>
          <cell r="D2101">
            <v>0</v>
          </cell>
          <cell r="E2101">
            <v>9</v>
          </cell>
        </row>
        <row r="2102">
          <cell r="A2102" t="str">
            <v>RDG1O-P</v>
          </cell>
          <cell r="B2102" t="str">
            <v>SKLADEM</v>
          </cell>
          <cell r="C2102" t="str">
            <v/>
          </cell>
          <cell r="D2102">
            <v>0</v>
          </cell>
          <cell r="E2102" t="str">
            <v/>
          </cell>
        </row>
        <row r="2103">
          <cell r="A2103" t="str">
            <v>RDG1O-P(1)</v>
          </cell>
          <cell r="B2103" t="str">
            <v>SKLADEM</v>
          </cell>
          <cell r="C2103" t="str">
            <v/>
          </cell>
          <cell r="D2103">
            <v>0</v>
          </cell>
          <cell r="E2103" t="str">
            <v/>
          </cell>
        </row>
        <row r="2104">
          <cell r="A2104" t="str">
            <v>RDG1ZE</v>
          </cell>
          <cell r="B2104" t="str">
            <v>SKLADEM</v>
          </cell>
          <cell r="C2104" t="str">
            <v/>
          </cell>
          <cell r="D2104">
            <v>0</v>
          </cell>
          <cell r="E2104" t="str">
            <v/>
          </cell>
        </row>
        <row r="2105">
          <cell r="A2105" t="str">
            <v>RDG1ZE(1)</v>
          </cell>
          <cell r="B2105" t="str">
            <v>SKLADEM</v>
          </cell>
          <cell r="C2105" t="str">
            <v/>
          </cell>
          <cell r="D2105">
            <v>0</v>
          </cell>
          <cell r="E2105" t="str">
            <v/>
          </cell>
        </row>
        <row r="2106">
          <cell r="A2106" t="str">
            <v>RDG1ZE-P</v>
          </cell>
          <cell r="B2106" t="str">
            <v>SKLADEM</v>
          </cell>
          <cell r="C2106" t="str">
            <v/>
          </cell>
          <cell r="D2106">
            <v>0</v>
          </cell>
          <cell r="E2106" t="str">
            <v/>
          </cell>
        </row>
        <row r="2107">
          <cell r="A2107" t="str">
            <v>RDG1ZE-P(1)</v>
          </cell>
          <cell r="B2107" t="str">
            <v>SKLADEM</v>
          </cell>
          <cell r="C2107" t="str">
            <v/>
          </cell>
          <cell r="D2107">
            <v>0</v>
          </cell>
          <cell r="E2107" t="str">
            <v/>
          </cell>
        </row>
        <row r="2108">
          <cell r="A2108" t="str">
            <v>RDG1ZL</v>
          </cell>
          <cell r="B2108" t="str">
            <v>SKLADEM</v>
          </cell>
          <cell r="C2108" t="str">
            <v/>
          </cell>
          <cell r="D2108">
            <v>0</v>
          </cell>
          <cell r="E2108" t="str">
            <v/>
          </cell>
        </row>
        <row r="2109">
          <cell r="A2109" t="str">
            <v>RDG1ZL(1)</v>
          </cell>
          <cell r="B2109" t="str">
            <v>SKLADEM</v>
          </cell>
          <cell r="C2109" t="str">
            <v/>
          </cell>
          <cell r="D2109">
            <v>0</v>
          </cell>
          <cell r="E2109" t="str">
            <v/>
          </cell>
        </row>
        <row r="2110">
          <cell r="A2110" t="str">
            <v>RDG1ZL-P</v>
          </cell>
          <cell r="B2110" t="str">
            <v>SKLADEM</v>
          </cell>
          <cell r="C2110" t="str">
            <v/>
          </cell>
          <cell r="D2110">
            <v>0</v>
          </cell>
          <cell r="E2110" t="str">
            <v/>
          </cell>
        </row>
        <row r="2111">
          <cell r="A2111" t="str">
            <v>RDG1ZL-P(1)</v>
          </cell>
          <cell r="B2111" t="str">
            <v>SKLADEM</v>
          </cell>
          <cell r="C2111" t="str">
            <v/>
          </cell>
          <cell r="D2111">
            <v>0</v>
          </cell>
          <cell r="E2111" t="str">
            <v/>
          </cell>
        </row>
        <row r="2112">
          <cell r="A2112" t="str">
            <v>RDG25B</v>
          </cell>
          <cell r="B2112" t="str">
            <v>DOCHÁZÍ</v>
          </cell>
          <cell r="C2112" t="str">
            <v/>
          </cell>
          <cell r="D2112">
            <v>0</v>
          </cell>
          <cell r="E2112">
            <v>8</v>
          </cell>
        </row>
        <row r="2113">
          <cell r="A2113" t="str">
            <v>RDG25C</v>
          </cell>
          <cell r="B2113" t="str">
            <v>VYPRODÁNO</v>
          </cell>
          <cell r="C2113" t="str">
            <v/>
          </cell>
          <cell r="D2113">
            <v>0</v>
          </cell>
          <cell r="E2113" t="str">
            <v/>
          </cell>
        </row>
        <row r="2114">
          <cell r="A2114" t="str">
            <v>RDG25CER</v>
          </cell>
          <cell r="B2114" t="str">
            <v>DOCHÁZÍ</v>
          </cell>
          <cell r="C2114" t="str">
            <v/>
          </cell>
          <cell r="D2114">
            <v>0</v>
          </cell>
          <cell r="E2114">
            <v>7</v>
          </cell>
        </row>
        <row r="2115">
          <cell r="A2115" t="str">
            <v>RDG25M</v>
          </cell>
          <cell r="B2115" t="str">
            <v>VYPRODÁNO</v>
          </cell>
          <cell r="C2115" t="str">
            <v/>
          </cell>
          <cell r="D2115">
            <v>0</v>
          </cell>
          <cell r="E2115" t="str">
            <v/>
          </cell>
        </row>
        <row r="2116">
          <cell r="A2116" t="str">
            <v>RDG25O</v>
          </cell>
          <cell r="B2116" t="str">
            <v>SKLADEM</v>
          </cell>
          <cell r="C2116" t="str">
            <v/>
          </cell>
          <cell r="D2116">
            <v>0</v>
          </cell>
          <cell r="E2116" t="str">
            <v/>
          </cell>
        </row>
        <row r="2117">
          <cell r="A2117" t="str">
            <v>RDG25ZE</v>
          </cell>
          <cell r="B2117" t="str">
            <v>DOCHÁZÍ</v>
          </cell>
          <cell r="C2117" t="str">
            <v/>
          </cell>
          <cell r="D2117">
            <v>0</v>
          </cell>
          <cell r="E2117">
            <v>8</v>
          </cell>
        </row>
        <row r="2118">
          <cell r="A2118" t="str">
            <v>RDG25ZL</v>
          </cell>
          <cell r="B2118" t="str">
            <v>DOCHÁZÍ</v>
          </cell>
          <cell r="C2118" t="str">
            <v/>
          </cell>
          <cell r="D2118">
            <v>0</v>
          </cell>
          <cell r="E2118">
            <v>9</v>
          </cell>
        </row>
        <row r="2119">
          <cell r="A2119" t="str">
            <v>RDG2B</v>
          </cell>
          <cell r="B2119" t="str">
            <v>SKLADEM</v>
          </cell>
          <cell r="C2119" t="str">
            <v/>
          </cell>
          <cell r="D2119">
            <v>0</v>
          </cell>
          <cell r="E2119" t="str">
            <v/>
          </cell>
        </row>
        <row r="2120">
          <cell r="A2120" t="str">
            <v>RDG2C</v>
          </cell>
          <cell r="B2120" t="str">
            <v>SKLADEM</v>
          </cell>
          <cell r="C2120" t="str">
            <v/>
          </cell>
          <cell r="D2120">
            <v>0</v>
          </cell>
          <cell r="E2120" t="str">
            <v/>
          </cell>
        </row>
        <row r="2121">
          <cell r="A2121" t="str">
            <v>RDG2M</v>
          </cell>
          <cell r="B2121" t="str">
            <v>SKLADEM</v>
          </cell>
          <cell r="C2121" t="str">
            <v/>
          </cell>
          <cell r="D2121">
            <v>0</v>
          </cell>
          <cell r="E2121" t="str">
            <v/>
          </cell>
        </row>
        <row r="2122">
          <cell r="A2122" t="str">
            <v>RDG3B</v>
          </cell>
          <cell r="B2122" t="str">
            <v>VYPRODÁNO</v>
          </cell>
          <cell r="C2122" t="str">
            <v/>
          </cell>
          <cell r="D2122">
            <v>0</v>
          </cell>
          <cell r="E2122" t="str">
            <v/>
          </cell>
        </row>
        <row r="2123">
          <cell r="A2123" t="str">
            <v>RDG3C</v>
          </cell>
          <cell r="B2123" t="str">
            <v>VYPRODÁNO</v>
          </cell>
          <cell r="C2123" t="str">
            <v/>
          </cell>
          <cell r="D2123">
            <v>0</v>
          </cell>
          <cell r="E2123" t="str">
            <v/>
          </cell>
        </row>
        <row r="2124">
          <cell r="A2124" t="str">
            <v>RDG3M</v>
          </cell>
          <cell r="B2124" t="str">
            <v>VYPRODÁNO</v>
          </cell>
          <cell r="C2124" t="str">
            <v/>
          </cell>
          <cell r="D2124">
            <v>0</v>
          </cell>
          <cell r="E2124" t="str">
            <v/>
          </cell>
        </row>
        <row r="2125">
          <cell r="A2125" t="str">
            <v>RDG60B</v>
          </cell>
          <cell r="B2125" t="str">
            <v>DOCHÁZÍ</v>
          </cell>
          <cell r="C2125" t="str">
            <v/>
          </cell>
          <cell r="D2125">
            <v>0</v>
          </cell>
          <cell r="E2125">
            <v>3</v>
          </cell>
        </row>
        <row r="2126">
          <cell r="A2126" t="str">
            <v>RDG60B(SH)</v>
          </cell>
          <cell r="B2126" t="str">
            <v>SKLADEM</v>
          </cell>
          <cell r="C2126" t="str">
            <v/>
          </cell>
          <cell r="D2126">
            <v>0</v>
          </cell>
          <cell r="E2126" t="str">
            <v/>
          </cell>
        </row>
        <row r="2127">
          <cell r="A2127" t="str">
            <v>RDG60C</v>
          </cell>
          <cell r="B2127" t="str">
            <v>VYPRODÁNO</v>
          </cell>
          <cell r="C2127" t="str">
            <v/>
          </cell>
          <cell r="D2127">
            <v>0</v>
          </cell>
          <cell r="E2127" t="str">
            <v/>
          </cell>
        </row>
        <row r="2128">
          <cell r="A2128" t="str">
            <v>RDG60C(SH)</v>
          </cell>
          <cell r="B2128" t="str">
            <v>SKLADEM</v>
          </cell>
          <cell r="C2128" t="str">
            <v/>
          </cell>
          <cell r="D2128">
            <v>0</v>
          </cell>
          <cell r="E2128" t="str">
            <v/>
          </cell>
        </row>
        <row r="2129">
          <cell r="A2129" t="str">
            <v>RDG60CER</v>
          </cell>
          <cell r="B2129" t="str">
            <v>DOCHÁZÍ</v>
          </cell>
          <cell r="C2129" t="str">
            <v/>
          </cell>
          <cell r="D2129">
            <v>0</v>
          </cell>
          <cell r="E2129">
            <v>5</v>
          </cell>
        </row>
        <row r="2130">
          <cell r="A2130" t="str">
            <v>RDG60CER(SH)</v>
          </cell>
          <cell r="B2130" t="str">
            <v>SKLADEM</v>
          </cell>
          <cell r="C2130" t="str">
            <v/>
          </cell>
          <cell r="D2130">
            <v>0</v>
          </cell>
          <cell r="E2130" t="str">
            <v/>
          </cell>
        </row>
        <row r="2131">
          <cell r="A2131" t="str">
            <v>RDG60M</v>
          </cell>
          <cell r="B2131" t="str">
            <v>DOCHÁZÍ</v>
          </cell>
          <cell r="C2131" t="str">
            <v/>
          </cell>
          <cell r="D2131">
            <v>0</v>
          </cell>
          <cell r="E2131">
            <v>13</v>
          </cell>
        </row>
        <row r="2132">
          <cell r="A2132" t="str">
            <v>RDG60M(SH)</v>
          </cell>
          <cell r="B2132" t="str">
            <v>SKLADEM</v>
          </cell>
          <cell r="C2132" t="str">
            <v/>
          </cell>
          <cell r="D2132">
            <v>0</v>
          </cell>
          <cell r="E2132" t="str">
            <v/>
          </cell>
        </row>
        <row r="2133">
          <cell r="A2133" t="str">
            <v>RDG60O</v>
          </cell>
          <cell r="B2133" t="str">
            <v>DOCHÁZÍ</v>
          </cell>
          <cell r="C2133" t="str">
            <v/>
          </cell>
          <cell r="D2133">
            <v>0</v>
          </cell>
          <cell r="E2133">
            <v>14</v>
          </cell>
        </row>
        <row r="2134">
          <cell r="A2134" t="str">
            <v>RDG60O(SH)</v>
          </cell>
          <cell r="B2134" t="str">
            <v>SKLADEM</v>
          </cell>
          <cell r="C2134" t="str">
            <v/>
          </cell>
          <cell r="D2134">
            <v>0</v>
          </cell>
          <cell r="E2134" t="str">
            <v/>
          </cell>
        </row>
        <row r="2135">
          <cell r="A2135" t="str">
            <v>RDG60R(SH)</v>
          </cell>
          <cell r="B2135" t="str">
            <v>SKLADEM</v>
          </cell>
          <cell r="C2135" t="str">
            <v/>
          </cell>
          <cell r="D2135">
            <v>0</v>
          </cell>
          <cell r="E2135" t="str">
            <v/>
          </cell>
        </row>
        <row r="2136">
          <cell r="A2136" t="str">
            <v>RDG60ZE</v>
          </cell>
          <cell r="B2136" t="str">
            <v>VYPRODÁNO</v>
          </cell>
          <cell r="C2136" t="str">
            <v/>
          </cell>
          <cell r="D2136">
            <v>0</v>
          </cell>
          <cell r="E2136" t="str">
            <v/>
          </cell>
        </row>
        <row r="2137">
          <cell r="A2137" t="str">
            <v>RDG60ZE(SH)</v>
          </cell>
          <cell r="B2137" t="str">
            <v>SKLADEM</v>
          </cell>
          <cell r="C2137" t="str">
            <v/>
          </cell>
          <cell r="D2137">
            <v>0</v>
          </cell>
          <cell r="E2137" t="str">
            <v/>
          </cell>
        </row>
        <row r="2138">
          <cell r="A2138" t="str">
            <v>RDG60ZL</v>
          </cell>
          <cell r="B2138" t="str">
            <v>VYPRODÁNO</v>
          </cell>
          <cell r="C2138" t="str">
            <v/>
          </cell>
          <cell r="D2138">
            <v>0</v>
          </cell>
          <cell r="E2138" t="str">
            <v/>
          </cell>
        </row>
        <row r="2139">
          <cell r="A2139" t="str">
            <v>RDG60ZL(SH)</v>
          </cell>
          <cell r="B2139" t="str">
            <v>SKLADEM</v>
          </cell>
          <cell r="C2139" t="str">
            <v/>
          </cell>
          <cell r="D2139">
            <v>0</v>
          </cell>
          <cell r="E2139" t="str">
            <v/>
          </cell>
        </row>
        <row r="2140">
          <cell r="A2140" t="str">
            <v>RDP60B</v>
          </cell>
          <cell r="B2140" t="str">
            <v>VYPRODÁNO</v>
          </cell>
          <cell r="C2140" t="str">
            <v/>
          </cell>
          <cell r="D2140">
            <v>0</v>
          </cell>
          <cell r="E2140" t="str">
            <v/>
          </cell>
        </row>
        <row r="2141">
          <cell r="A2141" t="str">
            <v>RDP60C</v>
          </cell>
          <cell r="B2141" t="str">
            <v>SKLADEM</v>
          </cell>
          <cell r="C2141" t="str">
            <v/>
          </cell>
          <cell r="D2141">
            <v>0</v>
          </cell>
          <cell r="E2141" t="str">
            <v/>
          </cell>
        </row>
        <row r="2142">
          <cell r="A2142" t="str">
            <v>RDP60CER</v>
          </cell>
          <cell r="B2142" t="str">
            <v>DOCHÁZÍ</v>
          </cell>
          <cell r="C2142" t="str">
            <v/>
          </cell>
          <cell r="D2142">
            <v>0</v>
          </cell>
          <cell r="E2142">
            <v>5</v>
          </cell>
        </row>
        <row r="2143">
          <cell r="A2143" t="str">
            <v>RDP60M</v>
          </cell>
          <cell r="B2143" t="str">
            <v>SKLADEM</v>
          </cell>
          <cell r="C2143" t="str">
            <v/>
          </cell>
          <cell r="D2143">
            <v>0</v>
          </cell>
          <cell r="E2143" t="str">
            <v/>
          </cell>
        </row>
        <row r="2144">
          <cell r="A2144" t="str">
            <v>RDP60O</v>
          </cell>
          <cell r="B2144" t="str">
            <v>VYPRODÁNO</v>
          </cell>
          <cell r="C2144" t="str">
            <v/>
          </cell>
          <cell r="D2144">
            <v>0</v>
          </cell>
          <cell r="E2144" t="str">
            <v/>
          </cell>
        </row>
        <row r="2145">
          <cell r="A2145" t="str">
            <v>RDP60ZE</v>
          </cell>
          <cell r="B2145" t="str">
            <v>VYPRODÁNO</v>
          </cell>
          <cell r="C2145" t="str">
            <v/>
          </cell>
          <cell r="D2145">
            <v>0</v>
          </cell>
          <cell r="E2145" t="str">
            <v/>
          </cell>
        </row>
        <row r="2146">
          <cell r="A2146" t="str">
            <v>RDP60ZL</v>
          </cell>
          <cell r="B2146" t="str">
            <v>VYPRODÁNO</v>
          </cell>
          <cell r="C2146" t="str">
            <v/>
          </cell>
          <cell r="D2146">
            <v>0</v>
          </cell>
          <cell r="E2146" t="str">
            <v/>
          </cell>
        </row>
        <row r="2147">
          <cell r="A2147" t="str">
            <v>RP1</v>
          </cell>
          <cell r="B2147" t="str">
            <v>VYPRODÁNO</v>
          </cell>
          <cell r="C2147" t="str">
            <v/>
          </cell>
          <cell r="D2147">
            <v>0</v>
          </cell>
          <cell r="E2147" t="str">
            <v/>
          </cell>
        </row>
        <row r="2148">
          <cell r="A2148" t="str">
            <v>RP12</v>
          </cell>
          <cell r="B2148" t="str">
            <v>VYPRODÁNO</v>
          </cell>
          <cell r="C2148" t="str">
            <v/>
          </cell>
          <cell r="D2148">
            <v>0</v>
          </cell>
          <cell r="E2148" t="str">
            <v/>
          </cell>
        </row>
        <row r="2149">
          <cell r="A2149" t="str">
            <v>RP2</v>
          </cell>
          <cell r="B2149" t="str">
            <v>VYPRODÁNO</v>
          </cell>
          <cell r="C2149" t="str">
            <v/>
          </cell>
          <cell r="D2149">
            <v>0</v>
          </cell>
          <cell r="E2149" t="str">
            <v/>
          </cell>
        </row>
        <row r="2150">
          <cell r="A2150" t="str">
            <v>RP5DU14</v>
          </cell>
          <cell r="B2150" t="str">
            <v>SKLADEM</v>
          </cell>
          <cell r="C2150" t="str">
            <v/>
          </cell>
          <cell r="D2150">
            <v>0</v>
          </cell>
          <cell r="E2150" t="str">
            <v/>
          </cell>
        </row>
        <row r="2151">
          <cell r="A2151" t="str">
            <v>RP5DU14(1)</v>
          </cell>
          <cell r="B2151" t="str">
            <v>15.09.2024</v>
          </cell>
          <cell r="C2151">
            <v>207</v>
          </cell>
          <cell r="D2151">
            <v>0</v>
          </cell>
          <cell r="E2151" t="str">
            <v/>
          </cell>
        </row>
        <row r="2152">
          <cell r="A2152" t="str">
            <v>RS1</v>
          </cell>
          <cell r="B2152" t="str">
            <v>20.06.2024</v>
          </cell>
          <cell r="C2152">
            <v>120</v>
          </cell>
          <cell r="D2152">
            <v>0</v>
          </cell>
          <cell r="E2152" t="str">
            <v/>
          </cell>
        </row>
        <row r="2153">
          <cell r="A2153" t="str">
            <v>RS11E</v>
          </cell>
          <cell r="B2153" t="str">
            <v>VYPRODÁNO</v>
          </cell>
          <cell r="C2153" t="str">
            <v/>
          </cell>
          <cell r="D2153">
            <v>0</v>
          </cell>
          <cell r="E2153" t="str">
            <v/>
          </cell>
        </row>
        <row r="2154">
          <cell r="A2154" t="str">
            <v>RS11E14</v>
          </cell>
          <cell r="B2154" t="str">
            <v>VYPRODÁNO</v>
          </cell>
          <cell r="C2154" t="str">
            <v/>
          </cell>
          <cell r="D2154">
            <v>0</v>
          </cell>
          <cell r="E2154" t="str">
            <v/>
          </cell>
        </row>
        <row r="2155">
          <cell r="A2155" t="str">
            <v>RS11H</v>
          </cell>
          <cell r="B2155" t="str">
            <v>SKLADEM</v>
          </cell>
          <cell r="C2155" t="str">
            <v/>
          </cell>
          <cell r="D2155">
            <v>0</v>
          </cell>
          <cell r="E2155" t="str">
            <v/>
          </cell>
        </row>
        <row r="2156">
          <cell r="A2156" t="str">
            <v>RS11H14</v>
          </cell>
          <cell r="B2156" t="str">
            <v>VYPRODÁNO</v>
          </cell>
          <cell r="C2156" t="str">
            <v/>
          </cell>
          <cell r="D2156">
            <v>0</v>
          </cell>
          <cell r="E2156" t="str">
            <v/>
          </cell>
        </row>
        <row r="2157">
          <cell r="A2157" t="str">
            <v>RS11M</v>
          </cell>
          <cell r="B2157" t="str">
            <v>VYPRODÁNO</v>
          </cell>
          <cell r="C2157" t="str">
            <v/>
          </cell>
          <cell r="D2157">
            <v>0</v>
          </cell>
          <cell r="E2157" t="str">
            <v/>
          </cell>
        </row>
        <row r="2158">
          <cell r="A2158" t="str">
            <v>RS11M14</v>
          </cell>
          <cell r="B2158" t="str">
            <v>VYPRODÁNO</v>
          </cell>
          <cell r="C2158" t="str">
            <v/>
          </cell>
          <cell r="D2158">
            <v>0</v>
          </cell>
          <cell r="E2158" t="str">
            <v/>
          </cell>
        </row>
        <row r="2159">
          <cell r="A2159" t="str">
            <v>RS12C</v>
          </cell>
          <cell r="B2159" t="str">
            <v>VYPRODÁNO</v>
          </cell>
          <cell r="C2159" t="str">
            <v/>
          </cell>
          <cell r="D2159">
            <v>0</v>
          </cell>
          <cell r="E2159" t="str">
            <v/>
          </cell>
        </row>
        <row r="2160">
          <cell r="A2160" t="str">
            <v>RS12C14</v>
          </cell>
          <cell r="B2160" t="str">
            <v>VYPRODÁNO</v>
          </cell>
          <cell r="C2160" t="str">
            <v/>
          </cell>
          <cell r="D2160">
            <v>0</v>
          </cell>
          <cell r="E2160" t="str">
            <v/>
          </cell>
        </row>
        <row r="2161">
          <cell r="A2161" t="str">
            <v>RS18S</v>
          </cell>
          <cell r="B2161" t="str">
            <v>SKLADEM</v>
          </cell>
          <cell r="C2161" t="str">
            <v/>
          </cell>
          <cell r="D2161">
            <v>0</v>
          </cell>
          <cell r="E2161" t="str">
            <v/>
          </cell>
        </row>
        <row r="2162">
          <cell r="A2162" t="str">
            <v>RS18S14</v>
          </cell>
          <cell r="B2162" t="str">
            <v>VYPRODÁNO</v>
          </cell>
          <cell r="C2162" t="str">
            <v/>
          </cell>
          <cell r="D2162">
            <v>0</v>
          </cell>
          <cell r="E2162" t="str">
            <v/>
          </cell>
        </row>
        <row r="2163">
          <cell r="A2163" t="str">
            <v>RS18T</v>
          </cell>
          <cell r="B2163" t="str">
            <v>SKLADEM</v>
          </cell>
          <cell r="C2163" t="str">
            <v/>
          </cell>
          <cell r="D2163">
            <v>0</v>
          </cell>
          <cell r="E2163" t="str">
            <v/>
          </cell>
        </row>
        <row r="2164">
          <cell r="A2164" t="str">
            <v>RS18T14</v>
          </cell>
          <cell r="B2164" t="str">
            <v>VYPRODÁNO</v>
          </cell>
          <cell r="C2164" t="str">
            <v/>
          </cell>
          <cell r="D2164">
            <v>0</v>
          </cell>
          <cell r="E2164" t="str">
            <v/>
          </cell>
        </row>
        <row r="2165">
          <cell r="A2165" t="str">
            <v>RS21Z</v>
          </cell>
          <cell r="B2165" t="str">
            <v>SKLADEM</v>
          </cell>
          <cell r="C2165" t="str">
            <v/>
          </cell>
          <cell r="D2165">
            <v>0</v>
          </cell>
          <cell r="E2165" t="str">
            <v/>
          </cell>
        </row>
        <row r="2166">
          <cell r="A2166" t="str">
            <v>RS21Z E</v>
          </cell>
          <cell r="B2166" t="str">
            <v>VYPRODÁNO</v>
          </cell>
          <cell r="C2166" t="str">
            <v/>
          </cell>
          <cell r="D2166">
            <v>0</v>
          </cell>
          <cell r="E2166" t="str">
            <v/>
          </cell>
        </row>
        <row r="2167">
          <cell r="A2167" t="str">
            <v>RS21Z14</v>
          </cell>
          <cell r="B2167" t="str">
            <v>15.06.2024</v>
          </cell>
          <cell r="C2167">
            <v>115</v>
          </cell>
          <cell r="D2167">
            <v>0</v>
          </cell>
          <cell r="E2167" t="str">
            <v/>
          </cell>
        </row>
        <row r="2168">
          <cell r="A2168" t="str">
            <v>RS33R</v>
          </cell>
          <cell r="B2168" t="str">
            <v>SKLADEM</v>
          </cell>
          <cell r="C2168" t="str">
            <v/>
          </cell>
          <cell r="D2168">
            <v>0</v>
          </cell>
          <cell r="E2168" t="str">
            <v/>
          </cell>
        </row>
        <row r="2169">
          <cell r="A2169" t="str">
            <v>RS33R14</v>
          </cell>
          <cell r="B2169" t="str">
            <v>SKLADEM</v>
          </cell>
          <cell r="C2169" t="str">
            <v/>
          </cell>
          <cell r="D2169">
            <v>0</v>
          </cell>
          <cell r="E2169" t="str">
            <v/>
          </cell>
        </row>
        <row r="2170">
          <cell r="A2170" t="str">
            <v>RS4D</v>
          </cell>
          <cell r="B2170" t="str">
            <v>SKLADEM</v>
          </cell>
          <cell r="C2170" t="str">
            <v/>
          </cell>
          <cell r="D2170" t="str">
            <v>100+</v>
          </cell>
          <cell r="E2170" t="str">
            <v/>
          </cell>
        </row>
        <row r="2171">
          <cell r="A2171" t="str">
            <v>RS4D E</v>
          </cell>
          <cell r="B2171" t="str">
            <v>VYPRODÁNO</v>
          </cell>
          <cell r="C2171" t="str">
            <v/>
          </cell>
          <cell r="D2171">
            <v>0</v>
          </cell>
          <cell r="E2171" t="str">
            <v/>
          </cell>
        </row>
        <row r="2172">
          <cell r="A2172" t="str">
            <v>RS4DI14</v>
          </cell>
          <cell r="B2172" t="str">
            <v>VYPRODÁNO</v>
          </cell>
          <cell r="C2172" t="str">
            <v/>
          </cell>
          <cell r="D2172">
            <v>0</v>
          </cell>
          <cell r="E2172" t="str">
            <v/>
          </cell>
        </row>
        <row r="2173">
          <cell r="A2173" t="str">
            <v>RS4H</v>
          </cell>
          <cell r="B2173" t="str">
            <v>VYPRODÁNO</v>
          </cell>
          <cell r="C2173" t="str">
            <v/>
          </cell>
          <cell r="D2173">
            <v>0</v>
          </cell>
          <cell r="E2173" t="str">
            <v/>
          </cell>
        </row>
        <row r="2174">
          <cell r="A2174" t="str">
            <v>RS4H14</v>
          </cell>
          <cell r="B2174" t="str">
            <v>SKLADEM</v>
          </cell>
          <cell r="C2174" t="str">
            <v/>
          </cell>
          <cell r="D2174">
            <v>0</v>
          </cell>
          <cell r="E2174" t="str">
            <v/>
          </cell>
        </row>
        <row r="2175">
          <cell r="A2175" t="str">
            <v>RS5DU</v>
          </cell>
          <cell r="B2175" t="str">
            <v>SKLADEM</v>
          </cell>
          <cell r="C2175" t="str">
            <v/>
          </cell>
          <cell r="D2175">
            <v>0</v>
          </cell>
          <cell r="E2175" t="str">
            <v/>
          </cell>
        </row>
        <row r="2176">
          <cell r="A2176" t="str">
            <v>RS5P</v>
          </cell>
          <cell r="B2176" t="str">
            <v>VYPRODÁNO</v>
          </cell>
          <cell r="C2176" t="str">
            <v/>
          </cell>
          <cell r="D2176">
            <v>0</v>
          </cell>
          <cell r="E2176" t="str">
            <v/>
          </cell>
        </row>
        <row r="2177">
          <cell r="A2177" t="str">
            <v>RS5P E</v>
          </cell>
          <cell r="B2177" t="str">
            <v>VYPRODÁNO</v>
          </cell>
          <cell r="C2177" t="str">
            <v/>
          </cell>
          <cell r="D2177">
            <v>0</v>
          </cell>
          <cell r="E2177" t="str">
            <v/>
          </cell>
        </row>
        <row r="2178">
          <cell r="A2178" t="str">
            <v>RS5V</v>
          </cell>
          <cell r="B2178" t="str">
            <v>VYPRODÁNO</v>
          </cell>
          <cell r="C2178" t="str">
            <v/>
          </cell>
          <cell r="D2178">
            <v>0</v>
          </cell>
          <cell r="E2178" t="str">
            <v/>
          </cell>
        </row>
        <row r="2179">
          <cell r="A2179" t="str">
            <v>RS6M SK</v>
          </cell>
          <cell r="B2179" t="str">
            <v>VYPRODÁNO</v>
          </cell>
          <cell r="C2179" t="str">
            <v/>
          </cell>
          <cell r="D2179">
            <v>0</v>
          </cell>
          <cell r="E2179" t="str">
            <v/>
          </cell>
        </row>
        <row r="2180">
          <cell r="A2180" t="str">
            <v>RS6NO14</v>
          </cell>
          <cell r="B2180" t="str">
            <v>DOCHÁZÍ</v>
          </cell>
          <cell r="C2180" t="str">
            <v/>
          </cell>
          <cell r="D2180">
            <v>0</v>
          </cell>
          <cell r="E2180">
            <v>2</v>
          </cell>
        </row>
        <row r="2181">
          <cell r="A2181" t="str">
            <v>RS6O</v>
          </cell>
          <cell r="B2181" t="str">
            <v>SKLADEM</v>
          </cell>
          <cell r="C2181" t="str">
            <v/>
          </cell>
          <cell r="D2181">
            <v>0</v>
          </cell>
          <cell r="E2181" t="str">
            <v/>
          </cell>
        </row>
        <row r="2182">
          <cell r="A2182" t="str">
            <v>RS6O SK</v>
          </cell>
          <cell r="B2182" t="str">
            <v>VYPRODÁNO</v>
          </cell>
          <cell r="C2182" t="str">
            <v/>
          </cell>
          <cell r="D2182">
            <v>0</v>
          </cell>
          <cell r="E2182" t="str">
            <v/>
          </cell>
        </row>
        <row r="2183">
          <cell r="A2183" t="str">
            <v>RS6P</v>
          </cell>
          <cell r="B2183" t="str">
            <v>15.09.2024</v>
          </cell>
          <cell r="C2183">
            <v>207</v>
          </cell>
          <cell r="D2183">
            <v>0</v>
          </cell>
          <cell r="E2183" t="str">
            <v/>
          </cell>
        </row>
        <row r="2184">
          <cell r="A2184" t="str">
            <v>RS6P E</v>
          </cell>
          <cell r="B2184" t="str">
            <v>VYPRODÁNO</v>
          </cell>
          <cell r="C2184" t="str">
            <v/>
          </cell>
          <cell r="D2184">
            <v>0</v>
          </cell>
          <cell r="E2184" t="str">
            <v/>
          </cell>
        </row>
        <row r="2185">
          <cell r="A2185" t="str">
            <v>RS6S</v>
          </cell>
          <cell r="B2185" t="str">
            <v>SKLADEM</v>
          </cell>
          <cell r="C2185" t="str">
            <v/>
          </cell>
          <cell r="D2185">
            <v>0</v>
          </cell>
          <cell r="E2185" t="str">
            <v/>
          </cell>
        </row>
        <row r="2186">
          <cell r="A2186" t="str">
            <v>RS6S SK</v>
          </cell>
          <cell r="B2186" t="str">
            <v>VYPRODÁNO</v>
          </cell>
          <cell r="C2186" t="str">
            <v/>
          </cell>
          <cell r="D2186">
            <v>0</v>
          </cell>
          <cell r="E2186" t="str">
            <v/>
          </cell>
        </row>
        <row r="2187">
          <cell r="A2187" t="str">
            <v>RS6XS</v>
          </cell>
          <cell r="B2187" t="str">
            <v>30.09.2024</v>
          </cell>
          <cell r="C2187">
            <v>222</v>
          </cell>
          <cell r="D2187">
            <v>0</v>
          </cell>
          <cell r="E2187" t="str">
            <v/>
          </cell>
        </row>
        <row r="2188">
          <cell r="A2188" t="str">
            <v>RS6XS E</v>
          </cell>
          <cell r="B2188" t="str">
            <v>VYPRODÁNO</v>
          </cell>
          <cell r="C2188" t="str">
            <v/>
          </cell>
          <cell r="D2188">
            <v>0</v>
          </cell>
          <cell r="E2188" t="str">
            <v/>
          </cell>
        </row>
        <row r="2189">
          <cell r="A2189" t="str">
            <v>RS7M</v>
          </cell>
          <cell r="B2189" t="str">
            <v>VYPRODÁNO</v>
          </cell>
          <cell r="C2189" t="str">
            <v/>
          </cell>
          <cell r="D2189">
            <v>0</v>
          </cell>
          <cell r="E2189" t="str">
            <v/>
          </cell>
        </row>
        <row r="2190">
          <cell r="A2190" t="str">
            <v>RS7MD</v>
          </cell>
          <cell r="B2190" t="str">
            <v>VYPRODÁNO</v>
          </cell>
          <cell r="C2190" t="str">
            <v/>
          </cell>
          <cell r="D2190">
            <v>0</v>
          </cell>
          <cell r="E2190" t="str">
            <v/>
          </cell>
        </row>
        <row r="2191">
          <cell r="A2191" t="str">
            <v>RS7MD E</v>
          </cell>
          <cell r="B2191" t="str">
            <v>VYPRODÁNO</v>
          </cell>
          <cell r="C2191" t="str">
            <v/>
          </cell>
          <cell r="D2191">
            <v>0</v>
          </cell>
          <cell r="E2191" t="str">
            <v/>
          </cell>
        </row>
        <row r="2192">
          <cell r="A2192" t="str">
            <v>RS7MD14</v>
          </cell>
          <cell r="B2192" t="str">
            <v>SKLADEM</v>
          </cell>
          <cell r="C2192" t="str">
            <v/>
          </cell>
          <cell r="D2192">
            <v>0</v>
          </cell>
          <cell r="E2192" t="str">
            <v/>
          </cell>
        </row>
        <row r="2193">
          <cell r="A2193" t="str">
            <v>RS7MD14 E</v>
          </cell>
          <cell r="B2193" t="str">
            <v>VYPRODÁNO</v>
          </cell>
          <cell r="C2193" t="str">
            <v/>
          </cell>
          <cell r="D2193">
            <v>0</v>
          </cell>
          <cell r="E2193" t="str">
            <v/>
          </cell>
        </row>
        <row r="2194">
          <cell r="A2194" t="str">
            <v>RS7T</v>
          </cell>
          <cell r="B2194" t="str">
            <v>VYPRODÁNO</v>
          </cell>
          <cell r="C2194" t="str">
            <v/>
          </cell>
          <cell r="D2194">
            <v>0</v>
          </cell>
          <cell r="E2194" t="str">
            <v/>
          </cell>
        </row>
        <row r="2195">
          <cell r="A2195" t="str">
            <v>RS7T14</v>
          </cell>
          <cell r="B2195" t="str">
            <v>SKLADEM</v>
          </cell>
          <cell r="C2195" t="str">
            <v/>
          </cell>
          <cell r="D2195">
            <v>0</v>
          </cell>
          <cell r="E2195" t="str">
            <v/>
          </cell>
        </row>
        <row r="2196">
          <cell r="A2196" t="str">
            <v>RS9BP14</v>
          </cell>
          <cell r="B2196" t="str">
            <v>VYPRODÁNO</v>
          </cell>
          <cell r="C2196" t="str">
            <v/>
          </cell>
          <cell r="D2196">
            <v>0</v>
          </cell>
          <cell r="E2196" t="str">
            <v/>
          </cell>
        </row>
        <row r="2197">
          <cell r="A2197" t="str">
            <v>RS9P</v>
          </cell>
          <cell r="B2197" t="str">
            <v>VYPRODÁNO</v>
          </cell>
          <cell r="C2197" t="str">
            <v/>
          </cell>
          <cell r="D2197">
            <v>0</v>
          </cell>
          <cell r="E2197" t="str">
            <v/>
          </cell>
        </row>
        <row r="2198">
          <cell r="A2198" t="str">
            <v>RS9P14</v>
          </cell>
          <cell r="B2198" t="str">
            <v>SKLADEM</v>
          </cell>
          <cell r="C2198" t="str">
            <v/>
          </cell>
          <cell r="D2198">
            <v>0</v>
          </cell>
          <cell r="E2198" t="str">
            <v/>
          </cell>
        </row>
        <row r="2199">
          <cell r="A2199" t="str">
            <v>RS9T</v>
          </cell>
          <cell r="B2199" t="str">
            <v>VYPRODÁNO</v>
          </cell>
          <cell r="C2199" t="str">
            <v/>
          </cell>
          <cell r="D2199">
            <v>0</v>
          </cell>
          <cell r="E2199" t="str">
            <v/>
          </cell>
        </row>
        <row r="2200">
          <cell r="A2200" t="str">
            <v>RS9T14</v>
          </cell>
          <cell r="B2200" t="str">
            <v>SKLADEM</v>
          </cell>
          <cell r="C2200" t="str">
            <v/>
          </cell>
          <cell r="D2200">
            <v>0</v>
          </cell>
          <cell r="E2200" t="str">
            <v/>
          </cell>
        </row>
        <row r="2201">
          <cell r="A2201" t="str">
            <v>RSD6</v>
          </cell>
          <cell r="B2201" t="str">
            <v>SKLADEM</v>
          </cell>
          <cell r="C2201" t="str">
            <v/>
          </cell>
          <cell r="D2201">
            <v>0</v>
          </cell>
          <cell r="E2201" t="str">
            <v/>
          </cell>
        </row>
        <row r="2202">
          <cell r="A2202" t="str">
            <v>RSK7S</v>
          </cell>
          <cell r="B2202" t="str">
            <v>VYPRODÁNO</v>
          </cell>
          <cell r="C2202" t="str">
            <v/>
          </cell>
          <cell r="D2202">
            <v>0</v>
          </cell>
          <cell r="E2202" t="str">
            <v/>
          </cell>
        </row>
        <row r="2203">
          <cell r="A2203" t="str">
            <v>RSS100</v>
          </cell>
          <cell r="B2203" t="str">
            <v>20.06.2024</v>
          </cell>
          <cell r="C2203">
            <v>120</v>
          </cell>
          <cell r="D2203">
            <v>0</v>
          </cell>
          <cell r="E2203" t="str">
            <v/>
          </cell>
        </row>
        <row r="2204">
          <cell r="A2204" t="str">
            <v>RSS100I14</v>
          </cell>
          <cell r="B2204" t="str">
            <v>VYPRODÁNO</v>
          </cell>
          <cell r="C2204" t="str">
            <v/>
          </cell>
          <cell r="D2204">
            <v>0</v>
          </cell>
          <cell r="E2204" t="str">
            <v/>
          </cell>
        </row>
        <row r="2205">
          <cell r="A2205" t="str">
            <v>RSSF2</v>
          </cell>
          <cell r="B2205" t="str">
            <v>SKLADEM</v>
          </cell>
          <cell r="C2205" t="str">
            <v/>
          </cell>
          <cell r="D2205">
            <v>0</v>
          </cell>
          <cell r="E2205" t="str">
            <v/>
          </cell>
        </row>
        <row r="2206">
          <cell r="A2206" t="str">
            <v>RSSF2 E</v>
          </cell>
          <cell r="B2206" t="str">
            <v>VYPRODÁNO</v>
          </cell>
          <cell r="C2206" t="str">
            <v/>
          </cell>
          <cell r="D2206">
            <v>0</v>
          </cell>
          <cell r="E2206" t="str">
            <v/>
          </cell>
        </row>
        <row r="2207">
          <cell r="A2207" t="str">
            <v>RSSF2I14</v>
          </cell>
          <cell r="B2207" t="str">
            <v>VYPRODÁNO</v>
          </cell>
          <cell r="C2207" t="str">
            <v/>
          </cell>
          <cell r="D2207">
            <v>0</v>
          </cell>
          <cell r="E2207" t="str">
            <v/>
          </cell>
        </row>
        <row r="2208">
          <cell r="A2208" t="str">
            <v>RSSF3</v>
          </cell>
          <cell r="B2208" t="str">
            <v>DOCHÁZÍ</v>
          </cell>
          <cell r="C2208" t="str">
            <v/>
          </cell>
          <cell r="D2208">
            <v>0</v>
          </cell>
          <cell r="E2208">
            <v>15</v>
          </cell>
        </row>
        <row r="2209">
          <cell r="A2209" t="str">
            <v>RSSF3I14</v>
          </cell>
          <cell r="B2209" t="str">
            <v>VYPRODÁNO</v>
          </cell>
          <cell r="C2209" t="str">
            <v/>
          </cell>
          <cell r="D2209">
            <v>0</v>
          </cell>
          <cell r="E2209" t="str">
            <v/>
          </cell>
        </row>
        <row r="2210">
          <cell r="A2210" t="str">
            <v>RT1CZE</v>
          </cell>
          <cell r="B2210" t="str">
            <v>VYPRODÁNO</v>
          </cell>
          <cell r="C2210" t="str">
            <v/>
          </cell>
          <cell r="D2210">
            <v>0</v>
          </cell>
          <cell r="E2210" t="str">
            <v/>
          </cell>
        </row>
        <row r="2211">
          <cell r="A2211" t="str">
            <v>RT1SK</v>
          </cell>
          <cell r="B2211" t="str">
            <v>VYPRODÁNO</v>
          </cell>
          <cell r="C2211" t="str">
            <v/>
          </cell>
          <cell r="D2211">
            <v>0</v>
          </cell>
          <cell r="E2211" t="str">
            <v/>
          </cell>
        </row>
        <row r="2212">
          <cell r="A2212" t="str">
            <v>RUD1</v>
          </cell>
          <cell r="B2212" t="str">
            <v>VYPRODÁNO</v>
          </cell>
          <cell r="C2212" t="str">
            <v/>
          </cell>
          <cell r="D2212">
            <v>0</v>
          </cell>
          <cell r="E2212" t="str">
            <v/>
          </cell>
        </row>
        <row r="2213">
          <cell r="A2213" t="str">
            <v>RUN1</v>
          </cell>
          <cell r="B2213" t="str">
            <v>SKLADEM</v>
          </cell>
          <cell r="C2213" t="str">
            <v/>
          </cell>
          <cell r="D2213">
            <v>0</v>
          </cell>
          <cell r="E2213" t="str">
            <v/>
          </cell>
        </row>
        <row r="2214">
          <cell r="A2214" t="str">
            <v>RUSIG1</v>
          </cell>
          <cell r="B2214" t="str">
            <v>VYPRODÁNO</v>
          </cell>
          <cell r="C2214" t="str">
            <v/>
          </cell>
          <cell r="D2214">
            <v>0</v>
          </cell>
          <cell r="E2214" t="str">
            <v/>
          </cell>
        </row>
        <row r="2215">
          <cell r="A2215" t="str">
            <v>S12S</v>
          </cell>
          <cell r="B2215" t="str">
            <v>SKLADEM</v>
          </cell>
          <cell r="C2215" t="str">
            <v/>
          </cell>
          <cell r="D2215">
            <v>0</v>
          </cell>
          <cell r="E2215" t="str">
            <v/>
          </cell>
        </row>
        <row r="2216">
          <cell r="A2216" t="str">
            <v>S12S(1)</v>
          </cell>
          <cell r="B2216" t="str">
            <v>SKLADEM</v>
          </cell>
          <cell r="C2216" t="str">
            <v/>
          </cell>
          <cell r="D2216">
            <v>0</v>
          </cell>
          <cell r="E2216" t="str">
            <v/>
          </cell>
        </row>
        <row r="2217">
          <cell r="A2217" t="str">
            <v>S2A</v>
          </cell>
          <cell r="B2217" t="str">
            <v>VYPRODÁNO</v>
          </cell>
          <cell r="C2217" t="str">
            <v/>
          </cell>
          <cell r="D2217">
            <v>0</v>
          </cell>
          <cell r="E2217" t="str">
            <v/>
          </cell>
        </row>
        <row r="2218">
          <cell r="A2218" t="str">
            <v>S2B</v>
          </cell>
          <cell r="B2218" t="str">
            <v>VYPRODÁNO</v>
          </cell>
          <cell r="C2218" t="str">
            <v/>
          </cell>
          <cell r="D2218">
            <v>0</v>
          </cell>
          <cell r="E2218" t="str">
            <v/>
          </cell>
        </row>
        <row r="2219">
          <cell r="A2219" t="str">
            <v>S2E</v>
          </cell>
          <cell r="B2219" t="str">
            <v>VYPRODÁNO</v>
          </cell>
          <cell r="C2219" t="str">
            <v/>
          </cell>
          <cell r="D2219">
            <v>0</v>
          </cell>
          <cell r="E2219" t="str">
            <v/>
          </cell>
        </row>
        <row r="2220">
          <cell r="A2220" t="str">
            <v>S2G</v>
          </cell>
          <cell r="B2220" t="str">
            <v>VYPRODÁNO</v>
          </cell>
          <cell r="C2220" t="str">
            <v/>
          </cell>
          <cell r="D2220">
            <v>0</v>
          </cell>
          <cell r="E2220" t="str">
            <v/>
          </cell>
        </row>
        <row r="2221">
          <cell r="A2221" t="str">
            <v>S2H</v>
          </cell>
          <cell r="B2221" t="str">
            <v>VYPRODÁNO</v>
          </cell>
          <cell r="C2221" t="str">
            <v/>
          </cell>
          <cell r="D2221">
            <v>0</v>
          </cell>
          <cell r="E2221" t="str">
            <v/>
          </cell>
        </row>
        <row r="2222">
          <cell r="A2222" t="str">
            <v>S2CH</v>
          </cell>
          <cell r="B2222" t="str">
            <v>VYPRODÁNO</v>
          </cell>
          <cell r="C2222" t="str">
            <v/>
          </cell>
          <cell r="D2222">
            <v>0</v>
          </cell>
          <cell r="E2222" t="str">
            <v/>
          </cell>
        </row>
        <row r="2223">
          <cell r="A2223" t="str">
            <v>S2J</v>
          </cell>
          <cell r="B2223" t="str">
            <v>VYPRODÁNO</v>
          </cell>
          <cell r="C2223" t="str">
            <v/>
          </cell>
          <cell r="D2223">
            <v>0</v>
          </cell>
          <cell r="E2223" t="str">
            <v/>
          </cell>
        </row>
        <row r="2224">
          <cell r="A2224" t="str">
            <v>S2K</v>
          </cell>
          <cell r="B2224" t="str">
            <v>VYPRODÁNO</v>
          </cell>
          <cell r="C2224" t="str">
            <v/>
          </cell>
          <cell r="D2224">
            <v>0</v>
          </cell>
          <cell r="E2224" t="str">
            <v/>
          </cell>
        </row>
        <row r="2225">
          <cell r="A2225" t="str">
            <v>S2M</v>
          </cell>
          <cell r="B2225" t="str">
            <v>15.09.2024</v>
          </cell>
          <cell r="C2225">
            <v>207</v>
          </cell>
          <cell r="D2225">
            <v>0</v>
          </cell>
          <cell r="E2225" t="str">
            <v/>
          </cell>
        </row>
        <row r="2226">
          <cell r="A2226" t="str">
            <v>S2MM</v>
          </cell>
          <cell r="B2226" t="str">
            <v>VYPRODÁNO</v>
          </cell>
          <cell r="C2226" t="str">
            <v/>
          </cell>
          <cell r="D2226">
            <v>0</v>
          </cell>
          <cell r="E2226" t="str">
            <v/>
          </cell>
        </row>
        <row r="2227">
          <cell r="A2227" t="str">
            <v>S2N</v>
          </cell>
          <cell r="B2227" t="str">
            <v>VYPRODÁNO</v>
          </cell>
          <cell r="C2227" t="str">
            <v/>
          </cell>
          <cell r="D2227">
            <v>0</v>
          </cell>
          <cell r="E2227" t="str">
            <v/>
          </cell>
        </row>
        <row r="2228">
          <cell r="A2228" t="str">
            <v>S2O</v>
          </cell>
          <cell r="B2228" t="str">
            <v>VYPRODÁNO</v>
          </cell>
          <cell r="C2228" t="str">
            <v/>
          </cell>
          <cell r="D2228">
            <v>0</v>
          </cell>
          <cell r="E2228" t="str">
            <v/>
          </cell>
        </row>
        <row r="2229">
          <cell r="A2229" t="str">
            <v>S2T</v>
          </cell>
          <cell r="B2229" t="str">
            <v>VYPRODÁNO</v>
          </cell>
          <cell r="C2229" t="str">
            <v/>
          </cell>
          <cell r="D2229">
            <v>0</v>
          </cell>
          <cell r="E2229" t="str">
            <v/>
          </cell>
        </row>
        <row r="2230">
          <cell r="A2230" t="str">
            <v>S3A/P</v>
          </cell>
          <cell r="B2230" t="str">
            <v>VYPRODÁNO</v>
          </cell>
          <cell r="C2230" t="str">
            <v/>
          </cell>
          <cell r="D2230">
            <v>0</v>
          </cell>
          <cell r="E2230" t="str">
            <v/>
          </cell>
        </row>
        <row r="2231">
          <cell r="A2231" t="str">
            <v>S3B/P</v>
          </cell>
          <cell r="B2231" t="str">
            <v>VYPRODÁNO</v>
          </cell>
          <cell r="C2231" t="str">
            <v/>
          </cell>
          <cell r="D2231">
            <v>0</v>
          </cell>
          <cell r="E2231" t="str">
            <v/>
          </cell>
        </row>
        <row r="2232">
          <cell r="A2232" t="str">
            <v>S3C/P</v>
          </cell>
          <cell r="B2232" t="str">
            <v>VYPRODÁNO</v>
          </cell>
          <cell r="C2232" t="str">
            <v/>
          </cell>
          <cell r="D2232">
            <v>0</v>
          </cell>
          <cell r="E2232" t="str">
            <v/>
          </cell>
        </row>
        <row r="2233">
          <cell r="A2233" t="str">
            <v>S3D/P</v>
          </cell>
          <cell r="B2233" t="str">
            <v>VYPRODÁNO</v>
          </cell>
          <cell r="C2233" t="str">
            <v/>
          </cell>
          <cell r="D2233">
            <v>0</v>
          </cell>
          <cell r="E2233" t="str">
            <v/>
          </cell>
        </row>
        <row r="2234">
          <cell r="A2234" t="str">
            <v>S3E/P</v>
          </cell>
          <cell r="B2234" t="str">
            <v>VYPRODÁNO</v>
          </cell>
          <cell r="C2234" t="str">
            <v/>
          </cell>
          <cell r="D2234">
            <v>0</v>
          </cell>
          <cell r="E2234" t="str">
            <v/>
          </cell>
        </row>
        <row r="2235">
          <cell r="A2235" t="str">
            <v>S3F/P</v>
          </cell>
          <cell r="B2235" t="str">
            <v>15.08.2024</v>
          </cell>
          <cell r="C2235">
            <v>176</v>
          </cell>
          <cell r="D2235">
            <v>0</v>
          </cell>
          <cell r="E2235" t="str">
            <v/>
          </cell>
        </row>
        <row r="2236">
          <cell r="A2236" t="str">
            <v>S3G/P</v>
          </cell>
          <cell r="B2236" t="str">
            <v>VYPRODÁNO</v>
          </cell>
          <cell r="C2236" t="str">
            <v/>
          </cell>
          <cell r="D2236">
            <v>0</v>
          </cell>
          <cell r="E2236" t="str">
            <v/>
          </cell>
        </row>
        <row r="2237">
          <cell r="A2237" t="str">
            <v>S3H/P</v>
          </cell>
          <cell r="B2237" t="str">
            <v>VYPRODÁNO</v>
          </cell>
          <cell r="C2237" t="str">
            <v/>
          </cell>
          <cell r="D2237">
            <v>0</v>
          </cell>
          <cell r="E2237" t="str">
            <v/>
          </cell>
        </row>
        <row r="2238">
          <cell r="A2238" t="str">
            <v>S3CH/P</v>
          </cell>
          <cell r="B2238" t="str">
            <v>VYPRODÁNO</v>
          </cell>
          <cell r="C2238" t="str">
            <v/>
          </cell>
          <cell r="D2238">
            <v>0</v>
          </cell>
          <cell r="E2238" t="str">
            <v/>
          </cell>
        </row>
        <row r="2239">
          <cell r="A2239" t="str">
            <v>S3I/A</v>
          </cell>
          <cell r="B2239" t="str">
            <v>VYPRODÁNO</v>
          </cell>
          <cell r="C2239" t="str">
            <v/>
          </cell>
          <cell r="D2239">
            <v>0</v>
          </cell>
          <cell r="E2239" t="str">
            <v/>
          </cell>
        </row>
        <row r="2240">
          <cell r="A2240" t="str">
            <v>S3IA/P</v>
          </cell>
          <cell r="B2240" t="str">
            <v>SKLADEM</v>
          </cell>
          <cell r="C2240" t="str">
            <v/>
          </cell>
          <cell r="D2240">
            <v>0</v>
          </cell>
          <cell r="E2240" t="str">
            <v/>
          </cell>
        </row>
        <row r="2241">
          <cell r="A2241" t="str">
            <v>S3J/P</v>
          </cell>
          <cell r="B2241" t="str">
            <v>20.06.2024</v>
          </cell>
          <cell r="C2241">
            <v>120</v>
          </cell>
          <cell r="D2241">
            <v>0</v>
          </cell>
          <cell r="E2241" t="str">
            <v/>
          </cell>
        </row>
        <row r="2242">
          <cell r="A2242" t="str">
            <v>S3K/P</v>
          </cell>
          <cell r="B2242" t="str">
            <v>VYPRODÁNO</v>
          </cell>
          <cell r="C2242" t="str">
            <v/>
          </cell>
          <cell r="D2242">
            <v>0</v>
          </cell>
          <cell r="E2242" t="str">
            <v/>
          </cell>
        </row>
        <row r="2243">
          <cell r="A2243" t="str">
            <v>S3L/P</v>
          </cell>
          <cell r="B2243" t="str">
            <v>VYPRODÁNO</v>
          </cell>
          <cell r="C2243" t="str">
            <v/>
          </cell>
          <cell r="D2243">
            <v>0</v>
          </cell>
          <cell r="E2243" t="str">
            <v/>
          </cell>
        </row>
        <row r="2244">
          <cell r="A2244" t="str">
            <v>S3M/P</v>
          </cell>
          <cell r="B2244" t="str">
            <v>SKLADEM</v>
          </cell>
          <cell r="C2244" t="str">
            <v/>
          </cell>
          <cell r="D2244">
            <v>0</v>
          </cell>
          <cell r="E2244" t="str">
            <v/>
          </cell>
        </row>
        <row r="2245">
          <cell r="A2245" t="str">
            <v>S3N/P</v>
          </cell>
          <cell r="B2245" t="str">
            <v>VYPRODÁNO</v>
          </cell>
          <cell r="C2245" t="str">
            <v/>
          </cell>
          <cell r="D2245">
            <v>0</v>
          </cell>
          <cell r="E2245" t="str">
            <v/>
          </cell>
        </row>
        <row r="2246">
          <cell r="A2246" t="str">
            <v>S3O</v>
          </cell>
          <cell r="B2246" t="str">
            <v>VYPRODÁNO</v>
          </cell>
          <cell r="C2246" t="str">
            <v/>
          </cell>
          <cell r="D2246">
            <v>0</v>
          </cell>
          <cell r="E2246" t="str">
            <v/>
          </cell>
        </row>
        <row r="2247">
          <cell r="A2247" t="str">
            <v>S3O/P</v>
          </cell>
          <cell r="B2247" t="str">
            <v>VYPRODÁNO</v>
          </cell>
          <cell r="C2247" t="str">
            <v/>
          </cell>
          <cell r="D2247">
            <v>0</v>
          </cell>
          <cell r="E2247" t="str">
            <v/>
          </cell>
        </row>
        <row r="2248">
          <cell r="A2248" t="str">
            <v>S3P/P</v>
          </cell>
          <cell r="B2248" t="str">
            <v>VYPRODÁNO</v>
          </cell>
          <cell r="C2248" t="str">
            <v/>
          </cell>
          <cell r="D2248">
            <v>0</v>
          </cell>
          <cell r="E2248" t="str">
            <v/>
          </cell>
        </row>
        <row r="2249">
          <cell r="A2249" t="str">
            <v>S3R/P</v>
          </cell>
          <cell r="B2249" t="str">
            <v>VYPRODÁNO</v>
          </cell>
          <cell r="C2249" t="str">
            <v/>
          </cell>
          <cell r="D2249">
            <v>0</v>
          </cell>
          <cell r="E2249" t="str">
            <v/>
          </cell>
        </row>
        <row r="2250">
          <cell r="A2250" t="str">
            <v>S3S/P</v>
          </cell>
          <cell r="B2250" t="str">
            <v>15.08.2024</v>
          </cell>
          <cell r="C2250">
            <v>176</v>
          </cell>
          <cell r="D2250">
            <v>0</v>
          </cell>
          <cell r="E2250" t="str">
            <v/>
          </cell>
        </row>
        <row r="2251">
          <cell r="A2251" t="str">
            <v>S3T</v>
          </cell>
          <cell r="B2251" t="str">
            <v>VYPRODÁNO</v>
          </cell>
          <cell r="C2251" t="str">
            <v/>
          </cell>
          <cell r="D2251">
            <v>0</v>
          </cell>
          <cell r="E2251" t="str">
            <v/>
          </cell>
        </row>
        <row r="2252">
          <cell r="A2252" t="str">
            <v>S3U</v>
          </cell>
          <cell r="B2252" t="str">
            <v>VYPRODÁNO</v>
          </cell>
          <cell r="C2252" t="str">
            <v/>
          </cell>
          <cell r="D2252">
            <v>0</v>
          </cell>
          <cell r="E2252" t="str">
            <v/>
          </cell>
        </row>
        <row r="2253">
          <cell r="A2253" t="str">
            <v>S3U/P</v>
          </cell>
          <cell r="B2253" t="str">
            <v>VYPRODÁNO</v>
          </cell>
          <cell r="C2253" t="str">
            <v/>
          </cell>
          <cell r="D2253">
            <v>0</v>
          </cell>
          <cell r="E2253" t="str">
            <v/>
          </cell>
        </row>
        <row r="2254">
          <cell r="A2254" t="str">
            <v>S3V/P</v>
          </cell>
          <cell r="B2254" t="str">
            <v>VYPRODÁNO</v>
          </cell>
          <cell r="C2254" t="str">
            <v/>
          </cell>
          <cell r="D2254">
            <v>0</v>
          </cell>
          <cell r="E2254" t="str">
            <v/>
          </cell>
        </row>
        <row r="2255">
          <cell r="A2255" t="str">
            <v>S3W/P</v>
          </cell>
          <cell r="B2255" t="str">
            <v>VYPRODÁNO</v>
          </cell>
          <cell r="C2255" t="str">
            <v/>
          </cell>
          <cell r="D2255">
            <v>0</v>
          </cell>
          <cell r="E2255" t="str">
            <v/>
          </cell>
        </row>
        <row r="2256">
          <cell r="A2256" t="str">
            <v>S3X/P</v>
          </cell>
          <cell r="B2256" t="str">
            <v>VYPRODÁNO</v>
          </cell>
          <cell r="C2256" t="str">
            <v/>
          </cell>
          <cell r="D2256">
            <v>0</v>
          </cell>
          <cell r="E2256" t="str">
            <v/>
          </cell>
        </row>
        <row r="2257">
          <cell r="A2257" t="str">
            <v>S4A/P</v>
          </cell>
          <cell r="B2257" t="str">
            <v>VYPRODÁNO</v>
          </cell>
          <cell r="C2257" t="str">
            <v/>
          </cell>
          <cell r="D2257">
            <v>0</v>
          </cell>
          <cell r="E2257" t="str">
            <v/>
          </cell>
        </row>
        <row r="2258">
          <cell r="A2258" t="str">
            <v>S4B/P</v>
          </cell>
          <cell r="B2258" t="str">
            <v>VYPRODÁNO</v>
          </cell>
          <cell r="C2258" t="str">
            <v/>
          </cell>
          <cell r="D2258">
            <v>0</v>
          </cell>
          <cell r="E2258" t="str">
            <v/>
          </cell>
        </row>
        <row r="2259">
          <cell r="A2259" t="str">
            <v>S4C/P</v>
          </cell>
          <cell r="B2259" t="str">
            <v>SKLADEM</v>
          </cell>
          <cell r="C2259" t="str">
            <v/>
          </cell>
          <cell r="D2259">
            <v>0</v>
          </cell>
          <cell r="E2259" t="str">
            <v/>
          </cell>
        </row>
        <row r="2260">
          <cell r="A2260" t="str">
            <v>S4D/P</v>
          </cell>
          <cell r="B2260" t="str">
            <v>VYPRODÁNO</v>
          </cell>
          <cell r="C2260" t="str">
            <v/>
          </cell>
          <cell r="D2260">
            <v>0</v>
          </cell>
          <cell r="E2260" t="str">
            <v/>
          </cell>
        </row>
        <row r="2261">
          <cell r="A2261" t="str">
            <v>S4E/P</v>
          </cell>
          <cell r="B2261" t="str">
            <v>VYPRODÁNO</v>
          </cell>
          <cell r="C2261" t="str">
            <v/>
          </cell>
          <cell r="D2261">
            <v>0</v>
          </cell>
          <cell r="E2261" t="str">
            <v/>
          </cell>
        </row>
        <row r="2262">
          <cell r="A2262" t="str">
            <v>S4F/P</v>
          </cell>
          <cell r="B2262" t="str">
            <v>VYPRODÁNO</v>
          </cell>
          <cell r="C2262" t="str">
            <v/>
          </cell>
          <cell r="D2262">
            <v>0</v>
          </cell>
          <cell r="E2262" t="str">
            <v/>
          </cell>
        </row>
        <row r="2263">
          <cell r="A2263" t="str">
            <v>S4G/P</v>
          </cell>
          <cell r="B2263" t="str">
            <v>VYPRODÁNO</v>
          </cell>
          <cell r="C2263" t="str">
            <v/>
          </cell>
          <cell r="D2263">
            <v>0</v>
          </cell>
          <cell r="E2263" t="str">
            <v/>
          </cell>
        </row>
        <row r="2264">
          <cell r="A2264" t="str">
            <v>S4H/P</v>
          </cell>
          <cell r="B2264" t="str">
            <v>VYPRODÁNO</v>
          </cell>
          <cell r="C2264" t="str">
            <v/>
          </cell>
          <cell r="D2264">
            <v>0</v>
          </cell>
          <cell r="E2264" t="str">
            <v/>
          </cell>
        </row>
        <row r="2265">
          <cell r="A2265" t="str">
            <v>S4CH/P</v>
          </cell>
          <cell r="B2265" t="str">
            <v>VYPRODÁNO</v>
          </cell>
          <cell r="C2265" t="str">
            <v/>
          </cell>
          <cell r="D2265">
            <v>0</v>
          </cell>
          <cell r="E2265" t="str">
            <v/>
          </cell>
        </row>
        <row r="2266">
          <cell r="A2266" t="str">
            <v>S4I/P</v>
          </cell>
          <cell r="B2266" t="str">
            <v>VYPRODÁNO</v>
          </cell>
          <cell r="C2266" t="str">
            <v/>
          </cell>
          <cell r="D2266">
            <v>0</v>
          </cell>
          <cell r="E2266" t="str">
            <v/>
          </cell>
        </row>
        <row r="2267">
          <cell r="A2267" t="str">
            <v>S4J/P</v>
          </cell>
          <cell r="B2267" t="str">
            <v>15.06.2024</v>
          </cell>
          <cell r="C2267">
            <v>115</v>
          </cell>
          <cell r="D2267">
            <v>0</v>
          </cell>
          <cell r="E2267" t="str">
            <v/>
          </cell>
        </row>
        <row r="2268">
          <cell r="A2268" t="str">
            <v>S4K</v>
          </cell>
          <cell r="B2268" t="str">
            <v>VYPRODÁNO</v>
          </cell>
          <cell r="C2268" t="str">
            <v/>
          </cell>
          <cell r="D2268">
            <v>0</v>
          </cell>
          <cell r="E2268" t="str">
            <v/>
          </cell>
        </row>
        <row r="2269">
          <cell r="A2269" t="str">
            <v>S4K/P</v>
          </cell>
          <cell r="B2269" t="str">
            <v>SKLADEM</v>
          </cell>
          <cell r="C2269" t="str">
            <v/>
          </cell>
          <cell r="D2269">
            <v>0</v>
          </cell>
          <cell r="E2269" t="str">
            <v/>
          </cell>
        </row>
        <row r="2270">
          <cell r="A2270" t="str">
            <v>S4L/P</v>
          </cell>
          <cell r="B2270" t="str">
            <v>30.09.2024</v>
          </cell>
          <cell r="C2270">
            <v>222</v>
          </cell>
          <cell r="D2270">
            <v>0</v>
          </cell>
          <cell r="E2270" t="str">
            <v/>
          </cell>
        </row>
        <row r="2271">
          <cell r="A2271" t="str">
            <v>S4M/P</v>
          </cell>
          <cell r="B2271" t="str">
            <v>30.09.2024</v>
          </cell>
          <cell r="C2271">
            <v>222</v>
          </cell>
          <cell r="D2271">
            <v>0</v>
          </cell>
          <cell r="E2271" t="str">
            <v/>
          </cell>
        </row>
        <row r="2272">
          <cell r="A2272" t="str">
            <v>S4MB</v>
          </cell>
          <cell r="B2272" t="str">
            <v>VYPRODÁNO</v>
          </cell>
          <cell r="C2272" t="str">
            <v/>
          </cell>
          <cell r="D2272">
            <v>0</v>
          </cell>
          <cell r="E2272" t="str">
            <v/>
          </cell>
        </row>
        <row r="2273">
          <cell r="A2273" t="str">
            <v>S4N/A</v>
          </cell>
          <cell r="B2273" t="str">
            <v>VYPRODÁNO</v>
          </cell>
          <cell r="C2273" t="str">
            <v/>
          </cell>
          <cell r="D2273">
            <v>0</v>
          </cell>
          <cell r="E2273" t="str">
            <v/>
          </cell>
        </row>
        <row r="2274">
          <cell r="A2274" t="str">
            <v>S4N/B</v>
          </cell>
          <cell r="B2274" t="str">
            <v>VYPRODÁNO</v>
          </cell>
          <cell r="C2274" t="str">
            <v/>
          </cell>
          <cell r="D2274">
            <v>0</v>
          </cell>
          <cell r="E2274" t="str">
            <v/>
          </cell>
        </row>
        <row r="2275">
          <cell r="A2275" t="str">
            <v>S4NA/P</v>
          </cell>
          <cell r="B2275" t="str">
            <v>15.06.2024</v>
          </cell>
          <cell r="C2275">
            <v>115</v>
          </cell>
          <cell r="D2275">
            <v>0</v>
          </cell>
          <cell r="E2275" t="str">
            <v/>
          </cell>
        </row>
        <row r="2276">
          <cell r="A2276" t="str">
            <v>S4O/P</v>
          </cell>
          <cell r="B2276" t="str">
            <v>SKLADEM</v>
          </cell>
          <cell r="C2276" t="str">
            <v/>
          </cell>
          <cell r="D2276">
            <v>0</v>
          </cell>
          <cell r="E2276" t="str">
            <v/>
          </cell>
        </row>
        <row r="2277">
          <cell r="A2277" t="str">
            <v>S4P/P</v>
          </cell>
          <cell r="B2277" t="str">
            <v>SKLADEM</v>
          </cell>
          <cell r="C2277" t="str">
            <v/>
          </cell>
          <cell r="D2277">
            <v>0</v>
          </cell>
          <cell r="E2277" t="str">
            <v/>
          </cell>
        </row>
        <row r="2278">
          <cell r="A2278" t="str">
            <v>S4Q/P</v>
          </cell>
          <cell r="B2278" t="str">
            <v>SKLADEM</v>
          </cell>
          <cell r="C2278" t="str">
            <v/>
          </cell>
          <cell r="D2278">
            <v>0</v>
          </cell>
          <cell r="E2278" t="str">
            <v/>
          </cell>
        </row>
        <row r="2279">
          <cell r="A2279" t="str">
            <v>S4R/P</v>
          </cell>
          <cell r="B2279" t="str">
            <v>VYPRODÁNO</v>
          </cell>
          <cell r="C2279" t="str">
            <v/>
          </cell>
          <cell r="D2279">
            <v>0</v>
          </cell>
          <cell r="E2279" t="str">
            <v/>
          </cell>
        </row>
        <row r="2280">
          <cell r="A2280" t="str">
            <v>S4S/P</v>
          </cell>
          <cell r="B2280" t="str">
            <v>SKLADEM</v>
          </cell>
          <cell r="C2280" t="str">
            <v/>
          </cell>
          <cell r="D2280">
            <v>0</v>
          </cell>
          <cell r="E2280" t="str">
            <v/>
          </cell>
        </row>
        <row r="2281">
          <cell r="A2281" t="str">
            <v>S4T</v>
          </cell>
          <cell r="B2281" t="str">
            <v>15.06.2024</v>
          </cell>
          <cell r="C2281">
            <v>115</v>
          </cell>
          <cell r="D2281">
            <v>0</v>
          </cell>
          <cell r="E2281" t="str">
            <v/>
          </cell>
        </row>
        <row r="2282">
          <cell r="A2282" t="str">
            <v>S4U/P</v>
          </cell>
          <cell r="B2282" t="str">
            <v>VYPRODÁNO</v>
          </cell>
          <cell r="C2282" t="str">
            <v/>
          </cell>
          <cell r="D2282">
            <v>0</v>
          </cell>
          <cell r="E2282" t="str">
            <v/>
          </cell>
        </row>
        <row r="2283">
          <cell r="A2283" t="str">
            <v>S4V/P</v>
          </cell>
          <cell r="B2283" t="str">
            <v>VYPRODÁNO</v>
          </cell>
          <cell r="C2283" t="str">
            <v/>
          </cell>
          <cell r="D2283">
            <v>0</v>
          </cell>
          <cell r="E2283" t="str">
            <v/>
          </cell>
        </row>
        <row r="2284">
          <cell r="A2284" t="str">
            <v>S4W/P</v>
          </cell>
          <cell r="B2284" t="str">
            <v>DOCHÁZÍ</v>
          </cell>
          <cell r="C2284" t="str">
            <v/>
          </cell>
          <cell r="D2284">
            <v>0</v>
          </cell>
          <cell r="E2284">
            <v>2</v>
          </cell>
        </row>
        <row r="2285">
          <cell r="A2285" t="str">
            <v>S4X/P</v>
          </cell>
          <cell r="B2285" t="str">
            <v>VYPRODÁNO</v>
          </cell>
          <cell r="C2285" t="str">
            <v/>
          </cell>
          <cell r="D2285">
            <v>0</v>
          </cell>
          <cell r="E2285" t="str">
            <v/>
          </cell>
        </row>
        <row r="2286">
          <cell r="A2286" t="str">
            <v>S4Y/P</v>
          </cell>
          <cell r="B2286" t="str">
            <v>VYPRODÁNO</v>
          </cell>
          <cell r="C2286" t="str">
            <v/>
          </cell>
          <cell r="D2286">
            <v>0</v>
          </cell>
          <cell r="E2286" t="str">
            <v/>
          </cell>
        </row>
        <row r="2287">
          <cell r="A2287" t="str">
            <v>S4Z/1</v>
          </cell>
          <cell r="B2287" t="str">
            <v>VYPRODÁNO</v>
          </cell>
          <cell r="C2287" t="str">
            <v/>
          </cell>
          <cell r="D2287">
            <v>0</v>
          </cell>
          <cell r="E2287" t="str">
            <v/>
          </cell>
        </row>
        <row r="2288">
          <cell r="A2288" t="str">
            <v>S4Z/2</v>
          </cell>
          <cell r="B2288" t="str">
            <v>VYPRODÁNO</v>
          </cell>
          <cell r="C2288" t="str">
            <v/>
          </cell>
          <cell r="D2288">
            <v>0</v>
          </cell>
          <cell r="E2288" t="str">
            <v/>
          </cell>
        </row>
        <row r="2289">
          <cell r="A2289" t="str">
            <v>S4Z/3</v>
          </cell>
          <cell r="B2289" t="str">
            <v>VYPRODÁNO</v>
          </cell>
          <cell r="C2289" t="str">
            <v/>
          </cell>
          <cell r="D2289">
            <v>0</v>
          </cell>
          <cell r="E2289" t="str">
            <v/>
          </cell>
        </row>
        <row r="2290">
          <cell r="A2290" t="str">
            <v>S4Z/4</v>
          </cell>
          <cell r="B2290" t="str">
            <v>VYPRODÁNO</v>
          </cell>
          <cell r="C2290" t="str">
            <v/>
          </cell>
          <cell r="D2290">
            <v>0</v>
          </cell>
          <cell r="E2290" t="str">
            <v/>
          </cell>
        </row>
        <row r="2291">
          <cell r="A2291" t="str">
            <v>S4Z/P</v>
          </cell>
          <cell r="B2291" t="str">
            <v>VYPRODÁNO</v>
          </cell>
          <cell r="C2291" t="str">
            <v/>
          </cell>
          <cell r="D2291">
            <v>0</v>
          </cell>
          <cell r="E2291" t="str">
            <v/>
          </cell>
        </row>
        <row r="2292">
          <cell r="A2292" t="str">
            <v>S4Z1/P</v>
          </cell>
          <cell r="B2292" t="str">
            <v>VYPRODÁNO</v>
          </cell>
          <cell r="C2292" t="str">
            <v/>
          </cell>
          <cell r="D2292">
            <v>0</v>
          </cell>
          <cell r="E2292" t="str">
            <v/>
          </cell>
        </row>
        <row r="2293">
          <cell r="A2293" t="str">
            <v>S4Z10/P</v>
          </cell>
          <cell r="B2293" t="str">
            <v>VYPRODÁNO</v>
          </cell>
          <cell r="C2293" t="str">
            <v/>
          </cell>
          <cell r="D2293">
            <v>0</v>
          </cell>
          <cell r="E2293" t="str">
            <v/>
          </cell>
        </row>
        <row r="2294">
          <cell r="A2294" t="str">
            <v>S4Z11/P</v>
          </cell>
          <cell r="B2294" t="str">
            <v>15.09.2024</v>
          </cell>
          <cell r="C2294">
            <v>207</v>
          </cell>
          <cell r="D2294">
            <v>0</v>
          </cell>
          <cell r="E2294" t="str">
            <v/>
          </cell>
        </row>
        <row r="2295">
          <cell r="A2295" t="str">
            <v>S4Z12/P</v>
          </cell>
          <cell r="B2295" t="str">
            <v>SKLADEM</v>
          </cell>
          <cell r="C2295" t="str">
            <v/>
          </cell>
          <cell r="D2295">
            <v>0</v>
          </cell>
          <cell r="E2295" t="str">
            <v/>
          </cell>
        </row>
        <row r="2296">
          <cell r="A2296" t="str">
            <v>S4Z13/P</v>
          </cell>
          <cell r="B2296" t="str">
            <v>VYPRODÁNO</v>
          </cell>
          <cell r="C2296" t="str">
            <v/>
          </cell>
          <cell r="D2296">
            <v>0</v>
          </cell>
          <cell r="E2296" t="str">
            <v/>
          </cell>
        </row>
        <row r="2297">
          <cell r="A2297" t="str">
            <v>S4Z14/P</v>
          </cell>
          <cell r="B2297" t="str">
            <v>VYPRODÁNO</v>
          </cell>
          <cell r="C2297" t="str">
            <v/>
          </cell>
          <cell r="D2297">
            <v>0</v>
          </cell>
          <cell r="E2297" t="str">
            <v/>
          </cell>
        </row>
        <row r="2298">
          <cell r="A2298" t="str">
            <v>S4Z2/P</v>
          </cell>
          <cell r="B2298" t="str">
            <v>VYPRODÁNO</v>
          </cell>
          <cell r="C2298" t="str">
            <v/>
          </cell>
          <cell r="D2298">
            <v>0</v>
          </cell>
          <cell r="E2298" t="str">
            <v/>
          </cell>
        </row>
        <row r="2299">
          <cell r="A2299" t="str">
            <v>S4Z3/P</v>
          </cell>
          <cell r="B2299" t="str">
            <v>VYPRODÁNO</v>
          </cell>
          <cell r="C2299" t="str">
            <v/>
          </cell>
          <cell r="D2299">
            <v>0</v>
          </cell>
          <cell r="E2299" t="str">
            <v/>
          </cell>
        </row>
        <row r="2300">
          <cell r="A2300" t="str">
            <v>S4Z4/P</v>
          </cell>
          <cell r="B2300" t="str">
            <v>VYPRODÁNO</v>
          </cell>
          <cell r="C2300" t="str">
            <v/>
          </cell>
          <cell r="D2300">
            <v>0</v>
          </cell>
          <cell r="E2300" t="str">
            <v/>
          </cell>
        </row>
        <row r="2301">
          <cell r="A2301" t="str">
            <v>S4Z5/P</v>
          </cell>
          <cell r="B2301" t="str">
            <v>20.06.2024</v>
          </cell>
          <cell r="C2301">
            <v>120</v>
          </cell>
          <cell r="D2301">
            <v>0</v>
          </cell>
          <cell r="E2301" t="str">
            <v/>
          </cell>
        </row>
        <row r="2302">
          <cell r="A2302" t="str">
            <v>S4Z6/P</v>
          </cell>
          <cell r="B2302" t="str">
            <v>30.09.2024</v>
          </cell>
          <cell r="C2302">
            <v>222</v>
          </cell>
          <cell r="D2302">
            <v>0</v>
          </cell>
          <cell r="E2302" t="str">
            <v/>
          </cell>
        </row>
        <row r="2303">
          <cell r="A2303" t="str">
            <v>S4Z7/P</v>
          </cell>
          <cell r="B2303" t="str">
            <v>VYPRODÁNO</v>
          </cell>
          <cell r="C2303" t="str">
            <v/>
          </cell>
          <cell r="D2303">
            <v>0</v>
          </cell>
          <cell r="E2303" t="str">
            <v/>
          </cell>
        </row>
        <row r="2304">
          <cell r="A2304" t="str">
            <v>S4Z8/P</v>
          </cell>
          <cell r="B2304" t="str">
            <v>30.09.2024</v>
          </cell>
          <cell r="C2304">
            <v>222</v>
          </cell>
          <cell r="D2304">
            <v>0</v>
          </cell>
          <cell r="E2304" t="str">
            <v/>
          </cell>
        </row>
        <row r="2305">
          <cell r="A2305" t="str">
            <v>S4Z9/P</v>
          </cell>
          <cell r="B2305" t="str">
            <v>VYPRODÁNO</v>
          </cell>
          <cell r="C2305" t="str">
            <v/>
          </cell>
          <cell r="D2305">
            <v>0</v>
          </cell>
          <cell r="E2305" t="str">
            <v/>
          </cell>
        </row>
        <row r="2306">
          <cell r="A2306" t="str">
            <v>S5A</v>
          </cell>
          <cell r="B2306" t="str">
            <v>VYPRODÁNO</v>
          </cell>
          <cell r="C2306" t="str">
            <v/>
          </cell>
          <cell r="D2306">
            <v>0</v>
          </cell>
          <cell r="E2306" t="str">
            <v/>
          </cell>
        </row>
        <row r="2307">
          <cell r="A2307" t="str">
            <v>S5A/P</v>
          </cell>
          <cell r="B2307" t="str">
            <v>VYPRODÁNO</v>
          </cell>
          <cell r="C2307" t="str">
            <v/>
          </cell>
          <cell r="D2307">
            <v>0</v>
          </cell>
          <cell r="E2307" t="str">
            <v/>
          </cell>
        </row>
        <row r="2308">
          <cell r="A2308" t="str">
            <v>S5B</v>
          </cell>
          <cell r="B2308" t="str">
            <v>VYPRODÁNO</v>
          </cell>
          <cell r="C2308" t="str">
            <v/>
          </cell>
          <cell r="D2308">
            <v>0</v>
          </cell>
          <cell r="E2308" t="str">
            <v/>
          </cell>
        </row>
        <row r="2309">
          <cell r="A2309" t="str">
            <v>S5B/P</v>
          </cell>
          <cell r="B2309" t="str">
            <v>VYPRODÁNO</v>
          </cell>
          <cell r="C2309" t="str">
            <v/>
          </cell>
          <cell r="D2309">
            <v>0</v>
          </cell>
          <cell r="E2309" t="str">
            <v/>
          </cell>
        </row>
        <row r="2310">
          <cell r="A2310" t="str">
            <v>S5C</v>
          </cell>
          <cell r="B2310" t="str">
            <v>VYPRODÁNO</v>
          </cell>
          <cell r="C2310" t="str">
            <v/>
          </cell>
          <cell r="D2310">
            <v>0</v>
          </cell>
          <cell r="E2310" t="str">
            <v/>
          </cell>
        </row>
        <row r="2311">
          <cell r="A2311" t="str">
            <v>S5C/P</v>
          </cell>
          <cell r="B2311" t="str">
            <v>VYPRODÁNO</v>
          </cell>
          <cell r="C2311" t="str">
            <v/>
          </cell>
          <cell r="D2311">
            <v>0</v>
          </cell>
          <cell r="E2311" t="str">
            <v/>
          </cell>
        </row>
        <row r="2312">
          <cell r="A2312" t="str">
            <v>S5D</v>
          </cell>
          <cell r="B2312" t="str">
            <v>VYPRODÁNO</v>
          </cell>
          <cell r="C2312" t="str">
            <v/>
          </cell>
          <cell r="D2312">
            <v>0</v>
          </cell>
          <cell r="E2312" t="str">
            <v/>
          </cell>
        </row>
        <row r="2313">
          <cell r="A2313" t="str">
            <v>S5D/P</v>
          </cell>
          <cell r="B2313" t="str">
            <v>VYPRODÁNO</v>
          </cell>
          <cell r="C2313" t="str">
            <v/>
          </cell>
          <cell r="D2313">
            <v>0</v>
          </cell>
          <cell r="E2313" t="str">
            <v/>
          </cell>
        </row>
        <row r="2314">
          <cell r="A2314" t="str">
            <v>S5E</v>
          </cell>
          <cell r="B2314" t="str">
            <v>VYPRODÁNO</v>
          </cell>
          <cell r="C2314" t="str">
            <v/>
          </cell>
          <cell r="D2314">
            <v>0</v>
          </cell>
          <cell r="E2314" t="str">
            <v/>
          </cell>
        </row>
        <row r="2315">
          <cell r="A2315" t="str">
            <v>S5E/P</v>
          </cell>
          <cell r="B2315" t="str">
            <v>15.06.2024</v>
          </cell>
          <cell r="C2315">
            <v>115</v>
          </cell>
          <cell r="D2315">
            <v>0</v>
          </cell>
          <cell r="E2315" t="str">
            <v/>
          </cell>
        </row>
        <row r="2316">
          <cell r="A2316" t="str">
            <v>S5F</v>
          </cell>
          <cell r="B2316" t="str">
            <v>VYPRODÁNO</v>
          </cell>
          <cell r="C2316" t="str">
            <v/>
          </cell>
          <cell r="D2316">
            <v>0</v>
          </cell>
          <cell r="E2316" t="str">
            <v/>
          </cell>
        </row>
        <row r="2317">
          <cell r="A2317" t="str">
            <v>S5F/P</v>
          </cell>
          <cell r="B2317" t="str">
            <v>30.09.2024</v>
          </cell>
          <cell r="C2317">
            <v>222</v>
          </cell>
          <cell r="D2317">
            <v>0</v>
          </cell>
          <cell r="E2317" t="str">
            <v/>
          </cell>
        </row>
        <row r="2318">
          <cell r="A2318" t="str">
            <v>S5G</v>
          </cell>
          <cell r="B2318" t="str">
            <v>VYPRODÁNO</v>
          </cell>
          <cell r="C2318" t="str">
            <v/>
          </cell>
          <cell r="D2318">
            <v>0</v>
          </cell>
          <cell r="E2318" t="str">
            <v/>
          </cell>
        </row>
        <row r="2319">
          <cell r="A2319" t="str">
            <v>S5G/P</v>
          </cell>
          <cell r="B2319" t="str">
            <v>VYPRODÁNO</v>
          </cell>
          <cell r="C2319" t="str">
            <v/>
          </cell>
          <cell r="D2319">
            <v>0</v>
          </cell>
          <cell r="E2319" t="str">
            <v/>
          </cell>
        </row>
        <row r="2320">
          <cell r="A2320" t="str">
            <v>S5H</v>
          </cell>
          <cell r="B2320" t="str">
            <v>VYPRODÁNO</v>
          </cell>
          <cell r="C2320" t="str">
            <v/>
          </cell>
          <cell r="D2320">
            <v>0</v>
          </cell>
          <cell r="E2320" t="str">
            <v/>
          </cell>
        </row>
        <row r="2321">
          <cell r="A2321" t="str">
            <v>S5H/P</v>
          </cell>
          <cell r="B2321" t="str">
            <v>VYPRODÁNO</v>
          </cell>
          <cell r="C2321" t="str">
            <v/>
          </cell>
          <cell r="D2321">
            <v>0</v>
          </cell>
          <cell r="E2321" t="str">
            <v/>
          </cell>
        </row>
        <row r="2322">
          <cell r="A2322" t="str">
            <v>S5CH</v>
          </cell>
          <cell r="B2322" t="str">
            <v>VYPRODÁNO</v>
          </cell>
          <cell r="C2322" t="str">
            <v/>
          </cell>
          <cell r="D2322">
            <v>0</v>
          </cell>
          <cell r="E2322" t="str">
            <v/>
          </cell>
        </row>
        <row r="2323">
          <cell r="A2323" t="str">
            <v>S5CH/P</v>
          </cell>
          <cell r="B2323" t="str">
            <v>VYPRODÁNO</v>
          </cell>
          <cell r="C2323" t="str">
            <v/>
          </cell>
          <cell r="D2323">
            <v>0</v>
          </cell>
          <cell r="E2323" t="str">
            <v/>
          </cell>
        </row>
        <row r="2324">
          <cell r="A2324" t="str">
            <v>S5I</v>
          </cell>
          <cell r="B2324" t="str">
            <v>VYPRODÁNO</v>
          </cell>
          <cell r="C2324" t="str">
            <v/>
          </cell>
          <cell r="D2324">
            <v>0</v>
          </cell>
          <cell r="E2324" t="str">
            <v/>
          </cell>
        </row>
        <row r="2325">
          <cell r="A2325" t="str">
            <v>S5I/P</v>
          </cell>
          <cell r="B2325" t="str">
            <v>VYPRODÁNO</v>
          </cell>
          <cell r="C2325" t="str">
            <v/>
          </cell>
          <cell r="D2325">
            <v>0</v>
          </cell>
          <cell r="E2325" t="str">
            <v/>
          </cell>
        </row>
        <row r="2326">
          <cell r="A2326" t="str">
            <v>S5J</v>
          </cell>
          <cell r="B2326" t="str">
            <v>VYPRODÁNO</v>
          </cell>
          <cell r="C2326" t="str">
            <v/>
          </cell>
          <cell r="D2326">
            <v>0</v>
          </cell>
          <cell r="E2326" t="str">
            <v/>
          </cell>
        </row>
        <row r="2327">
          <cell r="A2327" t="str">
            <v>S5J/P</v>
          </cell>
          <cell r="B2327" t="str">
            <v>VYPRODÁNO</v>
          </cell>
          <cell r="C2327" t="str">
            <v/>
          </cell>
          <cell r="D2327">
            <v>0</v>
          </cell>
          <cell r="E2327" t="str">
            <v/>
          </cell>
        </row>
        <row r="2328">
          <cell r="A2328" t="str">
            <v>S5K</v>
          </cell>
          <cell r="B2328" t="str">
            <v>VYPRODÁNO</v>
          </cell>
          <cell r="C2328" t="str">
            <v/>
          </cell>
          <cell r="D2328">
            <v>0</v>
          </cell>
          <cell r="E2328" t="str">
            <v/>
          </cell>
        </row>
        <row r="2329">
          <cell r="A2329" t="str">
            <v>S5K/P</v>
          </cell>
          <cell r="B2329" t="str">
            <v>30.09.2024</v>
          </cell>
          <cell r="C2329">
            <v>222</v>
          </cell>
          <cell r="D2329">
            <v>0</v>
          </cell>
          <cell r="E2329" t="str">
            <v/>
          </cell>
        </row>
        <row r="2330">
          <cell r="A2330" t="str">
            <v>S5L</v>
          </cell>
          <cell r="B2330" t="str">
            <v>VYPRODÁNO</v>
          </cell>
          <cell r="C2330" t="str">
            <v/>
          </cell>
          <cell r="D2330">
            <v>0</v>
          </cell>
          <cell r="E2330" t="str">
            <v/>
          </cell>
        </row>
        <row r="2331">
          <cell r="A2331" t="str">
            <v>S5L/P</v>
          </cell>
          <cell r="B2331" t="str">
            <v>VYPRODÁNO</v>
          </cell>
          <cell r="C2331" t="str">
            <v/>
          </cell>
          <cell r="D2331">
            <v>0</v>
          </cell>
          <cell r="E2331" t="str">
            <v/>
          </cell>
        </row>
        <row r="2332">
          <cell r="A2332" t="str">
            <v>S5M/P</v>
          </cell>
          <cell r="B2332" t="str">
            <v>20.06.2024</v>
          </cell>
          <cell r="C2332">
            <v>120</v>
          </cell>
          <cell r="D2332">
            <v>0</v>
          </cell>
          <cell r="E2332" t="str">
            <v/>
          </cell>
        </row>
        <row r="2333">
          <cell r="A2333" t="str">
            <v>S5MA</v>
          </cell>
          <cell r="B2333" t="str">
            <v>VYPRODÁNO</v>
          </cell>
          <cell r="C2333" t="str">
            <v/>
          </cell>
          <cell r="D2333">
            <v>0</v>
          </cell>
          <cell r="E2333" t="str">
            <v/>
          </cell>
        </row>
        <row r="2334">
          <cell r="A2334" t="str">
            <v>S5MB</v>
          </cell>
          <cell r="B2334" t="str">
            <v>VYPRODÁNO</v>
          </cell>
          <cell r="C2334" t="str">
            <v/>
          </cell>
          <cell r="D2334">
            <v>0</v>
          </cell>
          <cell r="E2334" t="str">
            <v/>
          </cell>
        </row>
        <row r="2335">
          <cell r="A2335" t="str">
            <v>S5MX</v>
          </cell>
          <cell r="B2335" t="str">
            <v>VYPRODÁNO</v>
          </cell>
          <cell r="C2335" t="str">
            <v/>
          </cell>
          <cell r="D2335">
            <v>0</v>
          </cell>
          <cell r="E2335" t="str">
            <v/>
          </cell>
        </row>
        <row r="2336">
          <cell r="A2336" t="str">
            <v>S5N</v>
          </cell>
          <cell r="B2336" t="str">
            <v>VYPRODÁNO</v>
          </cell>
          <cell r="C2336" t="str">
            <v/>
          </cell>
          <cell r="D2336">
            <v>0</v>
          </cell>
          <cell r="E2336" t="str">
            <v/>
          </cell>
        </row>
        <row r="2337">
          <cell r="A2337" t="str">
            <v>S5N/P</v>
          </cell>
          <cell r="B2337" t="str">
            <v>VYPRODÁNO</v>
          </cell>
          <cell r="C2337" t="str">
            <v/>
          </cell>
          <cell r="D2337">
            <v>0</v>
          </cell>
          <cell r="E2337" t="str">
            <v/>
          </cell>
        </row>
        <row r="2338">
          <cell r="A2338" t="str">
            <v>S5O</v>
          </cell>
          <cell r="B2338" t="str">
            <v>VYPRODÁNO</v>
          </cell>
          <cell r="C2338" t="str">
            <v/>
          </cell>
          <cell r="D2338">
            <v>0</v>
          </cell>
          <cell r="E2338" t="str">
            <v/>
          </cell>
        </row>
        <row r="2339">
          <cell r="A2339" t="str">
            <v>S5O/P</v>
          </cell>
          <cell r="B2339" t="str">
            <v>VYPRODÁNO</v>
          </cell>
          <cell r="C2339" t="str">
            <v/>
          </cell>
          <cell r="D2339">
            <v>0</v>
          </cell>
          <cell r="E2339" t="str">
            <v/>
          </cell>
        </row>
        <row r="2340">
          <cell r="A2340" t="str">
            <v>S5P</v>
          </cell>
          <cell r="B2340" t="str">
            <v>VYPRODÁNO</v>
          </cell>
          <cell r="C2340" t="str">
            <v/>
          </cell>
          <cell r="D2340">
            <v>0</v>
          </cell>
          <cell r="E2340" t="str">
            <v/>
          </cell>
        </row>
        <row r="2341">
          <cell r="A2341" t="str">
            <v>S5P/P</v>
          </cell>
          <cell r="B2341" t="str">
            <v>VYPRODÁNO</v>
          </cell>
          <cell r="C2341" t="str">
            <v/>
          </cell>
          <cell r="D2341">
            <v>0</v>
          </cell>
          <cell r="E2341" t="str">
            <v/>
          </cell>
        </row>
        <row r="2342">
          <cell r="A2342" t="str">
            <v>S5Q</v>
          </cell>
          <cell r="B2342" t="str">
            <v>VYPRODÁNO</v>
          </cell>
          <cell r="C2342" t="str">
            <v/>
          </cell>
          <cell r="D2342">
            <v>0</v>
          </cell>
          <cell r="E2342" t="str">
            <v/>
          </cell>
        </row>
        <row r="2343">
          <cell r="A2343" t="str">
            <v>S5Q/P</v>
          </cell>
          <cell r="B2343" t="str">
            <v>VYPRODÁNO</v>
          </cell>
          <cell r="C2343" t="str">
            <v/>
          </cell>
          <cell r="D2343">
            <v>0</v>
          </cell>
          <cell r="E2343" t="str">
            <v/>
          </cell>
        </row>
        <row r="2344">
          <cell r="A2344" t="str">
            <v>S5R/P</v>
          </cell>
          <cell r="B2344" t="str">
            <v>VYPRODÁNO</v>
          </cell>
          <cell r="C2344" t="str">
            <v/>
          </cell>
          <cell r="D2344">
            <v>0</v>
          </cell>
          <cell r="E2344" t="str">
            <v/>
          </cell>
        </row>
        <row r="2345">
          <cell r="A2345" t="str">
            <v>S60S</v>
          </cell>
          <cell r="B2345" t="str">
            <v>15.03.2024</v>
          </cell>
          <cell r="C2345">
            <v>23</v>
          </cell>
          <cell r="D2345" t="str">
            <v>100+</v>
          </cell>
          <cell r="E2345" t="str">
            <v/>
          </cell>
        </row>
        <row r="2346">
          <cell r="A2346" t="str">
            <v>S60SB</v>
          </cell>
          <cell r="B2346" t="str">
            <v>VYPRODÁNO</v>
          </cell>
          <cell r="C2346" t="str">
            <v/>
          </cell>
          <cell r="D2346">
            <v>0</v>
          </cell>
          <cell r="E2346" t="str">
            <v/>
          </cell>
        </row>
        <row r="2347">
          <cell r="A2347" t="str">
            <v>S60SC</v>
          </cell>
          <cell r="B2347" t="str">
            <v>VYPRODÁNO</v>
          </cell>
          <cell r="C2347" t="str">
            <v/>
          </cell>
          <cell r="D2347">
            <v>0</v>
          </cell>
          <cell r="E2347" t="str">
            <v/>
          </cell>
        </row>
        <row r="2348">
          <cell r="A2348" t="str">
            <v>S60SZ</v>
          </cell>
          <cell r="B2348" t="str">
            <v>VYPRODÁNO</v>
          </cell>
          <cell r="C2348" t="str">
            <v/>
          </cell>
          <cell r="D2348">
            <v>0</v>
          </cell>
          <cell r="E2348" t="str">
            <v/>
          </cell>
        </row>
        <row r="2349">
          <cell r="A2349" t="str">
            <v>S6A</v>
          </cell>
          <cell r="B2349" t="str">
            <v>VYPRODÁNO</v>
          </cell>
          <cell r="C2349" t="str">
            <v/>
          </cell>
          <cell r="D2349">
            <v>0</v>
          </cell>
          <cell r="E2349" t="str">
            <v/>
          </cell>
        </row>
        <row r="2350">
          <cell r="A2350" t="str">
            <v>S6A/P</v>
          </cell>
          <cell r="B2350" t="str">
            <v>VYPRODÁNO</v>
          </cell>
          <cell r="C2350" t="str">
            <v/>
          </cell>
          <cell r="D2350">
            <v>0</v>
          </cell>
          <cell r="E2350" t="str">
            <v/>
          </cell>
        </row>
        <row r="2351">
          <cell r="A2351" t="str">
            <v>S6A/P(9)</v>
          </cell>
          <cell r="B2351" t="str">
            <v>VYPRODÁNO</v>
          </cell>
          <cell r="C2351" t="str">
            <v/>
          </cell>
          <cell r="D2351">
            <v>0</v>
          </cell>
          <cell r="E2351" t="str">
            <v/>
          </cell>
        </row>
        <row r="2352">
          <cell r="A2352" t="str">
            <v>S6B</v>
          </cell>
          <cell r="B2352" t="str">
            <v>VYPRODÁNO</v>
          </cell>
          <cell r="C2352" t="str">
            <v/>
          </cell>
          <cell r="D2352">
            <v>0</v>
          </cell>
          <cell r="E2352" t="str">
            <v/>
          </cell>
        </row>
        <row r="2353">
          <cell r="A2353" t="str">
            <v>S6B/P</v>
          </cell>
          <cell r="B2353" t="str">
            <v>VYPRODÁNO</v>
          </cell>
          <cell r="C2353" t="str">
            <v/>
          </cell>
          <cell r="D2353">
            <v>0</v>
          </cell>
          <cell r="E2353" t="str">
            <v/>
          </cell>
        </row>
        <row r="2354">
          <cell r="A2354" t="str">
            <v>S6B/P(9)</v>
          </cell>
          <cell r="B2354" t="str">
            <v>VYPRODÁNO</v>
          </cell>
          <cell r="C2354" t="str">
            <v/>
          </cell>
          <cell r="D2354">
            <v>0</v>
          </cell>
          <cell r="E2354" t="str">
            <v/>
          </cell>
        </row>
        <row r="2355">
          <cell r="A2355" t="str">
            <v>S6C</v>
          </cell>
          <cell r="B2355" t="str">
            <v>VYPRODÁNO</v>
          </cell>
          <cell r="C2355" t="str">
            <v/>
          </cell>
          <cell r="D2355">
            <v>0</v>
          </cell>
          <cell r="E2355" t="str">
            <v/>
          </cell>
        </row>
        <row r="2356">
          <cell r="A2356" t="str">
            <v>S6C/P</v>
          </cell>
          <cell r="B2356" t="str">
            <v>VYPRODÁNO</v>
          </cell>
          <cell r="C2356" t="str">
            <v/>
          </cell>
          <cell r="D2356">
            <v>0</v>
          </cell>
          <cell r="E2356" t="str">
            <v/>
          </cell>
        </row>
        <row r="2357">
          <cell r="A2357" t="str">
            <v>S6C/P(9)</v>
          </cell>
          <cell r="B2357" t="str">
            <v>VYPRODÁNO</v>
          </cell>
          <cell r="C2357" t="str">
            <v/>
          </cell>
          <cell r="D2357">
            <v>0</v>
          </cell>
          <cell r="E2357" t="str">
            <v/>
          </cell>
        </row>
        <row r="2358">
          <cell r="A2358" t="str">
            <v>S6D</v>
          </cell>
          <cell r="B2358" t="str">
            <v>VYPRODÁNO</v>
          </cell>
          <cell r="C2358" t="str">
            <v/>
          </cell>
          <cell r="D2358">
            <v>0</v>
          </cell>
          <cell r="E2358" t="str">
            <v/>
          </cell>
        </row>
        <row r="2359">
          <cell r="A2359" t="str">
            <v>S6D/P</v>
          </cell>
          <cell r="B2359" t="str">
            <v>VYPRODÁNO</v>
          </cell>
          <cell r="C2359" t="str">
            <v/>
          </cell>
          <cell r="D2359">
            <v>0</v>
          </cell>
          <cell r="E2359" t="str">
            <v/>
          </cell>
        </row>
        <row r="2360">
          <cell r="A2360" t="str">
            <v>S6D/P(9)</v>
          </cell>
          <cell r="B2360" t="str">
            <v>VYPRODÁNO</v>
          </cell>
          <cell r="C2360" t="str">
            <v/>
          </cell>
          <cell r="D2360">
            <v>0</v>
          </cell>
          <cell r="E2360" t="str">
            <v/>
          </cell>
        </row>
        <row r="2361">
          <cell r="A2361" t="str">
            <v>S6E</v>
          </cell>
          <cell r="B2361" t="str">
            <v>VYPRODÁNO</v>
          </cell>
          <cell r="C2361" t="str">
            <v/>
          </cell>
          <cell r="D2361">
            <v>0</v>
          </cell>
          <cell r="E2361" t="str">
            <v/>
          </cell>
        </row>
        <row r="2362">
          <cell r="A2362" t="str">
            <v>S6E/P</v>
          </cell>
          <cell r="B2362" t="str">
            <v>VYPRODÁNO</v>
          </cell>
          <cell r="C2362" t="str">
            <v/>
          </cell>
          <cell r="D2362">
            <v>0</v>
          </cell>
          <cell r="E2362" t="str">
            <v/>
          </cell>
        </row>
        <row r="2363">
          <cell r="A2363" t="str">
            <v>S6E/P(9)</v>
          </cell>
          <cell r="B2363" t="str">
            <v>VYPRODÁNO</v>
          </cell>
          <cell r="C2363" t="str">
            <v/>
          </cell>
          <cell r="D2363">
            <v>0</v>
          </cell>
          <cell r="E2363" t="str">
            <v/>
          </cell>
        </row>
        <row r="2364">
          <cell r="A2364" t="str">
            <v>S6F</v>
          </cell>
          <cell r="B2364" t="str">
            <v>VYPRODÁNO</v>
          </cell>
          <cell r="C2364" t="str">
            <v/>
          </cell>
          <cell r="D2364">
            <v>0</v>
          </cell>
          <cell r="E2364" t="str">
            <v/>
          </cell>
        </row>
        <row r="2365">
          <cell r="A2365" t="str">
            <v>S6F/P</v>
          </cell>
          <cell r="B2365" t="str">
            <v>VYPRODÁNO</v>
          </cell>
          <cell r="C2365" t="str">
            <v/>
          </cell>
          <cell r="D2365">
            <v>0</v>
          </cell>
          <cell r="E2365" t="str">
            <v/>
          </cell>
        </row>
        <row r="2366">
          <cell r="A2366" t="str">
            <v>S6F/P(9)</v>
          </cell>
          <cell r="B2366" t="str">
            <v>30.09.2024</v>
          </cell>
          <cell r="C2366">
            <v>222</v>
          </cell>
          <cell r="D2366">
            <v>0</v>
          </cell>
          <cell r="E2366" t="str">
            <v/>
          </cell>
        </row>
        <row r="2367">
          <cell r="A2367" t="str">
            <v>S6G</v>
          </cell>
          <cell r="B2367" t="str">
            <v>VYPRODÁNO</v>
          </cell>
          <cell r="C2367" t="str">
            <v/>
          </cell>
          <cell r="D2367">
            <v>0</v>
          </cell>
          <cell r="E2367" t="str">
            <v/>
          </cell>
        </row>
        <row r="2368">
          <cell r="A2368" t="str">
            <v>S6G/P</v>
          </cell>
          <cell r="B2368" t="str">
            <v>VYPRODÁNO</v>
          </cell>
          <cell r="C2368" t="str">
            <v/>
          </cell>
          <cell r="D2368">
            <v>0</v>
          </cell>
          <cell r="E2368" t="str">
            <v/>
          </cell>
        </row>
        <row r="2369">
          <cell r="A2369" t="str">
            <v>S6G/P(9)</v>
          </cell>
          <cell r="B2369" t="str">
            <v>VYPRODÁNO</v>
          </cell>
          <cell r="C2369" t="str">
            <v/>
          </cell>
          <cell r="D2369">
            <v>0</v>
          </cell>
          <cell r="E2369" t="str">
            <v/>
          </cell>
        </row>
        <row r="2370">
          <cell r="A2370" t="str">
            <v>S6H</v>
          </cell>
          <cell r="B2370" t="str">
            <v>VYPRODÁNO</v>
          </cell>
          <cell r="C2370" t="str">
            <v/>
          </cell>
          <cell r="D2370">
            <v>0</v>
          </cell>
          <cell r="E2370" t="str">
            <v/>
          </cell>
        </row>
        <row r="2371">
          <cell r="A2371" t="str">
            <v>S6H/P</v>
          </cell>
          <cell r="B2371" t="str">
            <v>VYPRODÁNO</v>
          </cell>
          <cell r="C2371" t="str">
            <v/>
          </cell>
          <cell r="D2371">
            <v>0</v>
          </cell>
          <cell r="E2371" t="str">
            <v/>
          </cell>
        </row>
        <row r="2372">
          <cell r="A2372" t="str">
            <v>S6H/P(9)</v>
          </cell>
          <cell r="B2372" t="str">
            <v>VYPRODÁNO</v>
          </cell>
          <cell r="C2372" t="str">
            <v/>
          </cell>
          <cell r="D2372">
            <v>0</v>
          </cell>
          <cell r="E2372" t="str">
            <v/>
          </cell>
        </row>
        <row r="2373">
          <cell r="A2373" t="str">
            <v>S6CH</v>
          </cell>
          <cell r="B2373" t="str">
            <v>VYPRODÁNO</v>
          </cell>
          <cell r="C2373" t="str">
            <v/>
          </cell>
          <cell r="D2373">
            <v>0</v>
          </cell>
          <cell r="E2373" t="str">
            <v/>
          </cell>
        </row>
        <row r="2374">
          <cell r="A2374" t="str">
            <v>S6CH/P</v>
          </cell>
          <cell r="B2374" t="str">
            <v>VYPRODÁNO</v>
          </cell>
          <cell r="C2374" t="str">
            <v/>
          </cell>
          <cell r="D2374">
            <v>0</v>
          </cell>
          <cell r="E2374" t="str">
            <v/>
          </cell>
        </row>
        <row r="2375">
          <cell r="A2375" t="str">
            <v>S6CH/P(9)</v>
          </cell>
          <cell r="B2375" t="str">
            <v>VYPRODÁNO</v>
          </cell>
          <cell r="C2375" t="str">
            <v/>
          </cell>
          <cell r="D2375">
            <v>0</v>
          </cell>
          <cell r="E2375" t="str">
            <v/>
          </cell>
        </row>
        <row r="2376">
          <cell r="A2376" t="str">
            <v>S6I</v>
          </cell>
          <cell r="B2376" t="str">
            <v>VYPRODÁNO</v>
          </cell>
          <cell r="C2376" t="str">
            <v/>
          </cell>
          <cell r="D2376">
            <v>0</v>
          </cell>
          <cell r="E2376" t="str">
            <v/>
          </cell>
        </row>
        <row r="2377">
          <cell r="A2377" t="str">
            <v>S6I/P</v>
          </cell>
          <cell r="B2377" t="str">
            <v>VYPRODÁNO</v>
          </cell>
          <cell r="C2377" t="str">
            <v/>
          </cell>
          <cell r="D2377">
            <v>0</v>
          </cell>
          <cell r="E2377" t="str">
            <v/>
          </cell>
        </row>
        <row r="2378">
          <cell r="A2378" t="str">
            <v>S6I/P(9)</v>
          </cell>
          <cell r="B2378" t="str">
            <v>SKLADEM</v>
          </cell>
          <cell r="C2378" t="str">
            <v/>
          </cell>
          <cell r="D2378">
            <v>0</v>
          </cell>
          <cell r="E2378" t="str">
            <v/>
          </cell>
        </row>
        <row r="2379">
          <cell r="A2379" t="str">
            <v>S6K</v>
          </cell>
          <cell r="B2379" t="str">
            <v>VYPRODÁNO</v>
          </cell>
          <cell r="C2379" t="str">
            <v/>
          </cell>
          <cell r="D2379">
            <v>0</v>
          </cell>
          <cell r="E2379" t="str">
            <v/>
          </cell>
        </row>
        <row r="2380">
          <cell r="A2380" t="str">
            <v>S6K/P</v>
          </cell>
          <cell r="B2380" t="str">
            <v>VYPRODÁNO</v>
          </cell>
          <cell r="C2380" t="str">
            <v/>
          </cell>
          <cell r="D2380">
            <v>0</v>
          </cell>
          <cell r="E2380" t="str">
            <v/>
          </cell>
        </row>
        <row r="2381">
          <cell r="A2381" t="str">
            <v>S6K/P(9)</v>
          </cell>
          <cell r="B2381" t="str">
            <v>VYPRODÁNO</v>
          </cell>
          <cell r="C2381" t="str">
            <v/>
          </cell>
          <cell r="D2381">
            <v>0</v>
          </cell>
          <cell r="E2381" t="str">
            <v/>
          </cell>
        </row>
        <row r="2382">
          <cell r="A2382" t="str">
            <v>S6M</v>
          </cell>
          <cell r="B2382" t="str">
            <v>SKLADEM</v>
          </cell>
          <cell r="C2382" t="str">
            <v/>
          </cell>
          <cell r="D2382">
            <v>0</v>
          </cell>
          <cell r="E2382" t="str">
            <v/>
          </cell>
        </row>
        <row r="2383">
          <cell r="A2383" t="str">
            <v>S6M/P</v>
          </cell>
          <cell r="B2383" t="str">
            <v>VYPRODÁNO</v>
          </cell>
          <cell r="C2383" t="str">
            <v/>
          </cell>
          <cell r="D2383">
            <v>0</v>
          </cell>
          <cell r="E2383" t="str">
            <v/>
          </cell>
        </row>
        <row r="2384">
          <cell r="A2384" t="str">
            <v>S6M/P(9)</v>
          </cell>
          <cell r="B2384" t="str">
            <v>VYPRODÁNO</v>
          </cell>
          <cell r="C2384" t="str">
            <v/>
          </cell>
          <cell r="D2384">
            <v>0</v>
          </cell>
          <cell r="E2384" t="str">
            <v/>
          </cell>
        </row>
        <row r="2385">
          <cell r="A2385" t="str">
            <v>S6MA</v>
          </cell>
          <cell r="B2385" t="str">
            <v>VYPRODÁNO</v>
          </cell>
          <cell r="C2385" t="str">
            <v/>
          </cell>
          <cell r="D2385">
            <v>0</v>
          </cell>
          <cell r="E2385" t="str">
            <v/>
          </cell>
        </row>
        <row r="2386">
          <cell r="A2386" t="str">
            <v>S6MB</v>
          </cell>
          <cell r="B2386" t="str">
            <v>VYPRODÁNO</v>
          </cell>
          <cell r="C2386" t="str">
            <v/>
          </cell>
          <cell r="D2386">
            <v>0</v>
          </cell>
          <cell r="E2386" t="str">
            <v/>
          </cell>
        </row>
        <row r="2387">
          <cell r="A2387" t="str">
            <v>S6MX</v>
          </cell>
          <cell r="B2387" t="str">
            <v>VYPRODÁNO</v>
          </cell>
          <cell r="C2387" t="str">
            <v/>
          </cell>
          <cell r="D2387">
            <v>0</v>
          </cell>
          <cell r="E2387" t="str">
            <v/>
          </cell>
        </row>
        <row r="2388">
          <cell r="A2388" t="str">
            <v>S6N</v>
          </cell>
          <cell r="B2388" t="str">
            <v>VYPRODÁNO</v>
          </cell>
          <cell r="C2388" t="str">
            <v/>
          </cell>
          <cell r="D2388">
            <v>0</v>
          </cell>
          <cell r="E2388" t="str">
            <v/>
          </cell>
        </row>
        <row r="2389">
          <cell r="A2389" t="str">
            <v>S6N/P</v>
          </cell>
          <cell r="B2389" t="str">
            <v>VYPRODÁNO</v>
          </cell>
          <cell r="C2389" t="str">
            <v/>
          </cell>
          <cell r="D2389">
            <v>0</v>
          </cell>
          <cell r="E2389" t="str">
            <v/>
          </cell>
        </row>
        <row r="2390">
          <cell r="A2390" t="str">
            <v>S6N/P(9)</v>
          </cell>
          <cell r="B2390" t="str">
            <v>VYPRODÁNO</v>
          </cell>
          <cell r="C2390" t="str">
            <v/>
          </cell>
          <cell r="D2390">
            <v>0</v>
          </cell>
          <cell r="E2390" t="str">
            <v/>
          </cell>
        </row>
        <row r="2391">
          <cell r="A2391" t="str">
            <v>S6O</v>
          </cell>
          <cell r="B2391" t="str">
            <v>VYPRODÁNO</v>
          </cell>
          <cell r="C2391" t="str">
            <v/>
          </cell>
          <cell r="D2391">
            <v>0</v>
          </cell>
          <cell r="E2391" t="str">
            <v/>
          </cell>
        </row>
        <row r="2392">
          <cell r="A2392" t="str">
            <v>S6O/P</v>
          </cell>
          <cell r="B2392" t="str">
            <v>VYPRODÁNO</v>
          </cell>
          <cell r="C2392" t="str">
            <v/>
          </cell>
          <cell r="D2392">
            <v>0</v>
          </cell>
          <cell r="E2392" t="str">
            <v/>
          </cell>
        </row>
        <row r="2393">
          <cell r="A2393" t="str">
            <v>S6O/P(9)</v>
          </cell>
          <cell r="B2393" t="str">
            <v>VYPRODÁNO</v>
          </cell>
          <cell r="C2393" t="str">
            <v/>
          </cell>
          <cell r="D2393">
            <v>0</v>
          </cell>
          <cell r="E2393" t="str">
            <v/>
          </cell>
        </row>
        <row r="2394">
          <cell r="A2394" t="str">
            <v>S6R</v>
          </cell>
          <cell r="B2394" t="str">
            <v>VYPRODÁNO</v>
          </cell>
          <cell r="C2394" t="str">
            <v/>
          </cell>
          <cell r="D2394">
            <v>0</v>
          </cell>
          <cell r="E2394" t="str">
            <v/>
          </cell>
        </row>
        <row r="2395">
          <cell r="A2395" t="str">
            <v>S6R/P</v>
          </cell>
          <cell r="B2395" t="str">
            <v>VYPRODÁNO</v>
          </cell>
          <cell r="C2395" t="str">
            <v/>
          </cell>
          <cell r="D2395">
            <v>0</v>
          </cell>
          <cell r="E2395" t="str">
            <v/>
          </cell>
        </row>
        <row r="2396">
          <cell r="A2396" t="str">
            <v>S6R/P(9)</v>
          </cell>
          <cell r="B2396" t="str">
            <v>30.09.2024</v>
          </cell>
          <cell r="C2396">
            <v>222</v>
          </cell>
          <cell r="D2396">
            <v>0</v>
          </cell>
          <cell r="E2396" t="str">
            <v/>
          </cell>
        </row>
        <row r="2397">
          <cell r="A2397" t="str">
            <v>S6S</v>
          </cell>
          <cell r="B2397" t="str">
            <v>VYPRODÁNO</v>
          </cell>
          <cell r="C2397" t="str">
            <v/>
          </cell>
          <cell r="D2397">
            <v>0</v>
          </cell>
          <cell r="E2397" t="str">
            <v/>
          </cell>
        </row>
        <row r="2398">
          <cell r="A2398" t="str">
            <v>S6S/P</v>
          </cell>
          <cell r="B2398" t="str">
            <v>VYPRODÁNO</v>
          </cell>
          <cell r="C2398" t="str">
            <v/>
          </cell>
          <cell r="D2398">
            <v>0</v>
          </cell>
          <cell r="E2398" t="str">
            <v/>
          </cell>
        </row>
        <row r="2399">
          <cell r="A2399" t="str">
            <v>S6S/P(9)</v>
          </cell>
          <cell r="B2399" t="str">
            <v>VYPRODÁNO</v>
          </cell>
          <cell r="C2399" t="str">
            <v/>
          </cell>
          <cell r="D2399">
            <v>0</v>
          </cell>
          <cell r="E2399" t="str">
            <v/>
          </cell>
        </row>
        <row r="2400">
          <cell r="A2400" t="str">
            <v>S6T</v>
          </cell>
          <cell r="B2400" t="str">
            <v>VYPRODÁNO</v>
          </cell>
          <cell r="C2400" t="str">
            <v/>
          </cell>
          <cell r="D2400">
            <v>0</v>
          </cell>
          <cell r="E2400" t="str">
            <v/>
          </cell>
        </row>
        <row r="2401">
          <cell r="A2401" t="str">
            <v>S6T/P</v>
          </cell>
          <cell r="B2401" t="str">
            <v>VYPRODÁNO</v>
          </cell>
          <cell r="C2401" t="str">
            <v/>
          </cell>
          <cell r="D2401">
            <v>0</v>
          </cell>
          <cell r="E2401" t="str">
            <v/>
          </cell>
        </row>
        <row r="2402">
          <cell r="A2402" t="str">
            <v>S6T/P(9)</v>
          </cell>
          <cell r="B2402" t="str">
            <v>VYPRODÁNO</v>
          </cell>
          <cell r="C2402" t="str">
            <v/>
          </cell>
          <cell r="D2402">
            <v>0</v>
          </cell>
          <cell r="E2402" t="str">
            <v/>
          </cell>
        </row>
        <row r="2403">
          <cell r="A2403" t="str">
            <v>S6X</v>
          </cell>
          <cell r="B2403" t="str">
            <v>VYPRODÁNO</v>
          </cell>
          <cell r="C2403" t="str">
            <v/>
          </cell>
          <cell r="D2403">
            <v>0</v>
          </cell>
          <cell r="E2403" t="str">
            <v/>
          </cell>
        </row>
        <row r="2404">
          <cell r="A2404" t="str">
            <v>S6X/P</v>
          </cell>
          <cell r="B2404" t="str">
            <v>VYPRODÁNO</v>
          </cell>
          <cell r="C2404" t="str">
            <v/>
          </cell>
          <cell r="D2404">
            <v>0</v>
          </cell>
          <cell r="E2404" t="str">
            <v/>
          </cell>
        </row>
        <row r="2405">
          <cell r="A2405" t="str">
            <v>S6X/P(9)</v>
          </cell>
          <cell r="B2405" t="str">
            <v>VYPRODÁNO</v>
          </cell>
          <cell r="C2405" t="str">
            <v/>
          </cell>
          <cell r="D2405">
            <v>0</v>
          </cell>
          <cell r="E2405" t="str">
            <v/>
          </cell>
        </row>
        <row r="2406">
          <cell r="A2406" t="str">
            <v>S6Z1/P(9)</v>
          </cell>
          <cell r="B2406" t="str">
            <v>VYPRODÁNO</v>
          </cell>
          <cell r="C2406" t="str">
            <v/>
          </cell>
          <cell r="D2406">
            <v>0</v>
          </cell>
          <cell r="E2406" t="str">
            <v/>
          </cell>
        </row>
        <row r="2407">
          <cell r="A2407" t="str">
            <v>S6Z2/P(9)</v>
          </cell>
          <cell r="B2407" t="str">
            <v>VYPRODÁNO</v>
          </cell>
          <cell r="C2407" t="str">
            <v/>
          </cell>
          <cell r="D2407">
            <v>0</v>
          </cell>
          <cell r="E2407" t="str">
            <v/>
          </cell>
        </row>
        <row r="2408">
          <cell r="A2408" t="str">
            <v>S6Z3/P(9)</v>
          </cell>
          <cell r="B2408" t="str">
            <v>30.04.2024</v>
          </cell>
          <cell r="C2408">
            <v>69</v>
          </cell>
          <cell r="D2408">
            <v>0</v>
          </cell>
          <cell r="E2408" t="str">
            <v/>
          </cell>
        </row>
        <row r="2409">
          <cell r="A2409" t="str">
            <v>S90S</v>
          </cell>
          <cell r="B2409" t="str">
            <v>15.03.2024</v>
          </cell>
          <cell r="C2409">
            <v>23</v>
          </cell>
          <cell r="D2409" t="str">
            <v>100+</v>
          </cell>
          <cell r="E2409" t="str">
            <v/>
          </cell>
        </row>
        <row r="2410">
          <cell r="A2410" t="str">
            <v>SAMD02</v>
          </cell>
          <cell r="B2410" t="str">
            <v>VYPRODÁNO</v>
          </cell>
          <cell r="C2410" t="str">
            <v/>
          </cell>
          <cell r="D2410">
            <v>0</v>
          </cell>
          <cell r="E2410" t="str">
            <v/>
          </cell>
        </row>
        <row r="2411">
          <cell r="A2411" t="str">
            <v>SD1</v>
          </cell>
          <cell r="B2411" t="str">
            <v>VYPRODÁNO</v>
          </cell>
          <cell r="C2411" t="str">
            <v/>
          </cell>
          <cell r="D2411">
            <v>0</v>
          </cell>
          <cell r="E2411" t="str">
            <v/>
          </cell>
        </row>
        <row r="2412">
          <cell r="A2412" t="str">
            <v>SD2</v>
          </cell>
          <cell r="B2412" t="str">
            <v>VYPRODÁNO</v>
          </cell>
          <cell r="C2412" t="str">
            <v/>
          </cell>
          <cell r="D2412">
            <v>0</v>
          </cell>
          <cell r="E2412" t="str">
            <v/>
          </cell>
        </row>
        <row r="2413">
          <cell r="A2413" t="str">
            <v>SDOR1E</v>
          </cell>
          <cell r="B2413" t="str">
            <v>VYPRODÁNO</v>
          </cell>
          <cell r="C2413" t="str">
            <v/>
          </cell>
          <cell r="D2413">
            <v>0</v>
          </cell>
          <cell r="E2413" t="str">
            <v/>
          </cell>
        </row>
        <row r="2414">
          <cell r="A2414" t="str">
            <v>SDOR1F</v>
          </cell>
          <cell r="B2414" t="str">
            <v>VYPRODÁNO</v>
          </cell>
          <cell r="C2414" t="str">
            <v/>
          </cell>
          <cell r="D2414">
            <v>0</v>
          </cell>
          <cell r="E2414" t="str">
            <v/>
          </cell>
        </row>
        <row r="2415">
          <cell r="A2415" t="str">
            <v>SDUM1E</v>
          </cell>
          <cell r="B2415" t="str">
            <v>VYPRODÁNO</v>
          </cell>
          <cell r="C2415" t="str">
            <v/>
          </cell>
          <cell r="D2415">
            <v>0</v>
          </cell>
          <cell r="E2415" t="str">
            <v/>
          </cell>
        </row>
        <row r="2416">
          <cell r="A2416" t="str">
            <v>SDUM1F</v>
          </cell>
          <cell r="B2416" t="str">
            <v>VYPRODÁNO</v>
          </cell>
          <cell r="C2416" t="str">
            <v/>
          </cell>
          <cell r="D2416">
            <v>0</v>
          </cell>
          <cell r="E2416" t="str">
            <v/>
          </cell>
        </row>
        <row r="2417">
          <cell r="A2417" t="str">
            <v>SDYM1E</v>
          </cell>
          <cell r="B2417" t="str">
            <v>VYPRODÁNO</v>
          </cell>
          <cell r="C2417" t="str">
            <v/>
          </cell>
          <cell r="D2417">
            <v>0</v>
          </cell>
          <cell r="E2417" t="str">
            <v/>
          </cell>
        </row>
        <row r="2418">
          <cell r="A2418" t="str">
            <v>SDYM1F</v>
          </cell>
          <cell r="B2418" t="str">
            <v>VYPRODÁNO</v>
          </cell>
          <cell r="C2418" t="str">
            <v/>
          </cell>
          <cell r="D2418">
            <v>0</v>
          </cell>
          <cell r="E2418" t="str">
            <v/>
          </cell>
        </row>
        <row r="2419">
          <cell r="A2419" t="str">
            <v>SNOS1E</v>
          </cell>
          <cell r="B2419" t="str">
            <v>VYPRODÁNO</v>
          </cell>
          <cell r="C2419" t="str">
            <v/>
          </cell>
          <cell r="D2419">
            <v>0</v>
          </cell>
          <cell r="E2419" t="str">
            <v/>
          </cell>
        </row>
        <row r="2420">
          <cell r="A2420" t="str">
            <v>SNOS1F</v>
          </cell>
          <cell r="B2420" t="str">
            <v>VYPRODÁNO</v>
          </cell>
          <cell r="C2420" t="str">
            <v/>
          </cell>
          <cell r="D2420">
            <v>0</v>
          </cell>
          <cell r="E2420" t="str">
            <v/>
          </cell>
        </row>
        <row r="2421">
          <cell r="A2421" t="str">
            <v>SP24</v>
          </cell>
          <cell r="B2421" t="str">
            <v>VYPRODÁNO</v>
          </cell>
          <cell r="C2421" t="str">
            <v/>
          </cell>
          <cell r="D2421">
            <v>0</v>
          </cell>
          <cell r="E2421" t="str">
            <v/>
          </cell>
        </row>
        <row r="2422">
          <cell r="A2422" t="str">
            <v>SP3C</v>
          </cell>
          <cell r="B2422" t="str">
            <v>SKLADEM</v>
          </cell>
          <cell r="C2422" t="str">
            <v/>
          </cell>
          <cell r="D2422">
            <v>0</v>
          </cell>
          <cell r="E2422" t="str">
            <v/>
          </cell>
        </row>
        <row r="2423">
          <cell r="A2423" t="str">
            <v>SP3C14</v>
          </cell>
          <cell r="B2423" t="str">
            <v>VYPRODÁNO</v>
          </cell>
          <cell r="C2423" t="str">
            <v/>
          </cell>
          <cell r="D2423">
            <v>0</v>
          </cell>
          <cell r="E2423" t="str">
            <v/>
          </cell>
        </row>
        <row r="2424">
          <cell r="A2424" t="str">
            <v>SP60S</v>
          </cell>
          <cell r="B2424" t="str">
            <v>VYPRODÁNO</v>
          </cell>
          <cell r="C2424" t="str">
            <v/>
          </cell>
          <cell r="D2424">
            <v>0</v>
          </cell>
          <cell r="E2424" t="str">
            <v/>
          </cell>
        </row>
        <row r="2425">
          <cell r="A2425" t="str">
            <v>SPAR1E</v>
          </cell>
          <cell r="B2425" t="str">
            <v>VYPRODÁNO</v>
          </cell>
          <cell r="C2425" t="str">
            <v/>
          </cell>
          <cell r="D2425">
            <v>0</v>
          </cell>
          <cell r="E2425" t="str">
            <v/>
          </cell>
        </row>
        <row r="2426">
          <cell r="A2426" t="str">
            <v>SPAR1F</v>
          </cell>
          <cell r="B2426" t="str">
            <v>VYPRODÁNO</v>
          </cell>
          <cell r="C2426" t="str">
            <v/>
          </cell>
          <cell r="D2426">
            <v>0</v>
          </cell>
          <cell r="E2426" t="str">
            <v/>
          </cell>
        </row>
        <row r="2427">
          <cell r="A2427" t="str">
            <v>SPRS1E</v>
          </cell>
          <cell r="B2427" t="str">
            <v>SKLADEM</v>
          </cell>
          <cell r="C2427" t="str">
            <v/>
          </cell>
          <cell r="D2427">
            <v>0</v>
          </cell>
          <cell r="E2427" t="str">
            <v/>
          </cell>
        </row>
        <row r="2428">
          <cell r="A2428" t="str">
            <v>SPRS1F</v>
          </cell>
          <cell r="B2428" t="str">
            <v>VYPRODÁNO</v>
          </cell>
          <cell r="C2428" t="str">
            <v/>
          </cell>
          <cell r="D2428">
            <v>0</v>
          </cell>
          <cell r="E2428" t="str">
            <v/>
          </cell>
        </row>
        <row r="2429">
          <cell r="A2429" t="str">
            <v>SR1930A</v>
          </cell>
          <cell r="B2429" t="str">
            <v>VYPRODÁNO</v>
          </cell>
          <cell r="C2429" t="str">
            <v/>
          </cell>
          <cell r="D2429">
            <v>0</v>
          </cell>
          <cell r="E2429" t="str">
            <v/>
          </cell>
        </row>
        <row r="2430">
          <cell r="A2430" t="str">
            <v>SR1930B</v>
          </cell>
          <cell r="B2430" t="str">
            <v>VYPRODÁNO</v>
          </cell>
          <cell r="C2430" t="str">
            <v/>
          </cell>
          <cell r="D2430">
            <v>0</v>
          </cell>
          <cell r="E2430" t="str">
            <v/>
          </cell>
        </row>
        <row r="2431">
          <cell r="A2431" t="str">
            <v>SR1930C</v>
          </cell>
          <cell r="B2431" t="str">
            <v>VYPRODÁNO</v>
          </cell>
          <cell r="C2431" t="str">
            <v/>
          </cell>
          <cell r="D2431">
            <v>0</v>
          </cell>
          <cell r="E2431" t="str">
            <v/>
          </cell>
        </row>
        <row r="2432">
          <cell r="A2432" t="str">
            <v>SR1930D</v>
          </cell>
          <cell r="B2432" t="str">
            <v>DOCHÁZÍ</v>
          </cell>
          <cell r="C2432" t="str">
            <v/>
          </cell>
          <cell r="D2432">
            <v>0</v>
          </cell>
          <cell r="E2432">
            <v>1</v>
          </cell>
        </row>
        <row r="2433">
          <cell r="A2433" t="str">
            <v>SR1930E</v>
          </cell>
          <cell r="B2433" t="str">
            <v>SKLADEM</v>
          </cell>
          <cell r="C2433" t="str">
            <v/>
          </cell>
          <cell r="D2433">
            <v>0</v>
          </cell>
          <cell r="E2433" t="str">
            <v/>
          </cell>
        </row>
        <row r="2434">
          <cell r="A2434" t="str">
            <v>SR1930F</v>
          </cell>
          <cell r="B2434" t="str">
            <v>VYPRODÁNO</v>
          </cell>
          <cell r="C2434" t="str">
            <v/>
          </cell>
          <cell r="D2434">
            <v>0</v>
          </cell>
          <cell r="E2434" t="str">
            <v/>
          </cell>
        </row>
        <row r="2435">
          <cell r="A2435" t="str">
            <v>SR1930G</v>
          </cell>
          <cell r="B2435" t="str">
            <v>DOCHÁZÍ</v>
          </cell>
          <cell r="C2435" t="str">
            <v/>
          </cell>
          <cell r="D2435">
            <v>0</v>
          </cell>
          <cell r="E2435">
            <v>2</v>
          </cell>
        </row>
        <row r="2436">
          <cell r="A2436" t="str">
            <v>SR1930H</v>
          </cell>
          <cell r="B2436" t="str">
            <v>VYPRODÁNO</v>
          </cell>
          <cell r="C2436" t="str">
            <v/>
          </cell>
          <cell r="D2436">
            <v>0</v>
          </cell>
          <cell r="E2436" t="str">
            <v/>
          </cell>
        </row>
        <row r="2437">
          <cell r="A2437" t="str">
            <v>SR1930CH</v>
          </cell>
          <cell r="B2437" t="str">
            <v>VYPRODÁNO</v>
          </cell>
          <cell r="C2437" t="str">
            <v/>
          </cell>
          <cell r="D2437">
            <v>0</v>
          </cell>
          <cell r="E2437" t="str">
            <v/>
          </cell>
        </row>
        <row r="2438">
          <cell r="A2438" t="str">
            <v>SR1930I</v>
          </cell>
          <cell r="B2438" t="str">
            <v>DOCHÁZÍ</v>
          </cell>
          <cell r="C2438" t="str">
            <v/>
          </cell>
          <cell r="D2438">
            <v>0</v>
          </cell>
          <cell r="E2438">
            <v>3</v>
          </cell>
        </row>
        <row r="2439">
          <cell r="A2439" t="str">
            <v>SR1930J</v>
          </cell>
          <cell r="B2439" t="str">
            <v>DOCHÁZÍ</v>
          </cell>
          <cell r="C2439" t="str">
            <v/>
          </cell>
          <cell r="D2439">
            <v>0</v>
          </cell>
          <cell r="E2439">
            <v>3</v>
          </cell>
        </row>
        <row r="2440">
          <cell r="A2440" t="str">
            <v>SR1930K</v>
          </cell>
          <cell r="B2440" t="str">
            <v>VYPRODÁNO</v>
          </cell>
          <cell r="C2440" t="str">
            <v/>
          </cell>
          <cell r="D2440">
            <v>0</v>
          </cell>
          <cell r="E2440" t="str">
            <v/>
          </cell>
        </row>
        <row r="2441">
          <cell r="A2441" t="str">
            <v>SR1930L</v>
          </cell>
          <cell r="B2441" t="str">
            <v>VYPRODÁNO</v>
          </cell>
          <cell r="C2441" t="str">
            <v/>
          </cell>
          <cell r="D2441">
            <v>0</v>
          </cell>
          <cell r="E2441" t="str">
            <v/>
          </cell>
        </row>
        <row r="2442">
          <cell r="A2442" t="str">
            <v>SR1930M</v>
          </cell>
          <cell r="B2442" t="str">
            <v>VYPRODÁNO</v>
          </cell>
          <cell r="C2442" t="str">
            <v/>
          </cell>
          <cell r="D2442">
            <v>0</v>
          </cell>
          <cell r="E2442" t="str">
            <v/>
          </cell>
        </row>
        <row r="2443">
          <cell r="A2443" t="str">
            <v>SR1930N</v>
          </cell>
          <cell r="B2443" t="str">
            <v>VYPRODÁNO</v>
          </cell>
          <cell r="C2443" t="str">
            <v/>
          </cell>
          <cell r="D2443">
            <v>0</v>
          </cell>
          <cell r="E2443" t="str">
            <v/>
          </cell>
        </row>
        <row r="2444">
          <cell r="A2444" t="str">
            <v>SR1930O</v>
          </cell>
          <cell r="B2444" t="str">
            <v>VYPRODÁNO</v>
          </cell>
          <cell r="C2444" t="str">
            <v/>
          </cell>
          <cell r="D2444">
            <v>0</v>
          </cell>
          <cell r="E2444" t="str">
            <v/>
          </cell>
        </row>
        <row r="2445">
          <cell r="A2445" t="str">
            <v>SR1930P</v>
          </cell>
          <cell r="B2445" t="str">
            <v>VYPRODÁNO</v>
          </cell>
          <cell r="C2445" t="str">
            <v/>
          </cell>
          <cell r="D2445">
            <v>0</v>
          </cell>
          <cell r="E2445" t="str">
            <v/>
          </cell>
        </row>
        <row r="2446">
          <cell r="A2446" t="str">
            <v>SR1930Q</v>
          </cell>
          <cell r="B2446" t="str">
            <v>VYPRODÁNO</v>
          </cell>
          <cell r="C2446" t="str">
            <v/>
          </cell>
          <cell r="D2446">
            <v>0</v>
          </cell>
          <cell r="E2446" t="str">
            <v/>
          </cell>
        </row>
        <row r="2447">
          <cell r="A2447" t="str">
            <v>SR1930R</v>
          </cell>
          <cell r="B2447" t="str">
            <v>VYPRODÁNO</v>
          </cell>
          <cell r="C2447" t="str">
            <v/>
          </cell>
          <cell r="D2447">
            <v>0</v>
          </cell>
          <cell r="E2447" t="str">
            <v/>
          </cell>
        </row>
        <row r="2448">
          <cell r="A2448" t="str">
            <v>SR1930S</v>
          </cell>
          <cell r="B2448" t="str">
            <v>VYPRODÁNO</v>
          </cell>
          <cell r="C2448" t="str">
            <v/>
          </cell>
          <cell r="D2448">
            <v>0</v>
          </cell>
          <cell r="E2448" t="str">
            <v/>
          </cell>
        </row>
        <row r="2449">
          <cell r="A2449" t="str">
            <v>SR550A</v>
          </cell>
          <cell r="B2449" t="str">
            <v>VYPRODÁNO</v>
          </cell>
          <cell r="C2449" t="str">
            <v/>
          </cell>
          <cell r="D2449">
            <v>0</v>
          </cell>
          <cell r="E2449" t="str">
            <v/>
          </cell>
        </row>
        <row r="2450">
          <cell r="A2450" t="str">
            <v>SR550B</v>
          </cell>
          <cell r="B2450" t="str">
            <v>VYPRODÁNO</v>
          </cell>
          <cell r="C2450" t="str">
            <v/>
          </cell>
          <cell r="D2450">
            <v>0</v>
          </cell>
          <cell r="E2450" t="str">
            <v/>
          </cell>
        </row>
        <row r="2451">
          <cell r="A2451" t="str">
            <v>SR550C</v>
          </cell>
          <cell r="B2451" t="str">
            <v>VYPRODÁNO</v>
          </cell>
          <cell r="C2451" t="str">
            <v/>
          </cell>
          <cell r="D2451">
            <v>0</v>
          </cell>
          <cell r="E2451" t="str">
            <v/>
          </cell>
        </row>
        <row r="2452">
          <cell r="A2452" t="str">
            <v>SR550D</v>
          </cell>
          <cell r="B2452" t="str">
            <v>VYPRODÁNO</v>
          </cell>
          <cell r="C2452" t="str">
            <v/>
          </cell>
          <cell r="D2452">
            <v>0</v>
          </cell>
          <cell r="E2452" t="str">
            <v/>
          </cell>
        </row>
        <row r="2453">
          <cell r="A2453" t="str">
            <v>SR550E</v>
          </cell>
          <cell r="B2453" t="str">
            <v>VYPRODÁNO</v>
          </cell>
          <cell r="C2453" t="str">
            <v/>
          </cell>
          <cell r="D2453">
            <v>0</v>
          </cell>
          <cell r="E2453" t="str">
            <v/>
          </cell>
        </row>
        <row r="2454">
          <cell r="A2454" t="str">
            <v>SR550F</v>
          </cell>
          <cell r="B2454" t="str">
            <v>VYPRODÁNO</v>
          </cell>
          <cell r="C2454" t="str">
            <v/>
          </cell>
          <cell r="D2454">
            <v>0</v>
          </cell>
          <cell r="E2454" t="str">
            <v/>
          </cell>
        </row>
        <row r="2455">
          <cell r="A2455" t="str">
            <v>SR550G</v>
          </cell>
          <cell r="B2455" t="str">
            <v>VYPRODÁNO</v>
          </cell>
          <cell r="C2455" t="str">
            <v/>
          </cell>
          <cell r="D2455">
            <v>0</v>
          </cell>
          <cell r="E2455" t="str">
            <v/>
          </cell>
        </row>
        <row r="2456">
          <cell r="A2456" t="str">
            <v>SR550H</v>
          </cell>
          <cell r="B2456" t="str">
            <v>VYPRODÁNO</v>
          </cell>
          <cell r="C2456" t="str">
            <v/>
          </cell>
          <cell r="D2456">
            <v>0</v>
          </cell>
          <cell r="E2456" t="str">
            <v/>
          </cell>
        </row>
        <row r="2457">
          <cell r="A2457" t="str">
            <v>SR550CH</v>
          </cell>
          <cell r="B2457" t="str">
            <v>VYPRODÁNO</v>
          </cell>
          <cell r="C2457" t="str">
            <v/>
          </cell>
          <cell r="D2457">
            <v>0</v>
          </cell>
          <cell r="E2457" t="str">
            <v/>
          </cell>
        </row>
        <row r="2458">
          <cell r="A2458" t="str">
            <v>SR550I</v>
          </cell>
          <cell r="B2458" t="str">
            <v>VYPRODÁNO</v>
          </cell>
          <cell r="C2458" t="str">
            <v/>
          </cell>
          <cell r="D2458">
            <v>0</v>
          </cell>
          <cell r="E2458" t="str">
            <v/>
          </cell>
        </row>
        <row r="2459">
          <cell r="A2459" t="str">
            <v>SR830A</v>
          </cell>
          <cell r="B2459" t="str">
            <v>VYPRODÁNO</v>
          </cell>
          <cell r="C2459" t="str">
            <v/>
          </cell>
          <cell r="D2459">
            <v>0</v>
          </cell>
          <cell r="E2459" t="str">
            <v/>
          </cell>
        </row>
        <row r="2460">
          <cell r="A2460" t="str">
            <v>SR830B</v>
          </cell>
          <cell r="B2460" t="str">
            <v>VYPRODÁNO</v>
          </cell>
          <cell r="C2460" t="str">
            <v/>
          </cell>
          <cell r="D2460">
            <v>0</v>
          </cell>
          <cell r="E2460" t="str">
            <v/>
          </cell>
        </row>
        <row r="2461">
          <cell r="A2461" t="str">
            <v>SR830C</v>
          </cell>
          <cell r="B2461" t="str">
            <v>VYPRODÁNO</v>
          </cell>
          <cell r="C2461" t="str">
            <v/>
          </cell>
          <cell r="D2461">
            <v>0</v>
          </cell>
          <cell r="E2461" t="str">
            <v/>
          </cell>
        </row>
        <row r="2462">
          <cell r="A2462" t="str">
            <v>SR830D</v>
          </cell>
          <cell r="B2462" t="str">
            <v>VYPRODÁNO</v>
          </cell>
          <cell r="C2462" t="str">
            <v/>
          </cell>
          <cell r="D2462">
            <v>0</v>
          </cell>
          <cell r="E2462" t="str">
            <v/>
          </cell>
        </row>
        <row r="2463">
          <cell r="A2463" t="str">
            <v>SR830E</v>
          </cell>
          <cell r="B2463" t="str">
            <v>VYPRODÁNO</v>
          </cell>
          <cell r="C2463" t="str">
            <v/>
          </cell>
          <cell r="D2463">
            <v>0</v>
          </cell>
          <cell r="E2463" t="str">
            <v/>
          </cell>
        </row>
        <row r="2464">
          <cell r="A2464" t="str">
            <v>SR830F</v>
          </cell>
          <cell r="B2464" t="str">
            <v>VYPRODÁNO</v>
          </cell>
          <cell r="C2464" t="str">
            <v/>
          </cell>
          <cell r="D2464">
            <v>0</v>
          </cell>
          <cell r="E2464" t="str">
            <v/>
          </cell>
        </row>
        <row r="2465">
          <cell r="A2465" t="str">
            <v>SR830G</v>
          </cell>
          <cell r="B2465" t="str">
            <v>VYPRODÁNO</v>
          </cell>
          <cell r="C2465" t="str">
            <v/>
          </cell>
          <cell r="D2465">
            <v>0</v>
          </cell>
          <cell r="E2465" t="str">
            <v/>
          </cell>
        </row>
        <row r="2466">
          <cell r="A2466" t="str">
            <v>SR830H</v>
          </cell>
          <cell r="B2466" t="str">
            <v>VYPRODÁNO</v>
          </cell>
          <cell r="C2466" t="str">
            <v/>
          </cell>
          <cell r="D2466">
            <v>0</v>
          </cell>
          <cell r="E2466" t="str">
            <v/>
          </cell>
        </row>
        <row r="2467">
          <cell r="A2467" t="str">
            <v>SR830CH</v>
          </cell>
          <cell r="B2467" t="str">
            <v>VYPRODÁNO</v>
          </cell>
          <cell r="C2467" t="str">
            <v/>
          </cell>
          <cell r="D2467">
            <v>0</v>
          </cell>
          <cell r="E2467" t="str">
            <v/>
          </cell>
        </row>
        <row r="2468">
          <cell r="A2468" t="str">
            <v>SR830I</v>
          </cell>
          <cell r="B2468" t="str">
            <v>VYPRODÁNO</v>
          </cell>
          <cell r="C2468" t="str">
            <v/>
          </cell>
          <cell r="D2468">
            <v>0</v>
          </cell>
          <cell r="E2468" t="str">
            <v/>
          </cell>
        </row>
        <row r="2469">
          <cell r="A2469" t="str">
            <v>SR830J</v>
          </cell>
          <cell r="B2469" t="str">
            <v>VYPRODÁNO</v>
          </cell>
          <cell r="C2469" t="str">
            <v/>
          </cell>
          <cell r="D2469">
            <v>0</v>
          </cell>
          <cell r="E2469" t="str">
            <v/>
          </cell>
        </row>
        <row r="2470">
          <cell r="A2470" t="str">
            <v>SR830K</v>
          </cell>
          <cell r="B2470" t="str">
            <v>VYPRODÁNO</v>
          </cell>
          <cell r="C2470" t="str">
            <v/>
          </cell>
          <cell r="D2470">
            <v>0</v>
          </cell>
          <cell r="E2470" t="str">
            <v/>
          </cell>
        </row>
        <row r="2471">
          <cell r="A2471" t="str">
            <v>SR830L</v>
          </cell>
          <cell r="B2471" t="str">
            <v>VYPRODÁNO</v>
          </cell>
          <cell r="C2471" t="str">
            <v/>
          </cell>
          <cell r="D2471">
            <v>0</v>
          </cell>
          <cell r="E2471" t="str">
            <v/>
          </cell>
        </row>
        <row r="2472">
          <cell r="A2472" t="str">
            <v>SR830M</v>
          </cell>
          <cell r="B2472" t="str">
            <v>VYPRODÁNO</v>
          </cell>
          <cell r="C2472" t="str">
            <v/>
          </cell>
          <cell r="D2472">
            <v>0</v>
          </cell>
          <cell r="E2472" t="str">
            <v/>
          </cell>
        </row>
        <row r="2473">
          <cell r="A2473" t="str">
            <v>SS20D</v>
          </cell>
          <cell r="B2473" t="str">
            <v>20.06.2024</v>
          </cell>
          <cell r="C2473">
            <v>120</v>
          </cell>
          <cell r="D2473">
            <v>0</v>
          </cell>
          <cell r="E2473" t="str">
            <v/>
          </cell>
        </row>
        <row r="2474">
          <cell r="A2474" t="str">
            <v>SS20D E</v>
          </cell>
          <cell r="B2474" t="str">
            <v>VYPRODÁNO</v>
          </cell>
          <cell r="C2474" t="str">
            <v/>
          </cell>
          <cell r="D2474">
            <v>0</v>
          </cell>
          <cell r="E2474" t="str">
            <v/>
          </cell>
        </row>
        <row r="2475">
          <cell r="A2475" t="str">
            <v>SS20DI14</v>
          </cell>
          <cell r="B2475" t="str">
            <v>VYPRODÁNO</v>
          </cell>
          <cell r="C2475" t="str">
            <v/>
          </cell>
          <cell r="D2475">
            <v>0</v>
          </cell>
          <cell r="E2475" t="str">
            <v/>
          </cell>
        </row>
        <row r="2476">
          <cell r="A2476" t="str">
            <v>SS25P</v>
          </cell>
          <cell r="B2476" t="str">
            <v>VYPRODÁNO</v>
          </cell>
          <cell r="C2476" t="str">
            <v/>
          </cell>
          <cell r="D2476">
            <v>0</v>
          </cell>
          <cell r="E2476" t="str">
            <v/>
          </cell>
        </row>
        <row r="2477">
          <cell r="A2477" t="str">
            <v>SS25SC</v>
          </cell>
          <cell r="B2477" t="str">
            <v>SKLADEM</v>
          </cell>
          <cell r="C2477" t="str">
            <v/>
          </cell>
          <cell r="D2477">
            <v>0</v>
          </cell>
          <cell r="E2477" t="str">
            <v/>
          </cell>
        </row>
        <row r="2478">
          <cell r="A2478" t="str">
            <v>SS30A</v>
          </cell>
          <cell r="B2478" t="str">
            <v>20.06.2024</v>
          </cell>
          <cell r="C2478">
            <v>120</v>
          </cell>
          <cell r="D2478">
            <v>0</v>
          </cell>
          <cell r="E2478" t="str">
            <v/>
          </cell>
        </row>
        <row r="2479">
          <cell r="A2479" t="str">
            <v>SS30A/2</v>
          </cell>
          <cell r="B2479" t="str">
            <v>VYPRODÁNO</v>
          </cell>
          <cell r="C2479" t="str">
            <v/>
          </cell>
          <cell r="D2479">
            <v>0</v>
          </cell>
          <cell r="E2479" t="str">
            <v/>
          </cell>
        </row>
        <row r="2480">
          <cell r="A2480" t="str">
            <v>SS30B</v>
          </cell>
          <cell r="B2480" t="str">
            <v>VYPRODÁNO</v>
          </cell>
          <cell r="C2480" t="str">
            <v/>
          </cell>
          <cell r="D2480">
            <v>0</v>
          </cell>
          <cell r="E2480" t="str">
            <v/>
          </cell>
        </row>
        <row r="2481">
          <cell r="A2481" t="str">
            <v>SS30C</v>
          </cell>
          <cell r="B2481" t="str">
            <v>VYPRODÁNO</v>
          </cell>
          <cell r="C2481" t="str">
            <v/>
          </cell>
          <cell r="D2481">
            <v>0</v>
          </cell>
          <cell r="E2481" t="str">
            <v/>
          </cell>
        </row>
        <row r="2482">
          <cell r="A2482" t="str">
            <v>SS30D</v>
          </cell>
          <cell r="B2482" t="str">
            <v>SKLADEM</v>
          </cell>
          <cell r="C2482" t="str">
            <v/>
          </cell>
          <cell r="D2482">
            <v>0</v>
          </cell>
          <cell r="E2482" t="str">
            <v/>
          </cell>
        </row>
        <row r="2483">
          <cell r="A2483" t="str">
            <v>SS30D E</v>
          </cell>
          <cell r="B2483" t="str">
            <v>VYPRODÁNO</v>
          </cell>
          <cell r="C2483" t="str">
            <v/>
          </cell>
          <cell r="D2483">
            <v>0</v>
          </cell>
          <cell r="E2483" t="str">
            <v/>
          </cell>
        </row>
        <row r="2484">
          <cell r="A2484" t="str">
            <v>SS30D/2</v>
          </cell>
          <cell r="B2484" t="str">
            <v>VYPRODÁNO</v>
          </cell>
          <cell r="C2484" t="str">
            <v/>
          </cell>
          <cell r="D2484">
            <v>0</v>
          </cell>
          <cell r="E2484" t="str">
            <v/>
          </cell>
        </row>
        <row r="2485">
          <cell r="A2485" t="str">
            <v>SS30F</v>
          </cell>
          <cell r="B2485" t="str">
            <v>VYPRODÁNO</v>
          </cell>
          <cell r="C2485" t="str">
            <v/>
          </cell>
          <cell r="D2485">
            <v>0</v>
          </cell>
          <cell r="E2485" t="str">
            <v/>
          </cell>
        </row>
        <row r="2486">
          <cell r="A2486" t="str">
            <v>SS30G</v>
          </cell>
          <cell r="B2486" t="str">
            <v>SKLADEM</v>
          </cell>
          <cell r="C2486" t="str">
            <v/>
          </cell>
          <cell r="D2486">
            <v>0</v>
          </cell>
          <cell r="E2486" t="str">
            <v/>
          </cell>
        </row>
        <row r="2487">
          <cell r="A2487" t="str">
            <v>SS30H</v>
          </cell>
          <cell r="B2487" t="str">
            <v>SKLADEM</v>
          </cell>
          <cell r="C2487" t="str">
            <v/>
          </cell>
          <cell r="D2487">
            <v>0</v>
          </cell>
          <cell r="E2487" t="str">
            <v/>
          </cell>
        </row>
        <row r="2488">
          <cell r="A2488" t="str">
            <v>SS30CH</v>
          </cell>
          <cell r="B2488" t="str">
            <v>DOCHÁZÍ</v>
          </cell>
          <cell r="C2488" t="str">
            <v/>
          </cell>
          <cell r="D2488">
            <v>0</v>
          </cell>
          <cell r="E2488">
            <v>2</v>
          </cell>
        </row>
        <row r="2489">
          <cell r="A2489" t="str">
            <v>SS30NO</v>
          </cell>
          <cell r="B2489" t="str">
            <v>VYPRODÁNO</v>
          </cell>
          <cell r="C2489" t="str">
            <v/>
          </cell>
          <cell r="D2489">
            <v>0</v>
          </cell>
          <cell r="E2489" t="str">
            <v/>
          </cell>
        </row>
        <row r="2490">
          <cell r="A2490" t="str">
            <v>SS30S</v>
          </cell>
          <cell r="B2490" t="str">
            <v>VYPRODÁNO</v>
          </cell>
          <cell r="C2490" t="str">
            <v/>
          </cell>
          <cell r="D2490">
            <v>0</v>
          </cell>
          <cell r="E2490" t="str">
            <v/>
          </cell>
        </row>
        <row r="2491">
          <cell r="A2491" t="str">
            <v>SS30SIGF2</v>
          </cell>
          <cell r="B2491" t="str">
            <v>SKLADEM</v>
          </cell>
          <cell r="C2491" t="str">
            <v/>
          </cell>
          <cell r="D2491">
            <v>0</v>
          </cell>
          <cell r="E2491" t="str">
            <v/>
          </cell>
        </row>
        <row r="2492">
          <cell r="A2492" t="str">
            <v>SS37K</v>
          </cell>
          <cell r="B2492" t="str">
            <v>15.06.2024</v>
          </cell>
          <cell r="C2492">
            <v>115</v>
          </cell>
          <cell r="D2492">
            <v>0</v>
          </cell>
          <cell r="E2492" t="str">
            <v/>
          </cell>
        </row>
        <row r="2493">
          <cell r="A2493" t="str">
            <v>SS48K</v>
          </cell>
          <cell r="B2493" t="str">
            <v>VYPRODÁNO</v>
          </cell>
          <cell r="C2493" t="str">
            <v/>
          </cell>
          <cell r="D2493">
            <v>0</v>
          </cell>
          <cell r="E2493" t="str">
            <v/>
          </cell>
        </row>
        <row r="2494">
          <cell r="A2494" t="str">
            <v>SS50A</v>
          </cell>
          <cell r="B2494" t="str">
            <v>VYPRODÁNO</v>
          </cell>
          <cell r="C2494" t="str">
            <v/>
          </cell>
          <cell r="D2494">
            <v>0</v>
          </cell>
          <cell r="E2494" t="str">
            <v/>
          </cell>
        </row>
        <row r="2495">
          <cell r="A2495" t="str">
            <v>SS50A E</v>
          </cell>
          <cell r="B2495" t="str">
            <v>VYPRODÁNO</v>
          </cell>
          <cell r="C2495" t="str">
            <v/>
          </cell>
          <cell r="D2495">
            <v>0</v>
          </cell>
          <cell r="E2495" t="str">
            <v/>
          </cell>
        </row>
        <row r="2496">
          <cell r="A2496" t="str">
            <v>SS50B</v>
          </cell>
          <cell r="B2496" t="str">
            <v>VYPRODÁNO</v>
          </cell>
          <cell r="C2496" t="str">
            <v/>
          </cell>
          <cell r="D2496">
            <v>0</v>
          </cell>
          <cell r="E2496" t="str">
            <v/>
          </cell>
        </row>
        <row r="2497">
          <cell r="A2497" t="str">
            <v>SS50C</v>
          </cell>
          <cell r="B2497" t="str">
            <v>VYPRODÁNO</v>
          </cell>
          <cell r="C2497" t="str">
            <v/>
          </cell>
          <cell r="D2497">
            <v>0</v>
          </cell>
          <cell r="E2497" t="str">
            <v/>
          </cell>
        </row>
        <row r="2498">
          <cell r="A2498" t="str">
            <v>SS50D</v>
          </cell>
          <cell r="B2498" t="str">
            <v>VYPRODÁNO</v>
          </cell>
          <cell r="C2498" t="str">
            <v/>
          </cell>
          <cell r="D2498">
            <v>0</v>
          </cell>
          <cell r="E2498" t="str">
            <v/>
          </cell>
        </row>
        <row r="2499">
          <cell r="A2499" t="str">
            <v>SS50E</v>
          </cell>
          <cell r="B2499" t="str">
            <v>VYPRODÁNO</v>
          </cell>
          <cell r="C2499" t="str">
            <v/>
          </cell>
          <cell r="D2499">
            <v>0</v>
          </cell>
          <cell r="E2499" t="str">
            <v/>
          </cell>
        </row>
        <row r="2500">
          <cell r="A2500" t="str">
            <v>SS50F</v>
          </cell>
          <cell r="B2500" t="str">
            <v>DOCHÁZÍ</v>
          </cell>
          <cell r="C2500" t="str">
            <v/>
          </cell>
          <cell r="D2500">
            <v>0</v>
          </cell>
          <cell r="E2500">
            <v>3</v>
          </cell>
        </row>
        <row r="2501">
          <cell r="A2501" t="str">
            <v>SS50G</v>
          </cell>
          <cell r="B2501" t="str">
            <v>VYPRODÁNO</v>
          </cell>
          <cell r="C2501" t="str">
            <v/>
          </cell>
          <cell r="D2501">
            <v>0</v>
          </cell>
          <cell r="E2501" t="str">
            <v/>
          </cell>
        </row>
        <row r="2502">
          <cell r="A2502" t="str">
            <v>SS50H</v>
          </cell>
          <cell r="B2502" t="str">
            <v>VYPRODÁNO</v>
          </cell>
          <cell r="C2502" t="str">
            <v/>
          </cell>
          <cell r="D2502">
            <v>0</v>
          </cell>
          <cell r="E2502" t="str">
            <v/>
          </cell>
        </row>
        <row r="2503">
          <cell r="A2503" t="str">
            <v>SS50CH</v>
          </cell>
          <cell r="B2503" t="str">
            <v>VYPRODÁNO</v>
          </cell>
          <cell r="C2503" t="str">
            <v/>
          </cell>
          <cell r="D2503">
            <v>0</v>
          </cell>
          <cell r="E2503" t="str">
            <v/>
          </cell>
        </row>
        <row r="2504">
          <cell r="A2504" t="str">
            <v>SS50I</v>
          </cell>
          <cell r="B2504" t="str">
            <v>VYPRODÁNO</v>
          </cell>
          <cell r="C2504" t="str">
            <v/>
          </cell>
          <cell r="D2504">
            <v>0</v>
          </cell>
          <cell r="E2504" t="str">
            <v/>
          </cell>
        </row>
        <row r="2505">
          <cell r="A2505" t="str">
            <v>SS50J</v>
          </cell>
          <cell r="B2505" t="str">
            <v>VYPRODÁNO</v>
          </cell>
          <cell r="C2505" t="str">
            <v/>
          </cell>
          <cell r="D2505">
            <v>0</v>
          </cell>
          <cell r="E2505" t="str">
            <v/>
          </cell>
        </row>
        <row r="2506">
          <cell r="A2506" t="str">
            <v>SS50K</v>
          </cell>
          <cell r="B2506" t="str">
            <v>30.04.2024</v>
          </cell>
          <cell r="C2506">
            <v>69</v>
          </cell>
          <cell r="D2506">
            <v>0</v>
          </cell>
          <cell r="E2506" t="str">
            <v/>
          </cell>
        </row>
        <row r="2507">
          <cell r="A2507" t="str">
            <v>SS50K E</v>
          </cell>
          <cell r="B2507" t="str">
            <v>SKLADEM</v>
          </cell>
          <cell r="C2507" t="str">
            <v/>
          </cell>
          <cell r="D2507">
            <v>0</v>
          </cell>
          <cell r="E2507" t="str">
            <v/>
          </cell>
        </row>
        <row r="2508">
          <cell r="A2508" t="str">
            <v>SS50L</v>
          </cell>
          <cell r="B2508" t="str">
            <v>VYPRODÁNO</v>
          </cell>
          <cell r="C2508" t="str">
            <v/>
          </cell>
          <cell r="D2508">
            <v>0</v>
          </cell>
          <cell r="E2508" t="str">
            <v/>
          </cell>
        </row>
        <row r="2509">
          <cell r="A2509" t="str">
            <v>SS50M</v>
          </cell>
          <cell r="B2509" t="str">
            <v>SKLADEM</v>
          </cell>
          <cell r="C2509" t="str">
            <v/>
          </cell>
          <cell r="D2509">
            <v>0</v>
          </cell>
          <cell r="E2509" t="str">
            <v/>
          </cell>
        </row>
        <row r="2510">
          <cell r="A2510" t="str">
            <v>SS50N</v>
          </cell>
          <cell r="B2510" t="str">
            <v>VYPRODÁNO</v>
          </cell>
          <cell r="C2510" t="str">
            <v/>
          </cell>
          <cell r="D2510">
            <v>0</v>
          </cell>
          <cell r="E2510" t="str">
            <v/>
          </cell>
        </row>
        <row r="2511">
          <cell r="A2511" t="str">
            <v>SS50O</v>
          </cell>
          <cell r="B2511" t="str">
            <v>VYPRODÁNO</v>
          </cell>
          <cell r="C2511" t="str">
            <v/>
          </cell>
          <cell r="D2511">
            <v>0</v>
          </cell>
          <cell r="E2511" t="str">
            <v/>
          </cell>
        </row>
        <row r="2512">
          <cell r="A2512" t="str">
            <v>SS50P</v>
          </cell>
          <cell r="B2512" t="str">
            <v>VYPRODÁNO</v>
          </cell>
          <cell r="C2512" t="str">
            <v/>
          </cell>
          <cell r="D2512">
            <v>0</v>
          </cell>
          <cell r="E2512" t="str">
            <v/>
          </cell>
        </row>
        <row r="2513">
          <cell r="A2513" t="str">
            <v>SS50Q</v>
          </cell>
          <cell r="B2513" t="str">
            <v>VYPRODÁNO</v>
          </cell>
          <cell r="C2513" t="str">
            <v/>
          </cell>
          <cell r="D2513">
            <v>0</v>
          </cell>
          <cell r="E2513" t="str">
            <v/>
          </cell>
        </row>
        <row r="2514">
          <cell r="A2514" t="str">
            <v>SS50R</v>
          </cell>
          <cell r="B2514" t="str">
            <v>VYPRODÁNO</v>
          </cell>
          <cell r="C2514" t="str">
            <v/>
          </cell>
          <cell r="D2514">
            <v>0</v>
          </cell>
          <cell r="E2514" t="str">
            <v/>
          </cell>
        </row>
        <row r="2515">
          <cell r="A2515" t="str">
            <v>SSIG1E</v>
          </cell>
          <cell r="B2515" t="str">
            <v>VYPRODÁNO</v>
          </cell>
          <cell r="C2515" t="str">
            <v/>
          </cell>
          <cell r="D2515">
            <v>0</v>
          </cell>
          <cell r="E2515" t="str">
            <v/>
          </cell>
        </row>
        <row r="2516">
          <cell r="A2516" t="str">
            <v>SSIG1F</v>
          </cell>
          <cell r="B2516" t="str">
            <v>VYPRODÁNO</v>
          </cell>
          <cell r="C2516" t="str">
            <v/>
          </cell>
          <cell r="D2516">
            <v>0</v>
          </cell>
          <cell r="E2516" t="str">
            <v/>
          </cell>
        </row>
        <row r="2517">
          <cell r="A2517" t="str">
            <v>ST1</v>
          </cell>
          <cell r="B2517" t="str">
            <v>VYPRODÁNO</v>
          </cell>
          <cell r="C2517" t="str">
            <v/>
          </cell>
          <cell r="D2517">
            <v>0</v>
          </cell>
          <cell r="E2517" t="str">
            <v/>
          </cell>
        </row>
        <row r="2518">
          <cell r="A2518" t="str">
            <v>SU45B</v>
          </cell>
          <cell r="B2518" t="str">
            <v>SKLADEM</v>
          </cell>
          <cell r="C2518" t="str">
            <v/>
          </cell>
          <cell r="D2518">
            <v>0</v>
          </cell>
          <cell r="E2518" t="str">
            <v/>
          </cell>
        </row>
        <row r="2519">
          <cell r="A2519" t="str">
            <v>T1</v>
          </cell>
          <cell r="B2519" t="str">
            <v>VYPRODÁNO</v>
          </cell>
          <cell r="C2519" t="str">
            <v/>
          </cell>
          <cell r="D2519">
            <v>0</v>
          </cell>
          <cell r="E2519" t="str">
            <v/>
          </cell>
        </row>
        <row r="2520">
          <cell r="A2520" t="str">
            <v>T2</v>
          </cell>
          <cell r="B2520" t="str">
            <v>SKLADEM</v>
          </cell>
          <cell r="C2520" t="str">
            <v/>
          </cell>
          <cell r="D2520">
            <v>0</v>
          </cell>
          <cell r="E2520" t="str">
            <v/>
          </cell>
        </row>
        <row r="2521">
          <cell r="A2521" t="str">
            <v>TD1L</v>
          </cell>
          <cell r="B2521" t="str">
            <v>VYPRODÁNO</v>
          </cell>
          <cell r="C2521" t="str">
            <v/>
          </cell>
          <cell r="D2521">
            <v>0</v>
          </cell>
          <cell r="E2521" t="str">
            <v/>
          </cell>
        </row>
        <row r="2522">
          <cell r="A2522" t="str">
            <v>TD1M</v>
          </cell>
          <cell r="B2522" t="str">
            <v>VYPRODÁNO</v>
          </cell>
          <cell r="C2522" t="str">
            <v/>
          </cell>
          <cell r="D2522">
            <v>0</v>
          </cell>
          <cell r="E2522" t="str">
            <v/>
          </cell>
        </row>
        <row r="2523">
          <cell r="A2523" t="str">
            <v>TD1XL</v>
          </cell>
          <cell r="B2523" t="str">
            <v>VYPRODÁNO</v>
          </cell>
          <cell r="C2523" t="str">
            <v/>
          </cell>
          <cell r="D2523">
            <v>0</v>
          </cell>
          <cell r="E2523" t="str">
            <v/>
          </cell>
        </row>
        <row r="2524">
          <cell r="A2524" t="str">
            <v>TD1XXL</v>
          </cell>
          <cell r="B2524" t="str">
            <v>VYPRODÁNO</v>
          </cell>
          <cell r="C2524" t="str">
            <v/>
          </cell>
          <cell r="D2524">
            <v>0</v>
          </cell>
          <cell r="E2524" t="str">
            <v/>
          </cell>
        </row>
        <row r="2525">
          <cell r="A2525" t="str">
            <v>TDLE1L</v>
          </cell>
          <cell r="B2525" t="str">
            <v>SKLADEM</v>
          </cell>
          <cell r="C2525" t="str">
            <v/>
          </cell>
          <cell r="D2525">
            <v>0</v>
          </cell>
          <cell r="E2525" t="str">
            <v/>
          </cell>
        </row>
        <row r="2526">
          <cell r="A2526" t="str">
            <v>TDLE1M</v>
          </cell>
          <cell r="B2526" t="str">
            <v>SKLADEM</v>
          </cell>
          <cell r="C2526" t="str">
            <v/>
          </cell>
          <cell r="D2526">
            <v>0</v>
          </cell>
          <cell r="E2526" t="str">
            <v/>
          </cell>
        </row>
        <row r="2527">
          <cell r="A2527" t="str">
            <v>TDLE1XL</v>
          </cell>
          <cell r="B2527" t="str">
            <v>SKLADEM</v>
          </cell>
          <cell r="C2527" t="str">
            <v/>
          </cell>
          <cell r="D2527">
            <v>0</v>
          </cell>
          <cell r="E2527" t="str">
            <v/>
          </cell>
        </row>
        <row r="2528">
          <cell r="A2528" t="str">
            <v>TDLE1XXL</v>
          </cell>
          <cell r="B2528" t="str">
            <v>SKLADEM</v>
          </cell>
          <cell r="C2528" t="str">
            <v/>
          </cell>
          <cell r="D2528">
            <v>0</v>
          </cell>
          <cell r="E2528" t="str">
            <v/>
          </cell>
        </row>
        <row r="2529">
          <cell r="A2529" t="str">
            <v>TIDB1L</v>
          </cell>
          <cell r="B2529" t="str">
            <v>SKLADEM</v>
          </cell>
          <cell r="C2529" t="str">
            <v/>
          </cell>
          <cell r="D2529">
            <v>0</v>
          </cell>
          <cell r="E2529" t="str">
            <v/>
          </cell>
        </row>
        <row r="2530">
          <cell r="A2530" t="str">
            <v>TIDB1M</v>
          </cell>
          <cell r="B2530" t="str">
            <v>VYPRODÁNO</v>
          </cell>
          <cell r="C2530" t="str">
            <v/>
          </cell>
          <cell r="D2530">
            <v>0</v>
          </cell>
          <cell r="E2530" t="str">
            <v/>
          </cell>
        </row>
        <row r="2531">
          <cell r="A2531" t="str">
            <v>TIDB1XL</v>
          </cell>
          <cell r="B2531" t="str">
            <v>VYPRODÁNO</v>
          </cell>
          <cell r="C2531" t="str">
            <v/>
          </cell>
          <cell r="D2531">
            <v>0</v>
          </cell>
          <cell r="E2531" t="str">
            <v/>
          </cell>
        </row>
        <row r="2532">
          <cell r="A2532" t="str">
            <v>TIDB1XXL</v>
          </cell>
          <cell r="B2532" t="str">
            <v>VYPRODÁNO</v>
          </cell>
          <cell r="C2532" t="str">
            <v/>
          </cell>
          <cell r="D2532">
            <v>0</v>
          </cell>
          <cell r="E2532" t="str">
            <v/>
          </cell>
        </row>
        <row r="2533">
          <cell r="A2533" t="str">
            <v>TIDC1L</v>
          </cell>
          <cell r="B2533" t="str">
            <v>VYPRODÁNO</v>
          </cell>
          <cell r="C2533" t="str">
            <v/>
          </cell>
          <cell r="D2533">
            <v>0</v>
          </cell>
          <cell r="E2533" t="str">
            <v/>
          </cell>
        </row>
        <row r="2534">
          <cell r="A2534" t="str">
            <v>TIDC1M</v>
          </cell>
          <cell r="B2534" t="str">
            <v>VYPRODÁNO</v>
          </cell>
          <cell r="C2534" t="str">
            <v/>
          </cell>
          <cell r="D2534">
            <v>0</v>
          </cell>
          <cell r="E2534" t="str">
            <v/>
          </cell>
        </row>
        <row r="2535">
          <cell r="A2535" t="str">
            <v>TIDC1XL</v>
          </cell>
          <cell r="B2535" t="str">
            <v>VYPRODÁNO</v>
          </cell>
          <cell r="C2535" t="str">
            <v/>
          </cell>
          <cell r="D2535">
            <v>0</v>
          </cell>
          <cell r="E2535" t="str">
            <v/>
          </cell>
        </row>
        <row r="2536">
          <cell r="A2536" t="str">
            <v>TIDC1XXL</v>
          </cell>
          <cell r="B2536" t="str">
            <v>VYPRODÁNO</v>
          </cell>
          <cell r="C2536" t="str">
            <v/>
          </cell>
          <cell r="D2536">
            <v>0</v>
          </cell>
          <cell r="E2536" t="str">
            <v/>
          </cell>
        </row>
        <row r="2537">
          <cell r="A2537" t="str">
            <v>TK1S</v>
          </cell>
          <cell r="B2537" t="str">
            <v>VYPRODÁNO</v>
          </cell>
          <cell r="C2537" t="str">
            <v/>
          </cell>
          <cell r="D2537">
            <v>0</v>
          </cell>
          <cell r="E2537" t="str">
            <v/>
          </cell>
        </row>
        <row r="2538">
          <cell r="A2538" t="str">
            <v>TPD1L</v>
          </cell>
          <cell r="B2538" t="str">
            <v>SKLADEM</v>
          </cell>
          <cell r="C2538" t="str">
            <v/>
          </cell>
          <cell r="D2538">
            <v>0</v>
          </cell>
          <cell r="E2538" t="str">
            <v/>
          </cell>
        </row>
        <row r="2539">
          <cell r="A2539" t="str">
            <v>TPD1M</v>
          </cell>
          <cell r="B2539" t="str">
            <v>VYPRODÁNO</v>
          </cell>
          <cell r="C2539" t="str">
            <v/>
          </cell>
          <cell r="D2539">
            <v>0</v>
          </cell>
          <cell r="E2539" t="str">
            <v/>
          </cell>
        </row>
        <row r="2540">
          <cell r="A2540" t="str">
            <v>TPD1XL</v>
          </cell>
          <cell r="B2540" t="str">
            <v>SKLADEM</v>
          </cell>
          <cell r="C2540" t="str">
            <v/>
          </cell>
          <cell r="D2540">
            <v>0</v>
          </cell>
          <cell r="E2540" t="str">
            <v/>
          </cell>
        </row>
        <row r="2541">
          <cell r="A2541" t="str">
            <v>TPD1XXL</v>
          </cell>
          <cell r="B2541" t="str">
            <v>VYPRODÁNO</v>
          </cell>
          <cell r="C2541" t="str">
            <v/>
          </cell>
          <cell r="D2541">
            <v>0</v>
          </cell>
          <cell r="E2541" t="str">
            <v/>
          </cell>
        </row>
        <row r="2542">
          <cell r="A2542" t="str">
            <v>TPDLE1L</v>
          </cell>
          <cell r="B2542" t="str">
            <v>SKLADEM</v>
          </cell>
          <cell r="C2542" t="str">
            <v/>
          </cell>
          <cell r="D2542">
            <v>0</v>
          </cell>
          <cell r="E2542" t="str">
            <v/>
          </cell>
        </row>
        <row r="2543">
          <cell r="A2543" t="str">
            <v>TPDLE1M</v>
          </cell>
          <cell r="B2543" t="str">
            <v>DOCHÁZÍ</v>
          </cell>
          <cell r="C2543" t="str">
            <v/>
          </cell>
          <cell r="D2543">
            <v>0</v>
          </cell>
          <cell r="E2543">
            <v>3</v>
          </cell>
        </row>
        <row r="2544">
          <cell r="A2544" t="str">
            <v>TPDLE1XL</v>
          </cell>
          <cell r="B2544" t="str">
            <v>SKLADEM</v>
          </cell>
          <cell r="C2544" t="str">
            <v/>
          </cell>
          <cell r="D2544">
            <v>0</v>
          </cell>
          <cell r="E2544" t="str">
            <v/>
          </cell>
        </row>
        <row r="2545">
          <cell r="A2545" t="str">
            <v>TPDLE1XXL</v>
          </cell>
          <cell r="B2545" t="str">
            <v>DOCHÁZÍ</v>
          </cell>
          <cell r="C2545" t="str">
            <v/>
          </cell>
          <cell r="D2545">
            <v>0</v>
          </cell>
          <cell r="E2545">
            <v>3</v>
          </cell>
        </row>
        <row r="2546">
          <cell r="A2546" t="str">
            <v>U19000</v>
          </cell>
          <cell r="B2546" t="str">
            <v>VYPRODÁNO</v>
          </cell>
          <cell r="C2546" t="str">
            <v/>
          </cell>
          <cell r="D2546">
            <v>0</v>
          </cell>
          <cell r="E2546" t="str">
            <v/>
          </cell>
        </row>
        <row r="2547">
          <cell r="A2547" t="str">
            <v>UZD2</v>
          </cell>
          <cell r="B2547" t="str">
            <v>SKLADEM</v>
          </cell>
          <cell r="C2547" t="str">
            <v/>
          </cell>
          <cell r="D2547">
            <v>0</v>
          </cell>
          <cell r="E2547" t="str">
            <v/>
          </cell>
        </row>
        <row r="2548">
          <cell r="A2548" t="str">
            <v>VDLE1L</v>
          </cell>
          <cell r="B2548" t="str">
            <v>SKLADEM</v>
          </cell>
          <cell r="C2548" t="str">
            <v/>
          </cell>
          <cell r="D2548">
            <v>0</v>
          </cell>
          <cell r="E2548" t="str">
            <v/>
          </cell>
        </row>
        <row r="2549">
          <cell r="A2549" t="str">
            <v>VDLE1M</v>
          </cell>
          <cell r="B2549" t="str">
            <v>SKLADEM</v>
          </cell>
          <cell r="C2549" t="str">
            <v/>
          </cell>
          <cell r="D2549">
            <v>0</v>
          </cell>
          <cell r="E2549" t="str">
            <v/>
          </cell>
        </row>
        <row r="2550">
          <cell r="A2550" t="str">
            <v>VDLE1XL</v>
          </cell>
          <cell r="B2550" t="str">
            <v>SKLADEM</v>
          </cell>
          <cell r="C2550" t="str">
            <v/>
          </cell>
          <cell r="D2550">
            <v>0</v>
          </cell>
          <cell r="E2550" t="str">
            <v/>
          </cell>
        </row>
        <row r="2551">
          <cell r="A2551" t="str">
            <v>VDLE1XXL</v>
          </cell>
          <cell r="B2551" t="str">
            <v>SKLADEM</v>
          </cell>
          <cell r="C2551" t="str">
            <v/>
          </cell>
          <cell r="D2551">
            <v>0</v>
          </cell>
          <cell r="E2551" t="str">
            <v/>
          </cell>
        </row>
        <row r="2552">
          <cell r="A2552" t="str">
            <v>VP12MIX</v>
          </cell>
          <cell r="B2552" t="str">
            <v>SKLADEM</v>
          </cell>
          <cell r="C2552" t="str">
            <v/>
          </cell>
          <cell r="D2552">
            <v>0</v>
          </cell>
          <cell r="E2552" t="str">
            <v/>
          </cell>
        </row>
        <row r="2553">
          <cell r="A2553" t="str">
            <v>VP12T1</v>
          </cell>
          <cell r="B2553" t="str">
            <v>SKLADEM</v>
          </cell>
          <cell r="C2553" t="str">
            <v/>
          </cell>
          <cell r="D2553">
            <v>0</v>
          </cell>
          <cell r="E2553" t="str">
            <v/>
          </cell>
        </row>
        <row r="2554">
          <cell r="A2554" t="str">
            <v>VP12TH</v>
          </cell>
          <cell r="B2554" t="str">
            <v>SKLADEM</v>
          </cell>
          <cell r="C2554" t="str">
            <v/>
          </cell>
          <cell r="D2554">
            <v>0</v>
          </cell>
          <cell r="E2554" t="str">
            <v/>
          </cell>
        </row>
        <row r="2555">
          <cell r="A2555" t="str">
            <v>VP12TS</v>
          </cell>
          <cell r="B2555" t="str">
            <v>SKLADEM</v>
          </cell>
          <cell r="C2555" t="str">
            <v/>
          </cell>
          <cell r="D2555">
            <v>0</v>
          </cell>
          <cell r="E2555" t="str">
            <v/>
          </cell>
        </row>
        <row r="2556">
          <cell r="A2556" t="str">
            <v>VP16A</v>
          </cell>
          <cell r="B2556" t="str">
            <v>SKLADEM</v>
          </cell>
          <cell r="C2556" t="str">
            <v/>
          </cell>
          <cell r="D2556">
            <v>0</v>
          </cell>
          <cell r="E2556" t="str">
            <v/>
          </cell>
        </row>
        <row r="2557">
          <cell r="A2557" t="str">
            <v>VP16A(1)</v>
          </cell>
          <cell r="B2557" t="str">
            <v>SKLADEM</v>
          </cell>
          <cell r="C2557" t="str">
            <v/>
          </cell>
          <cell r="D2557">
            <v>0</v>
          </cell>
          <cell r="E2557" t="str">
            <v/>
          </cell>
        </row>
        <row r="2558">
          <cell r="A2558" t="str">
            <v>VP16B</v>
          </cell>
          <cell r="B2558" t="str">
            <v>VYPRODÁNO</v>
          </cell>
          <cell r="C2558" t="str">
            <v/>
          </cell>
          <cell r="D2558">
            <v>0</v>
          </cell>
          <cell r="E2558" t="str">
            <v/>
          </cell>
        </row>
        <row r="2559">
          <cell r="A2559" t="str">
            <v>VP28</v>
          </cell>
          <cell r="B2559" t="str">
            <v>SKLADEM</v>
          </cell>
          <cell r="C2559" t="str">
            <v/>
          </cell>
          <cell r="D2559">
            <v>0</v>
          </cell>
          <cell r="E2559" t="str">
            <v/>
          </cell>
        </row>
        <row r="2560">
          <cell r="A2560" t="str">
            <v>VP28/20</v>
          </cell>
          <cell r="B2560" t="str">
            <v>VYPRODÁNO</v>
          </cell>
          <cell r="C2560" t="str">
            <v/>
          </cell>
          <cell r="D2560">
            <v>0</v>
          </cell>
          <cell r="E2560" t="str">
            <v/>
          </cell>
        </row>
        <row r="2561">
          <cell r="A2561" t="str">
            <v>VP28E</v>
          </cell>
          <cell r="B2561" t="str">
            <v>SKLADEM</v>
          </cell>
          <cell r="C2561" t="str">
            <v/>
          </cell>
          <cell r="D2561">
            <v>0</v>
          </cell>
          <cell r="E2561" t="str">
            <v/>
          </cell>
        </row>
        <row r="2562">
          <cell r="A2562" t="str">
            <v>VP28N</v>
          </cell>
          <cell r="B2562" t="str">
            <v>SKLADEM</v>
          </cell>
          <cell r="C2562" t="str">
            <v/>
          </cell>
          <cell r="D2562">
            <v>0</v>
          </cell>
          <cell r="E2562" t="str">
            <v/>
          </cell>
        </row>
        <row r="2563">
          <cell r="A2563" t="str">
            <v>VP40</v>
          </cell>
          <cell r="B2563" t="str">
            <v>SKLADEM</v>
          </cell>
          <cell r="C2563" t="str">
            <v/>
          </cell>
          <cell r="D2563">
            <v>0</v>
          </cell>
          <cell r="E2563" t="str">
            <v/>
          </cell>
        </row>
        <row r="2564">
          <cell r="A2564" t="str">
            <v>VP40/20</v>
          </cell>
          <cell r="B2564" t="str">
            <v>SKLADEM</v>
          </cell>
          <cell r="C2564" t="str">
            <v/>
          </cell>
          <cell r="D2564">
            <v>0</v>
          </cell>
          <cell r="E2564" t="str">
            <v/>
          </cell>
        </row>
        <row r="2565">
          <cell r="A2565" t="str">
            <v>VP40E</v>
          </cell>
          <cell r="B2565" t="str">
            <v>SKLADEM</v>
          </cell>
          <cell r="C2565" t="str">
            <v/>
          </cell>
          <cell r="D2565">
            <v>0</v>
          </cell>
          <cell r="E2565" t="str">
            <v/>
          </cell>
        </row>
        <row r="2566">
          <cell r="A2566" t="str">
            <v>VP40N</v>
          </cell>
          <cell r="B2566" t="str">
            <v>SKLADEM</v>
          </cell>
          <cell r="C2566" t="str">
            <v/>
          </cell>
          <cell r="D2566">
            <v>0</v>
          </cell>
          <cell r="E2566" t="str">
            <v/>
          </cell>
        </row>
        <row r="2567">
          <cell r="A2567" t="str">
            <v>VP40P</v>
          </cell>
          <cell r="B2567" t="str">
            <v>VYPRODÁNO</v>
          </cell>
          <cell r="C2567" t="str">
            <v/>
          </cell>
          <cell r="D2567">
            <v>0</v>
          </cell>
          <cell r="E2567" t="str">
            <v/>
          </cell>
        </row>
        <row r="2568">
          <cell r="A2568" t="str">
            <v>VP40TD</v>
          </cell>
          <cell r="B2568" t="str">
            <v>VYPRODÁNO</v>
          </cell>
          <cell r="C2568" t="str">
            <v/>
          </cell>
          <cell r="D2568">
            <v>0</v>
          </cell>
          <cell r="E2568" t="str">
            <v/>
          </cell>
        </row>
        <row r="2569">
          <cell r="A2569" t="str">
            <v>VP40W</v>
          </cell>
          <cell r="B2569" t="str">
            <v>SKLADEM</v>
          </cell>
          <cell r="C2569" t="str">
            <v/>
          </cell>
          <cell r="D2569">
            <v>0</v>
          </cell>
          <cell r="E2569" t="str">
            <v/>
          </cell>
        </row>
        <row r="2570">
          <cell r="A2570" t="str">
            <v>VP70</v>
          </cell>
          <cell r="B2570" t="str">
            <v>SKLADEM</v>
          </cell>
          <cell r="C2570" t="str">
            <v/>
          </cell>
          <cell r="D2570">
            <v>0</v>
          </cell>
          <cell r="E2570" t="str">
            <v/>
          </cell>
        </row>
        <row r="2571">
          <cell r="A2571" t="str">
            <v>VP70E</v>
          </cell>
          <cell r="B2571" t="str">
            <v>SKLADEM</v>
          </cell>
          <cell r="C2571" t="str">
            <v/>
          </cell>
          <cell r="D2571">
            <v>0</v>
          </cell>
          <cell r="E2571" t="str">
            <v/>
          </cell>
        </row>
        <row r="2572">
          <cell r="A2572" t="str">
            <v>VP70W</v>
          </cell>
          <cell r="B2572" t="str">
            <v>SKLADEM</v>
          </cell>
          <cell r="C2572" t="str">
            <v/>
          </cell>
          <cell r="D2572">
            <v>0</v>
          </cell>
          <cell r="E2572" t="str">
            <v/>
          </cell>
        </row>
        <row r="2573">
          <cell r="A2573" t="str">
            <v>VP90</v>
          </cell>
          <cell r="B2573" t="str">
            <v>SKLADEM</v>
          </cell>
          <cell r="C2573" t="str">
            <v/>
          </cell>
          <cell r="D2573">
            <v>0</v>
          </cell>
          <cell r="E2573" t="str">
            <v/>
          </cell>
        </row>
        <row r="2574">
          <cell r="A2574" t="str">
            <v>VP90/9</v>
          </cell>
          <cell r="B2574" t="str">
            <v>VYPRODÁNO</v>
          </cell>
          <cell r="C2574" t="str">
            <v/>
          </cell>
          <cell r="D2574">
            <v>0</v>
          </cell>
          <cell r="E2574" t="str">
            <v/>
          </cell>
        </row>
        <row r="2575">
          <cell r="A2575" t="str">
            <v>VP90E</v>
          </cell>
          <cell r="B2575" t="str">
            <v>VYPRODÁNO</v>
          </cell>
          <cell r="C2575" t="str">
            <v/>
          </cell>
          <cell r="D2575">
            <v>0</v>
          </cell>
          <cell r="E2575" t="str">
            <v/>
          </cell>
        </row>
        <row r="2576">
          <cell r="A2576" t="str">
            <v>VV9M</v>
          </cell>
          <cell r="B2576" t="str">
            <v>VYPRODÁNO</v>
          </cell>
          <cell r="C2576" t="str">
            <v/>
          </cell>
          <cell r="D2576">
            <v>0</v>
          </cell>
          <cell r="E2576" t="str">
            <v/>
          </cell>
        </row>
        <row r="2577">
          <cell r="A2577" t="str">
            <v>ZD1</v>
          </cell>
          <cell r="B2577" t="str">
            <v>SKLADEM</v>
          </cell>
          <cell r="C2577" t="str">
            <v/>
          </cell>
          <cell r="D2577">
            <v>0</v>
          </cell>
          <cell r="E2577" t="str">
            <v/>
          </cell>
        </row>
        <row r="2578">
          <cell r="A2578" t="str">
            <v>ZO-1</v>
          </cell>
          <cell r="B2578" t="str">
            <v>VYPRODÁNO</v>
          </cell>
          <cell r="C2578" t="str">
            <v/>
          </cell>
          <cell r="D2578">
            <v>0</v>
          </cell>
          <cell r="E2578" t="str">
            <v/>
          </cell>
        </row>
        <row r="2579">
          <cell r="A2579" t="str">
            <v>ZS1000M2</v>
          </cell>
          <cell r="B2579" t="str">
            <v>VYPRODÁNO</v>
          </cell>
          <cell r="C2579" t="str">
            <v/>
          </cell>
          <cell r="D2579">
            <v>0</v>
          </cell>
          <cell r="E2579" t="str">
            <v/>
          </cell>
        </row>
        <row r="2580">
          <cell r="A2580" t="str">
            <v>ZS1000M3</v>
          </cell>
          <cell r="B2580" t="str">
            <v>VYPRODÁNO</v>
          </cell>
          <cell r="C2580" t="str">
            <v/>
          </cell>
          <cell r="D2580">
            <v>0</v>
          </cell>
          <cell r="E2580" t="str">
            <v/>
          </cell>
        </row>
        <row r="2581">
          <cell r="A2581" t="str">
            <v>ZS5M</v>
          </cell>
          <cell r="B2581" t="str">
            <v>SKLADEM</v>
          </cell>
          <cell r="C2581" t="str">
            <v/>
          </cell>
          <cell r="D2581" t="str">
            <v>100+</v>
          </cell>
          <cell r="E2581" t="str">
            <v/>
          </cell>
        </row>
        <row r="2582">
          <cell r="A2582" t="str">
            <v>ZSB50M</v>
          </cell>
          <cell r="B2582" t="str">
            <v>VYPRODÁNO</v>
          </cell>
          <cell r="C2582" t="str">
            <v/>
          </cell>
          <cell r="D2582">
            <v>0</v>
          </cell>
          <cell r="E2582" t="str">
            <v/>
          </cell>
        </row>
        <row r="2583">
          <cell r="A2583" t="str">
            <v>RS33R E</v>
          </cell>
          <cell r="B2583" t="str">
            <v>VYPRODÁNO</v>
          </cell>
          <cell r="C2583" t="str">
            <v/>
          </cell>
          <cell r="D2583">
            <v>0</v>
          </cell>
          <cell r="E2583" t="str">
            <v/>
          </cell>
        </row>
        <row r="2584">
          <cell r="A2584" t="str">
            <v>CS2702X15 E</v>
          </cell>
          <cell r="B2584" t="str">
            <v>VYPRODÁNO</v>
          </cell>
          <cell r="C2584" t="str">
            <v/>
          </cell>
          <cell r="D2584">
            <v>0</v>
          </cell>
          <cell r="E2584" t="str">
            <v/>
          </cell>
        </row>
        <row r="2585">
          <cell r="A2585" t="str">
            <v>K-C13220TS/C14(T)</v>
          </cell>
          <cell r="B2585" t="str">
            <v>SKLADEM</v>
          </cell>
          <cell r="C2585" t="str">
            <v/>
          </cell>
          <cell r="D2585">
            <v>0</v>
          </cell>
          <cell r="E2585" t="str">
            <v/>
          </cell>
        </row>
        <row r="2586">
          <cell r="A2586" t="str">
            <v>K-C6420DU/IC14(1)</v>
          </cell>
          <cell r="B2586" t="str">
            <v>VYPRODÁNO</v>
          </cell>
          <cell r="C2586" t="str">
            <v/>
          </cell>
          <cell r="D2586">
            <v>0</v>
          </cell>
          <cell r="E2586" t="str">
            <v/>
          </cell>
        </row>
        <row r="2587">
          <cell r="A2587" t="str">
            <v>C20814XPR14 E</v>
          </cell>
          <cell r="B2587" t="str">
            <v>VYPRODÁNO</v>
          </cell>
          <cell r="C2587" t="str">
            <v/>
          </cell>
          <cell r="D2587">
            <v>0</v>
          </cell>
          <cell r="E2587" t="str">
            <v/>
          </cell>
        </row>
        <row r="2588">
          <cell r="A2588" t="str">
            <v>C10020NID14 E</v>
          </cell>
          <cell r="B2588" t="str">
            <v>SKLADEM</v>
          </cell>
          <cell r="C2588" t="str">
            <v/>
          </cell>
          <cell r="D2588">
            <v>0</v>
          </cell>
          <cell r="E2588" t="str">
            <v/>
          </cell>
        </row>
        <row r="2589">
          <cell r="A2589" t="str">
            <v>C253SIG B</v>
          </cell>
          <cell r="B2589" t="str">
            <v>SKLADEM</v>
          </cell>
          <cell r="C2589" t="str">
            <v/>
          </cell>
          <cell r="D2589">
            <v>0</v>
          </cell>
          <cell r="E2589" t="str">
            <v/>
          </cell>
        </row>
        <row r="2590">
          <cell r="A2590" t="str">
            <v>D1M</v>
          </cell>
          <cell r="B2590" t="str">
            <v>SKLADEM</v>
          </cell>
          <cell r="C2590" t="str">
            <v/>
          </cell>
          <cell r="D2590">
            <v>0</v>
          </cell>
          <cell r="E2590" t="str">
            <v/>
          </cell>
        </row>
        <row r="2591">
          <cell r="A2591" t="str">
            <v>KKD1</v>
          </cell>
          <cell r="B2591" t="str">
            <v>SKLADEM</v>
          </cell>
          <cell r="C2591" t="str">
            <v/>
          </cell>
          <cell r="D2591">
            <v>0</v>
          </cell>
          <cell r="E2591" t="str">
            <v/>
          </cell>
        </row>
        <row r="2592">
          <cell r="A2592" t="str">
            <v>C60020XPR/C</v>
          </cell>
          <cell r="B2592" t="str">
            <v>15.05.2024</v>
          </cell>
          <cell r="C2592">
            <v>84</v>
          </cell>
          <cell r="D2592">
            <v>0</v>
          </cell>
          <cell r="E2592" t="str">
            <v/>
          </cell>
        </row>
        <row r="2593">
          <cell r="A2593" t="str">
            <v>PBF2D</v>
          </cell>
          <cell r="B2593" t="str">
            <v>SKLADEM</v>
          </cell>
          <cell r="C2593" t="str">
            <v/>
          </cell>
          <cell r="D2593">
            <v>0</v>
          </cell>
          <cell r="E2593" t="str">
            <v/>
          </cell>
        </row>
        <row r="2594">
          <cell r="A2594" t="str">
            <v>PSF2D</v>
          </cell>
          <cell r="B2594" t="str">
            <v>SKLADEM</v>
          </cell>
          <cell r="C2594" t="str">
            <v/>
          </cell>
          <cell r="D2594">
            <v>0</v>
          </cell>
          <cell r="E2594" t="str">
            <v/>
          </cell>
        </row>
        <row r="2595">
          <cell r="A2595" t="str">
            <v>RT1DU</v>
          </cell>
          <cell r="B2595" t="str">
            <v>SKLADEM</v>
          </cell>
          <cell r="C2595" t="str">
            <v/>
          </cell>
          <cell r="D2595">
            <v>0</v>
          </cell>
          <cell r="E2595" t="str">
            <v/>
          </cell>
        </row>
        <row r="2596">
          <cell r="A2596" t="str">
            <v>KK2023</v>
          </cell>
          <cell r="B2596" t="str">
            <v>DOCHÁZÍ</v>
          </cell>
          <cell r="C2596" t="str">
            <v/>
          </cell>
          <cell r="D2596">
            <v>0</v>
          </cell>
          <cell r="E2596">
            <v>6</v>
          </cell>
        </row>
        <row r="2597">
          <cell r="A2597" t="str">
            <v>C60020XPR/C(T)</v>
          </cell>
          <cell r="B2597" t="str">
            <v>15.05.2024</v>
          </cell>
          <cell r="C2597" t="str">
            <v/>
          </cell>
          <cell r="D2597">
            <v>0</v>
          </cell>
          <cell r="E2597" t="str">
            <v/>
          </cell>
        </row>
        <row r="2598">
          <cell r="A2598" t="str">
            <v>K-C6420DU/C</v>
          </cell>
          <cell r="B2598" t="str">
            <v>SKLADEM</v>
          </cell>
          <cell r="C2598" t="str">
            <v/>
          </cell>
          <cell r="D2598">
            <v>0</v>
          </cell>
          <cell r="E2598" t="str">
            <v/>
          </cell>
        </row>
        <row r="2599">
          <cell r="A2599" t="str">
            <v>P05DSP1</v>
          </cell>
          <cell r="B2599" t="str">
            <v>30.06.2024</v>
          </cell>
          <cell r="C2599">
            <v>130</v>
          </cell>
          <cell r="D2599">
            <v>0</v>
          </cell>
          <cell r="E2599" t="str">
            <v/>
          </cell>
        </row>
        <row r="2600">
          <cell r="A2600" t="str">
            <v>P066D20P1</v>
          </cell>
          <cell r="B2600" t="str">
            <v>30.06.2024</v>
          </cell>
          <cell r="C2600">
            <v>130</v>
          </cell>
          <cell r="D2600">
            <v>0</v>
          </cell>
          <cell r="E2600" t="str">
            <v/>
          </cell>
        </row>
        <row r="2601">
          <cell r="A2601" t="str">
            <v>P10D20SP1</v>
          </cell>
          <cell r="B2601" t="str">
            <v>30.06.2024</v>
          </cell>
          <cell r="C2601">
            <v>130</v>
          </cell>
          <cell r="D2601">
            <v>0</v>
          </cell>
          <cell r="E2601" t="str">
            <v/>
          </cell>
        </row>
        <row r="2602">
          <cell r="A2602" t="str">
            <v>MDLEZ1M</v>
          </cell>
          <cell r="B2602" t="str">
            <v>VYPRODÁNO</v>
          </cell>
          <cell r="C2602" t="str">
            <v/>
          </cell>
          <cell r="D2602">
            <v>0</v>
          </cell>
          <cell r="E2602" t="str">
            <v/>
          </cell>
        </row>
        <row r="2603">
          <cell r="A2603" t="str">
            <v>MDLEZ1L</v>
          </cell>
          <cell r="B2603" t="str">
            <v>SKLADEM</v>
          </cell>
          <cell r="C2603" t="str">
            <v/>
          </cell>
          <cell r="D2603">
            <v>0</v>
          </cell>
          <cell r="E2603" t="str">
            <v/>
          </cell>
        </row>
        <row r="2604">
          <cell r="A2604" t="str">
            <v>MDLEZ1XL</v>
          </cell>
          <cell r="B2604" t="str">
            <v>VYPRODÁNO</v>
          </cell>
          <cell r="C2604" t="str">
            <v/>
          </cell>
          <cell r="D2604">
            <v>0</v>
          </cell>
          <cell r="E2604" t="str">
            <v/>
          </cell>
        </row>
        <row r="2605">
          <cell r="A2605" t="str">
            <v>MDLEZ1XXL</v>
          </cell>
          <cell r="B2605" t="str">
            <v>VYPRODÁNO</v>
          </cell>
          <cell r="C2605" t="str">
            <v/>
          </cell>
          <cell r="D2605">
            <v>0</v>
          </cell>
          <cell r="E2605" t="str">
            <v/>
          </cell>
        </row>
      </sheetData>
      <sheetData sheetId="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1"/>
    </sheetNames>
    <sheetDataSet>
      <sheetData sheetId="0">
        <row r="1">
          <cell r="A1" t="str">
            <v xml:space="preserve">Catalog </v>
          </cell>
          <cell r="B1" t="str">
            <v>Základní 2024</v>
          </cell>
          <cell r="C1">
            <v>45329</v>
          </cell>
          <cell r="D1" t="str">
            <v>16.02.</v>
          </cell>
        </row>
        <row r="2">
          <cell r="A2" t="str">
            <v>number</v>
          </cell>
          <cell r="B2" t="str">
            <v>prodejní cena</v>
          </cell>
        </row>
        <row r="3">
          <cell r="A3" t="str">
            <v>DP1TA</v>
          </cell>
          <cell r="B3">
            <v>49</v>
          </cell>
        </row>
        <row r="4">
          <cell r="A4" t="str">
            <v>DP1TA(1)</v>
          </cell>
          <cell r="B4">
            <v>49</v>
          </cell>
        </row>
        <row r="5">
          <cell r="A5" t="str">
            <v>DP1BS</v>
          </cell>
          <cell r="B5">
            <v>37</v>
          </cell>
        </row>
        <row r="6">
          <cell r="A6" t="str">
            <v>DP1BS(1)</v>
          </cell>
          <cell r="B6">
            <v>37</v>
          </cell>
        </row>
        <row r="7">
          <cell r="A7" t="str">
            <v>DP1R</v>
          </cell>
          <cell r="B7">
            <v>311</v>
          </cell>
        </row>
        <row r="8">
          <cell r="A8" t="str">
            <v>DP1R(1)</v>
          </cell>
          <cell r="B8">
            <v>311</v>
          </cell>
        </row>
        <row r="9">
          <cell r="A9" t="str">
            <v>DP1EM</v>
          </cell>
          <cell r="B9">
            <v>840</v>
          </cell>
        </row>
        <row r="10">
          <cell r="A10" t="str">
            <v>DP1VR</v>
          </cell>
          <cell r="B10">
            <v>280</v>
          </cell>
        </row>
        <row r="11">
          <cell r="A11" t="str">
            <v>DP1SW</v>
          </cell>
          <cell r="B11">
            <v>251</v>
          </cell>
        </row>
        <row r="12">
          <cell r="A12" t="str">
            <v>DP1T</v>
          </cell>
          <cell r="B12">
            <v>31</v>
          </cell>
        </row>
        <row r="13">
          <cell r="A13" t="str">
            <v>DP1T SK</v>
          </cell>
          <cell r="B13">
            <v>217</v>
          </cell>
        </row>
        <row r="14">
          <cell r="A14" t="str">
            <v>DP1Z20</v>
          </cell>
          <cell r="B14">
            <v>756</v>
          </cell>
        </row>
        <row r="15">
          <cell r="A15" t="str">
            <v>DP1Z50</v>
          </cell>
          <cell r="B15">
            <v>43</v>
          </cell>
        </row>
        <row r="16">
          <cell r="A16" t="str">
            <v>CDK1</v>
          </cell>
          <cell r="B16">
            <v>139</v>
          </cell>
        </row>
        <row r="17">
          <cell r="A17" t="str">
            <v>CDK1(1)</v>
          </cell>
          <cell r="B17">
            <v>139</v>
          </cell>
        </row>
        <row r="18">
          <cell r="A18" t="str">
            <v>DP1M</v>
          </cell>
          <cell r="B18">
            <v>450</v>
          </cell>
        </row>
        <row r="19">
          <cell r="A19" t="str">
            <v>DP1CB</v>
          </cell>
          <cell r="B19">
            <v>718</v>
          </cell>
        </row>
        <row r="20">
          <cell r="A20" t="str">
            <v>DP1CB(1)</v>
          </cell>
          <cell r="B20">
            <v>718</v>
          </cell>
        </row>
        <row r="21">
          <cell r="A21" t="str">
            <v>DP2CB</v>
          </cell>
          <cell r="B21">
            <v>268</v>
          </cell>
        </row>
        <row r="22">
          <cell r="A22" t="str">
            <v>DP1P</v>
          </cell>
          <cell r="B22">
            <v>656</v>
          </cell>
        </row>
        <row r="23">
          <cell r="A23" t="str">
            <v>DP1P(1)</v>
          </cell>
          <cell r="B23">
            <v>656</v>
          </cell>
        </row>
        <row r="24">
          <cell r="A24" t="str">
            <v>DP2W</v>
          </cell>
          <cell r="B24">
            <v>65</v>
          </cell>
        </row>
        <row r="25">
          <cell r="A25" t="str">
            <v>DP1BP</v>
          </cell>
          <cell r="B25">
            <v>388</v>
          </cell>
        </row>
        <row r="26">
          <cell r="A26" t="str">
            <v>DP1FD</v>
          </cell>
          <cell r="B26">
            <v>107</v>
          </cell>
        </row>
        <row r="27">
          <cell r="A27" t="str">
            <v>DP1FR</v>
          </cell>
          <cell r="B27">
            <v>648</v>
          </cell>
        </row>
        <row r="28">
          <cell r="A28" t="str">
            <v>DP1FM</v>
          </cell>
          <cell r="B28">
            <v>252</v>
          </cell>
        </row>
        <row r="29">
          <cell r="A29" t="str">
            <v>S12S</v>
          </cell>
          <cell r="B29">
            <v>148</v>
          </cell>
        </row>
        <row r="30">
          <cell r="A30" t="str">
            <v>S12S(1)</v>
          </cell>
          <cell r="B30">
            <v>148</v>
          </cell>
        </row>
        <row r="31">
          <cell r="A31" t="str">
            <v>BP30S</v>
          </cell>
          <cell r="B31">
            <v>83</v>
          </cell>
        </row>
        <row r="32">
          <cell r="A32" t="str">
            <v>CST12S</v>
          </cell>
          <cell r="B32">
            <v>75</v>
          </cell>
        </row>
        <row r="33">
          <cell r="A33" t="str">
            <v>BK1P</v>
          </cell>
          <cell r="B33">
            <v>277</v>
          </cell>
        </row>
        <row r="34">
          <cell r="A34" t="str">
            <v>BK1P(1)</v>
          </cell>
          <cell r="B34">
            <v>277</v>
          </cell>
        </row>
        <row r="35">
          <cell r="A35" t="str">
            <v>BK2V</v>
          </cell>
          <cell r="B35">
            <v>379</v>
          </cell>
        </row>
        <row r="36">
          <cell r="A36" t="str">
            <v>BK2V(1)</v>
          </cell>
          <cell r="B36">
            <v>379</v>
          </cell>
        </row>
        <row r="37">
          <cell r="A37" t="str">
            <v>LM0SW</v>
          </cell>
          <cell r="B37">
            <v>995</v>
          </cell>
        </row>
        <row r="38">
          <cell r="A38" t="str">
            <v>LM0SW(1)</v>
          </cell>
          <cell r="B38">
            <v>995</v>
          </cell>
        </row>
        <row r="39">
          <cell r="A39" t="str">
            <v>LM1O</v>
          </cell>
          <cell r="B39">
            <v>44</v>
          </cell>
        </row>
        <row r="40">
          <cell r="A40" t="str">
            <v>LM2C</v>
          </cell>
          <cell r="B40">
            <v>48</v>
          </cell>
        </row>
        <row r="41">
          <cell r="A41" t="str">
            <v>LM2V</v>
          </cell>
          <cell r="B41">
            <v>48</v>
          </cell>
        </row>
        <row r="42">
          <cell r="A42" t="str">
            <v>LM3T</v>
          </cell>
          <cell r="B42">
            <v>69</v>
          </cell>
        </row>
        <row r="43">
          <cell r="A43" t="str">
            <v>LM4O</v>
          </cell>
          <cell r="B43">
            <v>79</v>
          </cell>
        </row>
        <row r="44">
          <cell r="A44" t="str">
            <v>LM5W</v>
          </cell>
          <cell r="B44">
            <v>93</v>
          </cell>
        </row>
        <row r="45">
          <cell r="A45" t="str">
            <v>LM6M</v>
          </cell>
          <cell r="B45">
            <v>190</v>
          </cell>
        </row>
        <row r="46">
          <cell r="A46" t="str">
            <v>LM7S</v>
          </cell>
          <cell r="B46">
            <v>124</v>
          </cell>
        </row>
        <row r="47">
          <cell r="A47" t="str">
            <v>SU45B</v>
          </cell>
          <cell r="B47">
            <v>960</v>
          </cell>
        </row>
        <row r="48">
          <cell r="A48" t="str">
            <v>RD8</v>
          </cell>
          <cell r="B48">
            <v>185</v>
          </cell>
        </row>
        <row r="49">
          <cell r="A49" t="str">
            <v>DS1</v>
          </cell>
          <cell r="B49">
            <v>212</v>
          </cell>
        </row>
        <row r="50">
          <cell r="A50" t="str">
            <v>P8DCH</v>
          </cell>
          <cell r="B50">
            <v>138</v>
          </cell>
        </row>
        <row r="51">
          <cell r="A51" t="str">
            <v>RB1</v>
          </cell>
          <cell r="B51">
            <v>440</v>
          </cell>
        </row>
        <row r="52">
          <cell r="A52" t="str">
            <v>FPS1</v>
          </cell>
          <cell r="B52">
            <v>122</v>
          </cell>
        </row>
        <row r="53">
          <cell r="A53" t="str">
            <v>VP70E</v>
          </cell>
          <cell r="B53">
            <v>53</v>
          </cell>
        </row>
        <row r="54">
          <cell r="A54" t="str">
            <v>VP40E</v>
          </cell>
          <cell r="B54">
            <v>280</v>
          </cell>
        </row>
        <row r="55">
          <cell r="A55" t="str">
            <v>VP28E</v>
          </cell>
          <cell r="B55">
            <v>275</v>
          </cell>
        </row>
        <row r="56">
          <cell r="A56" t="str">
            <v>VP90</v>
          </cell>
          <cell r="B56">
            <v>36</v>
          </cell>
        </row>
        <row r="57">
          <cell r="A57" t="str">
            <v>VP70</v>
          </cell>
          <cell r="B57">
            <v>30</v>
          </cell>
        </row>
        <row r="58">
          <cell r="A58" t="str">
            <v>VP70W</v>
          </cell>
          <cell r="B58">
            <v>32</v>
          </cell>
        </row>
        <row r="59">
          <cell r="A59" t="str">
            <v>VP40</v>
          </cell>
          <cell r="B59">
            <v>27</v>
          </cell>
        </row>
        <row r="60">
          <cell r="A60" t="str">
            <v>VP40/20</v>
          </cell>
          <cell r="B60">
            <v>460</v>
          </cell>
        </row>
        <row r="61">
          <cell r="A61" t="str">
            <v>VP40W</v>
          </cell>
          <cell r="B61">
            <v>32</v>
          </cell>
        </row>
        <row r="62">
          <cell r="A62" t="str">
            <v>VP28</v>
          </cell>
          <cell r="B62">
            <v>258</v>
          </cell>
        </row>
        <row r="63">
          <cell r="A63" t="str">
            <v>VP16A</v>
          </cell>
          <cell r="B63">
            <v>118</v>
          </cell>
        </row>
        <row r="64">
          <cell r="A64" t="str">
            <v>VP16A(1)</v>
          </cell>
          <cell r="B64">
            <v>118</v>
          </cell>
        </row>
        <row r="65">
          <cell r="A65" t="str">
            <v>VP28N</v>
          </cell>
          <cell r="B65">
            <v>49</v>
          </cell>
        </row>
        <row r="66">
          <cell r="A66" t="str">
            <v>VP40N</v>
          </cell>
          <cell r="B66">
            <v>65</v>
          </cell>
        </row>
        <row r="67">
          <cell r="A67" t="str">
            <v>VP12T1</v>
          </cell>
          <cell r="B67">
            <v>349</v>
          </cell>
        </row>
        <row r="68">
          <cell r="A68" t="str">
            <v>VP12TS</v>
          </cell>
          <cell r="B68">
            <v>349</v>
          </cell>
        </row>
        <row r="69">
          <cell r="A69" t="str">
            <v>VP12TH</v>
          </cell>
          <cell r="B69">
            <v>349</v>
          </cell>
        </row>
        <row r="70">
          <cell r="A70" t="str">
            <v>VP12MIX</v>
          </cell>
          <cell r="B70">
            <v>125</v>
          </cell>
        </row>
        <row r="71">
          <cell r="A71" t="str">
            <v>SPRS1E</v>
          </cell>
          <cell r="B71">
            <v>9367</v>
          </cell>
        </row>
        <row r="72">
          <cell r="A72" t="str">
            <v>D1D</v>
          </cell>
          <cell r="B72">
            <v>189</v>
          </cell>
        </row>
        <row r="73">
          <cell r="A73" t="str">
            <v>D1M</v>
          </cell>
          <cell r="B73">
            <v>446</v>
          </cell>
        </row>
        <row r="74">
          <cell r="A74" t="str">
            <v>D2C</v>
          </cell>
          <cell r="B74">
            <v>103</v>
          </cell>
        </row>
        <row r="75">
          <cell r="A75" t="str">
            <v>D2CN</v>
          </cell>
          <cell r="B75">
            <v>103</v>
          </cell>
        </row>
        <row r="76">
          <cell r="A76" t="str">
            <v>D2C(1)</v>
          </cell>
          <cell r="B76">
            <v>103</v>
          </cell>
        </row>
        <row r="77">
          <cell r="A77" t="str">
            <v>D2CN(1)</v>
          </cell>
          <cell r="B77">
            <v>103</v>
          </cell>
        </row>
        <row r="78">
          <cell r="A78" t="str">
            <v>D3SK</v>
          </cell>
          <cell r="B78">
            <v>55</v>
          </cell>
        </row>
        <row r="79">
          <cell r="A79" t="str">
            <v>RDG1B</v>
          </cell>
          <cell r="B79">
            <v>250</v>
          </cell>
        </row>
        <row r="80">
          <cell r="A80" t="str">
            <v>RDG1B(1)</v>
          </cell>
          <cell r="B80">
            <v>62</v>
          </cell>
        </row>
        <row r="81">
          <cell r="A81" t="str">
            <v>RDG1C</v>
          </cell>
          <cell r="B81">
            <v>62</v>
          </cell>
        </row>
        <row r="82">
          <cell r="A82" t="str">
            <v>RDG1C(1)</v>
          </cell>
          <cell r="B82">
            <v>62</v>
          </cell>
        </row>
        <row r="83">
          <cell r="A83" t="str">
            <v>RDG1M</v>
          </cell>
          <cell r="B83">
            <v>62</v>
          </cell>
        </row>
        <row r="84">
          <cell r="A84" t="str">
            <v>RDG1ZL</v>
          </cell>
          <cell r="B84">
            <v>62</v>
          </cell>
        </row>
        <row r="85">
          <cell r="A85" t="str">
            <v>RDG1ZL(1)</v>
          </cell>
          <cell r="B85">
            <v>62</v>
          </cell>
        </row>
        <row r="86">
          <cell r="A86" t="str">
            <v>RDG1ZE</v>
          </cell>
          <cell r="B86">
            <v>62</v>
          </cell>
        </row>
        <row r="87">
          <cell r="A87" t="str">
            <v>RDG1ZE(1)</v>
          </cell>
          <cell r="B87">
            <v>62</v>
          </cell>
        </row>
        <row r="88">
          <cell r="A88" t="str">
            <v>RDG1O</v>
          </cell>
          <cell r="B88">
            <v>62</v>
          </cell>
        </row>
        <row r="89">
          <cell r="A89" t="str">
            <v>RDG1O(1)</v>
          </cell>
          <cell r="B89">
            <v>62</v>
          </cell>
        </row>
        <row r="90">
          <cell r="A90" t="str">
            <v>RDG2B</v>
          </cell>
          <cell r="B90">
            <v>132</v>
          </cell>
        </row>
        <row r="91">
          <cell r="A91" t="str">
            <v>RDG2C</v>
          </cell>
          <cell r="B91">
            <v>132</v>
          </cell>
        </row>
        <row r="92">
          <cell r="A92" t="str">
            <v>RDG2M</v>
          </cell>
          <cell r="B92">
            <v>132</v>
          </cell>
        </row>
        <row r="93">
          <cell r="A93" t="str">
            <v>RDG60B</v>
          </cell>
          <cell r="B93">
            <v>420</v>
          </cell>
        </row>
        <row r="94">
          <cell r="A94" t="str">
            <v>RDG60M</v>
          </cell>
          <cell r="B94">
            <v>420</v>
          </cell>
        </row>
        <row r="95">
          <cell r="A95" t="str">
            <v>RDG60O</v>
          </cell>
          <cell r="B95">
            <v>420</v>
          </cell>
        </row>
        <row r="96">
          <cell r="A96" t="str">
            <v>RDG60CER</v>
          </cell>
          <cell r="B96">
            <v>420</v>
          </cell>
        </row>
        <row r="97">
          <cell r="A97" t="str">
            <v>RDG25B</v>
          </cell>
          <cell r="B97">
            <v>420</v>
          </cell>
        </row>
        <row r="98">
          <cell r="A98" t="str">
            <v>RDG25ZL</v>
          </cell>
          <cell r="B98">
            <v>420</v>
          </cell>
        </row>
        <row r="99">
          <cell r="A99" t="str">
            <v>RDG25ZE</v>
          </cell>
          <cell r="B99">
            <v>420</v>
          </cell>
        </row>
        <row r="100">
          <cell r="A100" t="str">
            <v>RDG25O</v>
          </cell>
          <cell r="B100">
            <v>420</v>
          </cell>
        </row>
        <row r="101">
          <cell r="A101" t="str">
            <v>RDG25CER</v>
          </cell>
          <cell r="B101">
            <v>420</v>
          </cell>
        </row>
        <row r="102">
          <cell r="A102" t="str">
            <v>RDG60B(SH)</v>
          </cell>
          <cell r="B102">
            <v>290</v>
          </cell>
        </row>
        <row r="103">
          <cell r="A103" t="str">
            <v>RDG60C(SH)</v>
          </cell>
          <cell r="B103">
            <v>290</v>
          </cell>
        </row>
        <row r="104">
          <cell r="A104" t="str">
            <v>RDG60M(SH)</v>
          </cell>
          <cell r="B104">
            <v>290</v>
          </cell>
        </row>
        <row r="105">
          <cell r="A105" t="str">
            <v>RDG60ZL(SH)</v>
          </cell>
          <cell r="B105">
            <v>290</v>
          </cell>
        </row>
        <row r="106">
          <cell r="A106" t="str">
            <v>RDG60ZE(SH)</v>
          </cell>
          <cell r="B106">
            <v>290</v>
          </cell>
        </row>
        <row r="107">
          <cell r="A107" t="str">
            <v>RDG60O(SH)</v>
          </cell>
          <cell r="B107">
            <v>290</v>
          </cell>
        </row>
        <row r="108">
          <cell r="A108" t="str">
            <v>RDG60CER(SH)</v>
          </cell>
          <cell r="B108">
            <v>290</v>
          </cell>
        </row>
        <row r="109">
          <cell r="A109" t="str">
            <v>RDG60R(SH)</v>
          </cell>
          <cell r="B109">
            <v>290</v>
          </cell>
        </row>
        <row r="110">
          <cell r="A110" t="str">
            <v>RDG1B-P</v>
          </cell>
          <cell r="B110">
            <v>370</v>
          </cell>
        </row>
        <row r="111">
          <cell r="A111" t="str">
            <v>RDG1C-P</v>
          </cell>
          <cell r="B111">
            <v>370</v>
          </cell>
        </row>
        <row r="112">
          <cell r="A112" t="str">
            <v>RDG1M-P</v>
          </cell>
          <cell r="B112">
            <v>370</v>
          </cell>
        </row>
        <row r="113">
          <cell r="A113" t="str">
            <v>RDG1ZL-P</v>
          </cell>
          <cell r="B113">
            <v>370</v>
          </cell>
        </row>
        <row r="114">
          <cell r="A114" t="str">
            <v>RDG1ZL-P(1)</v>
          </cell>
          <cell r="B114">
            <v>370</v>
          </cell>
        </row>
        <row r="115">
          <cell r="A115" t="str">
            <v>RDG1ZE-P</v>
          </cell>
          <cell r="B115">
            <v>370</v>
          </cell>
        </row>
        <row r="116">
          <cell r="A116" t="str">
            <v>RDG1ZE-P(1)</v>
          </cell>
          <cell r="B116">
            <v>370</v>
          </cell>
        </row>
        <row r="117">
          <cell r="A117" t="str">
            <v>RDG1O-P</v>
          </cell>
          <cell r="B117">
            <v>370</v>
          </cell>
        </row>
        <row r="118">
          <cell r="A118" t="str">
            <v>RDG1O-P(1)</v>
          </cell>
          <cell r="B118">
            <v>370</v>
          </cell>
        </row>
        <row r="119">
          <cell r="A119" t="str">
            <v>RDP60C</v>
          </cell>
          <cell r="B119">
            <v>399</v>
          </cell>
        </row>
        <row r="120">
          <cell r="A120" t="str">
            <v>RDP60M</v>
          </cell>
          <cell r="B120">
            <v>399</v>
          </cell>
        </row>
        <row r="121">
          <cell r="A121" t="str">
            <v>RDP60CER</v>
          </cell>
          <cell r="B121">
            <v>399</v>
          </cell>
        </row>
        <row r="122">
          <cell r="A122" t="str">
            <v>HDP60B</v>
          </cell>
          <cell r="B122">
            <v>325</v>
          </cell>
        </row>
        <row r="123">
          <cell r="A123" t="str">
            <v>HDP60C</v>
          </cell>
          <cell r="B123">
            <v>325</v>
          </cell>
        </row>
        <row r="124">
          <cell r="A124" t="str">
            <v>HDP60M</v>
          </cell>
          <cell r="B124">
            <v>325</v>
          </cell>
        </row>
        <row r="125">
          <cell r="A125" t="str">
            <v>HDP60ZL</v>
          </cell>
          <cell r="B125">
            <v>325</v>
          </cell>
        </row>
        <row r="126">
          <cell r="A126" t="str">
            <v>HDP60ZE</v>
          </cell>
          <cell r="B126">
            <v>325</v>
          </cell>
        </row>
        <row r="127">
          <cell r="A127" t="str">
            <v>HDP60O</v>
          </cell>
          <cell r="B127">
            <v>325</v>
          </cell>
        </row>
        <row r="128">
          <cell r="A128" t="str">
            <v>HDP60CER</v>
          </cell>
          <cell r="B128">
            <v>325</v>
          </cell>
        </row>
        <row r="129">
          <cell r="A129" t="str">
            <v>P40C25</v>
          </cell>
          <cell r="B129">
            <v>280</v>
          </cell>
        </row>
        <row r="130">
          <cell r="A130" t="str">
            <v>P40Z25</v>
          </cell>
          <cell r="B130">
            <v>280</v>
          </cell>
        </row>
        <row r="131">
          <cell r="A131" t="str">
            <v>P40B25</v>
          </cell>
          <cell r="B131">
            <v>280</v>
          </cell>
        </row>
        <row r="132">
          <cell r="A132" t="str">
            <v>P40ZL25</v>
          </cell>
          <cell r="B132">
            <v>280</v>
          </cell>
        </row>
        <row r="133">
          <cell r="A133" t="str">
            <v>P40MO25</v>
          </cell>
          <cell r="B133">
            <v>280</v>
          </cell>
        </row>
        <row r="134">
          <cell r="A134" t="str">
            <v>BP60S</v>
          </cell>
          <cell r="B134">
            <v>111</v>
          </cell>
        </row>
        <row r="135">
          <cell r="A135" t="str">
            <v>S90S</v>
          </cell>
          <cell r="B135">
            <v>85</v>
          </cell>
        </row>
        <row r="136">
          <cell r="A136" t="str">
            <v>S60S</v>
          </cell>
          <cell r="B136">
            <v>106</v>
          </cell>
        </row>
        <row r="137">
          <cell r="A137" t="str">
            <v>F1M</v>
          </cell>
          <cell r="B137">
            <v>119</v>
          </cell>
        </row>
        <row r="138">
          <cell r="A138" t="str">
            <v>F2M</v>
          </cell>
          <cell r="B138">
            <v>95</v>
          </cell>
        </row>
        <row r="139">
          <cell r="A139" t="str">
            <v>F3CC</v>
          </cell>
          <cell r="B139">
            <v>108</v>
          </cell>
        </row>
        <row r="140">
          <cell r="A140" t="str">
            <v>F6K</v>
          </cell>
          <cell r="B140">
            <v>159</v>
          </cell>
        </row>
        <row r="141">
          <cell r="A141" t="str">
            <v>F16CS</v>
          </cell>
          <cell r="B141">
            <v>215</v>
          </cell>
        </row>
        <row r="142">
          <cell r="A142" t="str">
            <v>F8B</v>
          </cell>
          <cell r="B142">
            <v>87</v>
          </cell>
        </row>
        <row r="143">
          <cell r="A143" t="str">
            <v>F10E</v>
          </cell>
          <cell r="B143">
            <v>53</v>
          </cell>
        </row>
        <row r="144">
          <cell r="A144" t="str">
            <v>F11M</v>
          </cell>
          <cell r="B144">
            <v>252</v>
          </cell>
        </row>
        <row r="145">
          <cell r="A145" t="str">
            <v>F14R</v>
          </cell>
          <cell r="B145">
            <v>449</v>
          </cell>
        </row>
        <row r="146">
          <cell r="A146" t="str">
            <v>F14R F</v>
          </cell>
          <cell r="B146">
            <v>529</v>
          </cell>
        </row>
        <row r="147">
          <cell r="A147" t="str">
            <v>F15BR</v>
          </cell>
          <cell r="B147">
            <v>1190</v>
          </cell>
        </row>
        <row r="148">
          <cell r="A148" t="str">
            <v>F100C</v>
          </cell>
          <cell r="B148">
            <v>227</v>
          </cell>
        </row>
        <row r="149">
          <cell r="A149" t="str">
            <v>F100DC</v>
          </cell>
          <cell r="B149">
            <v>159</v>
          </cell>
        </row>
        <row r="150">
          <cell r="A150" t="str">
            <v>F250SS</v>
          </cell>
          <cell r="B150">
            <v>210</v>
          </cell>
        </row>
        <row r="151">
          <cell r="A151" t="str">
            <v>F250SC</v>
          </cell>
          <cell r="B151">
            <v>210</v>
          </cell>
        </row>
        <row r="152">
          <cell r="A152" t="str">
            <v>F250C</v>
          </cell>
          <cell r="B152">
            <v>210</v>
          </cell>
        </row>
        <row r="153">
          <cell r="A153" t="str">
            <v>F500SIG</v>
          </cell>
          <cell r="B153">
            <v>451</v>
          </cell>
        </row>
        <row r="154">
          <cell r="A154" t="str">
            <v>F500SS</v>
          </cell>
          <cell r="B154">
            <v>359</v>
          </cell>
        </row>
        <row r="155">
          <cell r="A155" t="str">
            <v>F500C</v>
          </cell>
          <cell r="B155">
            <v>359</v>
          </cell>
        </row>
        <row r="156">
          <cell r="A156" t="str">
            <v>F1000SC</v>
          </cell>
          <cell r="B156">
            <v>334</v>
          </cell>
        </row>
        <row r="157">
          <cell r="A157" t="str">
            <v>F1000SS</v>
          </cell>
          <cell r="B157">
            <v>334</v>
          </cell>
        </row>
        <row r="158">
          <cell r="A158" t="str">
            <v>F1500SS</v>
          </cell>
          <cell r="B158">
            <v>376</v>
          </cell>
        </row>
        <row r="159">
          <cell r="A159" t="str">
            <v>F1500C</v>
          </cell>
          <cell r="B159">
            <v>376</v>
          </cell>
        </row>
        <row r="160">
          <cell r="A160" t="str">
            <v>F3N</v>
          </cell>
          <cell r="B160">
            <v>60</v>
          </cell>
        </row>
        <row r="161">
          <cell r="A161" t="str">
            <v>DF10CM</v>
          </cell>
          <cell r="B161">
            <v>34</v>
          </cell>
        </row>
        <row r="162">
          <cell r="A162" t="str">
            <v>DF20CM</v>
          </cell>
          <cell r="B162">
            <v>54</v>
          </cell>
        </row>
        <row r="163">
          <cell r="A163" t="str">
            <v>DF30CM</v>
          </cell>
          <cell r="B163">
            <v>79</v>
          </cell>
        </row>
        <row r="164">
          <cell r="A164" t="str">
            <v>DF12CM</v>
          </cell>
          <cell r="B164">
            <v>26</v>
          </cell>
        </row>
        <row r="165">
          <cell r="A165" t="str">
            <v>CON40P</v>
          </cell>
          <cell r="B165">
            <v>56</v>
          </cell>
        </row>
        <row r="166">
          <cell r="A166" t="str">
            <v>CON40S</v>
          </cell>
          <cell r="B166">
            <v>56</v>
          </cell>
        </row>
        <row r="167">
          <cell r="A167" t="str">
            <v>CON40F</v>
          </cell>
          <cell r="B167">
            <v>56</v>
          </cell>
        </row>
        <row r="168">
          <cell r="A168" t="str">
            <v>CON80P</v>
          </cell>
          <cell r="B168">
            <v>88</v>
          </cell>
        </row>
        <row r="169">
          <cell r="A169" t="str">
            <v>R4420B</v>
          </cell>
          <cell r="B169">
            <v>101</v>
          </cell>
        </row>
        <row r="170">
          <cell r="A170" t="str">
            <v>R7040C</v>
          </cell>
          <cell r="B170">
            <v>86</v>
          </cell>
        </row>
        <row r="171">
          <cell r="A171" t="str">
            <v>R5410B</v>
          </cell>
          <cell r="B171">
            <v>61</v>
          </cell>
        </row>
        <row r="172">
          <cell r="A172" t="str">
            <v>R5420K</v>
          </cell>
          <cell r="B172">
            <v>263</v>
          </cell>
        </row>
        <row r="173">
          <cell r="A173" t="str">
            <v>R7020K</v>
          </cell>
          <cell r="B173">
            <v>305</v>
          </cell>
        </row>
        <row r="174">
          <cell r="A174" t="str">
            <v>R6020B</v>
          </cell>
          <cell r="B174">
            <v>245</v>
          </cell>
        </row>
        <row r="175">
          <cell r="A175" t="str">
            <v>R6520BK/2</v>
          </cell>
          <cell r="B175">
            <v>146</v>
          </cell>
        </row>
        <row r="176">
          <cell r="A176" t="str">
            <v>R6020M</v>
          </cell>
          <cell r="B176">
            <v>136</v>
          </cell>
        </row>
        <row r="177">
          <cell r="A177" t="str">
            <v>R7020M</v>
          </cell>
          <cell r="B177">
            <v>282</v>
          </cell>
        </row>
        <row r="178">
          <cell r="A178" t="str">
            <v>R5808D</v>
          </cell>
          <cell r="B178">
            <v>113</v>
          </cell>
        </row>
        <row r="179">
          <cell r="A179" t="str">
            <v>R6008E</v>
          </cell>
          <cell r="B179">
            <v>112</v>
          </cell>
        </row>
        <row r="180">
          <cell r="A180" t="str">
            <v>R6008M</v>
          </cell>
          <cell r="B180">
            <v>207</v>
          </cell>
        </row>
        <row r="181">
          <cell r="A181" t="str">
            <v>R6508S</v>
          </cell>
          <cell r="B181">
            <v>235</v>
          </cell>
        </row>
        <row r="182">
          <cell r="A182" t="str">
            <v>R7508E</v>
          </cell>
          <cell r="B182">
            <v>229</v>
          </cell>
        </row>
        <row r="183">
          <cell r="A183" t="str">
            <v>R7508SIG</v>
          </cell>
          <cell r="B183">
            <v>244</v>
          </cell>
        </row>
        <row r="184">
          <cell r="A184" t="str">
            <v>R7538S</v>
          </cell>
          <cell r="B184">
            <v>157</v>
          </cell>
        </row>
        <row r="185">
          <cell r="A185" t="str">
            <v>R7538E</v>
          </cell>
          <cell r="B185">
            <v>140</v>
          </cell>
        </row>
        <row r="186">
          <cell r="A186" t="str">
            <v>R7538I</v>
          </cell>
          <cell r="B186">
            <v>140</v>
          </cell>
        </row>
        <row r="187">
          <cell r="A187" t="str">
            <v>R100M</v>
          </cell>
          <cell r="B187">
            <v>71</v>
          </cell>
        </row>
        <row r="188">
          <cell r="A188" t="str">
            <v>SS20D</v>
          </cell>
          <cell r="B188">
            <v>128</v>
          </cell>
        </row>
        <row r="189">
          <cell r="A189" t="str">
            <v>SS25SC</v>
          </cell>
          <cell r="B189">
            <v>170</v>
          </cell>
        </row>
        <row r="190">
          <cell r="A190" t="str">
            <v>SS30SIGF2</v>
          </cell>
          <cell r="B190">
            <v>148</v>
          </cell>
        </row>
        <row r="191">
          <cell r="A191" t="str">
            <v>SS30D</v>
          </cell>
          <cell r="B191">
            <v>134</v>
          </cell>
        </row>
        <row r="192">
          <cell r="A192" t="str">
            <v>SS30A</v>
          </cell>
          <cell r="B192">
            <v>122</v>
          </cell>
        </row>
        <row r="193">
          <cell r="A193" t="str">
            <v>SS37K</v>
          </cell>
          <cell r="B193">
            <v>216</v>
          </cell>
        </row>
        <row r="194">
          <cell r="A194" t="str">
            <v>SS50K</v>
          </cell>
          <cell r="B194">
            <v>465</v>
          </cell>
        </row>
        <row r="195">
          <cell r="A195" t="str">
            <v>C320D</v>
          </cell>
          <cell r="B195">
            <v>197</v>
          </cell>
        </row>
        <row r="196">
          <cell r="A196" t="str">
            <v>C330D</v>
          </cell>
          <cell r="B196">
            <v>127</v>
          </cell>
        </row>
        <row r="197">
          <cell r="A197" t="str">
            <v>CS2BB</v>
          </cell>
          <cell r="B197">
            <v>1773</v>
          </cell>
        </row>
        <row r="198">
          <cell r="A198" t="str">
            <v>RP5DU14</v>
          </cell>
          <cell r="B198">
            <v>61</v>
          </cell>
        </row>
        <row r="199">
          <cell r="A199" t="str">
            <v>RP5DU14(1)</v>
          </cell>
          <cell r="B199">
            <v>61</v>
          </cell>
        </row>
        <row r="200">
          <cell r="A200" t="str">
            <v>CP5DU14(R)</v>
          </cell>
          <cell r="B200">
            <v>75</v>
          </cell>
        </row>
        <row r="201">
          <cell r="A201" t="str">
            <v>CP5DU14(R)1</v>
          </cell>
          <cell r="B201">
            <v>75</v>
          </cell>
        </row>
        <row r="202">
          <cell r="A202" t="str">
            <v>CP5DU14(G)</v>
          </cell>
          <cell r="B202">
            <v>75</v>
          </cell>
        </row>
        <row r="203">
          <cell r="A203" t="str">
            <v>CP5DU14(G)1</v>
          </cell>
          <cell r="B203">
            <v>75</v>
          </cell>
        </row>
        <row r="204">
          <cell r="A204" t="str">
            <v>K0203BP</v>
          </cell>
          <cell r="B204">
            <v>71</v>
          </cell>
        </row>
        <row r="205">
          <cell r="A205" t="str">
            <v>P05DSP1</v>
          </cell>
          <cell r="B205">
            <v>49</v>
          </cell>
        </row>
        <row r="206">
          <cell r="A206" t="str">
            <v>P066D20P1</v>
          </cell>
          <cell r="B206">
            <v>86</v>
          </cell>
        </row>
        <row r="207">
          <cell r="A207" t="str">
            <v>P10D20SP1</v>
          </cell>
          <cell r="B207">
            <v>99</v>
          </cell>
        </row>
        <row r="208">
          <cell r="A208" t="str">
            <v>P1D</v>
          </cell>
          <cell r="B208">
            <v>468</v>
          </cell>
        </row>
        <row r="209">
          <cell r="A209" t="str">
            <v>P2D</v>
          </cell>
          <cell r="B209">
            <v>645</v>
          </cell>
        </row>
        <row r="210">
          <cell r="A210" t="str">
            <v>K0203K</v>
          </cell>
          <cell r="B210">
            <v>52</v>
          </cell>
        </row>
        <row r="211">
          <cell r="A211" t="str">
            <v>K0203KB</v>
          </cell>
          <cell r="B211">
            <v>29</v>
          </cell>
        </row>
        <row r="212">
          <cell r="A212" t="str">
            <v>P05D</v>
          </cell>
          <cell r="B212">
            <v>49</v>
          </cell>
        </row>
        <row r="213">
          <cell r="A213" t="str">
            <v>PB120D</v>
          </cell>
          <cell r="B213">
            <v>93</v>
          </cell>
        </row>
        <row r="214">
          <cell r="A214" t="str">
            <v>PSF2D</v>
          </cell>
          <cell r="B214">
            <v>39</v>
          </cell>
        </row>
        <row r="215">
          <cell r="A215" t="str">
            <v>PBF2D</v>
          </cell>
          <cell r="B215">
            <v>42</v>
          </cell>
        </row>
        <row r="216">
          <cell r="A216" t="str">
            <v>P066D20</v>
          </cell>
          <cell r="B216">
            <v>86</v>
          </cell>
        </row>
        <row r="217">
          <cell r="A217" t="str">
            <v>P10D20</v>
          </cell>
          <cell r="B217">
            <v>99</v>
          </cell>
        </row>
        <row r="218">
          <cell r="A218" t="str">
            <v>P6A14F3</v>
          </cell>
          <cell r="B218">
            <v>57</v>
          </cell>
        </row>
        <row r="219">
          <cell r="A219" t="str">
            <v>P6A14F3(R)</v>
          </cell>
          <cell r="B219">
            <v>57</v>
          </cell>
        </row>
        <row r="220">
          <cell r="A220" t="str">
            <v>P7A14</v>
          </cell>
          <cell r="B220">
            <v>73</v>
          </cell>
        </row>
        <row r="221">
          <cell r="A221" t="str">
            <v>P4A(1)</v>
          </cell>
          <cell r="B221">
            <v>47</v>
          </cell>
        </row>
        <row r="222">
          <cell r="A222" t="str">
            <v>P4B</v>
          </cell>
          <cell r="B222">
            <v>56</v>
          </cell>
        </row>
        <row r="223">
          <cell r="A223" t="str">
            <v>P5DU13</v>
          </cell>
          <cell r="B223">
            <v>63</v>
          </cell>
        </row>
        <row r="224">
          <cell r="A224" t="str">
            <v>P5DU13(M)</v>
          </cell>
          <cell r="B224">
            <v>51</v>
          </cell>
        </row>
        <row r="225">
          <cell r="A225" t="str">
            <v>P5DU</v>
          </cell>
          <cell r="B225">
            <v>129</v>
          </cell>
        </row>
        <row r="226">
          <cell r="A226" t="str">
            <v>P5A13</v>
          </cell>
          <cell r="B226">
            <v>49</v>
          </cell>
        </row>
        <row r="227">
          <cell r="A227" t="str">
            <v>P5D13</v>
          </cell>
          <cell r="B227">
            <v>49</v>
          </cell>
        </row>
        <row r="228">
          <cell r="A228" t="str">
            <v>P5D13(W)</v>
          </cell>
          <cell r="B228">
            <v>49</v>
          </cell>
        </row>
        <row r="229">
          <cell r="A229" t="str">
            <v>P6A13(G)F3</v>
          </cell>
          <cell r="B229">
            <v>93</v>
          </cell>
        </row>
        <row r="230">
          <cell r="A230" t="str">
            <v>P6A13(R)F3</v>
          </cell>
          <cell r="B230">
            <v>93</v>
          </cell>
        </row>
        <row r="231">
          <cell r="A231" t="str">
            <v>P6A13(R)F3-1</v>
          </cell>
          <cell r="B231">
            <v>93</v>
          </cell>
        </row>
        <row r="232">
          <cell r="A232" t="str">
            <v>P6AE</v>
          </cell>
          <cell r="B232">
            <v>168</v>
          </cell>
        </row>
        <row r="233">
          <cell r="A233" t="str">
            <v>EB15</v>
          </cell>
          <cell r="B233">
            <v>63</v>
          </cell>
        </row>
        <row r="234">
          <cell r="A234" t="str">
            <v>EB9</v>
          </cell>
          <cell r="B234">
            <v>71</v>
          </cell>
        </row>
        <row r="235">
          <cell r="A235" t="str">
            <v>K20K</v>
          </cell>
          <cell r="B235">
            <v>117</v>
          </cell>
        </row>
        <row r="236">
          <cell r="A236" t="str">
            <v>K60K</v>
          </cell>
          <cell r="B236">
            <v>213</v>
          </cell>
        </row>
        <row r="237">
          <cell r="A237" t="str">
            <v>K01M</v>
          </cell>
          <cell r="B237">
            <v>767</v>
          </cell>
        </row>
        <row r="238">
          <cell r="A238" t="str">
            <v>K200R</v>
          </cell>
          <cell r="B238">
            <v>356</v>
          </cell>
        </row>
        <row r="239">
          <cell r="A239" t="str">
            <v>K500R</v>
          </cell>
          <cell r="B239">
            <v>88</v>
          </cell>
        </row>
        <row r="240">
          <cell r="A240" t="str">
            <v>K1000R</v>
          </cell>
          <cell r="B240">
            <v>175</v>
          </cell>
        </row>
        <row r="241">
          <cell r="A241" t="str">
            <v>K1969R</v>
          </cell>
          <cell r="B241">
            <v>1370</v>
          </cell>
        </row>
        <row r="242">
          <cell r="A242" t="str">
            <v>K10M</v>
          </cell>
          <cell r="B242">
            <v>2198</v>
          </cell>
        </row>
        <row r="243">
          <cell r="A243" t="str">
            <v>PLZ420</v>
          </cell>
          <cell r="B243">
            <v>2064</v>
          </cell>
        </row>
        <row r="244">
          <cell r="A244" t="str">
            <v>DBB1E</v>
          </cell>
          <cell r="B244">
            <v>666</v>
          </cell>
          <cell r="D244">
            <v>420</v>
          </cell>
        </row>
        <row r="245">
          <cell r="A245" t="str">
            <v>RS1</v>
          </cell>
          <cell r="B245">
            <v>245</v>
          </cell>
        </row>
        <row r="246">
          <cell r="A246" t="str">
            <v>RS6P</v>
          </cell>
          <cell r="B246">
            <v>72</v>
          </cell>
        </row>
        <row r="247">
          <cell r="A247" t="str">
            <v>RS6O</v>
          </cell>
          <cell r="B247">
            <v>57</v>
          </cell>
        </row>
        <row r="248">
          <cell r="A248" t="str">
            <v>RS6S</v>
          </cell>
          <cell r="B248">
            <v>57</v>
          </cell>
        </row>
        <row r="249">
          <cell r="A249" t="str">
            <v>R12T1</v>
          </cell>
          <cell r="B249">
            <v>120</v>
          </cell>
        </row>
        <row r="250">
          <cell r="A250" t="str">
            <v>R12T3</v>
          </cell>
          <cell r="B250">
            <v>211</v>
          </cell>
        </row>
        <row r="251">
          <cell r="A251" t="str">
            <v>RSD6</v>
          </cell>
          <cell r="B251">
            <v>520</v>
          </cell>
        </row>
        <row r="252">
          <cell r="A252" t="str">
            <v>RS6NO14</v>
          </cell>
          <cell r="B252">
            <v>295</v>
          </cell>
        </row>
        <row r="253">
          <cell r="A253" t="str">
            <v>RS5DU</v>
          </cell>
          <cell r="B253">
            <v>225</v>
          </cell>
        </row>
        <row r="254">
          <cell r="A254" t="str">
            <v>RS4H14</v>
          </cell>
          <cell r="B254">
            <v>90</v>
          </cell>
        </row>
        <row r="255">
          <cell r="A255" t="str">
            <v>RS7MD14</v>
          </cell>
          <cell r="B255">
            <v>203</v>
          </cell>
        </row>
        <row r="256">
          <cell r="A256" t="str">
            <v>RS7T14</v>
          </cell>
          <cell r="B256">
            <v>293</v>
          </cell>
        </row>
        <row r="257">
          <cell r="A257" t="str">
            <v>RS9T14</v>
          </cell>
          <cell r="B257">
            <v>357</v>
          </cell>
        </row>
        <row r="258">
          <cell r="A258" t="str">
            <v>RS9P14</v>
          </cell>
          <cell r="B258">
            <v>357</v>
          </cell>
        </row>
        <row r="259">
          <cell r="A259" t="str">
            <v>RS21Z14</v>
          </cell>
          <cell r="B259">
            <v>869</v>
          </cell>
        </row>
        <row r="260">
          <cell r="A260" t="str">
            <v>RS33R14</v>
          </cell>
          <cell r="B260">
            <v>1463</v>
          </cell>
        </row>
        <row r="261">
          <cell r="A261" t="str">
            <v>RSSF2</v>
          </cell>
          <cell r="B261">
            <v>489</v>
          </cell>
        </row>
        <row r="262">
          <cell r="A262" t="str">
            <v>RS4D</v>
          </cell>
          <cell r="B262">
            <v>165</v>
          </cell>
        </row>
        <row r="263">
          <cell r="A263" t="str">
            <v>RS11H</v>
          </cell>
          <cell r="B263">
            <v>565</v>
          </cell>
        </row>
        <row r="264">
          <cell r="A264" t="str">
            <v>SP3C</v>
          </cell>
          <cell r="B264">
            <v>666</v>
          </cell>
        </row>
        <row r="265">
          <cell r="A265" t="str">
            <v>RS18T</v>
          </cell>
          <cell r="B265">
            <v>906</v>
          </cell>
        </row>
        <row r="266">
          <cell r="A266" t="str">
            <v>RS18S</v>
          </cell>
          <cell r="B266">
            <v>906</v>
          </cell>
        </row>
        <row r="267">
          <cell r="A267" t="str">
            <v>RS21Z</v>
          </cell>
          <cell r="B267">
            <v>869</v>
          </cell>
        </row>
        <row r="268">
          <cell r="A268" t="str">
            <v>RS33R</v>
          </cell>
          <cell r="B268">
            <v>1463</v>
          </cell>
        </row>
        <row r="269">
          <cell r="A269" t="str">
            <v>RSS100</v>
          </cell>
          <cell r="B269">
            <v>687</v>
          </cell>
        </row>
        <row r="270">
          <cell r="A270" t="str">
            <v>R170B</v>
          </cell>
          <cell r="B270">
            <v>633</v>
          </cell>
        </row>
        <row r="271">
          <cell r="A271" t="str">
            <v>R170X</v>
          </cell>
          <cell r="B271">
            <v>995</v>
          </cell>
        </row>
        <row r="272">
          <cell r="A272" t="str">
            <v>R170M</v>
          </cell>
          <cell r="B272">
            <v>1424</v>
          </cell>
        </row>
        <row r="273">
          <cell r="A273" t="str">
            <v>RSSF3</v>
          </cell>
          <cell r="B273">
            <v>1509</v>
          </cell>
        </row>
        <row r="274">
          <cell r="A274" t="str">
            <v>TIDB1L</v>
          </cell>
          <cell r="B274">
            <v>380</v>
          </cell>
        </row>
        <row r="275">
          <cell r="A275" t="str">
            <v>TPD1L</v>
          </cell>
          <cell r="B275">
            <v>880</v>
          </cell>
        </row>
        <row r="276">
          <cell r="A276" t="str">
            <v>TPD1XL</v>
          </cell>
          <cell r="B276">
            <v>880</v>
          </cell>
        </row>
        <row r="277">
          <cell r="A277" t="str">
            <v>BD1L</v>
          </cell>
          <cell r="B277">
            <v>1800</v>
          </cell>
        </row>
        <row r="278">
          <cell r="A278" t="str">
            <v>BD1XXL</v>
          </cell>
          <cell r="B278">
            <v>1800</v>
          </cell>
        </row>
        <row r="279">
          <cell r="A279" t="str">
            <v>TDLE1M</v>
          </cell>
          <cell r="B279">
            <v>380</v>
          </cell>
        </row>
        <row r="280">
          <cell r="A280" t="str">
            <v>TDLE1L</v>
          </cell>
          <cell r="B280">
            <v>380</v>
          </cell>
        </row>
        <row r="281">
          <cell r="A281" t="str">
            <v>TDLE1XL</v>
          </cell>
          <cell r="B281">
            <v>380</v>
          </cell>
        </row>
        <row r="282">
          <cell r="A282" t="str">
            <v>TDLE1XXL</v>
          </cell>
          <cell r="B282">
            <v>380</v>
          </cell>
        </row>
        <row r="283">
          <cell r="A283" t="str">
            <v>TPDLE1M</v>
          </cell>
          <cell r="B283">
            <v>900</v>
          </cell>
        </row>
        <row r="284">
          <cell r="A284" t="str">
            <v>TPDLE1L</v>
          </cell>
          <cell r="B284">
            <v>900</v>
          </cell>
        </row>
        <row r="285">
          <cell r="A285" t="str">
            <v>TPDLE1XL</v>
          </cell>
          <cell r="B285">
            <v>900</v>
          </cell>
        </row>
        <row r="286">
          <cell r="A286" t="str">
            <v>TPDLE1XXL</v>
          </cell>
          <cell r="B286">
            <v>900</v>
          </cell>
        </row>
        <row r="287">
          <cell r="A287" t="str">
            <v>VDLE1M</v>
          </cell>
          <cell r="B287">
            <v>1830</v>
          </cell>
        </row>
        <row r="288">
          <cell r="A288" t="str">
            <v>VDLE1L</v>
          </cell>
          <cell r="B288">
            <v>1830</v>
          </cell>
        </row>
        <row r="289">
          <cell r="A289" t="str">
            <v>VDLE1XL</v>
          </cell>
          <cell r="B289">
            <v>1830</v>
          </cell>
        </row>
        <row r="290">
          <cell r="A290" t="str">
            <v>VDLE1XXL</v>
          </cell>
          <cell r="B290">
            <v>1830</v>
          </cell>
        </row>
        <row r="291">
          <cell r="A291" t="str">
            <v>BDLE1M</v>
          </cell>
          <cell r="B291">
            <v>2330</v>
          </cell>
        </row>
        <row r="292">
          <cell r="A292" t="str">
            <v>BDLE1L</v>
          </cell>
          <cell r="B292">
            <v>2330</v>
          </cell>
        </row>
        <row r="293">
          <cell r="A293" t="str">
            <v>BDLE1XL</v>
          </cell>
          <cell r="B293">
            <v>2330</v>
          </cell>
        </row>
        <row r="294">
          <cell r="A294" t="str">
            <v>BDLE1XXL</v>
          </cell>
          <cell r="B294">
            <v>2330</v>
          </cell>
        </row>
        <row r="295">
          <cell r="A295" t="str">
            <v>MDLE1M</v>
          </cell>
          <cell r="B295">
            <v>1780</v>
          </cell>
        </row>
        <row r="296">
          <cell r="A296" t="str">
            <v>MDLE1L</v>
          </cell>
          <cell r="B296">
            <v>1780</v>
          </cell>
        </row>
        <row r="297">
          <cell r="A297" t="str">
            <v>MDLE1XL</v>
          </cell>
          <cell r="B297">
            <v>1780</v>
          </cell>
        </row>
        <row r="298">
          <cell r="A298" t="str">
            <v>MDLE1XXL</v>
          </cell>
          <cell r="B298">
            <v>1780</v>
          </cell>
        </row>
        <row r="299">
          <cell r="A299" t="str">
            <v>MDLEZ1M</v>
          </cell>
          <cell r="B299">
            <v>1380</v>
          </cell>
        </row>
        <row r="300">
          <cell r="A300" t="str">
            <v>MDLEZ1L</v>
          </cell>
          <cell r="B300">
            <v>1380</v>
          </cell>
        </row>
        <row r="301">
          <cell r="A301" t="str">
            <v>MDLEZ1XL</v>
          </cell>
          <cell r="B301">
            <v>1380</v>
          </cell>
        </row>
        <row r="302">
          <cell r="A302" t="str">
            <v>MDLEZ1XXL</v>
          </cell>
          <cell r="B302">
            <v>1380</v>
          </cell>
        </row>
        <row r="303">
          <cell r="A303" t="str">
            <v>KDLE1</v>
          </cell>
          <cell r="B303">
            <v>300</v>
          </cell>
        </row>
        <row r="304">
          <cell r="A304" t="str">
            <v>CDLE1</v>
          </cell>
          <cell r="B304">
            <v>360</v>
          </cell>
        </row>
        <row r="305">
          <cell r="A305" t="str">
            <v>N1</v>
          </cell>
          <cell r="B305">
            <v>31</v>
          </cell>
        </row>
        <row r="306">
          <cell r="A306" t="str">
            <v>RUN1</v>
          </cell>
          <cell r="B306">
            <v>2199</v>
          </cell>
        </row>
        <row r="307">
          <cell r="A307" t="str">
            <v>RT1DU</v>
          </cell>
          <cell r="B307">
            <v>3500</v>
          </cell>
        </row>
        <row r="308">
          <cell r="A308" t="str">
            <v>PL1DU</v>
          </cell>
          <cell r="B308">
            <v>36</v>
          </cell>
        </row>
        <row r="309">
          <cell r="A309" t="str">
            <v>ZD1</v>
          </cell>
          <cell r="B309">
            <v>1880</v>
          </cell>
        </row>
        <row r="310">
          <cell r="A310" t="str">
            <v>UZD2</v>
          </cell>
          <cell r="B310">
            <v>175</v>
          </cell>
        </row>
        <row r="311">
          <cell r="A311" t="str">
            <v>ND1</v>
          </cell>
          <cell r="B311">
            <v>14</v>
          </cell>
        </row>
        <row r="312">
          <cell r="A312" t="str">
            <v>T1</v>
          </cell>
          <cell r="B312">
            <v>15</v>
          </cell>
        </row>
        <row r="313">
          <cell r="A313" t="str">
            <v>T2</v>
          </cell>
          <cell r="B313">
            <v>20</v>
          </cell>
        </row>
        <row r="314">
          <cell r="A314" t="str">
            <v>KK2023</v>
          </cell>
          <cell r="B314">
            <v>658</v>
          </cell>
        </row>
        <row r="315">
          <cell r="A315" t="str">
            <v>HD1</v>
          </cell>
          <cell r="B315">
            <v>320</v>
          </cell>
        </row>
        <row r="316">
          <cell r="A316" t="str">
            <v>PPMD1</v>
          </cell>
          <cell r="B316">
            <v>180</v>
          </cell>
        </row>
        <row r="317">
          <cell r="A317" t="str">
            <v>DD1</v>
          </cell>
          <cell r="B317">
            <v>1071</v>
          </cell>
        </row>
        <row r="318">
          <cell r="A318" t="str">
            <v>KKD1</v>
          </cell>
          <cell r="B318">
            <v>88</v>
          </cell>
        </row>
        <row r="319">
          <cell r="A319" t="str">
            <v>OZ4</v>
          </cell>
          <cell r="B319">
            <v>992</v>
          </cell>
          <cell r="C319">
            <v>870</v>
          </cell>
        </row>
        <row r="320">
          <cell r="A320" t="str">
            <v>ZS5M</v>
          </cell>
          <cell r="B320">
            <v>70</v>
          </cell>
        </row>
        <row r="321">
          <cell r="A321" t="str">
            <v>C2508R</v>
          </cell>
          <cell r="B321">
            <v>122</v>
          </cell>
        </row>
        <row r="322">
          <cell r="A322" t="str">
            <v>C10008R</v>
          </cell>
          <cell r="B322">
            <v>120</v>
          </cell>
        </row>
        <row r="323">
          <cell r="A323" t="str">
            <v>C30008R</v>
          </cell>
          <cell r="B323">
            <v>330</v>
          </cell>
        </row>
        <row r="324">
          <cell r="A324" t="str">
            <v>C100008R</v>
          </cell>
          <cell r="B324">
            <v>1182</v>
          </cell>
        </row>
        <row r="325">
          <cell r="A325" t="str">
            <v>C1008CC</v>
          </cell>
          <cell r="B325">
            <v>128</v>
          </cell>
        </row>
        <row r="326">
          <cell r="A326" t="str">
            <v>C1614E14</v>
          </cell>
          <cell r="B326">
            <v>106</v>
          </cell>
        </row>
        <row r="327">
          <cell r="A327" t="str">
            <v>C10014A</v>
          </cell>
          <cell r="B327">
            <v>592</v>
          </cell>
        </row>
        <row r="328">
          <cell r="A328" t="str">
            <v>C20814XPR14</v>
          </cell>
          <cell r="B328">
            <v>1628</v>
          </cell>
        </row>
        <row r="329">
          <cell r="A329" t="str">
            <v>C920L</v>
          </cell>
          <cell r="B329">
            <v>85</v>
          </cell>
        </row>
        <row r="330">
          <cell r="A330" t="str">
            <v>C920M</v>
          </cell>
          <cell r="B330">
            <v>85</v>
          </cell>
        </row>
        <row r="331">
          <cell r="A331" t="str">
            <v>C1620DU</v>
          </cell>
          <cell r="B331">
            <v>141</v>
          </cell>
        </row>
        <row r="332">
          <cell r="A332" t="str">
            <v>C1620DU(S)</v>
          </cell>
          <cell r="B332">
            <v>149</v>
          </cell>
        </row>
        <row r="333">
          <cell r="A333" t="str">
            <v>C1620DU(5)</v>
          </cell>
          <cell r="B333">
            <v>141</v>
          </cell>
        </row>
        <row r="334">
          <cell r="A334" t="str">
            <v>C1620BPF</v>
          </cell>
          <cell r="B334">
            <v>134</v>
          </cell>
        </row>
        <row r="335">
          <cell r="A335" t="str">
            <v>C1620H</v>
          </cell>
          <cell r="B335">
            <v>141</v>
          </cell>
        </row>
        <row r="336">
          <cell r="A336" t="str">
            <v>C1620N</v>
          </cell>
          <cell r="B336">
            <v>141</v>
          </cell>
        </row>
        <row r="337">
          <cell r="A337" t="str">
            <v>C1620M</v>
          </cell>
          <cell r="B337">
            <v>141</v>
          </cell>
        </row>
        <row r="338">
          <cell r="A338" t="str">
            <v>C1620F</v>
          </cell>
          <cell r="B338">
            <v>141</v>
          </cell>
        </row>
        <row r="339">
          <cell r="A339" t="str">
            <v>C1620H14</v>
          </cell>
          <cell r="B339">
            <v>141</v>
          </cell>
        </row>
        <row r="340">
          <cell r="A340" t="str">
            <v>C1620N14</v>
          </cell>
          <cell r="B340">
            <v>141</v>
          </cell>
        </row>
        <row r="341">
          <cell r="A341" t="str">
            <v>C1620M14</v>
          </cell>
          <cell r="B341">
            <v>141</v>
          </cell>
        </row>
        <row r="342">
          <cell r="A342" t="str">
            <v>C1620F14</v>
          </cell>
          <cell r="B342">
            <v>141</v>
          </cell>
        </row>
        <row r="343">
          <cell r="A343" t="str">
            <v>CX1620D</v>
          </cell>
          <cell r="B343">
            <v>177</v>
          </cell>
        </row>
        <row r="344">
          <cell r="A344" t="str">
            <v>CX1620X</v>
          </cell>
          <cell r="B344">
            <v>177</v>
          </cell>
        </row>
        <row r="345">
          <cell r="A345" t="str">
            <v>C2520BP</v>
          </cell>
          <cell r="B345">
            <v>201</v>
          </cell>
        </row>
        <row r="346">
          <cell r="A346" t="str">
            <v>C2520SIG</v>
          </cell>
          <cell r="B346">
            <v>312</v>
          </cell>
        </row>
        <row r="347">
          <cell r="A347" t="str">
            <v>C2520Z</v>
          </cell>
          <cell r="B347">
            <v>214</v>
          </cell>
        </row>
        <row r="348">
          <cell r="A348" t="str">
            <v>C2520DI</v>
          </cell>
          <cell r="B348">
            <v>214</v>
          </cell>
        </row>
        <row r="349">
          <cell r="A349" t="str">
            <v>C2520T</v>
          </cell>
          <cell r="B349">
            <v>214</v>
          </cell>
        </row>
        <row r="350">
          <cell r="A350" t="str">
            <v>C2520SE</v>
          </cell>
          <cell r="B350">
            <v>214</v>
          </cell>
        </row>
        <row r="351">
          <cell r="A351" t="str">
            <v>C2520ST</v>
          </cell>
          <cell r="B351">
            <v>214</v>
          </cell>
        </row>
        <row r="352">
          <cell r="A352" t="str">
            <v>C2520SL</v>
          </cell>
          <cell r="B352">
            <v>214</v>
          </cell>
        </row>
        <row r="353">
          <cell r="A353" t="str">
            <v>C2520R</v>
          </cell>
          <cell r="B353">
            <v>214</v>
          </cell>
        </row>
        <row r="354">
          <cell r="A354" t="str">
            <v>C2520VI</v>
          </cell>
          <cell r="B354">
            <v>214</v>
          </cell>
        </row>
        <row r="355">
          <cell r="A355" t="str">
            <v>C2520DI14</v>
          </cell>
          <cell r="B355">
            <v>214</v>
          </cell>
        </row>
        <row r="356">
          <cell r="A356" t="str">
            <v>C2520T14</v>
          </cell>
          <cell r="B356">
            <v>214</v>
          </cell>
        </row>
        <row r="357">
          <cell r="A357" t="str">
            <v>C2520SE14</v>
          </cell>
          <cell r="B357">
            <v>214</v>
          </cell>
        </row>
        <row r="358">
          <cell r="A358" t="str">
            <v>C4920BPF</v>
          </cell>
          <cell r="B358">
            <v>399</v>
          </cell>
        </row>
        <row r="359">
          <cell r="A359" t="str">
            <v>C4920NID</v>
          </cell>
          <cell r="B359">
            <v>414</v>
          </cell>
        </row>
        <row r="360">
          <cell r="A360" t="str">
            <v>C4920SIG</v>
          </cell>
          <cell r="B360">
            <v>522</v>
          </cell>
        </row>
        <row r="361">
          <cell r="A361" t="str">
            <v>C4920DR</v>
          </cell>
          <cell r="B361">
            <v>414</v>
          </cell>
        </row>
        <row r="362">
          <cell r="A362" t="str">
            <v>C4920K</v>
          </cell>
          <cell r="B362">
            <v>414</v>
          </cell>
        </row>
        <row r="363">
          <cell r="A363" t="str">
            <v>C4920S</v>
          </cell>
          <cell r="B363">
            <v>414</v>
          </cell>
        </row>
        <row r="364">
          <cell r="A364" t="str">
            <v>C4920SIG14</v>
          </cell>
          <cell r="B364">
            <v>522</v>
          </cell>
        </row>
        <row r="365">
          <cell r="A365" t="str">
            <v>C4920DR14</v>
          </cell>
          <cell r="B365">
            <v>414</v>
          </cell>
        </row>
        <row r="366">
          <cell r="A366" t="str">
            <v>C4920S14</v>
          </cell>
          <cell r="B366">
            <v>414</v>
          </cell>
        </row>
        <row r="367">
          <cell r="A367" t="str">
            <v>CF4920G</v>
          </cell>
          <cell r="B367">
            <v>496</v>
          </cell>
        </row>
        <row r="368">
          <cell r="A368" t="str">
            <v>CF4920J</v>
          </cell>
          <cell r="B368">
            <v>496</v>
          </cell>
        </row>
        <row r="369">
          <cell r="A369" t="str">
            <v>CF4920A</v>
          </cell>
          <cell r="B369">
            <v>496</v>
          </cell>
        </row>
        <row r="370">
          <cell r="A370" t="str">
            <v>CF4920VIP</v>
          </cell>
          <cell r="B370">
            <v>496</v>
          </cell>
        </row>
        <row r="371">
          <cell r="A371" t="str">
            <v>CF4920G14</v>
          </cell>
          <cell r="B371">
            <v>496</v>
          </cell>
        </row>
        <row r="372">
          <cell r="A372" t="str">
            <v>C6420BPW</v>
          </cell>
          <cell r="B372">
            <v>514</v>
          </cell>
        </row>
        <row r="373">
          <cell r="A373" t="str">
            <v>C6420B</v>
          </cell>
          <cell r="B373">
            <v>520</v>
          </cell>
        </row>
        <row r="374">
          <cell r="A374" t="str">
            <v>C6420G</v>
          </cell>
          <cell r="B374">
            <v>520</v>
          </cell>
        </row>
        <row r="375">
          <cell r="A375" t="str">
            <v>C6420D</v>
          </cell>
          <cell r="B375">
            <v>520</v>
          </cell>
        </row>
        <row r="376">
          <cell r="A376" t="str">
            <v>C6420G14</v>
          </cell>
          <cell r="B376">
            <v>520</v>
          </cell>
        </row>
        <row r="377">
          <cell r="A377" t="str">
            <v>C6420D14</v>
          </cell>
          <cell r="B377">
            <v>520</v>
          </cell>
        </row>
        <row r="378">
          <cell r="A378" t="str">
            <v>C6620SIG</v>
          </cell>
          <cell r="B378">
            <v>788</v>
          </cell>
        </row>
        <row r="379">
          <cell r="A379" t="str">
            <v>C6620P</v>
          </cell>
          <cell r="B379">
            <v>729</v>
          </cell>
        </row>
        <row r="380">
          <cell r="A380" t="str">
            <v>C6620L</v>
          </cell>
          <cell r="B380">
            <v>729</v>
          </cell>
        </row>
        <row r="381">
          <cell r="A381" t="str">
            <v>C6620P14</v>
          </cell>
          <cell r="B381">
            <v>729</v>
          </cell>
        </row>
        <row r="382">
          <cell r="A382" t="str">
            <v>C6620L14</v>
          </cell>
          <cell r="B382">
            <v>729</v>
          </cell>
        </row>
        <row r="383">
          <cell r="A383" t="str">
            <v>C9020SIG</v>
          </cell>
          <cell r="B383">
            <v>818</v>
          </cell>
        </row>
        <row r="384">
          <cell r="A384" t="str">
            <v>C9020V</v>
          </cell>
          <cell r="B384">
            <v>725</v>
          </cell>
        </row>
        <row r="385">
          <cell r="A385" t="str">
            <v>C9020X</v>
          </cell>
          <cell r="B385">
            <v>725</v>
          </cell>
        </row>
        <row r="386">
          <cell r="A386" t="str">
            <v>C10020BP14</v>
          </cell>
          <cell r="B386">
            <v>778</v>
          </cell>
        </row>
        <row r="387">
          <cell r="A387" t="str">
            <v>C10020BPF14</v>
          </cell>
          <cell r="B387">
            <v>778</v>
          </cell>
        </row>
        <row r="388">
          <cell r="A388" t="str">
            <v>C10020BPS14</v>
          </cell>
          <cell r="B388">
            <v>778</v>
          </cell>
        </row>
        <row r="389">
          <cell r="A389" t="str">
            <v>C10020NID14</v>
          </cell>
          <cell r="B389">
            <v>797</v>
          </cell>
        </row>
        <row r="390">
          <cell r="A390" t="str">
            <v>C10020XBPW14</v>
          </cell>
          <cell r="B390">
            <v>915</v>
          </cell>
        </row>
        <row r="391">
          <cell r="A391" t="str">
            <v>C10020XBP14</v>
          </cell>
          <cell r="B391">
            <v>915</v>
          </cell>
        </row>
        <row r="392">
          <cell r="A392" t="str">
            <v>C10020XTS14</v>
          </cell>
          <cell r="B392">
            <v>926</v>
          </cell>
        </row>
        <row r="393">
          <cell r="A393" t="str">
            <v>C10020XPR14</v>
          </cell>
          <cell r="B393">
            <v>926</v>
          </cell>
        </row>
        <row r="394">
          <cell r="A394" t="str">
            <v>CF10020P</v>
          </cell>
          <cell r="B394">
            <v>1060</v>
          </cell>
        </row>
        <row r="395">
          <cell r="A395" t="str">
            <v>CF10020G</v>
          </cell>
          <cell r="B395">
            <v>1060</v>
          </cell>
        </row>
        <row r="396">
          <cell r="A396" t="str">
            <v>C13020BP</v>
          </cell>
          <cell r="B396">
            <v>1041</v>
          </cell>
        </row>
        <row r="397">
          <cell r="A397" t="str">
            <v>C13020M</v>
          </cell>
          <cell r="B397">
            <v>1080</v>
          </cell>
        </row>
        <row r="398">
          <cell r="A398" t="str">
            <v>C13020B</v>
          </cell>
          <cell r="B398">
            <v>1080</v>
          </cell>
        </row>
        <row r="399">
          <cell r="A399" t="str">
            <v>C13420B</v>
          </cell>
          <cell r="B399">
            <v>1545</v>
          </cell>
        </row>
        <row r="400">
          <cell r="A400" t="str">
            <v>C13420H</v>
          </cell>
          <cell r="B400">
            <v>1545</v>
          </cell>
        </row>
        <row r="401">
          <cell r="A401" t="str">
            <v>C20020BP</v>
          </cell>
          <cell r="B401">
            <v>1594</v>
          </cell>
        </row>
        <row r="402">
          <cell r="A402" t="str">
            <v>C20020BPF</v>
          </cell>
          <cell r="B402">
            <v>1594</v>
          </cell>
        </row>
        <row r="403">
          <cell r="A403" t="str">
            <v>C20020BPS</v>
          </cell>
          <cell r="B403">
            <v>1594</v>
          </cell>
        </row>
        <row r="404">
          <cell r="A404" t="str">
            <v>C20020PR</v>
          </cell>
          <cell r="B404">
            <v>1634</v>
          </cell>
        </row>
        <row r="405">
          <cell r="A405" t="str">
            <v>C20020XBP</v>
          </cell>
          <cell r="B405">
            <v>1898</v>
          </cell>
        </row>
        <row r="406">
          <cell r="A406" t="str">
            <v>C20020XBPW</v>
          </cell>
          <cell r="B406">
            <v>1898</v>
          </cell>
        </row>
        <row r="407">
          <cell r="A407" t="str">
            <v>C20020XPR</v>
          </cell>
          <cell r="B407">
            <v>1979</v>
          </cell>
        </row>
        <row r="408">
          <cell r="A408" t="str">
            <v>C12820F/C14</v>
          </cell>
          <cell r="B408">
            <v>1367</v>
          </cell>
        </row>
        <row r="409">
          <cell r="A409" t="str">
            <v>C13220B/C14</v>
          </cell>
          <cell r="B409">
            <v>1896</v>
          </cell>
        </row>
        <row r="410">
          <cell r="A410" t="str">
            <v>C13220TS/C14</v>
          </cell>
          <cell r="B410">
            <v>1896</v>
          </cell>
        </row>
        <row r="411">
          <cell r="A411" t="str">
            <v>C20020XPR/C14</v>
          </cell>
          <cell r="B411">
            <v>2095</v>
          </cell>
        </row>
        <row r="412">
          <cell r="A412" t="str">
            <v>C20020XTS/C14</v>
          </cell>
          <cell r="B412">
            <v>2095</v>
          </cell>
        </row>
        <row r="413">
          <cell r="A413" t="str">
            <v>C19220F/C14</v>
          </cell>
          <cell r="B413">
            <v>1912</v>
          </cell>
        </row>
        <row r="414">
          <cell r="A414" t="str">
            <v>C25220XFS/C14</v>
          </cell>
          <cell r="B414">
            <v>3336</v>
          </cell>
        </row>
        <row r="415">
          <cell r="A415" t="str">
            <v>C25620F/C14</v>
          </cell>
          <cell r="B415">
            <v>2631</v>
          </cell>
        </row>
        <row r="416">
          <cell r="A416" t="str">
            <v>C26420N/C14</v>
          </cell>
          <cell r="B416">
            <v>3554</v>
          </cell>
        </row>
        <row r="417">
          <cell r="A417" t="str">
            <v>C40020XPR/C14</v>
          </cell>
          <cell r="B417">
            <v>4476</v>
          </cell>
        </row>
        <row r="418">
          <cell r="A418" t="str">
            <v>C12820F/C14(T)</v>
          </cell>
          <cell r="B418">
            <v>1532</v>
          </cell>
        </row>
        <row r="419">
          <cell r="A419" t="str">
            <v>C13220B/C14(T)</v>
          </cell>
          <cell r="B419">
            <v>2124</v>
          </cell>
        </row>
        <row r="420">
          <cell r="A420" t="str">
            <v>C13220TS/C14(T)</v>
          </cell>
          <cell r="B420">
            <v>2124</v>
          </cell>
        </row>
        <row r="421">
          <cell r="A421" t="str">
            <v>C20020XPR/C14(T)</v>
          </cell>
          <cell r="B421">
            <v>2347</v>
          </cell>
        </row>
        <row r="422">
          <cell r="A422" t="str">
            <v>C20020XTS/C14(T)</v>
          </cell>
          <cell r="B422">
            <v>2347</v>
          </cell>
        </row>
        <row r="423">
          <cell r="A423" t="str">
            <v>C19220F/C14(T)</v>
          </cell>
          <cell r="B423">
            <v>2142</v>
          </cell>
        </row>
        <row r="424">
          <cell r="A424" t="str">
            <v>C25220XFS/C14(T)</v>
          </cell>
          <cell r="B424">
            <v>3737</v>
          </cell>
        </row>
        <row r="425">
          <cell r="A425" t="str">
            <v>C25620F/C14(T)</v>
          </cell>
          <cell r="B425">
            <v>2947</v>
          </cell>
        </row>
        <row r="426">
          <cell r="A426" t="str">
            <v>C26420N/C14(T)</v>
          </cell>
          <cell r="B426">
            <v>3981</v>
          </cell>
        </row>
        <row r="427">
          <cell r="A427" t="str">
            <v>C40020XPR/C14(T)</v>
          </cell>
          <cell r="B427">
            <v>5014</v>
          </cell>
        </row>
        <row r="428">
          <cell r="A428" t="str">
            <v>C6420DU/C</v>
          </cell>
          <cell r="B428">
            <v>705</v>
          </cell>
        </row>
        <row r="429">
          <cell r="A429" t="str">
            <v>C12820F/C</v>
          </cell>
          <cell r="B429">
            <v>1367</v>
          </cell>
        </row>
        <row r="430">
          <cell r="A430" t="str">
            <v>C12820NID/C</v>
          </cell>
          <cell r="B430">
            <v>1367</v>
          </cell>
        </row>
        <row r="431">
          <cell r="A431" t="str">
            <v>C13220B/C</v>
          </cell>
          <cell r="B431">
            <v>1896</v>
          </cell>
        </row>
        <row r="432">
          <cell r="A432" t="str">
            <v>C19220F/C</v>
          </cell>
          <cell r="B432">
            <v>1912</v>
          </cell>
        </row>
        <row r="433">
          <cell r="A433" t="str">
            <v>C19620SIG/C</v>
          </cell>
          <cell r="B433">
            <v>2265</v>
          </cell>
        </row>
        <row r="434">
          <cell r="A434" t="str">
            <v>C25220XFS/C</v>
          </cell>
          <cell r="B434">
            <v>3336</v>
          </cell>
        </row>
        <row r="435">
          <cell r="A435" t="str">
            <v>C25620F/C</v>
          </cell>
          <cell r="B435">
            <v>2631</v>
          </cell>
        </row>
        <row r="436">
          <cell r="A436" t="str">
            <v>C26420N/C</v>
          </cell>
          <cell r="B436">
            <v>3554</v>
          </cell>
        </row>
        <row r="437">
          <cell r="A437" t="str">
            <v>C12820F/C(T)</v>
          </cell>
          <cell r="B437">
            <v>1532</v>
          </cell>
        </row>
        <row r="438">
          <cell r="A438" t="str">
            <v>C12820NID/C(T)</v>
          </cell>
          <cell r="B438">
            <v>1532</v>
          </cell>
        </row>
        <row r="439">
          <cell r="A439" t="str">
            <v>C13220B/C(T)</v>
          </cell>
          <cell r="B439">
            <v>2124</v>
          </cell>
        </row>
        <row r="440">
          <cell r="A440" t="str">
            <v>C19220F/C(T)</v>
          </cell>
          <cell r="B440">
            <v>2142</v>
          </cell>
        </row>
        <row r="441">
          <cell r="A441" t="str">
            <v>C19620SIG/C(T)</v>
          </cell>
          <cell r="B441">
            <v>2537</v>
          </cell>
        </row>
        <row r="442">
          <cell r="A442" t="str">
            <v>C25220XFS/C(T)</v>
          </cell>
          <cell r="B442">
            <v>3737</v>
          </cell>
        </row>
        <row r="443">
          <cell r="A443" t="str">
            <v>C25620F/C(T)</v>
          </cell>
          <cell r="B443">
            <v>2947</v>
          </cell>
        </row>
        <row r="444">
          <cell r="A444" t="str">
            <v>C26420N/C(T)</v>
          </cell>
          <cell r="B444">
            <v>3981</v>
          </cell>
        </row>
        <row r="445">
          <cell r="A445" t="str">
            <v>C18020SIG/C</v>
          </cell>
          <cell r="B445">
            <v>2089</v>
          </cell>
        </row>
        <row r="446">
          <cell r="A446" t="str">
            <v>C26020F/C</v>
          </cell>
          <cell r="B446">
            <v>2591</v>
          </cell>
        </row>
        <row r="447">
          <cell r="A447" t="str">
            <v>C26020NID/C</v>
          </cell>
          <cell r="B447">
            <v>2591</v>
          </cell>
        </row>
        <row r="448">
          <cell r="A448" t="str">
            <v>C26820F/C</v>
          </cell>
          <cell r="B448">
            <v>3248</v>
          </cell>
        </row>
        <row r="449">
          <cell r="A449" t="str">
            <v>C39020F/C</v>
          </cell>
          <cell r="B449">
            <v>3494</v>
          </cell>
        </row>
        <row r="450">
          <cell r="A450" t="str">
            <v>C52020F/C</v>
          </cell>
          <cell r="B450">
            <v>5290</v>
          </cell>
        </row>
        <row r="451">
          <cell r="A451" t="str">
            <v>C53620F/C</v>
          </cell>
          <cell r="B451">
            <v>6809</v>
          </cell>
        </row>
        <row r="452">
          <cell r="A452" t="str">
            <v>C60020XPR/C</v>
          </cell>
          <cell r="B452">
            <v>7198</v>
          </cell>
        </row>
        <row r="453">
          <cell r="A453" t="str">
            <v>C18020SIG/C(T)</v>
          </cell>
          <cell r="B453">
            <v>2340</v>
          </cell>
        </row>
        <row r="454">
          <cell r="A454" t="str">
            <v>C26020F/C(T)</v>
          </cell>
          <cell r="B454">
            <v>2902</v>
          </cell>
        </row>
        <row r="455">
          <cell r="A455" t="str">
            <v>C26020NID/C(T)</v>
          </cell>
          <cell r="B455">
            <v>2902</v>
          </cell>
        </row>
        <row r="456">
          <cell r="A456" t="str">
            <v>C26820F/C(T)</v>
          </cell>
          <cell r="B456">
            <v>3638</v>
          </cell>
        </row>
        <row r="457">
          <cell r="A457" t="str">
            <v>C39020F/C(T)</v>
          </cell>
          <cell r="B457">
            <v>3914</v>
          </cell>
        </row>
        <row r="458">
          <cell r="A458" t="str">
            <v>C52020F/C(T)</v>
          </cell>
          <cell r="B458">
            <v>5925</v>
          </cell>
        </row>
        <row r="459">
          <cell r="A459" t="str">
            <v>C53620F/C(T)</v>
          </cell>
          <cell r="B459">
            <v>7627</v>
          </cell>
        </row>
        <row r="460">
          <cell r="A460" t="str">
            <v>C1625B</v>
          </cell>
          <cell r="B460">
            <v>229</v>
          </cell>
        </row>
        <row r="461">
          <cell r="A461" t="str">
            <v>C1625D</v>
          </cell>
          <cell r="B461">
            <v>229</v>
          </cell>
        </row>
        <row r="462">
          <cell r="A462" t="str">
            <v>C1625F</v>
          </cell>
          <cell r="B462">
            <v>229</v>
          </cell>
        </row>
        <row r="463">
          <cell r="A463" t="str">
            <v>C1625G</v>
          </cell>
          <cell r="B463">
            <v>229</v>
          </cell>
        </row>
        <row r="464">
          <cell r="A464" t="str">
            <v>C1625B14</v>
          </cell>
          <cell r="B464">
            <v>229</v>
          </cell>
        </row>
        <row r="465">
          <cell r="A465" t="str">
            <v>C1625D14</v>
          </cell>
          <cell r="B465">
            <v>229</v>
          </cell>
        </row>
        <row r="466">
          <cell r="A466" t="str">
            <v>C1625F14</v>
          </cell>
          <cell r="B466">
            <v>229</v>
          </cell>
        </row>
        <row r="467">
          <cell r="A467" t="str">
            <v>C2525BPW</v>
          </cell>
          <cell r="B467">
            <v>334</v>
          </cell>
        </row>
        <row r="468">
          <cell r="A468" t="str">
            <v>C2525SIG</v>
          </cell>
          <cell r="B468">
            <v>398</v>
          </cell>
        </row>
        <row r="469">
          <cell r="A469" t="str">
            <v>C2525DU</v>
          </cell>
          <cell r="B469">
            <v>345</v>
          </cell>
        </row>
        <row r="470">
          <cell r="A470" t="str">
            <v>C2525C</v>
          </cell>
          <cell r="B470">
            <v>345</v>
          </cell>
        </row>
        <row r="471">
          <cell r="A471" t="str">
            <v>C2525L</v>
          </cell>
          <cell r="B471">
            <v>345</v>
          </cell>
        </row>
        <row r="472">
          <cell r="A472" t="str">
            <v>C2525SC14</v>
          </cell>
          <cell r="B472">
            <v>680</v>
          </cell>
        </row>
        <row r="473">
          <cell r="A473" t="str">
            <v>CF2525D</v>
          </cell>
          <cell r="B473">
            <v>429</v>
          </cell>
        </row>
        <row r="474">
          <cell r="A474" t="str">
            <v>CF2525O</v>
          </cell>
          <cell r="B474">
            <v>429</v>
          </cell>
        </row>
        <row r="475">
          <cell r="A475" t="str">
            <v>CF2525S</v>
          </cell>
          <cell r="B475">
            <v>429</v>
          </cell>
        </row>
        <row r="476">
          <cell r="A476" t="str">
            <v>C4825MP</v>
          </cell>
          <cell r="B476">
            <v>678</v>
          </cell>
        </row>
        <row r="477">
          <cell r="A477" t="str">
            <v>C4925G</v>
          </cell>
          <cell r="B477">
            <v>671</v>
          </cell>
        </row>
        <row r="478">
          <cell r="A478" t="str">
            <v>C4925P</v>
          </cell>
          <cell r="B478">
            <v>671</v>
          </cell>
        </row>
        <row r="479">
          <cell r="A479" t="str">
            <v>C4925V</v>
          </cell>
          <cell r="B479">
            <v>671</v>
          </cell>
        </row>
        <row r="480">
          <cell r="A480" t="str">
            <v>C4925BP14</v>
          </cell>
          <cell r="B480">
            <v>659</v>
          </cell>
        </row>
        <row r="481">
          <cell r="A481" t="str">
            <v>C4925NO14</v>
          </cell>
          <cell r="B481">
            <v>728</v>
          </cell>
        </row>
        <row r="482">
          <cell r="A482" t="str">
            <v>C4925V14</v>
          </cell>
          <cell r="B482">
            <v>671</v>
          </cell>
        </row>
        <row r="483">
          <cell r="A483" t="str">
            <v>C4925SIG</v>
          </cell>
          <cell r="B483">
            <v>980</v>
          </cell>
        </row>
        <row r="484">
          <cell r="A484" t="str">
            <v>C4925D</v>
          </cell>
          <cell r="B484">
            <v>671</v>
          </cell>
        </row>
        <row r="485">
          <cell r="A485" t="str">
            <v>C4925VS</v>
          </cell>
          <cell r="B485">
            <v>678</v>
          </cell>
        </row>
        <row r="486">
          <cell r="A486" t="str">
            <v>CF4925S</v>
          </cell>
          <cell r="B486">
            <v>831</v>
          </cell>
        </row>
        <row r="487">
          <cell r="A487" t="str">
            <v>CF4925D</v>
          </cell>
          <cell r="B487">
            <v>849</v>
          </cell>
        </row>
        <row r="488">
          <cell r="A488" t="str">
            <v>CF4925B</v>
          </cell>
          <cell r="B488">
            <v>831</v>
          </cell>
        </row>
        <row r="489">
          <cell r="A489" t="str">
            <v>C6425XPT</v>
          </cell>
          <cell r="B489">
            <v>1099</v>
          </cell>
        </row>
        <row r="490">
          <cell r="A490" t="str">
            <v>C8825M</v>
          </cell>
          <cell r="B490">
            <v>1289</v>
          </cell>
        </row>
        <row r="491">
          <cell r="A491" t="str">
            <v>C8825G</v>
          </cell>
          <cell r="B491">
            <v>1289</v>
          </cell>
        </row>
        <row r="492">
          <cell r="A492" t="str">
            <v>C8825PA</v>
          </cell>
          <cell r="B492">
            <v>1289</v>
          </cell>
        </row>
        <row r="493">
          <cell r="A493" t="str">
            <v>C8825BR</v>
          </cell>
          <cell r="B493">
            <v>1289</v>
          </cell>
        </row>
        <row r="494">
          <cell r="A494" t="str">
            <v>C8925B</v>
          </cell>
          <cell r="B494">
            <v>1591</v>
          </cell>
        </row>
        <row r="495">
          <cell r="A495" t="str">
            <v>C8925N</v>
          </cell>
          <cell r="B495">
            <v>1591</v>
          </cell>
        </row>
        <row r="496">
          <cell r="A496" t="str">
            <v>C10025BP</v>
          </cell>
          <cell r="B496">
            <v>1363</v>
          </cell>
        </row>
        <row r="497">
          <cell r="A497" t="str">
            <v>C10025BPS</v>
          </cell>
          <cell r="B497">
            <v>1363</v>
          </cell>
        </row>
        <row r="498">
          <cell r="A498" t="str">
            <v>C10025PR1</v>
          </cell>
          <cell r="B498">
            <v>1391</v>
          </cell>
        </row>
        <row r="499">
          <cell r="A499" t="str">
            <v>C10025PR2</v>
          </cell>
          <cell r="B499">
            <v>1391</v>
          </cell>
        </row>
        <row r="500">
          <cell r="A500" t="str">
            <v>C10025I</v>
          </cell>
          <cell r="B500">
            <v>1391</v>
          </cell>
        </row>
        <row r="501">
          <cell r="A501" t="str">
            <v>C9625MF/C14</v>
          </cell>
          <cell r="B501">
            <v>1872</v>
          </cell>
        </row>
        <row r="502">
          <cell r="A502" t="str">
            <v>C9825C/C14</v>
          </cell>
          <cell r="B502">
            <v>1786</v>
          </cell>
        </row>
        <row r="503">
          <cell r="A503" t="str">
            <v>C9825SIG/C14</v>
          </cell>
          <cell r="B503">
            <v>2098</v>
          </cell>
        </row>
        <row r="504">
          <cell r="A504" t="str">
            <v>C10025BPW/C14</v>
          </cell>
          <cell r="B504">
            <v>1750</v>
          </cell>
        </row>
        <row r="505">
          <cell r="A505" t="str">
            <v>C14025XFS/C14</v>
          </cell>
          <cell r="B505">
            <v>2916</v>
          </cell>
        </row>
        <row r="506">
          <cell r="A506" t="str">
            <v>C19225MF/C14</v>
          </cell>
          <cell r="B506">
            <v>3425</v>
          </cell>
        </row>
        <row r="507">
          <cell r="A507" t="str">
            <v>C19625/C14</v>
          </cell>
          <cell r="B507">
            <v>3255</v>
          </cell>
        </row>
        <row r="508">
          <cell r="A508" t="str">
            <v>C9625MF/C14(T)</v>
          </cell>
          <cell r="B508">
            <v>2097</v>
          </cell>
        </row>
        <row r="509">
          <cell r="A509" t="str">
            <v>C9825C/C14(T)</v>
          </cell>
          <cell r="B509">
            <v>2001</v>
          </cell>
        </row>
        <row r="510">
          <cell r="A510" t="str">
            <v>C9825SIG/C14(T)</v>
          </cell>
          <cell r="B510">
            <v>2350</v>
          </cell>
        </row>
        <row r="511">
          <cell r="A511" t="str">
            <v>C14025XFS/C14(T)</v>
          </cell>
          <cell r="B511">
            <v>3266</v>
          </cell>
        </row>
        <row r="512">
          <cell r="A512" t="str">
            <v>C19225MF/C14(T)</v>
          </cell>
          <cell r="B512">
            <v>3836</v>
          </cell>
        </row>
        <row r="513">
          <cell r="A513" t="str">
            <v>C19625/C14(T)</v>
          </cell>
          <cell r="B513">
            <v>3646</v>
          </cell>
        </row>
        <row r="514">
          <cell r="A514" t="str">
            <v>C9825C/C</v>
          </cell>
          <cell r="B514">
            <v>1736</v>
          </cell>
        </row>
        <row r="515">
          <cell r="A515" t="str">
            <v>C14025XFS/C</v>
          </cell>
          <cell r="B515">
            <v>2916</v>
          </cell>
        </row>
        <row r="516">
          <cell r="A516" t="str">
            <v>C19625F/C</v>
          </cell>
          <cell r="B516">
            <v>3255</v>
          </cell>
        </row>
        <row r="517">
          <cell r="A517" t="str">
            <v>C9825C/C(T)</v>
          </cell>
          <cell r="B517">
            <v>1945</v>
          </cell>
        </row>
        <row r="518">
          <cell r="A518" t="str">
            <v>C14025XFS/C(T)</v>
          </cell>
          <cell r="B518">
            <v>3266</v>
          </cell>
        </row>
        <row r="519">
          <cell r="A519" t="str">
            <v>C19625F/C(T)</v>
          </cell>
          <cell r="B519">
            <v>3646</v>
          </cell>
        </row>
        <row r="520">
          <cell r="A520" t="str">
            <v>C9825SIG/C</v>
          </cell>
          <cell r="B520">
            <v>1827</v>
          </cell>
        </row>
        <row r="521">
          <cell r="A521" t="str">
            <v>C17825W/C</v>
          </cell>
          <cell r="B521">
            <v>3368</v>
          </cell>
        </row>
        <row r="522">
          <cell r="A522" t="str">
            <v>C20025F/C</v>
          </cell>
          <cell r="B522">
            <v>2930</v>
          </cell>
        </row>
        <row r="523">
          <cell r="A523" t="str">
            <v>C20025BPS/C</v>
          </cell>
          <cell r="B523">
            <v>2889</v>
          </cell>
        </row>
        <row r="524">
          <cell r="A524" t="str">
            <v>C30025F/C</v>
          </cell>
          <cell r="B524">
            <v>4611</v>
          </cell>
        </row>
        <row r="525">
          <cell r="A525" t="str">
            <v>C30025BPW/C</v>
          </cell>
          <cell r="B525">
            <v>4489</v>
          </cell>
        </row>
        <row r="526">
          <cell r="A526" t="str">
            <v>C40025F/C</v>
          </cell>
          <cell r="B526">
            <v>5880</v>
          </cell>
        </row>
        <row r="527">
          <cell r="A527" t="str">
            <v>C9825SIG/C(T)</v>
          </cell>
          <cell r="B527">
            <v>2047</v>
          </cell>
        </row>
        <row r="528">
          <cell r="A528" t="str">
            <v>C17825W/C(T)</v>
          </cell>
          <cell r="B528">
            <v>3773</v>
          </cell>
        </row>
        <row r="529">
          <cell r="A529" t="str">
            <v>C20025F/C(T)</v>
          </cell>
          <cell r="B529">
            <v>3282</v>
          </cell>
        </row>
        <row r="530">
          <cell r="A530" t="str">
            <v>C30025F/C(T)</v>
          </cell>
          <cell r="B530">
            <v>5165</v>
          </cell>
        </row>
        <row r="531">
          <cell r="A531" t="str">
            <v>C30025BPW/C(T)</v>
          </cell>
          <cell r="B531">
            <v>5028</v>
          </cell>
        </row>
        <row r="532">
          <cell r="A532" t="str">
            <v>C40025F/C(T)</v>
          </cell>
          <cell r="B532">
            <v>6586</v>
          </cell>
        </row>
        <row r="533">
          <cell r="A533" t="str">
            <v>C163BP</v>
          </cell>
          <cell r="B533">
            <v>305</v>
          </cell>
        </row>
        <row r="534">
          <cell r="A534" t="str">
            <v>C163SIG</v>
          </cell>
          <cell r="B534">
            <v>394</v>
          </cell>
        </row>
        <row r="535">
          <cell r="A535" t="str">
            <v>C163A</v>
          </cell>
          <cell r="B535">
            <v>340</v>
          </cell>
        </row>
        <row r="536">
          <cell r="A536" t="str">
            <v>C163B</v>
          </cell>
          <cell r="B536">
            <v>340</v>
          </cell>
        </row>
        <row r="537">
          <cell r="A537" t="str">
            <v>C163L</v>
          </cell>
          <cell r="B537">
            <v>340</v>
          </cell>
        </row>
        <row r="538">
          <cell r="A538" t="str">
            <v>C163E</v>
          </cell>
          <cell r="B538">
            <v>340</v>
          </cell>
        </row>
        <row r="539">
          <cell r="A539" t="str">
            <v>C163K</v>
          </cell>
          <cell r="B539">
            <v>340</v>
          </cell>
        </row>
        <row r="540">
          <cell r="A540" t="str">
            <v>C163A14</v>
          </cell>
          <cell r="B540">
            <v>340</v>
          </cell>
        </row>
        <row r="541">
          <cell r="A541" t="str">
            <v>C193BP</v>
          </cell>
          <cell r="B541">
            <v>409</v>
          </cell>
        </row>
        <row r="542">
          <cell r="A542" t="str">
            <v>C193C</v>
          </cell>
          <cell r="B542">
            <v>415</v>
          </cell>
        </row>
        <row r="543">
          <cell r="A543" t="str">
            <v>C193D</v>
          </cell>
          <cell r="B543">
            <v>415</v>
          </cell>
        </row>
        <row r="544">
          <cell r="A544" t="str">
            <v>C193J</v>
          </cell>
          <cell r="B544">
            <v>415</v>
          </cell>
        </row>
        <row r="545">
          <cell r="A545" t="str">
            <v>C193F</v>
          </cell>
          <cell r="B545">
            <v>415</v>
          </cell>
        </row>
        <row r="546">
          <cell r="A546" t="str">
            <v>C193I</v>
          </cell>
          <cell r="B546">
            <v>415</v>
          </cell>
        </row>
        <row r="547">
          <cell r="A547" t="str">
            <v>C253SIG</v>
          </cell>
          <cell r="B547">
            <v>637</v>
          </cell>
        </row>
        <row r="548">
          <cell r="A548" t="str">
            <v>C253SIG B</v>
          </cell>
          <cell r="B548">
            <v>637</v>
          </cell>
        </row>
        <row r="549">
          <cell r="A549" t="str">
            <v>C253FR</v>
          </cell>
          <cell r="B549">
            <v>566</v>
          </cell>
        </row>
        <row r="550">
          <cell r="A550" t="str">
            <v>C253MY</v>
          </cell>
          <cell r="B550">
            <v>566</v>
          </cell>
        </row>
        <row r="551">
          <cell r="A551" t="str">
            <v>C253DU</v>
          </cell>
          <cell r="B551">
            <v>566</v>
          </cell>
        </row>
        <row r="552">
          <cell r="A552" t="str">
            <v>C253BP14</v>
          </cell>
          <cell r="B552">
            <v>530</v>
          </cell>
        </row>
        <row r="553">
          <cell r="A553" t="str">
            <v>C253BPF14</v>
          </cell>
          <cell r="B553">
            <v>530</v>
          </cell>
        </row>
        <row r="554">
          <cell r="A554" t="str">
            <v>C253NO14</v>
          </cell>
          <cell r="B554">
            <v>637</v>
          </cell>
        </row>
        <row r="555">
          <cell r="A555" t="str">
            <v>C253B14</v>
          </cell>
          <cell r="B555">
            <v>566</v>
          </cell>
        </row>
        <row r="556">
          <cell r="A556" t="str">
            <v>C253TH14</v>
          </cell>
          <cell r="B556">
            <v>566</v>
          </cell>
        </row>
        <row r="557">
          <cell r="A557" t="str">
            <v>C253E14</v>
          </cell>
          <cell r="B557">
            <v>566</v>
          </cell>
        </row>
        <row r="558">
          <cell r="A558" t="str">
            <v>C253F14</v>
          </cell>
          <cell r="B558">
            <v>566</v>
          </cell>
        </row>
        <row r="559">
          <cell r="A559" t="str">
            <v>CF253R14</v>
          </cell>
          <cell r="B559">
            <v>655</v>
          </cell>
        </row>
        <row r="560">
          <cell r="A560" t="str">
            <v>CF253D14</v>
          </cell>
          <cell r="B560">
            <v>655</v>
          </cell>
        </row>
        <row r="561">
          <cell r="A561" t="str">
            <v>CF253K14</v>
          </cell>
          <cell r="B561">
            <v>655</v>
          </cell>
        </row>
        <row r="562">
          <cell r="A562" t="str">
            <v>C363BPF</v>
          </cell>
          <cell r="B562">
            <v>785</v>
          </cell>
        </row>
        <row r="563">
          <cell r="A563" t="str">
            <v>C363PL</v>
          </cell>
          <cell r="B563">
            <v>797</v>
          </cell>
        </row>
        <row r="564">
          <cell r="A564" t="str">
            <v>C363PA</v>
          </cell>
          <cell r="B564">
            <v>797</v>
          </cell>
        </row>
        <row r="565">
          <cell r="A565" t="str">
            <v>C363DR</v>
          </cell>
          <cell r="B565">
            <v>797</v>
          </cell>
        </row>
        <row r="566">
          <cell r="A566" t="str">
            <v>CF363S</v>
          </cell>
          <cell r="B566">
            <v>999</v>
          </cell>
        </row>
        <row r="567">
          <cell r="A567" t="str">
            <v>C493BP</v>
          </cell>
          <cell r="B567">
            <v>1069</v>
          </cell>
        </row>
        <row r="568">
          <cell r="A568" t="str">
            <v>C493BPS</v>
          </cell>
          <cell r="B568">
            <v>1069</v>
          </cell>
        </row>
        <row r="569">
          <cell r="A569" t="str">
            <v>C493PR</v>
          </cell>
          <cell r="B569">
            <v>1112</v>
          </cell>
        </row>
        <row r="570">
          <cell r="A570" t="str">
            <v>C493RU</v>
          </cell>
          <cell r="B570">
            <v>1112</v>
          </cell>
        </row>
        <row r="571">
          <cell r="A571" t="str">
            <v>C493MA</v>
          </cell>
          <cell r="B571">
            <v>1112</v>
          </cell>
        </row>
        <row r="572">
          <cell r="A572" t="str">
            <v>C493LI</v>
          </cell>
          <cell r="B572">
            <v>1112</v>
          </cell>
        </row>
        <row r="573">
          <cell r="A573" t="str">
            <v>C493DU</v>
          </cell>
          <cell r="B573">
            <v>1206</v>
          </cell>
        </row>
        <row r="574">
          <cell r="A574" t="str">
            <v>C493SW</v>
          </cell>
          <cell r="B574">
            <v>1130</v>
          </cell>
        </row>
        <row r="575">
          <cell r="A575" t="str">
            <v>C493GH</v>
          </cell>
          <cell r="B575">
            <v>1130</v>
          </cell>
        </row>
        <row r="576">
          <cell r="A576" t="str">
            <v>C493RG</v>
          </cell>
          <cell r="B576">
            <v>1130</v>
          </cell>
        </row>
        <row r="577">
          <cell r="A577" t="str">
            <v>C493BW</v>
          </cell>
          <cell r="B577">
            <v>1130</v>
          </cell>
        </row>
        <row r="578">
          <cell r="A578" t="str">
            <v>CF493ST</v>
          </cell>
          <cell r="B578">
            <v>1356</v>
          </cell>
        </row>
        <row r="579">
          <cell r="A579" t="str">
            <v>CF493SA</v>
          </cell>
          <cell r="B579">
            <v>1356</v>
          </cell>
        </row>
        <row r="580">
          <cell r="A580" t="str">
            <v>CF493W</v>
          </cell>
          <cell r="B580">
            <v>1356</v>
          </cell>
        </row>
        <row r="581">
          <cell r="A581" t="str">
            <v>CF493ME</v>
          </cell>
          <cell r="B581">
            <v>1356</v>
          </cell>
        </row>
        <row r="582">
          <cell r="A582" t="str">
            <v>C503SIGA</v>
          </cell>
          <cell r="B582">
            <v>1298</v>
          </cell>
        </row>
        <row r="583">
          <cell r="A583" t="str">
            <v>C503RA</v>
          </cell>
          <cell r="B583">
            <v>1139</v>
          </cell>
        </row>
        <row r="584">
          <cell r="A584" t="str">
            <v>C503RO</v>
          </cell>
          <cell r="B584">
            <v>1139</v>
          </cell>
        </row>
        <row r="585">
          <cell r="A585" t="str">
            <v>C503WI</v>
          </cell>
          <cell r="B585">
            <v>1139</v>
          </cell>
        </row>
        <row r="586">
          <cell r="A586" t="str">
            <v>C503BI</v>
          </cell>
          <cell r="B586">
            <v>1139</v>
          </cell>
        </row>
        <row r="587">
          <cell r="A587" t="str">
            <v>C503ME</v>
          </cell>
          <cell r="B587">
            <v>1139</v>
          </cell>
        </row>
        <row r="588">
          <cell r="A588" t="str">
            <v>C643BPF</v>
          </cell>
          <cell r="B588">
            <v>1365</v>
          </cell>
        </row>
        <row r="589">
          <cell r="A589" t="str">
            <v>C643BI</v>
          </cell>
          <cell r="B589">
            <v>1402</v>
          </cell>
        </row>
        <row r="590">
          <cell r="A590" t="str">
            <v>C643H</v>
          </cell>
          <cell r="B590">
            <v>1402</v>
          </cell>
        </row>
        <row r="591">
          <cell r="A591" t="str">
            <v>C643M</v>
          </cell>
          <cell r="B591">
            <v>1402</v>
          </cell>
        </row>
        <row r="592">
          <cell r="A592" t="str">
            <v>CF643M</v>
          </cell>
          <cell r="B592">
            <v>1762</v>
          </cell>
        </row>
        <row r="593">
          <cell r="A593" t="str">
            <v>CF643T</v>
          </cell>
          <cell r="B593">
            <v>1762</v>
          </cell>
        </row>
        <row r="594">
          <cell r="A594" t="str">
            <v>C643MN</v>
          </cell>
          <cell r="B594">
            <v>1605</v>
          </cell>
        </row>
        <row r="595">
          <cell r="A595" t="str">
            <v>C643XMO</v>
          </cell>
          <cell r="B595">
            <v>1648</v>
          </cell>
        </row>
        <row r="596">
          <cell r="A596" t="str">
            <v>C643XMS</v>
          </cell>
          <cell r="B596">
            <v>1648</v>
          </cell>
        </row>
        <row r="597">
          <cell r="A597" t="str">
            <v>C503BW/C14</v>
          </cell>
          <cell r="B597">
            <v>1187</v>
          </cell>
        </row>
        <row r="598">
          <cell r="A598" t="str">
            <v>C503TS/C14</v>
          </cell>
          <cell r="B598">
            <v>1187</v>
          </cell>
        </row>
        <row r="599">
          <cell r="A599" t="str">
            <v>C503RO/C14</v>
          </cell>
          <cell r="B599">
            <v>1187</v>
          </cell>
        </row>
        <row r="600">
          <cell r="A600" t="str">
            <v>C503F/C14</v>
          </cell>
          <cell r="B600">
            <v>1187</v>
          </cell>
        </row>
        <row r="601">
          <cell r="A601" t="str">
            <v>C503NID/C14</v>
          </cell>
          <cell r="B601">
            <v>1187</v>
          </cell>
        </row>
        <row r="602">
          <cell r="A602" t="str">
            <v>C503SIG/C14</v>
          </cell>
          <cell r="B602">
            <v>1513</v>
          </cell>
        </row>
        <row r="603">
          <cell r="A603" t="str">
            <v>C1003B/C14</v>
          </cell>
          <cell r="B603">
            <v>2398</v>
          </cell>
        </row>
        <row r="604">
          <cell r="A604" t="str">
            <v>C1003F/C14</v>
          </cell>
          <cell r="B604">
            <v>2398</v>
          </cell>
        </row>
        <row r="605">
          <cell r="A605" t="str">
            <v>C10030XF/C14</v>
          </cell>
          <cell r="B605">
            <v>2848</v>
          </cell>
        </row>
        <row r="606">
          <cell r="A606" t="str">
            <v>C1163MB/C14</v>
          </cell>
          <cell r="B606">
            <v>4069</v>
          </cell>
        </row>
        <row r="607">
          <cell r="A607" t="str">
            <v>C12230XPT/C14</v>
          </cell>
          <cell r="B607">
            <v>3539</v>
          </cell>
        </row>
        <row r="608">
          <cell r="A608" t="str">
            <v>C503BW/C14(T)</v>
          </cell>
          <cell r="B608">
            <v>1330</v>
          </cell>
        </row>
        <row r="609">
          <cell r="A609" t="str">
            <v>C503TS/C14(T)</v>
          </cell>
          <cell r="B609">
            <v>1330</v>
          </cell>
        </row>
        <row r="610">
          <cell r="A610" t="str">
            <v>C503RO/C14(T)</v>
          </cell>
          <cell r="B610">
            <v>1330</v>
          </cell>
        </row>
        <row r="611">
          <cell r="A611" t="str">
            <v>C503F/C14(T)</v>
          </cell>
          <cell r="B611">
            <v>1330</v>
          </cell>
        </row>
        <row r="612">
          <cell r="A612" t="str">
            <v>C503NID/C14(T)</v>
          </cell>
          <cell r="B612">
            <v>1330</v>
          </cell>
        </row>
        <row r="613">
          <cell r="A613" t="str">
            <v>C503SIG/C14(T)</v>
          </cell>
          <cell r="B613">
            <v>1695</v>
          </cell>
        </row>
        <row r="614">
          <cell r="A614" t="str">
            <v>C1003B/C14(T)</v>
          </cell>
          <cell r="B614">
            <v>2686</v>
          </cell>
        </row>
        <row r="615">
          <cell r="A615" t="str">
            <v>C10030XF/C14(T)</v>
          </cell>
          <cell r="B615">
            <v>3190</v>
          </cell>
        </row>
        <row r="616">
          <cell r="A616" t="str">
            <v>C1163MB/C14(T)</v>
          </cell>
          <cell r="B616">
            <v>4558</v>
          </cell>
        </row>
        <row r="617">
          <cell r="A617" t="str">
            <v>C12230XPT/C14(T)</v>
          </cell>
          <cell r="B617">
            <v>3964</v>
          </cell>
        </row>
        <row r="618">
          <cell r="A618" t="str">
            <v>C1003BP/C</v>
          </cell>
          <cell r="B618">
            <v>2301</v>
          </cell>
        </row>
        <row r="619">
          <cell r="A619" t="str">
            <v>C1003BPF/C</v>
          </cell>
          <cell r="B619">
            <v>2301</v>
          </cell>
        </row>
        <row r="620">
          <cell r="A620" t="str">
            <v>C1003BPS/C</v>
          </cell>
          <cell r="B620">
            <v>2301</v>
          </cell>
        </row>
        <row r="621">
          <cell r="A621" t="str">
            <v>C1003BB/C</v>
          </cell>
          <cell r="B621">
            <v>2374</v>
          </cell>
        </row>
        <row r="622">
          <cell r="A622" t="str">
            <v>C1003F/C</v>
          </cell>
          <cell r="B622">
            <v>2374</v>
          </cell>
        </row>
        <row r="623">
          <cell r="A623" t="str">
            <v>C1003SIG/C</v>
          </cell>
          <cell r="B623">
            <v>2751</v>
          </cell>
        </row>
        <row r="624">
          <cell r="A624" t="str">
            <v>C1003VS/C</v>
          </cell>
          <cell r="B624">
            <v>2563</v>
          </cell>
        </row>
        <row r="625">
          <cell r="A625" t="str">
            <v>CF1003P/C</v>
          </cell>
          <cell r="B625">
            <v>3079</v>
          </cell>
        </row>
        <row r="626">
          <cell r="A626" t="str">
            <v>C128XMPT/C</v>
          </cell>
          <cell r="B626">
            <v>3888</v>
          </cell>
        </row>
        <row r="627">
          <cell r="A627" t="str">
            <v>C128XMB/C</v>
          </cell>
          <cell r="B627">
            <v>3790</v>
          </cell>
        </row>
        <row r="628">
          <cell r="A628" t="str">
            <v>C1503X/C</v>
          </cell>
          <cell r="B628">
            <v>3753</v>
          </cell>
        </row>
        <row r="629">
          <cell r="A629" t="str">
            <v>C1503BPF/C</v>
          </cell>
          <cell r="B629">
            <v>3680</v>
          </cell>
        </row>
        <row r="630">
          <cell r="A630" t="str">
            <v>C1923XMF/C</v>
          </cell>
          <cell r="B630">
            <v>5493</v>
          </cell>
        </row>
        <row r="631">
          <cell r="A631" t="str">
            <v>C2003BP/C</v>
          </cell>
          <cell r="B631">
            <v>4883</v>
          </cell>
        </row>
        <row r="632">
          <cell r="A632" t="str">
            <v>C2003U/C</v>
          </cell>
          <cell r="B632">
            <v>4937</v>
          </cell>
        </row>
        <row r="633">
          <cell r="A633" t="str">
            <v>C2003F/C</v>
          </cell>
          <cell r="B633">
            <v>4937</v>
          </cell>
        </row>
        <row r="634">
          <cell r="A634" t="str">
            <v>C2003SIG/C</v>
          </cell>
          <cell r="B634">
            <v>5625</v>
          </cell>
        </row>
        <row r="635">
          <cell r="A635" t="str">
            <v>C2563XMF/C</v>
          </cell>
          <cell r="B635">
            <v>7935</v>
          </cell>
        </row>
        <row r="636">
          <cell r="A636" t="str">
            <v>C1003BP/C(T)</v>
          </cell>
          <cell r="B636">
            <v>2578</v>
          </cell>
        </row>
        <row r="637">
          <cell r="A637" t="str">
            <v>C1003BPF/C(T)</v>
          </cell>
          <cell r="B637">
            <v>2578</v>
          </cell>
        </row>
        <row r="638">
          <cell r="A638" t="str">
            <v>C1003BB/C(T)</v>
          </cell>
          <cell r="B638">
            <v>2659</v>
          </cell>
        </row>
        <row r="639">
          <cell r="A639" t="str">
            <v>C1003SIG/C(T)</v>
          </cell>
          <cell r="B639">
            <v>3082</v>
          </cell>
        </row>
        <row r="640">
          <cell r="A640" t="str">
            <v>C1003VS/C(T)</v>
          </cell>
          <cell r="B640">
            <v>2871</v>
          </cell>
        </row>
        <row r="641">
          <cell r="A641" t="str">
            <v>CF1003P/C(T)</v>
          </cell>
          <cell r="B641">
            <v>3449</v>
          </cell>
        </row>
        <row r="642">
          <cell r="A642" t="str">
            <v>C128XMPT/C(T)</v>
          </cell>
          <cell r="B642">
            <v>4355</v>
          </cell>
        </row>
        <row r="643">
          <cell r="A643" t="str">
            <v>C128XMB/C(T)</v>
          </cell>
          <cell r="B643">
            <v>4245</v>
          </cell>
        </row>
        <row r="644">
          <cell r="A644" t="str">
            <v>C1503X/C(T)</v>
          </cell>
          <cell r="B644">
            <v>4204</v>
          </cell>
        </row>
        <row r="645">
          <cell r="A645" t="str">
            <v>C1503BPF/C(T)</v>
          </cell>
          <cell r="B645">
            <v>4122</v>
          </cell>
        </row>
        <row r="646">
          <cell r="A646" t="str">
            <v>C2003BP/C(T)</v>
          </cell>
          <cell r="B646">
            <v>5469</v>
          </cell>
        </row>
        <row r="647">
          <cell r="A647" t="str">
            <v>C2003U/C(T)</v>
          </cell>
          <cell r="B647">
            <v>5530</v>
          </cell>
        </row>
        <row r="648">
          <cell r="A648" t="str">
            <v>C2003SIG/C(T)</v>
          </cell>
          <cell r="B648">
            <v>6300</v>
          </cell>
        </row>
        <row r="649">
          <cell r="A649" t="str">
            <v>C2563XMF/C(T)</v>
          </cell>
          <cell r="B649">
            <v>8888</v>
          </cell>
        </row>
        <row r="650">
          <cell r="A650" t="str">
            <v>C165JA</v>
          </cell>
          <cell r="B650">
            <v>1158</v>
          </cell>
        </row>
        <row r="651">
          <cell r="A651" t="str">
            <v>C165P</v>
          </cell>
          <cell r="B651">
            <v>1158</v>
          </cell>
        </row>
        <row r="652">
          <cell r="A652" t="str">
            <v>C2545NO</v>
          </cell>
          <cell r="B652">
            <v>1435</v>
          </cell>
        </row>
        <row r="653">
          <cell r="A653" t="str">
            <v>C2545DI</v>
          </cell>
          <cell r="B653">
            <v>1435</v>
          </cell>
        </row>
        <row r="654">
          <cell r="A654" t="str">
            <v>C2545MA</v>
          </cell>
          <cell r="B654">
            <v>1435</v>
          </cell>
        </row>
        <row r="655">
          <cell r="A655" t="str">
            <v>C255BP</v>
          </cell>
          <cell r="B655">
            <v>1809</v>
          </cell>
        </row>
        <row r="656">
          <cell r="A656" t="str">
            <v>C3545MF</v>
          </cell>
          <cell r="B656">
            <v>2041</v>
          </cell>
        </row>
        <row r="657">
          <cell r="A657" t="str">
            <v>C3545NO</v>
          </cell>
          <cell r="B657">
            <v>2041</v>
          </cell>
        </row>
        <row r="658">
          <cell r="A658" t="str">
            <v>C3645BA</v>
          </cell>
          <cell r="B658">
            <v>2100</v>
          </cell>
        </row>
        <row r="659">
          <cell r="A659" t="str">
            <v>C3645SE</v>
          </cell>
          <cell r="B659">
            <v>2100</v>
          </cell>
        </row>
        <row r="660">
          <cell r="A660" t="str">
            <v>C365DU</v>
          </cell>
          <cell r="B660">
            <v>3064</v>
          </cell>
        </row>
        <row r="661">
          <cell r="A661" t="str">
            <v>C505X/C</v>
          </cell>
          <cell r="B661">
            <v>3880</v>
          </cell>
        </row>
        <row r="662">
          <cell r="A662" t="str">
            <v>C505V/C</v>
          </cell>
          <cell r="B662">
            <v>3880</v>
          </cell>
        </row>
        <row r="663">
          <cell r="A663" t="str">
            <v>C755R/C</v>
          </cell>
          <cell r="B663">
            <v>5531</v>
          </cell>
        </row>
        <row r="664">
          <cell r="A664" t="str">
            <v>C10545GI/C</v>
          </cell>
          <cell r="B664">
            <v>6991</v>
          </cell>
        </row>
        <row r="665">
          <cell r="A665" t="str">
            <v>C505X/C(T)</v>
          </cell>
          <cell r="B665">
            <v>4346</v>
          </cell>
        </row>
        <row r="666">
          <cell r="A666" t="str">
            <v>C505V/C(T)</v>
          </cell>
          <cell r="B666">
            <v>4346</v>
          </cell>
        </row>
        <row r="667">
          <cell r="A667" t="str">
            <v>C755R/C(T)</v>
          </cell>
          <cell r="B667">
            <v>6195</v>
          </cell>
        </row>
        <row r="668">
          <cell r="A668" t="str">
            <v>C10545GI/C(T)</v>
          </cell>
          <cell r="B668">
            <v>7830</v>
          </cell>
        </row>
        <row r="669">
          <cell r="A669" t="str">
            <v>C2505D</v>
          </cell>
          <cell r="B669">
            <v>2034</v>
          </cell>
        </row>
        <row r="670">
          <cell r="A670" t="str">
            <v>C2463B</v>
          </cell>
          <cell r="B670">
            <v>4438</v>
          </cell>
        </row>
        <row r="671">
          <cell r="A671" t="str">
            <v>C4963V</v>
          </cell>
          <cell r="B671">
            <v>8965</v>
          </cell>
        </row>
        <row r="672">
          <cell r="A672" t="str">
            <v>C2575C</v>
          </cell>
          <cell r="B672">
            <v>7444</v>
          </cell>
        </row>
        <row r="673">
          <cell r="A673" t="str">
            <v>C39MPT</v>
          </cell>
          <cell r="B673">
            <v>671</v>
          </cell>
        </row>
        <row r="674">
          <cell r="A674" t="str">
            <v>C39MPT14</v>
          </cell>
          <cell r="B674">
            <v>671</v>
          </cell>
        </row>
        <row r="675">
          <cell r="A675" t="str">
            <v>C40FMH</v>
          </cell>
          <cell r="B675">
            <v>681</v>
          </cell>
        </row>
        <row r="676">
          <cell r="A676" t="str">
            <v>C41MSIG</v>
          </cell>
          <cell r="B676">
            <v>699</v>
          </cell>
        </row>
        <row r="677">
          <cell r="A677" t="str">
            <v>C50MO</v>
          </cell>
          <cell r="B677">
            <v>795</v>
          </cell>
        </row>
        <row r="678">
          <cell r="A678" t="str">
            <v>C50MCH</v>
          </cell>
          <cell r="B678">
            <v>795</v>
          </cell>
        </row>
        <row r="679">
          <cell r="A679" t="str">
            <v>C50MO14</v>
          </cell>
          <cell r="B679">
            <v>795</v>
          </cell>
        </row>
        <row r="680">
          <cell r="A680" t="str">
            <v>C64MT</v>
          </cell>
          <cell r="B680">
            <v>753</v>
          </cell>
        </row>
        <row r="681">
          <cell r="A681" t="str">
            <v>C64MP</v>
          </cell>
          <cell r="B681">
            <v>753</v>
          </cell>
        </row>
        <row r="682">
          <cell r="A682" t="str">
            <v>C64MT14</v>
          </cell>
          <cell r="B682">
            <v>753</v>
          </cell>
        </row>
        <row r="683">
          <cell r="A683" t="str">
            <v>C68XMPT</v>
          </cell>
          <cell r="B683">
            <v>961</v>
          </cell>
        </row>
        <row r="684">
          <cell r="A684" t="str">
            <v>C68XMCS</v>
          </cell>
          <cell r="B684">
            <v>961</v>
          </cell>
        </row>
        <row r="685">
          <cell r="A685" t="str">
            <v>C68XMPT14</v>
          </cell>
          <cell r="B685">
            <v>961</v>
          </cell>
        </row>
        <row r="686">
          <cell r="A686" t="str">
            <v>C68XMCS14</v>
          </cell>
          <cell r="B686">
            <v>961</v>
          </cell>
        </row>
        <row r="687">
          <cell r="A687" t="str">
            <v>C100MPT</v>
          </cell>
          <cell r="B687">
            <v>1684</v>
          </cell>
        </row>
        <row r="688">
          <cell r="A688" t="str">
            <v>C100MN</v>
          </cell>
          <cell r="B688">
            <v>1684</v>
          </cell>
        </row>
        <row r="689">
          <cell r="A689" t="str">
            <v>C106MH</v>
          </cell>
          <cell r="B689">
            <v>1698</v>
          </cell>
        </row>
        <row r="690">
          <cell r="A690" t="str">
            <v>C106MB</v>
          </cell>
          <cell r="B690">
            <v>1698</v>
          </cell>
        </row>
        <row r="691">
          <cell r="A691" t="str">
            <v>C109MG</v>
          </cell>
          <cell r="B691">
            <v>1550</v>
          </cell>
        </row>
        <row r="692">
          <cell r="A692" t="str">
            <v>C109MM</v>
          </cell>
          <cell r="B692">
            <v>1550</v>
          </cell>
        </row>
        <row r="693">
          <cell r="A693" t="str">
            <v>C100MTS/C14</v>
          </cell>
          <cell r="B693">
            <v>1854</v>
          </cell>
        </row>
        <row r="694">
          <cell r="A694" t="str">
            <v>C100MPT/C14</v>
          </cell>
          <cell r="B694">
            <v>1854</v>
          </cell>
        </row>
        <row r="695">
          <cell r="A695" t="str">
            <v>C128MS/C14</v>
          </cell>
          <cell r="B695">
            <v>1912</v>
          </cell>
        </row>
        <row r="696">
          <cell r="A696" t="str">
            <v>C132XMPT/C14</v>
          </cell>
          <cell r="B696">
            <v>2830</v>
          </cell>
        </row>
        <row r="697">
          <cell r="A697" t="str">
            <v>C136XMTS/C14</v>
          </cell>
          <cell r="B697">
            <v>2255</v>
          </cell>
        </row>
        <row r="698">
          <cell r="A698" t="str">
            <v>C136XMK/C14</v>
          </cell>
          <cell r="B698">
            <v>2255</v>
          </cell>
        </row>
        <row r="699">
          <cell r="A699" t="str">
            <v>C150MF/C14</v>
          </cell>
          <cell r="B699">
            <v>2957</v>
          </cell>
        </row>
        <row r="700">
          <cell r="A700" t="str">
            <v>C200MF/C14</v>
          </cell>
          <cell r="B700">
            <v>3885</v>
          </cell>
        </row>
        <row r="701">
          <cell r="A701" t="str">
            <v>C204XMPT/C14</v>
          </cell>
          <cell r="B701">
            <v>3459</v>
          </cell>
        </row>
        <row r="702">
          <cell r="A702" t="str">
            <v>C216XMFS/C14</v>
          </cell>
          <cell r="B702">
            <v>3639</v>
          </cell>
        </row>
        <row r="703">
          <cell r="A703" t="str">
            <v>C223XMK/C14</v>
          </cell>
          <cell r="B703">
            <v>4381</v>
          </cell>
        </row>
        <row r="704">
          <cell r="A704" t="str">
            <v>C100MTS/C14(T)</v>
          </cell>
          <cell r="B704">
            <v>2077</v>
          </cell>
        </row>
        <row r="705">
          <cell r="A705" t="str">
            <v>C100MPT/C14(T)</v>
          </cell>
          <cell r="B705">
            <v>2077</v>
          </cell>
        </row>
        <row r="706">
          <cell r="A706" t="str">
            <v>C128MS/C14(T)</v>
          </cell>
          <cell r="B706">
            <v>2142</v>
          </cell>
        </row>
        <row r="707">
          <cell r="A707" t="str">
            <v>C132XMPT/C14(T)</v>
          </cell>
          <cell r="B707">
            <v>3170</v>
          </cell>
        </row>
        <row r="708">
          <cell r="A708" t="str">
            <v>C136XMTS/C14(T)</v>
          </cell>
          <cell r="B708">
            <v>2526</v>
          </cell>
        </row>
        <row r="709">
          <cell r="A709" t="str">
            <v>C136XMK/C14(T)</v>
          </cell>
          <cell r="B709">
            <v>2526</v>
          </cell>
        </row>
        <row r="710">
          <cell r="A710" t="str">
            <v>C150MF/C14(T)</v>
          </cell>
          <cell r="B710">
            <v>3312</v>
          </cell>
        </row>
        <row r="711">
          <cell r="A711" t="str">
            <v>C200MF/C14(T)</v>
          </cell>
          <cell r="B711">
            <v>4352</v>
          </cell>
        </row>
        <row r="712">
          <cell r="A712" t="str">
            <v>C204XMPT/C14(T)</v>
          </cell>
          <cell r="B712">
            <v>3875</v>
          </cell>
        </row>
        <row r="713">
          <cell r="A713" t="str">
            <v>C216XMFS/C14(T)</v>
          </cell>
          <cell r="B713">
            <v>4076</v>
          </cell>
        </row>
        <row r="714">
          <cell r="A714" t="str">
            <v>C223XMK/C14(T)</v>
          </cell>
          <cell r="B714">
            <v>4907</v>
          </cell>
        </row>
        <row r="715">
          <cell r="A715" t="str">
            <v>C132XMPT/C</v>
          </cell>
          <cell r="B715">
            <v>2830</v>
          </cell>
        </row>
        <row r="716">
          <cell r="A716" t="str">
            <v>C150MPT/C</v>
          </cell>
          <cell r="B716">
            <v>2957</v>
          </cell>
        </row>
        <row r="717">
          <cell r="A717" t="str">
            <v>C150MF/C</v>
          </cell>
          <cell r="B717">
            <v>2957</v>
          </cell>
        </row>
        <row r="718">
          <cell r="A718" t="str">
            <v>C200MF/C</v>
          </cell>
          <cell r="B718">
            <v>3885</v>
          </cell>
        </row>
        <row r="719">
          <cell r="A719" t="str">
            <v>C204XMPT/C</v>
          </cell>
          <cell r="B719">
            <v>3459</v>
          </cell>
        </row>
        <row r="720">
          <cell r="A720" t="str">
            <v>C216XMFS/C</v>
          </cell>
          <cell r="B720">
            <v>3639</v>
          </cell>
        </row>
        <row r="721">
          <cell r="A721" t="str">
            <v>C223XMK/C</v>
          </cell>
          <cell r="B721">
            <v>4381</v>
          </cell>
        </row>
        <row r="722">
          <cell r="A722" t="str">
            <v>C132XMPT/C(T)</v>
          </cell>
          <cell r="B722">
            <v>3170</v>
          </cell>
        </row>
        <row r="723">
          <cell r="A723" t="str">
            <v>C150MPT/C(T)</v>
          </cell>
          <cell r="B723">
            <v>3312</v>
          </cell>
        </row>
        <row r="724">
          <cell r="A724" t="str">
            <v>C150MF/C(T)</v>
          </cell>
          <cell r="B724">
            <v>3312</v>
          </cell>
        </row>
        <row r="725">
          <cell r="A725" t="str">
            <v>C200MF/C(T)</v>
          </cell>
          <cell r="B725">
            <v>4352</v>
          </cell>
        </row>
        <row r="726">
          <cell r="A726" t="str">
            <v>C204XMPT/C(T)</v>
          </cell>
          <cell r="B726">
            <v>3875</v>
          </cell>
        </row>
        <row r="727">
          <cell r="A727" t="str">
            <v>C216XMFS/C(T)</v>
          </cell>
          <cell r="B727">
            <v>4076</v>
          </cell>
        </row>
        <row r="728">
          <cell r="A728" t="str">
            <v>C223XMK/C(T)</v>
          </cell>
          <cell r="B728">
            <v>4907</v>
          </cell>
        </row>
        <row r="729">
          <cell r="A729" t="str">
            <v>C212MF/C</v>
          </cell>
          <cell r="B729">
            <v>3643</v>
          </cell>
        </row>
        <row r="730">
          <cell r="A730" t="str">
            <v>C219XMPT/C</v>
          </cell>
          <cell r="B730">
            <v>6307</v>
          </cell>
        </row>
        <row r="731">
          <cell r="A731" t="str">
            <v>C223MF/C</v>
          </cell>
          <cell r="B731">
            <v>3568</v>
          </cell>
        </row>
        <row r="732">
          <cell r="A732" t="str">
            <v>C253XMPT/C</v>
          </cell>
          <cell r="B732">
            <v>6524</v>
          </cell>
        </row>
        <row r="733">
          <cell r="A733" t="str">
            <v>C379XMK/C</v>
          </cell>
          <cell r="B733">
            <v>10732</v>
          </cell>
        </row>
        <row r="734">
          <cell r="A734" t="str">
            <v>C446MM/C</v>
          </cell>
          <cell r="B734">
            <v>6779</v>
          </cell>
        </row>
        <row r="735">
          <cell r="A735" t="str">
            <v>C212MF/C(T)</v>
          </cell>
          <cell r="B735">
            <v>4081</v>
          </cell>
        </row>
        <row r="736">
          <cell r="A736" t="str">
            <v>C219XMPT/C(T)</v>
          </cell>
          <cell r="B736">
            <v>7064</v>
          </cell>
        </row>
        <row r="737">
          <cell r="A737" t="str">
            <v>C223MF/C(T)</v>
          </cell>
          <cell r="B737">
            <v>3997</v>
          </cell>
        </row>
        <row r="738">
          <cell r="A738" t="str">
            <v>C253XMPT/C(T)</v>
          </cell>
          <cell r="B738">
            <v>7307</v>
          </cell>
        </row>
        <row r="739">
          <cell r="A739" t="str">
            <v>C379XMK/C(T)</v>
          </cell>
          <cell r="B739">
            <v>12020</v>
          </cell>
        </row>
        <row r="740">
          <cell r="A740" t="str">
            <v>C446MM/C(T)</v>
          </cell>
          <cell r="B740">
            <v>7593</v>
          </cell>
        </row>
        <row r="741">
          <cell r="A741" t="str">
            <v>C23MO</v>
          </cell>
          <cell r="B741">
            <v>766</v>
          </cell>
        </row>
        <row r="742">
          <cell r="A742" t="str">
            <v>C24MH</v>
          </cell>
          <cell r="B742">
            <v>565</v>
          </cell>
        </row>
        <row r="743">
          <cell r="A743" t="str">
            <v>C36MH</v>
          </cell>
          <cell r="B743">
            <v>1759</v>
          </cell>
        </row>
        <row r="744">
          <cell r="A744" t="str">
            <v>C42MM</v>
          </cell>
          <cell r="B744">
            <v>1085</v>
          </cell>
        </row>
        <row r="745">
          <cell r="A745" t="str">
            <v>C47MB</v>
          </cell>
          <cell r="B745">
            <v>1673</v>
          </cell>
        </row>
        <row r="746">
          <cell r="A746" t="str">
            <v>C47MI</v>
          </cell>
          <cell r="B746">
            <v>1673</v>
          </cell>
        </row>
        <row r="747">
          <cell r="A747" t="str">
            <v>C47XMT</v>
          </cell>
          <cell r="B747">
            <v>1948</v>
          </cell>
        </row>
        <row r="748">
          <cell r="A748" t="str">
            <v>C47XMA</v>
          </cell>
          <cell r="B748">
            <v>1948</v>
          </cell>
        </row>
        <row r="749">
          <cell r="A749" t="str">
            <v>C62SMT</v>
          </cell>
          <cell r="B749">
            <v>1858</v>
          </cell>
        </row>
        <row r="750">
          <cell r="A750" t="str">
            <v>C63MM</v>
          </cell>
          <cell r="B750">
            <v>1487</v>
          </cell>
        </row>
        <row r="751">
          <cell r="A751" t="str">
            <v>C63MP</v>
          </cell>
          <cell r="B751">
            <v>1487</v>
          </cell>
        </row>
        <row r="752">
          <cell r="A752" t="str">
            <v>C66SMMO</v>
          </cell>
          <cell r="B752">
            <v>1961</v>
          </cell>
        </row>
        <row r="753">
          <cell r="A753" t="str">
            <v>C84M12F/C</v>
          </cell>
          <cell r="B753">
            <v>3319</v>
          </cell>
        </row>
        <row r="754">
          <cell r="A754" t="str">
            <v>C84M12S/C</v>
          </cell>
          <cell r="B754">
            <v>3319</v>
          </cell>
        </row>
        <row r="755">
          <cell r="A755" t="str">
            <v>C84MC/C</v>
          </cell>
          <cell r="B755">
            <v>3887</v>
          </cell>
        </row>
        <row r="756">
          <cell r="A756" t="str">
            <v>C111MF/C</v>
          </cell>
          <cell r="B756">
            <v>3837</v>
          </cell>
        </row>
        <row r="757">
          <cell r="A757" t="str">
            <v>C175MF/C</v>
          </cell>
          <cell r="B757">
            <v>6391</v>
          </cell>
        </row>
        <row r="758">
          <cell r="A758" t="str">
            <v>C175MF/C(T)</v>
          </cell>
          <cell r="B758">
            <v>7158</v>
          </cell>
        </row>
        <row r="759">
          <cell r="A759" t="str">
            <v>C175MSIG/C</v>
          </cell>
          <cell r="B759">
            <v>6930</v>
          </cell>
        </row>
        <row r="760">
          <cell r="A760" t="str">
            <v>C222MNPT/C</v>
          </cell>
          <cell r="B760">
            <v>8875</v>
          </cell>
        </row>
        <row r="761">
          <cell r="A761" t="str">
            <v>C222MF/C</v>
          </cell>
          <cell r="B761">
            <v>8594</v>
          </cell>
        </row>
        <row r="762">
          <cell r="A762" t="str">
            <v>C84M12F/C(T)</v>
          </cell>
          <cell r="B762">
            <v>3718</v>
          </cell>
        </row>
        <row r="763">
          <cell r="A763" t="str">
            <v>C84M12S/C(T)</v>
          </cell>
          <cell r="B763">
            <v>3718</v>
          </cell>
        </row>
        <row r="764">
          <cell r="A764" t="str">
            <v>C84MC/C(T)</v>
          </cell>
          <cell r="B764">
            <v>4354</v>
          </cell>
        </row>
        <row r="765">
          <cell r="A765" t="str">
            <v>C111MF/C(T)</v>
          </cell>
          <cell r="B765">
            <v>4298</v>
          </cell>
        </row>
        <row r="766">
          <cell r="A766" t="str">
            <v>C175MSIG/C(T)</v>
          </cell>
          <cell r="B766">
            <v>7762</v>
          </cell>
        </row>
        <row r="767">
          <cell r="A767" t="str">
            <v>C222MNPT/C(T)</v>
          </cell>
          <cell r="B767">
            <v>9940</v>
          </cell>
        </row>
        <row r="768">
          <cell r="A768" t="str">
            <v>C222MF/C(T)</v>
          </cell>
          <cell r="B768">
            <v>9626</v>
          </cell>
        </row>
        <row r="769">
          <cell r="A769" t="str">
            <v>C96MB</v>
          </cell>
          <cell r="B769">
            <v>8000</v>
          </cell>
        </row>
        <row r="770">
          <cell r="A770" t="str">
            <v>C304MK</v>
          </cell>
          <cell r="B770">
            <v>16200</v>
          </cell>
        </row>
        <row r="771">
          <cell r="A771" t="str">
            <v>R7538D</v>
          </cell>
          <cell r="B771">
            <v>299</v>
          </cell>
        </row>
        <row r="772">
          <cell r="A772" t="str">
            <v>R7538H</v>
          </cell>
          <cell r="B772">
            <v>299</v>
          </cell>
        </row>
        <row r="773">
          <cell r="A773" t="str">
            <v>R7538CH</v>
          </cell>
          <cell r="B773">
            <v>299</v>
          </cell>
        </row>
        <row r="774">
          <cell r="A774" t="str">
            <v>SS30G</v>
          </cell>
          <cell r="B774">
            <v>799</v>
          </cell>
        </row>
        <row r="775">
          <cell r="A775" t="str">
            <v>SS30H</v>
          </cell>
          <cell r="B775">
            <v>799</v>
          </cell>
        </row>
        <row r="776">
          <cell r="A776" t="str">
            <v>SS30CH</v>
          </cell>
          <cell r="B776">
            <v>799</v>
          </cell>
        </row>
        <row r="777">
          <cell r="A777" t="str">
            <v>SS50F</v>
          </cell>
          <cell r="B777">
            <v>459</v>
          </cell>
        </row>
        <row r="778">
          <cell r="A778" t="str">
            <v>SS50M</v>
          </cell>
          <cell r="B778">
            <v>459</v>
          </cell>
        </row>
        <row r="779">
          <cell r="A779" t="str">
            <v>CX1352X2</v>
          </cell>
          <cell r="B779">
            <v>1736</v>
          </cell>
        </row>
        <row r="780">
          <cell r="A780" t="str">
            <v>CS1352X5</v>
          </cell>
          <cell r="B780">
            <v>1670</v>
          </cell>
        </row>
        <row r="781">
          <cell r="A781" t="str">
            <v>CF1352X6</v>
          </cell>
          <cell r="B781">
            <v>1670</v>
          </cell>
        </row>
        <row r="782">
          <cell r="A782" t="str">
            <v>CF1352X7</v>
          </cell>
          <cell r="B782">
            <v>1670</v>
          </cell>
        </row>
        <row r="783">
          <cell r="A783" t="str">
            <v>CS1352X9</v>
          </cell>
          <cell r="B783">
            <v>1670</v>
          </cell>
        </row>
        <row r="784">
          <cell r="A784" t="str">
            <v>CS1352X10</v>
          </cell>
          <cell r="B784">
            <v>1670</v>
          </cell>
        </row>
        <row r="785">
          <cell r="A785" t="str">
            <v>CX1352X11</v>
          </cell>
          <cell r="B785">
            <v>1670</v>
          </cell>
        </row>
        <row r="786">
          <cell r="A786" t="str">
            <v>CS1352X14</v>
          </cell>
          <cell r="B786">
            <v>1831</v>
          </cell>
        </row>
        <row r="787">
          <cell r="A787" t="str">
            <v>C253CH</v>
          </cell>
          <cell r="B787">
            <v>565</v>
          </cell>
        </row>
        <row r="788">
          <cell r="A788" t="str">
            <v>C253O</v>
          </cell>
          <cell r="B788">
            <v>565</v>
          </cell>
        </row>
        <row r="789">
          <cell r="A789" t="str">
            <v>C503T</v>
          </cell>
          <cell r="B789">
            <v>1142</v>
          </cell>
        </row>
        <row r="790">
          <cell r="A790" t="str">
            <v>CF503X3</v>
          </cell>
          <cell r="B790">
            <v>1655</v>
          </cell>
        </row>
        <row r="791">
          <cell r="A791" t="str">
            <v>CF503X4</v>
          </cell>
          <cell r="B791">
            <v>1600</v>
          </cell>
        </row>
        <row r="792">
          <cell r="A792" t="str">
            <v>CF503X5</v>
          </cell>
          <cell r="B792">
            <v>1600</v>
          </cell>
        </row>
        <row r="793">
          <cell r="A793" t="str">
            <v>CF503X7</v>
          </cell>
          <cell r="B793">
            <v>1600</v>
          </cell>
        </row>
        <row r="794">
          <cell r="A794" t="str">
            <v>CF503X8</v>
          </cell>
          <cell r="B794">
            <v>1600</v>
          </cell>
        </row>
        <row r="795">
          <cell r="A795" t="str">
            <v>CF503X12</v>
          </cell>
          <cell r="B795">
            <v>1600</v>
          </cell>
        </row>
        <row r="796">
          <cell r="A796" t="str">
            <v>CF503X14</v>
          </cell>
          <cell r="B796">
            <v>1600</v>
          </cell>
        </row>
        <row r="797">
          <cell r="A797" t="str">
            <v>CF503X15</v>
          </cell>
          <cell r="B797">
            <v>1600</v>
          </cell>
        </row>
        <row r="798">
          <cell r="A798" t="str">
            <v>CF503X16</v>
          </cell>
          <cell r="B798">
            <v>1600</v>
          </cell>
        </row>
        <row r="799">
          <cell r="A799" t="str">
            <v>CF503X17</v>
          </cell>
          <cell r="B799">
            <v>1600</v>
          </cell>
        </row>
        <row r="800">
          <cell r="A800" t="str">
            <v>CF503X29</v>
          </cell>
          <cell r="B800">
            <v>1600</v>
          </cell>
        </row>
        <row r="801">
          <cell r="A801" t="str">
            <v>CF503X48</v>
          </cell>
          <cell r="B801">
            <v>1600</v>
          </cell>
        </row>
        <row r="802">
          <cell r="A802" t="str">
            <v>CF503X54</v>
          </cell>
          <cell r="B802">
            <v>2048</v>
          </cell>
        </row>
        <row r="803">
          <cell r="A803" t="str">
            <v>CS503X8</v>
          </cell>
          <cell r="B803">
            <v>1600</v>
          </cell>
        </row>
        <row r="804">
          <cell r="A804" t="str">
            <v>CS503X9</v>
          </cell>
          <cell r="B804">
            <v>1655</v>
          </cell>
        </row>
        <row r="805">
          <cell r="A805" t="str">
            <v>CS503X11</v>
          </cell>
          <cell r="B805">
            <v>1600</v>
          </cell>
        </row>
        <row r="806">
          <cell r="A806" t="str">
            <v>CS503X12</v>
          </cell>
          <cell r="B806">
            <v>1300</v>
          </cell>
        </row>
        <row r="807">
          <cell r="A807" t="str">
            <v>CS503X14</v>
          </cell>
          <cell r="B807">
            <v>1600</v>
          </cell>
        </row>
        <row r="808">
          <cell r="A808" t="str">
            <v>CS503X15</v>
          </cell>
          <cell r="B808">
            <v>1600</v>
          </cell>
        </row>
        <row r="809">
          <cell r="A809" t="str">
            <v>CS503X17</v>
          </cell>
          <cell r="B809">
            <v>1300</v>
          </cell>
        </row>
        <row r="810">
          <cell r="A810" t="str">
            <v>CS503X18</v>
          </cell>
          <cell r="B810">
            <v>1300</v>
          </cell>
        </row>
        <row r="811">
          <cell r="A811" t="str">
            <v>CS503X19</v>
          </cell>
          <cell r="B811">
            <v>1300</v>
          </cell>
        </row>
        <row r="812">
          <cell r="A812" t="str">
            <v>CS503X20</v>
          </cell>
          <cell r="B812">
            <v>1600</v>
          </cell>
        </row>
        <row r="813">
          <cell r="A813" t="str">
            <v>CS503X21</v>
          </cell>
          <cell r="B813">
            <v>1300</v>
          </cell>
        </row>
        <row r="814">
          <cell r="A814" t="str">
            <v>CS503X26</v>
          </cell>
          <cell r="B814">
            <v>1300</v>
          </cell>
        </row>
        <row r="815">
          <cell r="A815" t="str">
            <v>CS503X29</v>
          </cell>
          <cell r="B815">
            <v>1300</v>
          </cell>
        </row>
        <row r="816">
          <cell r="A816" t="str">
            <v>CS503X33</v>
          </cell>
          <cell r="B816">
            <v>1600</v>
          </cell>
        </row>
        <row r="817">
          <cell r="A817" t="str">
            <v>CS503X35</v>
          </cell>
          <cell r="B817">
            <v>1600</v>
          </cell>
        </row>
        <row r="818">
          <cell r="A818" t="str">
            <v>CS503X37</v>
          </cell>
          <cell r="B818">
            <v>1600</v>
          </cell>
        </row>
        <row r="819">
          <cell r="A819" t="str">
            <v>CS503X38</v>
          </cell>
          <cell r="B819">
            <v>1600</v>
          </cell>
        </row>
        <row r="820">
          <cell r="A820" t="str">
            <v>CS503X55</v>
          </cell>
          <cell r="B820">
            <v>1600</v>
          </cell>
        </row>
        <row r="821">
          <cell r="A821" t="str">
            <v>CV503X41</v>
          </cell>
          <cell r="B821">
            <v>1300</v>
          </cell>
        </row>
        <row r="822">
          <cell r="A822" t="str">
            <v>CV503X44</v>
          </cell>
          <cell r="B822">
            <v>1300</v>
          </cell>
        </row>
        <row r="823">
          <cell r="A823" t="str">
            <v>CV503X45</v>
          </cell>
          <cell r="B823">
            <v>1300</v>
          </cell>
        </row>
        <row r="824">
          <cell r="A824" t="str">
            <v>SR1930D</v>
          </cell>
          <cell r="B824">
            <v>599</v>
          </cell>
        </row>
        <row r="825">
          <cell r="A825" t="str">
            <v>SR1930E</v>
          </cell>
          <cell r="B825">
            <v>599</v>
          </cell>
        </row>
        <row r="826">
          <cell r="A826" t="str">
            <v>SR1930G</v>
          </cell>
          <cell r="B826">
            <v>599</v>
          </cell>
        </row>
        <row r="827">
          <cell r="A827" t="str">
            <v>SR1930I</v>
          </cell>
          <cell r="B827">
            <v>599</v>
          </cell>
        </row>
        <row r="828">
          <cell r="A828" t="str">
            <v>SR1930J</v>
          </cell>
          <cell r="B828">
            <v>599</v>
          </cell>
        </row>
        <row r="829">
          <cell r="A829" t="str">
            <v>S2M</v>
          </cell>
          <cell r="B829">
            <v>1049</v>
          </cell>
        </row>
        <row r="830">
          <cell r="A830" t="str">
            <v>S3F/P</v>
          </cell>
          <cell r="B830">
            <v>1006</v>
          </cell>
        </row>
        <row r="831">
          <cell r="A831" t="str">
            <v>S3IA/P</v>
          </cell>
          <cell r="B831">
            <v>1029</v>
          </cell>
        </row>
        <row r="832">
          <cell r="A832" t="str">
            <v>S3J/P</v>
          </cell>
          <cell r="B832">
            <v>1075</v>
          </cell>
        </row>
        <row r="833">
          <cell r="A833" t="str">
            <v>S3S/P</v>
          </cell>
          <cell r="B833">
            <v>967</v>
          </cell>
        </row>
        <row r="834">
          <cell r="A834" t="str">
            <v>S3M/P</v>
          </cell>
          <cell r="B834">
            <v>965</v>
          </cell>
        </row>
        <row r="835">
          <cell r="A835" t="str">
            <v>S4T</v>
          </cell>
          <cell r="B835">
            <v>1430</v>
          </cell>
        </row>
        <row r="836">
          <cell r="A836" t="str">
            <v>S4C/P</v>
          </cell>
          <cell r="B836">
            <v>1200</v>
          </cell>
        </row>
        <row r="837">
          <cell r="A837" t="str">
            <v>S4J/P</v>
          </cell>
          <cell r="B837">
            <v>1200</v>
          </cell>
        </row>
        <row r="838">
          <cell r="A838" t="str">
            <v>S4K/P</v>
          </cell>
          <cell r="B838">
            <v>1200</v>
          </cell>
        </row>
        <row r="839">
          <cell r="A839" t="str">
            <v>S4L/P</v>
          </cell>
          <cell r="B839">
            <v>1200</v>
          </cell>
        </row>
        <row r="840">
          <cell r="A840" t="str">
            <v>S4NA/P</v>
          </cell>
          <cell r="B840">
            <v>1246</v>
          </cell>
        </row>
        <row r="841">
          <cell r="A841" t="str">
            <v>S4O/P</v>
          </cell>
          <cell r="B841">
            <v>1200</v>
          </cell>
        </row>
        <row r="842">
          <cell r="A842" t="str">
            <v>S4P/P</v>
          </cell>
          <cell r="B842">
            <v>1200</v>
          </cell>
        </row>
        <row r="843">
          <cell r="A843" t="str">
            <v>S4Q/P</v>
          </cell>
          <cell r="B843">
            <v>1200</v>
          </cell>
        </row>
        <row r="844">
          <cell r="A844" t="str">
            <v>S4S/P</v>
          </cell>
          <cell r="B844">
            <v>1200</v>
          </cell>
        </row>
        <row r="845">
          <cell r="A845" t="str">
            <v>S4W/P</v>
          </cell>
          <cell r="B845">
            <v>1200</v>
          </cell>
        </row>
        <row r="846">
          <cell r="A846" t="str">
            <v>S4Z5/P</v>
          </cell>
          <cell r="B846">
            <v>1200</v>
          </cell>
        </row>
        <row r="847">
          <cell r="A847" t="str">
            <v>S4Z6/P</v>
          </cell>
          <cell r="B847">
            <v>1200</v>
          </cell>
        </row>
        <row r="848">
          <cell r="A848" t="str">
            <v>S4Z8/P</v>
          </cell>
          <cell r="B848">
            <v>1338</v>
          </cell>
        </row>
        <row r="849">
          <cell r="A849" t="str">
            <v>S4Z11/P</v>
          </cell>
          <cell r="B849">
            <v>1200</v>
          </cell>
        </row>
        <row r="850">
          <cell r="A850" t="str">
            <v>S4Z12/P</v>
          </cell>
          <cell r="B850">
            <v>1200</v>
          </cell>
        </row>
        <row r="851">
          <cell r="A851" t="str">
            <v>S4M/P</v>
          </cell>
          <cell r="B851">
            <v>1272</v>
          </cell>
        </row>
        <row r="852">
          <cell r="A852" t="str">
            <v>S5E/P</v>
          </cell>
          <cell r="B852">
            <v>580</v>
          </cell>
        </row>
        <row r="853">
          <cell r="A853" t="str">
            <v>S5F/P</v>
          </cell>
          <cell r="B853">
            <v>580</v>
          </cell>
        </row>
        <row r="854">
          <cell r="A854" t="str">
            <v>S5K/P</v>
          </cell>
          <cell r="B854">
            <v>580</v>
          </cell>
        </row>
        <row r="855">
          <cell r="A855" t="str">
            <v>S5M/P</v>
          </cell>
          <cell r="B855">
            <v>580</v>
          </cell>
        </row>
        <row r="856">
          <cell r="A856" t="str">
            <v>S6M</v>
          </cell>
          <cell r="B856">
            <v>837</v>
          </cell>
        </row>
        <row r="857">
          <cell r="A857" t="str">
            <v>S6F/P(9)</v>
          </cell>
          <cell r="B857">
            <v>886</v>
          </cell>
        </row>
        <row r="858">
          <cell r="A858" t="str">
            <v>S6I/P(9)</v>
          </cell>
          <cell r="B858">
            <v>971</v>
          </cell>
        </row>
        <row r="859">
          <cell r="A859" t="str">
            <v>S6R/P(9)</v>
          </cell>
          <cell r="B859">
            <v>987</v>
          </cell>
        </row>
        <row r="860">
          <cell r="A860" t="str">
            <v>S6Z3/P(9)</v>
          </cell>
          <cell r="B860">
            <v>886</v>
          </cell>
        </row>
        <row r="861">
          <cell r="A861" t="str">
            <v>M2</v>
          </cell>
          <cell r="B861">
            <v>86</v>
          </cell>
        </row>
        <row r="862">
          <cell r="A862" t="str">
            <v>M3</v>
          </cell>
          <cell r="B862">
            <v>231</v>
          </cell>
        </row>
        <row r="863">
          <cell r="A863" t="str">
            <v>M4</v>
          </cell>
          <cell r="B863">
            <v>411</v>
          </cell>
        </row>
        <row r="864">
          <cell r="A864" t="str">
            <v>M5</v>
          </cell>
          <cell r="B864">
            <v>651</v>
          </cell>
        </row>
        <row r="865">
          <cell r="A865" t="str">
            <v>M6</v>
          </cell>
          <cell r="B865">
            <v>835</v>
          </cell>
        </row>
        <row r="866">
          <cell r="A866" t="str">
            <v>IF220A</v>
          </cell>
          <cell r="B866">
            <v>244</v>
          </cell>
        </row>
        <row r="867">
          <cell r="A867" t="str">
            <v>IF3MA</v>
          </cell>
          <cell r="B867">
            <v>314</v>
          </cell>
        </row>
        <row r="868">
          <cell r="A868" t="str">
            <v>IF560B</v>
          </cell>
          <cell r="B868">
            <v>1180</v>
          </cell>
        </row>
        <row r="869">
          <cell r="A869" t="str">
            <v>IF660B</v>
          </cell>
          <cell r="B869">
            <v>328</v>
          </cell>
        </row>
        <row r="870">
          <cell r="A870" t="str">
            <v>EP03M</v>
          </cell>
          <cell r="B870">
            <v>1047</v>
          </cell>
        </row>
        <row r="871">
          <cell r="A871" t="str">
            <v>EP1M</v>
          </cell>
          <cell r="B871">
            <v>736</v>
          </cell>
        </row>
        <row r="872">
          <cell r="A872" t="str">
            <v>EP2M</v>
          </cell>
          <cell r="B872">
            <v>925</v>
          </cell>
        </row>
        <row r="873">
          <cell r="A873" t="str">
            <v>EP3M</v>
          </cell>
          <cell r="B873">
            <v>633</v>
          </cell>
        </row>
        <row r="874">
          <cell r="A874" t="str">
            <v>EP5M</v>
          </cell>
          <cell r="B874">
            <v>903</v>
          </cell>
        </row>
        <row r="875">
          <cell r="A875" t="str">
            <v>DF10CM E</v>
          </cell>
          <cell r="B875">
            <v>21</v>
          </cell>
        </row>
        <row r="876">
          <cell r="A876" t="str">
            <v>C1614E14 E</v>
          </cell>
          <cell r="B876">
            <v>64</v>
          </cell>
        </row>
        <row r="877">
          <cell r="A877" t="str">
            <v>C2520ST E</v>
          </cell>
          <cell r="B877">
            <v>129</v>
          </cell>
        </row>
        <row r="878">
          <cell r="A878" t="str">
            <v>C2520VI E</v>
          </cell>
          <cell r="B878">
            <v>129</v>
          </cell>
        </row>
        <row r="879">
          <cell r="A879" t="str">
            <v>C9020X E</v>
          </cell>
          <cell r="B879">
            <v>435</v>
          </cell>
        </row>
        <row r="880">
          <cell r="A880" t="str">
            <v>C10020NID14 E</v>
          </cell>
          <cell r="B880">
            <v>479</v>
          </cell>
        </row>
        <row r="881">
          <cell r="A881" t="str">
            <v>CF10020G E</v>
          </cell>
          <cell r="B881">
            <v>636</v>
          </cell>
        </row>
        <row r="882">
          <cell r="A882" t="str">
            <v>C13020B E</v>
          </cell>
          <cell r="B882">
            <v>648</v>
          </cell>
        </row>
        <row r="883">
          <cell r="A883" t="str">
            <v>C13420B E</v>
          </cell>
          <cell r="B883">
            <v>903</v>
          </cell>
        </row>
        <row r="884">
          <cell r="A884" t="str">
            <v>C13420H E</v>
          </cell>
          <cell r="B884">
            <v>903</v>
          </cell>
        </row>
        <row r="885">
          <cell r="A885" t="str">
            <v>C26820F/C E</v>
          </cell>
          <cell r="B885">
            <v>1949</v>
          </cell>
        </row>
        <row r="886">
          <cell r="A886" t="str">
            <v>C8825M E</v>
          </cell>
          <cell r="B886">
            <v>774</v>
          </cell>
        </row>
        <row r="887">
          <cell r="A887" t="str">
            <v>C8825PA E</v>
          </cell>
          <cell r="B887">
            <v>774</v>
          </cell>
        </row>
        <row r="888">
          <cell r="A888" t="str">
            <v>C8925N E</v>
          </cell>
          <cell r="B888">
            <v>955</v>
          </cell>
        </row>
        <row r="889">
          <cell r="A889" t="str">
            <v>C10025S E</v>
          </cell>
          <cell r="B889">
            <v>835</v>
          </cell>
        </row>
        <row r="890">
          <cell r="A890" t="str">
            <v>C9825SIG/C E</v>
          </cell>
          <cell r="B890">
            <v>1097</v>
          </cell>
        </row>
        <row r="891">
          <cell r="A891" t="str">
            <v>C493RU E</v>
          </cell>
          <cell r="B891">
            <v>668</v>
          </cell>
        </row>
        <row r="892">
          <cell r="A892" t="str">
            <v>C493GH E</v>
          </cell>
          <cell r="B892">
            <v>668</v>
          </cell>
        </row>
        <row r="893">
          <cell r="A893" t="str">
            <v>CF493ME E</v>
          </cell>
          <cell r="B893">
            <v>814</v>
          </cell>
        </row>
        <row r="894">
          <cell r="A894" t="str">
            <v>CF643M E</v>
          </cell>
          <cell r="B894">
            <v>1058</v>
          </cell>
        </row>
        <row r="895">
          <cell r="A895" t="str">
            <v>C643MN E</v>
          </cell>
          <cell r="B895">
            <v>963</v>
          </cell>
        </row>
        <row r="896">
          <cell r="A896" t="str">
            <v>C165P E</v>
          </cell>
          <cell r="B896">
            <v>695</v>
          </cell>
        </row>
        <row r="897">
          <cell r="A897" t="str">
            <v>C36MH E</v>
          </cell>
          <cell r="B897">
            <v>1056</v>
          </cell>
        </row>
        <row r="898">
          <cell r="A898" t="str">
            <v>C47MB E</v>
          </cell>
          <cell r="B898">
            <v>1004</v>
          </cell>
        </row>
        <row r="899">
          <cell r="A899" t="str">
            <v>C62SMT E</v>
          </cell>
          <cell r="B899">
            <v>1115</v>
          </cell>
        </row>
        <row r="900">
          <cell r="A900" t="str">
            <v>C63MP E</v>
          </cell>
          <cell r="B900">
            <v>893</v>
          </cell>
        </row>
        <row r="901">
          <cell r="A901" t="str">
            <v>C106MH E</v>
          </cell>
          <cell r="B901">
            <v>1019</v>
          </cell>
        </row>
        <row r="902">
          <cell r="A902" t="str">
            <v>C106MB E</v>
          </cell>
          <cell r="B902">
            <v>1019</v>
          </cell>
        </row>
        <row r="903">
          <cell r="A903" t="str">
            <v>C223MF/C E</v>
          </cell>
          <cell r="B903">
            <v>2141</v>
          </cell>
        </row>
        <row r="904">
          <cell r="A904" t="str">
            <v>K-C10025BPW/C14</v>
          </cell>
          <cell r="B904">
            <v>140</v>
          </cell>
        </row>
        <row r="905">
          <cell r="A905" t="str">
            <v>K-C10030XF/C14</v>
          </cell>
          <cell r="B905">
            <v>228</v>
          </cell>
        </row>
        <row r="906">
          <cell r="A906" t="str">
            <v>K-C1003BB/C</v>
          </cell>
          <cell r="B906">
            <v>190</v>
          </cell>
        </row>
        <row r="907">
          <cell r="A907" t="str">
            <v>K-C1003BP/C</v>
          </cell>
          <cell r="B907">
            <v>185</v>
          </cell>
        </row>
        <row r="908">
          <cell r="A908" t="str">
            <v>K-C1003BPF/C</v>
          </cell>
          <cell r="B908">
            <v>185</v>
          </cell>
        </row>
        <row r="909">
          <cell r="A909" t="str">
            <v>K-C1003NO/C14</v>
          </cell>
          <cell r="B909">
            <v>221</v>
          </cell>
        </row>
        <row r="910">
          <cell r="A910" t="str">
            <v>K-C1003SIG/C</v>
          </cell>
          <cell r="B910">
            <v>221</v>
          </cell>
        </row>
        <row r="911">
          <cell r="A911" t="str">
            <v>K-C10545GI/C</v>
          </cell>
          <cell r="B911">
            <v>560</v>
          </cell>
        </row>
        <row r="912">
          <cell r="A912" t="str">
            <v>K-C12230XPT/C14</v>
          </cell>
          <cell r="B912">
            <v>284</v>
          </cell>
        </row>
        <row r="913">
          <cell r="A913" t="str">
            <v>K-C128XMB/C</v>
          </cell>
          <cell r="B913">
            <v>304</v>
          </cell>
        </row>
        <row r="914">
          <cell r="A914" t="str">
            <v>K-C128XMPT/C</v>
          </cell>
          <cell r="B914">
            <v>312</v>
          </cell>
        </row>
        <row r="915">
          <cell r="A915" t="str">
            <v>K-C13220B/C14</v>
          </cell>
          <cell r="B915">
            <v>152</v>
          </cell>
        </row>
        <row r="916">
          <cell r="A916" t="str">
            <v>K-C13220TS/C14(T)</v>
          </cell>
          <cell r="B916">
            <v>152</v>
          </cell>
        </row>
        <row r="917">
          <cell r="A917" t="str">
            <v>K-C132XMPT/C</v>
          </cell>
          <cell r="B917">
            <v>227</v>
          </cell>
        </row>
        <row r="918">
          <cell r="A918" t="str">
            <v>K-C132XMPT/C14</v>
          </cell>
          <cell r="B918">
            <v>227</v>
          </cell>
        </row>
        <row r="919">
          <cell r="A919" t="str">
            <v>K-C14025XFS/C</v>
          </cell>
          <cell r="B919">
            <v>234</v>
          </cell>
        </row>
        <row r="920">
          <cell r="A920" t="str">
            <v>K-C14025XFS/C14</v>
          </cell>
          <cell r="B920">
            <v>234</v>
          </cell>
        </row>
        <row r="921">
          <cell r="A921" t="str">
            <v>K-C1503BPF/C</v>
          </cell>
          <cell r="B921">
            <v>295</v>
          </cell>
        </row>
        <row r="922">
          <cell r="A922" t="str">
            <v>K-C150MF/C</v>
          </cell>
          <cell r="B922">
            <v>237</v>
          </cell>
        </row>
        <row r="923">
          <cell r="A923" t="str">
            <v>K-C150MPT/C</v>
          </cell>
          <cell r="B923">
            <v>237</v>
          </cell>
        </row>
        <row r="924">
          <cell r="A924" t="str">
            <v>K-C175MSIG/C</v>
          </cell>
          <cell r="B924">
            <v>555</v>
          </cell>
        </row>
        <row r="925">
          <cell r="A925" t="str">
            <v>K-C18020SIG/C</v>
          </cell>
          <cell r="B925">
            <v>168</v>
          </cell>
        </row>
        <row r="926">
          <cell r="A926" t="str">
            <v>K-C19220F/C</v>
          </cell>
          <cell r="B926">
            <v>153</v>
          </cell>
        </row>
        <row r="927">
          <cell r="A927" t="str">
            <v>K-C20020XPR/C14</v>
          </cell>
          <cell r="B927">
            <v>168</v>
          </cell>
        </row>
        <row r="928">
          <cell r="A928" t="str">
            <v>K-C2003BP/C</v>
          </cell>
          <cell r="B928">
            <v>391</v>
          </cell>
        </row>
        <row r="929">
          <cell r="A929" t="str">
            <v>K-C200MF/C</v>
          </cell>
          <cell r="B929">
            <v>311</v>
          </cell>
        </row>
        <row r="930">
          <cell r="A930" t="str">
            <v>K-C204XMPT/C</v>
          </cell>
          <cell r="B930">
            <v>277</v>
          </cell>
        </row>
        <row r="931">
          <cell r="A931" t="str">
            <v>K-C204XMPT/C14</v>
          </cell>
          <cell r="B931">
            <v>277</v>
          </cell>
        </row>
        <row r="932">
          <cell r="A932" t="str">
            <v>K-C212MF/C</v>
          </cell>
          <cell r="B932">
            <v>292</v>
          </cell>
        </row>
        <row r="933">
          <cell r="A933" t="str">
            <v>K-C216XMFS/C</v>
          </cell>
          <cell r="B933">
            <v>292</v>
          </cell>
        </row>
        <row r="934">
          <cell r="A934" t="str">
            <v>K-C216XMFS/C14</v>
          </cell>
          <cell r="B934">
            <v>292</v>
          </cell>
        </row>
        <row r="935">
          <cell r="A935" t="str">
            <v>K-C219XMPT/C</v>
          </cell>
          <cell r="B935">
            <v>505</v>
          </cell>
        </row>
        <row r="936">
          <cell r="A936" t="str">
            <v>K-C222MF/C</v>
          </cell>
          <cell r="B936">
            <v>688</v>
          </cell>
        </row>
        <row r="937">
          <cell r="A937" t="str">
            <v>K-C222MNPT/C</v>
          </cell>
          <cell r="B937">
            <v>710</v>
          </cell>
        </row>
        <row r="938">
          <cell r="A938" t="str">
            <v>K-C223XMK/C</v>
          </cell>
          <cell r="B938">
            <v>351</v>
          </cell>
        </row>
        <row r="939">
          <cell r="A939" t="str">
            <v>K-C223XMK/C14</v>
          </cell>
          <cell r="B939">
            <v>351</v>
          </cell>
        </row>
        <row r="940">
          <cell r="A940" t="str">
            <v>K-C25220XFS/C14</v>
          </cell>
          <cell r="B940">
            <v>267</v>
          </cell>
        </row>
        <row r="941">
          <cell r="A941" t="str">
            <v>K-C253XMPT/C</v>
          </cell>
          <cell r="B941">
            <v>522</v>
          </cell>
        </row>
        <row r="942">
          <cell r="A942" t="str">
            <v>K-C25620F/C</v>
          </cell>
          <cell r="B942">
            <v>211</v>
          </cell>
        </row>
        <row r="943">
          <cell r="A943" t="str">
            <v>K-C2563XMF/C</v>
          </cell>
          <cell r="B943">
            <v>635</v>
          </cell>
        </row>
        <row r="944">
          <cell r="A944" t="str">
            <v>K-C26020F/C</v>
          </cell>
          <cell r="B944">
            <v>208</v>
          </cell>
        </row>
        <row r="945">
          <cell r="A945" t="str">
            <v>K-C26420N/C</v>
          </cell>
          <cell r="B945">
            <v>285</v>
          </cell>
        </row>
        <row r="946">
          <cell r="A946" t="str">
            <v>K-C30025BPW/C</v>
          </cell>
          <cell r="B946">
            <v>360</v>
          </cell>
        </row>
        <row r="947">
          <cell r="A947" t="str">
            <v>K-C30025F/C</v>
          </cell>
          <cell r="B947">
            <v>369</v>
          </cell>
        </row>
        <row r="948">
          <cell r="A948" t="str">
            <v>K-C379XMK/C</v>
          </cell>
          <cell r="B948">
            <v>859</v>
          </cell>
        </row>
        <row r="949">
          <cell r="A949" t="str">
            <v>K-C39020F/C</v>
          </cell>
          <cell r="B949">
            <v>280</v>
          </cell>
        </row>
        <row r="950">
          <cell r="A950" t="str">
            <v>K-C40020XPR/C14</v>
          </cell>
          <cell r="B950">
            <v>359</v>
          </cell>
        </row>
        <row r="951">
          <cell r="A951" t="str">
            <v>K-C40025F/C</v>
          </cell>
          <cell r="B951">
            <v>471</v>
          </cell>
        </row>
        <row r="952">
          <cell r="A952" t="str">
            <v>K-C503ME/C14</v>
          </cell>
          <cell r="B952">
            <v>95</v>
          </cell>
        </row>
        <row r="953">
          <cell r="A953" t="str">
            <v>K-C503NID/C14</v>
          </cell>
          <cell r="B953">
            <v>95</v>
          </cell>
        </row>
        <row r="954">
          <cell r="A954" t="str">
            <v>K-C505V/C</v>
          </cell>
          <cell r="B954">
            <v>311</v>
          </cell>
        </row>
        <row r="955">
          <cell r="A955" t="str">
            <v>K-C505X/C</v>
          </cell>
          <cell r="B955">
            <v>311</v>
          </cell>
        </row>
        <row r="956">
          <cell r="A956" t="str">
            <v>K-C52020F/C</v>
          </cell>
          <cell r="B956">
            <v>424</v>
          </cell>
        </row>
        <row r="957">
          <cell r="A957" t="str">
            <v>K-C53620F/C</v>
          </cell>
          <cell r="B957">
            <v>545</v>
          </cell>
        </row>
        <row r="958">
          <cell r="A958" t="str">
            <v>K-C6420DU/C</v>
          </cell>
          <cell r="B958">
            <v>57</v>
          </cell>
        </row>
        <row r="959">
          <cell r="A959" t="str">
            <v>K-C755R/C</v>
          </cell>
          <cell r="B959">
            <v>443</v>
          </cell>
        </row>
        <row r="960">
          <cell r="A960" t="str">
            <v>K-C84M12F/C</v>
          </cell>
          <cell r="B960">
            <v>266</v>
          </cell>
        </row>
        <row r="961">
          <cell r="A961" t="str">
            <v>K-C84M12S/C</v>
          </cell>
          <cell r="B961">
            <v>266</v>
          </cell>
        </row>
        <row r="962">
          <cell r="A962" t="str">
            <v>K-C84MC/C</v>
          </cell>
          <cell r="B962">
            <v>311</v>
          </cell>
        </row>
        <row r="963">
          <cell r="A963" t="str">
            <v>K-C9625MF/C14</v>
          </cell>
          <cell r="B963">
            <v>150</v>
          </cell>
        </row>
        <row r="964">
          <cell r="A964" t="str">
            <v>K-C9825C/C14</v>
          </cell>
          <cell r="B964">
            <v>143</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1"/>
    </sheetNames>
    <sheetDataSet>
      <sheetData sheetId="0">
        <row r="1">
          <cell r="A1" t="str">
            <v xml:space="preserve">Catalog </v>
          </cell>
          <cell r="B1" t="str">
            <v>Weight 15</v>
          </cell>
          <cell r="C1" t="str">
            <v>NEQ/ NEC 11</v>
          </cell>
          <cell r="D1" t="str">
            <v>CBM 10</v>
          </cell>
        </row>
        <row r="2">
          <cell r="A2" t="str">
            <v>BD1L</v>
          </cell>
          <cell r="B2">
            <v>823</v>
          </cell>
        </row>
        <row r="3">
          <cell r="A3" t="str">
            <v>BD1XL</v>
          </cell>
          <cell r="B3">
            <v>862</v>
          </cell>
        </row>
        <row r="4">
          <cell r="A4" t="str">
            <v>BD1XXL</v>
          </cell>
          <cell r="B4">
            <v>912</v>
          </cell>
        </row>
        <row r="5">
          <cell r="A5" t="str">
            <v>BDLE1L</v>
          </cell>
          <cell r="B5">
            <v>823</v>
          </cell>
        </row>
        <row r="6">
          <cell r="A6" t="str">
            <v>BDLE1M</v>
          </cell>
          <cell r="B6">
            <v>805</v>
          </cell>
        </row>
        <row r="7">
          <cell r="A7" t="str">
            <v>BDLE1XL</v>
          </cell>
          <cell r="B7">
            <v>862</v>
          </cell>
        </row>
        <row r="8">
          <cell r="A8" t="str">
            <v>BDLE1XXL</v>
          </cell>
          <cell r="B8">
            <v>912</v>
          </cell>
        </row>
        <row r="9">
          <cell r="A9" t="str">
            <v>BK1P</v>
          </cell>
          <cell r="B9">
            <v>7100</v>
          </cell>
          <cell r="C9">
            <v>18</v>
          </cell>
          <cell r="D9">
            <v>2.5937499999999999E-2</v>
          </cell>
        </row>
        <row r="10">
          <cell r="A10" t="str">
            <v>BK1P(1)</v>
          </cell>
          <cell r="B10">
            <v>7100</v>
          </cell>
          <cell r="C10">
            <v>18</v>
          </cell>
          <cell r="D10">
            <v>2.5937499999999999E-2</v>
          </cell>
        </row>
        <row r="11">
          <cell r="A11" t="str">
            <v>BK2V</v>
          </cell>
          <cell r="B11">
            <v>9800</v>
          </cell>
          <cell r="C11">
            <v>9.6000000000000014</v>
          </cell>
          <cell r="D11">
            <v>3.2912000000000004E-2</v>
          </cell>
        </row>
        <row r="12">
          <cell r="A12" t="str">
            <v>BK2V(1)</v>
          </cell>
          <cell r="B12">
            <v>9800</v>
          </cell>
          <cell r="C12">
            <v>9.6000000000000014</v>
          </cell>
          <cell r="D12">
            <v>3.2912000000000004E-2</v>
          </cell>
        </row>
        <row r="13">
          <cell r="A13" t="str">
            <v>BP30S</v>
          </cell>
          <cell r="B13">
            <v>10000</v>
          </cell>
          <cell r="C13">
            <v>1440</v>
          </cell>
          <cell r="D13">
            <v>1.2332250000000001E-2</v>
          </cell>
        </row>
        <row r="14">
          <cell r="A14" t="str">
            <v>BP60S</v>
          </cell>
          <cell r="B14">
            <v>5500</v>
          </cell>
          <cell r="C14">
            <v>1125</v>
          </cell>
          <cell r="D14">
            <v>2.3625E-2</v>
          </cell>
        </row>
        <row r="15">
          <cell r="A15" t="str">
            <v>C100008R</v>
          </cell>
          <cell r="B15">
            <v>13000</v>
          </cell>
          <cell r="C15">
            <v>1494</v>
          </cell>
          <cell r="D15">
            <v>2.4840000000000004E-2</v>
          </cell>
        </row>
        <row r="16">
          <cell r="A16" t="str">
            <v>C10008R</v>
          </cell>
          <cell r="B16">
            <v>22000</v>
          </cell>
          <cell r="C16">
            <v>3840</v>
          </cell>
          <cell r="D16">
            <v>5.4450000000000005E-2</v>
          </cell>
        </row>
        <row r="17">
          <cell r="A17" t="str">
            <v>C10014A</v>
          </cell>
          <cell r="B17">
            <v>21000</v>
          </cell>
          <cell r="C17">
            <v>3360</v>
          </cell>
          <cell r="D17">
            <v>4.1496000000000005E-2</v>
          </cell>
        </row>
        <row r="18">
          <cell r="A18" t="str">
            <v>C10020BP14</v>
          </cell>
          <cell r="B18">
            <v>17000</v>
          </cell>
          <cell r="C18">
            <v>2000</v>
          </cell>
          <cell r="D18">
            <v>3.6414000000000002E-2</v>
          </cell>
        </row>
        <row r="19">
          <cell r="A19" t="str">
            <v>C10020BPF14</v>
          </cell>
          <cell r="B19">
            <v>16800</v>
          </cell>
          <cell r="C19">
            <v>2000</v>
          </cell>
          <cell r="D19">
            <v>3.6414000000000002E-2</v>
          </cell>
        </row>
        <row r="20">
          <cell r="A20" t="str">
            <v>C10020BPS14</v>
          </cell>
          <cell r="B20">
            <v>17000</v>
          </cell>
          <cell r="C20">
            <v>2000</v>
          </cell>
          <cell r="D20">
            <v>3.6414000000000002E-2</v>
          </cell>
        </row>
        <row r="21">
          <cell r="A21" t="str">
            <v>C10020NID14</v>
          </cell>
          <cell r="B21">
            <v>16800</v>
          </cell>
          <cell r="C21">
            <v>2000</v>
          </cell>
          <cell r="D21">
            <v>3.6414000000000002E-2</v>
          </cell>
        </row>
        <row r="22">
          <cell r="A22" t="str">
            <v>C10020NID14 E</v>
          </cell>
          <cell r="B22">
            <v>3700</v>
          </cell>
          <cell r="D22">
            <v>9.1035000000000005E-3</v>
          </cell>
        </row>
        <row r="23">
          <cell r="A23" t="str">
            <v>C10020XBP14</v>
          </cell>
          <cell r="B23">
            <v>18000</v>
          </cell>
          <cell r="C23">
            <v>2000</v>
          </cell>
          <cell r="D23">
            <v>4.9492124999999998E-2</v>
          </cell>
        </row>
        <row r="24">
          <cell r="A24" t="str">
            <v>C10020XBPW14</v>
          </cell>
          <cell r="B24">
            <v>18000</v>
          </cell>
          <cell r="C24">
            <v>2000</v>
          </cell>
          <cell r="D24">
            <v>4.9492124999999998E-2</v>
          </cell>
        </row>
        <row r="25">
          <cell r="A25" t="str">
            <v>C10020XPR14</v>
          </cell>
          <cell r="B25">
            <v>18000</v>
          </cell>
          <cell r="C25">
            <v>2000</v>
          </cell>
          <cell r="D25">
            <v>5.6318625000000011E-2</v>
          </cell>
        </row>
        <row r="26">
          <cell r="A26" t="str">
            <v>C10020XTS14</v>
          </cell>
          <cell r="B26">
            <v>18000</v>
          </cell>
          <cell r="C26">
            <v>2000</v>
          </cell>
          <cell r="D26">
            <v>5.6318625000000011E-2</v>
          </cell>
        </row>
        <row r="27">
          <cell r="A27" t="str">
            <v>C10025BP</v>
          </cell>
          <cell r="B27">
            <v>14000</v>
          </cell>
          <cell r="C27">
            <v>2000</v>
          </cell>
          <cell r="D27">
            <v>3.3728000000000001E-2</v>
          </cell>
        </row>
        <row r="28">
          <cell r="A28" t="str">
            <v>C10025BPS</v>
          </cell>
          <cell r="B28">
            <v>14000</v>
          </cell>
          <cell r="C28">
            <v>2000</v>
          </cell>
          <cell r="D28">
            <v>3.3728000000000001E-2</v>
          </cell>
        </row>
        <row r="29">
          <cell r="A29" t="str">
            <v>C10025BPW/C14</v>
          </cell>
          <cell r="B29">
            <v>9000</v>
          </cell>
          <cell r="C29">
            <v>1300</v>
          </cell>
          <cell r="D29">
            <v>1.6868250000000001E-2</v>
          </cell>
        </row>
        <row r="30">
          <cell r="A30" t="str">
            <v>C10025I</v>
          </cell>
          <cell r="B30">
            <v>14500</v>
          </cell>
          <cell r="C30">
            <v>1990</v>
          </cell>
          <cell r="D30">
            <v>3.3728000000000001E-2</v>
          </cell>
        </row>
        <row r="31">
          <cell r="A31" t="str">
            <v>C10025PR1</v>
          </cell>
          <cell r="B31">
            <v>14000</v>
          </cell>
          <cell r="C31">
            <v>2000</v>
          </cell>
          <cell r="D31">
            <v>3.7696E-2</v>
          </cell>
        </row>
        <row r="32">
          <cell r="A32" t="str">
            <v>C10025PR2</v>
          </cell>
          <cell r="B32">
            <v>14000</v>
          </cell>
          <cell r="C32">
            <v>2000</v>
          </cell>
          <cell r="D32">
            <v>3.7696E-2</v>
          </cell>
        </row>
        <row r="33">
          <cell r="A33" t="str">
            <v>C10025S</v>
          </cell>
          <cell r="B33">
            <v>15600</v>
          </cell>
          <cell r="C33">
            <v>1990</v>
          </cell>
          <cell r="D33">
            <v>3.3728000000000001E-2</v>
          </cell>
        </row>
        <row r="34">
          <cell r="A34" t="str">
            <v>C10025S E</v>
          </cell>
          <cell r="B34">
            <v>3400</v>
          </cell>
          <cell r="D34">
            <v>1.6864000000000001E-2</v>
          </cell>
        </row>
        <row r="35">
          <cell r="A35" t="str">
            <v>C10030XF/C14</v>
          </cell>
          <cell r="B35">
            <v>12200</v>
          </cell>
          <cell r="C35">
            <v>2000</v>
          </cell>
          <cell r="D35">
            <v>4.6396875000000004E-2</v>
          </cell>
        </row>
        <row r="36">
          <cell r="A36" t="str">
            <v>C10030XF/C14(T)</v>
          </cell>
          <cell r="B36">
            <v>12200</v>
          </cell>
          <cell r="C36">
            <v>2000</v>
          </cell>
          <cell r="D36">
            <v>4.6396875000000004E-2</v>
          </cell>
        </row>
        <row r="37">
          <cell r="A37" t="str">
            <v>C1003B/C14</v>
          </cell>
          <cell r="B37">
            <v>13200</v>
          </cell>
          <cell r="C37">
            <v>1900</v>
          </cell>
          <cell r="D37">
            <v>3.1640625000000006E-2</v>
          </cell>
        </row>
        <row r="38">
          <cell r="A38" t="str">
            <v>C1003B/C14(T)</v>
          </cell>
          <cell r="B38">
            <v>13200</v>
          </cell>
          <cell r="C38">
            <v>1900</v>
          </cell>
          <cell r="D38">
            <v>3.1640625000000006E-2</v>
          </cell>
        </row>
        <row r="39">
          <cell r="A39" t="str">
            <v>C1003BB/C</v>
          </cell>
          <cell r="B39">
            <v>13500</v>
          </cell>
          <cell r="C39">
            <v>1900</v>
          </cell>
          <cell r="D39">
            <v>3.5625000000000004E-2</v>
          </cell>
        </row>
        <row r="40">
          <cell r="A40" t="str">
            <v>C1003BB/C(T)</v>
          </cell>
          <cell r="B40">
            <v>13500</v>
          </cell>
          <cell r="C40">
            <v>1900</v>
          </cell>
          <cell r="D40">
            <v>3.5625000000000004E-2</v>
          </cell>
        </row>
        <row r="41">
          <cell r="A41" t="str">
            <v>C1003BP/C</v>
          </cell>
          <cell r="B41">
            <v>13500</v>
          </cell>
          <cell r="C41">
            <v>1800</v>
          </cell>
          <cell r="D41">
            <v>3.5625000000000004E-2</v>
          </cell>
        </row>
        <row r="42">
          <cell r="A42" t="str">
            <v>C1003BP/C(T)</v>
          </cell>
          <cell r="B42">
            <v>13500</v>
          </cell>
          <cell r="C42">
            <v>1800</v>
          </cell>
          <cell r="D42">
            <v>3.5625000000000004E-2</v>
          </cell>
        </row>
        <row r="43">
          <cell r="A43" t="str">
            <v>C1003BPF/C</v>
          </cell>
          <cell r="B43">
            <v>13500</v>
          </cell>
          <cell r="C43">
            <v>1800</v>
          </cell>
          <cell r="D43">
            <v>3.5625000000000004E-2</v>
          </cell>
        </row>
        <row r="44">
          <cell r="A44" t="str">
            <v>C1003BPF/C(T)</v>
          </cell>
          <cell r="B44">
            <v>13500</v>
          </cell>
          <cell r="C44">
            <v>1800</v>
          </cell>
          <cell r="D44">
            <v>3.5625000000000004E-2</v>
          </cell>
        </row>
        <row r="45">
          <cell r="A45" t="str">
            <v>C1003BPS/C</v>
          </cell>
          <cell r="B45">
            <v>12500</v>
          </cell>
          <cell r="C45">
            <v>1800</v>
          </cell>
          <cell r="D45">
            <v>3.5625000000000004E-2</v>
          </cell>
        </row>
        <row r="46">
          <cell r="A46" t="str">
            <v>C1003F/C</v>
          </cell>
          <cell r="B46">
            <v>13500</v>
          </cell>
          <cell r="C46">
            <v>1900</v>
          </cell>
          <cell r="D46">
            <v>3.5625000000000004E-2</v>
          </cell>
        </row>
        <row r="47">
          <cell r="A47" t="str">
            <v>C1003F/C14</v>
          </cell>
          <cell r="B47">
            <v>13400</v>
          </cell>
          <cell r="C47">
            <v>1900</v>
          </cell>
          <cell r="D47">
            <v>3.1640625000000006E-2</v>
          </cell>
        </row>
        <row r="48">
          <cell r="A48" t="str">
            <v>C1003NID/C</v>
          </cell>
          <cell r="B48">
            <v>13500</v>
          </cell>
          <cell r="C48">
            <v>1900</v>
          </cell>
          <cell r="D48">
            <v>3.5625000000000004E-2</v>
          </cell>
        </row>
        <row r="49">
          <cell r="A49" t="str">
            <v>C1003NID/C(T)</v>
          </cell>
          <cell r="B49">
            <v>13500</v>
          </cell>
          <cell r="C49">
            <v>1900</v>
          </cell>
          <cell r="D49">
            <v>3.5625000000000004E-2</v>
          </cell>
        </row>
        <row r="50">
          <cell r="A50" t="str">
            <v>C1003NO/C14</v>
          </cell>
          <cell r="B50">
            <v>12000</v>
          </cell>
          <cell r="C50">
            <v>1972</v>
          </cell>
          <cell r="D50">
            <v>3.1640625000000006E-2</v>
          </cell>
        </row>
        <row r="51">
          <cell r="A51" t="str">
            <v>C1003NO/C14(T)</v>
          </cell>
          <cell r="B51">
            <v>12000</v>
          </cell>
          <cell r="C51">
            <v>1972</v>
          </cell>
          <cell r="D51">
            <v>3.1640625000000006E-2</v>
          </cell>
        </row>
        <row r="52">
          <cell r="A52" t="str">
            <v>C1003SIG/C</v>
          </cell>
          <cell r="B52">
            <v>14000</v>
          </cell>
          <cell r="C52">
            <v>1998</v>
          </cell>
          <cell r="D52">
            <v>3.5625000000000004E-2</v>
          </cell>
        </row>
        <row r="53">
          <cell r="A53" t="str">
            <v>C1003SIG/C(T)</v>
          </cell>
          <cell r="B53">
            <v>14000</v>
          </cell>
          <cell r="C53">
            <v>1998</v>
          </cell>
          <cell r="D53">
            <v>3.5625000000000004E-2</v>
          </cell>
        </row>
        <row r="54">
          <cell r="A54" t="str">
            <v>C1003VS/C</v>
          </cell>
          <cell r="B54">
            <v>13500</v>
          </cell>
          <cell r="C54">
            <v>1900</v>
          </cell>
          <cell r="D54">
            <v>3.5625000000000004E-2</v>
          </cell>
        </row>
        <row r="55">
          <cell r="A55" t="str">
            <v>C1003VS/C(T)</v>
          </cell>
          <cell r="B55">
            <v>13500</v>
          </cell>
          <cell r="C55">
            <v>1900</v>
          </cell>
          <cell r="D55">
            <v>3.5625000000000004E-2</v>
          </cell>
        </row>
        <row r="56">
          <cell r="A56" t="str">
            <v>C1008CC</v>
          </cell>
          <cell r="B56">
            <v>13500</v>
          </cell>
          <cell r="C56">
            <v>1368</v>
          </cell>
          <cell r="D56">
            <v>2.6533499999999998E-2</v>
          </cell>
        </row>
        <row r="57">
          <cell r="A57" t="str">
            <v>C100MN</v>
          </cell>
          <cell r="B57">
            <v>15900</v>
          </cell>
          <cell r="C57">
            <v>1976</v>
          </cell>
          <cell r="D57">
            <v>5.6250000000000001E-2</v>
          </cell>
        </row>
        <row r="58">
          <cell r="A58" t="str">
            <v>C100MPT</v>
          </cell>
          <cell r="B58">
            <v>15900</v>
          </cell>
          <cell r="C58">
            <v>1996</v>
          </cell>
          <cell r="D58">
            <v>5.6250000000000001E-2</v>
          </cell>
        </row>
        <row r="59">
          <cell r="A59" t="str">
            <v>C100MPT/C14</v>
          </cell>
          <cell r="B59">
            <v>7700</v>
          </cell>
          <cell r="C59">
            <v>1000</v>
          </cell>
          <cell r="D59">
            <v>2.3039999999999998E-2</v>
          </cell>
        </row>
        <row r="60">
          <cell r="A60" t="str">
            <v>C100MPT/C14(T)</v>
          </cell>
          <cell r="B60">
            <v>7700</v>
          </cell>
          <cell r="C60">
            <v>1000</v>
          </cell>
          <cell r="D60">
            <v>2.3039999999999998E-2</v>
          </cell>
        </row>
        <row r="61">
          <cell r="A61" t="str">
            <v>C100MTS/C14</v>
          </cell>
          <cell r="B61">
            <v>7700</v>
          </cell>
          <cell r="C61">
            <v>1000</v>
          </cell>
          <cell r="D61">
            <v>2.3039999999999998E-2</v>
          </cell>
        </row>
        <row r="62">
          <cell r="A62" t="str">
            <v>C100MTS/C14(T)</v>
          </cell>
          <cell r="B62">
            <v>7700</v>
          </cell>
          <cell r="C62">
            <v>1000</v>
          </cell>
          <cell r="D62">
            <v>2.3039999999999998E-2</v>
          </cell>
        </row>
        <row r="63">
          <cell r="A63" t="str">
            <v>C10545GI/C</v>
          </cell>
          <cell r="B63">
            <v>36000</v>
          </cell>
          <cell r="C63">
            <v>3000</v>
          </cell>
          <cell r="D63">
            <v>9.9066000000000015E-2</v>
          </cell>
        </row>
        <row r="64">
          <cell r="A64" t="str">
            <v>C10545GI/C(T)</v>
          </cell>
          <cell r="B64">
            <v>36000</v>
          </cell>
          <cell r="C64">
            <v>3000</v>
          </cell>
          <cell r="D64">
            <v>9.9066000000000015E-2</v>
          </cell>
        </row>
        <row r="65">
          <cell r="A65" t="str">
            <v>C106MB</v>
          </cell>
          <cell r="B65">
            <v>16000</v>
          </cell>
          <cell r="C65">
            <v>1990</v>
          </cell>
          <cell r="D65">
            <v>4.6068749999999999E-2</v>
          </cell>
        </row>
        <row r="66">
          <cell r="A66" t="str">
            <v>C106MB E</v>
          </cell>
          <cell r="B66">
            <v>7005</v>
          </cell>
          <cell r="D66">
            <v>2.3034374999999999E-2</v>
          </cell>
        </row>
        <row r="67">
          <cell r="A67" t="str">
            <v>C106MH</v>
          </cell>
          <cell r="B67">
            <v>16000</v>
          </cell>
          <cell r="C67">
            <v>1990</v>
          </cell>
          <cell r="D67">
            <v>4.6068749999999999E-2</v>
          </cell>
        </row>
        <row r="68">
          <cell r="A68" t="str">
            <v>C106MH E</v>
          </cell>
          <cell r="B68">
            <v>7005</v>
          </cell>
          <cell r="D68">
            <v>2.3034374999999999E-2</v>
          </cell>
        </row>
        <row r="69">
          <cell r="A69" t="str">
            <v>C109MG</v>
          </cell>
          <cell r="B69">
            <v>14500</v>
          </cell>
          <cell r="C69">
            <v>1996</v>
          </cell>
          <cell r="D69">
            <v>3.7976249999999996E-2</v>
          </cell>
        </row>
        <row r="70">
          <cell r="A70" t="str">
            <v>C109MM</v>
          </cell>
          <cell r="B70">
            <v>14500</v>
          </cell>
          <cell r="C70">
            <v>1996</v>
          </cell>
          <cell r="D70">
            <v>3.7976249999999996E-2</v>
          </cell>
        </row>
        <row r="71">
          <cell r="A71" t="str">
            <v>C111MF/C</v>
          </cell>
          <cell r="B71">
            <v>17500</v>
          </cell>
          <cell r="C71">
            <v>1996</v>
          </cell>
          <cell r="D71">
            <v>6.0786E-2</v>
          </cell>
        </row>
        <row r="72">
          <cell r="A72" t="str">
            <v>C111MF/C(T)</v>
          </cell>
          <cell r="B72">
            <v>17500</v>
          </cell>
          <cell r="C72">
            <v>1996</v>
          </cell>
          <cell r="D72">
            <v>6.0786E-2</v>
          </cell>
        </row>
        <row r="73">
          <cell r="A73" t="str">
            <v>C1163MB/C14</v>
          </cell>
          <cell r="B73">
            <v>19500</v>
          </cell>
          <cell r="C73">
            <v>1992</v>
          </cell>
          <cell r="D73">
            <v>0.102384</v>
          </cell>
        </row>
        <row r="74">
          <cell r="A74" t="str">
            <v>C1163MB/C14(T)</v>
          </cell>
          <cell r="B74">
            <v>19500</v>
          </cell>
          <cell r="C74">
            <v>1992</v>
          </cell>
          <cell r="D74">
            <v>0.102384</v>
          </cell>
        </row>
        <row r="75">
          <cell r="A75" t="str">
            <v>C12230XPT/C14</v>
          </cell>
          <cell r="B75">
            <v>18500</v>
          </cell>
          <cell r="C75">
            <v>1998</v>
          </cell>
          <cell r="D75">
            <v>4.9687500000000002E-2</v>
          </cell>
        </row>
        <row r="76">
          <cell r="A76" t="str">
            <v>C12230XPT/C14(T)</v>
          </cell>
          <cell r="B76">
            <v>18500</v>
          </cell>
          <cell r="C76">
            <v>1998</v>
          </cell>
          <cell r="D76">
            <v>4.9687500000000002E-2</v>
          </cell>
        </row>
        <row r="77">
          <cell r="A77" t="str">
            <v>C12820F/C</v>
          </cell>
          <cell r="B77">
            <v>6350</v>
          </cell>
          <cell r="C77">
            <v>996</v>
          </cell>
          <cell r="D77">
            <v>1.2937624999999998E-2</v>
          </cell>
        </row>
        <row r="78">
          <cell r="A78" t="str">
            <v>C12820F/C(T)</v>
          </cell>
          <cell r="B78">
            <v>6350</v>
          </cell>
          <cell r="C78">
            <v>996</v>
          </cell>
          <cell r="D78">
            <v>1.2937624999999998E-2</v>
          </cell>
        </row>
        <row r="79">
          <cell r="A79" t="str">
            <v>C12820F/C14</v>
          </cell>
          <cell r="B79">
            <v>6350</v>
          </cell>
          <cell r="C79">
            <v>996</v>
          </cell>
          <cell r="D79">
            <v>1.2937624999999998E-2</v>
          </cell>
        </row>
        <row r="80">
          <cell r="A80" t="str">
            <v>C12820F/C14 E</v>
          </cell>
        </row>
        <row r="81">
          <cell r="A81" t="str">
            <v>C12820F/C14(T)</v>
          </cell>
          <cell r="B81">
            <v>6350</v>
          </cell>
          <cell r="C81">
            <v>996</v>
          </cell>
          <cell r="D81">
            <v>1.2937624999999998E-2</v>
          </cell>
        </row>
        <row r="82">
          <cell r="A82" t="str">
            <v>C12820NID/C</v>
          </cell>
          <cell r="B82">
            <v>6000</v>
          </cell>
          <cell r="C82">
            <v>996</v>
          </cell>
          <cell r="D82">
            <v>1.2937624999999998E-2</v>
          </cell>
        </row>
        <row r="83">
          <cell r="A83" t="str">
            <v>C12820NID/C(T)</v>
          </cell>
          <cell r="B83">
            <v>6000</v>
          </cell>
          <cell r="C83">
            <v>996</v>
          </cell>
          <cell r="D83">
            <v>1.2937624999999998E-2</v>
          </cell>
        </row>
        <row r="84">
          <cell r="A84" t="str">
            <v>C128MS/C14</v>
          </cell>
          <cell r="B84">
            <v>8000</v>
          </cell>
          <cell r="C84">
            <v>990</v>
          </cell>
          <cell r="D84">
            <v>1.8926249999999999E-2</v>
          </cell>
        </row>
        <row r="85">
          <cell r="A85" t="str">
            <v>C128MS/C14(T)</v>
          </cell>
          <cell r="B85">
            <v>8000</v>
          </cell>
          <cell r="C85">
            <v>990</v>
          </cell>
          <cell r="D85">
            <v>1.8926249999999999E-2</v>
          </cell>
        </row>
        <row r="86">
          <cell r="A86" t="str">
            <v>C128XMB/C</v>
          </cell>
          <cell r="B86">
            <v>20500</v>
          </cell>
          <cell r="C86">
            <v>1996</v>
          </cell>
          <cell r="D86">
            <v>6.7306249999999998E-2</v>
          </cell>
        </row>
        <row r="87">
          <cell r="A87" t="str">
            <v>C128XMB/C(T)</v>
          </cell>
          <cell r="B87">
            <v>20500</v>
          </cell>
          <cell r="C87">
            <v>1996</v>
          </cell>
          <cell r="D87">
            <v>6.7306249999999998E-2</v>
          </cell>
        </row>
        <row r="88">
          <cell r="A88" t="str">
            <v>C128XMPT/C</v>
          </cell>
          <cell r="B88">
            <v>20000</v>
          </cell>
          <cell r="C88">
            <v>1998</v>
          </cell>
          <cell r="D88">
            <v>6.7306249999999998E-2</v>
          </cell>
        </row>
        <row r="89">
          <cell r="A89" t="str">
            <v>C128XMPT/C(T)</v>
          </cell>
          <cell r="B89">
            <v>20000</v>
          </cell>
          <cell r="C89">
            <v>1998</v>
          </cell>
          <cell r="D89">
            <v>6.7306249999999998E-2</v>
          </cell>
        </row>
        <row r="90">
          <cell r="A90" t="str">
            <v>C13020B</v>
          </cell>
          <cell r="B90">
            <v>17200</v>
          </cell>
          <cell r="C90">
            <v>2991</v>
          </cell>
          <cell r="D90">
            <v>3.8808000000000002E-2</v>
          </cell>
        </row>
        <row r="91">
          <cell r="A91" t="str">
            <v>C13020B E</v>
          </cell>
          <cell r="B91">
            <v>4737</v>
          </cell>
          <cell r="D91">
            <v>1.2936000000000001E-2</v>
          </cell>
        </row>
        <row r="92">
          <cell r="A92" t="str">
            <v>C13020BP</v>
          </cell>
          <cell r="B92">
            <v>17000</v>
          </cell>
          <cell r="C92">
            <v>2730</v>
          </cell>
          <cell r="D92">
            <v>3.8808000000000002E-2</v>
          </cell>
        </row>
        <row r="93">
          <cell r="A93" t="str">
            <v>C13020M</v>
          </cell>
          <cell r="B93">
            <v>17600</v>
          </cell>
          <cell r="C93">
            <v>2991</v>
          </cell>
          <cell r="D93">
            <v>3.8808000000000002E-2</v>
          </cell>
        </row>
        <row r="94">
          <cell r="A94" t="str">
            <v>C13020M E</v>
          </cell>
          <cell r="D94" t="str">
            <v/>
          </cell>
        </row>
        <row r="95">
          <cell r="A95" t="str">
            <v>C13220B/C</v>
          </cell>
          <cell r="B95">
            <v>7300</v>
          </cell>
          <cell r="C95">
            <v>980</v>
          </cell>
          <cell r="D95">
            <v>2.8262499999999999E-2</v>
          </cell>
        </row>
        <row r="96">
          <cell r="A96" t="str">
            <v>C13220B/C(T)</v>
          </cell>
          <cell r="B96">
            <v>7300</v>
          </cell>
          <cell r="C96">
            <v>980</v>
          </cell>
          <cell r="D96">
            <v>2.8262499999999999E-2</v>
          </cell>
        </row>
        <row r="97">
          <cell r="A97" t="str">
            <v>C13220B/C14</v>
          </cell>
          <cell r="B97">
            <v>8000</v>
          </cell>
          <cell r="C97">
            <v>980</v>
          </cell>
          <cell r="D97">
            <v>2.8262499999999999E-2</v>
          </cell>
        </row>
        <row r="98">
          <cell r="A98" t="str">
            <v>C13220B/C14(T)</v>
          </cell>
          <cell r="B98">
            <v>8000</v>
          </cell>
          <cell r="C98">
            <v>980</v>
          </cell>
          <cell r="D98">
            <v>2.8262499999999999E-2</v>
          </cell>
        </row>
        <row r="99">
          <cell r="A99" t="str">
            <v>C13220TS/C14</v>
          </cell>
          <cell r="B99">
            <v>8000</v>
          </cell>
          <cell r="C99">
            <v>980</v>
          </cell>
          <cell r="D99">
            <v>2.8262499999999999E-2</v>
          </cell>
        </row>
        <row r="100">
          <cell r="A100" t="str">
            <v>C13220TS/C14(T)</v>
          </cell>
          <cell r="B100">
            <v>8000</v>
          </cell>
          <cell r="C100">
            <v>980</v>
          </cell>
          <cell r="D100">
            <v>2.8262499999999999E-2</v>
          </cell>
        </row>
        <row r="101">
          <cell r="A101" t="str">
            <v>C132XMPT/C</v>
          </cell>
          <cell r="B101">
            <v>13500</v>
          </cell>
          <cell r="C101">
            <v>2000</v>
          </cell>
          <cell r="D101">
            <v>3.9199999999999999E-2</v>
          </cell>
        </row>
        <row r="102">
          <cell r="A102" t="str">
            <v>C132XMPT/C(T)</v>
          </cell>
          <cell r="B102">
            <v>13500</v>
          </cell>
          <cell r="C102">
            <v>2000</v>
          </cell>
          <cell r="D102">
            <v>3.9199999999999999E-2</v>
          </cell>
        </row>
        <row r="103">
          <cell r="A103" t="str">
            <v>C132XMPT/C14</v>
          </cell>
          <cell r="B103">
            <v>13500</v>
          </cell>
          <cell r="C103">
            <v>2000</v>
          </cell>
          <cell r="D103">
            <v>3.9199999999999999E-2</v>
          </cell>
        </row>
        <row r="104">
          <cell r="A104" t="str">
            <v>C132XMPT/C14(T)</v>
          </cell>
          <cell r="B104">
            <v>13500</v>
          </cell>
          <cell r="C104">
            <v>2000</v>
          </cell>
          <cell r="D104">
            <v>3.9199999999999999E-2</v>
          </cell>
        </row>
        <row r="105">
          <cell r="A105" t="str">
            <v>C13420B</v>
          </cell>
          <cell r="B105">
            <v>13500</v>
          </cell>
          <cell r="C105">
            <v>1998</v>
          </cell>
          <cell r="D105">
            <v>4.6479999999999994E-2</v>
          </cell>
        </row>
        <row r="106">
          <cell r="A106" t="str">
            <v>C13420B E</v>
          </cell>
          <cell r="B106">
            <v>5751</v>
          </cell>
          <cell r="D106">
            <v>2.3239999999999997E-2</v>
          </cell>
        </row>
        <row r="107">
          <cell r="A107" t="str">
            <v>C13420H</v>
          </cell>
          <cell r="B107">
            <v>13500</v>
          </cell>
          <cell r="C107">
            <v>1998</v>
          </cell>
          <cell r="D107">
            <v>4.6479999999999994E-2</v>
          </cell>
        </row>
        <row r="108">
          <cell r="A108" t="str">
            <v>C13420H E</v>
          </cell>
          <cell r="B108">
            <v>5751</v>
          </cell>
          <cell r="D108">
            <v>2.3239999999999997E-2</v>
          </cell>
        </row>
        <row r="109">
          <cell r="A109" t="str">
            <v>C136XMK/C14</v>
          </cell>
          <cell r="B109">
            <v>9500</v>
          </cell>
          <cell r="C109">
            <v>1000</v>
          </cell>
          <cell r="D109">
            <v>3.2543999999999997E-2</v>
          </cell>
        </row>
        <row r="110">
          <cell r="A110" t="str">
            <v>C136XMK/C14(T)</v>
          </cell>
          <cell r="B110">
            <v>9500</v>
          </cell>
          <cell r="C110">
            <v>1000</v>
          </cell>
          <cell r="D110">
            <v>3.2543999999999997E-2</v>
          </cell>
        </row>
        <row r="111">
          <cell r="A111" t="str">
            <v>C136XMTS/C14</v>
          </cell>
          <cell r="B111">
            <v>9500</v>
          </cell>
          <cell r="C111">
            <v>1000</v>
          </cell>
          <cell r="D111">
            <v>3.2543999999999997E-2</v>
          </cell>
        </row>
        <row r="112">
          <cell r="A112" t="str">
            <v>C136XMTS/C14(T)</v>
          </cell>
          <cell r="B112">
            <v>9500</v>
          </cell>
          <cell r="C112">
            <v>1000</v>
          </cell>
          <cell r="D112">
            <v>3.2543999999999997E-2</v>
          </cell>
        </row>
        <row r="113">
          <cell r="A113" t="str">
            <v>C14025XFS/C</v>
          </cell>
          <cell r="B113">
            <v>12800</v>
          </cell>
          <cell r="C113">
            <v>1820</v>
          </cell>
          <cell r="D113">
            <v>3.7949999999999998E-2</v>
          </cell>
        </row>
        <row r="114">
          <cell r="A114" t="str">
            <v>C14025XFS/C(T)</v>
          </cell>
          <cell r="B114">
            <v>12800</v>
          </cell>
          <cell r="C114">
            <v>1820</v>
          </cell>
          <cell r="D114">
            <v>3.7949999999999998E-2</v>
          </cell>
        </row>
        <row r="115">
          <cell r="A115" t="str">
            <v>C14025XFS/C14</v>
          </cell>
          <cell r="B115">
            <v>12800</v>
          </cell>
          <cell r="C115">
            <v>1820</v>
          </cell>
          <cell r="D115">
            <v>3.7949999999999998E-2</v>
          </cell>
        </row>
        <row r="116">
          <cell r="A116" t="str">
            <v>C14025XFS/C14(T)</v>
          </cell>
          <cell r="B116">
            <v>12800</v>
          </cell>
          <cell r="C116">
            <v>1820</v>
          </cell>
          <cell r="D116">
            <v>3.7949999999999998E-2</v>
          </cell>
        </row>
        <row r="117">
          <cell r="A117" t="str">
            <v>C1503BPF/C</v>
          </cell>
          <cell r="B117">
            <v>20000</v>
          </cell>
          <cell r="C117">
            <v>2700</v>
          </cell>
          <cell r="D117">
            <v>5.2724999999999994E-2</v>
          </cell>
        </row>
        <row r="118">
          <cell r="A118" t="str">
            <v>C1503BPF/C(T)</v>
          </cell>
          <cell r="B118">
            <v>20000</v>
          </cell>
          <cell r="C118">
            <v>2700</v>
          </cell>
          <cell r="D118">
            <v>5.2724999999999994E-2</v>
          </cell>
        </row>
        <row r="119">
          <cell r="A119" t="str">
            <v>C1503X/C</v>
          </cell>
          <cell r="B119">
            <v>21000</v>
          </cell>
          <cell r="C119">
            <v>2850</v>
          </cell>
          <cell r="D119">
            <v>5.2724999999999994E-2</v>
          </cell>
        </row>
        <row r="120">
          <cell r="A120" t="str">
            <v>C1503X/C(T)</v>
          </cell>
          <cell r="B120">
            <v>19200</v>
          </cell>
          <cell r="C120">
            <v>2850</v>
          </cell>
          <cell r="D120">
            <v>5.2724999999999994E-2</v>
          </cell>
        </row>
        <row r="121">
          <cell r="A121" t="str">
            <v>C150MF/C</v>
          </cell>
          <cell r="B121">
            <v>11700</v>
          </cell>
          <cell r="C121">
            <v>1485</v>
          </cell>
          <cell r="D121">
            <v>3.5751999999999999E-2</v>
          </cell>
        </row>
        <row r="122">
          <cell r="A122" t="str">
            <v>C150MF/C(T)</v>
          </cell>
          <cell r="B122">
            <v>11700</v>
          </cell>
          <cell r="C122">
            <v>1485</v>
          </cell>
          <cell r="D122">
            <v>3.5751999999999999E-2</v>
          </cell>
        </row>
        <row r="123">
          <cell r="A123" t="str">
            <v>C150MF/C14</v>
          </cell>
          <cell r="B123">
            <v>11500</v>
          </cell>
          <cell r="C123">
            <v>1485</v>
          </cell>
          <cell r="D123">
            <v>3.5751999999999999E-2</v>
          </cell>
        </row>
        <row r="124">
          <cell r="A124" t="str">
            <v>C150MF/C14(T)</v>
          </cell>
          <cell r="B124">
            <v>11500</v>
          </cell>
          <cell r="C124">
            <v>1485</v>
          </cell>
          <cell r="D124">
            <v>3.5751999999999999E-2</v>
          </cell>
        </row>
        <row r="125">
          <cell r="A125" t="str">
            <v>C150MPT/C</v>
          </cell>
          <cell r="B125">
            <v>11700</v>
          </cell>
          <cell r="C125">
            <v>1498</v>
          </cell>
          <cell r="D125">
            <v>3.5751999999999999E-2</v>
          </cell>
        </row>
        <row r="126">
          <cell r="A126" t="str">
            <v>C150MPT/C(T)</v>
          </cell>
          <cell r="B126">
            <v>11700</v>
          </cell>
          <cell r="C126">
            <v>1498</v>
          </cell>
          <cell r="D126">
            <v>3.5751999999999999E-2</v>
          </cell>
        </row>
        <row r="127">
          <cell r="A127" t="str">
            <v>C1614E14</v>
          </cell>
          <cell r="B127">
            <v>14500</v>
          </cell>
          <cell r="C127">
            <v>2100</v>
          </cell>
          <cell r="D127">
            <v>2.7436000000000002E-2</v>
          </cell>
        </row>
        <row r="128">
          <cell r="A128" t="str">
            <v>C1614E14 E</v>
          </cell>
          <cell r="B128">
            <v>248</v>
          </cell>
          <cell r="D128">
            <v>5.4872000000000005E-4</v>
          </cell>
        </row>
        <row r="129">
          <cell r="A129" t="str">
            <v>C1620BPF</v>
          </cell>
          <cell r="B129">
            <v>17796</v>
          </cell>
          <cell r="C129">
            <v>2640</v>
          </cell>
          <cell r="D129">
            <v>3.6861500000000005E-2</v>
          </cell>
        </row>
        <row r="130">
          <cell r="A130" t="str">
            <v>C1620DU</v>
          </cell>
          <cell r="B130">
            <v>17500</v>
          </cell>
          <cell r="C130">
            <v>3072</v>
          </cell>
          <cell r="D130">
            <v>3.6861500000000005E-2</v>
          </cell>
        </row>
        <row r="131">
          <cell r="A131" t="str">
            <v>C1620DU(5)</v>
          </cell>
          <cell r="B131">
            <v>17500</v>
          </cell>
          <cell r="C131">
            <v>3072</v>
          </cell>
          <cell r="D131">
            <v>3.6861500000000005E-2</v>
          </cell>
        </row>
        <row r="132">
          <cell r="A132" t="str">
            <v>C1620DU(S)</v>
          </cell>
          <cell r="B132">
            <v>17500</v>
          </cell>
          <cell r="C132">
            <v>3072</v>
          </cell>
          <cell r="D132">
            <v>3.6861500000000005E-2</v>
          </cell>
        </row>
        <row r="133">
          <cell r="A133" t="str">
            <v>C1620F</v>
          </cell>
          <cell r="B133">
            <v>18500</v>
          </cell>
          <cell r="C133">
            <v>3072</v>
          </cell>
          <cell r="D133">
            <v>3.6861500000000005E-2</v>
          </cell>
        </row>
        <row r="134">
          <cell r="A134" t="str">
            <v>C1620F14</v>
          </cell>
          <cell r="B134">
            <v>17800</v>
          </cell>
          <cell r="C134">
            <v>3072</v>
          </cell>
          <cell r="D134">
            <v>3.6861500000000005E-2</v>
          </cell>
        </row>
        <row r="135">
          <cell r="A135" t="str">
            <v>C1620F14 E</v>
          </cell>
        </row>
        <row r="136">
          <cell r="A136" t="str">
            <v>C1620H</v>
          </cell>
          <cell r="B136">
            <v>16000</v>
          </cell>
          <cell r="C136">
            <v>3072</v>
          </cell>
          <cell r="D136">
            <v>3.6861500000000005E-2</v>
          </cell>
        </row>
        <row r="137">
          <cell r="A137" t="str">
            <v>C1620H14</v>
          </cell>
          <cell r="B137">
            <v>18300</v>
          </cell>
          <cell r="C137">
            <v>3072</v>
          </cell>
          <cell r="D137">
            <v>3.6861500000000005E-2</v>
          </cell>
        </row>
        <row r="138">
          <cell r="A138" t="str">
            <v>C1620M</v>
          </cell>
          <cell r="B138">
            <v>18500</v>
          </cell>
          <cell r="C138">
            <v>3072</v>
          </cell>
          <cell r="D138">
            <v>3.6861500000000005E-2</v>
          </cell>
        </row>
        <row r="139">
          <cell r="A139" t="str">
            <v>C1620M E</v>
          </cell>
          <cell r="B139">
            <v>643</v>
          </cell>
          <cell r="D139">
            <v>1.5358958333333336E-3</v>
          </cell>
        </row>
        <row r="140">
          <cell r="A140" t="str">
            <v>C1620M14</v>
          </cell>
          <cell r="B140">
            <v>17916</v>
          </cell>
          <cell r="C140">
            <v>3072</v>
          </cell>
          <cell r="D140">
            <v>3.6861500000000005E-2</v>
          </cell>
        </row>
        <row r="141">
          <cell r="A141" t="str">
            <v>C1620N</v>
          </cell>
          <cell r="B141">
            <v>17000</v>
          </cell>
          <cell r="C141">
            <v>3072</v>
          </cell>
          <cell r="D141">
            <v>3.6861500000000005E-2</v>
          </cell>
        </row>
        <row r="142">
          <cell r="A142" t="str">
            <v>C1620N14</v>
          </cell>
          <cell r="B142">
            <v>18300</v>
          </cell>
          <cell r="C142">
            <v>3072</v>
          </cell>
          <cell r="D142">
            <v>3.6861500000000005E-2</v>
          </cell>
        </row>
        <row r="143">
          <cell r="A143" t="str">
            <v>C1625B</v>
          </cell>
          <cell r="B143">
            <v>15000</v>
          </cell>
          <cell r="C143">
            <v>2496</v>
          </cell>
          <cell r="D143">
            <v>3.2864000000000004E-2</v>
          </cell>
        </row>
        <row r="144">
          <cell r="A144" t="str">
            <v>C1625B14</v>
          </cell>
          <cell r="B144">
            <v>15200</v>
          </cell>
          <cell r="C144">
            <v>2496</v>
          </cell>
          <cell r="D144">
            <v>3.2864000000000004E-2</v>
          </cell>
        </row>
        <row r="145">
          <cell r="A145" t="str">
            <v>C1625BPF</v>
          </cell>
          <cell r="B145">
            <v>15000</v>
          </cell>
          <cell r="C145">
            <v>2496</v>
          </cell>
          <cell r="D145">
            <v>3.2864000000000004E-2</v>
          </cell>
        </row>
        <row r="146">
          <cell r="A146" t="str">
            <v>C1625D</v>
          </cell>
          <cell r="B146">
            <v>14500</v>
          </cell>
          <cell r="C146">
            <v>2496</v>
          </cell>
          <cell r="D146">
            <v>3.2864000000000004E-2</v>
          </cell>
        </row>
        <row r="147">
          <cell r="A147" t="str">
            <v>C1625D14</v>
          </cell>
          <cell r="B147">
            <v>15000</v>
          </cell>
          <cell r="C147">
            <v>2496</v>
          </cell>
          <cell r="D147">
            <v>3.2864000000000004E-2</v>
          </cell>
        </row>
        <row r="148">
          <cell r="A148" t="str">
            <v>C1625F</v>
          </cell>
          <cell r="B148">
            <v>15400</v>
          </cell>
          <cell r="C148">
            <v>2496</v>
          </cell>
          <cell r="D148">
            <v>3.2864000000000004E-2</v>
          </cell>
        </row>
        <row r="149">
          <cell r="A149" t="str">
            <v>C1625F14</v>
          </cell>
          <cell r="B149">
            <v>15060</v>
          </cell>
          <cell r="C149">
            <v>2496</v>
          </cell>
          <cell r="D149">
            <v>3.2864000000000004E-2</v>
          </cell>
        </row>
        <row r="150">
          <cell r="A150" t="str">
            <v>C1625G</v>
          </cell>
          <cell r="B150">
            <v>16000</v>
          </cell>
          <cell r="C150">
            <v>2496</v>
          </cell>
          <cell r="D150">
            <v>3.2864000000000004E-2</v>
          </cell>
        </row>
        <row r="151">
          <cell r="A151" t="str">
            <v>C163A</v>
          </cell>
          <cell r="B151">
            <v>18500</v>
          </cell>
          <cell r="C151">
            <v>3040</v>
          </cell>
          <cell r="D151">
            <v>4.6068749999999999E-2</v>
          </cell>
        </row>
        <row r="152">
          <cell r="A152" t="str">
            <v>C163A14</v>
          </cell>
          <cell r="B152">
            <v>18500</v>
          </cell>
          <cell r="C152">
            <v>3040</v>
          </cell>
          <cell r="D152">
            <v>4.6068749999999999E-2</v>
          </cell>
        </row>
        <row r="153">
          <cell r="A153" t="str">
            <v>C163B</v>
          </cell>
          <cell r="B153">
            <v>18500</v>
          </cell>
          <cell r="C153">
            <v>3040</v>
          </cell>
          <cell r="D153">
            <v>4.6068749999999999E-2</v>
          </cell>
        </row>
        <row r="154">
          <cell r="A154" t="str">
            <v>C163BP</v>
          </cell>
          <cell r="B154">
            <v>18500</v>
          </cell>
          <cell r="C154">
            <v>2800</v>
          </cell>
          <cell r="D154">
            <v>4.6068749999999999E-2</v>
          </cell>
        </row>
        <row r="155">
          <cell r="A155" t="str">
            <v>C163E</v>
          </cell>
          <cell r="B155">
            <v>18500</v>
          </cell>
          <cell r="C155">
            <v>3040</v>
          </cell>
          <cell r="D155">
            <v>4.6068749999999999E-2</v>
          </cell>
        </row>
        <row r="156">
          <cell r="A156" t="str">
            <v>C163K</v>
          </cell>
          <cell r="B156">
            <v>18500</v>
          </cell>
          <cell r="C156">
            <v>3040</v>
          </cell>
          <cell r="D156">
            <v>4.6068749999999999E-2</v>
          </cell>
        </row>
        <row r="157">
          <cell r="A157" t="str">
            <v>C163L</v>
          </cell>
          <cell r="B157">
            <v>18500</v>
          </cell>
          <cell r="C157">
            <v>3040</v>
          </cell>
          <cell r="D157">
            <v>4.6068749999999999E-2</v>
          </cell>
        </row>
        <row r="158">
          <cell r="A158" t="str">
            <v>C163SIG</v>
          </cell>
          <cell r="B158">
            <v>18500</v>
          </cell>
          <cell r="C158">
            <v>4000</v>
          </cell>
          <cell r="D158">
            <v>4.6068749999999999E-2</v>
          </cell>
        </row>
        <row r="159">
          <cell r="A159" t="str">
            <v>C165D E</v>
          </cell>
          <cell r="D159">
            <v>1.7749999999999998E-2</v>
          </cell>
        </row>
        <row r="160">
          <cell r="A160" t="str">
            <v>C165JA</v>
          </cell>
          <cell r="B160">
            <v>18500</v>
          </cell>
          <cell r="C160">
            <v>2400</v>
          </cell>
          <cell r="D160">
            <v>5.3249999999999999E-2</v>
          </cell>
        </row>
        <row r="161">
          <cell r="A161" t="str">
            <v>C165P</v>
          </cell>
          <cell r="B161">
            <v>19000</v>
          </cell>
          <cell r="C161">
            <v>2400</v>
          </cell>
          <cell r="D161">
            <v>5.3249999999999999E-2</v>
          </cell>
        </row>
        <row r="162">
          <cell r="A162" t="str">
            <v>C165P E</v>
          </cell>
          <cell r="B162">
            <v>5534</v>
          </cell>
          <cell r="D162">
            <v>1.7749999999999998E-2</v>
          </cell>
        </row>
        <row r="163">
          <cell r="A163" t="str">
            <v>C1675V</v>
          </cell>
          <cell r="B163">
            <v>11000</v>
          </cell>
          <cell r="C163">
            <v>2400</v>
          </cell>
          <cell r="D163">
            <v>5.8601624999999997E-2</v>
          </cell>
        </row>
        <row r="164">
          <cell r="A164" t="str">
            <v>C168MF/C</v>
          </cell>
          <cell r="B164">
            <v>32000</v>
          </cell>
          <cell r="C164">
            <v>3996</v>
          </cell>
          <cell r="D164">
            <v>9.2201309999999981E-2</v>
          </cell>
        </row>
        <row r="165">
          <cell r="A165" t="str">
            <v>C168MF/C(T)</v>
          </cell>
          <cell r="B165">
            <v>32000</v>
          </cell>
          <cell r="C165">
            <v>3996</v>
          </cell>
          <cell r="D165">
            <v>9.2201309999999981E-2</v>
          </cell>
        </row>
        <row r="166">
          <cell r="A166" t="str">
            <v>C175MF/C</v>
          </cell>
          <cell r="B166">
            <v>28300</v>
          </cell>
          <cell r="C166">
            <v>2994</v>
          </cell>
          <cell r="D166">
            <v>9.8549999999999999E-2</v>
          </cell>
        </row>
        <row r="167">
          <cell r="A167" t="str">
            <v>C175MF/C(T)</v>
          </cell>
          <cell r="B167">
            <v>28300</v>
          </cell>
          <cell r="C167">
            <v>2994</v>
          </cell>
          <cell r="D167">
            <v>9.8549999999999999E-2</v>
          </cell>
        </row>
        <row r="168">
          <cell r="A168" t="str">
            <v>C175MSIG/C</v>
          </cell>
          <cell r="B168">
            <v>28600</v>
          </cell>
          <cell r="C168">
            <v>2998</v>
          </cell>
          <cell r="D168">
            <v>9.8549999999999999E-2</v>
          </cell>
        </row>
        <row r="169">
          <cell r="A169" t="str">
            <v>C175MSIG/C(T)</v>
          </cell>
          <cell r="B169">
            <v>28600</v>
          </cell>
          <cell r="C169">
            <v>2998</v>
          </cell>
          <cell r="D169">
            <v>9.8549999999999999E-2</v>
          </cell>
        </row>
        <row r="170">
          <cell r="A170" t="str">
            <v>C17825W/C</v>
          </cell>
          <cell r="B170">
            <v>17300</v>
          </cell>
          <cell r="C170">
            <v>1990</v>
          </cell>
          <cell r="D170">
            <v>5.1275624999999991E-2</v>
          </cell>
        </row>
        <row r="171">
          <cell r="A171" t="str">
            <v>C17825W/C(T)</v>
          </cell>
          <cell r="B171">
            <v>17300</v>
          </cell>
          <cell r="C171">
            <v>1990</v>
          </cell>
          <cell r="D171">
            <v>5.1275624999999991E-2</v>
          </cell>
        </row>
        <row r="172">
          <cell r="A172" t="str">
            <v>C18020SIG/C</v>
          </cell>
          <cell r="B172">
            <v>9000</v>
          </cell>
          <cell r="C172">
            <v>1980</v>
          </cell>
          <cell r="D172">
            <v>1.6449999999999999E-2</v>
          </cell>
        </row>
        <row r="173">
          <cell r="A173" t="str">
            <v>C18020SIG/C(T)</v>
          </cell>
          <cell r="B173">
            <v>9000</v>
          </cell>
          <cell r="C173">
            <v>1980</v>
          </cell>
          <cell r="D173">
            <v>1.6449999999999999E-2</v>
          </cell>
        </row>
        <row r="174">
          <cell r="A174" t="str">
            <v>C180MA</v>
          </cell>
          <cell r="B174">
            <v>45000</v>
          </cell>
          <cell r="C174">
            <v>5720</v>
          </cell>
          <cell r="D174">
            <v>0.14663249999999997</v>
          </cell>
        </row>
        <row r="175">
          <cell r="A175" t="str">
            <v>C19220F/C</v>
          </cell>
          <cell r="B175">
            <v>9580</v>
          </cell>
          <cell r="C175">
            <v>1494</v>
          </cell>
          <cell r="D175">
            <v>1.8269999999999998E-2</v>
          </cell>
        </row>
        <row r="176">
          <cell r="A176" t="str">
            <v>C19220F/C(T)</v>
          </cell>
          <cell r="B176">
            <v>9580</v>
          </cell>
          <cell r="C176">
            <v>1494</v>
          </cell>
          <cell r="D176">
            <v>1.8269999999999998E-2</v>
          </cell>
        </row>
        <row r="177">
          <cell r="A177" t="str">
            <v>C19220F/C14</v>
          </cell>
          <cell r="B177">
            <v>9580</v>
          </cell>
          <cell r="C177">
            <v>1494</v>
          </cell>
          <cell r="D177">
            <v>1.8269999999999998E-2</v>
          </cell>
        </row>
        <row r="178">
          <cell r="A178" t="str">
            <v>C19220F/C14(T)</v>
          </cell>
          <cell r="B178">
            <v>9580</v>
          </cell>
          <cell r="C178">
            <v>1494</v>
          </cell>
          <cell r="D178">
            <v>1.8269999999999998E-2</v>
          </cell>
        </row>
        <row r="179">
          <cell r="A179" t="str">
            <v>C19225MF/C14</v>
          </cell>
          <cell r="B179">
            <v>18000</v>
          </cell>
          <cell r="C179">
            <v>1984</v>
          </cell>
          <cell r="D179">
            <v>4.8234375000000003E-2</v>
          </cell>
        </row>
        <row r="180">
          <cell r="A180" t="str">
            <v>C19225MF/C14(T)</v>
          </cell>
          <cell r="B180">
            <v>18000</v>
          </cell>
          <cell r="C180">
            <v>1984</v>
          </cell>
          <cell r="D180">
            <v>4.8234375000000003E-2</v>
          </cell>
        </row>
        <row r="181">
          <cell r="A181" t="str">
            <v>C1923XMF/C</v>
          </cell>
          <cell r="B181">
            <v>29500</v>
          </cell>
          <cell r="C181">
            <v>2994</v>
          </cell>
          <cell r="D181">
            <v>0.10326225</v>
          </cell>
        </row>
        <row r="182">
          <cell r="A182" t="str">
            <v>C193BP</v>
          </cell>
          <cell r="B182">
            <v>17600</v>
          </cell>
          <cell r="C182">
            <v>2584</v>
          </cell>
          <cell r="D182">
            <v>5.4169499999999995E-2</v>
          </cell>
        </row>
        <row r="183">
          <cell r="A183" t="str">
            <v>C193C</v>
          </cell>
          <cell r="B183">
            <v>17600</v>
          </cell>
          <cell r="C183">
            <v>2888</v>
          </cell>
          <cell r="D183">
            <v>5.4169499999999995E-2</v>
          </cell>
        </row>
        <row r="184">
          <cell r="A184" t="str">
            <v>C193D</v>
          </cell>
          <cell r="B184">
            <v>17600</v>
          </cell>
          <cell r="C184">
            <v>2888</v>
          </cell>
          <cell r="D184">
            <v>5.4169499999999995E-2</v>
          </cell>
        </row>
        <row r="185">
          <cell r="A185" t="str">
            <v>C193F</v>
          </cell>
          <cell r="B185">
            <v>17600</v>
          </cell>
          <cell r="C185">
            <v>2888</v>
          </cell>
          <cell r="D185">
            <v>5.4169499999999995E-2</v>
          </cell>
        </row>
        <row r="186">
          <cell r="A186" t="str">
            <v>C193I</v>
          </cell>
          <cell r="B186">
            <v>17600</v>
          </cell>
          <cell r="C186">
            <v>2888</v>
          </cell>
          <cell r="D186">
            <v>5.4169499999999995E-2</v>
          </cell>
        </row>
        <row r="187">
          <cell r="A187" t="str">
            <v>C193I14</v>
          </cell>
          <cell r="B187">
            <v>17600</v>
          </cell>
          <cell r="C187">
            <v>2888</v>
          </cell>
          <cell r="D187">
            <v>5.4169499999999995E-2</v>
          </cell>
        </row>
        <row r="188">
          <cell r="A188" t="str">
            <v>C193J</v>
          </cell>
          <cell r="B188">
            <v>17600</v>
          </cell>
          <cell r="C188">
            <v>2888</v>
          </cell>
          <cell r="D188">
            <v>5.4169499999999995E-2</v>
          </cell>
        </row>
        <row r="189">
          <cell r="A189" t="str">
            <v>C19620SIG/C</v>
          </cell>
          <cell r="B189">
            <v>9800</v>
          </cell>
          <cell r="C189">
            <v>1996</v>
          </cell>
          <cell r="D189">
            <v>1.98505E-2</v>
          </cell>
        </row>
        <row r="190">
          <cell r="A190" t="str">
            <v>C19620SIG/C(T)</v>
          </cell>
          <cell r="B190">
            <v>9800</v>
          </cell>
          <cell r="C190">
            <v>1996</v>
          </cell>
          <cell r="D190">
            <v>1.98505E-2</v>
          </cell>
        </row>
        <row r="191">
          <cell r="A191" t="str">
            <v>C19625/C14</v>
          </cell>
          <cell r="B191">
            <v>17500</v>
          </cell>
          <cell r="C191">
            <v>1992</v>
          </cell>
          <cell r="D191">
            <v>3.2912000000000004E-2</v>
          </cell>
        </row>
        <row r="192">
          <cell r="A192" t="str">
            <v>C19625/C14(T)</v>
          </cell>
          <cell r="B192">
            <v>17500</v>
          </cell>
          <cell r="C192">
            <v>1992</v>
          </cell>
          <cell r="D192">
            <v>3.2912000000000004E-2</v>
          </cell>
        </row>
        <row r="193">
          <cell r="A193" t="str">
            <v>C19625F/C</v>
          </cell>
          <cell r="B193">
            <v>17500</v>
          </cell>
          <cell r="C193">
            <v>1992</v>
          </cell>
          <cell r="D193">
            <v>3.2912000000000004E-2</v>
          </cell>
        </row>
        <row r="194">
          <cell r="A194" t="str">
            <v>C19625F/C(T)</v>
          </cell>
          <cell r="B194">
            <v>17500</v>
          </cell>
          <cell r="C194">
            <v>1992</v>
          </cell>
          <cell r="D194">
            <v>3.2912000000000004E-2</v>
          </cell>
        </row>
        <row r="195">
          <cell r="A195" t="str">
            <v>C20020BP</v>
          </cell>
          <cell r="B195">
            <v>18500</v>
          </cell>
          <cell r="C195">
            <v>2000</v>
          </cell>
          <cell r="D195">
            <v>3.6414000000000002E-2</v>
          </cell>
        </row>
        <row r="196">
          <cell r="A196" t="str">
            <v>C20020BPF</v>
          </cell>
          <cell r="B196">
            <v>18500</v>
          </cell>
          <cell r="C196">
            <v>2000</v>
          </cell>
          <cell r="D196">
            <v>3.6414000000000002E-2</v>
          </cell>
        </row>
        <row r="197">
          <cell r="A197" t="str">
            <v>C20020BPS</v>
          </cell>
          <cell r="B197">
            <v>18500</v>
          </cell>
          <cell r="C197">
            <v>2000</v>
          </cell>
          <cell r="D197">
            <v>3.6414000000000002E-2</v>
          </cell>
        </row>
        <row r="198">
          <cell r="A198" t="str">
            <v>C20020PR</v>
          </cell>
          <cell r="B198">
            <v>18500</v>
          </cell>
          <cell r="C198">
            <v>2000</v>
          </cell>
          <cell r="D198">
            <v>4.1616000000000007E-2</v>
          </cell>
        </row>
        <row r="199">
          <cell r="A199" t="str">
            <v>C20020XBP</v>
          </cell>
          <cell r="B199">
            <v>19600</v>
          </cell>
          <cell r="C199">
            <v>2000</v>
          </cell>
          <cell r="D199">
            <v>4.674600000000001E-2</v>
          </cell>
        </row>
        <row r="200">
          <cell r="A200" t="str">
            <v>C20020XBPW</v>
          </cell>
          <cell r="B200">
            <v>19600</v>
          </cell>
          <cell r="C200">
            <v>2000</v>
          </cell>
          <cell r="D200">
            <v>4.674600000000001E-2</v>
          </cell>
        </row>
        <row r="201">
          <cell r="A201" t="str">
            <v>C20020XPR</v>
          </cell>
          <cell r="B201">
            <v>19600</v>
          </cell>
          <cell r="C201">
            <v>2000</v>
          </cell>
          <cell r="D201">
            <v>5.3423999999999999E-2</v>
          </cell>
        </row>
        <row r="202">
          <cell r="A202" t="str">
            <v>C20020XPR/C14</v>
          </cell>
          <cell r="B202">
            <v>10000</v>
          </cell>
          <cell r="C202">
            <v>1000</v>
          </cell>
          <cell r="D202">
            <v>2.5042500000000002E-2</v>
          </cell>
        </row>
        <row r="203">
          <cell r="A203" t="str">
            <v>C20020XPR/C14(T)</v>
          </cell>
          <cell r="B203">
            <v>10000</v>
          </cell>
          <cell r="C203">
            <v>1000</v>
          </cell>
          <cell r="D203">
            <v>2.4333750000000001E-2</v>
          </cell>
        </row>
        <row r="204">
          <cell r="A204" t="str">
            <v>C20020XTS/C14</v>
          </cell>
          <cell r="B204">
            <v>10000</v>
          </cell>
          <cell r="C204">
            <v>1000</v>
          </cell>
          <cell r="D204">
            <v>2.5042500000000002E-2</v>
          </cell>
        </row>
        <row r="205">
          <cell r="A205" t="str">
            <v>C20020XTS/C14(T)</v>
          </cell>
          <cell r="B205">
            <v>10000</v>
          </cell>
          <cell r="C205">
            <v>1000</v>
          </cell>
          <cell r="D205">
            <v>2.4333750000000001E-2</v>
          </cell>
        </row>
        <row r="206">
          <cell r="A206" t="str">
            <v>C20025BPS/C</v>
          </cell>
          <cell r="B206">
            <v>18200</v>
          </cell>
          <cell r="C206">
            <v>1990</v>
          </cell>
          <cell r="D206">
            <v>3.6115624999999998E-2</v>
          </cell>
        </row>
        <row r="207">
          <cell r="A207" t="str">
            <v>C20025F/C</v>
          </cell>
          <cell r="B207">
            <v>18200</v>
          </cell>
          <cell r="C207">
            <v>1990</v>
          </cell>
          <cell r="D207">
            <v>3.6115624999999998E-2</v>
          </cell>
        </row>
        <row r="208">
          <cell r="A208" t="str">
            <v>C20025F/C(T)</v>
          </cell>
          <cell r="B208">
            <v>18200</v>
          </cell>
          <cell r="C208">
            <v>1990</v>
          </cell>
          <cell r="D208">
            <v>3.6115624999999998E-2</v>
          </cell>
        </row>
        <row r="209">
          <cell r="A209" t="str">
            <v>C2003BP/C</v>
          </cell>
          <cell r="B209">
            <v>27000</v>
          </cell>
          <cell r="C209">
            <v>3600</v>
          </cell>
          <cell r="D209">
            <v>7.03125E-2</v>
          </cell>
        </row>
        <row r="210">
          <cell r="A210" t="str">
            <v>C2003BP/C(T)</v>
          </cell>
          <cell r="B210">
            <v>25500</v>
          </cell>
          <cell r="C210">
            <v>3600</v>
          </cell>
          <cell r="D210">
            <v>6.7968749999999994E-2</v>
          </cell>
        </row>
        <row r="211">
          <cell r="A211" t="str">
            <v>C2003F/C</v>
          </cell>
          <cell r="B211">
            <v>27000</v>
          </cell>
          <cell r="C211">
            <v>3800</v>
          </cell>
          <cell r="D211">
            <v>7.03125E-2</v>
          </cell>
        </row>
        <row r="212">
          <cell r="A212" t="str">
            <v>C2003SIG/C</v>
          </cell>
          <cell r="B212">
            <v>28000</v>
          </cell>
          <cell r="C212">
            <v>3996</v>
          </cell>
          <cell r="D212">
            <v>7.03125E-2</v>
          </cell>
        </row>
        <row r="213">
          <cell r="A213" t="str">
            <v>C2003SIG/C(T)</v>
          </cell>
          <cell r="B213">
            <v>28000</v>
          </cell>
          <cell r="C213">
            <v>3996</v>
          </cell>
          <cell r="D213">
            <v>6.7968749999999994E-2</v>
          </cell>
        </row>
        <row r="214">
          <cell r="A214" t="str">
            <v>C2003U/C</v>
          </cell>
          <cell r="B214">
            <v>27000</v>
          </cell>
          <cell r="C214">
            <v>3800</v>
          </cell>
          <cell r="D214">
            <v>7.03125E-2</v>
          </cell>
        </row>
        <row r="215">
          <cell r="A215" t="str">
            <v>C2003U/C(T)</v>
          </cell>
          <cell r="B215">
            <v>27800</v>
          </cell>
          <cell r="C215">
            <v>3800</v>
          </cell>
          <cell r="D215">
            <v>6.7968749999999994E-2</v>
          </cell>
        </row>
        <row r="216">
          <cell r="A216" t="str">
            <v>C200MF/C</v>
          </cell>
          <cell r="B216">
            <v>15600</v>
          </cell>
          <cell r="C216">
            <v>1980</v>
          </cell>
          <cell r="D216">
            <v>4.7887999999999993E-2</v>
          </cell>
        </row>
        <row r="217">
          <cell r="A217" t="str">
            <v>C200MF/C(T)</v>
          </cell>
          <cell r="B217">
            <v>15600</v>
          </cell>
          <cell r="C217">
            <v>1980</v>
          </cell>
          <cell r="D217">
            <v>4.7887999999999993E-2</v>
          </cell>
        </row>
        <row r="218">
          <cell r="A218" t="str">
            <v>C200MF/C14</v>
          </cell>
          <cell r="B218">
            <v>15800</v>
          </cell>
          <cell r="C218">
            <v>1980</v>
          </cell>
          <cell r="D218">
            <v>4.7887999999999993E-2</v>
          </cell>
        </row>
        <row r="219">
          <cell r="A219" t="str">
            <v>C200MF/C14(T)</v>
          </cell>
          <cell r="B219">
            <v>15800</v>
          </cell>
          <cell r="C219">
            <v>1980</v>
          </cell>
          <cell r="D219">
            <v>4.7887999999999993E-2</v>
          </cell>
        </row>
        <row r="220">
          <cell r="A220" t="str">
            <v>C204XMPT/C</v>
          </cell>
          <cell r="B220">
            <v>17000</v>
          </cell>
          <cell r="C220">
            <v>1500</v>
          </cell>
          <cell r="D220">
            <v>4.9148749999999998E-2</v>
          </cell>
        </row>
        <row r="221">
          <cell r="A221" t="str">
            <v>C204XMPT/C(T)</v>
          </cell>
          <cell r="B221">
            <v>17000</v>
          </cell>
          <cell r="C221">
            <v>1500</v>
          </cell>
          <cell r="D221">
            <v>4.9148749999999998E-2</v>
          </cell>
        </row>
        <row r="222">
          <cell r="A222" t="str">
            <v>C204XMPT/C14</v>
          </cell>
          <cell r="B222">
            <v>17000</v>
          </cell>
          <cell r="C222">
            <v>1500</v>
          </cell>
          <cell r="D222">
            <v>4.9148749999999998E-2</v>
          </cell>
        </row>
        <row r="223">
          <cell r="A223" t="str">
            <v>C204XMPT/C14(T)</v>
          </cell>
          <cell r="B223">
            <v>17000</v>
          </cell>
          <cell r="C223">
            <v>1500</v>
          </cell>
          <cell r="D223">
            <v>4.9148749999999998E-2</v>
          </cell>
        </row>
        <row r="224">
          <cell r="A224" t="str">
            <v>C20814XPR14</v>
          </cell>
          <cell r="B224">
            <v>18000</v>
          </cell>
          <cell r="C224">
            <v>1992</v>
          </cell>
          <cell r="D224">
            <v>5.0760000000000007E-2</v>
          </cell>
        </row>
        <row r="225">
          <cell r="A225" t="str">
            <v>C20814XPR14 E</v>
          </cell>
        </row>
        <row r="226">
          <cell r="A226" t="str">
            <v>C212MF/C</v>
          </cell>
          <cell r="B226">
            <v>17800</v>
          </cell>
          <cell r="C226">
            <v>1990</v>
          </cell>
          <cell r="D226">
            <v>4.7774999999999998E-2</v>
          </cell>
        </row>
        <row r="227">
          <cell r="A227" t="str">
            <v>C212MF/C(T)</v>
          </cell>
          <cell r="B227">
            <v>17800</v>
          </cell>
          <cell r="C227">
            <v>1990</v>
          </cell>
          <cell r="D227">
            <v>4.7774999999999998E-2</v>
          </cell>
        </row>
        <row r="228">
          <cell r="A228" t="str">
            <v>C216XMFS/C</v>
          </cell>
          <cell r="B228">
            <v>13500</v>
          </cell>
          <cell r="C228">
            <v>1963</v>
          </cell>
          <cell r="D228">
            <v>4.3296000000000001E-2</v>
          </cell>
        </row>
        <row r="229">
          <cell r="A229" t="str">
            <v>C216XMFS/C(T)</v>
          </cell>
          <cell r="B229">
            <v>13500</v>
          </cell>
          <cell r="C229">
            <v>1963</v>
          </cell>
          <cell r="D229">
            <v>4.3296000000000001E-2</v>
          </cell>
        </row>
        <row r="230">
          <cell r="A230" t="str">
            <v>C216XMFS/C14</v>
          </cell>
          <cell r="B230">
            <v>13500</v>
          </cell>
          <cell r="C230">
            <v>1963</v>
          </cell>
          <cell r="D230">
            <v>4.3296000000000001E-2</v>
          </cell>
        </row>
        <row r="231">
          <cell r="A231" t="str">
            <v>C216XMFS/C14(T)</v>
          </cell>
          <cell r="B231">
            <v>13500</v>
          </cell>
          <cell r="C231">
            <v>1963</v>
          </cell>
          <cell r="D231">
            <v>4.3296000000000001E-2</v>
          </cell>
        </row>
        <row r="232">
          <cell r="A232" t="str">
            <v>C219XMPT/C</v>
          </cell>
          <cell r="B232">
            <v>30000</v>
          </cell>
          <cell r="C232">
            <v>4000</v>
          </cell>
          <cell r="D232">
            <v>9.3761499999999998E-2</v>
          </cell>
        </row>
        <row r="233">
          <cell r="A233" t="str">
            <v>C219XMPT/C(T)</v>
          </cell>
          <cell r="B233">
            <v>30000</v>
          </cell>
          <cell r="C233">
            <v>4000</v>
          </cell>
          <cell r="D233">
            <v>9.3761499999999998E-2</v>
          </cell>
        </row>
        <row r="234">
          <cell r="A234" t="str">
            <v>C222MF/C</v>
          </cell>
          <cell r="B234">
            <v>39000</v>
          </cell>
          <cell r="C234">
            <v>3999</v>
          </cell>
          <cell r="D234">
            <v>0.13120380000000001</v>
          </cell>
        </row>
        <row r="235">
          <cell r="A235" t="str">
            <v>C222MF/C(T)</v>
          </cell>
          <cell r="B235">
            <v>39000</v>
          </cell>
          <cell r="C235">
            <v>3999</v>
          </cell>
          <cell r="D235">
            <v>0.13120380000000001</v>
          </cell>
        </row>
        <row r="236">
          <cell r="A236" t="str">
            <v>C222MNPT/C</v>
          </cell>
          <cell r="B236">
            <v>37900</v>
          </cell>
          <cell r="C236">
            <v>3999</v>
          </cell>
          <cell r="D236">
            <v>0.13120380000000001</v>
          </cell>
        </row>
        <row r="237">
          <cell r="A237" t="str">
            <v>C222MNPT/C(T)</v>
          </cell>
          <cell r="B237">
            <v>37900</v>
          </cell>
          <cell r="C237">
            <v>3999</v>
          </cell>
          <cell r="D237">
            <v>0.13120380000000001</v>
          </cell>
        </row>
        <row r="238">
          <cell r="A238" t="str">
            <v>C223MF/C</v>
          </cell>
          <cell r="B238">
            <v>15000</v>
          </cell>
          <cell r="C238">
            <v>1994</v>
          </cell>
          <cell r="D238">
            <v>5.1920000000000001E-2</v>
          </cell>
        </row>
        <row r="239">
          <cell r="A239" t="str">
            <v>C223MF/C E</v>
          </cell>
          <cell r="B239">
            <v>13006</v>
          </cell>
          <cell r="D239">
            <v>5.1920000000000001E-2</v>
          </cell>
        </row>
        <row r="240">
          <cell r="A240" t="str">
            <v>C223MF/C(T)</v>
          </cell>
          <cell r="B240">
            <v>15000</v>
          </cell>
          <cell r="C240">
            <v>1994</v>
          </cell>
          <cell r="D240">
            <v>5.1920000000000001E-2</v>
          </cell>
        </row>
        <row r="241">
          <cell r="A241" t="str">
            <v>C223MM/C E</v>
          </cell>
          <cell r="D241">
            <v>5.1920000000000001E-2</v>
          </cell>
        </row>
        <row r="242">
          <cell r="A242" t="str">
            <v>C223XMK/C</v>
          </cell>
          <cell r="B242">
            <v>17000</v>
          </cell>
          <cell r="C242">
            <v>2000</v>
          </cell>
          <cell r="D242">
            <v>5.2136000000000009E-2</v>
          </cell>
        </row>
        <row r="243">
          <cell r="A243" t="str">
            <v>C223XMK/C(T)</v>
          </cell>
          <cell r="B243">
            <v>17000</v>
          </cell>
          <cell r="C243">
            <v>2000</v>
          </cell>
          <cell r="D243">
            <v>5.2136000000000009E-2</v>
          </cell>
        </row>
        <row r="244">
          <cell r="A244" t="str">
            <v>C223XMK/C14</v>
          </cell>
          <cell r="B244">
            <v>17000</v>
          </cell>
          <cell r="C244">
            <v>2000</v>
          </cell>
          <cell r="D244">
            <v>5.2136000000000009E-2</v>
          </cell>
        </row>
        <row r="245">
          <cell r="A245" t="str">
            <v>C223XMK/C14(T)</v>
          </cell>
          <cell r="B245">
            <v>17000</v>
          </cell>
          <cell r="C245">
            <v>2000</v>
          </cell>
          <cell r="D245">
            <v>5.2136000000000009E-2</v>
          </cell>
        </row>
        <row r="246">
          <cell r="A246" t="str">
            <v>C239MSIG/C</v>
          </cell>
          <cell r="B246">
            <v>21000</v>
          </cell>
          <cell r="C246">
            <v>3964</v>
          </cell>
          <cell r="D246">
            <v>6.3750000000000001E-2</v>
          </cell>
        </row>
        <row r="247">
          <cell r="A247" t="str">
            <v>C239MSIG/C(T)</v>
          </cell>
          <cell r="B247">
            <v>21000</v>
          </cell>
          <cell r="C247">
            <v>3964</v>
          </cell>
          <cell r="D247">
            <v>6.3750000000000001E-2</v>
          </cell>
        </row>
        <row r="248">
          <cell r="A248" t="str">
            <v>C23MO</v>
          </cell>
          <cell r="B248">
            <v>25500</v>
          </cell>
          <cell r="C248">
            <v>3180</v>
          </cell>
          <cell r="D248">
            <v>6.6283124999999998E-2</v>
          </cell>
        </row>
        <row r="249">
          <cell r="A249" t="str">
            <v>C2463A</v>
          </cell>
          <cell r="B249">
            <v>25100</v>
          </cell>
          <cell r="C249">
            <v>1920</v>
          </cell>
          <cell r="D249">
            <v>9.917999999999999E-2</v>
          </cell>
        </row>
        <row r="250">
          <cell r="A250" t="str">
            <v>C2463A E</v>
          </cell>
          <cell r="D250">
            <v>4.9589999999999995E-2</v>
          </cell>
        </row>
        <row r="251">
          <cell r="A251" t="str">
            <v>C2463B</v>
          </cell>
          <cell r="B251">
            <v>25100</v>
          </cell>
          <cell r="C251">
            <v>1920</v>
          </cell>
          <cell r="D251">
            <v>9.917999999999999E-2</v>
          </cell>
        </row>
        <row r="252">
          <cell r="A252" t="str">
            <v>C24MH</v>
          </cell>
          <cell r="B252">
            <v>20156</v>
          </cell>
          <cell r="C252">
            <v>2856</v>
          </cell>
          <cell r="D252">
            <v>4.9202999999999997E-2</v>
          </cell>
        </row>
        <row r="253">
          <cell r="A253" t="str">
            <v>C2505D</v>
          </cell>
          <cell r="B253">
            <v>17000</v>
          </cell>
          <cell r="C253">
            <v>2000</v>
          </cell>
          <cell r="D253">
            <v>6.3488000000000003E-2</v>
          </cell>
        </row>
        <row r="254">
          <cell r="A254" t="str">
            <v>C2508R</v>
          </cell>
          <cell r="B254">
            <v>11300</v>
          </cell>
          <cell r="C254">
            <v>1920</v>
          </cell>
          <cell r="D254">
            <v>2.8424000000000001E-2</v>
          </cell>
        </row>
        <row r="255">
          <cell r="A255" t="str">
            <v>C2520BP</v>
          </cell>
          <cell r="B255">
            <v>13000</v>
          </cell>
          <cell r="C255">
            <v>2100</v>
          </cell>
          <cell r="D255">
            <v>2.6871000000000003E-2</v>
          </cell>
        </row>
        <row r="256">
          <cell r="A256" t="str">
            <v>C2520DI</v>
          </cell>
          <cell r="B256">
            <v>13000</v>
          </cell>
          <cell r="C256">
            <v>2400</v>
          </cell>
          <cell r="D256">
            <v>2.6871000000000003E-2</v>
          </cell>
        </row>
        <row r="257">
          <cell r="A257" t="str">
            <v>C2520DI14</v>
          </cell>
          <cell r="B257">
            <v>13100</v>
          </cell>
          <cell r="C257">
            <v>2400</v>
          </cell>
          <cell r="D257">
            <v>2.6871000000000003E-2</v>
          </cell>
        </row>
        <row r="258">
          <cell r="A258" t="str">
            <v>C2520P</v>
          </cell>
          <cell r="B258">
            <v>14064</v>
          </cell>
          <cell r="C258">
            <v>2400</v>
          </cell>
          <cell r="D258">
            <v>2.6871000000000003E-2</v>
          </cell>
        </row>
        <row r="259">
          <cell r="A259" t="str">
            <v>C2520R</v>
          </cell>
          <cell r="B259">
            <v>13440</v>
          </cell>
          <cell r="C259">
            <v>2400</v>
          </cell>
          <cell r="D259">
            <v>2.6871000000000003E-2</v>
          </cell>
        </row>
        <row r="260">
          <cell r="A260" t="str">
            <v>C2520SE</v>
          </cell>
          <cell r="B260">
            <v>11600</v>
          </cell>
          <cell r="C260">
            <v>2400</v>
          </cell>
          <cell r="D260">
            <v>2.6871000000000003E-2</v>
          </cell>
        </row>
        <row r="261">
          <cell r="A261" t="str">
            <v>C2520SE E</v>
          </cell>
        </row>
        <row r="262">
          <cell r="A262" t="str">
            <v>C2520SE14</v>
          </cell>
          <cell r="B262">
            <v>11600</v>
          </cell>
          <cell r="C262">
            <v>2400</v>
          </cell>
          <cell r="D262">
            <v>2.6871000000000003E-2</v>
          </cell>
        </row>
        <row r="263">
          <cell r="A263" t="str">
            <v>C2520SIG</v>
          </cell>
          <cell r="B263">
            <v>15000</v>
          </cell>
          <cell r="C263">
            <v>3900</v>
          </cell>
          <cell r="D263">
            <v>3.604000000000001E-2</v>
          </cell>
        </row>
        <row r="264">
          <cell r="A264" t="str">
            <v>C2520SL</v>
          </cell>
          <cell r="B264">
            <v>11600</v>
          </cell>
          <cell r="C264">
            <v>2400</v>
          </cell>
          <cell r="D264">
            <v>2.6871000000000003E-2</v>
          </cell>
        </row>
        <row r="265">
          <cell r="A265" t="str">
            <v>C2520ST</v>
          </cell>
          <cell r="B265">
            <v>12300</v>
          </cell>
          <cell r="C265">
            <v>2400</v>
          </cell>
          <cell r="D265">
            <v>2.6871000000000003E-2</v>
          </cell>
        </row>
        <row r="266">
          <cell r="A266" t="str">
            <v>C2520ST E</v>
          </cell>
          <cell r="B266">
            <v>825</v>
          </cell>
          <cell r="D266">
            <v>2.2392500000000004E-3</v>
          </cell>
        </row>
        <row r="267">
          <cell r="A267" t="str">
            <v>C2520T</v>
          </cell>
          <cell r="B267">
            <v>11600</v>
          </cell>
          <cell r="C267">
            <v>2400</v>
          </cell>
          <cell r="D267">
            <v>2.6871000000000003E-2</v>
          </cell>
        </row>
        <row r="268">
          <cell r="A268" t="str">
            <v>C2520T14</v>
          </cell>
          <cell r="B268">
            <v>13800</v>
          </cell>
          <cell r="C268">
            <v>2400</v>
          </cell>
          <cell r="D268">
            <v>2.6871000000000003E-2</v>
          </cell>
        </row>
        <row r="269">
          <cell r="A269" t="str">
            <v>C2520VI</v>
          </cell>
          <cell r="B269">
            <v>13000</v>
          </cell>
          <cell r="C269">
            <v>2400</v>
          </cell>
          <cell r="D269">
            <v>2.6871000000000003E-2</v>
          </cell>
        </row>
        <row r="270">
          <cell r="A270" t="str">
            <v>C2520VI E</v>
          </cell>
          <cell r="B270">
            <v>884</v>
          </cell>
          <cell r="D270">
            <v>2.2392500000000004E-3</v>
          </cell>
        </row>
        <row r="271">
          <cell r="A271" t="str">
            <v>C2520Z</v>
          </cell>
          <cell r="B271">
            <v>13000</v>
          </cell>
          <cell r="C271">
            <v>2400</v>
          </cell>
          <cell r="D271">
            <v>2.6871000000000003E-2</v>
          </cell>
        </row>
        <row r="272">
          <cell r="A272" t="str">
            <v>C25220XFS/C</v>
          </cell>
          <cell r="B272">
            <v>12700</v>
          </cell>
          <cell r="C272">
            <v>1994</v>
          </cell>
          <cell r="D272">
            <v>3.2933250000000004E-2</v>
          </cell>
        </row>
        <row r="273">
          <cell r="A273" t="str">
            <v>C25220XFS/C(T)</v>
          </cell>
          <cell r="B273">
            <v>12700</v>
          </cell>
          <cell r="C273">
            <v>1994</v>
          </cell>
          <cell r="D273">
            <v>3.2933250000000004E-2</v>
          </cell>
        </row>
        <row r="274">
          <cell r="A274" t="str">
            <v>C25220XFS/C14</v>
          </cell>
          <cell r="B274">
            <v>12700</v>
          </cell>
          <cell r="C274">
            <v>1994</v>
          </cell>
          <cell r="D274">
            <v>3.2933250000000004E-2</v>
          </cell>
        </row>
        <row r="275">
          <cell r="A275" t="str">
            <v>C25220XFS/C14(T)</v>
          </cell>
          <cell r="B275">
            <v>12700</v>
          </cell>
          <cell r="C275">
            <v>1994</v>
          </cell>
          <cell r="D275">
            <v>3.2933250000000004E-2</v>
          </cell>
        </row>
        <row r="276">
          <cell r="A276" t="str">
            <v>C2525BPW</v>
          </cell>
          <cell r="B276">
            <v>21000</v>
          </cell>
          <cell r="C276">
            <v>3600</v>
          </cell>
          <cell r="D276">
            <v>4.7185875000000009E-2</v>
          </cell>
        </row>
        <row r="277">
          <cell r="A277" t="str">
            <v>C2525C</v>
          </cell>
          <cell r="B277">
            <v>21000</v>
          </cell>
          <cell r="C277">
            <v>3900</v>
          </cell>
          <cell r="D277">
            <v>4.7185875000000009E-2</v>
          </cell>
        </row>
        <row r="278">
          <cell r="A278" t="str">
            <v>C2525DU</v>
          </cell>
          <cell r="B278">
            <v>21000</v>
          </cell>
          <cell r="C278">
            <v>3600</v>
          </cell>
          <cell r="D278">
            <v>4.7185875000000009E-2</v>
          </cell>
        </row>
        <row r="279">
          <cell r="A279" t="str">
            <v>C2525L</v>
          </cell>
          <cell r="B279">
            <v>21000</v>
          </cell>
          <cell r="C279">
            <v>3900</v>
          </cell>
          <cell r="D279">
            <v>4.7185875000000009E-2</v>
          </cell>
        </row>
        <row r="280">
          <cell r="A280" t="str">
            <v>C2525SC14</v>
          </cell>
          <cell r="B280">
            <v>18500</v>
          </cell>
          <cell r="C280">
            <v>2000</v>
          </cell>
          <cell r="D280">
            <v>3.7392000000000002E-2</v>
          </cell>
        </row>
        <row r="281">
          <cell r="A281" t="str">
            <v>C2525SIG</v>
          </cell>
          <cell r="B281">
            <v>22000</v>
          </cell>
          <cell r="C281">
            <v>5988</v>
          </cell>
          <cell r="D281">
            <v>4.7185875000000009E-2</v>
          </cell>
        </row>
        <row r="282">
          <cell r="A282" t="str">
            <v>C253B14</v>
          </cell>
          <cell r="B282">
            <v>20000</v>
          </cell>
          <cell r="C282">
            <v>2850</v>
          </cell>
          <cell r="D282">
            <v>4.7651999999999993E-2</v>
          </cell>
        </row>
        <row r="283">
          <cell r="A283" t="str">
            <v>C253BP14</v>
          </cell>
          <cell r="B283">
            <v>18000</v>
          </cell>
          <cell r="C283">
            <v>2550</v>
          </cell>
          <cell r="D283">
            <v>4.7651999999999993E-2</v>
          </cell>
        </row>
        <row r="284">
          <cell r="A284" t="str">
            <v>C253BPF14</v>
          </cell>
          <cell r="B284">
            <v>18000</v>
          </cell>
          <cell r="C284">
            <v>2550</v>
          </cell>
          <cell r="D284">
            <v>4.7651999999999993E-2</v>
          </cell>
        </row>
        <row r="285">
          <cell r="A285" t="str">
            <v>C253DU</v>
          </cell>
          <cell r="B285">
            <v>19500</v>
          </cell>
          <cell r="C285">
            <v>2412</v>
          </cell>
          <cell r="D285">
            <v>4.7651999999999993E-2</v>
          </cell>
        </row>
        <row r="286">
          <cell r="A286" t="str">
            <v>C253E14</v>
          </cell>
          <cell r="B286">
            <v>19000</v>
          </cell>
          <cell r="C286">
            <v>2850</v>
          </cell>
          <cell r="D286">
            <v>4.7651999999999993E-2</v>
          </cell>
        </row>
        <row r="287">
          <cell r="A287" t="str">
            <v>C253F14</v>
          </cell>
          <cell r="B287">
            <v>17500</v>
          </cell>
          <cell r="C287">
            <v>2850</v>
          </cell>
          <cell r="D287">
            <v>4.7651999999999993E-2</v>
          </cell>
        </row>
        <row r="288">
          <cell r="A288" t="str">
            <v>C253FR</v>
          </cell>
          <cell r="B288">
            <v>19000</v>
          </cell>
          <cell r="C288">
            <v>2850</v>
          </cell>
          <cell r="D288">
            <v>4.7651999999999993E-2</v>
          </cell>
        </row>
        <row r="289">
          <cell r="A289" t="str">
            <v>C253G14</v>
          </cell>
          <cell r="B289">
            <v>17500</v>
          </cell>
          <cell r="C289">
            <v>2850</v>
          </cell>
          <cell r="D289">
            <v>4.7651999999999993E-2</v>
          </cell>
        </row>
        <row r="290">
          <cell r="A290" t="str">
            <v>C253CH</v>
          </cell>
          <cell r="B290">
            <v>16500</v>
          </cell>
          <cell r="C290">
            <v>2850</v>
          </cell>
          <cell r="D290">
            <v>4.681600000000001E-2</v>
          </cell>
        </row>
        <row r="291">
          <cell r="A291" t="str">
            <v>C253MY</v>
          </cell>
          <cell r="B291">
            <v>20500</v>
          </cell>
          <cell r="C291">
            <v>2850</v>
          </cell>
          <cell r="D291">
            <v>4.7651999999999993E-2</v>
          </cell>
        </row>
        <row r="292">
          <cell r="A292" t="str">
            <v>C253NO14</v>
          </cell>
          <cell r="B292">
            <v>18800</v>
          </cell>
          <cell r="C292">
            <v>2958</v>
          </cell>
          <cell r="D292">
            <v>4.7651999999999993E-2</v>
          </cell>
        </row>
        <row r="293">
          <cell r="A293" t="str">
            <v>C253NO14 E</v>
          </cell>
        </row>
        <row r="294">
          <cell r="A294" t="str">
            <v>C253O</v>
          </cell>
          <cell r="B294">
            <v>18500</v>
          </cell>
          <cell r="C294">
            <v>2850</v>
          </cell>
          <cell r="D294">
            <v>4.681600000000001E-2</v>
          </cell>
        </row>
        <row r="295">
          <cell r="A295" t="str">
            <v>C253SIG</v>
          </cell>
          <cell r="B295">
            <v>21500</v>
          </cell>
          <cell r="C295">
            <v>4350</v>
          </cell>
          <cell r="D295">
            <v>5.335199999999999E-2</v>
          </cell>
        </row>
        <row r="296">
          <cell r="A296" t="str">
            <v>C253SIG B</v>
          </cell>
          <cell r="B296">
            <v>21500</v>
          </cell>
          <cell r="C296">
            <v>4350</v>
          </cell>
          <cell r="D296">
            <v>4.7651999999999993E-2</v>
          </cell>
        </row>
        <row r="297">
          <cell r="A297" t="str">
            <v>C253SK14</v>
          </cell>
          <cell r="B297">
            <v>19000</v>
          </cell>
          <cell r="C297">
            <v>2850</v>
          </cell>
          <cell r="D297">
            <v>4.7651999999999993E-2</v>
          </cell>
        </row>
        <row r="298">
          <cell r="A298" t="str">
            <v>C253TH14</v>
          </cell>
          <cell r="B298">
            <v>20000</v>
          </cell>
          <cell r="C298">
            <v>2850</v>
          </cell>
          <cell r="D298">
            <v>4.7651999999999993E-2</v>
          </cell>
        </row>
        <row r="299">
          <cell r="A299" t="str">
            <v>C253XMPT/C</v>
          </cell>
          <cell r="B299">
            <v>26300</v>
          </cell>
          <cell r="C299">
            <v>4000</v>
          </cell>
          <cell r="D299">
            <v>8.9033000000000001E-2</v>
          </cell>
        </row>
        <row r="300">
          <cell r="A300" t="str">
            <v>C253XMPT/C(T)</v>
          </cell>
          <cell r="B300">
            <v>26300</v>
          </cell>
          <cell r="C300">
            <v>4000</v>
          </cell>
          <cell r="D300">
            <v>8.6112000000000008E-2</v>
          </cell>
        </row>
        <row r="301">
          <cell r="A301" t="str">
            <v>C2545DI</v>
          </cell>
          <cell r="B301">
            <v>20000</v>
          </cell>
          <cell r="C301">
            <v>1980</v>
          </cell>
          <cell r="D301">
            <v>5.8463999999999995E-2</v>
          </cell>
        </row>
        <row r="302">
          <cell r="A302" t="str">
            <v>C2545MA</v>
          </cell>
          <cell r="B302">
            <v>20000</v>
          </cell>
          <cell r="C302">
            <v>1980</v>
          </cell>
          <cell r="D302">
            <v>5.8463999999999995E-2</v>
          </cell>
        </row>
        <row r="303">
          <cell r="A303" t="str">
            <v>C2545NO</v>
          </cell>
          <cell r="B303">
            <v>20000</v>
          </cell>
          <cell r="C303">
            <v>1980</v>
          </cell>
          <cell r="D303">
            <v>5.8463999999999995E-2</v>
          </cell>
        </row>
        <row r="304">
          <cell r="A304" t="str">
            <v>C255BP</v>
          </cell>
          <cell r="B304">
            <v>16000</v>
          </cell>
          <cell r="C304">
            <v>2000</v>
          </cell>
          <cell r="D304">
            <v>5.2199999999999996E-2</v>
          </cell>
        </row>
        <row r="305">
          <cell r="A305" t="str">
            <v>C255BP E</v>
          </cell>
          <cell r="B305">
            <v>7000</v>
          </cell>
          <cell r="D305">
            <v>2.6099999999999998E-2</v>
          </cell>
        </row>
        <row r="306">
          <cell r="A306" t="str">
            <v>C25620F/C</v>
          </cell>
          <cell r="B306">
            <v>13500</v>
          </cell>
          <cell r="C306">
            <v>1992</v>
          </cell>
          <cell r="D306">
            <v>2.0663999999999995E-2</v>
          </cell>
        </row>
        <row r="307">
          <cell r="A307" t="str">
            <v>C25620F/C(T)</v>
          </cell>
          <cell r="B307">
            <v>13500</v>
          </cell>
          <cell r="C307">
            <v>1992</v>
          </cell>
          <cell r="D307">
            <v>2.0663999999999995E-2</v>
          </cell>
        </row>
        <row r="308">
          <cell r="A308" t="str">
            <v>C25620F/C14</v>
          </cell>
          <cell r="B308">
            <v>12000</v>
          </cell>
          <cell r="C308">
            <v>1992</v>
          </cell>
          <cell r="D308">
            <v>2.4696000000000003E-2</v>
          </cell>
        </row>
        <row r="309">
          <cell r="A309" t="str">
            <v>C25620F/C14(T)</v>
          </cell>
          <cell r="B309">
            <v>12000</v>
          </cell>
          <cell r="C309">
            <v>1992</v>
          </cell>
          <cell r="D309">
            <v>2.4696000000000003E-2</v>
          </cell>
        </row>
        <row r="310">
          <cell r="A310" t="str">
            <v>C2563XMF/C</v>
          </cell>
          <cell r="B310">
            <v>42000</v>
          </cell>
          <cell r="C310">
            <v>3992</v>
          </cell>
          <cell r="D310">
            <v>0.13234374999999998</v>
          </cell>
        </row>
        <row r="311">
          <cell r="A311" t="str">
            <v>C2563XMF/C(T)</v>
          </cell>
          <cell r="B311">
            <v>42000</v>
          </cell>
          <cell r="C311">
            <v>3992</v>
          </cell>
          <cell r="D311">
            <v>0.13234374999999998</v>
          </cell>
        </row>
        <row r="312">
          <cell r="A312" t="str">
            <v>C256XMPT/C</v>
          </cell>
          <cell r="B312">
            <v>42000</v>
          </cell>
          <cell r="C312">
            <v>3992</v>
          </cell>
          <cell r="D312">
            <v>0.13234374999999998</v>
          </cell>
        </row>
        <row r="313">
          <cell r="A313" t="str">
            <v>C256XMPT/C(T)</v>
          </cell>
          <cell r="B313">
            <v>42000</v>
          </cell>
          <cell r="C313">
            <v>3992</v>
          </cell>
          <cell r="D313">
            <v>0.13234374999999998</v>
          </cell>
        </row>
        <row r="314">
          <cell r="A314" t="str">
            <v>C2575C</v>
          </cell>
          <cell r="B314">
            <v>18300</v>
          </cell>
          <cell r="C314">
            <v>3750</v>
          </cell>
          <cell r="D314">
            <v>9.5174999999999996E-2</v>
          </cell>
        </row>
        <row r="315">
          <cell r="A315" t="str">
            <v>C26020F/C</v>
          </cell>
          <cell r="B315">
            <v>12000</v>
          </cell>
          <cell r="C315">
            <v>1994</v>
          </cell>
          <cell r="D315">
            <v>2.6389999999999997E-2</v>
          </cell>
        </row>
        <row r="316">
          <cell r="A316" t="str">
            <v>C26020F/C(T)</v>
          </cell>
          <cell r="B316">
            <v>12000</v>
          </cell>
          <cell r="C316">
            <v>1994</v>
          </cell>
          <cell r="D316">
            <v>2.6389999999999997E-2</v>
          </cell>
        </row>
        <row r="317">
          <cell r="A317" t="str">
            <v>C26020NID/C</v>
          </cell>
          <cell r="B317">
            <v>12000</v>
          </cell>
          <cell r="C317">
            <v>1994</v>
          </cell>
          <cell r="D317">
            <v>2.6389999999999997E-2</v>
          </cell>
        </row>
        <row r="318">
          <cell r="A318" t="str">
            <v>C26020NID/C(T)</v>
          </cell>
          <cell r="B318">
            <v>12000</v>
          </cell>
          <cell r="C318">
            <v>1994</v>
          </cell>
          <cell r="D318">
            <v>2.6389999999999997E-2</v>
          </cell>
        </row>
        <row r="319">
          <cell r="A319" t="str">
            <v>C26420N/C</v>
          </cell>
          <cell r="B319">
            <v>15100</v>
          </cell>
          <cell r="C319">
            <v>1960</v>
          </cell>
          <cell r="D319">
            <v>5.5107499999999997E-2</v>
          </cell>
        </row>
        <row r="320">
          <cell r="A320" t="str">
            <v>C26420N/C(T)</v>
          </cell>
          <cell r="B320">
            <v>15100</v>
          </cell>
          <cell r="C320">
            <v>1960</v>
          </cell>
          <cell r="D320">
            <v>5.5107499999999997E-2</v>
          </cell>
        </row>
        <row r="321">
          <cell r="A321" t="str">
            <v>C26420N/C14</v>
          </cell>
          <cell r="B321">
            <v>15000</v>
          </cell>
          <cell r="C321">
            <v>1960</v>
          </cell>
          <cell r="D321">
            <v>5.5107499999999997E-2</v>
          </cell>
        </row>
        <row r="322">
          <cell r="A322" t="str">
            <v>C26420N/C14(T)</v>
          </cell>
          <cell r="B322">
            <v>15000</v>
          </cell>
          <cell r="C322">
            <v>1960</v>
          </cell>
          <cell r="D322">
            <v>5.5107499999999997E-2</v>
          </cell>
        </row>
        <row r="323">
          <cell r="A323" t="str">
            <v>C26820F/C</v>
          </cell>
          <cell r="B323">
            <v>14500</v>
          </cell>
          <cell r="C323">
            <v>1998</v>
          </cell>
          <cell r="D323">
            <v>4.6304999999999992E-2</v>
          </cell>
        </row>
        <row r="324">
          <cell r="A324" t="str">
            <v>C26820F/C E</v>
          </cell>
          <cell r="B324">
            <v>12502</v>
          </cell>
          <cell r="D324">
            <v>4.6304999999999992E-2</v>
          </cell>
        </row>
        <row r="325">
          <cell r="A325" t="str">
            <v>C26820F/C(T)</v>
          </cell>
          <cell r="B325">
            <v>14500</v>
          </cell>
          <cell r="C325">
            <v>1998</v>
          </cell>
          <cell r="D325">
            <v>4.6304999999999992E-2</v>
          </cell>
        </row>
        <row r="326">
          <cell r="A326" t="str">
            <v>C30008R</v>
          </cell>
          <cell r="B326">
            <v>15000</v>
          </cell>
          <cell r="C326">
            <v>2304</v>
          </cell>
          <cell r="D326">
            <v>3.3599999999999998E-2</v>
          </cell>
        </row>
        <row r="327">
          <cell r="A327" t="str">
            <v>C30025BPW/C</v>
          </cell>
          <cell r="B327">
            <v>23000</v>
          </cell>
          <cell r="C327">
            <v>2990</v>
          </cell>
          <cell r="D327">
            <v>5.3746875E-2</v>
          </cell>
        </row>
        <row r="328">
          <cell r="A328" t="str">
            <v>C30025BPW/C(T)</v>
          </cell>
          <cell r="B328">
            <v>23000</v>
          </cell>
          <cell r="C328">
            <v>2990</v>
          </cell>
          <cell r="D328">
            <v>5.3746875E-2</v>
          </cell>
        </row>
        <row r="329">
          <cell r="A329" t="str">
            <v>C30025F/C</v>
          </cell>
          <cell r="B329">
            <v>26800</v>
          </cell>
          <cell r="C329">
            <v>2985</v>
          </cell>
          <cell r="D329">
            <v>5.3746875E-2</v>
          </cell>
        </row>
        <row r="330">
          <cell r="A330" t="str">
            <v>C30025F/C(T)</v>
          </cell>
          <cell r="B330">
            <v>26800</v>
          </cell>
          <cell r="C330">
            <v>2985</v>
          </cell>
          <cell r="D330">
            <v>5.3746875E-2</v>
          </cell>
        </row>
        <row r="331">
          <cell r="A331" t="str">
            <v>C304MK</v>
          </cell>
          <cell r="B331">
            <v>68500</v>
          </cell>
          <cell r="C331">
            <v>7880</v>
          </cell>
          <cell r="D331">
            <v>0.1479</v>
          </cell>
        </row>
        <row r="332">
          <cell r="A332" t="str">
            <v>C320D</v>
          </cell>
          <cell r="B332">
            <v>15000</v>
          </cell>
          <cell r="C332">
            <v>2400</v>
          </cell>
          <cell r="D332">
            <v>5.4022499999999994E-2</v>
          </cell>
        </row>
        <row r="333">
          <cell r="A333" t="str">
            <v>C320DI14</v>
          </cell>
          <cell r="B333">
            <v>17000</v>
          </cell>
          <cell r="C333">
            <v>2400</v>
          </cell>
          <cell r="D333">
            <v>3.9937500000000001E-2</v>
          </cell>
        </row>
        <row r="334">
          <cell r="A334" t="str">
            <v>C330D</v>
          </cell>
          <cell r="B334">
            <v>8000</v>
          </cell>
          <cell r="C334">
            <v>864</v>
          </cell>
          <cell r="D334">
            <v>2.4624E-2</v>
          </cell>
        </row>
        <row r="335">
          <cell r="A335" t="str">
            <v>C3545MF</v>
          </cell>
          <cell r="B335">
            <v>27000</v>
          </cell>
          <cell r="C335">
            <v>2000</v>
          </cell>
          <cell r="D335">
            <v>7.6160000000000019E-2</v>
          </cell>
        </row>
        <row r="336">
          <cell r="A336" t="str">
            <v>C3545NO</v>
          </cell>
          <cell r="B336">
            <v>27000</v>
          </cell>
          <cell r="C336">
            <v>2000</v>
          </cell>
          <cell r="D336">
            <v>7.6160000000000019E-2</v>
          </cell>
        </row>
        <row r="337">
          <cell r="A337" t="str">
            <v>C363BPF</v>
          </cell>
          <cell r="B337">
            <v>18000</v>
          </cell>
          <cell r="C337">
            <v>2736</v>
          </cell>
          <cell r="D337">
            <v>5.0721125000000006E-2</v>
          </cell>
        </row>
        <row r="338">
          <cell r="A338" t="str">
            <v>C363DR</v>
          </cell>
          <cell r="B338">
            <v>18000</v>
          </cell>
          <cell r="C338">
            <v>2736</v>
          </cell>
          <cell r="D338">
            <v>5.0721125000000006E-2</v>
          </cell>
        </row>
        <row r="339">
          <cell r="A339" t="str">
            <v>C363E E</v>
          </cell>
          <cell r="D339">
            <v>5.0721124999999999E-2</v>
          </cell>
        </row>
        <row r="340">
          <cell r="A340" t="str">
            <v>C363J E</v>
          </cell>
          <cell r="D340">
            <v>5.0721124999999999E-2</v>
          </cell>
        </row>
        <row r="341">
          <cell r="A341" t="str">
            <v>C363PA</v>
          </cell>
          <cell r="B341">
            <v>18000</v>
          </cell>
          <cell r="C341">
            <v>2736</v>
          </cell>
          <cell r="D341">
            <v>5.0721125000000006E-2</v>
          </cell>
        </row>
        <row r="342">
          <cell r="A342" t="str">
            <v>C363PL</v>
          </cell>
          <cell r="B342">
            <v>18000</v>
          </cell>
          <cell r="C342">
            <v>2736</v>
          </cell>
          <cell r="D342">
            <v>5.0721125000000006E-2</v>
          </cell>
        </row>
        <row r="343">
          <cell r="A343" t="str">
            <v>C3645BA</v>
          </cell>
          <cell r="B343">
            <v>27800</v>
          </cell>
          <cell r="C343">
            <v>2000</v>
          </cell>
          <cell r="D343">
            <v>7.4052000000000007E-2</v>
          </cell>
        </row>
        <row r="344">
          <cell r="A344" t="str">
            <v>C3645SE</v>
          </cell>
          <cell r="B344">
            <v>27800</v>
          </cell>
          <cell r="C344">
            <v>2000</v>
          </cell>
          <cell r="D344">
            <v>7.4052000000000007E-2</v>
          </cell>
        </row>
        <row r="345">
          <cell r="A345" t="str">
            <v>C365B E</v>
          </cell>
          <cell r="D345">
            <v>3.8224624999999998E-2</v>
          </cell>
        </row>
        <row r="346">
          <cell r="A346" t="str">
            <v>C365DU</v>
          </cell>
          <cell r="B346">
            <v>29500</v>
          </cell>
          <cell r="C346">
            <v>3600</v>
          </cell>
          <cell r="D346">
            <v>7.6449249999999982E-2</v>
          </cell>
        </row>
        <row r="347">
          <cell r="A347" t="str">
            <v>C365DU E</v>
          </cell>
          <cell r="B347">
            <v>12950</v>
          </cell>
          <cell r="D347">
            <v>3.8224624999999991E-2</v>
          </cell>
        </row>
        <row r="348">
          <cell r="A348" t="str">
            <v>C365P E</v>
          </cell>
          <cell r="D348">
            <v>3.8224624999999998E-2</v>
          </cell>
        </row>
        <row r="349">
          <cell r="A349" t="str">
            <v>C365S E</v>
          </cell>
          <cell r="D349">
            <v>3.8224624999999998E-2</v>
          </cell>
        </row>
        <row r="350">
          <cell r="A350" t="str">
            <v>C365V E</v>
          </cell>
          <cell r="D350">
            <v>3.8224624999999998E-2</v>
          </cell>
        </row>
        <row r="351">
          <cell r="A351" t="str">
            <v>C36MH</v>
          </cell>
          <cell r="B351">
            <v>28000</v>
          </cell>
          <cell r="C351">
            <v>2976</v>
          </cell>
          <cell r="D351">
            <v>8.5320000000000007E-2</v>
          </cell>
        </row>
        <row r="352">
          <cell r="A352" t="str">
            <v>C36MH E</v>
          </cell>
          <cell r="B352">
            <v>8342</v>
          </cell>
          <cell r="D352">
            <v>2.8440000000000003E-2</v>
          </cell>
        </row>
        <row r="353">
          <cell r="A353" t="str">
            <v>C379XMK/C</v>
          </cell>
          <cell r="B353">
            <v>39500</v>
          </cell>
          <cell r="C353">
            <v>4000</v>
          </cell>
          <cell r="D353">
            <v>0.13455075</v>
          </cell>
        </row>
        <row r="354">
          <cell r="A354" t="str">
            <v>C379XMK/C(T)</v>
          </cell>
          <cell r="B354">
            <v>39500</v>
          </cell>
          <cell r="C354">
            <v>4000</v>
          </cell>
          <cell r="D354">
            <v>0.13455075</v>
          </cell>
        </row>
        <row r="355">
          <cell r="A355" t="str">
            <v>C39020F/C</v>
          </cell>
          <cell r="B355">
            <v>17000</v>
          </cell>
          <cell r="C355">
            <v>2985</v>
          </cell>
          <cell r="D355">
            <v>3.7961000000000002E-2</v>
          </cell>
        </row>
        <row r="356">
          <cell r="A356" t="str">
            <v>C39020F/C(T)</v>
          </cell>
          <cell r="B356">
            <v>17000</v>
          </cell>
          <cell r="C356">
            <v>2985</v>
          </cell>
          <cell r="D356">
            <v>3.7961000000000002E-2</v>
          </cell>
        </row>
        <row r="357">
          <cell r="A357" t="str">
            <v>C39MPT</v>
          </cell>
          <cell r="B357">
            <v>20200</v>
          </cell>
          <cell r="C357">
            <v>3920</v>
          </cell>
          <cell r="D357">
            <v>0.103092</v>
          </cell>
        </row>
        <row r="358">
          <cell r="A358" t="str">
            <v>C39MPT14</v>
          </cell>
          <cell r="B358">
            <v>20200</v>
          </cell>
          <cell r="C358">
            <v>3920</v>
          </cell>
          <cell r="D358">
            <v>0.103092</v>
          </cell>
        </row>
        <row r="359">
          <cell r="A359" t="str">
            <v>C40020XPR/C14</v>
          </cell>
          <cell r="B359">
            <v>18000</v>
          </cell>
          <cell r="C359">
            <v>2000</v>
          </cell>
          <cell r="D359">
            <v>5.0675999999999999E-2</v>
          </cell>
        </row>
        <row r="360">
          <cell r="A360" t="str">
            <v>C40020XPR/C14(T)</v>
          </cell>
          <cell r="B360">
            <v>18000</v>
          </cell>
          <cell r="C360">
            <v>2000</v>
          </cell>
          <cell r="D360">
            <v>5.0675999999999999E-2</v>
          </cell>
        </row>
        <row r="361">
          <cell r="A361" t="str">
            <v>C40025F/C</v>
          </cell>
          <cell r="B361">
            <v>33500</v>
          </cell>
          <cell r="C361">
            <v>3980</v>
          </cell>
          <cell r="D361">
            <v>6.4054374999999997E-2</v>
          </cell>
        </row>
        <row r="362">
          <cell r="A362" t="str">
            <v>C40025F/C(T)</v>
          </cell>
          <cell r="B362">
            <v>33500</v>
          </cell>
          <cell r="C362">
            <v>3980</v>
          </cell>
          <cell r="D362">
            <v>7.0564374999999999E-2</v>
          </cell>
        </row>
        <row r="363">
          <cell r="A363" t="str">
            <v>C40FMH</v>
          </cell>
          <cell r="B363">
            <v>29200</v>
          </cell>
          <cell r="C363">
            <v>6864</v>
          </cell>
          <cell r="D363">
            <v>6.4713000000000007E-2</v>
          </cell>
        </row>
        <row r="364">
          <cell r="A364" t="str">
            <v>C41MSIG</v>
          </cell>
          <cell r="B364">
            <v>19800</v>
          </cell>
          <cell r="C364">
            <v>3000</v>
          </cell>
          <cell r="D364">
            <v>7.6933124999999991E-2</v>
          </cell>
        </row>
        <row r="365">
          <cell r="A365" t="str">
            <v>C424MH/C E</v>
          </cell>
        </row>
        <row r="366">
          <cell r="A366" t="str">
            <v>C42MM</v>
          </cell>
          <cell r="B366">
            <v>19600</v>
          </cell>
          <cell r="C366">
            <v>2624</v>
          </cell>
          <cell r="D366">
            <v>5.2336500000000001E-2</v>
          </cell>
        </row>
        <row r="367">
          <cell r="A367" t="str">
            <v>C42XMK E</v>
          </cell>
        </row>
        <row r="368">
          <cell r="A368" t="str">
            <v>C446MM/C</v>
          </cell>
          <cell r="B368">
            <v>34000</v>
          </cell>
          <cell r="C368">
            <v>3988</v>
          </cell>
          <cell r="D368">
            <v>0.10292000000000001</v>
          </cell>
        </row>
        <row r="369">
          <cell r="A369" t="str">
            <v>C446MM/C(T)</v>
          </cell>
          <cell r="B369">
            <v>34000</v>
          </cell>
          <cell r="C369">
            <v>3988</v>
          </cell>
          <cell r="D369">
            <v>0.10292000000000001</v>
          </cell>
        </row>
        <row r="370">
          <cell r="A370" t="str">
            <v>C47MB</v>
          </cell>
          <cell r="B370">
            <v>15500</v>
          </cell>
          <cell r="C370">
            <v>1980</v>
          </cell>
          <cell r="D370">
            <v>4.614975000000001E-2</v>
          </cell>
        </row>
        <row r="371">
          <cell r="A371" t="str">
            <v>C47MB E</v>
          </cell>
          <cell r="B371">
            <v>6760</v>
          </cell>
          <cell r="D371">
            <v>2.3074875000000005E-2</v>
          </cell>
        </row>
        <row r="372">
          <cell r="A372" t="str">
            <v>C47MI</v>
          </cell>
          <cell r="B372">
            <v>14600</v>
          </cell>
          <cell r="C372">
            <v>1980</v>
          </cell>
          <cell r="D372">
            <v>4.614975000000001E-2</v>
          </cell>
        </row>
        <row r="373">
          <cell r="A373" t="str">
            <v>C47MT E</v>
          </cell>
          <cell r="D373">
            <v>2.3074874999999998E-2</v>
          </cell>
        </row>
        <row r="374">
          <cell r="A374" t="str">
            <v>C47XM2 E</v>
          </cell>
          <cell r="D374">
            <v>2.3074874999999998E-2</v>
          </cell>
        </row>
        <row r="375">
          <cell r="A375" t="str">
            <v>C47XMA</v>
          </cell>
          <cell r="B375">
            <v>18000</v>
          </cell>
          <cell r="C375">
            <v>1996</v>
          </cell>
          <cell r="D375">
            <v>5.8740000000000001E-2</v>
          </cell>
        </row>
        <row r="376">
          <cell r="A376" t="str">
            <v>C47XMT</v>
          </cell>
          <cell r="B376">
            <v>18000</v>
          </cell>
          <cell r="C376">
            <v>1996</v>
          </cell>
          <cell r="D376">
            <v>5.8740000000000001E-2</v>
          </cell>
        </row>
        <row r="377">
          <cell r="A377" t="str">
            <v>C4825MP</v>
          </cell>
          <cell r="B377">
            <v>23500</v>
          </cell>
          <cell r="C377">
            <v>2976</v>
          </cell>
          <cell r="D377">
            <v>6.2899999999999998E-2</v>
          </cell>
        </row>
        <row r="378">
          <cell r="A378" t="str">
            <v>C4920BPF</v>
          </cell>
          <cell r="B378">
            <v>17500</v>
          </cell>
          <cell r="C378">
            <v>2744</v>
          </cell>
          <cell r="D378">
            <v>3.4985250000000002E-2</v>
          </cell>
        </row>
        <row r="379">
          <cell r="A379" t="str">
            <v>C4920DR</v>
          </cell>
          <cell r="B379">
            <v>18400</v>
          </cell>
          <cell r="C379">
            <v>3136</v>
          </cell>
          <cell r="D379">
            <v>3.4985250000000002E-2</v>
          </cell>
        </row>
        <row r="380">
          <cell r="A380" t="str">
            <v>C4920DR14</v>
          </cell>
          <cell r="B380">
            <v>17700</v>
          </cell>
          <cell r="C380">
            <v>3136</v>
          </cell>
          <cell r="D380">
            <v>3.4985250000000002E-2</v>
          </cell>
        </row>
        <row r="381">
          <cell r="A381" t="str">
            <v>C4920K</v>
          </cell>
          <cell r="B381">
            <v>17000</v>
          </cell>
          <cell r="C381">
            <v>3136</v>
          </cell>
          <cell r="D381">
            <v>3.4985250000000002E-2</v>
          </cell>
        </row>
        <row r="382">
          <cell r="A382" t="str">
            <v>C4920K E</v>
          </cell>
          <cell r="D382" t="str">
            <v/>
          </cell>
        </row>
        <row r="383">
          <cell r="A383" t="str">
            <v>C4920K14</v>
          </cell>
          <cell r="B383">
            <v>16500</v>
          </cell>
          <cell r="C383">
            <v>3136</v>
          </cell>
          <cell r="D383">
            <v>3.4985250000000002E-2</v>
          </cell>
        </row>
        <row r="384">
          <cell r="A384" t="str">
            <v>C4920K14 E</v>
          </cell>
        </row>
        <row r="385">
          <cell r="A385" t="str">
            <v>C4920NID</v>
          </cell>
          <cell r="B385">
            <v>17500</v>
          </cell>
          <cell r="C385">
            <v>3136</v>
          </cell>
          <cell r="D385">
            <v>3.4985250000000002E-2</v>
          </cell>
        </row>
        <row r="386">
          <cell r="A386" t="str">
            <v>C4920S</v>
          </cell>
          <cell r="B386">
            <v>17000</v>
          </cell>
          <cell r="C386">
            <v>3136</v>
          </cell>
          <cell r="D386">
            <v>3.4985250000000002E-2</v>
          </cell>
        </row>
        <row r="387">
          <cell r="A387" t="str">
            <v>C4920S E</v>
          </cell>
          <cell r="D387" t="str">
            <v/>
          </cell>
        </row>
        <row r="388">
          <cell r="A388" t="str">
            <v>C4920S14</v>
          </cell>
          <cell r="B388">
            <v>16500</v>
          </cell>
          <cell r="C388">
            <v>3136</v>
          </cell>
          <cell r="D388">
            <v>3.4985250000000002E-2</v>
          </cell>
        </row>
        <row r="389">
          <cell r="A389" t="str">
            <v>C4920SIG</v>
          </cell>
          <cell r="B389">
            <v>18500</v>
          </cell>
          <cell r="C389">
            <v>3992</v>
          </cell>
          <cell r="D389">
            <v>3.4985250000000002E-2</v>
          </cell>
        </row>
        <row r="390">
          <cell r="A390" t="str">
            <v>C4920SIG E</v>
          </cell>
          <cell r="B390">
            <v>1814</v>
          </cell>
          <cell r="D390">
            <v>4.3731562500000003E-3</v>
          </cell>
        </row>
        <row r="391">
          <cell r="A391" t="str">
            <v>C4920SIG14</v>
          </cell>
          <cell r="B391">
            <v>19000</v>
          </cell>
          <cell r="C391">
            <v>3992</v>
          </cell>
          <cell r="D391">
            <v>3.4985250000000002E-2</v>
          </cell>
        </row>
        <row r="392">
          <cell r="A392" t="str">
            <v>C4925BP14</v>
          </cell>
          <cell r="B392">
            <v>20000</v>
          </cell>
          <cell r="C392">
            <v>3000</v>
          </cell>
          <cell r="D392">
            <v>4.8944000000000001E-2</v>
          </cell>
        </row>
        <row r="393">
          <cell r="A393" t="str">
            <v>C4925D</v>
          </cell>
          <cell r="B393">
            <v>20000</v>
          </cell>
          <cell r="C393">
            <v>3528</v>
          </cell>
          <cell r="D393">
            <v>4.8944000000000001E-2</v>
          </cell>
        </row>
        <row r="394">
          <cell r="A394" t="str">
            <v>C4925G</v>
          </cell>
          <cell r="B394">
            <v>20000</v>
          </cell>
          <cell r="C394">
            <v>2988</v>
          </cell>
          <cell r="D394">
            <v>4.8944000000000001E-2</v>
          </cell>
        </row>
        <row r="395">
          <cell r="A395" t="str">
            <v>C4925G E</v>
          </cell>
        </row>
        <row r="396">
          <cell r="A396" t="str">
            <v>C4925NO14</v>
          </cell>
          <cell r="B396">
            <v>20000</v>
          </cell>
          <cell r="C396">
            <v>2970</v>
          </cell>
          <cell r="D396">
            <v>4.8944000000000001E-2</v>
          </cell>
        </row>
        <row r="397">
          <cell r="A397" t="str">
            <v>C4925P</v>
          </cell>
          <cell r="B397">
            <v>20000</v>
          </cell>
          <cell r="C397">
            <v>2988</v>
          </cell>
          <cell r="D397">
            <v>4.8944000000000001E-2</v>
          </cell>
        </row>
        <row r="398">
          <cell r="A398" t="str">
            <v>C4925SIG</v>
          </cell>
          <cell r="B398">
            <v>20000</v>
          </cell>
          <cell r="C398">
            <v>5880</v>
          </cell>
          <cell r="D398">
            <v>4.8944000000000001E-2</v>
          </cell>
        </row>
        <row r="399">
          <cell r="A399" t="str">
            <v>C4925V</v>
          </cell>
          <cell r="B399">
            <v>20000</v>
          </cell>
          <cell r="C399">
            <v>2988</v>
          </cell>
          <cell r="D399">
            <v>4.8944000000000001E-2</v>
          </cell>
        </row>
        <row r="400">
          <cell r="A400" t="str">
            <v>C4925V14</v>
          </cell>
          <cell r="B400">
            <v>20000</v>
          </cell>
          <cell r="C400">
            <v>2988</v>
          </cell>
          <cell r="D400">
            <v>4.8944000000000001E-2</v>
          </cell>
        </row>
        <row r="401">
          <cell r="A401" t="str">
            <v>C4925VS</v>
          </cell>
          <cell r="B401">
            <v>20000</v>
          </cell>
          <cell r="C401">
            <v>4410</v>
          </cell>
          <cell r="D401">
            <v>4.8944000000000001E-2</v>
          </cell>
        </row>
        <row r="402">
          <cell r="A402" t="str">
            <v>C493B E</v>
          </cell>
          <cell r="D402">
            <v>1.752975E-2</v>
          </cell>
        </row>
        <row r="403">
          <cell r="A403" t="str">
            <v>C493BP</v>
          </cell>
          <cell r="B403">
            <v>12500</v>
          </cell>
          <cell r="C403">
            <v>1666</v>
          </cell>
          <cell r="D403">
            <v>3.50595E-2</v>
          </cell>
        </row>
        <row r="404">
          <cell r="A404" t="str">
            <v>C493BPS</v>
          </cell>
          <cell r="B404">
            <v>12500</v>
          </cell>
          <cell r="C404">
            <v>1666</v>
          </cell>
          <cell r="D404">
            <v>3.50595E-2</v>
          </cell>
        </row>
        <row r="405">
          <cell r="A405" t="str">
            <v>C493BW</v>
          </cell>
          <cell r="B405">
            <v>12500</v>
          </cell>
          <cell r="C405">
            <v>1862</v>
          </cell>
          <cell r="D405">
            <v>3.50595E-2</v>
          </cell>
        </row>
        <row r="406">
          <cell r="A406" t="str">
            <v>C493CR</v>
          </cell>
          <cell r="B406">
            <v>12500</v>
          </cell>
          <cell r="C406">
            <v>1862</v>
          </cell>
          <cell r="D406">
            <v>3.50595E-2</v>
          </cell>
        </row>
        <row r="407">
          <cell r="A407" t="str">
            <v>C493DU</v>
          </cell>
          <cell r="B407">
            <v>12500</v>
          </cell>
          <cell r="C407">
            <v>1618</v>
          </cell>
          <cell r="D407">
            <v>3.50595E-2</v>
          </cell>
        </row>
        <row r="408">
          <cell r="A408" t="str">
            <v>C493GH</v>
          </cell>
          <cell r="B408">
            <v>12500</v>
          </cell>
          <cell r="C408">
            <v>1862</v>
          </cell>
          <cell r="D408">
            <v>3.50595E-2</v>
          </cell>
        </row>
        <row r="409">
          <cell r="A409" t="str">
            <v>C493GH E</v>
          </cell>
          <cell r="B409">
            <v>5319</v>
          </cell>
          <cell r="D409">
            <v>1.752975E-2</v>
          </cell>
        </row>
        <row r="410">
          <cell r="A410" t="str">
            <v>C493LI</v>
          </cell>
          <cell r="B410">
            <v>12500</v>
          </cell>
          <cell r="C410">
            <v>1862</v>
          </cell>
          <cell r="D410">
            <v>3.50595E-2</v>
          </cell>
        </row>
        <row r="411">
          <cell r="A411" t="str">
            <v>C493MA</v>
          </cell>
          <cell r="B411">
            <v>12500</v>
          </cell>
          <cell r="C411">
            <v>1862</v>
          </cell>
          <cell r="D411">
            <v>3.50595E-2</v>
          </cell>
        </row>
        <row r="412">
          <cell r="A412" t="str">
            <v>C493PR</v>
          </cell>
          <cell r="B412">
            <v>12500</v>
          </cell>
          <cell r="C412">
            <v>1800</v>
          </cell>
          <cell r="D412">
            <v>3.50595E-2</v>
          </cell>
        </row>
        <row r="413">
          <cell r="A413" t="str">
            <v>C493RG</v>
          </cell>
          <cell r="B413">
            <v>12500</v>
          </cell>
          <cell r="C413">
            <v>1862</v>
          </cell>
          <cell r="D413">
            <v>3.50595E-2</v>
          </cell>
        </row>
        <row r="414">
          <cell r="A414" t="str">
            <v>C493RU</v>
          </cell>
          <cell r="B414">
            <v>14000</v>
          </cell>
          <cell r="C414">
            <v>1862</v>
          </cell>
          <cell r="D414">
            <v>3.50595E-2</v>
          </cell>
        </row>
        <row r="415">
          <cell r="A415" t="str">
            <v>C493RU E</v>
          </cell>
          <cell r="B415">
            <v>6069</v>
          </cell>
          <cell r="D415">
            <v>1.752975E-2</v>
          </cell>
        </row>
        <row r="416">
          <cell r="A416" t="str">
            <v>C493SW</v>
          </cell>
          <cell r="B416">
            <v>12500</v>
          </cell>
          <cell r="C416">
            <v>1996</v>
          </cell>
          <cell r="D416">
            <v>3.50595E-2</v>
          </cell>
        </row>
        <row r="417">
          <cell r="A417" t="str">
            <v>C493T E</v>
          </cell>
          <cell r="D417">
            <v>1.752975E-2</v>
          </cell>
        </row>
        <row r="418">
          <cell r="A418" t="str">
            <v>C495GW E</v>
          </cell>
        </row>
        <row r="419">
          <cell r="A419" t="str">
            <v>C495V E</v>
          </cell>
        </row>
        <row r="420">
          <cell r="A420" t="str">
            <v>C495X E</v>
          </cell>
        </row>
        <row r="421">
          <cell r="A421" t="str">
            <v>C4963V</v>
          </cell>
          <cell r="B421">
            <v>25500</v>
          </cell>
          <cell r="C421">
            <v>1960</v>
          </cell>
          <cell r="D421">
            <v>0.10078550000000001</v>
          </cell>
        </row>
        <row r="422">
          <cell r="A422" t="str">
            <v>C503BI</v>
          </cell>
          <cell r="B422">
            <v>12500</v>
          </cell>
          <cell r="C422">
            <v>1900</v>
          </cell>
          <cell r="D422">
            <v>3.1307874999999999E-2</v>
          </cell>
        </row>
        <row r="423">
          <cell r="A423" t="str">
            <v>C503BO E</v>
          </cell>
          <cell r="D423">
            <v>1.5653937499999999E-2</v>
          </cell>
        </row>
        <row r="424">
          <cell r="A424" t="str">
            <v>C503BW/C14</v>
          </cell>
          <cell r="B424">
            <v>6600</v>
          </cell>
          <cell r="C424">
            <v>950</v>
          </cell>
          <cell r="D424">
            <v>1.6453125000000002E-2</v>
          </cell>
        </row>
        <row r="425">
          <cell r="A425" t="str">
            <v>C503BW/C14(T)</v>
          </cell>
          <cell r="B425">
            <v>6600</v>
          </cell>
          <cell r="C425">
            <v>950</v>
          </cell>
          <cell r="D425">
            <v>1.6453125000000002E-2</v>
          </cell>
        </row>
        <row r="426">
          <cell r="A426" t="str">
            <v>C503F/C14</v>
          </cell>
          <cell r="B426">
            <v>7000</v>
          </cell>
          <cell r="C426">
            <v>950</v>
          </cell>
          <cell r="D426">
            <v>1.6453125000000002E-2</v>
          </cell>
        </row>
        <row r="427">
          <cell r="A427" t="str">
            <v>C503F/C14(T)</v>
          </cell>
          <cell r="B427">
            <v>7000</v>
          </cell>
          <cell r="C427">
            <v>950</v>
          </cell>
          <cell r="D427">
            <v>1.6453125000000002E-2</v>
          </cell>
        </row>
        <row r="428">
          <cell r="A428" t="str">
            <v>C503I</v>
          </cell>
          <cell r="B428">
            <v>11500</v>
          </cell>
          <cell r="C428">
            <v>1900</v>
          </cell>
          <cell r="D428">
            <v>3.2171499999999999E-2</v>
          </cell>
        </row>
        <row r="429">
          <cell r="A429" t="str">
            <v>C503ME</v>
          </cell>
          <cell r="B429">
            <v>12500</v>
          </cell>
          <cell r="C429">
            <v>1900</v>
          </cell>
          <cell r="D429">
            <v>3.1307874999999999E-2</v>
          </cell>
        </row>
        <row r="430">
          <cell r="A430" t="str">
            <v>C503NID/C14</v>
          </cell>
          <cell r="B430">
            <v>7000</v>
          </cell>
          <cell r="C430">
            <v>950</v>
          </cell>
          <cell r="D430">
            <v>1.6453125000000002E-2</v>
          </cell>
        </row>
        <row r="431">
          <cell r="A431" t="str">
            <v>C503NID/C14(T)</v>
          </cell>
          <cell r="B431">
            <v>7000</v>
          </cell>
          <cell r="C431">
            <v>950</v>
          </cell>
          <cell r="D431">
            <v>1.6453125000000002E-2</v>
          </cell>
        </row>
        <row r="432">
          <cell r="A432" t="str">
            <v>C503RA</v>
          </cell>
          <cell r="B432">
            <v>12500</v>
          </cell>
          <cell r="C432">
            <v>1900</v>
          </cell>
          <cell r="D432">
            <v>3.1307874999999999E-2</v>
          </cell>
        </row>
        <row r="433">
          <cell r="A433" t="str">
            <v>C503RA E</v>
          </cell>
          <cell r="B433">
            <v>5300</v>
          </cell>
          <cell r="D433">
            <v>1.5653937499999999E-2</v>
          </cell>
        </row>
        <row r="434">
          <cell r="A434" t="str">
            <v>C503RO</v>
          </cell>
          <cell r="B434">
            <v>12400</v>
          </cell>
          <cell r="C434">
            <v>1900</v>
          </cell>
          <cell r="D434">
            <v>3.1307874999999999E-2</v>
          </cell>
        </row>
        <row r="435">
          <cell r="A435" t="str">
            <v>C503RO/C14</v>
          </cell>
          <cell r="B435">
            <v>6600</v>
          </cell>
          <cell r="C435">
            <v>950</v>
          </cell>
          <cell r="D435">
            <v>1.6453125000000002E-2</v>
          </cell>
        </row>
        <row r="436">
          <cell r="A436" t="str">
            <v>C503RO/C14(T)</v>
          </cell>
          <cell r="B436">
            <v>6600</v>
          </cell>
          <cell r="C436">
            <v>950</v>
          </cell>
          <cell r="D436">
            <v>1.6453125000000002E-2</v>
          </cell>
        </row>
        <row r="437">
          <cell r="A437" t="str">
            <v>C503SIG/C14</v>
          </cell>
          <cell r="B437">
            <v>7000</v>
          </cell>
          <cell r="C437">
            <v>1000</v>
          </cell>
          <cell r="D437">
            <v>1.6453125000000002E-2</v>
          </cell>
        </row>
        <row r="438">
          <cell r="A438" t="str">
            <v>C503SIG/C14(T)</v>
          </cell>
          <cell r="B438">
            <v>7000</v>
          </cell>
          <cell r="C438">
            <v>1000</v>
          </cell>
          <cell r="D438">
            <v>1.6453125000000002E-2</v>
          </cell>
        </row>
        <row r="439">
          <cell r="A439" t="str">
            <v>C503SIGA</v>
          </cell>
          <cell r="B439">
            <v>13700</v>
          </cell>
          <cell r="C439">
            <v>1998</v>
          </cell>
          <cell r="D439">
            <v>3.1307874999999999E-2</v>
          </cell>
        </row>
        <row r="440">
          <cell r="A440" t="str">
            <v>C503T</v>
          </cell>
          <cell r="B440">
            <v>13700</v>
          </cell>
          <cell r="C440">
            <v>1900</v>
          </cell>
          <cell r="D440">
            <v>3.2171499999999999E-2</v>
          </cell>
        </row>
        <row r="441">
          <cell r="A441" t="str">
            <v>C503TS/C14</v>
          </cell>
          <cell r="B441">
            <v>6600</v>
          </cell>
          <cell r="C441">
            <v>950</v>
          </cell>
          <cell r="D441">
            <v>1.6453125000000002E-2</v>
          </cell>
        </row>
        <row r="442">
          <cell r="A442" t="str">
            <v>C503TS/C14(T)</v>
          </cell>
          <cell r="B442">
            <v>6600</v>
          </cell>
          <cell r="C442">
            <v>950</v>
          </cell>
          <cell r="D442">
            <v>1.6453125000000002E-2</v>
          </cell>
        </row>
        <row r="443">
          <cell r="A443" t="str">
            <v>C503WI</v>
          </cell>
          <cell r="B443">
            <v>12500</v>
          </cell>
          <cell r="C443">
            <v>1900</v>
          </cell>
          <cell r="D443">
            <v>3.1307874999999999E-2</v>
          </cell>
        </row>
        <row r="444">
          <cell r="A444" t="str">
            <v>C505V/C</v>
          </cell>
          <cell r="B444">
            <v>20500</v>
          </cell>
          <cell r="C444">
            <v>1998</v>
          </cell>
          <cell r="D444">
            <v>5.7645000000000002E-2</v>
          </cell>
        </row>
        <row r="445">
          <cell r="A445" t="str">
            <v>C505V/C(T)</v>
          </cell>
          <cell r="B445">
            <v>20500</v>
          </cell>
          <cell r="C445">
            <v>1998</v>
          </cell>
          <cell r="D445">
            <v>5.7645000000000002E-2</v>
          </cell>
        </row>
        <row r="446">
          <cell r="A446" t="str">
            <v>C505X/C</v>
          </cell>
          <cell r="B446">
            <v>20500</v>
          </cell>
          <cell r="C446">
            <v>1998</v>
          </cell>
          <cell r="D446">
            <v>5.7645000000000002E-2</v>
          </cell>
        </row>
        <row r="447">
          <cell r="A447" t="str">
            <v>C505X/C(T)</v>
          </cell>
          <cell r="B447">
            <v>20500</v>
          </cell>
          <cell r="C447">
            <v>1998</v>
          </cell>
          <cell r="D447">
            <v>5.7645000000000002E-2</v>
          </cell>
        </row>
        <row r="448">
          <cell r="A448" t="str">
            <v>C50MCH</v>
          </cell>
          <cell r="B448">
            <v>23500</v>
          </cell>
          <cell r="C448">
            <v>2970</v>
          </cell>
          <cell r="D448">
            <v>6.9599999999999995E-2</v>
          </cell>
        </row>
        <row r="449">
          <cell r="A449" t="str">
            <v>C50MO</v>
          </cell>
          <cell r="B449">
            <v>23500</v>
          </cell>
          <cell r="C449">
            <v>2970</v>
          </cell>
          <cell r="D449">
            <v>6.9599999999999995E-2</v>
          </cell>
        </row>
        <row r="450">
          <cell r="A450" t="str">
            <v>C50MO14</v>
          </cell>
          <cell r="B450">
            <v>23500</v>
          </cell>
          <cell r="C450">
            <v>2970</v>
          </cell>
          <cell r="D450">
            <v>6.9599999999999995E-2</v>
          </cell>
        </row>
        <row r="451">
          <cell r="A451" t="str">
            <v>C52020F/C</v>
          </cell>
          <cell r="B451">
            <v>24500</v>
          </cell>
          <cell r="C451">
            <v>3988</v>
          </cell>
          <cell r="D451">
            <v>5.0405625000000003E-2</v>
          </cell>
        </row>
        <row r="452">
          <cell r="A452" t="str">
            <v>C52020F/C(T)</v>
          </cell>
          <cell r="B452">
            <v>24500</v>
          </cell>
          <cell r="C452">
            <v>3988</v>
          </cell>
          <cell r="D452">
            <v>5.0405625000000003E-2</v>
          </cell>
        </row>
        <row r="453">
          <cell r="A453" t="str">
            <v>C53620F/C</v>
          </cell>
          <cell r="B453">
            <v>28900</v>
          </cell>
          <cell r="C453">
            <v>3996</v>
          </cell>
          <cell r="D453">
            <v>9.2960000000000001E-2</v>
          </cell>
        </row>
        <row r="454">
          <cell r="A454" t="str">
            <v>C53620F/C(T)</v>
          </cell>
          <cell r="B454">
            <v>28900</v>
          </cell>
          <cell r="C454">
            <v>3996</v>
          </cell>
          <cell r="D454">
            <v>8.8427499999999978E-2</v>
          </cell>
        </row>
        <row r="455">
          <cell r="A455" t="str">
            <v>C60020XPR/C</v>
          </cell>
          <cell r="B455">
            <v>30000</v>
          </cell>
          <cell r="C455">
            <v>3000</v>
          </cell>
          <cell r="D455">
            <v>6.6555000000000003E-2</v>
          </cell>
        </row>
        <row r="456">
          <cell r="A456" t="str">
            <v>C60020XPR/C(T)</v>
          </cell>
          <cell r="B456">
            <v>30000</v>
          </cell>
          <cell r="C456">
            <v>3000</v>
          </cell>
          <cell r="D456">
            <v>6.6555000000000003E-2</v>
          </cell>
        </row>
        <row r="457">
          <cell r="A457" t="str">
            <v>C62SMT</v>
          </cell>
          <cell r="B457">
            <v>18000</v>
          </cell>
          <cell r="C457">
            <v>1982</v>
          </cell>
          <cell r="D457">
            <v>5.7361999999999996E-2</v>
          </cell>
        </row>
        <row r="458">
          <cell r="A458" t="str">
            <v>C62SMT E</v>
          </cell>
          <cell r="B458">
            <v>8009</v>
          </cell>
          <cell r="D458">
            <v>2.8680999999999998E-2</v>
          </cell>
        </row>
        <row r="459">
          <cell r="A459" t="str">
            <v>C63MM</v>
          </cell>
          <cell r="B459">
            <v>24400</v>
          </cell>
          <cell r="C459">
            <v>2994</v>
          </cell>
          <cell r="D459">
            <v>6.3652500000000001E-2</v>
          </cell>
        </row>
        <row r="460">
          <cell r="A460" t="str">
            <v>C63MP</v>
          </cell>
          <cell r="B460">
            <v>25000</v>
          </cell>
          <cell r="C460">
            <v>2994</v>
          </cell>
          <cell r="D460">
            <v>7.6106250000000014E-2</v>
          </cell>
        </row>
        <row r="461">
          <cell r="A461" t="str">
            <v>C63MP E</v>
          </cell>
          <cell r="B461">
            <v>7336</v>
          </cell>
          <cell r="D461">
            <v>2.5368750000000006E-2</v>
          </cell>
        </row>
        <row r="462">
          <cell r="A462" t="str">
            <v>C6420B</v>
          </cell>
          <cell r="B462">
            <v>16500</v>
          </cell>
          <cell r="C462">
            <v>2988</v>
          </cell>
          <cell r="D462">
            <v>3.6456000000000002E-2</v>
          </cell>
        </row>
        <row r="463">
          <cell r="A463" t="str">
            <v>C6420BPW</v>
          </cell>
          <cell r="B463">
            <v>16000</v>
          </cell>
          <cell r="C463">
            <v>2688</v>
          </cell>
          <cell r="D463">
            <v>3.6456000000000002E-2</v>
          </cell>
        </row>
        <row r="464">
          <cell r="A464" t="str">
            <v>C6420D</v>
          </cell>
          <cell r="B464">
            <v>16968</v>
          </cell>
          <cell r="C464">
            <v>2988</v>
          </cell>
          <cell r="D464">
            <v>3.6456000000000002E-2</v>
          </cell>
        </row>
        <row r="465">
          <cell r="A465" t="str">
            <v>C6420D14</v>
          </cell>
          <cell r="B465">
            <v>18500</v>
          </cell>
          <cell r="C465">
            <v>2988</v>
          </cell>
          <cell r="D465">
            <v>3.6456000000000002E-2</v>
          </cell>
        </row>
        <row r="466">
          <cell r="A466" t="str">
            <v>C6420DU/C</v>
          </cell>
          <cell r="B466">
            <v>20200</v>
          </cell>
          <cell r="C466">
            <v>2976</v>
          </cell>
          <cell r="D466">
            <v>4.2900000000000001E-2</v>
          </cell>
        </row>
        <row r="467">
          <cell r="A467" t="str">
            <v>C6420G</v>
          </cell>
          <cell r="B467">
            <v>17100</v>
          </cell>
          <cell r="C467">
            <v>2988</v>
          </cell>
          <cell r="D467">
            <v>3.6456000000000002E-2</v>
          </cell>
        </row>
        <row r="468">
          <cell r="A468" t="str">
            <v>C6420G14</v>
          </cell>
          <cell r="B468">
            <v>16500</v>
          </cell>
          <cell r="C468">
            <v>2988</v>
          </cell>
          <cell r="D468">
            <v>3.6456000000000002E-2</v>
          </cell>
        </row>
        <row r="469">
          <cell r="A469" t="str">
            <v>C6425XPT</v>
          </cell>
          <cell r="B469">
            <v>18500</v>
          </cell>
          <cell r="C469">
            <v>2880</v>
          </cell>
          <cell r="D469">
            <v>5.6998500000000007E-2</v>
          </cell>
        </row>
        <row r="470">
          <cell r="A470" t="str">
            <v>C643B E</v>
          </cell>
          <cell r="D470">
            <v>1.5653937499999999E-2</v>
          </cell>
        </row>
        <row r="471">
          <cell r="A471" t="str">
            <v>C643BI</v>
          </cell>
          <cell r="B471">
            <v>17500</v>
          </cell>
          <cell r="C471">
            <v>1996</v>
          </cell>
          <cell r="D471">
            <v>4.4835E-2</v>
          </cell>
        </row>
        <row r="472">
          <cell r="A472" t="str">
            <v>C643BI E</v>
          </cell>
          <cell r="B472">
            <v>7752</v>
          </cell>
          <cell r="D472">
            <v>2.24175E-2</v>
          </cell>
        </row>
        <row r="473">
          <cell r="A473" t="str">
            <v>C643BPF</v>
          </cell>
          <cell r="B473">
            <v>17500</v>
          </cell>
          <cell r="C473">
            <v>1996</v>
          </cell>
          <cell r="D473">
            <v>4.4835E-2</v>
          </cell>
        </row>
        <row r="474">
          <cell r="A474" t="str">
            <v>C643C E</v>
          </cell>
          <cell r="D474">
            <v>2.24175E-2</v>
          </cell>
        </row>
        <row r="475">
          <cell r="A475" t="str">
            <v>C643D E</v>
          </cell>
          <cell r="D475">
            <v>2.24175E-2</v>
          </cell>
        </row>
        <row r="476">
          <cell r="A476" t="str">
            <v>C643E E</v>
          </cell>
          <cell r="D476">
            <v>2.24175E-2</v>
          </cell>
        </row>
        <row r="477">
          <cell r="A477" t="str">
            <v>C643H</v>
          </cell>
          <cell r="B477">
            <v>17500</v>
          </cell>
          <cell r="C477">
            <v>1996</v>
          </cell>
          <cell r="D477">
            <v>4.4835E-2</v>
          </cell>
        </row>
        <row r="478">
          <cell r="A478" t="str">
            <v>C643M</v>
          </cell>
          <cell r="B478">
            <v>17500</v>
          </cell>
          <cell r="C478">
            <v>1996</v>
          </cell>
          <cell r="D478">
            <v>4.4835E-2</v>
          </cell>
        </row>
        <row r="479">
          <cell r="A479" t="str">
            <v>C643MN</v>
          </cell>
          <cell r="B479">
            <v>17100</v>
          </cell>
          <cell r="C479">
            <v>1996</v>
          </cell>
          <cell r="D479">
            <v>5.1835875000000003E-2</v>
          </cell>
        </row>
        <row r="480">
          <cell r="A480" t="str">
            <v>C643MN E</v>
          </cell>
          <cell r="B480">
            <v>7552</v>
          </cell>
          <cell r="D480">
            <v>2.5917937499999998E-2</v>
          </cell>
        </row>
        <row r="481">
          <cell r="A481" t="str">
            <v>C643XMO</v>
          </cell>
          <cell r="B481">
            <v>18000</v>
          </cell>
          <cell r="C481">
            <v>1996</v>
          </cell>
          <cell r="D481">
            <v>6.5960124999999994E-2</v>
          </cell>
        </row>
        <row r="482">
          <cell r="A482" t="str">
            <v>C643XMS</v>
          </cell>
          <cell r="B482">
            <v>17700</v>
          </cell>
          <cell r="C482">
            <v>1996</v>
          </cell>
          <cell r="D482">
            <v>6.5960124999999994E-2</v>
          </cell>
        </row>
        <row r="483">
          <cell r="A483" t="str">
            <v>C64MP</v>
          </cell>
          <cell r="B483">
            <v>15000</v>
          </cell>
          <cell r="C483">
            <v>1980</v>
          </cell>
          <cell r="D483">
            <v>3.2400000000000005E-2</v>
          </cell>
        </row>
        <row r="484">
          <cell r="A484" t="str">
            <v>C64MSIG E</v>
          </cell>
        </row>
        <row r="485">
          <cell r="A485" t="str">
            <v>C64MT</v>
          </cell>
          <cell r="B485">
            <v>15000</v>
          </cell>
          <cell r="C485">
            <v>1980</v>
          </cell>
          <cell r="D485">
            <v>3.2400000000000005E-2</v>
          </cell>
        </row>
        <row r="486">
          <cell r="A486" t="str">
            <v>C64MT14</v>
          </cell>
          <cell r="B486">
            <v>15000</v>
          </cell>
          <cell r="C486">
            <v>1980</v>
          </cell>
          <cell r="D486">
            <v>3.2400000000000005E-2</v>
          </cell>
        </row>
        <row r="487">
          <cell r="A487" t="str">
            <v>C6620L</v>
          </cell>
          <cell r="B487">
            <v>13400</v>
          </cell>
          <cell r="C487">
            <v>1964</v>
          </cell>
          <cell r="D487">
            <v>5.9062499999999997E-2</v>
          </cell>
        </row>
        <row r="488">
          <cell r="A488" t="str">
            <v>C6620L14</v>
          </cell>
          <cell r="B488">
            <v>14000</v>
          </cell>
          <cell r="C488">
            <v>1964</v>
          </cell>
          <cell r="D488">
            <v>5.9062499999999997E-2</v>
          </cell>
        </row>
        <row r="489">
          <cell r="A489" t="str">
            <v>C6620P</v>
          </cell>
          <cell r="B489">
            <v>13300</v>
          </cell>
          <cell r="C489">
            <v>1964</v>
          </cell>
          <cell r="D489">
            <v>5.9062499999999997E-2</v>
          </cell>
        </row>
        <row r="490">
          <cell r="A490" t="str">
            <v>C6620P14</v>
          </cell>
          <cell r="B490">
            <v>14000</v>
          </cell>
          <cell r="C490">
            <v>1964</v>
          </cell>
          <cell r="D490">
            <v>5.9062499999999997E-2</v>
          </cell>
        </row>
        <row r="491">
          <cell r="A491" t="str">
            <v>C6620SIG</v>
          </cell>
          <cell r="B491">
            <v>15500</v>
          </cell>
          <cell r="C491">
            <v>2000</v>
          </cell>
          <cell r="D491">
            <v>5.9062499999999997E-2</v>
          </cell>
        </row>
        <row r="492">
          <cell r="A492" t="str">
            <v>C66SMMO</v>
          </cell>
          <cell r="B492">
            <v>16000</v>
          </cell>
          <cell r="C492">
            <v>1978</v>
          </cell>
          <cell r="D492">
            <v>5.1749999999999997E-2</v>
          </cell>
        </row>
        <row r="493">
          <cell r="A493" t="str">
            <v>C68XMCS</v>
          </cell>
          <cell r="B493">
            <v>28000</v>
          </cell>
          <cell r="C493">
            <v>3000</v>
          </cell>
          <cell r="D493">
            <v>8.6526000000000006E-2</v>
          </cell>
        </row>
        <row r="494">
          <cell r="A494" t="str">
            <v>C68XMCS14</v>
          </cell>
          <cell r="B494">
            <v>28000</v>
          </cell>
          <cell r="C494">
            <v>3000</v>
          </cell>
          <cell r="D494">
            <v>8.6526000000000006E-2</v>
          </cell>
        </row>
        <row r="495">
          <cell r="A495" t="str">
            <v>C68XMPT</v>
          </cell>
          <cell r="B495">
            <v>28000</v>
          </cell>
          <cell r="C495">
            <v>3000</v>
          </cell>
          <cell r="D495">
            <v>9.3311999999999992E-2</v>
          </cell>
        </row>
        <row r="496">
          <cell r="A496" t="str">
            <v>C68XMPT14</v>
          </cell>
          <cell r="B496">
            <v>28000</v>
          </cell>
          <cell r="C496">
            <v>3000</v>
          </cell>
          <cell r="D496">
            <v>8.6526000000000006E-2</v>
          </cell>
        </row>
        <row r="497">
          <cell r="A497" t="str">
            <v>C755R/C</v>
          </cell>
          <cell r="B497">
            <v>30200</v>
          </cell>
          <cell r="C497">
            <v>2997</v>
          </cell>
          <cell r="D497">
            <v>8.5522500000000001E-2</v>
          </cell>
        </row>
        <row r="498">
          <cell r="A498" t="str">
            <v>C755R/C(T)</v>
          </cell>
          <cell r="B498">
            <v>30200</v>
          </cell>
          <cell r="C498">
            <v>2997</v>
          </cell>
          <cell r="D498">
            <v>8.5522500000000001E-2</v>
          </cell>
        </row>
        <row r="499">
          <cell r="A499" t="str">
            <v>C78FMK</v>
          </cell>
          <cell r="B499">
            <v>17000</v>
          </cell>
          <cell r="C499">
            <v>2272</v>
          </cell>
          <cell r="D499">
            <v>5.6028000000000001E-2</v>
          </cell>
        </row>
        <row r="500">
          <cell r="A500" t="str">
            <v>C80020XPR/C</v>
          </cell>
          <cell r="B500">
            <v>43500</v>
          </cell>
          <cell r="C500">
            <v>4000</v>
          </cell>
          <cell r="D500">
            <v>9.3600000000000003E-2</v>
          </cell>
        </row>
        <row r="501">
          <cell r="A501" t="str">
            <v>C80020XPR/C(T)</v>
          </cell>
          <cell r="B501">
            <v>43500</v>
          </cell>
          <cell r="C501">
            <v>4000</v>
          </cell>
          <cell r="D501">
            <v>9.2564999999999995E-2</v>
          </cell>
        </row>
        <row r="502">
          <cell r="A502" t="str">
            <v>C84M12F/C</v>
          </cell>
          <cell r="B502">
            <v>14500</v>
          </cell>
          <cell r="C502">
            <v>1900</v>
          </cell>
          <cell r="D502">
            <v>3.6477999999999997E-2</v>
          </cell>
        </row>
        <row r="503">
          <cell r="A503" t="str">
            <v>C84M12F/C(T)</v>
          </cell>
          <cell r="B503">
            <v>14500</v>
          </cell>
          <cell r="C503">
            <v>1900</v>
          </cell>
          <cell r="D503">
            <v>3.6477999999999997E-2</v>
          </cell>
        </row>
        <row r="504">
          <cell r="A504" t="str">
            <v>C84M12S/C</v>
          </cell>
          <cell r="B504">
            <v>14500</v>
          </cell>
          <cell r="C504">
            <v>1900</v>
          </cell>
          <cell r="D504">
            <v>3.6477999999999997E-2</v>
          </cell>
        </row>
        <row r="505">
          <cell r="A505" t="str">
            <v>C84M12S/C(T)</v>
          </cell>
          <cell r="B505">
            <v>14500</v>
          </cell>
          <cell r="C505">
            <v>1900</v>
          </cell>
          <cell r="D505">
            <v>3.6477999999999997E-2</v>
          </cell>
        </row>
        <row r="506">
          <cell r="A506" t="str">
            <v>C84MC/C</v>
          </cell>
          <cell r="B506">
            <v>16000</v>
          </cell>
          <cell r="C506">
            <v>1998</v>
          </cell>
          <cell r="D506">
            <v>4.5589500000000005E-2</v>
          </cell>
        </row>
        <row r="507">
          <cell r="A507" t="str">
            <v>C84MC/C(T)</v>
          </cell>
          <cell r="B507">
            <v>16000</v>
          </cell>
          <cell r="C507">
            <v>1998</v>
          </cell>
          <cell r="D507">
            <v>4.5589500000000005E-2</v>
          </cell>
        </row>
        <row r="508">
          <cell r="A508" t="str">
            <v>C84ME</v>
          </cell>
          <cell r="B508">
            <v>15500</v>
          </cell>
          <cell r="C508">
            <v>2280</v>
          </cell>
          <cell r="D508">
            <v>4.549387500000001E-2</v>
          </cell>
        </row>
        <row r="509">
          <cell r="A509" t="str">
            <v>C8825BR</v>
          </cell>
          <cell r="B509">
            <v>12500</v>
          </cell>
          <cell r="C509">
            <v>1996</v>
          </cell>
          <cell r="D509">
            <v>3.2576250000000001E-2</v>
          </cell>
        </row>
        <row r="510">
          <cell r="A510" t="str">
            <v>C8825G</v>
          </cell>
          <cell r="B510">
            <v>12500</v>
          </cell>
          <cell r="C510">
            <v>1996</v>
          </cell>
          <cell r="D510">
            <v>3.0778500000000004E-2</v>
          </cell>
        </row>
        <row r="511">
          <cell r="A511" t="str">
            <v>C8825M</v>
          </cell>
          <cell r="B511">
            <v>12500</v>
          </cell>
          <cell r="C511">
            <v>1996</v>
          </cell>
          <cell r="D511">
            <v>3.0778500000000004E-2</v>
          </cell>
        </row>
        <row r="512">
          <cell r="A512" t="str">
            <v>C8825M E</v>
          </cell>
          <cell r="B512">
            <v>5252</v>
          </cell>
          <cell r="D512">
            <v>1.5389250000000002E-2</v>
          </cell>
        </row>
        <row r="513">
          <cell r="A513" t="str">
            <v>C8825PA</v>
          </cell>
          <cell r="B513">
            <v>12500</v>
          </cell>
          <cell r="C513">
            <v>1996</v>
          </cell>
          <cell r="D513">
            <v>3.0778500000000004E-2</v>
          </cell>
        </row>
        <row r="514">
          <cell r="A514" t="str">
            <v>C8825PA E</v>
          </cell>
          <cell r="B514">
            <v>5252</v>
          </cell>
          <cell r="D514">
            <v>1.5389250000000002E-2</v>
          </cell>
        </row>
        <row r="515">
          <cell r="A515" t="str">
            <v>C8925B</v>
          </cell>
          <cell r="B515">
            <v>15600</v>
          </cell>
          <cell r="C515">
            <v>1990</v>
          </cell>
          <cell r="D515">
            <v>4.7376999999999996E-2</v>
          </cell>
        </row>
        <row r="516">
          <cell r="A516" t="str">
            <v>C8925N</v>
          </cell>
          <cell r="B516">
            <v>14700</v>
          </cell>
          <cell r="C516">
            <v>1990</v>
          </cell>
          <cell r="D516">
            <v>4.7376999999999996E-2</v>
          </cell>
        </row>
        <row r="517">
          <cell r="A517" t="str">
            <v>C8925N E</v>
          </cell>
          <cell r="B517">
            <v>6355</v>
          </cell>
          <cell r="D517">
            <v>2.3688499999999998E-2</v>
          </cell>
        </row>
        <row r="518">
          <cell r="A518" t="str">
            <v>C9020SIG</v>
          </cell>
          <cell r="B518">
            <v>26700</v>
          </cell>
          <cell r="C518">
            <v>5940</v>
          </cell>
          <cell r="D518">
            <v>5.0232000000000006E-2</v>
          </cell>
        </row>
        <row r="519">
          <cell r="A519" t="str">
            <v>C9020V</v>
          </cell>
          <cell r="B519">
            <v>24000</v>
          </cell>
          <cell r="C519">
            <v>4320</v>
          </cell>
          <cell r="D519">
            <v>5.0232000000000006E-2</v>
          </cell>
        </row>
        <row r="520">
          <cell r="A520" t="str">
            <v>C9020X</v>
          </cell>
          <cell r="B520">
            <v>25300</v>
          </cell>
          <cell r="C520">
            <v>4320</v>
          </cell>
          <cell r="D520">
            <v>5.0232000000000006E-2</v>
          </cell>
        </row>
        <row r="521">
          <cell r="A521" t="str">
            <v>C9020X E</v>
          </cell>
          <cell r="B521">
            <v>3497</v>
          </cell>
          <cell r="D521">
            <v>8.372000000000001E-3</v>
          </cell>
        </row>
        <row r="522">
          <cell r="A522" t="str">
            <v>C920L</v>
          </cell>
          <cell r="B522">
            <v>14500</v>
          </cell>
          <cell r="C522">
            <v>2880</v>
          </cell>
          <cell r="D522">
            <v>3.6196875000000003E-2</v>
          </cell>
        </row>
        <row r="523">
          <cell r="A523" t="str">
            <v>C920M</v>
          </cell>
          <cell r="B523">
            <v>14500</v>
          </cell>
          <cell r="C523">
            <v>2880</v>
          </cell>
          <cell r="D523">
            <v>3.6196875000000003E-2</v>
          </cell>
        </row>
        <row r="524">
          <cell r="A524" t="str">
            <v>C9625MF/C14</v>
          </cell>
          <cell r="B524">
            <v>9000</v>
          </cell>
          <cell r="C524">
            <v>992</v>
          </cell>
          <cell r="D524">
            <v>2.4570000000000002E-2</v>
          </cell>
        </row>
        <row r="525">
          <cell r="A525" t="str">
            <v>C9625MF/C14(T)</v>
          </cell>
          <cell r="B525">
            <v>9000</v>
          </cell>
          <cell r="C525">
            <v>992</v>
          </cell>
          <cell r="D525">
            <v>2.4570000000000002E-2</v>
          </cell>
        </row>
        <row r="526">
          <cell r="A526" t="str">
            <v>C96MB</v>
          </cell>
          <cell r="B526">
            <v>23500</v>
          </cell>
          <cell r="C526">
            <v>3185</v>
          </cell>
          <cell r="D526">
            <v>7.9849000000000003E-2</v>
          </cell>
        </row>
        <row r="527">
          <cell r="A527" t="str">
            <v>C9825C/C</v>
          </cell>
          <cell r="B527">
            <v>8800</v>
          </cell>
          <cell r="C527">
            <v>996</v>
          </cell>
          <cell r="D527">
            <v>1.7204000000000001E-2</v>
          </cell>
        </row>
        <row r="528">
          <cell r="A528" t="str">
            <v>C9825C/C(T)</v>
          </cell>
          <cell r="B528">
            <v>8800</v>
          </cell>
          <cell r="C528">
            <v>996</v>
          </cell>
          <cell r="D528">
            <v>1.7204000000000001E-2</v>
          </cell>
        </row>
        <row r="529">
          <cell r="A529" t="str">
            <v>C9825C/C14</v>
          </cell>
          <cell r="B529">
            <v>8000</v>
          </cell>
          <cell r="C529">
            <v>996</v>
          </cell>
          <cell r="D529">
            <v>1.6192000000000002E-2</v>
          </cell>
        </row>
        <row r="530">
          <cell r="A530" t="str">
            <v>C9825C/C14(T)</v>
          </cell>
          <cell r="B530">
            <v>8000</v>
          </cell>
          <cell r="C530">
            <v>996</v>
          </cell>
          <cell r="D530">
            <v>1.6192000000000002E-2</v>
          </cell>
        </row>
        <row r="531">
          <cell r="A531" t="str">
            <v>C9825SIG/C</v>
          </cell>
          <cell r="B531">
            <v>8300</v>
          </cell>
          <cell r="C531">
            <v>1960</v>
          </cell>
          <cell r="D531">
            <v>1.81125E-2</v>
          </cell>
        </row>
        <row r="532">
          <cell r="A532" t="str">
            <v>C9825SIG/C E</v>
          </cell>
          <cell r="B532">
            <v>6340</v>
          </cell>
          <cell r="D532">
            <v>1.81125E-2</v>
          </cell>
        </row>
        <row r="533">
          <cell r="A533" t="str">
            <v>C9825SIG/C(T)</v>
          </cell>
          <cell r="B533">
            <v>8300</v>
          </cell>
          <cell r="C533">
            <v>1960</v>
          </cell>
          <cell r="D533">
            <v>1.81125E-2</v>
          </cell>
        </row>
        <row r="534">
          <cell r="A534" t="str">
            <v>C9825SIG/C14</v>
          </cell>
          <cell r="B534">
            <v>8300</v>
          </cell>
          <cell r="C534">
            <v>1000</v>
          </cell>
          <cell r="D534">
            <v>1.6192000000000002E-2</v>
          </cell>
        </row>
        <row r="535">
          <cell r="A535" t="str">
            <v>C9825SIG/C14(T)</v>
          </cell>
          <cell r="B535">
            <v>8300</v>
          </cell>
          <cell r="C535">
            <v>1000</v>
          </cell>
          <cell r="D535">
            <v>1.6192000000000002E-2</v>
          </cell>
        </row>
        <row r="536">
          <cell r="A536" t="str">
            <v>CD1</v>
          </cell>
          <cell r="B536">
            <v>47</v>
          </cell>
        </row>
        <row r="537">
          <cell r="A537" t="str">
            <v>CDK1</v>
          </cell>
          <cell r="B537">
            <v>4000</v>
          </cell>
          <cell r="C537">
            <v>768.00000000000011</v>
          </cell>
          <cell r="D537">
            <v>1.5912000000000003E-2</v>
          </cell>
        </row>
        <row r="538">
          <cell r="A538" t="str">
            <v>CDK1(1)</v>
          </cell>
          <cell r="B538">
            <v>4000</v>
          </cell>
          <cell r="C538">
            <v>768.00000000000011</v>
          </cell>
          <cell r="D538">
            <v>1.5912000000000003E-2</v>
          </cell>
        </row>
        <row r="539">
          <cell r="A539" t="str">
            <v>CDLE1</v>
          </cell>
          <cell r="B539">
            <v>47</v>
          </cell>
        </row>
        <row r="540">
          <cell r="A540" t="str">
            <v>CF10020G</v>
          </cell>
          <cell r="B540">
            <v>10200</v>
          </cell>
          <cell r="C540">
            <v>1600</v>
          </cell>
          <cell r="D540">
            <v>2.9952000000000003E-2</v>
          </cell>
        </row>
        <row r="541">
          <cell r="A541" t="str">
            <v>CF10020G E</v>
          </cell>
          <cell r="B541">
            <v>4300</v>
          </cell>
          <cell r="D541">
            <v>1.4976000000000001E-2</v>
          </cell>
        </row>
        <row r="542">
          <cell r="A542" t="str">
            <v>CF10020P</v>
          </cell>
          <cell r="B542">
            <v>10100</v>
          </cell>
          <cell r="C542">
            <v>1600</v>
          </cell>
          <cell r="D542">
            <v>2.9952000000000003E-2</v>
          </cell>
        </row>
        <row r="543">
          <cell r="A543" t="str">
            <v>CF10020P E</v>
          </cell>
          <cell r="D543" t="str">
            <v/>
          </cell>
        </row>
        <row r="544">
          <cell r="A544" t="str">
            <v>CF1003P/C</v>
          </cell>
          <cell r="B544">
            <v>15100</v>
          </cell>
          <cell r="C544">
            <v>1900</v>
          </cell>
          <cell r="D544">
            <v>5.726875E-2</v>
          </cell>
        </row>
        <row r="545">
          <cell r="A545" t="str">
            <v>CF1003P/C(T)</v>
          </cell>
          <cell r="B545">
            <v>15100</v>
          </cell>
          <cell r="C545">
            <v>1900</v>
          </cell>
          <cell r="D545">
            <v>5.726875E-2</v>
          </cell>
        </row>
        <row r="546">
          <cell r="A546" t="str">
            <v>CF1352X6</v>
          </cell>
          <cell r="B546">
            <v>12800</v>
          </cell>
          <cell r="C546">
            <v>2000</v>
          </cell>
          <cell r="D546">
            <v>4.9821749999999998E-2</v>
          </cell>
        </row>
        <row r="547">
          <cell r="A547" t="str">
            <v>CF1352X7</v>
          </cell>
          <cell r="B547">
            <v>13900</v>
          </cell>
          <cell r="C547">
            <v>2000</v>
          </cell>
          <cell r="D547">
            <v>4.9821749999999998E-2</v>
          </cell>
        </row>
        <row r="548">
          <cell r="A548" t="str">
            <v>CF2525D</v>
          </cell>
          <cell r="B548">
            <v>19500</v>
          </cell>
          <cell r="C548">
            <v>3250</v>
          </cell>
          <cell r="D548">
            <v>7.3631250000000009E-2</v>
          </cell>
        </row>
        <row r="549">
          <cell r="A549" t="str">
            <v>CF2525O</v>
          </cell>
          <cell r="B549">
            <v>19500</v>
          </cell>
          <cell r="C549">
            <v>3250</v>
          </cell>
          <cell r="D549">
            <v>7.3631250000000009E-2</v>
          </cell>
        </row>
        <row r="550">
          <cell r="A550" t="str">
            <v>CF2525S</v>
          </cell>
          <cell r="B550">
            <v>19500</v>
          </cell>
          <cell r="C550">
            <v>3250</v>
          </cell>
          <cell r="D550">
            <v>7.3631250000000009E-2</v>
          </cell>
        </row>
        <row r="551">
          <cell r="A551" t="str">
            <v>CF253D14</v>
          </cell>
          <cell r="B551">
            <v>20000</v>
          </cell>
          <cell r="C551">
            <v>2850</v>
          </cell>
          <cell r="D551">
            <v>8.3072000000000007E-2</v>
          </cell>
        </row>
        <row r="552">
          <cell r="A552" t="str">
            <v>CF253K14</v>
          </cell>
          <cell r="B552">
            <v>20000</v>
          </cell>
          <cell r="C552">
            <v>2850</v>
          </cell>
          <cell r="D552">
            <v>8.3072000000000007E-2</v>
          </cell>
        </row>
        <row r="553">
          <cell r="A553" t="str">
            <v>CF253R14</v>
          </cell>
          <cell r="B553">
            <v>20000</v>
          </cell>
          <cell r="C553">
            <v>2850</v>
          </cell>
          <cell r="D553">
            <v>8.3072000000000007E-2</v>
          </cell>
        </row>
        <row r="554">
          <cell r="A554" t="str">
            <v>CF363H</v>
          </cell>
          <cell r="B554">
            <v>22400</v>
          </cell>
          <cell r="C554">
            <v>2736</v>
          </cell>
          <cell r="D554">
            <v>8.6393125000000001E-2</v>
          </cell>
        </row>
        <row r="555">
          <cell r="A555" t="str">
            <v>CF363L E</v>
          </cell>
          <cell r="D555">
            <v>2.159828125E-2</v>
          </cell>
        </row>
        <row r="556">
          <cell r="A556" t="str">
            <v>CF363S</v>
          </cell>
          <cell r="B556">
            <v>22500</v>
          </cell>
          <cell r="C556">
            <v>2736</v>
          </cell>
          <cell r="D556">
            <v>8.6393125000000001E-2</v>
          </cell>
        </row>
        <row r="557">
          <cell r="A557" t="str">
            <v>CF363V E</v>
          </cell>
          <cell r="D557">
            <v>2.159828125E-2</v>
          </cell>
        </row>
        <row r="558">
          <cell r="A558" t="str">
            <v>CF4920A</v>
          </cell>
          <cell r="B558">
            <v>15500</v>
          </cell>
          <cell r="C558">
            <v>2352</v>
          </cell>
          <cell r="D558">
            <v>4.2600999999999993E-2</v>
          </cell>
        </row>
        <row r="559">
          <cell r="A559" t="str">
            <v>CF4920G</v>
          </cell>
          <cell r="B559">
            <v>15500</v>
          </cell>
          <cell r="C559">
            <v>2352</v>
          </cell>
          <cell r="D559">
            <v>4.2600999999999993E-2</v>
          </cell>
        </row>
        <row r="560">
          <cell r="A560" t="str">
            <v>CF4920G14</v>
          </cell>
          <cell r="B560">
            <v>15500</v>
          </cell>
          <cell r="C560">
            <v>2352</v>
          </cell>
          <cell r="D560">
            <v>4.2600999999999993E-2</v>
          </cell>
        </row>
        <row r="561">
          <cell r="A561" t="str">
            <v>CF4920J</v>
          </cell>
          <cell r="B561">
            <v>15500</v>
          </cell>
          <cell r="C561">
            <v>2352</v>
          </cell>
          <cell r="D561">
            <v>4.2600999999999993E-2</v>
          </cell>
        </row>
        <row r="562">
          <cell r="A562" t="str">
            <v>CF4920J E</v>
          </cell>
          <cell r="B562">
            <v>2192</v>
          </cell>
          <cell r="D562">
            <v>7.1001666666666652E-3</v>
          </cell>
        </row>
        <row r="563">
          <cell r="A563" t="str">
            <v>CF4920VIP</v>
          </cell>
          <cell r="B563">
            <v>15500</v>
          </cell>
          <cell r="C563">
            <v>2352</v>
          </cell>
          <cell r="D563">
            <v>4.2600999999999993E-2</v>
          </cell>
        </row>
        <row r="564">
          <cell r="A564" t="str">
            <v>CF4925B</v>
          </cell>
          <cell r="B564">
            <v>18500</v>
          </cell>
          <cell r="C564">
            <v>2800</v>
          </cell>
          <cell r="D564">
            <v>5.9094750000000001E-2</v>
          </cell>
        </row>
        <row r="565">
          <cell r="A565" t="str">
            <v>CF4925D</v>
          </cell>
          <cell r="B565">
            <v>18000</v>
          </cell>
          <cell r="C565">
            <v>2352</v>
          </cell>
          <cell r="D565">
            <v>5.9094750000000001E-2</v>
          </cell>
        </row>
        <row r="566">
          <cell r="A566" t="str">
            <v>CF4925S</v>
          </cell>
          <cell r="B566">
            <v>18500</v>
          </cell>
          <cell r="C566">
            <v>2600</v>
          </cell>
          <cell r="D566">
            <v>5.9094750000000001E-2</v>
          </cell>
        </row>
        <row r="567">
          <cell r="A567" t="str">
            <v>CF493ME</v>
          </cell>
          <cell r="B567">
            <v>14500</v>
          </cell>
          <cell r="C567">
            <v>1862</v>
          </cell>
          <cell r="D567">
            <v>5.9639125000000001E-2</v>
          </cell>
        </row>
        <row r="568">
          <cell r="A568" t="str">
            <v>CF493ME E</v>
          </cell>
          <cell r="B568">
            <v>6319</v>
          </cell>
          <cell r="D568">
            <v>2.9819562500000001E-2</v>
          </cell>
        </row>
        <row r="569">
          <cell r="A569" t="str">
            <v>CF493MO E</v>
          </cell>
          <cell r="D569">
            <v>2.9819562499999997E-2</v>
          </cell>
        </row>
        <row r="570">
          <cell r="A570" t="str">
            <v>CF493SA</v>
          </cell>
          <cell r="B570">
            <v>14500</v>
          </cell>
          <cell r="C570">
            <v>1862</v>
          </cell>
          <cell r="D570">
            <v>5.9639125000000001E-2</v>
          </cell>
        </row>
        <row r="571">
          <cell r="A571" t="str">
            <v>CF493ST</v>
          </cell>
          <cell r="B571">
            <v>14500</v>
          </cell>
          <cell r="C571">
            <v>1862</v>
          </cell>
          <cell r="D571">
            <v>5.9639125000000001E-2</v>
          </cell>
        </row>
        <row r="572">
          <cell r="A572" t="str">
            <v>CF493W</v>
          </cell>
          <cell r="B572">
            <v>14500</v>
          </cell>
          <cell r="C572">
            <v>1862</v>
          </cell>
          <cell r="D572">
            <v>5.9639125000000001E-2</v>
          </cell>
        </row>
        <row r="573">
          <cell r="A573" t="str">
            <v>CF503X11</v>
          </cell>
          <cell r="B573">
            <v>14500</v>
          </cell>
          <cell r="C573">
            <v>1900</v>
          </cell>
          <cell r="D573">
            <v>5.6629124999999995E-2</v>
          </cell>
        </row>
        <row r="574">
          <cell r="A574" t="str">
            <v>CF503X12</v>
          </cell>
          <cell r="B574">
            <v>15400</v>
          </cell>
          <cell r="C574">
            <v>1900</v>
          </cell>
          <cell r="D574">
            <v>5.6629124999999995E-2</v>
          </cell>
        </row>
        <row r="575">
          <cell r="A575" t="str">
            <v>CF503X14</v>
          </cell>
          <cell r="B575">
            <v>13300</v>
          </cell>
          <cell r="C575">
            <v>1900</v>
          </cell>
          <cell r="D575">
            <v>5.6629124999999995E-2</v>
          </cell>
        </row>
        <row r="576">
          <cell r="A576" t="str">
            <v>CF503X15</v>
          </cell>
          <cell r="B576">
            <v>15000</v>
          </cell>
          <cell r="C576">
            <v>1900</v>
          </cell>
          <cell r="D576">
            <v>5.6629124999999995E-2</v>
          </cell>
        </row>
        <row r="577">
          <cell r="A577" t="str">
            <v>CF503X16</v>
          </cell>
          <cell r="B577">
            <v>15000</v>
          </cell>
          <cell r="C577">
            <v>1900</v>
          </cell>
          <cell r="D577">
            <v>5.6629124999999995E-2</v>
          </cell>
        </row>
        <row r="578">
          <cell r="A578" t="str">
            <v>CF503X17</v>
          </cell>
          <cell r="B578">
            <v>14700</v>
          </cell>
          <cell r="C578">
            <v>1900</v>
          </cell>
          <cell r="D578">
            <v>5.6629124999999995E-2</v>
          </cell>
        </row>
        <row r="579">
          <cell r="A579" t="str">
            <v>CF503X2</v>
          </cell>
          <cell r="B579">
            <v>14700</v>
          </cell>
          <cell r="C579">
            <v>1900</v>
          </cell>
          <cell r="D579">
            <v>5.6629124999999995E-2</v>
          </cell>
        </row>
        <row r="580">
          <cell r="A580" t="str">
            <v>CF503X27</v>
          </cell>
          <cell r="B580">
            <v>14800</v>
          </cell>
          <cell r="C580">
            <v>1900</v>
          </cell>
          <cell r="D580">
            <v>5.6629124999999995E-2</v>
          </cell>
        </row>
        <row r="581">
          <cell r="A581" t="str">
            <v>CF503X29</v>
          </cell>
          <cell r="B581">
            <v>14800</v>
          </cell>
          <cell r="C581">
            <v>1900</v>
          </cell>
          <cell r="D581">
            <v>5.6629124999999995E-2</v>
          </cell>
        </row>
        <row r="582">
          <cell r="A582" t="str">
            <v>CF503X3</v>
          </cell>
          <cell r="B582">
            <v>15400</v>
          </cell>
          <cell r="C582">
            <v>1900</v>
          </cell>
          <cell r="D582">
            <v>5.6629124999999995E-2</v>
          </cell>
        </row>
        <row r="583">
          <cell r="A583" t="str">
            <v>CF503X30</v>
          </cell>
          <cell r="B583">
            <v>14500</v>
          </cell>
          <cell r="C583">
            <v>1900</v>
          </cell>
          <cell r="D583">
            <v>5.6629124999999995E-2</v>
          </cell>
        </row>
        <row r="584">
          <cell r="A584" t="str">
            <v>CF503X31</v>
          </cell>
          <cell r="B584">
            <v>15500</v>
          </cell>
          <cell r="C584">
            <v>1900</v>
          </cell>
          <cell r="D584">
            <v>5.6629124999999995E-2</v>
          </cell>
        </row>
        <row r="585">
          <cell r="A585" t="str">
            <v>CF503X4</v>
          </cell>
          <cell r="B585">
            <v>13900</v>
          </cell>
          <cell r="C585">
            <v>1900</v>
          </cell>
          <cell r="D585">
            <v>5.6629124999999995E-2</v>
          </cell>
        </row>
        <row r="586">
          <cell r="A586" t="str">
            <v>CF503X48</v>
          </cell>
          <cell r="B586">
            <v>14500</v>
          </cell>
          <cell r="C586">
            <v>1900</v>
          </cell>
          <cell r="D586">
            <v>5.6629124999999995E-2</v>
          </cell>
        </row>
        <row r="587">
          <cell r="A587" t="str">
            <v>CF503X5</v>
          </cell>
          <cell r="B587">
            <v>13000</v>
          </cell>
          <cell r="C587">
            <v>1900</v>
          </cell>
          <cell r="D587">
            <v>5.6629124999999995E-2</v>
          </cell>
        </row>
        <row r="588">
          <cell r="A588" t="str">
            <v>CF503X54</v>
          </cell>
          <cell r="B588">
            <v>13000</v>
          </cell>
          <cell r="C588">
            <v>1900</v>
          </cell>
          <cell r="D588">
            <v>5.6629124999999995E-2</v>
          </cell>
        </row>
        <row r="589">
          <cell r="A589" t="str">
            <v>CF503X6</v>
          </cell>
          <cell r="B589">
            <v>15700</v>
          </cell>
          <cell r="C589">
            <v>1900</v>
          </cell>
          <cell r="D589">
            <v>5.6629124999999995E-2</v>
          </cell>
        </row>
        <row r="590">
          <cell r="A590" t="str">
            <v>CF503X7</v>
          </cell>
          <cell r="B590">
            <v>14700</v>
          </cell>
          <cell r="C590">
            <v>1900</v>
          </cell>
          <cell r="D590">
            <v>5.6629124999999995E-2</v>
          </cell>
        </row>
        <row r="591">
          <cell r="A591" t="str">
            <v>CF503X8</v>
          </cell>
          <cell r="B591">
            <v>14800</v>
          </cell>
          <cell r="C591">
            <v>1900</v>
          </cell>
          <cell r="D591">
            <v>5.6629124999999995E-2</v>
          </cell>
        </row>
        <row r="592">
          <cell r="A592" t="str">
            <v>CF643M</v>
          </cell>
          <cell r="B592">
            <v>19000</v>
          </cell>
          <cell r="C592">
            <v>1996</v>
          </cell>
          <cell r="D592">
            <v>7.3830750000000001E-2</v>
          </cell>
        </row>
        <row r="593">
          <cell r="A593" t="str">
            <v>CF643M E</v>
          </cell>
          <cell r="B593">
            <v>8502</v>
          </cell>
          <cell r="D593">
            <v>3.6915375E-2</v>
          </cell>
        </row>
        <row r="594">
          <cell r="A594" t="str">
            <v>CF643T</v>
          </cell>
          <cell r="B594">
            <v>18500</v>
          </cell>
          <cell r="C594">
            <v>1996</v>
          </cell>
          <cell r="D594">
            <v>7.3830750000000001E-2</v>
          </cell>
        </row>
        <row r="595">
          <cell r="A595" t="str">
            <v>CON40F</v>
          </cell>
          <cell r="B595">
            <v>14500</v>
          </cell>
          <cell r="D595">
            <v>7.3574499999999987E-2</v>
          </cell>
        </row>
        <row r="596">
          <cell r="A596" t="str">
            <v>CON40P</v>
          </cell>
          <cell r="B596">
            <v>14000</v>
          </cell>
          <cell r="D596">
            <v>7.3574499999999987E-2</v>
          </cell>
        </row>
        <row r="597">
          <cell r="A597" t="str">
            <v>CON40S</v>
          </cell>
          <cell r="B597">
            <v>14500</v>
          </cell>
          <cell r="D597">
            <v>7.3574499999999987E-2</v>
          </cell>
        </row>
        <row r="598">
          <cell r="A598" t="str">
            <v>CON80F</v>
          </cell>
          <cell r="B598">
            <v>13300</v>
          </cell>
          <cell r="D598">
            <v>7.2171000000000013E-2</v>
          </cell>
        </row>
        <row r="599">
          <cell r="A599" t="str">
            <v>CON80P</v>
          </cell>
          <cell r="B599">
            <v>10500</v>
          </cell>
          <cell r="D599">
            <v>7.2171000000000013E-2</v>
          </cell>
        </row>
        <row r="600">
          <cell r="A600" t="str">
            <v>CP5DU14(G)</v>
          </cell>
          <cell r="B600">
            <v>13000</v>
          </cell>
          <cell r="C600">
            <v>2700</v>
          </cell>
          <cell r="D600">
            <v>2.7060000000000001E-2</v>
          </cell>
        </row>
        <row r="601">
          <cell r="A601" t="str">
            <v>CP5DU14(G)1</v>
          </cell>
          <cell r="B601">
            <v>13000</v>
          </cell>
          <cell r="C601">
            <v>2700</v>
          </cell>
          <cell r="D601">
            <v>2.7060000000000001E-2</v>
          </cell>
        </row>
        <row r="602">
          <cell r="A602" t="str">
            <v>CP5DU14(R)</v>
          </cell>
          <cell r="B602">
            <v>13000</v>
          </cell>
          <cell r="C602">
            <v>2700</v>
          </cell>
          <cell r="D602">
            <v>2.7060000000000001E-2</v>
          </cell>
        </row>
        <row r="603">
          <cell r="A603" t="str">
            <v>CP5DU14(R)1</v>
          </cell>
          <cell r="B603">
            <v>13000</v>
          </cell>
          <cell r="C603">
            <v>2700</v>
          </cell>
          <cell r="D603">
            <v>2.7060000000000001E-2</v>
          </cell>
        </row>
        <row r="604">
          <cell r="A604" t="str">
            <v>CS1352X10</v>
          </cell>
          <cell r="B604">
            <v>13000</v>
          </cell>
          <cell r="C604">
            <v>2000</v>
          </cell>
          <cell r="D604">
            <v>4.9821749999999998E-2</v>
          </cell>
        </row>
        <row r="605">
          <cell r="A605" t="str">
            <v>CS1352X13</v>
          </cell>
          <cell r="B605">
            <v>16600</v>
          </cell>
          <cell r="C605">
            <v>2000</v>
          </cell>
          <cell r="D605">
            <v>4.9821749999999998E-2</v>
          </cell>
        </row>
        <row r="606">
          <cell r="A606" t="str">
            <v>CS1352X14</v>
          </cell>
          <cell r="B606">
            <v>13500</v>
          </cell>
          <cell r="C606">
            <v>2000</v>
          </cell>
          <cell r="D606">
            <v>4.9821749999999998E-2</v>
          </cell>
        </row>
        <row r="607">
          <cell r="A607" t="str">
            <v>CS1352X5</v>
          </cell>
          <cell r="B607">
            <v>12800</v>
          </cell>
          <cell r="C607">
            <v>2000</v>
          </cell>
          <cell r="D607">
            <v>4.9821749999999998E-2</v>
          </cell>
        </row>
        <row r="608">
          <cell r="A608" t="str">
            <v>CS1352X9</v>
          </cell>
          <cell r="B608">
            <v>13500</v>
          </cell>
          <cell r="C608">
            <v>2000</v>
          </cell>
          <cell r="D608">
            <v>4.9821749999999998E-2</v>
          </cell>
        </row>
        <row r="609">
          <cell r="A609" t="str">
            <v>CS2702X15 E</v>
          </cell>
        </row>
        <row r="610">
          <cell r="A610" t="str">
            <v>CS2BB</v>
          </cell>
          <cell r="B610">
            <v>27000</v>
          </cell>
          <cell r="C610">
            <v>4320</v>
          </cell>
          <cell r="D610">
            <v>8.6317000000000005E-2</v>
          </cell>
        </row>
        <row r="611">
          <cell r="A611" t="str">
            <v>CS503X10</v>
          </cell>
          <cell r="B611">
            <v>14600</v>
          </cell>
          <cell r="C611">
            <v>1900</v>
          </cell>
          <cell r="D611">
            <v>5.6629124999999995E-2</v>
          </cell>
        </row>
        <row r="612">
          <cell r="A612" t="str">
            <v>CS503X11</v>
          </cell>
          <cell r="B612">
            <v>14900</v>
          </cell>
          <cell r="C612">
            <v>1900</v>
          </cell>
          <cell r="D612">
            <v>5.6629124999999995E-2</v>
          </cell>
        </row>
        <row r="613">
          <cell r="A613" t="str">
            <v>CS503X12</v>
          </cell>
          <cell r="B613">
            <v>14500</v>
          </cell>
          <cell r="C613">
            <v>1900</v>
          </cell>
          <cell r="D613">
            <v>5.6629124999999995E-2</v>
          </cell>
        </row>
        <row r="614">
          <cell r="A614" t="str">
            <v>CS503X13</v>
          </cell>
          <cell r="B614">
            <v>14800</v>
          </cell>
          <cell r="C614">
            <v>1900</v>
          </cell>
          <cell r="D614">
            <v>5.6629124999999995E-2</v>
          </cell>
        </row>
        <row r="615">
          <cell r="A615" t="str">
            <v>CS503X14</v>
          </cell>
          <cell r="B615">
            <v>14500</v>
          </cell>
          <cell r="C615">
            <v>1900</v>
          </cell>
          <cell r="D615">
            <v>5.6629124999999995E-2</v>
          </cell>
        </row>
        <row r="616">
          <cell r="A616" t="str">
            <v>CS503X15</v>
          </cell>
          <cell r="B616">
            <v>14100</v>
          </cell>
          <cell r="C616">
            <v>1900</v>
          </cell>
          <cell r="D616">
            <v>5.6629124999999995E-2</v>
          </cell>
        </row>
        <row r="617">
          <cell r="A617" t="str">
            <v>CS503X16</v>
          </cell>
          <cell r="B617">
            <v>13300</v>
          </cell>
          <cell r="C617">
            <v>1900</v>
          </cell>
          <cell r="D617">
            <v>5.6629124999999995E-2</v>
          </cell>
        </row>
        <row r="618">
          <cell r="A618" t="str">
            <v>CS503X17</v>
          </cell>
          <cell r="B618">
            <v>14500</v>
          </cell>
          <cell r="C618">
            <v>1900</v>
          </cell>
          <cell r="D618">
            <v>5.6629124999999995E-2</v>
          </cell>
        </row>
        <row r="619">
          <cell r="A619" t="str">
            <v>CS503X18</v>
          </cell>
          <cell r="B619">
            <v>14500</v>
          </cell>
          <cell r="C619">
            <v>1900</v>
          </cell>
          <cell r="D619">
            <v>5.6629124999999995E-2</v>
          </cell>
        </row>
        <row r="620">
          <cell r="A620" t="str">
            <v>CS503X19</v>
          </cell>
          <cell r="B620">
            <v>14500</v>
          </cell>
          <cell r="C620">
            <v>1900</v>
          </cell>
          <cell r="D620">
            <v>5.6629124999999995E-2</v>
          </cell>
        </row>
        <row r="621">
          <cell r="A621" t="str">
            <v>CS503X20</v>
          </cell>
          <cell r="B621">
            <v>14300</v>
          </cell>
          <cell r="C621">
            <v>1900</v>
          </cell>
          <cell r="D621">
            <v>5.6629124999999995E-2</v>
          </cell>
        </row>
        <row r="622">
          <cell r="A622" t="str">
            <v>CS503X21</v>
          </cell>
          <cell r="B622">
            <v>14600</v>
          </cell>
          <cell r="C622">
            <v>1900</v>
          </cell>
          <cell r="D622">
            <v>5.6629124999999995E-2</v>
          </cell>
        </row>
        <row r="623">
          <cell r="A623" t="str">
            <v>CS503X22</v>
          </cell>
          <cell r="B623">
            <v>14500</v>
          </cell>
          <cell r="C623">
            <v>1900</v>
          </cell>
          <cell r="D623">
            <v>5.6629124999999995E-2</v>
          </cell>
        </row>
        <row r="624">
          <cell r="A624" t="str">
            <v>CS503X23</v>
          </cell>
          <cell r="B624">
            <v>14100</v>
          </cell>
          <cell r="C624">
            <v>1900</v>
          </cell>
          <cell r="D624">
            <v>5.6629124999999995E-2</v>
          </cell>
        </row>
        <row r="625">
          <cell r="A625" t="str">
            <v>CS503X26</v>
          </cell>
          <cell r="B625">
            <v>14900</v>
          </cell>
          <cell r="C625">
            <v>1900</v>
          </cell>
          <cell r="D625">
            <v>5.6629124999999995E-2</v>
          </cell>
        </row>
        <row r="626">
          <cell r="A626" t="str">
            <v>CS503X28</v>
          </cell>
          <cell r="B626">
            <v>14600</v>
          </cell>
          <cell r="C626">
            <v>1900</v>
          </cell>
          <cell r="D626">
            <v>5.6629124999999995E-2</v>
          </cell>
        </row>
        <row r="627">
          <cell r="A627" t="str">
            <v>CS503X29</v>
          </cell>
          <cell r="B627">
            <v>14900</v>
          </cell>
          <cell r="C627">
            <v>1900</v>
          </cell>
          <cell r="D627">
            <v>5.6629124999999995E-2</v>
          </cell>
        </row>
        <row r="628">
          <cell r="A628" t="str">
            <v>CS503X32</v>
          </cell>
          <cell r="B628">
            <v>14100</v>
          </cell>
          <cell r="C628">
            <v>1900</v>
          </cell>
          <cell r="D628">
            <v>5.6629124999999995E-2</v>
          </cell>
        </row>
        <row r="629">
          <cell r="A629" t="str">
            <v>CS503X33</v>
          </cell>
          <cell r="B629">
            <v>14100</v>
          </cell>
          <cell r="C629">
            <v>1900</v>
          </cell>
          <cell r="D629">
            <v>5.6629124999999995E-2</v>
          </cell>
        </row>
        <row r="630">
          <cell r="A630" t="str">
            <v>CS503X35</v>
          </cell>
          <cell r="B630">
            <v>14100</v>
          </cell>
          <cell r="C630">
            <v>1900</v>
          </cell>
          <cell r="D630">
            <v>5.6629124999999995E-2</v>
          </cell>
        </row>
        <row r="631">
          <cell r="A631" t="str">
            <v>CS503X37</v>
          </cell>
          <cell r="B631">
            <v>14100</v>
          </cell>
          <cell r="C631">
            <v>1900</v>
          </cell>
          <cell r="D631">
            <v>5.6629124999999995E-2</v>
          </cell>
        </row>
        <row r="632">
          <cell r="A632" t="str">
            <v>CS503X38</v>
          </cell>
          <cell r="B632">
            <v>14100</v>
          </cell>
          <cell r="C632">
            <v>1900</v>
          </cell>
          <cell r="D632">
            <v>5.6629124999999995E-2</v>
          </cell>
        </row>
        <row r="633">
          <cell r="A633" t="str">
            <v>CS503X55</v>
          </cell>
          <cell r="B633">
            <v>12000</v>
          </cell>
          <cell r="C633">
            <v>1900</v>
          </cell>
          <cell r="D633">
            <v>5.6629124999999995E-2</v>
          </cell>
        </row>
        <row r="634">
          <cell r="A634" t="str">
            <v>CS503X8</v>
          </cell>
          <cell r="B634">
            <v>14200</v>
          </cell>
          <cell r="C634">
            <v>1900</v>
          </cell>
          <cell r="D634">
            <v>5.6629124999999995E-2</v>
          </cell>
        </row>
        <row r="635">
          <cell r="A635" t="str">
            <v>CS503X9</v>
          </cell>
          <cell r="B635">
            <v>15500</v>
          </cell>
          <cell r="C635">
            <v>1900</v>
          </cell>
          <cell r="D635">
            <v>5.6629124999999995E-2</v>
          </cell>
        </row>
        <row r="636">
          <cell r="A636" t="str">
            <v>CSS13A</v>
          </cell>
          <cell r="B636">
            <v>13000</v>
          </cell>
          <cell r="C636">
            <v>2080</v>
          </cell>
          <cell r="D636">
            <v>6.7423999999999998E-2</v>
          </cell>
        </row>
        <row r="637">
          <cell r="A637" t="str">
            <v>CSS13B</v>
          </cell>
          <cell r="B637">
            <v>15800</v>
          </cell>
          <cell r="C637">
            <v>2080</v>
          </cell>
          <cell r="D637">
            <v>6.7423999999999998E-2</v>
          </cell>
        </row>
        <row r="638">
          <cell r="A638" t="str">
            <v>CSS13D</v>
          </cell>
          <cell r="B638">
            <v>16000</v>
          </cell>
          <cell r="C638">
            <v>2080</v>
          </cell>
          <cell r="D638">
            <v>6.7423999999999998E-2</v>
          </cell>
        </row>
        <row r="639">
          <cell r="A639" t="str">
            <v>CSS13E</v>
          </cell>
          <cell r="B639">
            <v>16400</v>
          </cell>
          <cell r="C639">
            <v>2080</v>
          </cell>
          <cell r="D639">
            <v>6.7423999999999998E-2</v>
          </cell>
        </row>
        <row r="640">
          <cell r="A640" t="str">
            <v>CSS13F</v>
          </cell>
          <cell r="B640">
            <v>15000</v>
          </cell>
          <cell r="C640">
            <v>2080</v>
          </cell>
          <cell r="D640">
            <v>6.7423999999999998E-2</v>
          </cell>
        </row>
        <row r="641">
          <cell r="A641" t="str">
            <v>CSS8C</v>
          </cell>
          <cell r="B641">
            <v>17800</v>
          </cell>
          <cell r="C641">
            <v>2560</v>
          </cell>
          <cell r="D641">
            <v>7.7549999999999994E-2</v>
          </cell>
        </row>
        <row r="642">
          <cell r="A642" t="str">
            <v>CST12S</v>
          </cell>
          <cell r="B642">
            <v>6500</v>
          </cell>
          <cell r="C642">
            <v>1536.0000000000002</v>
          </cell>
          <cell r="D642">
            <v>1.7279999999999997E-2</v>
          </cell>
        </row>
        <row r="643">
          <cell r="A643" t="str">
            <v>CV503X41</v>
          </cell>
          <cell r="B643">
            <v>14700</v>
          </cell>
          <cell r="C643">
            <v>1900</v>
          </cell>
          <cell r="D643">
            <v>5.6629124999999995E-2</v>
          </cell>
        </row>
        <row r="644">
          <cell r="A644" t="str">
            <v>CV503X42</v>
          </cell>
          <cell r="B644">
            <v>14500</v>
          </cell>
          <cell r="C644">
            <v>1900</v>
          </cell>
          <cell r="D644">
            <v>5.6629124999999995E-2</v>
          </cell>
        </row>
        <row r="645">
          <cell r="A645" t="str">
            <v>CV503X44</v>
          </cell>
          <cell r="B645">
            <v>14500</v>
          </cell>
          <cell r="C645">
            <v>1900</v>
          </cell>
          <cell r="D645">
            <v>5.6629124999999995E-2</v>
          </cell>
        </row>
        <row r="646">
          <cell r="A646" t="str">
            <v>CV503X45</v>
          </cell>
          <cell r="B646">
            <v>14500</v>
          </cell>
          <cell r="C646">
            <v>1900</v>
          </cell>
          <cell r="D646">
            <v>5.6629124999999995E-2</v>
          </cell>
        </row>
        <row r="647">
          <cell r="A647" t="str">
            <v>CW503X14</v>
          </cell>
          <cell r="B647">
            <v>14500</v>
          </cell>
          <cell r="C647">
            <v>1900</v>
          </cell>
          <cell r="D647">
            <v>5.6629124999999995E-2</v>
          </cell>
        </row>
        <row r="648">
          <cell r="A648" t="str">
            <v>CW503X47</v>
          </cell>
          <cell r="B648">
            <v>14800</v>
          </cell>
          <cell r="C648">
            <v>1900</v>
          </cell>
          <cell r="D648">
            <v>5.6629124999999995E-2</v>
          </cell>
        </row>
        <row r="649">
          <cell r="A649" t="str">
            <v>CX1352X1</v>
          </cell>
          <cell r="B649">
            <v>13600</v>
          </cell>
          <cell r="C649">
            <v>2000</v>
          </cell>
          <cell r="D649">
            <v>4.9821749999999998E-2</v>
          </cell>
        </row>
        <row r="650">
          <cell r="A650" t="str">
            <v>CX1352X11</v>
          </cell>
          <cell r="B650">
            <v>12600</v>
          </cell>
          <cell r="C650">
            <v>2000</v>
          </cell>
          <cell r="D650">
            <v>4.9821749999999998E-2</v>
          </cell>
        </row>
        <row r="651">
          <cell r="A651" t="str">
            <v>CX1352X2</v>
          </cell>
          <cell r="B651">
            <v>14800</v>
          </cell>
          <cell r="C651">
            <v>2000</v>
          </cell>
          <cell r="D651">
            <v>4.9821749999999998E-2</v>
          </cell>
        </row>
        <row r="652">
          <cell r="A652" t="str">
            <v>CX1352X3</v>
          </cell>
          <cell r="B652">
            <v>12800</v>
          </cell>
          <cell r="C652">
            <v>2000</v>
          </cell>
          <cell r="D652">
            <v>4.9821749999999998E-2</v>
          </cell>
        </row>
        <row r="653">
          <cell r="A653" t="str">
            <v>CX1620D</v>
          </cell>
          <cell r="B653">
            <v>13000</v>
          </cell>
          <cell r="C653">
            <v>2048</v>
          </cell>
          <cell r="D653">
            <v>3.8272000000000007E-2</v>
          </cell>
        </row>
        <row r="654">
          <cell r="A654" t="str">
            <v>CX1620X</v>
          </cell>
          <cell r="B654">
            <v>13000</v>
          </cell>
          <cell r="C654">
            <v>2048</v>
          </cell>
          <cell r="D654">
            <v>3.8272000000000007E-2</v>
          </cell>
        </row>
        <row r="655">
          <cell r="A655" t="str">
            <v>CX503X49</v>
          </cell>
          <cell r="B655">
            <v>12800</v>
          </cell>
          <cell r="C655">
            <v>1900</v>
          </cell>
          <cell r="D655">
            <v>5.6629124999999995E-2</v>
          </cell>
        </row>
        <row r="656">
          <cell r="A656" t="str">
            <v>D1D</v>
          </cell>
          <cell r="B656">
            <v>17800</v>
          </cell>
          <cell r="C656">
            <v>1872.0000000000002</v>
          </cell>
          <cell r="D656">
            <v>3.7434749999999996E-2</v>
          </cell>
        </row>
        <row r="657">
          <cell r="A657" t="str">
            <v>D1M</v>
          </cell>
          <cell r="B657">
            <v>15000</v>
          </cell>
          <cell r="C657">
            <v>1600</v>
          </cell>
          <cell r="D657">
            <v>2.5294499999999998E-2</v>
          </cell>
        </row>
        <row r="658">
          <cell r="A658" t="str">
            <v>D2C</v>
          </cell>
          <cell r="B658">
            <v>13600</v>
          </cell>
          <cell r="C658">
            <v>4320</v>
          </cell>
          <cell r="D658">
            <v>2.8787499999999994E-2</v>
          </cell>
        </row>
        <row r="659">
          <cell r="A659" t="str">
            <v>D2C(1)</v>
          </cell>
          <cell r="B659">
            <v>13600</v>
          </cell>
          <cell r="C659">
            <v>4320</v>
          </cell>
          <cell r="D659">
            <v>2.8787499999999994E-2</v>
          </cell>
        </row>
        <row r="660">
          <cell r="A660" t="str">
            <v>D2CN</v>
          </cell>
          <cell r="B660">
            <v>14300</v>
          </cell>
          <cell r="C660">
            <v>4320</v>
          </cell>
          <cell r="D660">
            <v>2.8787499999999994E-2</v>
          </cell>
        </row>
        <row r="661">
          <cell r="A661" t="str">
            <v>D2CN(1)</v>
          </cell>
          <cell r="B661">
            <v>14300</v>
          </cell>
          <cell r="C661">
            <v>4320</v>
          </cell>
          <cell r="D661">
            <v>2.8787499999999994E-2</v>
          </cell>
        </row>
        <row r="662">
          <cell r="A662" t="str">
            <v>D3SK</v>
          </cell>
          <cell r="B662">
            <v>5000</v>
          </cell>
          <cell r="C662">
            <v>5472</v>
          </cell>
          <cell r="D662">
            <v>1.44E-2</v>
          </cell>
        </row>
        <row r="663">
          <cell r="A663" t="str">
            <v>DBB1E</v>
          </cell>
          <cell r="B663">
            <v>16000</v>
          </cell>
          <cell r="C663">
            <v>4000</v>
          </cell>
          <cell r="D663">
            <v>3.3264000000000002E-2</v>
          </cell>
        </row>
        <row r="664">
          <cell r="A664" t="str">
            <v>DD1</v>
          </cell>
          <cell r="B664">
            <v>354</v>
          </cell>
        </row>
        <row r="665">
          <cell r="A665" t="str">
            <v>DF10CM</v>
          </cell>
          <cell r="B665">
            <v>8000</v>
          </cell>
          <cell r="C665">
            <v>1800</v>
          </cell>
          <cell r="D665">
            <v>2.3715E-2</v>
          </cell>
        </row>
        <row r="666">
          <cell r="A666" t="str">
            <v>DF10CM E</v>
          </cell>
          <cell r="B666">
            <v>62</v>
          </cell>
          <cell r="D666">
            <v>2.3714999999999999E-4</v>
          </cell>
        </row>
        <row r="667">
          <cell r="A667" t="str">
            <v>DF12CM</v>
          </cell>
          <cell r="B667">
            <v>4700</v>
          </cell>
          <cell r="C667">
            <v>600</v>
          </cell>
          <cell r="D667">
            <v>3.3696000000000004E-2</v>
          </cell>
        </row>
        <row r="668">
          <cell r="A668" t="str">
            <v>DF12CM0</v>
          </cell>
          <cell r="B668">
            <v>11000</v>
          </cell>
          <cell r="C668">
            <v>864</v>
          </cell>
          <cell r="D668">
            <v>0.117504</v>
          </cell>
        </row>
        <row r="669">
          <cell r="A669" t="str">
            <v>DF12CM0-9</v>
          </cell>
          <cell r="B669">
            <v>11000</v>
          </cell>
          <cell r="C669">
            <v>864</v>
          </cell>
          <cell r="D669">
            <v>0.117504</v>
          </cell>
        </row>
        <row r="670">
          <cell r="A670" t="str">
            <v>DF12CM1</v>
          </cell>
          <cell r="B670">
            <v>11000</v>
          </cell>
          <cell r="C670">
            <v>864</v>
          </cell>
          <cell r="D670">
            <v>0.117504</v>
          </cell>
        </row>
        <row r="671">
          <cell r="A671" t="str">
            <v>DF12CM2</v>
          </cell>
          <cell r="B671">
            <v>11000</v>
          </cell>
          <cell r="C671">
            <v>864</v>
          </cell>
          <cell r="D671">
            <v>0.117504</v>
          </cell>
        </row>
        <row r="672">
          <cell r="A672" t="str">
            <v>DF12CM3</v>
          </cell>
          <cell r="B672">
            <v>11000</v>
          </cell>
          <cell r="C672">
            <v>864</v>
          </cell>
          <cell r="D672">
            <v>0.117504</v>
          </cell>
        </row>
        <row r="673">
          <cell r="A673" t="str">
            <v>DF12CM4</v>
          </cell>
          <cell r="B673">
            <v>11000</v>
          </cell>
          <cell r="C673">
            <v>864</v>
          </cell>
          <cell r="D673">
            <v>0.117504</v>
          </cell>
        </row>
        <row r="674">
          <cell r="A674" t="str">
            <v>DF12CM5</v>
          </cell>
          <cell r="B674">
            <v>11000</v>
          </cell>
          <cell r="C674">
            <v>864</v>
          </cell>
          <cell r="D674">
            <v>0.117504</v>
          </cell>
        </row>
        <row r="675">
          <cell r="A675" t="str">
            <v>DF12CM6</v>
          </cell>
          <cell r="B675">
            <v>11000</v>
          </cell>
          <cell r="C675">
            <v>864</v>
          </cell>
          <cell r="D675">
            <v>0.117504</v>
          </cell>
        </row>
        <row r="676">
          <cell r="A676" t="str">
            <v>DF12CM7</v>
          </cell>
          <cell r="B676">
            <v>11000</v>
          </cell>
          <cell r="C676">
            <v>864</v>
          </cell>
          <cell r="D676">
            <v>0.117504</v>
          </cell>
        </row>
        <row r="677">
          <cell r="A677" t="str">
            <v>DF12CM8</v>
          </cell>
          <cell r="B677">
            <v>11000</v>
          </cell>
          <cell r="C677">
            <v>864</v>
          </cell>
          <cell r="D677">
            <v>0.117504</v>
          </cell>
        </row>
        <row r="678">
          <cell r="A678" t="str">
            <v>DF12CM9</v>
          </cell>
          <cell r="B678">
            <v>11000</v>
          </cell>
          <cell r="C678">
            <v>864</v>
          </cell>
          <cell r="D678">
            <v>0.117504</v>
          </cell>
        </row>
        <row r="679">
          <cell r="A679" t="str">
            <v>DF20CM</v>
          </cell>
          <cell r="B679">
            <v>6400</v>
          </cell>
          <cell r="C679">
            <v>1800</v>
          </cell>
          <cell r="D679">
            <v>2.2100000000000002E-2</v>
          </cell>
        </row>
        <row r="680">
          <cell r="A680" t="str">
            <v>DF20CM1S</v>
          </cell>
          <cell r="B680">
            <v>5500</v>
          </cell>
          <cell r="C680">
            <v>900</v>
          </cell>
          <cell r="D680">
            <v>2.2319999999999996E-2</v>
          </cell>
        </row>
        <row r="681">
          <cell r="A681" t="str">
            <v>DF20CM1Z</v>
          </cell>
          <cell r="B681">
            <v>5800</v>
          </cell>
          <cell r="C681">
            <v>900</v>
          </cell>
          <cell r="D681">
            <v>2.2319999999999996E-2</v>
          </cell>
        </row>
        <row r="682">
          <cell r="A682" t="str">
            <v>DF30CM</v>
          </cell>
          <cell r="B682">
            <v>10500</v>
          </cell>
          <cell r="C682">
            <v>2100</v>
          </cell>
          <cell r="D682">
            <v>3.8079999999999996E-2</v>
          </cell>
        </row>
        <row r="683">
          <cell r="A683" t="str">
            <v>DP1BP</v>
          </cell>
          <cell r="B683">
            <v>2000</v>
          </cell>
          <cell r="C683">
            <v>360</v>
          </cell>
          <cell r="D683">
            <v>7.3514999999999995E-3</v>
          </cell>
        </row>
        <row r="684">
          <cell r="A684" t="str">
            <v>DP1BP(1)</v>
          </cell>
          <cell r="B684">
            <v>2000</v>
          </cell>
          <cell r="C684">
            <v>360</v>
          </cell>
          <cell r="D684">
            <v>7.3514999999999995E-3</v>
          </cell>
        </row>
        <row r="685">
          <cell r="A685" t="str">
            <v>DP1BS</v>
          </cell>
          <cell r="B685">
            <v>2500</v>
          </cell>
          <cell r="C685">
            <v>120</v>
          </cell>
          <cell r="D685">
            <v>3.6755500000000003E-2</v>
          </cell>
        </row>
        <row r="686">
          <cell r="A686" t="str">
            <v>DP1BS(1)</v>
          </cell>
          <cell r="B686">
            <v>2500</v>
          </cell>
          <cell r="C686">
            <v>120</v>
          </cell>
          <cell r="D686">
            <v>3.6755500000000003E-2</v>
          </cell>
        </row>
        <row r="687">
          <cell r="A687" t="str">
            <v>DP1CB</v>
          </cell>
          <cell r="B687">
            <v>3800</v>
          </cell>
          <cell r="C687">
            <v>1152</v>
          </cell>
          <cell r="D687">
            <v>2.4288000000000001E-2</v>
          </cell>
        </row>
        <row r="688">
          <cell r="A688" t="str">
            <v>DP1CB(1)</v>
          </cell>
          <cell r="B688">
            <v>3800</v>
          </cell>
          <cell r="C688">
            <v>1152</v>
          </cell>
          <cell r="D688">
            <v>2.4288000000000001E-2</v>
          </cell>
        </row>
        <row r="689">
          <cell r="A689" t="str">
            <v>DP1EM</v>
          </cell>
          <cell r="B689">
            <v>3000</v>
          </cell>
          <cell r="C689">
            <v>489.59999999999997</v>
          </cell>
          <cell r="D689">
            <v>2.7232000000000003E-2</v>
          </cell>
        </row>
        <row r="690">
          <cell r="A690" t="str">
            <v>DP1FD</v>
          </cell>
          <cell r="B690">
            <v>7450</v>
          </cell>
          <cell r="C690">
            <v>1200</v>
          </cell>
          <cell r="D690">
            <v>3.2168249999999995E-2</v>
          </cell>
        </row>
        <row r="691">
          <cell r="A691" t="str">
            <v>DP1FM</v>
          </cell>
          <cell r="B691">
            <v>6000</v>
          </cell>
          <cell r="C691">
            <v>1728</v>
          </cell>
          <cell r="D691">
            <v>3.1121999999999997E-2</v>
          </cell>
        </row>
        <row r="692">
          <cell r="A692" t="str">
            <v>DP1FR</v>
          </cell>
          <cell r="B692">
            <v>6600</v>
          </cell>
          <cell r="C692">
            <v>1600</v>
          </cell>
          <cell r="D692">
            <v>3.4991250000000002E-2</v>
          </cell>
        </row>
        <row r="693">
          <cell r="A693" t="str">
            <v>DP1M</v>
          </cell>
          <cell r="B693">
            <v>7200</v>
          </cell>
          <cell r="C693">
            <v>4800</v>
          </cell>
          <cell r="D693">
            <v>3.2447999999999998E-2</v>
          </cell>
        </row>
        <row r="694">
          <cell r="A694" t="str">
            <v>DP1P</v>
          </cell>
          <cell r="B694">
            <v>10000</v>
          </cell>
          <cell r="C694">
            <v>1440</v>
          </cell>
          <cell r="D694">
            <v>2.2386E-2</v>
          </cell>
        </row>
        <row r="695">
          <cell r="A695" t="str">
            <v>DP1P(1)</v>
          </cell>
          <cell r="B695">
            <v>10000</v>
          </cell>
          <cell r="C695">
            <v>1440</v>
          </cell>
          <cell r="D695">
            <v>2.2386E-2</v>
          </cell>
        </row>
        <row r="696">
          <cell r="A696" t="str">
            <v>DP1R</v>
          </cell>
          <cell r="B696">
            <v>6500</v>
          </cell>
          <cell r="C696">
            <v>2400.0000000000005</v>
          </cell>
          <cell r="D696">
            <v>3.124E-2</v>
          </cell>
        </row>
        <row r="697">
          <cell r="A697" t="str">
            <v>DP1R(1)</v>
          </cell>
          <cell r="B697">
            <v>6500</v>
          </cell>
          <cell r="C697">
            <v>2400.0000000000005</v>
          </cell>
          <cell r="D697">
            <v>3.124E-2</v>
          </cell>
        </row>
        <row r="698">
          <cell r="A698" t="str">
            <v>DP1SW</v>
          </cell>
          <cell r="B698">
            <v>10000</v>
          </cell>
          <cell r="C698">
            <v>2304</v>
          </cell>
          <cell r="D698">
            <v>7.2139499999999995E-2</v>
          </cell>
        </row>
        <row r="699">
          <cell r="A699" t="str">
            <v>DP1T</v>
          </cell>
          <cell r="B699">
            <v>8500</v>
          </cell>
          <cell r="C699">
            <v>2835</v>
          </cell>
          <cell r="D699">
            <v>2.4016000000000003E-2</v>
          </cell>
        </row>
        <row r="700">
          <cell r="A700" t="str">
            <v>DP1T SK</v>
          </cell>
          <cell r="B700">
            <v>8545</v>
          </cell>
          <cell r="C700">
            <v>2835</v>
          </cell>
          <cell r="D700">
            <v>2.4016000000000003E-2</v>
          </cell>
        </row>
        <row r="701">
          <cell r="A701" t="str">
            <v>DP1TA</v>
          </cell>
          <cell r="B701">
            <v>3500</v>
          </cell>
          <cell r="C701">
            <v>240</v>
          </cell>
          <cell r="D701">
            <v>3.3724999999999998E-2</v>
          </cell>
        </row>
        <row r="702">
          <cell r="A702" t="str">
            <v>DP1TA(1)</v>
          </cell>
          <cell r="B702">
            <v>3500</v>
          </cell>
          <cell r="C702">
            <v>240</v>
          </cell>
          <cell r="D702">
            <v>3.3724999999999998E-2</v>
          </cell>
        </row>
        <row r="703">
          <cell r="A703" t="str">
            <v>DP1VC</v>
          </cell>
          <cell r="B703">
            <v>3700</v>
          </cell>
          <cell r="C703">
            <v>504</v>
          </cell>
          <cell r="D703">
            <v>2.21646E-2</v>
          </cell>
        </row>
        <row r="704">
          <cell r="A704" t="str">
            <v>DP1VC SK</v>
          </cell>
          <cell r="B704">
            <v>3700</v>
          </cell>
          <cell r="C704">
            <v>504</v>
          </cell>
          <cell r="D704">
            <v>2.21646E-2</v>
          </cell>
        </row>
        <row r="705">
          <cell r="A705" t="str">
            <v>DP1VR</v>
          </cell>
          <cell r="B705">
            <v>7800</v>
          </cell>
          <cell r="C705">
            <v>2400</v>
          </cell>
          <cell r="D705">
            <v>4.3438749999999998E-2</v>
          </cell>
        </row>
        <row r="706">
          <cell r="A706" t="str">
            <v>DP1Z20</v>
          </cell>
          <cell r="B706">
            <v>3200</v>
          </cell>
          <cell r="C706">
            <v>2112</v>
          </cell>
          <cell r="D706">
            <v>1.9906249999999997E-2</v>
          </cell>
        </row>
        <row r="707">
          <cell r="A707" t="str">
            <v>DP1Z50</v>
          </cell>
          <cell r="B707">
            <v>4000</v>
          </cell>
          <cell r="C707">
            <v>1296</v>
          </cell>
          <cell r="D707">
            <v>2.4960000000000006E-2</v>
          </cell>
        </row>
        <row r="708">
          <cell r="A708" t="str">
            <v>DP2CB</v>
          </cell>
          <cell r="B708">
            <v>6500</v>
          </cell>
          <cell r="C708">
            <v>1296</v>
          </cell>
          <cell r="D708">
            <v>4.3064999999999999E-2</v>
          </cell>
        </row>
        <row r="709">
          <cell r="A709" t="str">
            <v>DP2W</v>
          </cell>
          <cell r="B709">
            <v>9000</v>
          </cell>
          <cell r="C709">
            <v>625</v>
          </cell>
          <cell r="D709">
            <v>2.6950000000000002E-2</v>
          </cell>
        </row>
        <row r="710">
          <cell r="A710" t="str">
            <v>DS1</v>
          </cell>
          <cell r="B710">
            <v>10800</v>
          </cell>
          <cell r="C710">
            <v>2920</v>
          </cell>
          <cell r="D710">
            <v>5.7342250000000004E-2</v>
          </cell>
        </row>
        <row r="711">
          <cell r="A711" t="str">
            <v>EB15</v>
          </cell>
          <cell r="B711">
            <v>2500</v>
          </cell>
          <cell r="C711">
            <v>1800</v>
          </cell>
          <cell r="D711">
            <v>1.864275E-2</v>
          </cell>
        </row>
        <row r="712">
          <cell r="A712" t="str">
            <v>EB9</v>
          </cell>
          <cell r="B712">
            <v>3000</v>
          </cell>
          <cell r="C712">
            <v>1800</v>
          </cell>
          <cell r="D712">
            <v>1.9447200000000001E-2</v>
          </cell>
        </row>
        <row r="713">
          <cell r="A713" t="str">
            <v>ED500M</v>
          </cell>
          <cell r="B713">
            <v>19300</v>
          </cell>
        </row>
        <row r="714">
          <cell r="A714" t="str">
            <v>EP03M</v>
          </cell>
          <cell r="B714">
            <v>9200</v>
          </cell>
          <cell r="C714">
            <v>4</v>
          </cell>
          <cell r="D714">
            <v>2.4192000000000005E-2</v>
          </cell>
        </row>
        <row r="715">
          <cell r="A715" t="str">
            <v>EP1M</v>
          </cell>
          <cell r="B715">
            <v>7800</v>
          </cell>
          <cell r="C715">
            <v>1</v>
          </cell>
          <cell r="D715">
            <v>2.2464000000000005E-2</v>
          </cell>
        </row>
        <row r="716">
          <cell r="A716" t="str">
            <v>EP2M</v>
          </cell>
          <cell r="B716">
            <v>12000</v>
          </cell>
          <cell r="C716">
            <v>1</v>
          </cell>
          <cell r="D716">
            <v>4.1160000000000002E-2</v>
          </cell>
        </row>
        <row r="717">
          <cell r="A717" t="str">
            <v>EP3M</v>
          </cell>
          <cell r="B717">
            <v>10000</v>
          </cell>
          <cell r="C717">
            <v>0.5</v>
          </cell>
          <cell r="D717">
            <v>2.4192000000000005E-2</v>
          </cell>
        </row>
        <row r="718">
          <cell r="A718" t="str">
            <v>EP5M</v>
          </cell>
          <cell r="B718">
            <v>15600</v>
          </cell>
          <cell r="C718">
            <v>0.5</v>
          </cell>
          <cell r="D718">
            <v>4.1160000000000002E-2</v>
          </cell>
        </row>
        <row r="719">
          <cell r="A719" t="str">
            <v>F1000C</v>
          </cell>
          <cell r="B719">
            <v>16000</v>
          </cell>
          <cell r="C719">
            <v>7200</v>
          </cell>
          <cell r="D719">
            <v>5.3872000000000003E-2</v>
          </cell>
        </row>
        <row r="720">
          <cell r="A720" t="str">
            <v>F1000SC</v>
          </cell>
          <cell r="B720">
            <v>15200</v>
          </cell>
          <cell r="C720">
            <v>7200</v>
          </cell>
          <cell r="D720">
            <v>4.5239999999999995E-2</v>
          </cell>
        </row>
        <row r="721">
          <cell r="A721" t="str">
            <v>F1000SS</v>
          </cell>
          <cell r="B721">
            <v>16800</v>
          </cell>
          <cell r="C721">
            <v>7200</v>
          </cell>
          <cell r="D721">
            <v>4.5239999999999995E-2</v>
          </cell>
        </row>
        <row r="722">
          <cell r="A722" t="str">
            <v>F100C</v>
          </cell>
          <cell r="B722">
            <v>14000</v>
          </cell>
          <cell r="C722">
            <v>6000</v>
          </cell>
          <cell r="D722">
            <v>4.0194000000000001E-2</v>
          </cell>
        </row>
        <row r="723">
          <cell r="A723" t="str">
            <v>F100DC</v>
          </cell>
          <cell r="B723">
            <v>10000</v>
          </cell>
          <cell r="C723">
            <v>4000</v>
          </cell>
          <cell r="D723">
            <v>3.14925E-2</v>
          </cell>
        </row>
        <row r="724">
          <cell r="A724" t="str">
            <v>F10E</v>
          </cell>
          <cell r="B724">
            <v>13000</v>
          </cell>
          <cell r="C724">
            <v>7200</v>
          </cell>
          <cell r="D724">
            <v>2.6998999999999999E-2</v>
          </cell>
        </row>
        <row r="725">
          <cell r="A725" t="str">
            <v>F11M</v>
          </cell>
          <cell r="B725">
            <v>8400</v>
          </cell>
          <cell r="C725">
            <v>2016</v>
          </cell>
          <cell r="D725">
            <v>6.0736000000000005E-2</v>
          </cell>
        </row>
        <row r="726">
          <cell r="A726" t="str">
            <v>F14R</v>
          </cell>
          <cell r="B726">
            <v>8500</v>
          </cell>
          <cell r="C726">
            <v>624</v>
          </cell>
          <cell r="D726">
            <v>5.2488000000000007E-2</v>
          </cell>
        </row>
        <row r="727">
          <cell r="A727" t="str">
            <v>F14R F</v>
          </cell>
          <cell r="B727">
            <v>8500</v>
          </cell>
          <cell r="C727">
            <v>560</v>
          </cell>
        </row>
        <row r="728">
          <cell r="A728" t="str">
            <v>F1500C</v>
          </cell>
          <cell r="B728">
            <v>19500</v>
          </cell>
          <cell r="C728">
            <v>9600</v>
          </cell>
          <cell r="D728">
            <v>7.5851999999999989E-2</v>
          </cell>
        </row>
        <row r="729">
          <cell r="A729" t="str">
            <v>F1500SS</v>
          </cell>
          <cell r="B729">
            <v>18000</v>
          </cell>
          <cell r="C729">
            <v>9600</v>
          </cell>
          <cell r="D729">
            <v>7.5851999999999989E-2</v>
          </cell>
        </row>
        <row r="730">
          <cell r="A730" t="str">
            <v>F15BR</v>
          </cell>
          <cell r="B730">
            <v>4000</v>
          </cell>
          <cell r="C730">
            <v>500</v>
          </cell>
          <cell r="D730">
            <v>5.7850000000000006E-2</v>
          </cell>
        </row>
        <row r="731">
          <cell r="A731" t="str">
            <v>F16CS</v>
          </cell>
          <cell r="B731">
            <v>12000</v>
          </cell>
          <cell r="C731">
            <v>6000</v>
          </cell>
          <cell r="D731">
            <v>4.2020999999999996E-2</v>
          </cell>
        </row>
        <row r="732">
          <cell r="A732" t="str">
            <v>F1M</v>
          </cell>
          <cell r="B732">
            <v>13000</v>
          </cell>
          <cell r="C732">
            <v>3600</v>
          </cell>
          <cell r="D732">
            <v>7.980799999999999E-2</v>
          </cell>
        </row>
        <row r="733">
          <cell r="A733" t="str">
            <v>F250C</v>
          </cell>
          <cell r="B733">
            <v>13500</v>
          </cell>
          <cell r="C733">
            <v>7500</v>
          </cell>
          <cell r="D733">
            <v>4.4226000000000001E-2</v>
          </cell>
        </row>
        <row r="734">
          <cell r="A734" t="str">
            <v>F250SC</v>
          </cell>
          <cell r="B734">
            <v>13500</v>
          </cell>
          <cell r="C734">
            <v>7500</v>
          </cell>
          <cell r="D734">
            <v>4.4226000000000001E-2</v>
          </cell>
        </row>
        <row r="735">
          <cell r="A735" t="str">
            <v>F250SS</v>
          </cell>
          <cell r="B735">
            <v>13500</v>
          </cell>
          <cell r="C735">
            <v>7500</v>
          </cell>
          <cell r="D735">
            <v>4.4226000000000001E-2</v>
          </cell>
        </row>
        <row r="736">
          <cell r="A736" t="str">
            <v>F2M</v>
          </cell>
          <cell r="B736">
            <v>11500</v>
          </cell>
          <cell r="C736">
            <v>5000</v>
          </cell>
          <cell r="D736">
            <v>5.9895000000000004E-2</v>
          </cell>
        </row>
        <row r="737">
          <cell r="A737" t="str">
            <v>F3CC</v>
          </cell>
          <cell r="B737">
            <v>10000</v>
          </cell>
          <cell r="C737">
            <v>3888</v>
          </cell>
          <cell r="D737">
            <v>3.9200000000000006E-2</v>
          </cell>
        </row>
        <row r="738">
          <cell r="A738" t="str">
            <v>F3N</v>
          </cell>
          <cell r="B738">
            <v>4700</v>
          </cell>
          <cell r="C738">
            <v>48</v>
          </cell>
          <cell r="D738">
            <v>5.6160000000000009E-2</v>
          </cell>
        </row>
        <row r="739">
          <cell r="A739" t="str">
            <v>F4V</v>
          </cell>
          <cell r="B739">
            <v>8000</v>
          </cell>
          <cell r="C739">
            <v>2000</v>
          </cell>
          <cell r="D739">
            <v>4.224E-2</v>
          </cell>
        </row>
        <row r="740">
          <cell r="A740" t="str">
            <v>F500C</v>
          </cell>
          <cell r="B740">
            <v>17000</v>
          </cell>
          <cell r="C740">
            <v>10500</v>
          </cell>
          <cell r="D740">
            <v>6.3425999999999996E-2</v>
          </cell>
        </row>
        <row r="741">
          <cell r="A741" t="str">
            <v>F500SIG</v>
          </cell>
          <cell r="B741">
            <v>22000</v>
          </cell>
          <cell r="C741">
            <v>7500</v>
          </cell>
          <cell r="D741">
            <v>9.7143500000000008E-2</v>
          </cell>
        </row>
        <row r="742">
          <cell r="A742" t="str">
            <v>F500SS</v>
          </cell>
          <cell r="B742">
            <v>18000</v>
          </cell>
          <cell r="C742">
            <v>10500</v>
          </cell>
          <cell r="D742">
            <v>6.3425999999999996E-2</v>
          </cell>
        </row>
        <row r="743">
          <cell r="A743" t="str">
            <v>F6K</v>
          </cell>
          <cell r="B743">
            <v>7800</v>
          </cell>
          <cell r="C743">
            <v>2304</v>
          </cell>
          <cell r="D743">
            <v>1.984E-2</v>
          </cell>
        </row>
        <row r="744">
          <cell r="A744" t="str">
            <v>F8B</v>
          </cell>
          <cell r="B744">
            <v>8800</v>
          </cell>
          <cell r="C744">
            <v>3000</v>
          </cell>
          <cell r="D744">
            <v>2.6714000000000002E-2</v>
          </cell>
        </row>
        <row r="745">
          <cell r="A745" t="str">
            <v>FPS1</v>
          </cell>
          <cell r="B745">
            <v>5000</v>
          </cell>
          <cell r="C745">
            <v>1250</v>
          </cell>
          <cell r="D745">
            <v>2.9497499999999999E-2</v>
          </cell>
        </row>
        <row r="746">
          <cell r="A746" t="str">
            <v>HD1</v>
          </cell>
          <cell r="B746">
            <v>318</v>
          </cell>
        </row>
        <row r="747">
          <cell r="A747" t="str">
            <v>HDP60B</v>
          </cell>
          <cell r="B747">
            <v>15000</v>
          </cell>
          <cell r="C747">
            <v>4500</v>
          </cell>
          <cell r="D747">
            <v>5.7330000000000013E-2</v>
          </cell>
        </row>
        <row r="748">
          <cell r="A748" t="str">
            <v>HDP60C</v>
          </cell>
          <cell r="B748">
            <v>15000</v>
          </cell>
          <cell r="C748">
            <v>4500</v>
          </cell>
          <cell r="D748">
            <v>5.7330000000000013E-2</v>
          </cell>
        </row>
        <row r="749">
          <cell r="A749" t="str">
            <v>HDP60CER</v>
          </cell>
          <cell r="B749">
            <v>15000</v>
          </cell>
          <cell r="C749">
            <v>4500</v>
          </cell>
          <cell r="D749">
            <v>5.7330000000000013E-2</v>
          </cell>
        </row>
        <row r="750">
          <cell r="A750" t="str">
            <v>HDP60M</v>
          </cell>
          <cell r="B750">
            <v>15000</v>
          </cell>
          <cell r="C750">
            <v>4500</v>
          </cell>
          <cell r="D750">
            <v>5.7330000000000013E-2</v>
          </cell>
        </row>
        <row r="751">
          <cell r="A751" t="str">
            <v>HDP60O</v>
          </cell>
          <cell r="B751">
            <v>15000</v>
          </cell>
          <cell r="C751">
            <v>4500</v>
          </cell>
          <cell r="D751">
            <v>5.7330000000000013E-2</v>
          </cell>
        </row>
        <row r="752">
          <cell r="A752" t="str">
            <v>HDP60ZE</v>
          </cell>
          <cell r="B752">
            <v>15000</v>
          </cell>
          <cell r="C752">
            <v>4500</v>
          </cell>
          <cell r="D752">
            <v>5.7330000000000013E-2</v>
          </cell>
        </row>
        <row r="753">
          <cell r="A753" t="str">
            <v>HDP60ZL</v>
          </cell>
          <cell r="B753">
            <v>15000</v>
          </cell>
          <cell r="C753">
            <v>4500</v>
          </cell>
          <cell r="D753">
            <v>5.7330000000000013E-2</v>
          </cell>
        </row>
        <row r="754">
          <cell r="A754" t="str">
            <v>IF220A</v>
          </cell>
          <cell r="B754">
            <v>12000</v>
          </cell>
          <cell r="C754">
            <v>2400</v>
          </cell>
          <cell r="D754">
            <v>2.0064000000000002E-2</v>
          </cell>
        </row>
        <row r="755">
          <cell r="A755" t="str">
            <v>IF3MA</v>
          </cell>
          <cell r="B755">
            <v>12520</v>
          </cell>
          <cell r="C755">
            <v>3600</v>
          </cell>
          <cell r="D755">
            <v>2.68515E-2</v>
          </cell>
        </row>
        <row r="756">
          <cell r="A756" t="str">
            <v>IF560B</v>
          </cell>
          <cell r="B756">
            <v>14000</v>
          </cell>
          <cell r="C756">
            <v>6000</v>
          </cell>
          <cell r="D756">
            <v>2.9792000000000006E-2</v>
          </cell>
        </row>
        <row r="757">
          <cell r="A757" t="str">
            <v>IF660B</v>
          </cell>
          <cell r="B757">
            <v>19000</v>
          </cell>
          <cell r="C757">
            <v>5040</v>
          </cell>
          <cell r="D757">
            <v>3.1768000000000005E-2</v>
          </cell>
        </row>
        <row r="758">
          <cell r="A758" t="str">
            <v>IS60S</v>
          </cell>
          <cell r="B758">
            <v>15800</v>
          </cell>
          <cell r="C758">
            <v>1945</v>
          </cell>
          <cell r="D758">
            <v>0.20475000000000002</v>
          </cell>
        </row>
        <row r="759">
          <cell r="A759" t="str">
            <v>IV5M</v>
          </cell>
          <cell r="B759">
            <v>7200</v>
          </cell>
          <cell r="C759">
            <v>480</v>
          </cell>
          <cell r="D759">
            <v>1.4212000000000002E-2</v>
          </cell>
        </row>
        <row r="760">
          <cell r="A760" t="str">
            <v>IV8M</v>
          </cell>
          <cell r="B760">
            <v>12300</v>
          </cell>
          <cell r="C760">
            <v>600</v>
          </cell>
          <cell r="D760">
            <v>2.2747999999999997E-2</v>
          </cell>
        </row>
        <row r="761">
          <cell r="A761" t="str">
            <v>K01M</v>
          </cell>
          <cell r="B761">
            <v>26000</v>
          </cell>
          <cell r="C761">
            <v>4200</v>
          </cell>
          <cell r="D761">
            <v>5.4179999999999992E-2</v>
          </cell>
        </row>
        <row r="762">
          <cell r="A762" t="str">
            <v>K0201(2)</v>
          </cell>
          <cell r="B762">
            <v>11000</v>
          </cell>
          <cell r="C762">
            <v>864</v>
          </cell>
          <cell r="D762">
            <v>2.5353600000000004E-2</v>
          </cell>
        </row>
        <row r="763">
          <cell r="A763" t="str">
            <v>K0203</v>
          </cell>
          <cell r="B763">
            <v>16450</v>
          </cell>
          <cell r="C763">
            <v>475</v>
          </cell>
          <cell r="D763">
            <v>2.935625E-2</v>
          </cell>
        </row>
        <row r="764">
          <cell r="A764" t="str">
            <v>K0203(1)</v>
          </cell>
          <cell r="B764">
            <v>16450</v>
          </cell>
          <cell r="C764">
            <v>475</v>
          </cell>
          <cell r="D764">
            <v>2.935625E-2</v>
          </cell>
        </row>
        <row r="765">
          <cell r="A765" t="str">
            <v>K0203(2)</v>
          </cell>
          <cell r="B765">
            <v>16450</v>
          </cell>
          <cell r="C765">
            <v>475</v>
          </cell>
          <cell r="D765">
            <v>2.935625E-2</v>
          </cell>
        </row>
        <row r="766">
          <cell r="A766" t="str">
            <v>K0203/2</v>
          </cell>
          <cell r="B766">
            <v>18000</v>
          </cell>
          <cell r="C766">
            <v>1000</v>
          </cell>
          <cell r="D766">
            <v>2.8080000000000001E-2</v>
          </cell>
        </row>
        <row r="767">
          <cell r="A767" t="str">
            <v>K0203/2(1)</v>
          </cell>
          <cell r="B767">
            <v>18000</v>
          </cell>
          <cell r="C767">
            <v>1000</v>
          </cell>
          <cell r="D767">
            <v>2.8080000000000001E-2</v>
          </cell>
        </row>
        <row r="768">
          <cell r="A768" t="str">
            <v>K0203BP</v>
          </cell>
          <cell r="B768">
            <v>20000</v>
          </cell>
          <cell r="C768">
            <v>4250</v>
          </cell>
          <cell r="D768">
            <v>2.935625E-2</v>
          </cell>
        </row>
        <row r="769">
          <cell r="A769" t="str">
            <v>K0203K</v>
          </cell>
          <cell r="B769">
            <v>20000</v>
          </cell>
          <cell r="C769">
            <v>950</v>
          </cell>
          <cell r="D769">
            <v>3.3800000000000004E-2</v>
          </cell>
        </row>
        <row r="770">
          <cell r="A770" t="str">
            <v>K0203KB</v>
          </cell>
          <cell r="B770">
            <v>17000</v>
          </cell>
          <cell r="C770">
            <v>1000</v>
          </cell>
          <cell r="D770">
            <v>3.8318000000000005E-2</v>
          </cell>
        </row>
        <row r="771">
          <cell r="A771" t="str">
            <v>K1000R</v>
          </cell>
          <cell r="B771">
            <v>19000</v>
          </cell>
          <cell r="C771">
            <v>1920</v>
          </cell>
          <cell r="D771">
            <v>3.696E-2</v>
          </cell>
        </row>
        <row r="772">
          <cell r="A772" t="str">
            <v>K10M</v>
          </cell>
          <cell r="B772">
            <v>8000</v>
          </cell>
          <cell r="C772">
            <v>248</v>
          </cell>
          <cell r="D772">
            <v>3.7206000000000003E-2</v>
          </cell>
        </row>
        <row r="773">
          <cell r="A773" t="str">
            <v>K1969R</v>
          </cell>
          <cell r="B773">
            <v>6000</v>
          </cell>
          <cell r="C773">
            <v>247</v>
          </cell>
          <cell r="D773">
            <v>2.5542000000000002E-2</v>
          </cell>
        </row>
        <row r="774">
          <cell r="A774" t="str">
            <v>K200R</v>
          </cell>
          <cell r="B774">
            <v>21000</v>
          </cell>
          <cell r="C774">
            <v>1944</v>
          </cell>
          <cell r="D774">
            <v>3.9899999999999998E-2</v>
          </cell>
        </row>
        <row r="775">
          <cell r="A775" t="str">
            <v>K20K</v>
          </cell>
          <cell r="B775">
            <v>12376</v>
          </cell>
          <cell r="C775">
            <v>374.40000000000003</v>
          </cell>
          <cell r="D775">
            <v>2.9645300000000003E-2</v>
          </cell>
        </row>
        <row r="776">
          <cell r="A776" t="str">
            <v>K500R</v>
          </cell>
          <cell r="B776">
            <v>19500</v>
          </cell>
          <cell r="C776">
            <v>1920</v>
          </cell>
          <cell r="D776">
            <v>3.7223999999999993E-2</v>
          </cell>
        </row>
        <row r="777">
          <cell r="A777" t="str">
            <v>K60K</v>
          </cell>
          <cell r="B777">
            <v>15000</v>
          </cell>
          <cell r="C777">
            <v>624</v>
          </cell>
          <cell r="D777">
            <v>4.5791159999999997E-2</v>
          </cell>
        </row>
        <row r="778">
          <cell r="A778" t="str">
            <v>K-C10025BPW/C14</v>
          </cell>
          <cell r="B778">
            <v>1500</v>
          </cell>
          <cell r="C778" t="str">
            <v/>
          </cell>
          <cell r="D778" t="str">
            <v/>
          </cell>
        </row>
        <row r="779">
          <cell r="A779" t="str">
            <v>K-C10030XF/C14</v>
          </cell>
          <cell r="B779">
            <v>1500</v>
          </cell>
          <cell r="C779" t="str">
            <v/>
          </cell>
          <cell r="D779" t="str">
            <v/>
          </cell>
        </row>
        <row r="780">
          <cell r="A780" t="str">
            <v>K-C1003BB/C</v>
          </cell>
          <cell r="B780">
            <v>1500</v>
          </cell>
          <cell r="C780" t="str">
            <v/>
          </cell>
          <cell r="D780" t="str">
            <v/>
          </cell>
        </row>
        <row r="781">
          <cell r="A781" t="str">
            <v>K-C1003BO/C</v>
          </cell>
          <cell r="B781">
            <v>1500</v>
          </cell>
          <cell r="C781" t="str">
            <v/>
          </cell>
          <cell r="D781" t="str">
            <v/>
          </cell>
        </row>
        <row r="782">
          <cell r="A782" t="str">
            <v>K-C1003BP/C</v>
          </cell>
          <cell r="B782">
            <v>1500</v>
          </cell>
          <cell r="C782" t="str">
            <v/>
          </cell>
          <cell r="D782" t="str">
            <v/>
          </cell>
        </row>
        <row r="783">
          <cell r="A783" t="str">
            <v>K-C1003BPF/C</v>
          </cell>
          <cell r="B783">
            <v>1500</v>
          </cell>
          <cell r="C783" t="str">
            <v/>
          </cell>
          <cell r="D783" t="str">
            <v/>
          </cell>
        </row>
        <row r="784">
          <cell r="A784" t="str">
            <v>K-C1003BPW/C14</v>
          </cell>
          <cell r="B784">
            <v>1500</v>
          </cell>
          <cell r="C784" t="str">
            <v/>
          </cell>
          <cell r="D784" t="str">
            <v/>
          </cell>
        </row>
        <row r="785">
          <cell r="A785" t="str">
            <v>K-C1003NO/C14</v>
          </cell>
          <cell r="B785">
            <v>1500</v>
          </cell>
          <cell r="C785" t="str">
            <v/>
          </cell>
          <cell r="D785" t="str">
            <v/>
          </cell>
        </row>
        <row r="786">
          <cell r="A786" t="str">
            <v>K-C1003SIG/C</v>
          </cell>
          <cell r="B786">
            <v>1500</v>
          </cell>
          <cell r="C786" t="str">
            <v/>
          </cell>
          <cell r="D786" t="str">
            <v/>
          </cell>
        </row>
        <row r="787">
          <cell r="A787" t="str">
            <v>K-C1003W/C</v>
          </cell>
          <cell r="B787">
            <v>1500</v>
          </cell>
          <cell r="C787" t="str">
            <v/>
          </cell>
          <cell r="D787" t="str">
            <v/>
          </cell>
        </row>
        <row r="788">
          <cell r="A788" t="str">
            <v>K-C10545GI/C</v>
          </cell>
          <cell r="B788">
            <v>1500</v>
          </cell>
          <cell r="C788" t="str">
            <v/>
          </cell>
          <cell r="D788" t="str">
            <v/>
          </cell>
        </row>
        <row r="789">
          <cell r="A789" t="str">
            <v>K-C12230XPT/C14</v>
          </cell>
          <cell r="B789">
            <v>1500</v>
          </cell>
          <cell r="C789" t="str">
            <v/>
          </cell>
          <cell r="D789" t="str">
            <v/>
          </cell>
        </row>
        <row r="790">
          <cell r="A790" t="str">
            <v>K-C12820F/C14</v>
          </cell>
        </row>
        <row r="791">
          <cell r="A791" t="str">
            <v>K-C12820NID/C(T)</v>
          </cell>
        </row>
        <row r="792">
          <cell r="A792" t="str">
            <v>K-C128XMB/C</v>
          </cell>
          <cell r="B792">
            <v>1500</v>
          </cell>
          <cell r="C792" t="str">
            <v/>
          </cell>
          <cell r="D792" t="str">
            <v/>
          </cell>
        </row>
        <row r="793">
          <cell r="A793" t="str">
            <v>K-C128XMPT/C</v>
          </cell>
          <cell r="B793">
            <v>1500</v>
          </cell>
          <cell r="C793" t="str">
            <v/>
          </cell>
          <cell r="D793" t="str">
            <v/>
          </cell>
        </row>
        <row r="794">
          <cell r="A794" t="str">
            <v>K-C13220B/C14</v>
          </cell>
          <cell r="B794">
            <v>1500</v>
          </cell>
          <cell r="C794" t="str">
            <v/>
          </cell>
          <cell r="D794" t="str">
            <v/>
          </cell>
        </row>
        <row r="795">
          <cell r="A795" t="str">
            <v>K-C13220TS/C14(T)</v>
          </cell>
          <cell r="B795">
            <v>1500</v>
          </cell>
          <cell r="C795" t="str">
            <v/>
          </cell>
          <cell r="D795" t="str">
            <v/>
          </cell>
        </row>
        <row r="796">
          <cell r="A796" t="str">
            <v>K-C132XMPT/C</v>
          </cell>
          <cell r="B796">
            <v>1500</v>
          </cell>
          <cell r="C796" t="str">
            <v/>
          </cell>
          <cell r="D796" t="str">
            <v/>
          </cell>
        </row>
        <row r="797">
          <cell r="A797" t="str">
            <v>K-C132XMPT/C14</v>
          </cell>
          <cell r="B797">
            <v>1500</v>
          </cell>
          <cell r="C797" t="str">
            <v/>
          </cell>
          <cell r="D797" t="str">
            <v/>
          </cell>
        </row>
        <row r="798">
          <cell r="A798" t="str">
            <v>K-C14025XFS/C</v>
          </cell>
          <cell r="B798">
            <v>1500</v>
          </cell>
          <cell r="C798" t="str">
            <v/>
          </cell>
          <cell r="D798" t="str">
            <v/>
          </cell>
        </row>
        <row r="799">
          <cell r="A799" t="str">
            <v>K-C14025XFS/C14</v>
          </cell>
          <cell r="B799">
            <v>1500</v>
          </cell>
          <cell r="C799" t="str">
            <v/>
          </cell>
          <cell r="D799" t="str">
            <v/>
          </cell>
        </row>
        <row r="800">
          <cell r="A800" t="str">
            <v>K-C1503BPF/C</v>
          </cell>
          <cell r="B800">
            <v>1500</v>
          </cell>
          <cell r="C800" t="str">
            <v/>
          </cell>
          <cell r="D800" t="str">
            <v/>
          </cell>
        </row>
        <row r="801">
          <cell r="A801" t="str">
            <v>K-C1503X/C</v>
          </cell>
          <cell r="B801">
            <v>1500</v>
          </cell>
          <cell r="C801" t="str">
            <v/>
          </cell>
          <cell r="D801" t="str">
            <v/>
          </cell>
        </row>
        <row r="802">
          <cell r="A802" t="str">
            <v>K-C150MF/C</v>
          </cell>
          <cell r="B802">
            <v>1500</v>
          </cell>
          <cell r="C802" t="str">
            <v/>
          </cell>
          <cell r="D802" t="str">
            <v/>
          </cell>
        </row>
        <row r="803">
          <cell r="A803" t="str">
            <v>K-C150MPT/C</v>
          </cell>
          <cell r="B803">
            <v>1500</v>
          </cell>
          <cell r="C803" t="str">
            <v/>
          </cell>
          <cell r="D803" t="str">
            <v/>
          </cell>
        </row>
        <row r="804">
          <cell r="A804" t="str">
            <v>K-C175MF/C</v>
          </cell>
          <cell r="B804">
            <v>1500</v>
          </cell>
        </row>
        <row r="805">
          <cell r="A805" t="str">
            <v>K-C175MSIG/C</v>
          </cell>
          <cell r="B805">
            <v>1500</v>
          </cell>
          <cell r="C805" t="str">
            <v/>
          </cell>
          <cell r="D805" t="str">
            <v/>
          </cell>
        </row>
        <row r="806">
          <cell r="A806" t="str">
            <v>K-C18020SIG/C</v>
          </cell>
          <cell r="B806">
            <v>1500</v>
          </cell>
          <cell r="C806" t="str">
            <v/>
          </cell>
          <cell r="D806" t="str">
            <v/>
          </cell>
        </row>
        <row r="807">
          <cell r="A807" t="str">
            <v>K-C180MA</v>
          </cell>
          <cell r="B807">
            <v>1500</v>
          </cell>
        </row>
        <row r="808">
          <cell r="A808" t="str">
            <v>K-C188MF/C</v>
          </cell>
          <cell r="B808">
            <v>1500</v>
          </cell>
          <cell r="C808" t="str">
            <v/>
          </cell>
          <cell r="D808" t="str">
            <v/>
          </cell>
        </row>
        <row r="809">
          <cell r="A809" t="str">
            <v>K-C19220F/C</v>
          </cell>
          <cell r="B809">
            <v>1500</v>
          </cell>
          <cell r="C809" t="str">
            <v/>
          </cell>
          <cell r="D809" t="str">
            <v/>
          </cell>
        </row>
        <row r="810">
          <cell r="A810" t="str">
            <v>K-C20020XPR/C14</v>
          </cell>
          <cell r="B810">
            <v>1500</v>
          </cell>
          <cell r="C810" t="str">
            <v/>
          </cell>
          <cell r="D810" t="str">
            <v/>
          </cell>
        </row>
        <row r="811">
          <cell r="A811" t="str">
            <v>K-C20025BPF/C</v>
          </cell>
          <cell r="B811">
            <v>1500</v>
          </cell>
          <cell r="C811" t="str">
            <v/>
          </cell>
          <cell r="D811" t="str">
            <v/>
          </cell>
        </row>
        <row r="812">
          <cell r="A812" t="str">
            <v>K-C20025F/C</v>
          </cell>
          <cell r="B812">
            <v>1500</v>
          </cell>
          <cell r="C812" t="str">
            <v/>
          </cell>
          <cell r="D812" t="str">
            <v/>
          </cell>
        </row>
        <row r="813">
          <cell r="A813" t="str">
            <v>K-C2003BP/C</v>
          </cell>
          <cell r="B813">
            <v>1500</v>
          </cell>
          <cell r="C813" t="str">
            <v/>
          </cell>
          <cell r="D813" t="str">
            <v/>
          </cell>
        </row>
        <row r="814">
          <cell r="A814" t="str">
            <v>K-C2003U/C</v>
          </cell>
          <cell r="B814">
            <v>1500</v>
          </cell>
          <cell r="C814" t="str">
            <v/>
          </cell>
          <cell r="D814" t="str">
            <v/>
          </cell>
        </row>
        <row r="815">
          <cell r="A815" t="str">
            <v>K-C200MF/C</v>
          </cell>
          <cell r="B815">
            <v>1500</v>
          </cell>
          <cell r="C815" t="str">
            <v/>
          </cell>
          <cell r="D815" t="str">
            <v/>
          </cell>
        </row>
        <row r="816">
          <cell r="A816" t="str">
            <v>K-C200MNID/C</v>
          </cell>
          <cell r="B816">
            <v>1500</v>
          </cell>
          <cell r="C816" t="str">
            <v/>
          </cell>
          <cell r="D816" t="str">
            <v/>
          </cell>
        </row>
        <row r="817">
          <cell r="A817" t="str">
            <v>K-C204XMPT/C</v>
          </cell>
          <cell r="B817">
            <v>1500</v>
          </cell>
          <cell r="C817" t="str">
            <v/>
          </cell>
          <cell r="D817" t="str">
            <v/>
          </cell>
        </row>
        <row r="818">
          <cell r="A818" t="str">
            <v>K-C204XMPT/C14</v>
          </cell>
          <cell r="B818">
            <v>1500</v>
          </cell>
          <cell r="C818" t="str">
            <v/>
          </cell>
          <cell r="D818" t="str">
            <v/>
          </cell>
        </row>
        <row r="819">
          <cell r="A819" t="str">
            <v>K-C212MF/C</v>
          </cell>
          <cell r="B819">
            <v>1500</v>
          </cell>
          <cell r="C819" t="str">
            <v/>
          </cell>
          <cell r="D819" t="str">
            <v/>
          </cell>
        </row>
        <row r="820">
          <cell r="A820" t="str">
            <v>K-C216XMFS/C</v>
          </cell>
          <cell r="B820">
            <v>1500</v>
          </cell>
          <cell r="C820" t="str">
            <v/>
          </cell>
          <cell r="D820" t="str">
            <v/>
          </cell>
        </row>
        <row r="821">
          <cell r="A821" t="str">
            <v>K-C216XMFS/C14</v>
          </cell>
          <cell r="B821">
            <v>1500</v>
          </cell>
          <cell r="C821" t="str">
            <v/>
          </cell>
          <cell r="D821" t="str">
            <v/>
          </cell>
        </row>
        <row r="822">
          <cell r="A822" t="str">
            <v>K-C219XMPT/C</v>
          </cell>
          <cell r="B822">
            <v>1500</v>
          </cell>
          <cell r="C822" t="str">
            <v/>
          </cell>
          <cell r="D822" t="str">
            <v/>
          </cell>
        </row>
        <row r="823">
          <cell r="A823" t="str">
            <v>K-C222MF/C</v>
          </cell>
          <cell r="B823">
            <v>1500</v>
          </cell>
          <cell r="C823" t="str">
            <v/>
          </cell>
          <cell r="D823" t="str">
            <v/>
          </cell>
        </row>
        <row r="824">
          <cell r="A824" t="str">
            <v>K-C222MNID/C</v>
          </cell>
          <cell r="B824">
            <v>1500</v>
          </cell>
          <cell r="C824" t="str">
            <v/>
          </cell>
          <cell r="D824" t="str">
            <v/>
          </cell>
        </row>
        <row r="825">
          <cell r="A825" t="str">
            <v>K-C222MNPT/C</v>
          </cell>
          <cell r="B825">
            <v>1500</v>
          </cell>
          <cell r="C825" t="str">
            <v/>
          </cell>
          <cell r="D825" t="str">
            <v/>
          </cell>
        </row>
        <row r="826">
          <cell r="A826" t="str">
            <v>K-C223XMK/C</v>
          </cell>
          <cell r="B826">
            <v>1500</v>
          </cell>
          <cell r="C826" t="str">
            <v/>
          </cell>
          <cell r="D826" t="str">
            <v/>
          </cell>
        </row>
        <row r="827">
          <cell r="A827" t="str">
            <v>K-C223XMK/C14</v>
          </cell>
          <cell r="B827">
            <v>1500</v>
          </cell>
          <cell r="C827" t="str">
            <v/>
          </cell>
          <cell r="D827" t="str">
            <v/>
          </cell>
        </row>
        <row r="828">
          <cell r="A828" t="str">
            <v>K-C239MSIG/C</v>
          </cell>
          <cell r="B828">
            <v>1500</v>
          </cell>
          <cell r="C828" t="str">
            <v/>
          </cell>
          <cell r="D828" t="str">
            <v/>
          </cell>
        </row>
        <row r="829">
          <cell r="A829" t="str">
            <v>K-C25220XFS/C</v>
          </cell>
          <cell r="B829">
            <v>2000</v>
          </cell>
        </row>
        <row r="830">
          <cell r="A830" t="str">
            <v>K-C25220XFS/C14</v>
          </cell>
          <cell r="B830">
            <v>1500</v>
          </cell>
          <cell r="C830" t="str">
            <v/>
          </cell>
          <cell r="D830" t="str">
            <v/>
          </cell>
        </row>
        <row r="831">
          <cell r="A831" t="str">
            <v>K-C253XMPT/C</v>
          </cell>
          <cell r="B831">
            <v>1500</v>
          </cell>
          <cell r="C831" t="str">
            <v/>
          </cell>
          <cell r="D831" t="str">
            <v/>
          </cell>
        </row>
        <row r="832">
          <cell r="A832" t="str">
            <v>K-C25620F/C</v>
          </cell>
          <cell r="B832">
            <v>1500</v>
          </cell>
          <cell r="C832" t="str">
            <v/>
          </cell>
          <cell r="D832" t="str">
            <v/>
          </cell>
        </row>
        <row r="833">
          <cell r="A833" t="str">
            <v>K-C25620F/C14(T)</v>
          </cell>
          <cell r="B833">
            <v>2000</v>
          </cell>
        </row>
        <row r="834">
          <cell r="A834" t="str">
            <v>K-C2563F/C</v>
          </cell>
          <cell r="B834">
            <v>1500</v>
          </cell>
          <cell r="C834" t="str">
            <v/>
          </cell>
          <cell r="D834" t="str">
            <v/>
          </cell>
        </row>
        <row r="835">
          <cell r="A835" t="str">
            <v>K-C2563XMF/C</v>
          </cell>
          <cell r="B835">
            <v>1500</v>
          </cell>
          <cell r="C835" t="str">
            <v/>
          </cell>
          <cell r="D835" t="str">
            <v/>
          </cell>
        </row>
        <row r="836">
          <cell r="A836" t="str">
            <v>K-C26020F/C</v>
          </cell>
          <cell r="B836">
            <v>1500</v>
          </cell>
          <cell r="C836" t="str">
            <v/>
          </cell>
          <cell r="D836" t="str">
            <v/>
          </cell>
        </row>
        <row r="837">
          <cell r="A837" t="str">
            <v>K-C26420N/C</v>
          </cell>
          <cell r="B837">
            <v>1500</v>
          </cell>
          <cell r="C837" t="str">
            <v/>
          </cell>
          <cell r="D837" t="str">
            <v/>
          </cell>
        </row>
        <row r="838">
          <cell r="A838" t="str">
            <v>K-C30025BPW/C</v>
          </cell>
          <cell r="B838">
            <v>1500</v>
          </cell>
          <cell r="C838" t="str">
            <v/>
          </cell>
          <cell r="D838" t="str">
            <v/>
          </cell>
        </row>
        <row r="839">
          <cell r="A839" t="str">
            <v>K-C30025F/C</v>
          </cell>
          <cell r="B839">
            <v>1500</v>
          </cell>
          <cell r="C839" t="str">
            <v/>
          </cell>
          <cell r="D839" t="str">
            <v/>
          </cell>
        </row>
        <row r="840">
          <cell r="A840" t="str">
            <v>K-C30025NID/C</v>
          </cell>
          <cell r="B840">
            <v>1500</v>
          </cell>
          <cell r="C840" t="str">
            <v/>
          </cell>
          <cell r="D840" t="str">
            <v/>
          </cell>
        </row>
        <row r="841">
          <cell r="A841" t="str">
            <v>K-C379XMK/C</v>
          </cell>
          <cell r="B841">
            <v>1500</v>
          </cell>
          <cell r="C841" t="str">
            <v/>
          </cell>
          <cell r="D841" t="str">
            <v/>
          </cell>
        </row>
        <row r="842">
          <cell r="A842" t="str">
            <v>K-C39020F/C</v>
          </cell>
          <cell r="B842">
            <v>1500</v>
          </cell>
          <cell r="C842" t="str">
            <v/>
          </cell>
          <cell r="D842" t="str">
            <v/>
          </cell>
        </row>
        <row r="843">
          <cell r="A843" t="str">
            <v>K-C40020XPR/C14</v>
          </cell>
          <cell r="B843">
            <v>1500</v>
          </cell>
          <cell r="C843" t="str">
            <v/>
          </cell>
          <cell r="D843" t="str">
            <v/>
          </cell>
        </row>
        <row r="844">
          <cell r="A844" t="str">
            <v>K-C40025F/C</v>
          </cell>
          <cell r="B844">
            <v>1500</v>
          </cell>
          <cell r="C844" t="str">
            <v/>
          </cell>
          <cell r="D844" t="str">
            <v/>
          </cell>
        </row>
        <row r="845">
          <cell r="A845" t="str">
            <v>K-C503BPW/C14</v>
          </cell>
          <cell r="B845">
            <v>1500</v>
          </cell>
          <cell r="C845" t="str">
            <v/>
          </cell>
          <cell r="D845" t="str">
            <v/>
          </cell>
        </row>
        <row r="846">
          <cell r="A846" t="str">
            <v>K-C503BW/C14</v>
          </cell>
          <cell r="B846">
            <v>1500</v>
          </cell>
        </row>
        <row r="847">
          <cell r="A847" t="str">
            <v>K-C503ME/C14</v>
          </cell>
          <cell r="B847">
            <v>1500</v>
          </cell>
          <cell r="C847" t="str">
            <v/>
          </cell>
          <cell r="D847" t="str">
            <v/>
          </cell>
        </row>
        <row r="848">
          <cell r="A848" t="str">
            <v>K-C503NID/C14</v>
          </cell>
          <cell r="B848">
            <v>1500</v>
          </cell>
          <cell r="C848" t="str">
            <v/>
          </cell>
          <cell r="D848" t="str">
            <v/>
          </cell>
        </row>
        <row r="849">
          <cell r="A849" t="str">
            <v>K-C503TS/C14</v>
          </cell>
          <cell r="B849">
            <v>1500</v>
          </cell>
        </row>
        <row r="850">
          <cell r="A850" t="str">
            <v>K-C505V/C</v>
          </cell>
          <cell r="B850">
            <v>1500</v>
          </cell>
          <cell r="C850" t="str">
            <v/>
          </cell>
          <cell r="D850" t="str">
            <v/>
          </cell>
        </row>
        <row r="851">
          <cell r="A851" t="str">
            <v>K-C505X/C</v>
          </cell>
          <cell r="B851">
            <v>1500</v>
          </cell>
          <cell r="C851" t="str">
            <v/>
          </cell>
          <cell r="D851" t="str">
            <v/>
          </cell>
        </row>
        <row r="852">
          <cell r="A852" t="str">
            <v>K-C52020F/C</v>
          </cell>
          <cell r="B852">
            <v>1500</v>
          </cell>
          <cell r="C852" t="str">
            <v/>
          </cell>
          <cell r="D852" t="str">
            <v/>
          </cell>
        </row>
        <row r="853">
          <cell r="A853" t="str">
            <v>K-C53620F/C</v>
          </cell>
          <cell r="B853">
            <v>1500</v>
          </cell>
          <cell r="C853" t="str">
            <v/>
          </cell>
          <cell r="D853" t="str">
            <v/>
          </cell>
        </row>
        <row r="854">
          <cell r="A854" t="str">
            <v>K-C6420DU/C</v>
          </cell>
          <cell r="B854">
            <v>800</v>
          </cell>
        </row>
        <row r="855">
          <cell r="A855" t="str">
            <v>K-C755R/C</v>
          </cell>
          <cell r="B855">
            <v>1500</v>
          </cell>
          <cell r="C855" t="str">
            <v/>
          </cell>
          <cell r="D855" t="str">
            <v/>
          </cell>
        </row>
        <row r="856">
          <cell r="A856" t="str">
            <v>K-C80020XPR/C</v>
          </cell>
          <cell r="B856">
            <v>2000</v>
          </cell>
        </row>
        <row r="857">
          <cell r="A857" t="str">
            <v>K-C84M12E/C</v>
          </cell>
          <cell r="B857">
            <v>1500</v>
          </cell>
          <cell r="C857" t="str">
            <v/>
          </cell>
          <cell r="D857" t="str">
            <v/>
          </cell>
        </row>
        <row r="858">
          <cell r="A858" t="str">
            <v>K-C84M12F/C</v>
          </cell>
          <cell r="B858">
            <v>1500</v>
          </cell>
          <cell r="C858" t="str">
            <v/>
          </cell>
          <cell r="D858" t="str">
            <v/>
          </cell>
        </row>
        <row r="859">
          <cell r="A859" t="str">
            <v>K-C84M12S/C</v>
          </cell>
          <cell r="B859">
            <v>1500</v>
          </cell>
          <cell r="C859" t="str">
            <v/>
          </cell>
          <cell r="D859" t="str">
            <v/>
          </cell>
        </row>
        <row r="860">
          <cell r="A860" t="str">
            <v>K-C84MC/C</v>
          </cell>
          <cell r="B860">
            <v>1500</v>
          </cell>
          <cell r="C860" t="str">
            <v/>
          </cell>
          <cell r="D860" t="str">
            <v/>
          </cell>
        </row>
        <row r="861">
          <cell r="A861" t="str">
            <v>K-C9625MF/C14</v>
          </cell>
          <cell r="B861">
            <v>1500</v>
          </cell>
          <cell r="C861" t="str">
            <v/>
          </cell>
          <cell r="D861" t="str">
            <v/>
          </cell>
        </row>
        <row r="862">
          <cell r="A862" t="str">
            <v>K-C9825C/C14</v>
          </cell>
          <cell r="B862">
            <v>1500</v>
          </cell>
          <cell r="C862" t="str">
            <v/>
          </cell>
          <cell r="D862" t="str">
            <v/>
          </cell>
        </row>
        <row r="863">
          <cell r="A863" t="str">
            <v>KD1</v>
          </cell>
          <cell r="B863">
            <v>72</v>
          </cell>
        </row>
        <row r="864">
          <cell r="A864" t="str">
            <v>KDLE1</v>
          </cell>
          <cell r="B864">
            <v>72</v>
          </cell>
        </row>
        <row r="865">
          <cell r="A865" t="str">
            <v>KK2023</v>
          </cell>
          <cell r="B865">
            <v>1100</v>
          </cell>
          <cell r="C865" t="str">
            <v/>
          </cell>
          <cell r="D865" t="str">
            <v/>
          </cell>
        </row>
        <row r="866">
          <cell r="A866" t="str">
            <v>KKD1</v>
          </cell>
          <cell r="B866">
            <v>10</v>
          </cell>
        </row>
        <row r="867">
          <cell r="A867" t="str">
            <v>LM0SW</v>
          </cell>
          <cell r="B867">
            <v>7500</v>
          </cell>
          <cell r="C867">
            <v>1920.0000000000002</v>
          </cell>
          <cell r="D867">
            <v>1.8920000000000003E-2</v>
          </cell>
        </row>
        <row r="868">
          <cell r="A868" t="str">
            <v>LM0SW(1)</v>
          </cell>
          <cell r="B868">
            <v>7500</v>
          </cell>
          <cell r="C868">
            <v>1920.0000000000002</v>
          </cell>
          <cell r="D868">
            <v>1.8920000000000003E-2</v>
          </cell>
        </row>
        <row r="869">
          <cell r="A869" t="str">
            <v>LM1O</v>
          </cell>
          <cell r="B869">
            <v>4700</v>
          </cell>
          <cell r="C869">
            <v>2400</v>
          </cell>
          <cell r="D869">
            <v>2.6099999999999998E-2</v>
          </cell>
        </row>
        <row r="870">
          <cell r="A870" t="str">
            <v>LM2C</v>
          </cell>
          <cell r="B870">
            <v>6300</v>
          </cell>
          <cell r="C870">
            <v>2160</v>
          </cell>
          <cell r="D870">
            <v>4.3987499999999999E-2</v>
          </cell>
        </row>
        <row r="871">
          <cell r="A871" t="str">
            <v>LM2V</v>
          </cell>
          <cell r="B871">
            <v>5600</v>
          </cell>
          <cell r="C871">
            <v>2160</v>
          </cell>
          <cell r="D871">
            <v>3.705E-2</v>
          </cell>
        </row>
        <row r="872">
          <cell r="A872" t="str">
            <v>LM3T</v>
          </cell>
          <cell r="B872">
            <v>4500</v>
          </cell>
          <cell r="C872">
            <v>1296</v>
          </cell>
          <cell r="D872">
            <v>3.6380250000000003E-2</v>
          </cell>
        </row>
        <row r="873">
          <cell r="A873" t="str">
            <v>LM4O</v>
          </cell>
          <cell r="B873">
            <v>5000</v>
          </cell>
          <cell r="C873">
            <v>2016</v>
          </cell>
          <cell r="D873">
            <v>3.3744000000000003E-2</v>
          </cell>
        </row>
        <row r="874">
          <cell r="A874" t="str">
            <v>LM5W</v>
          </cell>
          <cell r="B874">
            <v>11000</v>
          </cell>
          <cell r="C874">
            <v>2880</v>
          </cell>
          <cell r="D874">
            <v>5.3689500000000001E-2</v>
          </cell>
        </row>
        <row r="875">
          <cell r="A875" t="str">
            <v>LM6M</v>
          </cell>
          <cell r="B875">
            <v>6000</v>
          </cell>
          <cell r="C875">
            <v>1344</v>
          </cell>
          <cell r="D875">
            <v>6.7229999999999998E-2</v>
          </cell>
        </row>
        <row r="876">
          <cell r="A876" t="str">
            <v>LM7S</v>
          </cell>
          <cell r="B876">
            <v>5000</v>
          </cell>
          <cell r="C876">
            <v>720</v>
          </cell>
          <cell r="D876">
            <v>3.3728000000000001E-2</v>
          </cell>
        </row>
        <row r="877">
          <cell r="A877" t="str">
            <v>LM7S(1)</v>
          </cell>
          <cell r="B877">
            <v>5000</v>
          </cell>
          <cell r="C877">
            <v>720</v>
          </cell>
          <cell r="D877">
            <v>3.3728000000000001E-2</v>
          </cell>
        </row>
        <row r="878">
          <cell r="A878" t="str">
            <v>M2</v>
          </cell>
          <cell r="B878">
            <v>400</v>
          </cell>
          <cell r="D878">
            <v>7.7019536822819652E-4</v>
          </cell>
        </row>
        <row r="879">
          <cell r="A879" t="str">
            <v>M25</v>
          </cell>
          <cell r="B879">
            <v>500</v>
          </cell>
          <cell r="D879">
            <v>1.2667686977437444E-3</v>
          </cell>
        </row>
        <row r="880">
          <cell r="A880" t="str">
            <v>M3</v>
          </cell>
          <cell r="B880">
            <v>700</v>
          </cell>
          <cell r="D880">
            <v>2.1889763097011901E-3</v>
          </cell>
        </row>
        <row r="881">
          <cell r="A881" t="str">
            <v>M4</v>
          </cell>
          <cell r="B881">
            <v>1350</v>
          </cell>
          <cell r="D881">
            <v>4.7022454060247779E-3</v>
          </cell>
        </row>
        <row r="882">
          <cell r="A882" t="str">
            <v>M5</v>
          </cell>
          <cell r="B882">
            <v>3000</v>
          </cell>
          <cell r="D882">
            <v>1.0134149581949956E-2</v>
          </cell>
        </row>
        <row r="883">
          <cell r="A883" t="str">
            <v>M6</v>
          </cell>
          <cell r="B883">
            <v>4300</v>
          </cell>
          <cell r="D883">
            <v>1.6417322322758929E-2</v>
          </cell>
        </row>
        <row r="884">
          <cell r="A884" t="str">
            <v>MDLE1L</v>
          </cell>
          <cell r="B884">
            <v>750</v>
          </cell>
        </row>
        <row r="885">
          <cell r="A885" t="str">
            <v>MDLE1M</v>
          </cell>
          <cell r="B885">
            <v>750</v>
          </cell>
        </row>
        <row r="886">
          <cell r="A886" t="str">
            <v>MDLE1XL</v>
          </cell>
          <cell r="B886">
            <v>750</v>
          </cell>
        </row>
        <row r="887">
          <cell r="A887" t="str">
            <v>MDLE1XXL</v>
          </cell>
          <cell r="B887">
            <v>750</v>
          </cell>
        </row>
        <row r="888">
          <cell r="A888" t="str">
            <v>N1</v>
          </cell>
          <cell r="B888">
            <v>6500</v>
          </cell>
          <cell r="D888">
            <v>1.0164000000000001E-2</v>
          </cell>
        </row>
        <row r="889">
          <cell r="A889" t="str">
            <v>ND1</v>
          </cell>
          <cell r="B889">
            <v>3</v>
          </cell>
        </row>
        <row r="890">
          <cell r="A890" t="str">
            <v>OZ4</v>
          </cell>
          <cell r="B890">
            <v>138</v>
          </cell>
          <cell r="D890">
            <v>1.9843999999999997E-2</v>
          </cell>
        </row>
        <row r="891">
          <cell r="A891" t="str">
            <v>P05D</v>
          </cell>
          <cell r="B891">
            <v>8600</v>
          </cell>
          <cell r="C891">
            <v>600</v>
          </cell>
          <cell r="D891">
            <v>2.7703500000000002E-2</v>
          </cell>
        </row>
        <row r="892">
          <cell r="A892" t="str">
            <v>P066D20</v>
          </cell>
          <cell r="B892">
            <v>10600</v>
          </cell>
          <cell r="C892">
            <v>1320</v>
          </cell>
          <cell r="D892">
            <v>2.7132000000000003E-2</v>
          </cell>
        </row>
        <row r="893">
          <cell r="A893" t="str">
            <v>P10D20</v>
          </cell>
          <cell r="B893">
            <v>11800</v>
          </cell>
          <cell r="C893">
            <v>1800</v>
          </cell>
          <cell r="D893">
            <v>3.6431999999999999E-2</v>
          </cell>
        </row>
        <row r="894">
          <cell r="A894" t="str">
            <v>P170</v>
          </cell>
          <cell r="B894">
            <v>15400</v>
          </cell>
          <cell r="C894">
            <v>6300</v>
          </cell>
          <cell r="D894">
            <v>4.0847999999999995E-2</v>
          </cell>
        </row>
        <row r="895">
          <cell r="A895" t="str">
            <v>P1D</v>
          </cell>
          <cell r="B895">
            <v>12200</v>
          </cell>
          <cell r="C895">
            <v>3110.3999999999996</v>
          </cell>
          <cell r="D895">
            <v>3.7562400000000003E-2</v>
          </cell>
        </row>
        <row r="896">
          <cell r="A896" t="str">
            <v>P2D</v>
          </cell>
          <cell r="B896">
            <v>20800</v>
          </cell>
          <cell r="C896">
            <v>2835</v>
          </cell>
          <cell r="D896">
            <v>5.2339199999999989E-2</v>
          </cell>
        </row>
        <row r="897">
          <cell r="A897" t="str">
            <v>P2DB</v>
          </cell>
          <cell r="B897">
            <v>20800</v>
          </cell>
          <cell r="C897">
            <v>2835</v>
          </cell>
          <cell r="D897">
            <v>5.2339199999999989E-2</v>
          </cell>
        </row>
        <row r="898">
          <cell r="A898" t="str">
            <v>P30D</v>
          </cell>
          <cell r="B898">
            <v>16000</v>
          </cell>
          <cell r="C898">
            <v>6480</v>
          </cell>
          <cell r="D898">
            <v>3.6079999999999994E-2</v>
          </cell>
        </row>
        <row r="899">
          <cell r="A899" t="str">
            <v>P40B25</v>
          </cell>
          <cell r="B899">
            <v>10800</v>
          </cell>
          <cell r="C899">
            <v>4000</v>
          </cell>
          <cell r="D899">
            <v>2.3552E-2</v>
          </cell>
        </row>
        <row r="900">
          <cell r="A900" t="str">
            <v>P40C25</v>
          </cell>
          <cell r="B900">
            <v>9100</v>
          </cell>
          <cell r="C900">
            <v>4000</v>
          </cell>
          <cell r="D900">
            <v>2.3552E-2</v>
          </cell>
        </row>
        <row r="901">
          <cell r="A901" t="str">
            <v>P40MO25</v>
          </cell>
          <cell r="B901">
            <v>9700</v>
          </cell>
          <cell r="C901">
            <v>4000</v>
          </cell>
          <cell r="D901">
            <v>2.3552E-2</v>
          </cell>
        </row>
        <row r="902">
          <cell r="A902" t="str">
            <v>P40Z25</v>
          </cell>
          <cell r="B902">
            <v>10800</v>
          </cell>
          <cell r="C902">
            <v>4000</v>
          </cell>
          <cell r="D902">
            <v>2.3552E-2</v>
          </cell>
        </row>
        <row r="903">
          <cell r="A903" t="str">
            <v>P40ZL25</v>
          </cell>
          <cell r="B903">
            <v>9700</v>
          </cell>
          <cell r="C903">
            <v>4000</v>
          </cell>
          <cell r="D903">
            <v>2.3552E-2</v>
          </cell>
        </row>
        <row r="904">
          <cell r="A904" t="str">
            <v>P4A(1)</v>
          </cell>
          <cell r="B904">
            <v>22500</v>
          </cell>
          <cell r="C904">
            <v>864</v>
          </cell>
          <cell r="D904">
            <v>3.3639999999999996E-2</v>
          </cell>
        </row>
        <row r="905">
          <cell r="A905" t="str">
            <v>P4B</v>
          </cell>
          <cell r="B905">
            <v>19000</v>
          </cell>
          <cell r="C905">
            <v>688.8</v>
          </cell>
          <cell r="D905">
            <v>2.97913E-2</v>
          </cell>
        </row>
        <row r="906">
          <cell r="A906" t="str">
            <v>P50D</v>
          </cell>
          <cell r="B906">
            <v>13500</v>
          </cell>
          <cell r="C906">
            <v>6000</v>
          </cell>
          <cell r="D906">
            <v>2.9070000000000006E-2</v>
          </cell>
        </row>
        <row r="907">
          <cell r="A907" t="str">
            <v>P5A13</v>
          </cell>
          <cell r="B907">
            <v>15500</v>
          </cell>
          <cell r="C907">
            <v>490.00000000000006</v>
          </cell>
          <cell r="D907">
            <v>2.6400000000000003E-2</v>
          </cell>
        </row>
        <row r="908">
          <cell r="A908" t="str">
            <v>P5D13</v>
          </cell>
          <cell r="B908">
            <v>15500</v>
          </cell>
          <cell r="C908">
            <v>490.00000000000006</v>
          </cell>
          <cell r="D908">
            <v>2.6400000000000003E-2</v>
          </cell>
        </row>
        <row r="909">
          <cell r="A909" t="str">
            <v>P5D13(W)</v>
          </cell>
          <cell r="B909">
            <v>15500</v>
          </cell>
          <cell r="C909">
            <v>490.00000000000006</v>
          </cell>
          <cell r="D909">
            <v>2.6400000000000003E-2</v>
          </cell>
        </row>
        <row r="910">
          <cell r="A910" t="str">
            <v>P5DU</v>
          </cell>
          <cell r="B910">
            <v>11000</v>
          </cell>
          <cell r="C910">
            <v>2400</v>
          </cell>
          <cell r="D910">
            <v>3.3480000000000003E-2</v>
          </cell>
        </row>
        <row r="911">
          <cell r="A911" t="str">
            <v>P5DU13</v>
          </cell>
          <cell r="B911">
            <v>15500</v>
          </cell>
          <cell r="C911">
            <v>490.00000000000006</v>
          </cell>
          <cell r="D911">
            <v>2.6400000000000003E-2</v>
          </cell>
        </row>
        <row r="912">
          <cell r="A912" t="str">
            <v>P5DU13(M)</v>
          </cell>
          <cell r="B912">
            <v>17200</v>
          </cell>
          <cell r="C912">
            <v>490.00000000000006</v>
          </cell>
          <cell r="D912">
            <v>2.6400000000000003E-2</v>
          </cell>
        </row>
        <row r="913">
          <cell r="A913" t="str">
            <v>P60V</v>
          </cell>
          <cell r="B913">
            <v>11500</v>
          </cell>
          <cell r="C913">
            <v>4400</v>
          </cell>
          <cell r="D913">
            <v>4.2139999999999997E-2</v>
          </cell>
        </row>
        <row r="914">
          <cell r="A914" t="str">
            <v>P6A11 E</v>
          </cell>
          <cell r="B914">
            <v>100</v>
          </cell>
          <cell r="D914">
            <v>1.6631999999999999E-5</v>
          </cell>
        </row>
        <row r="915">
          <cell r="A915" t="str">
            <v>P6A13(G)F3</v>
          </cell>
          <cell r="B915">
            <v>25000</v>
          </cell>
          <cell r="C915">
            <v>1200</v>
          </cell>
          <cell r="D915">
            <v>3.8375999999999993E-2</v>
          </cell>
        </row>
        <row r="916">
          <cell r="A916" t="str">
            <v>P6A13(G)F3-1</v>
          </cell>
          <cell r="B916">
            <v>25000</v>
          </cell>
          <cell r="C916">
            <v>1200</v>
          </cell>
          <cell r="D916">
            <v>3.8375999999999993E-2</v>
          </cell>
        </row>
        <row r="917">
          <cell r="A917" t="str">
            <v>P6A13(R)F3</v>
          </cell>
          <cell r="B917">
            <v>25000</v>
          </cell>
          <cell r="C917">
            <v>1200</v>
          </cell>
          <cell r="D917">
            <v>3.8375999999999993E-2</v>
          </cell>
        </row>
        <row r="918">
          <cell r="A918" t="str">
            <v>P6A13(R)F3-1</v>
          </cell>
          <cell r="B918">
            <v>25000</v>
          </cell>
          <cell r="C918">
            <v>1200</v>
          </cell>
          <cell r="D918">
            <v>3.8375999999999993E-2</v>
          </cell>
        </row>
        <row r="919">
          <cell r="A919" t="str">
            <v>P6A14</v>
          </cell>
          <cell r="B919">
            <v>15500</v>
          </cell>
          <cell r="C919">
            <v>300</v>
          </cell>
          <cell r="D919">
            <v>2.4947999999999998E-2</v>
          </cell>
        </row>
        <row r="920">
          <cell r="A920" t="str">
            <v>P6A14F3</v>
          </cell>
          <cell r="B920">
            <v>16500</v>
          </cell>
          <cell r="C920">
            <v>300</v>
          </cell>
          <cell r="D920">
            <v>2.4947999999999998E-2</v>
          </cell>
        </row>
        <row r="921">
          <cell r="A921" t="str">
            <v>P6A14F3(R)</v>
          </cell>
          <cell r="B921">
            <v>15500</v>
          </cell>
          <cell r="C921">
            <v>300</v>
          </cell>
          <cell r="D921">
            <v>2.4947999999999998E-2</v>
          </cell>
        </row>
        <row r="922">
          <cell r="A922" t="str">
            <v>P6AE</v>
          </cell>
          <cell r="B922">
            <v>16000</v>
          </cell>
          <cell r="C922">
            <v>6000</v>
          </cell>
          <cell r="D922">
            <v>3.4680000000000002E-2</v>
          </cell>
        </row>
        <row r="923">
          <cell r="A923" t="str">
            <v>P7A14</v>
          </cell>
          <cell r="B923">
            <v>12000</v>
          </cell>
          <cell r="C923">
            <v>388.8</v>
          </cell>
          <cell r="D923">
            <v>3.47347E-2</v>
          </cell>
        </row>
        <row r="924">
          <cell r="A924" t="str">
            <v>P8DCH</v>
          </cell>
          <cell r="B924">
            <v>14500</v>
          </cell>
          <cell r="C924">
            <v>3240</v>
          </cell>
          <cell r="D924">
            <v>0.13768649999999999</v>
          </cell>
        </row>
        <row r="925">
          <cell r="A925" t="str">
            <v>P8DCH(CH)</v>
          </cell>
          <cell r="B925">
            <v>14500</v>
          </cell>
          <cell r="C925">
            <v>3240</v>
          </cell>
          <cell r="D925">
            <v>0.13768649999999999</v>
          </cell>
        </row>
        <row r="926">
          <cell r="A926" t="str">
            <v>PAL</v>
          </cell>
          <cell r="B926">
            <v>22000</v>
          </cell>
        </row>
        <row r="927">
          <cell r="A927" t="str">
            <v>PB120D</v>
          </cell>
          <cell r="B927">
            <v>30000</v>
          </cell>
          <cell r="C927">
            <v>2000</v>
          </cell>
          <cell r="D927">
            <v>4.4562500000000005E-2</v>
          </cell>
        </row>
        <row r="928">
          <cell r="A928" t="str">
            <v>PB120D E</v>
          </cell>
          <cell r="B928">
            <v>560</v>
          </cell>
          <cell r="D928">
            <v>8.9125000000000012E-4</v>
          </cell>
        </row>
        <row r="929">
          <cell r="A929" t="str">
            <v>PBF2D</v>
          </cell>
          <cell r="B929">
            <v>10000</v>
          </cell>
          <cell r="C929">
            <v>600</v>
          </cell>
          <cell r="D929">
            <v>3.0268E-2</v>
          </cell>
        </row>
        <row r="930">
          <cell r="A930" t="str">
            <v>PK1</v>
          </cell>
        </row>
        <row r="931">
          <cell r="A931" t="str">
            <v>PK2</v>
          </cell>
        </row>
        <row r="932">
          <cell r="A932" t="str">
            <v>PL1CZE</v>
          </cell>
          <cell r="B932">
            <v>3</v>
          </cell>
        </row>
        <row r="933">
          <cell r="A933" t="str">
            <v>PL1DU</v>
          </cell>
          <cell r="B933">
            <v>3</v>
          </cell>
        </row>
        <row r="934">
          <cell r="A934" t="str">
            <v>PL1SVK</v>
          </cell>
          <cell r="B934">
            <v>3</v>
          </cell>
        </row>
        <row r="935">
          <cell r="A935" t="str">
            <v>PL2CZE</v>
          </cell>
          <cell r="B935">
            <v>3</v>
          </cell>
        </row>
        <row r="936">
          <cell r="A936" t="str">
            <v>PL2SVK</v>
          </cell>
          <cell r="B936">
            <v>3</v>
          </cell>
        </row>
        <row r="937">
          <cell r="A937" t="str">
            <v>PLZ420</v>
          </cell>
          <cell r="B937">
            <v>9900</v>
          </cell>
          <cell r="C937">
            <v>840</v>
          </cell>
          <cell r="D937">
            <v>4.8000000000000001E-2</v>
          </cell>
        </row>
        <row r="938">
          <cell r="A938" t="str">
            <v>PPMD1</v>
          </cell>
          <cell r="B938">
            <v>34</v>
          </cell>
        </row>
        <row r="939">
          <cell r="A939" t="str">
            <v>PS05D</v>
          </cell>
          <cell r="B939">
            <v>10000</v>
          </cell>
          <cell r="C939">
            <v>960</v>
          </cell>
          <cell r="D939">
            <v>1.9152000000000002E-2</v>
          </cell>
        </row>
        <row r="940">
          <cell r="A940" t="str">
            <v>PS05D(1)</v>
          </cell>
          <cell r="B940">
            <v>10000</v>
          </cell>
          <cell r="C940">
            <v>960</v>
          </cell>
          <cell r="D940">
            <v>1.9152000000000002E-2</v>
          </cell>
        </row>
        <row r="941">
          <cell r="A941" t="str">
            <v>PS10D10</v>
          </cell>
          <cell r="B941">
            <v>12000</v>
          </cell>
          <cell r="C941">
            <v>900</v>
          </cell>
          <cell r="D941">
            <v>3.0240000000000006E-2</v>
          </cell>
        </row>
        <row r="942">
          <cell r="A942" t="str">
            <v>PS10D10(1)</v>
          </cell>
          <cell r="B942">
            <v>12000</v>
          </cell>
          <cell r="C942">
            <v>900</v>
          </cell>
          <cell r="D942">
            <v>3.0240000000000006E-2</v>
          </cell>
        </row>
        <row r="943">
          <cell r="A943" t="str">
            <v>PSF2D</v>
          </cell>
          <cell r="B943">
            <v>10000</v>
          </cell>
          <cell r="C943">
            <v>210</v>
          </cell>
          <cell r="D943">
            <v>3.0268E-2</v>
          </cell>
        </row>
        <row r="944">
          <cell r="A944" t="str">
            <v>R100M</v>
          </cell>
          <cell r="B944">
            <v>10000</v>
          </cell>
          <cell r="C944">
            <v>1680</v>
          </cell>
          <cell r="D944">
            <v>4.9104000000000002E-2</v>
          </cell>
        </row>
        <row r="945">
          <cell r="A945" t="str">
            <v>R12T1</v>
          </cell>
          <cell r="B945">
            <v>11000</v>
          </cell>
          <cell r="C945">
            <v>1728</v>
          </cell>
          <cell r="D945">
            <v>4.1737500000000004E-2</v>
          </cell>
        </row>
        <row r="946">
          <cell r="A946" t="str">
            <v>R12T3</v>
          </cell>
          <cell r="B946">
            <v>10000</v>
          </cell>
          <cell r="C946">
            <v>2592</v>
          </cell>
          <cell r="D946">
            <v>7.6949999999999991E-2</v>
          </cell>
        </row>
        <row r="947">
          <cell r="A947" t="str">
            <v>R170B</v>
          </cell>
          <cell r="B947">
            <v>18000</v>
          </cell>
          <cell r="C947">
            <v>4680</v>
          </cell>
          <cell r="D947">
            <v>0.15295800000000001</v>
          </cell>
        </row>
        <row r="948">
          <cell r="A948" t="str">
            <v>R170B E</v>
          </cell>
          <cell r="B948">
            <v>1000</v>
          </cell>
          <cell r="D948" t="str">
            <v/>
          </cell>
        </row>
        <row r="949">
          <cell r="A949" t="str">
            <v>R170M</v>
          </cell>
          <cell r="B949">
            <v>10700</v>
          </cell>
          <cell r="C949">
            <v>1920</v>
          </cell>
          <cell r="D949">
            <v>8.4084000000000006E-2</v>
          </cell>
        </row>
        <row r="950">
          <cell r="A950" t="str">
            <v>R170X</v>
          </cell>
          <cell r="B950">
            <v>13000</v>
          </cell>
          <cell r="C950">
            <v>3510</v>
          </cell>
          <cell r="D950">
            <v>0.11372400000000001</v>
          </cell>
        </row>
        <row r="951">
          <cell r="A951" t="str">
            <v>R4420B</v>
          </cell>
          <cell r="B951">
            <v>9664</v>
          </cell>
          <cell r="C951">
            <v>1728</v>
          </cell>
          <cell r="D951">
            <v>2.1160000000000005E-2</v>
          </cell>
        </row>
        <row r="952">
          <cell r="A952" t="str">
            <v>R5410B</v>
          </cell>
          <cell r="B952">
            <v>13600</v>
          </cell>
          <cell r="C952">
            <v>1280</v>
          </cell>
          <cell r="D952">
            <v>3.4720000000000001E-2</v>
          </cell>
        </row>
        <row r="953">
          <cell r="A953" t="str">
            <v>R5420K</v>
          </cell>
          <cell r="B953">
            <v>17000</v>
          </cell>
          <cell r="C953">
            <v>2880</v>
          </cell>
          <cell r="D953">
            <v>3.9200000000000006E-2</v>
          </cell>
        </row>
        <row r="954">
          <cell r="A954" t="str">
            <v>R5808D</v>
          </cell>
          <cell r="B954">
            <v>23532</v>
          </cell>
          <cell r="C954">
            <v>3302.3999999999996</v>
          </cell>
          <cell r="D954">
            <v>4.8960000000000004E-2</v>
          </cell>
        </row>
        <row r="955">
          <cell r="A955" t="str">
            <v>R6008E</v>
          </cell>
          <cell r="B955">
            <v>12016</v>
          </cell>
          <cell r="C955">
            <v>1152</v>
          </cell>
          <cell r="D955">
            <v>2.5325300000000002E-2</v>
          </cell>
        </row>
        <row r="956">
          <cell r="A956" t="str">
            <v>R6008M</v>
          </cell>
          <cell r="B956">
            <v>21000</v>
          </cell>
          <cell r="C956">
            <v>2544</v>
          </cell>
          <cell r="D956">
            <v>4.836E-2</v>
          </cell>
        </row>
        <row r="957">
          <cell r="A957" t="str">
            <v>R6020B</v>
          </cell>
          <cell r="B957">
            <v>16335</v>
          </cell>
          <cell r="C957">
            <v>2400</v>
          </cell>
          <cell r="D957">
            <v>3.5959999999999999E-2</v>
          </cell>
        </row>
        <row r="958">
          <cell r="A958" t="str">
            <v>R6020M</v>
          </cell>
          <cell r="B958">
            <v>19920</v>
          </cell>
          <cell r="C958">
            <v>2880</v>
          </cell>
          <cell r="D958">
            <v>3.9215000000000007E-2</v>
          </cell>
        </row>
        <row r="959">
          <cell r="A959" t="str">
            <v>R6508S</v>
          </cell>
          <cell r="B959">
            <v>21000</v>
          </cell>
          <cell r="C959">
            <v>4608</v>
          </cell>
          <cell r="D959">
            <v>5.2359999999999997E-2</v>
          </cell>
        </row>
        <row r="960">
          <cell r="A960" t="str">
            <v>R6520BK/2</v>
          </cell>
          <cell r="B960">
            <v>15800</v>
          </cell>
          <cell r="C960">
            <v>2400</v>
          </cell>
          <cell r="D960">
            <v>3.6432000000000006E-2</v>
          </cell>
        </row>
        <row r="961">
          <cell r="A961" t="str">
            <v>R7020K</v>
          </cell>
          <cell r="B961">
            <v>21930</v>
          </cell>
          <cell r="C961">
            <v>2880</v>
          </cell>
          <cell r="D961">
            <v>4.6512000000000005E-2</v>
          </cell>
        </row>
        <row r="962">
          <cell r="A962" t="str">
            <v>R7020M</v>
          </cell>
          <cell r="B962">
            <v>21450</v>
          </cell>
          <cell r="C962">
            <v>2880</v>
          </cell>
          <cell r="D962">
            <v>4.7879999999999999E-2</v>
          </cell>
        </row>
        <row r="963">
          <cell r="A963" t="str">
            <v>R7040B</v>
          </cell>
          <cell r="B963">
            <v>15200</v>
          </cell>
          <cell r="C963">
            <v>5184</v>
          </cell>
          <cell r="D963">
            <v>3.8304000000000005E-2</v>
          </cell>
        </row>
        <row r="964">
          <cell r="A964" t="str">
            <v>R7040C</v>
          </cell>
          <cell r="B964">
            <v>12500</v>
          </cell>
          <cell r="C964">
            <v>2592</v>
          </cell>
          <cell r="D964">
            <v>2.1628750000000002E-2</v>
          </cell>
        </row>
        <row r="965">
          <cell r="A965" t="str">
            <v>R7508E</v>
          </cell>
          <cell r="B965">
            <v>25200</v>
          </cell>
          <cell r="C965">
            <v>2304</v>
          </cell>
          <cell r="D965">
            <v>6.0214000000000004E-2</v>
          </cell>
        </row>
        <row r="966">
          <cell r="A966" t="str">
            <v>R7508SIG</v>
          </cell>
          <cell r="B966">
            <v>26500</v>
          </cell>
          <cell r="C966">
            <v>4800</v>
          </cell>
          <cell r="D966">
            <v>6.0214000000000004E-2</v>
          </cell>
        </row>
        <row r="967">
          <cell r="A967" t="str">
            <v>R7538D</v>
          </cell>
          <cell r="B967">
            <v>14000</v>
          </cell>
          <cell r="C967">
            <v>4675</v>
          </cell>
          <cell r="D967">
            <v>3.8962000000000004E-2</v>
          </cell>
        </row>
        <row r="968">
          <cell r="A968" t="str">
            <v>R7538E</v>
          </cell>
          <cell r="B968">
            <v>16650</v>
          </cell>
          <cell r="C968">
            <v>3000</v>
          </cell>
          <cell r="D968">
            <v>3.3956999999999994E-2</v>
          </cell>
        </row>
        <row r="969">
          <cell r="A969" t="str">
            <v>R7538F</v>
          </cell>
          <cell r="B969">
            <v>13500</v>
          </cell>
          <cell r="C969">
            <v>4675</v>
          </cell>
          <cell r="D969">
            <v>3.8962000000000004E-2</v>
          </cell>
        </row>
        <row r="970">
          <cell r="A970" t="str">
            <v>R7538G</v>
          </cell>
          <cell r="B970">
            <v>13500</v>
          </cell>
          <cell r="C970">
            <v>4675</v>
          </cell>
          <cell r="D970">
            <v>3.8962000000000004E-2</v>
          </cell>
        </row>
        <row r="971">
          <cell r="A971" t="str">
            <v>R7538H</v>
          </cell>
          <cell r="B971">
            <v>14000</v>
          </cell>
          <cell r="C971">
            <v>4675</v>
          </cell>
          <cell r="D971">
            <v>3.8962000000000004E-2</v>
          </cell>
        </row>
        <row r="972">
          <cell r="A972" t="str">
            <v>R7538CH</v>
          </cell>
          <cell r="B972">
            <v>12800</v>
          </cell>
          <cell r="C972">
            <v>4675</v>
          </cell>
          <cell r="D972">
            <v>3.8962000000000004E-2</v>
          </cell>
        </row>
        <row r="973">
          <cell r="A973" t="str">
            <v>R7538I</v>
          </cell>
          <cell r="B973">
            <v>16000</v>
          </cell>
          <cell r="C973">
            <v>3000</v>
          </cell>
          <cell r="D973">
            <v>3.3956999999999994E-2</v>
          </cell>
        </row>
        <row r="974">
          <cell r="A974" t="str">
            <v>R7538S</v>
          </cell>
          <cell r="B974">
            <v>15800</v>
          </cell>
          <cell r="C974">
            <v>3750</v>
          </cell>
          <cell r="D974">
            <v>3.3956999999999994E-2</v>
          </cell>
        </row>
        <row r="975">
          <cell r="A975" t="str">
            <v>RB1</v>
          </cell>
          <cell r="B975">
            <v>15500</v>
          </cell>
          <cell r="C975">
            <v>4640</v>
          </cell>
          <cell r="D975">
            <v>8.5176000000000002E-2</v>
          </cell>
        </row>
        <row r="976">
          <cell r="A976" t="str">
            <v>RB1(1)</v>
          </cell>
          <cell r="B976">
            <v>15500</v>
          </cell>
          <cell r="C976">
            <v>4640</v>
          </cell>
          <cell r="D976">
            <v>8.5176000000000002E-2</v>
          </cell>
        </row>
        <row r="977">
          <cell r="A977" t="str">
            <v>RD8</v>
          </cell>
          <cell r="B977">
            <v>7500</v>
          </cell>
          <cell r="C977">
            <v>570</v>
          </cell>
          <cell r="D977">
            <v>8.9055999999999996E-2</v>
          </cell>
        </row>
        <row r="978">
          <cell r="A978" t="str">
            <v>RDG1B</v>
          </cell>
          <cell r="B978">
            <v>8700</v>
          </cell>
          <cell r="C978">
            <v>5000</v>
          </cell>
          <cell r="D978">
            <v>1.7199000000000002E-2</v>
          </cell>
        </row>
        <row r="979">
          <cell r="A979" t="str">
            <v>RDG1B(1)</v>
          </cell>
          <cell r="B979">
            <v>8700</v>
          </cell>
          <cell r="C979">
            <v>5000</v>
          </cell>
          <cell r="D979">
            <v>1.7199000000000002E-2</v>
          </cell>
        </row>
        <row r="980">
          <cell r="A980" t="str">
            <v>RDG1B-P</v>
          </cell>
          <cell r="B980">
            <v>9500</v>
          </cell>
          <cell r="C980">
            <v>2625</v>
          </cell>
          <cell r="D980">
            <v>2.0475E-2</v>
          </cell>
        </row>
        <row r="981">
          <cell r="A981" t="str">
            <v>RDG1B-P(1)</v>
          </cell>
          <cell r="B981">
            <v>9500</v>
          </cell>
          <cell r="C981">
            <v>2625</v>
          </cell>
          <cell r="D981">
            <v>2.0475E-2</v>
          </cell>
        </row>
        <row r="982">
          <cell r="A982" t="str">
            <v>RDG1C</v>
          </cell>
          <cell r="B982">
            <v>8700</v>
          </cell>
          <cell r="C982">
            <v>5000</v>
          </cell>
          <cell r="D982">
            <v>1.7199000000000002E-2</v>
          </cell>
        </row>
        <row r="983">
          <cell r="A983" t="str">
            <v>RDG1C(1)</v>
          </cell>
          <cell r="B983">
            <v>8700</v>
          </cell>
          <cell r="C983">
            <v>5000</v>
          </cell>
          <cell r="D983">
            <v>1.7199000000000002E-2</v>
          </cell>
        </row>
        <row r="984">
          <cell r="A984" t="str">
            <v>RDG1C-P</v>
          </cell>
          <cell r="B984">
            <v>9500</v>
          </cell>
          <cell r="C984">
            <v>2625</v>
          </cell>
          <cell r="D984">
            <v>2.0475E-2</v>
          </cell>
        </row>
        <row r="985">
          <cell r="A985" t="str">
            <v>RDG1M</v>
          </cell>
          <cell r="B985">
            <v>8700</v>
          </cell>
          <cell r="C985">
            <v>5000</v>
          </cell>
          <cell r="D985">
            <v>1.7199000000000002E-2</v>
          </cell>
        </row>
        <row r="986">
          <cell r="A986" t="str">
            <v>RDG1M(1)</v>
          </cell>
          <cell r="B986">
            <v>8700</v>
          </cell>
          <cell r="C986">
            <v>5000</v>
          </cell>
          <cell r="D986">
            <v>1.7199000000000002E-2</v>
          </cell>
        </row>
        <row r="987">
          <cell r="A987" t="str">
            <v>RDG1M-P</v>
          </cell>
          <cell r="B987">
            <v>9500</v>
          </cell>
          <cell r="C987">
            <v>2625</v>
          </cell>
          <cell r="D987">
            <v>2.0475E-2</v>
          </cell>
        </row>
        <row r="988">
          <cell r="A988" t="str">
            <v>RDG1M-P(1)</v>
          </cell>
          <cell r="B988">
            <v>9500</v>
          </cell>
          <cell r="C988">
            <v>2625</v>
          </cell>
          <cell r="D988">
            <v>2.0475E-2</v>
          </cell>
        </row>
        <row r="989">
          <cell r="A989" t="str">
            <v>RDG1O</v>
          </cell>
          <cell r="B989">
            <v>8700</v>
          </cell>
          <cell r="C989">
            <v>5000</v>
          </cell>
          <cell r="D989">
            <v>1.7199000000000002E-2</v>
          </cell>
        </row>
        <row r="990">
          <cell r="A990" t="str">
            <v>RDG1O(1)</v>
          </cell>
          <cell r="B990">
            <v>8700</v>
          </cell>
          <cell r="C990">
            <v>5000</v>
          </cell>
          <cell r="D990">
            <v>1.7199000000000002E-2</v>
          </cell>
        </row>
        <row r="991">
          <cell r="A991" t="str">
            <v>RDG1O-P</v>
          </cell>
          <cell r="B991">
            <v>9500</v>
          </cell>
          <cell r="C991">
            <v>2625</v>
          </cell>
          <cell r="D991">
            <v>2.0475E-2</v>
          </cell>
        </row>
        <row r="992">
          <cell r="A992" t="str">
            <v>RDG1O-P(1)</v>
          </cell>
          <cell r="B992">
            <v>9500</v>
          </cell>
          <cell r="C992">
            <v>2625</v>
          </cell>
          <cell r="D992">
            <v>2.0475E-2</v>
          </cell>
        </row>
        <row r="993">
          <cell r="A993" t="str">
            <v>RDG1ZE</v>
          </cell>
          <cell r="B993">
            <v>8700</v>
          </cell>
          <cell r="C993">
            <v>5000</v>
          </cell>
          <cell r="D993">
            <v>1.7199000000000002E-2</v>
          </cell>
        </row>
        <row r="994">
          <cell r="A994" t="str">
            <v>RDG1ZE(1)</v>
          </cell>
          <cell r="B994">
            <v>8700</v>
          </cell>
          <cell r="C994">
            <v>5000</v>
          </cell>
          <cell r="D994">
            <v>1.7199000000000002E-2</v>
          </cell>
        </row>
        <row r="995">
          <cell r="A995" t="str">
            <v>RDG1ZE-P</v>
          </cell>
          <cell r="B995">
            <v>9500</v>
          </cell>
          <cell r="C995">
            <v>2625</v>
          </cell>
          <cell r="D995">
            <v>2.0475E-2</v>
          </cell>
        </row>
        <row r="996">
          <cell r="A996" t="str">
            <v>RDG1ZE-P(1)</v>
          </cell>
          <cell r="B996">
            <v>9500</v>
          </cell>
          <cell r="C996">
            <v>2625</v>
          </cell>
          <cell r="D996">
            <v>2.0475E-2</v>
          </cell>
        </row>
        <row r="997">
          <cell r="A997" t="str">
            <v>RDG1ZL</v>
          </cell>
          <cell r="B997">
            <v>8700</v>
          </cell>
          <cell r="C997">
            <v>5000</v>
          </cell>
          <cell r="D997">
            <v>1.7199000000000002E-2</v>
          </cell>
        </row>
        <row r="998">
          <cell r="A998" t="str">
            <v>RDG1ZL(1)</v>
          </cell>
          <cell r="B998">
            <v>8700</v>
          </cell>
          <cell r="C998">
            <v>5000</v>
          </cell>
          <cell r="D998">
            <v>1.7199000000000002E-2</v>
          </cell>
        </row>
        <row r="999">
          <cell r="A999" t="str">
            <v>RDG1ZL-P</v>
          </cell>
          <cell r="B999">
            <v>9500</v>
          </cell>
          <cell r="C999">
            <v>2625</v>
          </cell>
          <cell r="D999">
            <v>2.0475E-2</v>
          </cell>
        </row>
        <row r="1000">
          <cell r="A1000" t="str">
            <v>RDG1ZL-P(1)</v>
          </cell>
          <cell r="B1000">
            <v>9500</v>
          </cell>
          <cell r="C1000">
            <v>2625</v>
          </cell>
          <cell r="D1000">
            <v>2.0475E-2</v>
          </cell>
        </row>
        <row r="1001">
          <cell r="A1001" t="str">
            <v>RDG25B</v>
          </cell>
          <cell r="B1001">
            <v>14500</v>
          </cell>
          <cell r="C1001">
            <v>4500</v>
          </cell>
          <cell r="D1001">
            <v>3.1850000000000003E-2</v>
          </cell>
        </row>
        <row r="1002">
          <cell r="A1002" t="str">
            <v>RDG25C</v>
          </cell>
          <cell r="B1002">
            <v>16000</v>
          </cell>
          <cell r="C1002">
            <v>4500</v>
          </cell>
          <cell r="D1002">
            <v>3.1850000000000003E-2</v>
          </cell>
        </row>
        <row r="1003">
          <cell r="A1003" t="str">
            <v>RDG25CER</v>
          </cell>
          <cell r="B1003">
            <v>15000</v>
          </cell>
          <cell r="C1003">
            <v>4500</v>
          </cell>
          <cell r="D1003">
            <v>3.1850000000000003E-2</v>
          </cell>
        </row>
        <row r="1004">
          <cell r="A1004" t="str">
            <v>RDG25M</v>
          </cell>
          <cell r="B1004">
            <v>16000</v>
          </cell>
          <cell r="C1004">
            <v>4500</v>
          </cell>
          <cell r="D1004">
            <v>3.1850000000000003E-2</v>
          </cell>
        </row>
        <row r="1005">
          <cell r="A1005" t="str">
            <v>RDG25O</v>
          </cell>
          <cell r="B1005">
            <v>16500</v>
          </cell>
          <cell r="C1005">
            <v>4500</v>
          </cell>
          <cell r="D1005">
            <v>3.1850000000000003E-2</v>
          </cell>
        </row>
        <row r="1006">
          <cell r="A1006" t="str">
            <v>RDG25ZE</v>
          </cell>
          <cell r="B1006">
            <v>15000</v>
          </cell>
          <cell r="C1006">
            <v>4500</v>
          </cell>
          <cell r="D1006">
            <v>3.1850000000000003E-2</v>
          </cell>
        </row>
        <row r="1007">
          <cell r="A1007" t="str">
            <v>RDG25ZL</v>
          </cell>
          <cell r="B1007">
            <v>16000</v>
          </cell>
          <cell r="C1007">
            <v>4500</v>
          </cell>
          <cell r="D1007">
            <v>3.1850000000000003E-2</v>
          </cell>
        </row>
        <row r="1008">
          <cell r="A1008" t="str">
            <v>RDG2B</v>
          </cell>
          <cell r="B1008">
            <v>17000</v>
          </cell>
          <cell r="C1008">
            <v>12000</v>
          </cell>
          <cell r="D1008">
            <v>3.6358000000000008E-2</v>
          </cell>
        </row>
        <row r="1009">
          <cell r="A1009" t="str">
            <v>RDG2C</v>
          </cell>
          <cell r="B1009">
            <v>17000</v>
          </cell>
          <cell r="C1009">
            <v>12000</v>
          </cell>
          <cell r="D1009">
            <v>3.6358000000000008E-2</v>
          </cell>
        </row>
        <row r="1010">
          <cell r="A1010" t="str">
            <v>RDG2M</v>
          </cell>
          <cell r="B1010">
            <v>17000</v>
          </cell>
          <cell r="C1010">
            <v>12000</v>
          </cell>
          <cell r="D1010">
            <v>3.6358000000000008E-2</v>
          </cell>
        </row>
        <row r="1011">
          <cell r="A1011" t="str">
            <v>RDG60B</v>
          </cell>
          <cell r="B1011">
            <v>14500</v>
          </cell>
          <cell r="C1011">
            <v>3200</v>
          </cell>
          <cell r="D1011">
            <v>3.1122E-2</v>
          </cell>
        </row>
        <row r="1012">
          <cell r="A1012" t="str">
            <v>RDG60B(SH)</v>
          </cell>
          <cell r="B1012">
            <v>12000</v>
          </cell>
          <cell r="C1012">
            <v>2500</v>
          </cell>
          <cell r="D1012">
            <v>3.6141499999999993E-2</v>
          </cell>
        </row>
        <row r="1013">
          <cell r="A1013" t="str">
            <v>RDG60C</v>
          </cell>
          <cell r="B1013">
            <v>14500</v>
          </cell>
          <cell r="C1013">
            <v>3200</v>
          </cell>
          <cell r="D1013">
            <v>3.1122E-2</v>
          </cell>
        </row>
        <row r="1014">
          <cell r="A1014" t="str">
            <v>RDG60C(SH)</v>
          </cell>
          <cell r="B1014">
            <v>12000</v>
          </cell>
          <cell r="C1014">
            <v>2500</v>
          </cell>
          <cell r="D1014">
            <v>3.6141499999999993E-2</v>
          </cell>
        </row>
        <row r="1015">
          <cell r="A1015" t="str">
            <v>RDG60CER</v>
          </cell>
          <cell r="B1015">
            <v>14500</v>
          </cell>
          <cell r="C1015">
            <v>3200</v>
          </cell>
          <cell r="D1015">
            <v>3.1122E-2</v>
          </cell>
        </row>
        <row r="1016">
          <cell r="A1016" t="str">
            <v>RDG60CER(SH)</v>
          </cell>
          <cell r="B1016">
            <v>13000</v>
          </cell>
          <cell r="C1016">
            <v>2500</v>
          </cell>
          <cell r="D1016">
            <v>3.6141499999999993E-2</v>
          </cell>
        </row>
        <row r="1017">
          <cell r="A1017" t="str">
            <v>RDG60M</v>
          </cell>
          <cell r="B1017">
            <v>14500</v>
          </cell>
          <cell r="C1017">
            <v>3200</v>
          </cell>
          <cell r="D1017">
            <v>3.1122E-2</v>
          </cell>
        </row>
        <row r="1018">
          <cell r="A1018" t="str">
            <v>RDG60M(SH)</v>
          </cell>
          <cell r="B1018">
            <v>12000</v>
          </cell>
          <cell r="C1018">
            <v>2500</v>
          </cell>
          <cell r="D1018">
            <v>3.6141499999999993E-2</v>
          </cell>
        </row>
        <row r="1019">
          <cell r="A1019" t="str">
            <v>RDG60O</v>
          </cell>
          <cell r="B1019">
            <v>14500</v>
          </cell>
          <cell r="C1019">
            <v>3200</v>
          </cell>
          <cell r="D1019">
            <v>3.1122E-2</v>
          </cell>
        </row>
        <row r="1020">
          <cell r="A1020" t="str">
            <v>RDG60O(SH)</v>
          </cell>
          <cell r="B1020">
            <v>12000</v>
          </cell>
          <cell r="C1020">
            <v>2500</v>
          </cell>
          <cell r="D1020">
            <v>3.6141499999999993E-2</v>
          </cell>
        </row>
        <row r="1021">
          <cell r="A1021" t="str">
            <v>RDG60R(SH)</v>
          </cell>
          <cell r="B1021">
            <v>12000</v>
          </cell>
          <cell r="C1021">
            <v>2500</v>
          </cell>
          <cell r="D1021">
            <v>3.6141499999999993E-2</v>
          </cell>
        </row>
        <row r="1022">
          <cell r="A1022" t="str">
            <v>RDG60ZE</v>
          </cell>
          <cell r="B1022">
            <v>14500</v>
          </cell>
          <cell r="C1022">
            <v>3200</v>
          </cell>
          <cell r="D1022">
            <v>3.1122E-2</v>
          </cell>
        </row>
        <row r="1023">
          <cell r="A1023" t="str">
            <v>RDG60ZE(SH)</v>
          </cell>
          <cell r="B1023">
            <v>12000</v>
          </cell>
          <cell r="C1023">
            <v>2500</v>
          </cell>
          <cell r="D1023">
            <v>3.6141499999999993E-2</v>
          </cell>
        </row>
        <row r="1024">
          <cell r="A1024" t="str">
            <v>RDG60ZL</v>
          </cell>
          <cell r="B1024">
            <v>14500</v>
          </cell>
          <cell r="C1024">
            <v>3200</v>
          </cell>
          <cell r="D1024">
            <v>3.1122E-2</v>
          </cell>
        </row>
        <row r="1025">
          <cell r="A1025" t="str">
            <v>RDG60ZL(SH)</v>
          </cell>
          <cell r="B1025">
            <v>12000</v>
          </cell>
          <cell r="C1025">
            <v>2500</v>
          </cell>
          <cell r="D1025">
            <v>3.6141499999999993E-2</v>
          </cell>
        </row>
        <row r="1026">
          <cell r="A1026" t="str">
            <v>RDP60C</v>
          </cell>
          <cell r="B1026">
            <v>16500</v>
          </cell>
          <cell r="C1026">
            <v>4500</v>
          </cell>
          <cell r="D1026">
            <v>5.7330000000000013E-2</v>
          </cell>
        </row>
        <row r="1027">
          <cell r="A1027" t="str">
            <v>RDP60CER</v>
          </cell>
          <cell r="B1027">
            <v>16500</v>
          </cell>
          <cell r="C1027">
            <v>4500</v>
          </cell>
          <cell r="D1027">
            <v>5.7330000000000013E-2</v>
          </cell>
        </row>
        <row r="1028">
          <cell r="A1028" t="str">
            <v>RDP60M</v>
          </cell>
          <cell r="B1028">
            <v>16500</v>
          </cell>
          <cell r="C1028">
            <v>4500</v>
          </cell>
          <cell r="D1028">
            <v>5.7330000000000013E-2</v>
          </cell>
        </row>
        <row r="1029">
          <cell r="A1029" t="str">
            <v>RDP60O</v>
          </cell>
          <cell r="B1029">
            <v>16500</v>
          </cell>
          <cell r="C1029">
            <v>4500</v>
          </cell>
          <cell r="D1029">
            <v>5.7330000000000013E-2</v>
          </cell>
        </row>
        <row r="1030">
          <cell r="A1030" t="str">
            <v>RP2</v>
          </cell>
          <cell r="B1030">
            <v>6200</v>
          </cell>
          <cell r="C1030">
            <v>1800</v>
          </cell>
          <cell r="D1030">
            <v>1.6704E-2</v>
          </cell>
        </row>
        <row r="1031">
          <cell r="A1031" t="str">
            <v>RP5DU14</v>
          </cell>
          <cell r="B1031">
            <v>9000</v>
          </cell>
          <cell r="C1031">
            <v>2000</v>
          </cell>
          <cell r="D1031">
            <v>1.3596E-2</v>
          </cell>
        </row>
        <row r="1032">
          <cell r="A1032" t="str">
            <v>RP5DU14(1)</v>
          </cell>
          <cell r="B1032">
            <v>9000</v>
          </cell>
          <cell r="C1032">
            <v>2000</v>
          </cell>
          <cell r="D1032">
            <v>1.3596E-2</v>
          </cell>
        </row>
        <row r="1033">
          <cell r="A1033" t="str">
            <v>RS1</v>
          </cell>
          <cell r="B1033">
            <v>8920</v>
          </cell>
          <cell r="C1033">
            <v>1440</v>
          </cell>
          <cell r="D1033">
            <v>4.3709999999999999E-2</v>
          </cell>
        </row>
        <row r="1034">
          <cell r="A1034" t="str">
            <v>RS11H</v>
          </cell>
          <cell r="B1034">
            <v>17500</v>
          </cell>
          <cell r="C1034">
            <v>8280</v>
          </cell>
          <cell r="D1034">
            <v>0.10860500000000001</v>
          </cell>
        </row>
        <row r="1035">
          <cell r="A1035" t="str">
            <v>RS18S</v>
          </cell>
          <cell r="B1035">
            <v>22500</v>
          </cell>
          <cell r="C1035">
            <v>10500</v>
          </cell>
          <cell r="D1035">
            <v>0.138432</v>
          </cell>
        </row>
        <row r="1036">
          <cell r="A1036" t="str">
            <v>RS18T</v>
          </cell>
          <cell r="B1036">
            <v>22500</v>
          </cell>
          <cell r="C1036">
            <v>10500</v>
          </cell>
          <cell r="D1036">
            <v>0.138432</v>
          </cell>
        </row>
        <row r="1037">
          <cell r="A1037" t="str">
            <v>RS21Z</v>
          </cell>
          <cell r="B1037">
            <v>10500</v>
          </cell>
          <cell r="C1037">
            <v>3340</v>
          </cell>
          <cell r="D1037">
            <v>7.6960000000000015E-2</v>
          </cell>
        </row>
        <row r="1038">
          <cell r="A1038" t="str">
            <v>RS21Z14</v>
          </cell>
          <cell r="B1038">
            <v>10500</v>
          </cell>
          <cell r="C1038">
            <v>2100</v>
          </cell>
          <cell r="D1038">
            <v>7.6960000000000015E-2</v>
          </cell>
        </row>
        <row r="1039">
          <cell r="A1039" t="str">
            <v>RS33R</v>
          </cell>
          <cell r="B1039">
            <v>25300</v>
          </cell>
          <cell r="C1039">
            <v>11796</v>
          </cell>
          <cell r="D1039">
            <v>0.13908399999999999</v>
          </cell>
        </row>
        <row r="1040">
          <cell r="A1040" t="str">
            <v>RS33R E</v>
          </cell>
          <cell r="B1040">
            <v>2000</v>
          </cell>
          <cell r="D1040">
            <v>7.0244444444444445E-4</v>
          </cell>
        </row>
        <row r="1041">
          <cell r="A1041" t="str">
            <v>RS33R14</v>
          </cell>
          <cell r="B1041">
            <v>24500</v>
          </cell>
          <cell r="C1041">
            <v>3960</v>
          </cell>
          <cell r="D1041">
            <v>0.13908399999999999</v>
          </cell>
        </row>
        <row r="1042">
          <cell r="A1042" t="str">
            <v>RS4D</v>
          </cell>
          <cell r="B1042">
            <v>10500</v>
          </cell>
          <cell r="C1042">
            <v>3840</v>
          </cell>
          <cell r="D1042">
            <v>5.8589999999999996E-2</v>
          </cell>
        </row>
        <row r="1043">
          <cell r="A1043" t="str">
            <v>RS4H14</v>
          </cell>
          <cell r="B1043">
            <v>11700</v>
          </cell>
          <cell r="C1043">
            <v>4000</v>
          </cell>
          <cell r="D1043">
            <v>5.4567000000000004E-2</v>
          </cell>
        </row>
        <row r="1044">
          <cell r="A1044" t="str">
            <v>RS5DU</v>
          </cell>
          <cell r="B1044">
            <v>10600</v>
          </cell>
          <cell r="C1044">
            <v>2000</v>
          </cell>
          <cell r="D1044">
            <v>5.9941999999999995E-2</v>
          </cell>
        </row>
        <row r="1045">
          <cell r="A1045" t="str">
            <v>RS6NO14</v>
          </cell>
          <cell r="B1045">
            <v>12400</v>
          </cell>
          <cell r="C1045">
            <v>2160</v>
          </cell>
          <cell r="D1045">
            <v>0.10231199999999999</v>
          </cell>
        </row>
        <row r="1046">
          <cell r="A1046" t="str">
            <v>RS6O</v>
          </cell>
          <cell r="B1046">
            <v>4500</v>
          </cell>
          <cell r="C1046">
            <v>1500</v>
          </cell>
          <cell r="D1046">
            <v>2.3099999999999999E-2</v>
          </cell>
        </row>
        <row r="1047">
          <cell r="A1047" t="str">
            <v>RS6P</v>
          </cell>
          <cell r="B1047">
            <v>6800</v>
          </cell>
          <cell r="C1047">
            <v>1500</v>
          </cell>
          <cell r="D1047">
            <v>2.4502500000000007E-2</v>
          </cell>
        </row>
        <row r="1048">
          <cell r="A1048" t="str">
            <v>RS6P E</v>
          </cell>
          <cell r="B1048">
            <v>100</v>
          </cell>
          <cell r="D1048" t="str">
            <v/>
          </cell>
        </row>
        <row r="1049">
          <cell r="A1049" t="str">
            <v>RS6S</v>
          </cell>
          <cell r="B1049">
            <v>5000</v>
          </cell>
          <cell r="C1049">
            <v>1500</v>
          </cell>
          <cell r="D1049">
            <v>2.3099999999999999E-2</v>
          </cell>
        </row>
        <row r="1050">
          <cell r="A1050" t="str">
            <v>RS7MD14</v>
          </cell>
          <cell r="B1050">
            <v>15200</v>
          </cell>
          <cell r="C1050">
            <v>4200</v>
          </cell>
          <cell r="D1050">
            <v>7.2764999999999996E-2</v>
          </cell>
        </row>
        <row r="1051">
          <cell r="A1051" t="str">
            <v>RS7T14</v>
          </cell>
          <cell r="B1051">
            <v>14900</v>
          </cell>
          <cell r="C1051">
            <v>2800</v>
          </cell>
          <cell r="D1051">
            <v>0.116145</v>
          </cell>
        </row>
        <row r="1052">
          <cell r="A1052" t="str">
            <v>RS9BP14</v>
          </cell>
          <cell r="B1052">
            <v>16900</v>
          </cell>
          <cell r="C1052">
            <v>3600</v>
          </cell>
          <cell r="D1052">
            <v>0.10764000000000001</v>
          </cell>
        </row>
        <row r="1053">
          <cell r="A1053" t="str">
            <v>RS9P14</v>
          </cell>
          <cell r="B1053">
            <v>17500</v>
          </cell>
          <cell r="C1053">
            <v>3600</v>
          </cell>
          <cell r="D1053">
            <v>0.10764000000000001</v>
          </cell>
        </row>
        <row r="1054">
          <cell r="A1054" t="str">
            <v>RS9T14</v>
          </cell>
          <cell r="B1054">
            <v>17840</v>
          </cell>
          <cell r="C1054">
            <v>3600</v>
          </cell>
          <cell r="D1054">
            <v>0.10764000000000001</v>
          </cell>
        </row>
        <row r="1055">
          <cell r="A1055" t="str">
            <v>RSD6</v>
          </cell>
          <cell r="B1055">
            <v>5300</v>
          </cell>
          <cell r="C1055">
            <v>960</v>
          </cell>
          <cell r="D1055">
            <v>3.5776000000000002E-2</v>
          </cell>
        </row>
        <row r="1056">
          <cell r="A1056" t="str">
            <v>RSS100</v>
          </cell>
          <cell r="B1056">
            <v>13400</v>
          </cell>
          <cell r="C1056">
            <v>4000</v>
          </cell>
          <cell r="D1056">
            <v>9.2070000000000013E-2</v>
          </cell>
        </row>
        <row r="1057">
          <cell r="A1057" t="str">
            <v>RSSF2</v>
          </cell>
          <cell r="B1057">
            <v>9000</v>
          </cell>
          <cell r="C1057">
            <v>2600</v>
          </cell>
          <cell r="D1057">
            <v>7.3079999999999992E-2</v>
          </cell>
        </row>
        <row r="1058">
          <cell r="A1058" t="str">
            <v>RSSF2 E</v>
          </cell>
          <cell r="D1058">
            <v>1.8269999999999998E-3</v>
          </cell>
        </row>
        <row r="1059">
          <cell r="A1059" t="str">
            <v>RSSF3</v>
          </cell>
          <cell r="B1059">
            <v>11000</v>
          </cell>
          <cell r="C1059">
            <v>3120</v>
          </cell>
          <cell r="D1059">
            <v>8.4084000000000006E-2</v>
          </cell>
        </row>
        <row r="1060">
          <cell r="A1060" t="str">
            <v>RT1CZE</v>
          </cell>
          <cell r="B1060">
            <v>8200</v>
          </cell>
        </row>
        <row r="1061">
          <cell r="A1061" t="str">
            <v>RT1DU</v>
          </cell>
          <cell r="B1061">
            <v>8200</v>
          </cell>
        </row>
        <row r="1062">
          <cell r="A1062" t="str">
            <v>RT1SK</v>
          </cell>
          <cell r="B1062">
            <v>8200</v>
          </cell>
        </row>
        <row r="1063">
          <cell r="A1063" t="str">
            <v>RUD1</v>
          </cell>
          <cell r="B1063">
            <v>3100</v>
          </cell>
        </row>
        <row r="1064">
          <cell r="A1064" t="str">
            <v>RUN1</v>
          </cell>
          <cell r="B1064">
            <v>3100</v>
          </cell>
        </row>
        <row r="1065">
          <cell r="A1065" t="str">
            <v>RUSIG1</v>
          </cell>
          <cell r="B1065">
            <v>3100</v>
          </cell>
        </row>
        <row r="1066">
          <cell r="A1066" t="str">
            <v>S12S</v>
          </cell>
          <cell r="B1066">
            <v>7000</v>
          </cell>
          <cell r="C1066">
            <v>2688</v>
          </cell>
          <cell r="D1066">
            <v>2.8999999999999998E-2</v>
          </cell>
        </row>
        <row r="1067">
          <cell r="A1067" t="str">
            <v>S12S(1)</v>
          </cell>
          <cell r="B1067">
            <v>7500</v>
          </cell>
          <cell r="C1067">
            <v>2688</v>
          </cell>
          <cell r="D1067">
            <v>2.8999999999999998E-2</v>
          </cell>
        </row>
        <row r="1068">
          <cell r="A1068" t="str">
            <v>S2M</v>
          </cell>
          <cell r="B1068">
            <v>12000</v>
          </cell>
          <cell r="C1068">
            <v>7200</v>
          </cell>
          <cell r="D1068">
            <v>4.0500000000000008E-2</v>
          </cell>
        </row>
        <row r="1069">
          <cell r="A1069" t="str">
            <v>S2MM</v>
          </cell>
          <cell r="B1069">
            <v>13000</v>
          </cell>
          <cell r="C1069">
            <v>3960</v>
          </cell>
          <cell r="D1069">
            <v>9.2663999999999996E-2</v>
          </cell>
        </row>
        <row r="1070">
          <cell r="A1070" t="str">
            <v>S3A/P</v>
          </cell>
          <cell r="B1070">
            <v>15000</v>
          </cell>
          <cell r="C1070">
            <v>10800</v>
          </cell>
          <cell r="D1070">
            <v>5.0625000000000003E-2</v>
          </cell>
        </row>
        <row r="1071">
          <cell r="A1071" t="str">
            <v>S3B/P</v>
          </cell>
          <cell r="B1071">
            <v>16500</v>
          </cell>
          <cell r="C1071">
            <v>10800</v>
          </cell>
          <cell r="D1071">
            <v>5.0625000000000003E-2</v>
          </cell>
        </row>
        <row r="1072">
          <cell r="A1072" t="str">
            <v>S3D/P</v>
          </cell>
          <cell r="B1072">
            <v>16000</v>
          </cell>
          <cell r="C1072">
            <v>10800</v>
          </cell>
          <cell r="D1072">
            <v>5.0625000000000003E-2</v>
          </cell>
        </row>
        <row r="1073">
          <cell r="A1073" t="str">
            <v>S3F/P</v>
          </cell>
          <cell r="B1073">
            <v>15500</v>
          </cell>
          <cell r="C1073">
            <v>10800</v>
          </cell>
          <cell r="D1073">
            <v>5.0625000000000003E-2</v>
          </cell>
        </row>
        <row r="1074">
          <cell r="A1074" t="str">
            <v>S3IA/P</v>
          </cell>
          <cell r="B1074">
            <v>15100</v>
          </cell>
          <cell r="C1074">
            <v>10800</v>
          </cell>
          <cell r="D1074">
            <v>5.0625000000000003E-2</v>
          </cell>
        </row>
        <row r="1075">
          <cell r="A1075" t="str">
            <v>S3J/P</v>
          </cell>
          <cell r="B1075">
            <v>15000</v>
          </cell>
          <cell r="C1075">
            <v>10800</v>
          </cell>
          <cell r="D1075">
            <v>5.0625000000000003E-2</v>
          </cell>
        </row>
        <row r="1076">
          <cell r="A1076" t="str">
            <v>S3M/P</v>
          </cell>
          <cell r="B1076">
            <v>15600</v>
          </cell>
          <cell r="C1076">
            <v>10800</v>
          </cell>
          <cell r="D1076">
            <v>5.0625000000000003E-2</v>
          </cell>
        </row>
        <row r="1077">
          <cell r="A1077" t="str">
            <v>S3N/P</v>
          </cell>
          <cell r="B1077">
            <v>15300</v>
          </cell>
          <cell r="C1077">
            <v>10800</v>
          </cell>
          <cell r="D1077">
            <v>5.0625000000000003E-2</v>
          </cell>
        </row>
        <row r="1078">
          <cell r="A1078" t="str">
            <v>S3P/P</v>
          </cell>
          <cell r="B1078">
            <v>16000</v>
          </cell>
          <cell r="C1078">
            <v>10800</v>
          </cell>
          <cell r="D1078">
            <v>5.0625000000000003E-2</v>
          </cell>
        </row>
        <row r="1079">
          <cell r="A1079" t="str">
            <v>S3S/P</v>
          </cell>
          <cell r="B1079">
            <v>16000</v>
          </cell>
          <cell r="C1079">
            <v>10800</v>
          </cell>
          <cell r="D1079">
            <v>5.0625000000000003E-2</v>
          </cell>
        </row>
        <row r="1080">
          <cell r="A1080" t="str">
            <v>S3W/P</v>
          </cell>
          <cell r="B1080">
            <v>16300</v>
          </cell>
          <cell r="C1080">
            <v>10800</v>
          </cell>
          <cell r="D1080">
            <v>5.0625000000000003E-2</v>
          </cell>
        </row>
        <row r="1081">
          <cell r="A1081" t="str">
            <v>S3X/P</v>
          </cell>
          <cell r="B1081">
            <v>16000</v>
          </cell>
          <cell r="C1081">
            <v>10800</v>
          </cell>
          <cell r="D1081">
            <v>5.0625000000000003E-2</v>
          </cell>
        </row>
        <row r="1082">
          <cell r="A1082" t="str">
            <v>S4C/P</v>
          </cell>
          <cell r="B1082">
            <v>15700</v>
          </cell>
          <cell r="C1082">
            <v>10800</v>
          </cell>
          <cell r="D1082">
            <v>5.0592000000000005E-2</v>
          </cell>
        </row>
        <row r="1083">
          <cell r="A1083" t="str">
            <v>S4F/P</v>
          </cell>
          <cell r="B1083">
            <v>15500</v>
          </cell>
          <cell r="C1083">
            <v>10800</v>
          </cell>
          <cell r="D1083">
            <v>5.0592000000000005E-2</v>
          </cell>
        </row>
        <row r="1084">
          <cell r="A1084" t="str">
            <v>S4J/P</v>
          </cell>
          <cell r="B1084">
            <v>16500</v>
          </cell>
          <cell r="C1084">
            <v>10800</v>
          </cell>
          <cell r="D1084">
            <v>5.0592000000000005E-2</v>
          </cell>
        </row>
        <row r="1085">
          <cell r="A1085" t="str">
            <v>S4K/P</v>
          </cell>
          <cell r="B1085">
            <v>17600</v>
          </cell>
          <cell r="C1085">
            <v>10800</v>
          </cell>
          <cell r="D1085">
            <v>5.0592000000000005E-2</v>
          </cell>
        </row>
        <row r="1086">
          <cell r="A1086" t="str">
            <v>S4L/P</v>
          </cell>
          <cell r="B1086">
            <v>17300</v>
          </cell>
          <cell r="C1086">
            <v>10800</v>
          </cell>
          <cell r="D1086">
            <v>5.0592000000000005E-2</v>
          </cell>
        </row>
        <row r="1087">
          <cell r="A1087" t="str">
            <v>S4M/P</v>
          </cell>
          <cell r="B1087">
            <v>17500</v>
          </cell>
          <cell r="C1087">
            <v>10800</v>
          </cell>
          <cell r="D1087">
            <v>5.0592000000000005E-2</v>
          </cell>
        </row>
        <row r="1088">
          <cell r="A1088" t="str">
            <v>S4NA/P</v>
          </cell>
          <cell r="B1088">
            <v>15200</v>
          </cell>
          <cell r="C1088">
            <v>10800</v>
          </cell>
          <cell r="D1088">
            <v>5.0592000000000005E-2</v>
          </cell>
        </row>
        <row r="1089">
          <cell r="A1089" t="str">
            <v>S4O/P</v>
          </cell>
          <cell r="B1089">
            <v>16500</v>
          </cell>
          <cell r="C1089">
            <v>10800</v>
          </cell>
          <cell r="D1089">
            <v>5.0592000000000005E-2</v>
          </cell>
        </row>
        <row r="1090">
          <cell r="A1090" t="str">
            <v>S4P/P</v>
          </cell>
          <cell r="B1090">
            <v>16700</v>
          </cell>
          <cell r="C1090">
            <v>10800</v>
          </cell>
          <cell r="D1090">
            <v>5.0592000000000005E-2</v>
          </cell>
        </row>
        <row r="1091">
          <cell r="A1091" t="str">
            <v>S4Q/P</v>
          </cell>
          <cell r="B1091">
            <v>15000</v>
          </cell>
          <cell r="C1091">
            <v>10800</v>
          </cell>
          <cell r="D1091">
            <v>5.0592000000000005E-2</v>
          </cell>
        </row>
        <row r="1092">
          <cell r="A1092" t="str">
            <v>S4S/P</v>
          </cell>
          <cell r="B1092">
            <v>18400</v>
          </cell>
          <cell r="C1092">
            <v>10800</v>
          </cell>
          <cell r="D1092">
            <v>5.0592000000000005E-2</v>
          </cell>
        </row>
        <row r="1093">
          <cell r="A1093" t="str">
            <v>S4T</v>
          </cell>
          <cell r="B1093">
            <v>13600</v>
          </cell>
          <cell r="C1093">
            <v>10800</v>
          </cell>
          <cell r="D1093">
            <v>5.0592000000000005E-2</v>
          </cell>
        </row>
        <row r="1094">
          <cell r="A1094" t="str">
            <v>S4U/P</v>
          </cell>
          <cell r="B1094">
            <v>16500</v>
          </cell>
          <cell r="C1094">
            <v>10800</v>
          </cell>
          <cell r="D1094">
            <v>5.0592000000000005E-2</v>
          </cell>
        </row>
        <row r="1095">
          <cell r="A1095" t="str">
            <v>S4W/P</v>
          </cell>
          <cell r="B1095">
            <v>16500</v>
          </cell>
          <cell r="C1095">
            <v>10800</v>
          </cell>
          <cell r="D1095">
            <v>5.0592000000000005E-2</v>
          </cell>
        </row>
        <row r="1096">
          <cell r="A1096" t="str">
            <v>S4Z11/P</v>
          </cell>
          <cell r="B1096">
            <v>16600</v>
          </cell>
          <cell r="C1096">
            <v>10800</v>
          </cell>
          <cell r="D1096">
            <v>5.0592000000000005E-2</v>
          </cell>
        </row>
        <row r="1097">
          <cell r="A1097" t="str">
            <v>S4Z12/P</v>
          </cell>
          <cell r="B1097">
            <v>16600</v>
          </cell>
          <cell r="C1097">
            <v>10800</v>
          </cell>
          <cell r="D1097">
            <v>5.0592000000000005E-2</v>
          </cell>
        </row>
        <row r="1098">
          <cell r="A1098" t="str">
            <v>S4Z2/P</v>
          </cell>
          <cell r="B1098">
            <v>16600</v>
          </cell>
          <cell r="C1098">
            <v>10800</v>
          </cell>
          <cell r="D1098">
            <v>5.0592000000000005E-2</v>
          </cell>
        </row>
        <row r="1099">
          <cell r="A1099" t="str">
            <v>S4Z3/P</v>
          </cell>
          <cell r="B1099">
            <v>17200</v>
          </cell>
          <cell r="C1099">
            <v>10800</v>
          </cell>
          <cell r="D1099">
            <v>5.0592000000000005E-2</v>
          </cell>
        </row>
        <row r="1100">
          <cell r="A1100" t="str">
            <v>S4Z5/P</v>
          </cell>
          <cell r="B1100">
            <v>15000</v>
          </cell>
          <cell r="C1100">
            <v>10800</v>
          </cell>
          <cell r="D1100">
            <v>5.0592000000000005E-2</v>
          </cell>
        </row>
        <row r="1101">
          <cell r="A1101" t="str">
            <v>S4Z6/P</v>
          </cell>
          <cell r="B1101">
            <v>15000</v>
          </cell>
          <cell r="C1101">
            <v>10800</v>
          </cell>
          <cell r="D1101">
            <v>5.0592000000000005E-2</v>
          </cell>
        </row>
        <row r="1102">
          <cell r="A1102" t="str">
            <v>S4Z7/P</v>
          </cell>
          <cell r="B1102">
            <v>17300</v>
          </cell>
          <cell r="C1102">
            <v>10800</v>
          </cell>
          <cell r="D1102">
            <v>5.0592000000000005E-2</v>
          </cell>
        </row>
        <row r="1103">
          <cell r="A1103" t="str">
            <v>S4Z8/P</v>
          </cell>
          <cell r="B1103">
            <v>17000</v>
          </cell>
          <cell r="C1103">
            <v>10800</v>
          </cell>
          <cell r="D1103">
            <v>5.0592000000000005E-2</v>
          </cell>
        </row>
        <row r="1104">
          <cell r="A1104" t="str">
            <v>S5E/P</v>
          </cell>
          <cell r="B1104">
            <v>12600</v>
          </cell>
          <cell r="C1104">
            <v>9600</v>
          </cell>
          <cell r="D1104">
            <v>3.7128000000000001E-2</v>
          </cell>
        </row>
        <row r="1105">
          <cell r="A1105" t="str">
            <v>S5F/P</v>
          </cell>
          <cell r="B1105">
            <v>13500</v>
          </cell>
          <cell r="C1105">
            <v>9600</v>
          </cell>
          <cell r="D1105">
            <v>3.7128000000000001E-2</v>
          </cell>
        </row>
        <row r="1106">
          <cell r="A1106" t="str">
            <v>S5K/P</v>
          </cell>
          <cell r="B1106">
            <v>14800</v>
          </cell>
          <cell r="C1106">
            <v>9600</v>
          </cell>
          <cell r="D1106">
            <v>3.7128000000000001E-2</v>
          </cell>
        </row>
        <row r="1107">
          <cell r="A1107" t="str">
            <v>S5M/P</v>
          </cell>
          <cell r="B1107">
            <v>14000</v>
          </cell>
          <cell r="C1107">
            <v>9600</v>
          </cell>
          <cell r="D1107">
            <v>3.7128000000000001E-2</v>
          </cell>
        </row>
        <row r="1108">
          <cell r="A1108" t="str">
            <v>S60S</v>
          </cell>
          <cell r="B1108">
            <v>8000</v>
          </cell>
          <cell r="C1108">
            <v>3240</v>
          </cell>
          <cell r="D1108">
            <v>1.1109000000000001E-2</v>
          </cell>
        </row>
        <row r="1109">
          <cell r="A1109" t="str">
            <v>S60SC</v>
          </cell>
          <cell r="B1109">
            <v>7100</v>
          </cell>
          <cell r="C1109">
            <v>1250</v>
          </cell>
          <cell r="D1109">
            <v>1.0367999999999999E-2</v>
          </cell>
        </row>
        <row r="1110">
          <cell r="A1110" t="str">
            <v>S6B/P(9)</v>
          </cell>
          <cell r="B1110">
            <v>12000</v>
          </cell>
          <cell r="C1110">
            <v>9000</v>
          </cell>
          <cell r="D1110">
            <v>4.6575000000000005E-2</v>
          </cell>
        </row>
        <row r="1111">
          <cell r="A1111" t="str">
            <v>S6D/P(9)</v>
          </cell>
          <cell r="B1111">
            <v>12000</v>
          </cell>
          <cell r="C1111">
            <v>9000</v>
          </cell>
          <cell r="D1111">
            <v>4.6575000000000005E-2</v>
          </cell>
        </row>
        <row r="1112">
          <cell r="A1112" t="str">
            <v>S6F/P(9)</v>
          </cell>
          <cell r="B1112">
            <v>12000</v>
          </cell>
          <cell r="C1112">
            <v>9000</v>
          </cell>
          <cell r="D1112">
            <v>4.6575000000000005E-2</v>
          </cell>
        </row>
        <row r="1113">
          <cell r="A1113" t="str">
            <v>S6G/P(9)</v>
          </cell>
          <cell r="B1113">
            <v>12000</v>
          </cell>
          <cell r="C1113">
            <v>9000</v>
          </cell>
          <cell r="D1113">
            <v>4.6575000000000005E-2</v>
          </cell>
        </row>
        <row r="1114">
          <cell r="A1114" t="str">
            <v>S6I/P(9)</v>
          </cell>
          <cell r="B1114">
            <v>12000</v>
          </cell>
          <cell r="C1114">
            <v>9000</v>
          </cell>
          <cell r="D1114">
            <v>4.6575000000000005E-2</v>
          </cell>
        </row>
        <row r="1115">
          <cell r="A1115" t="str">
            <v>S6M</v>
          </cell>
          <cell r="B1115">
            <v>13700</v>
          </cell>
          <cell r="C1115">
            <v>9000</v>
          </cell>
          <cell r="D1115">
            <v>4.6575000000000005E-2</v>
          </cell>
        </row>
        <row r="1116">
          <cell r="A1116" t="str">
            <v>S6R/P(9)</v>
          </cell>
          <cell r="B1116">
            <v>12000</v>
          </cell>
          <cell r="C1116">
            <v>9000</v>
          </cell>
          <cell r="D1116">
            <v>4.6575000000000005E-2</v>
          </cell>
        </row>
        <row r="1117">
          <cell r="A1117" t="str">
            <v>S6Z3/P(9)</v>
          </cell>
          <cell r="B1117">
            <v>12000</v>
          </cell>
          <cell r="C1117">
            <v>9000</v>
          </cell>
          <cell r="D1117">
            <v>4.6575000000000005E-2</v>
          </cell>
        </row>
        <row r="1118">
          <cell r="A1118" t="str">
            <v>S90S</v>
          </cell>
          <cell r="B1118">
            <v>8740</v>
          </cell>
          <cell r="C1118">
            <v>5400</v>
          </cell>
          <cell r="D1118">
            <v>1.1664000000000001E-2</v>
          </cell>
        </row>
        <row r="1119">
          <cell r="A1119" t="str">
            <v>SAMD02</v>
          </cell>
          <cell r="B1119">
            <v>11500</v>
          </cell>
          <cell r="D1119">
            <v>1.6421999999999999E-2</v>
          </cell>
        </row>
        <row r="1120">
          <cell r="A1120" t="str">
            <v>SD2</v>
          </cell>
          <cell r="B1120">
            <v>150</v>
          </cell>
        </row>
        <row r="1121">
          <cell r="A1121" t="str">
            <v>SP3C</v>
          </cell>
          <cell r="B1121">
            <v>20000</v>
          </cell>
          <cell r="C1121">
            <v>8280</v>
          </cell>
          <cell r="D1121">
            <v>0.11070000000000001</v>
          </cell>
        </row>
        <row r="1122">
          <cell r="A1122" t="str">
            <v>SPRS1E</v>
          </cell>
          <cell r="B1122">
            <v>15000</v>
          </cell>
        </row>
        <row r="1123">
          <cell r="A1123" t="str">
            <v>SR1930B</v>
          </cell>
          <cell r="B1123">
            <v>17000</v>
          </cell>
          <cell r="C1123">
            <v>2280</v>
          </cell>
          <cell r="D1123">
            <v>7.1049999999999988E-2</v>
          </cell>
        </row>
        <row r="1124">
          <cell r="A1124" t="str">
            <v>SR1930D</v>
          </cell>
          <cell r="B1124">
            <v>14700</v>
          </cell>
          <cell r="C1124">
            <v>2280</v>
          </cell>
          <cell r="D1124">
            <v>7.1049999999999988E-2</v>
          </cell>
        </row>
        <row r="1125">
          <cell r="A1125" t="str">
            <v>SR1930E</v>
          </cell>
          <cell r="B1125">
            <v>14900</v>
          </cell>
          <cell r="C1125">
            <v>2280</v>
          </cell>
          <cell r="D1125">
            <v>7.1049999999999988E-2</v>
          </cell>
        </row>
        <row r="1126">
          <cell r="A1126" t="str">
            <v>SR1930G</v>
          </cell>
          <cell r="B1126">
            <v>17000</v>
          </cell>
          <cell r="C1126">
            <v>2280</v>
          </cell>
          <cell r="D1126">
            <v>7.1049999999999988E-2</v>
          </cell>
        </row>
        <row r="1127">
          <cell r="A1127" t="str">
            <v>SR1930H</v>
          </cell>
          <cell r="B1127">
            <v>17000</v>
          </cell>
          <cell r="C1127">
            <v>2280</v>
          </cell>
          <cell r="D1127">
            <v>7.1049999999999988E-2</v>
          </cell>
        </row>
        <row r="1128">
          <cell r="A1128" t="str">
            <v>SR1930CH</v>
          </cell>
          <cell r="B1128">
            <v>17000</v>
          </cell>
          <cell r="C1128">
            <v>2280</v>
          </cell>
          <cell r="D1128">
            <v>7.1049999999999988E-2</v>
          </cell>
        </row>
        <row r="1129">
          <cell r="A1129" t="str">
            <v>SR1930I</v>
          </cell>
          <cell r="B1129">
            <v>17000</v>
          </cell>
          <cell r="C1129">
            <v>2280</v>
          </cell>
          <cell r="D1129">
            <v>7.1049999999999988E-2</v>
          </cell>
        </row>
        <row r="1130">
          <cell r="A1130" t="str">
            <v>SR1930J</v>
          </cell>
          <cell r="B1130">
            <v>17000</v>
          </cell>
          <cell r="C1130">
            <v>2280</v>
          </cell>
          <cell r="D1130">
            <v>7.1049999999999988E-2</v>
          </cell>
        </row>
        <row r="1131">
          <cell r="A1131" t="str">
            <v>SR1930K</v>
          </cell>
          <cell r="B1131">
            <v>17000</v>
          </cell>
          <cell r="C1131">
            <v>2280</v>
          </cell>
          <cell r="D1131">
            <v>7.1049999999999988E-2</v>
          </cell>
        </row>
        <row r="1132">
          <cell r="A1132" t="str">
            <v>SR1930L</v>
          </cell>
          <cell r="B1132">
            <v>15500</v>
          </cell>
          <cell r="C1132">
            <v>2280</v>
          </cell>
          <cell r="D1132">
            <v>7.1049999999999988E-2</v>
          </cell>
        </row>
        <row r="1133">
          <cell r="A1133" t="str">
            <v>SR1930M</v>
          </cell>
          <cell r="B1133">
            <v>15500</v>
          </cell>
          <cell r="C1133">
            <v>2280</v>
          </cell>
          <cell r="D1133">
            <v>7.1049999999999988E-2</v>
          </cell>
        </row>
        <row r="1134">
          <cell r="A1134" t="str">
            <v>SR1930O</v>
          </cell>
          <cell r="B1134">
            <v>17000</v>
          </cell>
          <cell r="C1134">
            <v>2280</v>
          </cell>
          <cell r="D1134">
            <v>7.1049999999999988E-2</v>
          </cell>
        </row>
        <row r="1135">
          <cell r="A1135" t="str">
            <v>SR1930R</v>
          </cell>
          <cell r="B1135">
            <v>17000</v>
          </cell>
          <cell r="C1135">
            <v>2280</v>
          </cell>
          <cell r="D1135">
            <v>7.1049999999999988E-2</v>
          </cell>
        </row>
        <row r="1136">
          <cell r="A1136" t="str">
            <v>SR1930S</v>
          </cell>
          <cell r="B1136">
            <v>17000</v>
          </cell>
          <cell r="C1136">
            <v>2280</v>
          </cell>
          <cell r="D1136">
            <v>7.1049999999999988E-2</v>
          </cell>
        </row>
        <row r="1137">
          <cell r="A1137" t="str">
            <v>SR550F</v>
          </cell>
          <cell r="B1137">
            <v>12000</v>
          </cell>
          <cell r="C1137">
            <v>1500</v>
          </cell>
          <cell r="D1137">
            <v>5.6628000000000005E-2</v>
          </cell>
        </row>
        <row r="1138">
          <cell r="A1138" t="str">
            <v>SR550H</v>
          </cell>
          <cell r="B1138">
            <v>12000</v>
          </cell>
          <cell r="C1138">
            <v>1500</v>
          </cell>
          <cell r="D1138">
            <v>5.6628000000000005E-2</v>
          </cell>
        </row>
        <row r="1139">
          <cell r="A1139" t="str">
            <v>SR550CH</v>
          </cell>
          <cell r="B1139">
            <v>10000</v>
          </cell>
          <cell r="C1139">
            <v>1500</v>
          </cell>
          <cell r="D1139">
            <v>5.6628000000000005E-2</v>
          </cell>
        </row>
        <row r="1140">
          <cell r="A1140" t="str">
            <v>SS20D</v>
          </cell>
          <cell r="B1140">
            <v>15000</v>
          </cell>
          <cell r="C1140">
            <v>2400</v>
          </cell>
          <cell r="D1140">
            <v>5.9518750000000002E-2</v>
          </cell>
        </row>
        <row r="1141">
          <cell r="A1141" t="str">
            <v>SS25SC</v>
          </cell>
          <cell r="B1141">
            <v>11500</v>
          </cell>
          <cell r="C1141">
            <v>1584</v>
          </cell>
          <cell r="D1141">
            <v>4.3512000000000002E-2</v>
          </cell>
        </row>
        <row r="1142">
          <cell r="A1142" t="str">
            <v>SS30A</v>
          </cell>
          <cell r="B1142">
            <v>17550</v>
          </cell>
          <cell r="C1142">
            <v>2400</v>
          </cell>
          <cell r="D1142">
            <v>6.029099999999999E-2</v>
          </cell>
        </row>
        <row r="1143">
          <cell r="A1143" t="str">
            <v>SS30D</v>
          </cell>
          <cell r="B1143">
            <v>17000</v>
          </cell>
          <cell r="C1143">
            <v>1920</v>
          </cell>
          <cell r="D1143">
            <v>5.994E-2</v>
          </cell>
        </row>
        <row r="1144">
          <cell r="A1144" t="str">
            <v>SS30F</v>
          </cell>
          <cell r="B1144">
            <v>13000</v>
          </cell>
          <cell r="C1144">
            <v>2000</v>
          </cell>
          <cell r="D1144">
            <v>4.5099999999999994E-2</v>
          </cell>
        </row>
        <row r="1145">
          <cell r="A1145" t="str">
            <v>SS30G</v>
          </cell>
          <cell r="B1145">
            <v>13000</v>
          </cell>
          <cell r="C1145">
            <v>2000</v>
          </cell>
          <cell r="D1145">
            <v>4.5099999999999994E-2</v>
          </cell>
        </row>
        <row r="1146">
          <cell r="A1146" t="str">
            <v>SS30H</v>
          </cell>
          <cell r="B1146">
            <v>11900</v>
          </cell>
          <cell r="C1146">
            <v>2000</v>
          </cell>
          <cell r="D1146">
            <v>4.5099999999999994E-2</v>
          </cell>
        </row>
        <row r="1147">
          <cell r="A1147" t="str">
            <v>SS30CH</v>
          </cell>
          <cell r="B1147">
            <v>12000</v>
          </cell>
          <cell r="C1147">
            <v>2000</v>
          </cell>
          <cell r="D1147">
            <v>4.5099999999999994E-2</v>
          </cell>
        </row>
        <row r="1148">
          <cell r="A1148" t="str">
            <v>SS30NO</v>
          </cell>
          <cell r="B1148">
            <v>21300</v>
          </cell>
          <cell r="C1148">
            <v>2880</v>
          </cell>
          <cell r="D1148">
            <v>7.095375000000001E-2</v>
          </cell>
        </row>
        <row r="1149">
          <cell r="A1149" t="str">
            <v>SS30SIGF2</v>
          </cell>
          <cell r="B1149">
            <v>19000</v>
          </cell>
          <cell r="C1149">
            <v>2880</v>
          </cell>
          <cell r="D1149">
            <v>8.5680000000000006E-2</v>
          </cell>
        </row>
        <row r="1150">
          <cell r="A1150" t="str">
            <v>SS37K</v>
          </cell>
          <cell r="B1150">
            <v>19000</v>
          </cell>
          <cell r="C1150">
            <v>2520</v>
          </cell>
          <cell r="D1150">
            <v>7.8351000000000004E-2</v>
          </cell>
        </row>
        <row r="1151">
          <cell r="A1151" t="str">
            <v>SS50A</v>
          </cell>
          <cell r="B1151">
            <v>12800</v>
          </cell>
          <cell r="C1151">
            <v>1600</v>
          </cell>
          <cell r="D1151">
            <v>5.6644000000000007E-2</v>
          </cell>
        </row>
        <row r="1152">
          <cell r="A1152" t="str">
            <v>SS50C</v>
          </cell>
          <cell r="B1152">
            <v>14000</v>
          </cell>
          <cell r="C1152">
            <v>1600</v>
          </cell>
          <cell r="D1152">
            <v>5.6644000000000007E-2</v>
          </cell>
        </row>
        <row r="1153">
          <cell r="A1153" t="str">
            <v>SS50F</v>
          </cell>
          <cell r="B1153">
            <v>12300</v>
          </cell>
          <cell r="C1153">
            <v>1600</v>
          </cell>
          <cell r="D1153">
            <v>5.6644000000000007E-2</v>
          </cell>
        </row>
        <row r="1154">
          <cell r="A1154" t="str">
            <v>SS50CH</v>
          </cell>
          <cell r="B1154">
            <v>12800</v>
          </cell>
          <cell r="C1154">
            <v>1600</v>
          </cell>
          <cell r="D1154">
            <v>5.6644000000000007E-2</v>
          </cell>
        </row>
        <row r="1155">
          <cell r="A1155" t="str">
            <v>SS50K</v>
          </cell>
          <cell r="B1155">
            <v>15000</v>
          </cell>
          <cell r="C1155">
            <v>1440</v>
          </cell>
          <cell r="D1155">
            <v>9.1656000000000015E-2</v>
          </cell>
        </row>
        <row r="1156">
          <cell r="A1156" t="str">
            <v>SS50K E</v>
          </cell>
          <cell r="B1156">
            <v>1507</v>
          </cell>
          <cell r="D1156">
            <v>1.0184000000000002E-2</v>
          </cell>
        </row>
        <row r="1157">
          <cell r="A1157" t="str">
            <v>SS50M</v>
          </cell>
          <cell r="B1157">
            <v>14000</v>
          </cell>
          <cell r="C1157">
            <v>1600</v>
          </cell>
          <cell r="D1157">
            <v>5.6644000000000007E-2</v>
          </cell>
        </row>
        <row r="1158">
          <cell r="A1158" t="str">
            <v>SU45B</v>
          </cell>
          <cell r="B1158">
            <v>6500</v>
          </cell>
          <cell r="C1158">
            <v>356</v>
          </cell>
          <cell r="D1158">
            <v>6.5831750000000008E-2</v>
          </cell>
        </row>
        <row r="1159">
          <cell r="A1159" t="str">
            <v>T1</v>
          </cell>
          <cell r="B1159">
            <v>5</v>
          </cell>
        </row>
        <row r="1160">
          <cell r="A1160" t="str">
            <v>T2</v>
          </cell>
          <cell r="B1160">
            <v>5</v>
          </cell>
        </row>
        <row r="1161">
          <cell r="A1161" t="str">
            <v>TD1L</v>
          </cell>
          <cell r="B1161">
            <v>180</v>
          </cell>
        </row>
        <row r="1162">
          <cell r="A1162" t="str">
            <v>TD1XL</v>
          </cell>
          <cell r="B1162">
            <v>204</v>
          </cell>
        </row>
        <row r="1163">
          <cell r="A1163" t="str">
            <v>TDLE1L</v>
          </cell>
          <cell r="B1163">
            <v>180</v>
          </cell>
        </row>
        <row r="1164">
          <cell r="A1164" t="str">
            <v>TDLE1M</v>
          </cell>
          <cell r="B1164">
            <v>165</v>
          </cell>
        </row>
        <row r="1165">
          <cell r="A1165" t="str">
            <v>TDLE1XL</v>
          </cell>
          <cell r="B1165">
            <v>204</v>
          </cell>
        </row>
        <row r="1166">
          <cell r="A1166" t="str">
            <v>TDLE1XXL</v>
          </cell>
          <cell r="B1166">
            <v>224</v>
          </cell>
        </row>
        <row r="1167">
          <cell r="A1167" t="str">
            <v>TIDB1L</v>
          </cell>
          <cell r="B1167">
            <v>225</v>
          </cell>
        </row>
        <row r="1168">
          <cell r="A1168" t="str">
            <v>TIDC1XXL</v>
          </cell>
          <cell r="B1168">
            <v>182</v>
          </cell>
        </row>
        <row r="1169">
          <cell r="A1169" t="str">
            <v>TPD1L</v>
          </cell>
          <cell r="B1169">
            <v>257</v>
          </cell>
        </row>
        <row r="1170">
          <cell r="A1170" t="str">
            <v>TPD1M</v>
          </cell>
          <cell r="B1170">
            <v>247</v>
          </cell>
        </row>
        <row r="1171">
          <cell r="A1171" t="str">
            <v>TPD1XL</v>
          </cell>
          <cell r="B1171">
            <v>283</v>
          </cell>
        </row>
        <row r="1172">
          <cell r="A1172" t="str">
            <v>TPDLE1L</v>
          </cell>
          <cell r="B1172">
            <v>257</v>
          </cell>
        </row>
        <row r="1173">
          <cell r="A1173" t="str">
            <v>TPDLE1M</v>
          </cell>
          <cell r="B1173">
            <v>247</v>
          </cell>
        </row>
        <row r="1174">
          <cell r="A1174" t="str">
            <v>TPDLE1XL</v>
          </cell>
          <cell r="B1174">
            <v>283</v>
          </cell>
        </row>
        <row r="1175">
          <cell r="A1175" t="str">
            <v>TPDLE1XXL</v>
          </cell>
          <cell r="B1175">
            <v>290</v>
          </cell>
        </row>
        <row r="1176">
          <cell r="A1176" t="str">
            <v>UZD2</v>
          </cell>
          <cell r="B1176">
            <v>20</v>
          </cell>
        </row>
        <row r="1177">
          <cell r="A1177" t="str">
            <v>VDLE1L</v>
          </cell>
          <cell r="B1177">
            <v>500</v>
          </cell>
        </row>
        <row r="1178">
          <cell r="A1178" t="str">
            <v>VDLE1M</v>
          </cell>
          <cell r="B1178">
            <v>500</v>
          </cell>
        </row>
        <row r="1179">
          <cell r="A1179" t="str">
            <v>VDLE1XL</v>
          </cell>
          <cell r="B1179">
            <v>500</v>
          </cell>
        </row>
        <row r="1180">
          <cell r="A1180" t="str">
            <v>VDLE1XXL</v>
          </cell>
          <cell r="B1180">
            <v>500</v>
          </cell>
        </row>
        <row r="1181">
          <cell r="A1181" t="str">
            <v>VP12MIX</v>
          </cell>
          <cell r="B1181">
            <v>2500</v>
          </cell>
          <cell r="C1181">
            <v>180</v>
          </cell>
          <cell r="D1181">
            <v>2.5688000000000002E-2</v>
          </cell>
        </row>
        <row r="1182">
          <cell r="A1182" t="str">
            <v>VP12T1</v>
          </cell>
          <cell r="B1182">
            <v>3000</v>
          </cell>
          <cell r="C1182">
            <v>225</v>
          </cell>
          <cell r="D1182">
            <v>2.6207999999999999E-2</v>
          </cell>
        </row>
        <row r="1183">
          <cell r="A1183" t="str">
            <v>VP12TH</v>
          </cell>
          <cell r="B1183">
            <v>3000</v>
          </cell>
          <cell r="C1183">
            <v>225</v>
          </cell>
          <cell r="D1183">
            <v>1.8218750000000002E-2</v>
          </cell>
        </row>
        <row r="1184">
          <cell r="A1184" t="str">
            <v>VP12TS</v>
          </cell>
          <cell r="B1184">
            <v>3000</v>
          </cell>
          <cell r="C1184">
            <v>225</v>
          </cell>
          <cell r="D1184">
            <v>1.8218750000000002E-2</v>
          </cell>
        </row>
        <row r="1185">
          <cell r="A1185" t="str">
            <v>VP16A</v>
          </cell>
          <cell r="B1185">
            <v>13000</v>
          </cell>
          <cell r="C1185">
            <v>3840</v>
          </cell>
          <cell r="D1185">
            <v>2.7213624999999998E-2</v>
          </cell>
        </row>
        <row r="1186">
          <cell r="A1186" t="str">
            <v>VP16A(1)</v>
          </cell>
          <cell r="B1186">
            <v>13600</v>
          </cell>
          <cell r="C1186">
            <v>3840</v>
          </cell>
          <cell r="D1186">
            <v>2.7213624999999998E-2</v>
          </cell>
        </row>
        <row r="1187">
          <cell r="A1187" t="str">
            <v>VP28</v>
          </cell>
          <cell r="B1187">
            <v>10500</v>
          </cell>
          <cell r="C1187">
            <v>4800</v>
          </cell>
          <cell r="D1187">
            <v>2.6460000000000004E-2</v>
          </cell>
        </row>
        <row r="1188">
          <cell r="A1188" t="str">
            <v>VP28E</v>
          </cell>
          <cell r="B1188">
            <v>11700</v>
          </cell>
          <cell r="C1188">
            <v>5760</v>
          </cell>
          <cell r="D1188">
            <v>2.1456749999999997E-2</v>
          </cell>
        </row>
        <row r="1189">
          <cell r="A1189" t="str">
            <v>VP28N</v>
          </cell>
          <cell r="B1189">
            <v>13100</v>
          </cell>
          <cell r="C1189">
            <v>4800</v>
          </cell>
          <cell r="D1189">
            <v>5.2000000000000005E-2</v>
          </cell>
        </row>
        <row r="1190">
          <cell r="A1190" t="str">
            <v>VP40</v>
          </cell>
          <cell r="B1190">
            <v>11500</v>
          </cell>
          <cell r="C1190">
            <v>4350</v>
          </cell>
          <cell r="D1190">
            <v>1.9460250000000002E-2</v>
          </cell>
        </row>
        <row r="1191">
          <cell r="A1191" t="str">
            <v>VP40/20</v>
          </cell>
          <cell r="B1191">
            <v>17000</v>
          </cell>
          <cell r="C1191">
            <v>8700</v>
          </cell>
          <cell r="D1191">
            <v>2.6553825000000003E-2</v>
          </cell>
        </row>
        <row r="1192">
          <cell r="A1192" t="str">
            <v>VP40E</v>
          </cell>
          <cell r="B1192">
            <v>10300</v>
          </cell>
          <cell r="C1192">
            <v>5437</v>
          </cell>
          <cell r="D1192">
            <v>2.5137422999999999E-2</v>
          </cell>
        </row>
        <row r="1193">
          <cell r="A1193" t="str">
            <v>VP40N</v>
          </cell>
          <cell r="B1193">
            <v>6200</v>
          </cell>
          <cell r="C1193">
            <v>1760.0000000000002</v>
          </cell>
          <cell r="D1193">
            <v>2.4022249999999998E-2</v>
          </cell>
        </row>
        <row r="1194">
          <cell r="A1194" t="str">
            <v>VP40W</v>
          </cell>
          <cell r="B1194">
            <v>11500</v>
          </cell>
          <cell r="C1194">
            <v>4350</v>
          </cell>
          <cell r="D1194">
            <v>1.9460250000000002E-2</v>
          </cell>
        </row>
        <row r="1195">
          <cell r="A1195" t="str">
            <v>VP70</v>
          </cell>
          <cell r="B1195">
            <v>11500</v>
          </cell>
          <cell r="C1195">
            <v>2620.7999999999997</v>
          </cell>
          <cell r="D1195">
            <v>2.1245699999999999E-2</v>
          </cell>
        </row>
        <row r="1196">
          <cell r="A1196" t="str">
            <v>VP70E</v>
          </cell>
          <cell r="B1196">
            <v>19800</v>
          </cell>
          <cell r="C1196">
            <v>6336</v>
          </cell>
          <cell r="D1196">
            <v>2.0625000000000001E-2</v>
          </cell>
        </row>
        <row r="1197">
          <cell r="A1197" t="str">
            <v>VP70W</v>
          </cell>
          <cell r="B1197">
            <v>11500</v>
          </cell>
          <cell r="C1197">
            <v>2620.7999999999997</v>
          </cell>
          <cell r="D1197">
            <v>2.1245699999999999E-2</v>
          </cell>
        </row>
        <row r="1198">
          <cell r="A1198" t="str">
            <v>VP90</v>
          </cell>
          <cell r="B1198">
            <v>14000</v>
          </cell>
          <cell r="C1198">
            <v>2640</v>
          </cell>
          <cell r="D1198">
            <v>3.3425000000000003E-2</v>
          </cell>
        </row>
        <row r="1199">
          <cell r="A1199" t="str">
            <v>ZD1</v>
          </cell>
          <cell r="B1199">
            <v>900</v>
          </cell>
          <cell r="D1199">
            <v>1.6379999999999999E-3</v>
          </cell>
        </row>
        <row r="1200">
          <cell r="A1200" t="str">
            <v>ZS5M</v>
          </cell>
          <cell r="B1200">
            <v>7000</v>
          </cell>
          <cell r="C1200">
            <v>1250</v>
          </cell>
          <cell r="D1200">
            <v>2.0299999999999995E-2</v>
          </cell>
        </row>
        <row r="1201">
          <cell r="A1201" t="str">
            <v>P05DSP1</v>
          </cell>
          <cell r="B1201">
            <v>10000</v>
          </cell>
          <cell r="C1201">
            <v>960</v>
          </cell>
          <cell r="D1201">
            <v>2.3369999999999998E-2</v>
          </cell>
        </row>
        <row r="1202">
          <cell r="A1202" t="str">
            <v>P066D20P1</v>
          </cell>
          <cell r="B1202">
            <v>10300</v>
          </cell>
          <cell r="C1202">
            <v>1320</v>
          </cell>
          <cell r="D1202">
            <v>2.1599999999999998E-2</v>
          </cell>
        </row>
        <row r="1203">
          <cell r="A1203" t="str">
            <v>P10D20SP1</v>
          </cell>
          <cell r="B1203">
            <v>13500</v>
          </cell>
          <cell r="C1203">
            <v>2000</v>
          </cell>
          <cell r="D1203">
            <v>3.550325E-2</v>
          </cell>
        </row>
        <row r="1204">
          <cell r="A1204" t="str">
            <v>MDLEZ1M</v>
          </cell>
          <cell r="B1204">
            <v>670</v>
          </cell>
          <cell r="C1204">
            <v>0</v>
          </cell>
          <cell r="D1204">
            <v>0</v>
          </cell>
        </row>
        <row r="1205">
          <cell r="A1205" t="str">
            <v>MDLEZ1L</v>
          </cell>
          <cell r="B1205">
            <v>670</v>
          </cell>
          <cell r="C1205">
            <v>0</v>
          </cell>
          <cell r="D1205">
            <v>0</v>
          </cell>
        </row>
        <row r="1206">
          <cell r="A1206" t="str">
            <v>MDLEZ1XL</v>
          </cell>
          <cell r="B1206">
            <v>670</v>
          </cell>
          <cell r="C1206">
            <v>0</v>
          </cell>
          <cell r="D1206">
            <v>0</v>
          </cell>
        </row>
        <row r="1207">
          <cell r="A1207" t="str">
            <v>MDLEZ1XXL</v>
          </cell>
          <cell r="B1207">
            <v>670</v>
          </cell>
          <cell r="C1207">
            <v>0</v>
          </cell>
          <cell r="D1207">
            <v>0</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1"/>
    </sheetNames>
    <sheetDataSet>
      <sheetData sheetId="0">
        <row r="2">
          <cell r="A2" t="str">
            <v xml:space="preserve">Catalog </v>
          </cell>
          <cell r="B2" t="str">
            <v>Product name</v>
          </cell>
          <cell r="C2" t="str">
            <v xml:space="preserve">Packing </v>
          </cell>
          <cell r="D2" t="str">
            <v>QTY CTN</v>
          </cell>
        </row>
        <row r="3">
          <cell r="A3" t="str">
            <v>BD1L</v>
          </cell>
          <cell r="B3" t="str">
            <v>Dumbum bunda fleece L</v>
          </cell>
          <cell r="C3" t="str">
            <v>1/1</v>
          </cell>
          <cell r="D3" t="str">
            <v/>
          </cell>
        </row>
        <row r="4">
          <cell r="A4" t="str">
            <v>BD1XXL</v>
          </cell>
          <cell r="B4" t="str">
            <v>Dumbum bunda fleece XXL</v>
          </cell>
          <cell r="C4" t="str">
            <v>1/1</v>
          </cell>
          <cell r="D4" t="str">
            <v/>
          </cell>
        </row>
        <row r="5">
          <cell r="A5" t="str">
            <v>BDLE1L</v>
          </cell>
          <cell r="B5" t="str">
            <v>Dumbum bunda fleece L -limited edition</v>
          </cell>
          <cell r="C5" t="str">
            <v>1/1</v>
          </cell>
          <cell r="D5"/>
        </row>
        <row r="6">
          <cell r="A6" t="str">
            <v>BDLE1M</v>
          </cell>
          <cell r="B6" t="str">
            <v>Dumbum bunda fleece M -limited edition</v>
          </cell>
          <cell r="C6" t="str">
            <v>1/1</v>
          </cell>
          <cell r="D6"/>
        </row>
        <row r="7">
          <cell r="A7" t="str">
            <v>BDLE1XL</v>
          </cell>
          <cell r="B7" t="str">
            <v>Dumbum bunda fleece XL -limited edition</v>
          </cell>
          <cell r="C7" t="str">
            <v>1/1</v>
          </cell>
          <cell r="D7"/>
        </row>
        <row r="8">
          <cell r="A8" t="str">
            <v>BDLE1XXL</v>
          </cell>
          <cell r="B8" t="str">
            <v>Dumbum bunda fleece XXL -limited edition</v>
          </cell>
          <cell r="C8" t="str">
            <v>1/1</v>
          </cell>
          <cell r="D8"/>
        </row>
        <row r="9">
          <cell r="A9" t="str">
            <v>BK1P</v>
          </cell>
          <cell r="B9" t="str">
            <v>Pekelné bouchací kuličky</v>
          </cell>
          <cell r="C9" t="str">
            <v>6/50/50</v>
          </cell>
          <cell r="D9">
            <v>63</v>
          </cell>
        </row>
        <row r="10">
          <cell r="A10" t="str">
            <v>BK1P(1)</v>
          </cell>
          <cell r="B10" t="str">
            <v>Pekelné bouchací kuličky</v>
          </cell>
          <cell r="C10" t="str">
            <v>6/50/50</v>
          </cell>
          <cell r="D10">
            <v>63</v>
          </cell>
        </row>
        <row r="11">
          <cell r="A11" t="str">
            <v>BK2V</v>
          </cell>
          <cell r="B11" t="str">
            <v>Dumbum velké bouchací kuličky</v>
          </cell>
          <cell r="C11" t="str">
            <v>6/50/20</v>
          </cell>
          <cell r="D11">
            <v>36</v>
          </cell>
        </row>
        <row r="12">
          <cell r="A12" t="str">
            <v>BK2V(1)</v>
          </cell>
          <cell r="B12" t="str">
            <v>Dumbum velké bouchací kuličky</v>
          </cell>
          <cell r="C12" t="str">
            <v>6/50/20</v>
          </cell>
          <cell r="D12">
            <v>36</v>
          </cell>
        </row>
        <row r="13">
          <cell r="A13" t="str">
            <v>BP30S</v>
          </cell>
          <cell r="B13" t="str">
            <v>Childrens party torch with shining bracelet</v>
          </cell>
          <cell r="C13" t="str">
            <v>40/8</v>
          </cell>
          <cell r="D13">
            <v>75</v>
          </cell>
        </row>
        <row r="14">
          <cell r="A14" t="str">
            <v>BP60S</v>
          </cell>
          <cell r="B14" t="str">
            <v>Barevná pochodeň 60sec</v>
          </cell>
          <cell r="C14" t="str">
            <v>30/5</v>
          </cell>
          <cell r="D14">
            <v>66</v>
          </cell>
        </row>
        <row r="15">
          <cell r="A15" t="str">
            <v>C100008R</v>
          </cell>
          <cell r="B15" t="str">
            <v xml:space="preserve">Scream 1000   (Raketomet 1000ran)   </v>
          </cell>
          <cell r="C15" t="str">
            <v>3/1</v>
          </cell>
          <cell r="D15">
            <v>63</v>
          </cell>
        </row>
        <row r="16">
          <cell r="A16" t="str">
            <v>C10008R</v>
          </cell>
          <cell r="B16" t="str">
            <v xml:space="preserve">Scream 100   (Raketomet 100ran)   </v>
          </cell>
          <cell r="C16" t="str">
            <v>60/1</v>
          </cell>
          <cell r="D16" t="str">
            <v>21</v>
          </cell>
        </row>
        <row r="17">
          <cell r="A17" t="str">
            <v>C10014A</v>
          </cell>
          <cell r="B17" t="str">
            <v>American dream</v>
          </cell>
          <cell r="C17" t="str">
            <v>12/1</v>
          </cell>
          <cell r="D17">
            <v>32</v>
          </cell>
        </row>
        <row r="18">
          <cell r="A18" t="str">
            <v>C10014L14 E</v>
          </cell>
          <cell r="B18" t="str">
            <v>Loong dummy</v>
          </cell>
          <cell r="C18"/>
          <cell r="D18" t="str">
            <v/>
          </cell>
        </row>
        <row r="19">
          <cell r="A19" t="str">
            <v>C10020BP14</v>
          </cell>
          <cell r="B19" t="str">
            <v>Best price 100/20mm</v>
          </cell>
          <cell r="C19" t="str">
            <v>4/1</v>
          </cell>
          <cell r="D19">
            <v>24</v>
          </cell>
        </row>
        <row r="20">
          <cell r="A20" t="str">
            <v>C10020BPF14</v>
          </cell>
          <cell r="B20" t="str">
            <v>Best price-Frozen 100/20mm</v>
          </cell>
          <cell r="C20" t="str">
            <v>4/1</v>
          </cell>
          <cell r="D20">
            <v>24</v>
          </cell>
        </row>
        <row r="21">
          <cell r="A21" t="str">
            <v>C10020BPS14</v>
          </cell>
          <cell r="B21" t="str">
            <v>Best price Slow motion 100/20mm</v>
          </cell>
          <cell r="C21" t="str">
            <v>4/1</v>
          </cell>
          <cell r="D21">
            <v>24</v>
          </cell>
        </row>
        <row r="22">
          <cell r="A22" t="str">
            <v>C10020NID14</v>
          </cell>
          <cell r="B22" t="str">
            <v>New identity series 100/20mm</v>
          </cell>
          <cell r="C22" t="str">
            <v>4/1</v>
          </cell>
          <cell r="D22">
            <v>24</v>
          </cell>
        </row>
        <row r="23">
          <cell r="A23" t="str">
            <v>C10020NID14 E</v>
          </cell>
          <cell r="B23" t="str">
            <v>New identity series 100/20mm /dummie</v>
          </cell>
          <cell r="C23" t="str">
            <v>1/1</v>
          </cell>
          <cell r="D23"/>
        </row>
        <row r="24">
          <cell r="A24" t="str">
            <v>C10020XBP14</v>
          </cell>
          <cell r="B24" t="str">
            <v>Best price multi shape 100/20mm</v>
          </cell>
          <cell r="C24" t="str">
            <v>4/1</v>
          </cell>
          <cell r="D24">
            <v>22</v>
          </cell>
        </row>
        <row r="25">
          <cell r="A25" t="str">
            <v>C10020XBPW14</v>
          </cell>
          <cell r="B25" t="str">
            <v>Best price Wild fire multi 100/20mm</v>
          </cell>
          <cell r="C25" t="str">
            <v>4/1</v>
          </cell>
          <cell r="D25">
            <v>22</v>
          </cell>
        </row>
        <row r="26">
          <cell r="A26" t="str">
            <v>C10020XPR14</v>
          </cell>
          <cell r="B26" t="str">
            <v>Profi show multi shape 100/20mm</v>
          </cell>
          <cell r="C26" t="str">
            <v>4/1</v>
          </cell>
          <cell r="D26">
            <v>22</v>
          </cell>
        </row>
        <row r="27">
          <cell r="A27" t="str">
            <v>C10020XTS14</v>
          </cell>
          <cell r="B27" t="str">
            <v>Turbo 20mm shots 40</v>
          </cell>
          <cell r="C27" t="str">
            <v>4/1</v>
          </cell>
          <cell r="D27">
            <v>22</v>
          </cell>
        </row>
        <row r="28">
          <cell r="A28" t="str">
            <v>C10025B E</v>
          </cell>
          <cell r="B28" t="str">
            <v>Bluff dummy</v>
          </cell>
          <cell r="C28"/>
          <cell r="D28" t="str">
            <v/>
          </cell>
        </row>
        <row r="29">
          <cell r="A29" t="str">
            <v>C10025BP</v>
          </cell>
          <cell r="B29" t="str">
            <v>Best price 100/25mm</v>
          </cell>
          <cell r="C29" t="str">
            <v>2/1</v>
          </cell>
          <cell r="D29">
            <v>30</v>
          </cell>
        </row>
        <row r="30">
          <cell r="A30" t="str">
            <v>C10025BPS</v>
          </cell>
          <cell r="B30" t="str">
            <v>Best price Slow motion 100/25mm</v>
          </cell>
          <cell r="C30" t="str">
            <v>2/1</v>
          </cell>
          <cell r="D30">
            <v>30</v>
          </cell>
        </row>
        <row r="31">
          <cell r="A31" t="str">
            <v>C10025BPW/C14</v>
          </cell>
          <cell r="B31" t="str">
            <v>Best price Wild fire 100/25mm</v>
          </cell>
          <cell r="C31" t="str">
            <v>1/1</v>
          </cell>
          <cell r="D31">
            <v>54</v>
          </cell>
        </row>
        <row r="32">
          <cell r="A32" t="str">
            <v>C10025I</v>
          </cell>
          <cell r="B32" t="str">
            <v>Indian scream</v>
          </cell>
          <cell r="C32" t="str">
            <v>2/1</v>
          </cell>
          <cell r="D32">
            <v>30</v>
          </cell>
        </row>
        <row r="33">
          <cell r="A33" t="str">
            <v>C10025PR1</v>
          </cell>
          <cell r="B33" t="str">
            <v>Profi show no.1</v>
          </cell>
          <cell r="C33" t="str">
            <v>2/1</v>
          </cell>
          <cell r="D33">
            <v>32</v>
          </cell>
        </row>
        <row r="34">
          <cell r="A34" t="str">
            <v>C10025PR2</v>
          </cell>
          <cell r="B34" t="str">
            <v>Profi show no.2</v>
          </cell>
          <cell r="C34" t="str">
            <v>2/1</v>
          </cell>
          <cell r="D34">
            <v>32</v>
          </cell>
        </row>
        <row r="35">
          <cell r="A35" t="str">
            <v>C10025S E</v>
          </cell>
          <cell r="B35" t="str">
            <v>Starfire warrior dummy</v>
          </cell>
          <cell r="C35" t="str">
            <v>1/1</v>
          </cell>
          <cell r="D35" t="str">
            <v/>
          </cell>
        </row>
        <row r="36">
          <cell r="A36" t="str">
            <v>C10025X E</v>
          </cell>
          <cell r="B36" t="str">
            <v>Xman dummy</v>
          </cell>
          <cell r="C36"/>
          <cell r="D36" t="str">
            <v/>
          </cell>
        </row>
        <row r="37">
          <cell r="A37" t="str">
            <v>C10030XF/C14</v>
          </cell>
          <cell r="B37" t="str">
            <v>Fireworks show 100</v>
          </cell>
          <cell r="C37" t="str">
            <v>1/1</v>
          </cell>
          <cell r="D37">
            <v>24</v>
          </cell>
        </row>
        <row r="38">
          <cell r="A38" t="str">
            <v>C10030XF/C14(T)</v>
          </cell>
          <cell r="B38" t="str">
            <v>Fireworks show 100</v>
          </cell>
          <cell r="C38" t="str">
            <v>1/1</v>
          </cell>
          <cell r="D38">
            <v>24</v>
          </cell>
        </row>
        <row r="39">
          <cell r="A39" t="str">
            <v>C1003B/C14</v>
          </cell>
          <cell r="B39" t="str">
            <v>Big Brother F2</v>
          </cell>
          <cell r="C39" t="str">
            <v>1/1</v>
          </cell>
          <cell r="D39">
            <v>42</v>
          </cell>
        </row>
        <row r="40">
          <cell r="A40" t="str">
            <v>C1003B/C14(T)</v>
          </cell>
          <cell r="B40" t="str">
            <v>Big Brother F2</v>
          </cell>
          <cell r="C40" t="str">
            <v>1/1</v>
          </cell>
          <cell r="D40">
            <v>42</v>
          </cell>
        </row>
        <row r="41">
          <cell r="A41" t="str">
            <v>C1003BB/C</v>
          </cell>
          <cell r="B41" t="str">
            <v>Big Brother</v>
          </cell>
          <cell r="C41" t="str">
            <v>1/1</v>
          </cell>
          <cell r="D41">
            <v>42</v>
          </cell>
        </row>
        <row r="42">
          <cell r="A42" t="str">
            <v>C1003BB/C(T)</v>
          </cell>
          <cell r="B42" t="str">
            <v>Big Brother</v>
          </cell>
          <cell r="C42" t="str">
            <v>1/1</v>
          </cell>
          <cell r="D42">
            <v>36</v>
          </cell>
        </row>
        <row r="43">
          <cell r="A43" t="str">
            <v>C1003BP/C</v>
          </cell>
          <cell r="B43" t="str">
            <v>Best price 100/30mm</v>
          </cell>
          <cell r="C43" t="str">
            <v>1/1</v>
          </cell>
          <cell r="D43">
            <v>42</v>
          </cell>
        </row>
        <row r="44">
          <cell r="A44" t="str">
            <v>C1003BP/C(T)</v>
          </cell>
          <cell r="B44" t="str">
            <v>Best price 100/30mm</v>
          </cell>
          <cell r="C44" t="str">
            <v>1/1</v>
          </cell>
          <cell r="D44">
            <v>36</v>
          </cell>
        </row>
        <row r="45">
          <cell r="A45" t="str">
            <v>C1003BPF/C</v>
          </cell>
          <cell r="B45" t="str">
            <v>Best price-Frozen 100/30mm</v>
          </cell>
          <cell r="C45" t="str">
            <v>1/1</v>
          </cell>
          <cell r="D45">
            <v>42</v>
          </cell>
        </row>
        <row r="46">
          <cell r="A46" t="str">
            <v>C1003BPF/C(T)</v>
          </cell>
          <cell r="B46" t="str">
            <v>Best price-Frozen 100/30mm</v>
          </cell>
          <cell r="C46" t="str">
            <v>1/1</v>
          </cell>
          <cell r="D46">
            <v>36</v>
          </cell>
        </row>
        <row r="47">
          <cell r="A47" t="str">
            <v>C1003BPS/C</v>
          </cell>
          <cell r="B47" t="str">
            <v>Best price Slow motion 100/30mm</v>
          </cell>
          <cell r="C47" t="str">
            <v>1/1</v>
          </cell>
          <cell r="D47">
            <v>42</v>
          </cell>
        </row>
        <row r="48">
          <cell r="A48" t="str">
            <v>C1003F/C</v>
          </cell>
          <cell r="B48" t="str">
            <v>Fireworks show 100/30mm</v>
          </cell>
          <cell r="C48" t="str">
            <v>1/1</v>
          </cell>
          <cell r="D48">
            <v>42</v>
          </cell>
        </row>
        <row r="49">
          <cell r="A49" t="str">
            <v>C1003F/C14</v>
          </cell>
          <cell r="B49" t="str">
            <v>Fireworks show 100/F2</v>
          </cell>
          <cell r="C49" t="str">
            <v>1/1</v>
          </cell>
          <cell r="D49">
            <v>42</v>
          </cell>
        </row>
        <row r="50">
          <cell r="A50" t="str">
            <v>C1003SIG/C</v>
          </cell>
          <cell r="B50" t="str">
            <v>Signature range 100ran</v>
          </cell>
          <cell r="C50" t="str">
            <v>1/1</v>
          </cell>
          <cell r="D50">
            <v>42</v>
          </cell>
        </row>
        <row r="51">
          <cell r="A51" t="str">
            <v>C1003SIG/C(T)</v>
          </cell>
          <cell r="B51" t="str">
            <v>Signature range 100ran</v>
          </cell>
          <cell r="C51" t="str">
            <v>1/1</v>
          </cell>
          <cell r="D51">
            <v>36</v>
          </cell>
        </row>
        <row r="52">
          <cell r="A52" t="str">
            <v>C1003VS/C</v>
          </cell>
          <cell r="B52" t="str">
            <v>Vše nejlepší k narozeninám</v>
          </cell>
          <cell r="C52" t="str">
            <v>1/1</v>
          </cell>
          <cell r="D52">
            <v>42</v>
          </cell>
        </row>
        <row r="53">
          <cell r="A53" t="str">
            <v>C1003VS/C(T)</v>
          </cell>
          <cell r="B53" t="str">
            <v>Vše nejlepší k narozeninám</v>
          </cell>
          <cell r="C53" t="str">
            <v>1/1</v>
          </cell>
          <cell r="D53">
            <v>36</v>
          </cell>
        </row>
        <row r="54">
          <cell r="A54" t="str">
            <v>C1008CC</v>
          </cell>
          <cell r="B54" t="str">
            <v>Colorful and crackling comet 100</v>
          </cell>
          <cell r="C54" t="str">
            <v>24/1</v>
          </cell>
          <cell r="D54">
            <v>42</v>
          </cell>
        </row>
        <row r="55">
          <cell r="A55" t="str">
            <v>C100MN</v>
          </cell>
          <cell r="B55" t="str">
            <v>Night breaker</v>
          </cell>
          <cell r="C55" t="str">
            <v>2/1</v>
          </cell>
          <cell r="D55">
            <v>16</v>
          </cell>
        </row>
        <row r="56">
          <cell r="A56" t="str">
            <v>C100MPT</v>
          </cell>
          <cell r="B56" t="str">
            <v>Pyrotechnology 2020 100sh</v>
          </cell>
          <cell r="C56" t="str">
            <v>2/1</v>
          </cell>
          <cell r="D56">
            <v>16</v>
          </cell>
        </row>
        <row r="57">
          <cell r="A57" t="str">
            <v>C100MPT/C14</v>
          </cell>
          <cell r="B57" t="str">
            <v>Pyrotechnology 2020 100sh</v>
          </cell>
          <cell r="C57" t="str">
            <v>1/1</v>
          </cell>
          <cell r="D57">
            <v>60</v>
          </cell>
        </row>
        <row r="58">
          <cell r="A58" t="str">
            <v>C100MPT/C14(T)</v>
          </cell>
          <cell r="B58" t="str">
            <v>Pyrotechnology 2020 100sh</v>
          </cell>
          <cell r="C58" t="str">
            <v>1/1</v>
          </cell>
          <cell r="D58">
            <v>60</v>
          </cell>
        </row>
        <row r="59">
          <cell r="A59" t="str">
            <v>C100MTS/C14</v>
          </cell>
          <cell r="B59" t="str">
            <v>Turbo multi shots 55</v>
          </cell>
          <cell r="C59" t="str">
            <v>1/1</v>
          </cell>
          <cell r="D59">
            <v>60</v>
          </cell>
        </row>
        <row r="60">
          <cell r="A60" t="str">
            <v>C100MTS/C14(T)</v>
          </cell>
          <cell r="B60" t="str">
            <v>Turbo multi shots 55</v>
          </cell>
          <cell r="C60" t="str">
            <v>1/1</v>
          </cell>
          <cell r="D60">
            <v>60</v>
          </cell>
        </row>
        <row r="61">
          <cell r="A61" t="str">
            <v>C10545GI/C</v>
          </cell>
          <cell r="B61" t="str">
            <v>Gigant 105</v>
          </cell>
          <cell r="C61" t="str">
            <v>1/1</v>
          </cell>
          <cell r="D61">
            <v>15</v>
          </cell>
        </row>
        <row r="62">
          <cell r="A62" t="str">
            <v>C10545GI/C(T)</v>
          </cell>
          <cell r="B62" t="str">
            <v>Gigant 105</v>
          </cell>
          <cell r="C62" t="str">
            <v>1/1</v>
          </cell>
          <cell r="D62">
            <v>15</v>
          </cell>
        </row>
        <row r="63">
          <cell r="A63" t="str">
            <v>C106MB</v>
          </cell>
          <cell r="B63" t="str">
            <v>Bad boy</v>
          </cell>
          <cell r="C63" t="str">
            <v>2/1</v>
          </cell>
          <cell r="D63">
            <v>24</v>
          </cell>
        </row>
        <row r="64">
          <cell r="A64" t="str">
            <v>C106MB E</v>
          </cell>
          <cell r="B64" t="str">
            <v>Bad boy dummy</v>
          </cell>
          <cell r="C64" t="str">
            <v>1/1</v>
          </cell>
          <cell r="D64" t="str">
            <v/>
          </cell>
        </row>
        <row r="65">
          <cell r="A65" t="str">
            <v>C106MH</v>
          </cell>
          <cell r="B65" t="str">
            <v>Hamster</v>
          </cell>
          <cell r="C65" t="str">
            <v>2/1</v>
          </cell>
          <cell r="D65">
            <v>24</v>
          </cell>
        </row>
        <row r="66">
          <cell r="A66" t="str">
            <v>C106MH E</v>
          </cell>
          <cell r="B66" t="str">
            <v>Hamster dummy</v>
          </cell>
          <cell r="C66" t="str">
            <v>1/1</v>
          </cell>
          <cell r="D66" t="str">
            <v/>
          </cell>
        </row>
        <row r="67">
          <cell r="A67" t="str">
            <v>C109MG</v>
          </cell>
          <cell r="B67" t="str">
            <v>Grand prix</v>
          </cell>
          <cell r="C67" t="str">
            <v>2/1</v>
          </cell>
          <cell r="D67">
            <v>30</v>
          </cell>
        </row>
        <row r="68">
          <cell r="A68" t="str">
            <v>C109MM</v>
          </cell>
          <cell r="B68" t="str">
            <v>Mexico</v>
          </cell>
          <cell r="C68" t="str">
            <v>2/1</v>
          </cell>
          <cell r="D68">
            <v>30</v>
          </cell>
        </row>
        <row r="69">
          <cell r="A69" t="str">
            <v>C111MF/C</v>
          </cell>
          <cell r="B69" t="str">
            <v>Profi Fireworks show 111</v>
          </cell>
          <cell r="C69" t="str">
            <v>1/1</v>
          </cell>
          <cell r="D69">
            <v>10</v>
          </cell>
        </row>
        <row r="70">
          <cell r="A70" t="str">
            <v>C111MF/C(T)</v>
          </cell>
          <cell r="B70" t="str">
            <v>Fireworks show 111</v>
          </cell>
          <cell r="C70" t="str">
            <v>1/1</v>
          </cell>
          <cell r="D70">
            <v>10</v>
          </cell>
        </row>
        <row r="71">
          <cell r="A71" t="str">
            <v>C1163MB/C14</v>
          </cell>
          <cell r="B71" t="str">
            <v>Best pyro in town</v>
          </cell>
          <cell r="C71" t="str">
            <v>1/1</v>
          </cell>
          <cell r="D71">
            <v>14</v>
          </cell>
        </row>
        <row r="72">
          <cell r="A72" t="str">
            <v>C1163MB/C14(T)</v>
          </cell>
          <cell r="B72" t="str">
            <v>Best pyro in town</v>
          </cell>
          <cell r="C72" t="str">
            <v>1/1</v>
          </cell>
          <cell r="D72">
            <v>14</v>
          </cell>
        </row>
        <row r="73">
          <cell r="A73" t="str">
            <v>C12230XPT/C14</v>
          </cell>
          <cell r="B73" t="str">
            <v>Pyrotechnology 2020 122sh</v>
          </cell>
          <cell r="C73" t="str">
            <v>1/1</v>
          </cell>
          <cell r="D73">
            <v>24</v>
          </cell>
        </row>
        <row r="74">
          <cell r="A74" t="str">
            <v>C12230XPT/C14(T)</v>
          </cell>
          <cell r="B74" t="str">
            <v>Pyrotechnology 2020 122sh</v>
          </cell>
          <cell r="C74" t="str">
            <v>1/1</v>
          </cell>
          <cell r="D74">
            <v>24</v>
          </cell>
        </row>
        <row r="75">
          <cell r="A75" t="str">
            <v>C12820F/C</v>
          </cell>
          <cell r="B75" t="str">
            <v>Fireworks show 128/20mm</v>
          </cell>
          <cell r="C75" t="str">
            <v>1/1</v>
          </cell>
          <cell r="D75">
            <v>77</v>
          </cell>
        </row>
        <row r="76">
          <cell r="A76" t="str">
            <v>C12820F/C(T)</v>
          </cell>
          <cell r="B76" t="str">
            <v>Fireworks show 128/20mm</v>
          </cell>
          <cell r="C76" t="str">
            <v>1/1</v>
          </cell>
          <cell r="D76">
            <v>77</v>
          </cell>
        </row>
        <row r="77">
          <cell r="A77" t="str">
            <v>C12820F/C14</v>
          </cell>
          <cell r="B77" t="str">
            <v>Fireworks show 128/20mm</v>
          </cell>
          <cell r="C77" t="str">
            <v>1/1</v>
          </cell>
          <cell r="D77">
            <v>77</v>
          </cell>
        </row>
        <row r="78">
          <cell r="A78" t="str">
            <v>C12820F/C14(T)</v>
          </cell>
          <cell r="B78" t="str">
            <v>Fireworks show 128/20mm</v>
          </cell>
          <cell r="C78" t="str">
            <v>1/1</v>
          </cell>
          <cell r="D78">
            <v>72</v>
          </cell>
        </row>
        <row r="79">
          <cell r="A79" t="str">
            <v>C12820NID/C</v>
          </cell>
          <cell r="B79" t="str">
            <v>New identity series 128</v>
          </cell>
          <cell r="C79" t="str">
            <v>1/1</v>
          </cell>
          <cell r="D79">
            <v>72</v>
          </cell>
        </row>
        <row r="80">
          <cell r="A80" t="str">
            <v>C12820NID/C(T)</v>
          </cell>
          <cell r="B80" t="str">
            <v>New identity series 128</v>
          </cell>
          <cell r="C80" t="str">
            <v>1/1</v>
          </cell>
          <cell r="D80">
            <v>72</v>
          </cell>
        </row>
        <row r="81">
          <cell r="A81" t="str">
            <v>C128MS/C14</v>
          </cell>
          <cell r="B81" t="str">
            <v>Silver Sky</v>
          </cell>
          <cell r="C81" t="str">
            <v>1/1</v>
          </cell>
          <cell r="D81">
            <v>63</v>
          </cell>
        </row>
        <row r="82">
          <cell r="A82" t="str">
            <v>C128MS/C14(T)</v>
          </cell>
          <cell r="B82" t="str">
            <v>Silver Sky</v>
          </cell>
          <cell r="C82" t="str">
            <v>1/1</v>
          </cell>
          <cell r="D82">
            <v>63</v>
          </cell>
        </row>
        <row r="83">
          <cell r="A83" t="str">
            <v>C128XMB/C</v>
          </cell>
          <cell r="B83" t="str">
            <v>Big sellers</v>
          </cell>
          <cell r="C83" t="str">
            <v>1/1</v>
          </cell>
          <cell r="D83">
            <v>12</v>
          </cell>
        </row>
        <row r="84">
          <cell r="A84" t="str">
            <v>C128XMB/C(T)</v>
          </cell>
          <cell r="B84" t="str">
            <v>Big sellers</v>
          </cell>
          <cell r="C84" t="str">
            <v>1/1</v>
          </cell>
          <cell r="D84">
            <v>12</v>
          </cell>
        </row>
        <row r="85">
          <cell r="A85" t="str">
            <v>C128XMPT/C</v>
          </cell>
          <cell r="B85" t="str">
            <v>Pyrotechnology 2020 128sh</v>
          </cell>
          <cell r="C85" t="str">
            <v>1/1</v>
          </cell>
          <cell r="D85">
            <v>12</v>
          </cell>
        </row>
        <row r="86">
          <cell r="A86" t="str">
            <v>C128XMPT/C(T)</v>
          </cell>
          <cell r="B86" t="str">
            <v>Pyrotechnology 2020 128sh</v>
          </cell>
          <cell r="C86" t="str">
            <v>1/1</v>
          </cell>
          <cell r="D86">
            <v>12</v>
          </cell>
        </row>
        <row r="87">
          <cell r="A87" t="str">
            <v>C13020B</v>
          </cell>
          <cell r="B87" t="str">
            <v>Emperor Fireworks   (Bubble man)</v>
          </cell>
          <cell r="C87" t="str">
            <v>3/1</v>
          </cell>
          <cell r="D87">
            <v>36</v>
          </cell>
        </row>
        <row r="88">
          <cell r="A88" t="str">
            <v>C13020B E</v>
          </cell>
          <cell r="B88" t="str">
            <v>Bubble man dummy</v>
          </cell>
          <cell r="C88" t="str">
            <v>1/1</v>
          </cell>
          <cell r="D88" t="str">
            <v/>
          </cell>
        </row>
        <row r="89">
          <cell r="A89" t="str">
            <v>C13020BP</v>
          </cell>
          <cell r="B89" t="str">
            <v>Best price 130/20mm</v>
          </cell>
          <cell r="C89" t="str">
            <v>3/1</v>
          </cell>
          <cell r="D89">
            <v>36</v>
          </cell>
        </row>
        <row r="90">
          <cell r="A90" t="str">
            <v>C13020F E</v>
          </cell>
          <cell r="B90" t="str">
            <v>Fogus dummy</v>
          </cell>
          <cell r="C90"/>
          <cell r="D90" t="str">
            <v/>
          </cell>
        </row>
        <row r="91">
          <cell r="A91" t="str">
            <v>C13020M</v>
          </cell>
          <cell r="B91" t="str">
            <v>Mr.Boom</v>
          </cell>
          <cell r="C91" t="str">
            <v>3/1</v>
          </cell>
          <cell r="D91">
            <v>36</v>
          </cell>
        </row>
        <row r="92">
          <cell r="A92" t="str">
            <v>C13020M E</v>
          </cell>
          <cell r="B92" t="str">
            <v>Mr.Boom dummy</v>
          </cell>
          <cell r="C92"/>
          <cell r="D92" t="str">
            <v/>
          </cell>
        </row>
        <row r="93">
          <cell r="A93" t="str">
            <v>C13020S E</v>
          </cell>
          <cell r="B93" t="str">
            <v>Sweethome dummy</v>
          </cell>
          <cell r="C93"/>
          <cell r="D93" t="str">
            <v/>
          </cell>
        </row>
        <row r="94">
          <cell r="A94" t="str">
            <v>C13220B/C</v>
          </cell>
          <cell r="B94" t="str">
            <v>Big and Bad</v>
          </cell>
          <cell r="C94" t="str">
            <v>1/1</v>
          </cell>
          <cell r="D94" t="str">
            <v>36</v>
          </cell>
        </row>
        <row r="95">
          <cell r="A95" t="str">
            <v>C13220B/C(T)</v>
          </cell>
          <cell r="B95" t="str">
            <v>Big and Bad</v>
          </cell>
          <cell r="C95" t="str">
            <v>1/1</v>
          </cell>
          <cell r="D95" t="str">
            <v>36</v>
          </cell>
        </row>
        <row r="96">
          <cell r="A96" t="str">
            <v>C13220B/C14</v>
          </cell>
          <cell r="B96" t="str">
            <v>Big and Bad</v>
          </cell>
          <cell r="C96" t="str">
            <v>1/1</v>
          </cell>
          <cell r="D96">
            <v>40</v>
          </cell>
        </row>
        <row r="97">
          <cell r="A97" t="str">
            <v>C13220B/C14(T)</v>
          </cell>
          <cell r="B97" t="str">
            <v>Big and Bad</v>
          </cell>
          <cell r="C97" t="str">
            <v>1/1</v>
          </cell>
          <cell r="D97">
            <v>40</v>
          </cell>
        </row>
        <row r="98">
          <cell r="A98" t="str">
            <v>C13220TS/C14</v>
          </cell>
          <cell r="B98" t="str">
            <v>Turbo 20mm shots 60</v>
          </cell>
          <cell r="C98" t="str">
            <v>1/1</v>
          </cell>
          <cell r="D98">
            <v>40</v>
          </cell>
        </row>
        <row r="99">
          <cell r="A99" t="str">
            <v>C13220TS/C14(T)</v>
          </cell>
          <cell r="B99" t="str">
            <v>Turbo 20mm shots 60</v>
          </cell>
          <cell r="C99" t="str">
            <v>1/1</v>
          </cell>
          <cell r="D99">
            <v>40</v>
          </cell>
        </row>
        <row r="100">
          <cell r="A100" t="str">
            <v>C132XMPT/C</v>
          </cell>
          <cell r="B100" t="str">
            <v>Pyrotechnology 2020 132sh</v>
          </cell>
          <cell r="C100" t="str">
            <v>1/1</v>
          </cell>
          <cell r="D100">
            <v>32</v>
          </cell>
        </row>
        <row r="101">
          <cell r="A101" t="str">
            <v>C132XMPT/C(T)</v>
          </cell>
          <cell r="B101" t="str">
            <v>Pyrotechnology 2020 132sh</v>
          </cell>
          <cell r="C101" t="str">
            <v>1/1</v>
          </cell>
          <cell r="D101">
            <v>32</v>
          </cell>
        </row>
        <row r="102">
          <cell r="A102" t="str">
            <v>C132XMPT/C14</v>
          </cell>
          <cell r="B102" t="str">
            <v>Pyrotechnology 2020 132sh</v>
          </cell>
          <cell r="C102" t="str">
            <v>1/1</v>
          </cell>
          <cell r="D102">
            <v>32</v>
          </cell>
        </row>
        <row r="103">
          <cell r="A103" t="str">
            <v>C132XMPT/C14(T)</v>
          </cell>
          <cell r="B103" t="str">
            <v>Pyrotechnology 2020 132sh</v>
          </cell>
          <cell r="C103" t="str">
            <v>1/1</v>
          </cell>
          <cell r="D103">
            <v>32</v>
          </cell>
        </row>
        <row r="104">
          <cell r="A104" t="str">
            <v>C13420B</v>
          </cell>
          <cell r="B104" t="str">
            <v>Strike   (Bobr)</v>
          </cell>
          <cell r="C104" t="str">
            <v>2/1</v>
          </cell>
          <cell r="D104">
            <v>20</v>
          </cell>
        </row>
        <row r="105">
          <cell r="A105" t="str">
            <v>C13420B E</v>
          </cell>
          <cell r="B105" t="str">
            <v>Bobr dummy</v>
          </cell>
          <cell r="C105" t="str">
            <v>1/1</v>
          </cell>
          <cell r="D105" t="str">
            <v/>
          </cell>
        </row>
        <row r="106">
          <cell r="A106" t="str">
            <v>C13420H</v>
          </cell>
          <cell r="B106" t="str">
            <v>Hell</v>
          </cell>
          <cell r="C106" t="str">
            <v>2/1</v>
          </cell>
          <cell r="D106">
            <v>20</v>
          </cell>
        </row>
        <row r="107">
          <cell r="A107" t="str">
            <v>C13420H E</v>
          </cell>
          <cell r="B107" t="str">
            <v>Hell dummy</v>
          </cell>
          <cell r="C107" t="str">
            <v>1/1</v>
          </cell>
          <cell r="D107" t="str">
            <v/>
          </cell>
        </row>
        <row r="108">
          <cell r="A108" t="str">
            <v>C136XMK/C14</v>
          </cell>
          <cell r="B108" t="str">
            <v>King fireworks 136</v>
          </cell>
          <cell r="C108" t="str">
            <v>1/1</v>
          </cell>
          <cell r="D108">
            <v>32</v>
          </cell>
        </row>
        <row r="109">
          <cell r="A109" t="str">
            <v>C136XMK/C14(T)</v>
          </cell>
          <cell r="B109" t="str">
            <v>King fireworks 136</v>
          </cell>
          <cell r="C109" t="str">
            <v>1/1</v>
          </cell>
          <cell r="D109">
            <v>32</v>
          </cell>
        </row>
        <row r="110">
          <cell r="A110" t="str">
            <v>C136XMTS/C14</v>
          </cell>
          <cell r="B110" t="str">
            <v>Turbo multi shots 70</v>
          </cell>
          <cell r="C110" t="str">
            <v>1/1</v>
          </cell>
          <cell r="D110">
            <v>32</v>
          </cell>
        </row>
        <row r="111">
          <cell r="A111" t="str">
            <v>C136XMTS/C14(T)</v>
          </cell>
          <cell r="B111" t="str">
            <v>Turbo multi shots 70</v>
          </cell>
          <cell r="C111" t="str">
            <v>1/1</v>
          </cell>
          <cell r="D111">
            <v>32</v>
          </cell>
        </row>
        <row r="112">
          <cell r="A112" t="str">
            <v>C14025XFS/C</v>
          </cell>
          <cell r="B112" t="str">
            <v>Fireworks show 140</v>
          </cell>
          <cell r="C112" t="str">
            <v>1/1</v>
          </cell>
          <cell r="D112" t="str">
            <v>32</v>
          </cell>
        </row>
        <row r="113">
          <cell r="A113" t="str">
            <v>C14025XFS/C(T)</v>
          </cell>
          <cell r="B113" t="str">
            <v>Fireworks show 140</v>
          </cell>
          <cell r="C113" t="str">
            <v>1/1</v>
          </cell>
          <cell r="D113" t="str">
            <v>32</v>
          </cell>
        </row>
        <row r="114">
          <cell r="A114" t="str">
            <v>C14025XFS/C14</v>
          </cell>
          <cell r="B114" t="str">
            <v>Profi Fireworks show 140</v>
          </cell>
          <cell r="C114" t="str">
            <v>1/1</v>
          </cell>
          <cell r="D114" t="str">
            <v>32</v>
          </cell>
        </row>
        <row r="115">
          <cell r="A115" t="str">
            <v>C14025XFS/C14(T)</v>
          </cell>
          <cell r="B115" t="str">
            <v>Fireworks show 140</v>
          </cell>
          <cell r="C115" t="str">
            <v>1/1</v>
          </cell>
          <cell r="D115" t="str">
            <v>32</v>
          </cell>
        </row>
        <row r="116">
          <cell r="A116" t="str">
            <v>C1503BPF/C</v>
          </cell>
          <cell r="B116" t="str">
            <v>Best price-Frozen 150/30mm</v>
          </cell>
          <cell r="C116" t="str">
            <v>1/1</v>
          </cell>
          <cell r="D116">
            <v>28</v>
          </cell>
        </row>
        <row r="117">
          <cell r="A117" t="str">
            <v>C1503BPF/C(T)</v>
          </cell>
          <cell r="B117" t="str">
            <v>Best price-Frozen 150/30mm</v>
          </cell>
          <cell r="C117" t="str">
            <v>1/1</v>
          </cell>
          <cell r="D117">
            <v>24</v>
          </cell>
        </row>
        <row r="118">
          <cell r="A118" t="str">
            <v>C1503X/C</v>
          </cell>
          <cell r="B118" t="str">
            <v>XXXL 150ran</v>
          </cell>
          <cell r="C118" t="str">
            <v>1/1</v>
          </cell>
          <cell r="D118">
            <v>28</v>
          </cell>
        </row>
        <row r="119">
          <cell r="A119" t="str">
            <v>C1503X/C(T)</v>
          </cell>
          <cell r="B119" t="str">
            <v>XXXL 150ran</v>
          </cell>
          <cell r="C119" t="str">
            <v>1/1</v>
          </cell>
          <cell r="D119">
            <v>24</v>
          </cell>
        </row>
        <row r="120">
          <cell r="A120" t="str">
            <v>C150MF/C</v>
          </cell>
          <cell r="B120" t="str">
            <v>Fireworks show 150</v>
          </cell>
          <cell r="C120" t="str">
            <v>1/1</v>
          </cell>
          <cell r="D120">
            <v>32</v>
          </cell>
        </row>
        <row r="121">
          <cell r="A121" t="str">
            <v>C150MF/C(T)</v>
          </cell>
          <cell r="B121" t="str">
            <v>Fireworks show 150</v>
          </cell>
          <cell r="C121" t="str">
            <v>1/1</v>
          </cell>
          <cell r="D121">
            <v>32</v>
          </cell>
        </row>
        <row r="122">
          <cell r="A122" t="str">
            <v>C150MF/C14</v>
          </cell>
          <cell r="B122" t="str">
            <v>Profi Fireworks show 150</v>
          </cell>
          <cell r="C122" t="str">
            <v>1/1</v>
          </cell>
          <cell r="D122">
            <v>32</v>
          </cell>
        </row>
        <row r="123">
          <cell r="A123" t="str">
            <v>C150MF/C14(T)</v>
          </cell>
          <cell r="B123" t="str">
            <v>Fireworks show 150</v>
          </cell>
          <cell r="C123" t="str">
            <v>1/1</v>
          </cell>
          <cell r="D123">
            <v>32</v>
          </cell>
        </row>
        <row r="124">
          <cell r="A124" t="str">
            <v>C150MPT/C</v>
          </cell>
          <cell r="B124" t="str">
            <v>Pyrotechnology 2020 150sh</v>
          </cell>
          <cell r="C124" t="str">
            <v>1/1</v>
          </cell>
          <cell r="D124">
            <v>32</v>
          </cell>
        </row>
        <row r="125">
          <cell r="A125" t="str">
            <v>C150MPT/C(T)</v>
          </cell>
          <cell r="B125" t="str">
            <v>Pyrotechnology 2020 150sh</v>
          </cell>
          <cell r="C125" t="str">
            <v>1/1</v>
          </cell>
          <cell r="D125">
            <v>32</v>
          </cell>
        </row>
        <row r="126">
          <cell r="A126" t="str">
            <v>C1614E14</v>
          </cell>
          <cell r="B126" t="str">
            <v>Edwin</v>
          </cell>
          <cell r="C126" t="str">
            <v>50/1</v>
          </cell>
          <cell r="D126">
            <v>48</v>
          </cell>
        </row>
        <row r="127">
          <cell r="A127" t="str">
            <v>C1614E14 E</v>
          </cell>
          <cell r="B127" t="str">
            <v>Edwin dummy</v>
          </cell>
          <cell r="C127" t="str">
            <v>1/1</v>
          </cell>
          <cell r="D127" t="str">
            <v/>
          </cell>
        </row>
        <row r="128">
          <cell r="A128" t="str">
            <v>C1620BPF</v>
          </cell>
          <cell r="B128" t="str">
            <v>Best price-Frozen 16/20mm</v>
          </cell>
          <cell r="C128" t="str">
            <v>24/1</v>
          </cell>
          <cell r="D128">
            <v>36</v>
          </cell>
        </row>
        <row r="129">
          <cell r="A129" t="str">
            <v>C1620DU</v>
          </cell>
          <cell r="B129" t="str">
            <v>Dumbum 16/20mm</v>
          </cell>
          <cell r="C129" t="str">
            <v>24/1</v>
          </cell>
          <cell r="D129">
            <v>36</v>
          </cell>
        </row>
        <row r="130">
          <cell r="A130" t="str">
            <v>C1620DU(5)</v>
          </cell>
          <cell r="B130" t="str">
            <v>Dumbum 16/20mm(5sec)</v>
          </cell>
          <cell r="C130" t="str">
            <v>24/1</v>
          </cell>
          <cell r="D130">
            <v>36</v>
          </cell>
        </row>
        <row r="131">
          <cell r="A131" t="str">
            <v>C1620DU(S)</v>
          </cell>
          <cell r="B131" t="str">
            <v>Dumbum 16/20mm(strong)</v>
          </cell>
          <cell r="C131" t="str">
            <v>24/1</v>
          </cell>
          <cell r="D131">
            <v>36</v>
          </cell>
        </row>
        <row r="132">
          <cell r="A132" t="str">
            <v>C1620F</v>
          </cell>
          <cell r="B132" t="str">
            <v>Frankinson Harley</v>
          </cell>
          <cell r="C132" t="str">
            <v>24/1</v>
          </cell>
          <cell r="D132">
            <v>36</v>
          </cell>
        </row>
        <row r="133">
          <cell r="A133" t="str">
            <v>C1620F14</v>
          </cell>
          <cell r="B133" t="str">
            <v>Frankinson Harley</v>
          </cell>
          <cell r="C133" t="str">
            <v>24/1</v>
          </cell>
          <cell r="D133">
            <v>36</v>
          </cell>
        </row>
        <row r="134">
          <cell r="A134" t="str">
            <v>C1620H</v>
          </cell>
          <cell r="B134" t="str">
            <v>Hnusák</v>
          </cell>
          <cell r="C134" t="str">
            <v>24/1</v>
          </cell>
          <cell r="D134">
            <v>36</v>
          </cell>
        </row>
        <row r="135">
          <cell r="A135" t="str">
            <v>C1620H14</v>
          </cell>
          <cell r="B135" t="str">
            <v>Hnusák</v>
          </cell>
          <cell r="C135" t="str">
            <v>24/1</v>
          </cell>
          <cell r="D135">
            <v>36</v>
          </cell>
        </row>
        <row r="136">
          <cell r="A136" t="str">
            <v>C1620M</v>
          </cell>
          <cell r="B136" t="str">
            <v>Mosquito</v>
          </cell>
          <cell r="C136" t="str">
            <v>24/1</v>
          </cell>
          <cell r="D136">
            <v>36</v>
          </cell>
        </row>
        <row r="137">
          <cell r="A137" t="str">
            <v>C1620M14</v>
          </cell>
          <cell r="B137" t="str">
            <v>Mosquito</v>
          </cell>
          <cell r="C137" t="str">
            <v>24/1</v>
          </cell>
          <cell r="D137">
            <v>36</v>
          </cell>
        </row>
        <row r="138">
          <cell r="A138" t="str">
            <v>C1620N</v>
          </cell>
          <cell r="B138" t="str">
            <v>Nuclear attack</v>
          </cell>
          <cell r="C138" t="str">
            <v>24/1</v>
          </cell>
          <cell r="D138">
            <v>36</v>
          </cell>
        </row>
        <row r="139">
          <cell r="A139" t="str">
            <v>C1620N14</v>
          </cell>
          <cell r="B139" t="str">
            <v>Nuclear attack</v>
          </cell>
          <cell r="C139" t="str">
            <v>24/1</v>
          </cell>
          <cell r="D139">
            <v>36</v>
          </cell>
        </row>
        <row r="140">
          <cell r="A140" t="str">
            <v>C1625B</v>
          </cell>
          <cell r="B140" t="str">
            <v>Helloween</v>
          </cell>
          <cell r="C140" t="str">
            <v>12/1</v>
          </cell>
          <cell r="D140">
            <v>45</v>
          </cell>
        </row>
        <row r="141">
          <cell r="A141" t="str">
            <v>C1625B14</v>
          </cell>
          <cell r="B141" t="str">
            <v>Helloween</v>
          </cell>
          <cell r="C141" t="str">
            <v>12/1</v>
          </cell>
          <cell r="D141">
            <v>45</v>
          </cell>
        </row>
        <row r="142">
          <cell r="A142" t="str">
            <v>C1625D</v>
          </cell>
          <cell r="B142" t="str">
            <v>Kamikadze</v>
          </cell>
          <cell r="C142" t="str">
            <v>12/1</v>
          </cell>
          <cell r="D142">
            <v>45</v>
          </cell>
        </row>
        <row r="143">
          <cell r="A143" t="str">
            <v>C1625D14</v>
          </cell>
          <cell r="B143" t="str">
            <v>Kamikadze</v>
          </cell>
          <cell r="C143" t="str">
            <v>12/1</v>
          </cell>
          <cell r="D143">
            <v>45</v>
          </cell>
        </row>
        <row r="144">
          <cell r="A144" t="str">
            <v>C1625ES E</v>
          </cell>
          <cell r="B144" t="str">
            <v>Esopeso dummy</v>
          </cell>
          <cell r="C144"/>
          <cell r="D144" t="str">
            <v/>
          </cell>
        </row>
        <row r="145">
          <cell r="A145" t="str">
            <v>C1625F</v>
          </cell>
          <cell r="B145" t="str">
            <v>Poker</v>
          </cell>
          <cell r="C145" t="str">
            <v>12/1</v>
          </cell>
          <cell r="D145">
            <v>45</v>
          </cell>
        </row>
        <row r="146">
          <cell r="A146" t="str">
            <v>C1625F14</v>
          </cell>
          <cell r="B146" t="str">
            <v>Poker</v>
          </cell>
          <cell r="C146" t="str">
            <v>12/1</v>
          </cell>
          <cell r="D146">
            <v>45</v>
          </cell>
        </row>
        <row r="147">
          <cell r="A147" t="str">
            <v>C1625G</v>
          </cell>
          <cell r="B147" t="str">
            <v>Houbičky</v>
          </cell>
          <cell r="C147" t="str">
            <v>12/1</v>
          </cell>
          <cell r="D147">
            <v>45</v>
          </cell>
        </row>
        <row r="148">
          <cell r="A148" t="str">
            <v>C163A</v>
          </cell>
          <cell r="B148" t="str">
            <v>Orcs pyro</v>
          </cell>
          <cell r="C148" t="str">
            <v>10/1</v>
          </cell>
          <cell r="D148">
            <v>32</v>
          </cell>
        </row>
        <row r="149">
          <cell r="A149" t="str">
            <v>C163A14</v>
          </cell>
          <cell r="B149" t="str">
            <v>Orcs pyro</v>
          </cell>
          <cell r="C149" t="str">
            <v>10/1</v>
          </cell>
          <cell r="D149">
            <v>32</v>
          </cell>
        </row>
        <row r="150">
          <cell r="A150" t="str">
            <v>C163B</v>
          </cell>
          <cell r="B150" t="str">
            <v>Zlobr</v>
          </cell>
          <cell r="C150" t="str">
            <v>10/1</v>
          </cell>
          <cell r="D150">
            <v>32</v>
          </cell>
        </row>
        <row r="151">
          <cell r="A151" t="str">
            <v>C163BP</v>
          </cell>
          <cell r="B151" t="str">
            <v>Best price 16/30mm</v>
          </cell>
          <cell r="C151" t="str">
            <v>10/1</v>
          </cell>
          <cell r="D151">
            <v>32</v>
          </cell>
        </row>
        <row r="152">
          <cell r="A152" t="str">
            <v>C163E</v>
          </cell>
          <cell r="B152" t="str">
            <v>Meteor</v>
          </cell>
          <cell r="C152" t="str">
            <v>10/1</v>
          </cell>
          <cell r="D152">
            <v>32</v>
          </cell>
        </row>
        <row r="153">
          <cell r="A153" t="str">
            <v>C163F E</v>
          </cell>
          <cell r="B153" t="str">
            <v>Gladiátor dummy</v>
          </cell>
          <cell r="C153"/>
          <cell r="D153" t="str">
            <v/>
          </cell>
        </row>
        <row r="154">
          <cell r="A154" t="str">
            <v>C163I E</v>
          </cell>
          <cell r="B154" t="str">
            <v>Mord Parta dummy</v>
          </cell>
          <cell r="C154"/>
          <cell r="D154" t="str">
            <v/>
          </cell>
        </row>
        <row r="155">
          <cell r="A155" t="str">
            <v>C163K</v>
          </cell>
          <cell r="B155" t="str">
            <v>Kung-fu morče</v>
          </cell>
          <cell r="C155" t="str">
            <v>10/1</v>
          </cell>
          <cell r="D155">
            <v>32</v>
          </cell>
        </row>
        <row r="156">
          <cell r="A156" t="str">
            <v>C163L</v>
          </cell>
          <cell r="B156" t="str">
            <v>Trolice</v>
          </cell>
          <cell r="C156" t="str">
            <v>10/1</v>
          </cell>
          <cell r="D156">
            <v>32</v>
          </cell>
        </row>
        <row r="157">
          <cell r="A157" t="str">
            <v>C163L E</v>
          </cell>
          <cell r="B157" t="str">
            <v>Trolice dummy</v>
          </cell>
          <cell r="C157"/>
          <cell r="D157" t="str">
            <v/>
          </cell>
        </row>
        <row r="158">
          <cell r="A158" t="str">
            <v>C163SIG</v>
          </cell>
          <cell r="B158" t="str">
            <v>Signature range 16sh</v>
          </cell>
          <cell r="C158" t="str">
            <v>10/1</v>
          </cell>
          <cell r="D158">
            <v>32</v>
          </cell>
        </row>
        <row r="159">
          <cell r="A159" t="str">
            <v>C165D E</v>
          </cell>
          <cell r="B159" t="str">
            <v>Ďáblův Šleh dummy</v>
          </cell>
          <cell r="C159"/>
          <cell r="D159" t="str">
            <v/>
          </cell>
        </row>
        <row r="160">
          <cell r="A160" t="str">
            <v>C165JA</v>
          </cell>
          <cell r="B160" t="str">
            <v>Jánošík</v>
          </cell>
          <cell r="C160" t="str">
            <v>3/1</v>
          </cell>
          <cell r="D160">
            <v>25</v>
          </cell>
        </row>
        <row r="161">
          <cell r="A161" t="str">
            <v>C165P</v>
          </cell>
          <cell r="B161" t="str">
            <v>Pandora</v>
          </cell>
          <cell r="C161" t="str">
            <v>3/1</v>
          </cell>
          <cell r="D161">
            <v>25</v>
          </cell>
        </row>
        <row r="162">
          <cell r="A162" t="str">
            <v>C165P E</v>
          </cell>
          <cell r="B162" t="str">
            <v>Pandora dummy</v>
          </cell>
          <cell r="C162" t="str">
            <v>1/1</v>
          </cell>
          <cell r="D162" t="str">
            <v/>
          </cell>
        </row>
        <row r="163">
          <cell r="A163" t="str">
            <v>C175MF/C</v>
          </cell>
          <cell r="B163" t="str">
            <v>Fireworks show 175</v>
          </cell>
          <cell r="C163" t="str">
            <v>1/1</v>
          </cell>
          <cell r="D163" t="str">
            <v>15</v>
          </cell>
        </row>
        <row r="164">
          <cell r="A164" t="str">
            <v>C175MF/C(T)</v>
          </cell>
          <cell r="B164"/>
          <cell r="C164"/>
          <cell r="D164">
            <v>15</v>
          </cell>
        </row>
        <row r="165">
          <cell r="A165" t="str">
            <v>C175MSIG/C</v>
          </cell>
          <cell r="B165" t="str">
            <v>Signature range 175ran</v>
          </cell>
          <cell r="C165" t="str">
            <v>1/1</v>
          </cell>
          <cell r="D165" t="str">
            <v>15</v>
          </cell>
        </row>
        <row r="166">
          <cell r="A166" t="str">
            <v>C175MSIG/C(T)</v>
          </cell>
          <cell r="B166" t="str">
            <v>Signature range 175ran</v>
          </cell>
          <cell r="C166" t="str">
            <v>1/1</v>
          </cell>
          <cell r="D166" t="str">
            <v>15</v>
          </cell>
        </row>
        <row r="167">
          <cell r="A167" t="str">
            <v>C17825W/C</v>
          </cell>
          <cell r="B167" t="str">
            <v>War of worlds</v>
          </cell>
          <cell r="C167" t="str">
            <v>1/1</v>
          </cell>
          <cell r="D167" t="str">
            <v>18</v>
          </cell>
        </row>
        <row r="168">
          <cell r="A168" t="str">
            <v>C17825W/C(T)</v>
          </cell>
          <cell r="B168" t="str">
            <v>War of worlds</v>
          </cell>
          <cell r="C168" t="str">
            <v>1/1</v>
          </cell>
          <cell r="D168" t="str">
            <v>18</v>
          </cell>
        </row>
        <row r="169">
          <cell r="A169" t="str">
            <v>C18020SIG/C</v>
          </cell>
          <cell r="B169" t="str">
            <v>Signature range 180ran</v>
          </cell>
          <cell r="C169" t="str">
            <v>1/1</v>
          </cell>
          <cell r="D169">
            <v>66</v>
          </cell>
        </row>
        <row r="170">
          <cell r="A170" t="str">
            <v>C18020SIG/C(T)</v>
          </cell>
          <cell r="B170" t="str">
            <v>Signature range 180ran</v>
          </cell>
          <cell r="C170" t="str">
            <v>1/1</v>
          </cell>
          <cell r="D170">
            <v>66</v>
          </cell>
        </row>
        <row r="171">
          <cell r="A171" t="str">
            <v>C19220F/C</v>
          </cell>
          <cell r="B171" t="str">
            <v>Fireworks show 192/20mm</v>
          </cell>
          <cell r="C171" t="str">
            <v>1/1</v>
          </cell>
          <cell r="D171">
            <v>66</v>
          </cell>
        </row>
        <row r="172">
          <cell r="A172" t="str">
            <v>C19220F/C(T)</v>
          </cell>
          <cell r="B172" t="str">
            <v>Fireworks show 192/20mm</v>
          </cell>
          <cell r="C172" t="str">
            <v>1/1</v>
          </cell>
          <cell r="D172">
            <v>66</v>
          </cell>
        </row>
        <row r="173">
          <cell r="A173" t="str">
            <v>C19220F/C14</v>
          </cell>
          <cell r="B173" t="str">
            <v>Fireworks show 192/20mm</v>
          </cell>
          <cell r="C173" t="str">
            <v>1/1</v>
          </cell>
          <cell r="D173">
            <v>66</v>
          </cell>
        </row>
        <row r="174">
          <cell r="A174" t="str">
            <v>C19220F/C14(T)</v>
          </cell>
          <cell r="B174" t="str">
            <v>Fireworks show 192/20mm</v>
          </cell>
          <cell r="C174" t="str">
            <v>1/1</v>
          </cell>
          <cell r="D174">
            <v>66</v>
          </cell>
        </row>
        <row r="175">
          <cell r="A175" t="str">
            <v>C19225MF/C14</v>
          </cell>
          <cell r="B175" t="str">
            <v>Profi Fireworks show 192</v>
          </cell>
          <cell r="C175" t="str">
            <v>1/1</v>
          </cell>
          <cell r="D175">
            <v>20</v>
          </cell>
        </row>
        <row r="176">
          <cell r="A176" t="str">
            <v>C19225MF/C14(T)</v>
          </cell>
          <cell r="B176" t="str">
            <v>Fireworks show 192</v>
          </cell>
          <cell r="C176" t="str">
            <v>1/1</v>
          </cell>
          <cell r="D176">
            <v>20</v>
          </cell>
        </row>
        <row r="177">
          <cell r="A177" t="str">
            <v>C1923XMF/C</v>
          </cell>
          <cell r="B177" t="str">
            <v>Profi Fireworks show 192-I+V+W+FAN</v>
          </cell>
          <cell r="C177" t="str">
            <v>1/1</v>
          </cell>
          <cell r="D177">
            <v>14</v>
          </cell>
        </row>
        <row r="178">
          <cell r="A178" t="str">
            <v>C193BP</v>
          </cell>
          <cell r="B178" t="str">
            <v>Best price 19/30mm</v>
          </cell>
          <cell r="C178" t="str">
            <v>8/1</v>
          </cell>
          <cell r="D178">
            <v>24</v>
          </cell>
        </row>
        <row r="179">
          <cell r="A179" t="str">
            <v>C193C</v>
          </cell>
          <cell r="B179" t="str">
            <v>Radar</v>
          </cell>
          <cell r="C179" t="str">
            <v>8/1</v>
          </cell>
          <cell r="D179">
            <v>24</v>
          </cell>
        </row>
        <row r="180">
          <cell r="A180" t="str">
            <v>C193D</v>
          </cell>
          <cell r="B180" t="str">
            <v>Super Chip</v>
          </cell>
          <cell r="C180" t="str">
            <v>8/1</v>
          </cell>
          <cell r="D180">
            <v>24</v>
          </cell>
        </row>
        <row r="181">
          <cell r="A181" t="str">
            <v>C193F</v>
          </cell>
          <cell r="B181" t="str">
            <v>Maska</v>
          </cell>
          <cell r="C181" t="str">
            <v>8/1</v>
          </cell>
          <cell r="D181">
            <v>24</v>
          </cell>
        </row>
        <row r="182">
          <cell r="A182" t="str">
            <v>C193I</v>
          </cell>
          <cell r="B182" t="str">
            <v>Dragon</v>
          </cell>
          <cell r="C182" t="str">
            <v>8/1</v>
          </cell>
          <cell r="D182">
            <v>24</v>
          </cell>
        </row>
        <row r="183">
          <cell r="A183" t="str">
            <v>C193J</v>
          </cell>
          <cell r="B183" t="str">
            <v>Kerberos</v>
          </cell>
          <cell r="C183" t="str">
            <v>8/1</v>
          </cell>
          <cell r="D183">
            <v>24</v>
          </cell>
        </row>
        <row r="184">
          <cell r="A184" t="str">
            <v>C19620SIG/C</v>
          </cell>
          <cell r="B184" t="str">
            <v>Signature range 196ran</v>
          </cell>
          <cell r="C184" t="str">
            <v>1/1</v>
          </cell>
          <cell r="D184" t="str">
            <v>66</v>
          </cell>
        </row>
        <row r="185">
          <cell r="A185" t="str">
            <v>C19620SIG/C(T)</v>
          </cell>
          <cell r="B185" t="str">
            <v>Signature range 196ran</v>
          </cell>
          <cell r="C185" t="str">
            <v>1/1</v>
          </cell>
          <cell r="D185" t="str">
            <v>66</v>
          </cell>
        </row>
        <row r="186">
          <cell r="A186" t="str">
            <v>C19625/C14</v>
          </cell>
          <cell r="B186" t="str">
            <v>Fireworks show 196</v>
          </cell>
          <cell r="C186" t="str">
            <v>1/1</v>
          </cell>
          <cell r="D186" t="str">
            <v>18</v>
          </cell>
        </row>
        <row r="187">
          <cell r="A187" t="str">
            <v>C19625/C14(T)</v>
          </cell>
          <cell r="B187" t="str">
            <v>Fireworks show 196</v>
          </cell>
          <cell r="C187" t="str">
            <v>1/1</v>
          </cell>
          <cell r="D187" t="str">
            <v>18</v>
          </cell>
        </row>
        <row r="188">
          <cell r="A188" t="str">
            <v>C19625F/C</v>
          </cell>
          <cell r="B188" t="str">
            <v>Fireworks show 196</v>
          </cell>
          <cell r="C188" t="str">
            <v>1/1</v>
          </cell>
          <cell r="D188" t="str">
            <v>18</v>
          </cell>
        </row>
        <row r="189">
          <cell r="A189" t="str">
            <v>C19625F/C(T)</v>
          </cell>
          <cell r="B189" t="str">
            <v>Fireworks show 196</v>
          </cell>
          <cell r="C189" t="str">
            <v>1/1</v>
          </cell>
          <cell r="D189" t="str">
            <v>18</v>
          </cell>
        </row>
        <row r="190">
          <cell r="A190" t="str">
            <v>C20020BP</v>
          </cell>
          <cell r="B190" t="str">
            <v>Best price 200/20mm</v>
          </cell>
          <cell r="C190" t="str">
            <v>2/1</v>
          </cell>
          <cell r="D190">
            <v>20</v>
          </cell>
        </row>
        <row r="191">
          <cell r="A191" t="str">
            <v>C20020BPF</v>
          </cell>
          <cell r="B191" t="str">
            <v>Best price-Frozen 200/20mm</v>
          </cell>
          <cell r="C191" t="str">
            <v>2/1</v>
          </cell>
          <cell r="D191">
            <v>20</v>
          </cell>
        </row>
        <row r="192">
          <cell r="A192" t="str">
            <v>C20020BPS</v>
          </cell>
          <cell r="B192" t="str">
            <v>Best price Slow motion 200/20mm</v>
          </cell>
          <cell r="C192" t="str">
            <v>2/1</v>
          </cell>
          <cell r="D192">
            <v>20</v>
          </cell>
        </row>
        <row r="193">
          <cell r="A193" t="str">
            <v>C20020PR</v>
          </cell>
          <cell r="B193" t="str">
            <v>Profi show 200/20mm</v>
          </cell>
          <cell r="C193" t="str">
            <v>2/1</v>
          </cell>
          <cell r="D193">
            <v>20</v>
          </cell>
        </row>
        <row r="194">
          <cell r="A194" t="str">
            <v>C20020XBP</v>
          </cell>
          <cell r="B194" t="str">
            <v>Best price multi shape 200/20mm</v>
          </cell>
          <cell r="C194" t="str">
            <v>2/1</v>
          </cell>
          <cell r="D194">
            <v>22</v>
          </cell>
        </row>
        <row r="195">
          <cell r="A195" t="str">
            <v>C20020XBPW</v>
          </cell>
          <cell r="B195" t="str">
            <v>Best price Wild fire multi 200/20mm</v>
          </cell>
          <cell r="C195" t="str">
            <v>2/1</v>
          </cell>
          <cell r="D195">
            <v>22</v>
          </cell>
        </row>
        <row r="196">
          <cell r="A196" t="str">
            <v>C20020XPR</v>
          </cell>
          <cell r="B196" t="str">
            <v>Profi show multi shape 200/20mm</v>
          </cell>
          <cell r="C196" t="str">
            <v>2/1</v>
          </cell>
          <cell r="D196">
            <v>20</v>
          </cell>
        </row>
        <row r="197">
          <cell r="A197" t="str">
            <v>C20020XPR/C14</v>
          </cell>
          <cell r="B197" t="str">
            <v>Profi show multi shape 200/20mm</v>
          </cell>
          <cell r="C197" t="str">
            <v>1/1</v>
          </cell>
          <cell r="D197" t="str">
            <v>40</v>
          </cell>
        </row>
        <row r="198">
          <cell r="A198" t="str">
            <v>C20020XPR/C14(T)</v>
          </cell>
          <cell r="B198" t="str">
            <v>Profi show multi shape 200/20mm</v>
          </cell>
          <cell r="C198" t="str">
            <v>1/1</v>
          </cell>
          <cell r="D198" t="str">
            <v>40</v>
          </cell>
        </row>
        <row r="199">
          <cell r="A199" t="str">
            <v>C20020XTS/C14</v>
          </cell>
          <cell r="B199" t="str">
            <v>Turbo 20mm shots 80</v>
          </cell>
          <cell r="C199" t="str">
            <v>1/1</v>
          </cell>
          <cell r="D199" t="str">
            <v>40</v>
          </cell>
        </row>
        <row r="200">
          <cell r="A200" t="str">
            <v>C20020XTS/C14(T)</v>
          </cell>
          <cell r="B200" t="str">
            <v>Turbo 20mm shots 80</v>
          </cell>
          <cell r="C200" t="str">
            <v>1/1</v>
          </cell>
          <cell r="D200" t="str">
            <v>40</v>
          </cell>
        </row>
        <row r="201">
          <cell r="A201" t="str">
            <v>C20025BPS/C</v>
          </cell>
          <cell r="B201" t="str">
            <v>Best price Slow motion 200/25mm</v>
          </cell>
          <cell r="C201" t="str">
            <v>1/1</v>
          </cell>
          <cell r="D201">
            <v>36</v>
          </cell>
        </row>
        <row r="202">
          <cell r="A202" t="str">
            <v>C20025F/C</v>
          </cell>
          <cell r="B202" t="str">
            <v>Fireworks show 200/25mm</v>
          </cell>
          <cell r="C202" t="str">
            <v>1/1</v>
          </cell>
          <cell r="D202">
            <v>36</v>
          </cell>
        </row>
        <row r="203">
          <cell r="A203" t="str">
            <v>C20025F/C(T)</v>
          </cell>
          <cell r="B203" t="str">
            <v>Fireworks show 200/25mm</v>
          </cell>
          <cell r="C203" t="str">
            <v>1/1</v>
          </cell>
          <cell r="D203">
            <v>30</v>
          </cell>
        </row>
        <row r="204">
          <cell r="A204" t="str">
            <v>C2003BP/C</v>
          </cell>
          <cell r="B204" t="str">
            <v>Best price 200/30mm</v>
          </cell>
          <cell r="C204" t="str">
            <v>1/1</v>
          </cell>
          <cell r="D204">
            <v>18</v>
          </cell>
        </row>
        <row r="205">
          <cell r="A205" t="str">
            <v>C2003BP/C(T)</v>
          </cell>
          <cell r="B205" t="str">
            <v>Best price 200/30mm</v>
          </cell>
          <cell r="C205" t="str">
            <v>1/1</v>
          </cell>
          <cell r="D205">
            <v>21</v>
          </cell>
        </row>
        <row r="206">
          <cell r="A206" t="str">
            <v>C2003F/C</v>
          </cell>
          <cell r="B206" t="str">
            <v>Fireworks show 200</v>
          </cell>
          <cell r="C206" t="str">
            <v>1/1</v>
          </cell>
          <cell r="D206">
            <v>18</v>
          </cell>
        </row>
        <row r="207">
          <cell r="A207" t="str">
            <v>C2003SIG/C</v>
          </cell>
          <cell r="B207" t="str">
            <v>Signature range 200ran</v>
          </cell>
          <cell r="C207" t="str">
            <v>1/1</v>
          </cell>
          <cell r="D207">
            <v>18</v>
          </cell>
        </row>
        <row r="208">
          <cell r="A208" t="str">
            <v>C2003SIG/C(T)</v>
          </cell>
          <cell r="B208" t="str">
            <v>Signature range 200ran</v>
          </cell>
          <cell r="C208" t="str">
            <v>1/1</v>
          </cell>
          <cell r="D208">
            <v>21</v>
          </cell>
        </row>
        <row r="209">
          <cell r="A209" t="str">
            <v>C2003U/C</v>
          </cell>
          <cell r="B209" t="str">
            <v xml:space="preserve">Universe </v>
          </cell>
          <cell r="C209" t="str">
            <v>1/1</v>
          </cell>
          <cell r="D209">
            <v>18</v>
          </cell>
        </row>
        <row r="210">
          <cell r="A210" t="str">
            <v>C2003U/C(T)</v>
          </cell>
          <cell r="B210" t="str">
            <v xml:space="preserve">Universe </v>
          </cell>
          <cell r="C210" t="str">
            <v>1/1</v>
          </cell>
          <cell r="D210">
            <v>21</v>
          </cell>
        </row>
        <row r="211">
          <cell r="A211" t="str">
            <v>C200MF/C</v>
          </cell>
          <cell r="B211" t="str">
            <v>Fireworks show 200</v>
          </cell>
          <cell r="C211" t="str">
            <v>1/1</v>
          </cell>
          <cell r="D211">
            <v>24</v>
          </cell>
        </row>
        <row r="212">
          <cell r="A212" t="str">
            <v>C200MF/C(T)</v>
          </cell>
          <cell r="B212" t="str">
            <v>Fireworks show 200</v>
          </cell>
          <cell r="C212" t="str">
            <v>1/1</v>
          </cell>
          <cell r="D212">
            <v>24</v>
          </cell>
        </row>
        <row r="213">
          <cell r="A213" t="str">
            <v>C200MF/C14</v>
          </cell>
          <cell r="B213" t="str">
            <v>Profi Fireworks show 200</v>
          </cell>
          <cell r="C213" t="str">
            <v>1/1</v>
          </cell>
          <cell r="D213">
            <v>24</v>
          </cell>
        </row>
        <row r="214">
          <cell r="A214" t="str">
            <v>C200MF/C14(T)</v>
          </cell>
          <cell r="B214" t="str">
            <v>Fireworks show 200</v>
          </cell>
          <cell r="C214" t="str">
            <v>1/1</v>
          </cell>
          <cell r="D214">
            <v>24</v>
          </cell>
        </row>
        <row r="215">
          <cell r="A215" t="str">
            <v>C204XMPT/C</v>
          </cell>
          <cell r="B215" t="str">
            <v>Pyrotechnology 2020 204sh</v>
          </cell>
          <cell r="C215" t="str">
            <v>1/1</v>
          </cell>
          <cell r="D215">
            <v>21</v>
          </cell>
        </row>
        <row r="216">
          <cell r="A216" t="str">
            <v>C204XMPT/C(T)</v>
          </cell>
          <cell r="B216" t="str">
            <v>Pyrotechnology 2020 204sh</v>
          </cell>
          <cell r="C216" t="str">
            <v>1/1</v>
          </cell>
          <cell r="D216">
            <v>21</v>
          </cell>
        </row>
        <row r="217">
          <cell r="A217" t="str">
            <v>C204XMPT/C14</v>
          </cell>
          <cell r="B217" t="str">
            <v>Pyrotechnology 2020 204sh</v>
          </cell>
          <cell r="C217" t="str">
            <v>1/1</v>
          </cell>
          <cell r="D217">
            <v>21</v>
          </cell>
        </row>
        <row r="218">
          <cell r="A218" t="str">
            <v>C204XMPT/C14(T)</v>
          </cell>
          <cell r="B218" t="str">
            <v>Pyrotechnology 2020 204sh</v>
          </cell>
          <cell r="C218" t="str">
            <v>1/1</v>
          </cell>
          <cell r="D218">
            <v>21</v>
          </cell>
        </row>
        <row r="219">
          <cell r="A219" t="str">
            <v>C20814XPR14</v>
          </cell>
          <cell r="B219" t="str">
            <v>Profi show 208</v>
          </cell>
          <cell r="C219" t="str">
            <v>4/1</v>
          </cell>
          <cell r="D219">
            <v>24</v>
          </cell>
        </row>
        <row r="220">
          <cell r="A220" t="str">
            <v>C212MF/C</v>
          </cell>
          <cell r="B220" t="str">
            <v>Profi Fireworks show 212</v>
          </cell>
          <cell r="C220" t="str">
            <v>1/1</v>
          </cell>
          <cell r="D220">
            <v>24</v>
          </cell>
        </row>
        <row r="221">
          <cell r="A221" t="str">
            <v>C212MF/C(T)</v>
          </cell>
          <cell r="B221" t="str">
            <v>Fireworks show 212</v>
          </cell>
          <cell r="C221" t="str">
            <v>1/1</v>
          </cell>
          <cell r="D221">
            <v>24</v>
          </cell>
        </row>
        <row r="222">
          <cell r="A222" t="str">
            <v>C216XMFS/C</v>
          </cell>
          <cell r="B222" t="str">
            <v>Fireworks show 216</v>
          </cell>
          <cell r="C222" t="str">
            <v>1/1</v>
          </cell>
          <cell r="D222">
            <v>32</v>
          </cell>
        </row>
        <row r="223">
          <cell r="A223" t="str">
            <v>C216XMFS/C(T)</v>
          </cell>
          <cell r="B223" t="str">
            <v>Fireworks show 216</v>
          </cell>
          <cell r="C223" t="str">
            <v>1/1</v>
          </cell>
          <cell r="D223">
            <v>32</v>
          </cell>
        </row>
        <row r="224">
          <cell r="A224" t="str">
            <v>C216XMFS/C14</v>
          </cell>
          <cell r="B224" t="str">
            <v>Fireworks show 216</v>
          </cell>
          <cell r="C224" t="str">
            <v>1/1</v>
          </cell>
          <cell r="D224">
            <v>32</v>
          </cell>
        </row>
        <row r="225">
          <cell r="A225" t="str">
            <v>C216XMFS/C14(T)</v>
          </cell>
          <cell r="B225" t="str">
            <v>Fireworks show 216</v>
          </cell>
          <cell r="C225" t="str">
            <v>1/1</v>
          </cell>
          <cell r="D225">
            <v>32</v>
          </cell>
        </row>
        <row r="226">
          <cell r="A226" t="str">
            <v>C219XMPT/C</v>
          </cell>
          <cell r="B226" t="str">
            <v>Pyrotechnology 2020 219sh</v>
          </cell>
          <cell r="C226" t="str">
            <v>1/1</v>
          </cell>
          <cell r="D226">
            <v>12</v>
          </cell>
        </row>
        <row r="227">
          <cell r="A227" t="str">
            <v>C219XMPT/C(T)</v>
          </cell>
          <cell r="B227" t="str">
            <v>Pyrotechnology 2020 219sh</v>
          </cell>
          <cell r="C227" t="str">
            <v>1/1</v>
          </cell>
          <cell r="D227">
            <v>12</v>
          </cell>
        </row>
        <row r="228">
          <cell r="A228" t="str">
            <v>C222MF/C</v>
          </cell>
          <cell r="B228" t="str">
            <v>Fireworks show 222</v>
          </cell>
          <cell r="C228" t="str">
            <v>1/1</v>
          </cell>
          <cell r="D228">
            <v>6</v>
          </cell>
        </row>
        <row r="229">
          <cell r="A229" t="str">
            <v>C222MF/C(T)</v>
          </cell>
          <cell r="B229" t="str">
            <v>Fireworks show 222</v>
          </cell>
          <cell r="C229" t="str">
            <v>1/1</v>
          </cell>
          <cell r="D229" t="str">
            <v>12</v>
          </cell>
        </row>
        <row r="230">
          <cell r="A230" t="str">
            <v>C222MNPT/C</v>
          </cell>
          <cell r="B230" t="str">
            <v>Pyrotechnology 2020 222sh</v>
          </cell>
          <cell r="C230" t="str">
            <v>1/1</v>
          </cell>
          <cell r="D230">
            <v>6</v>
          </cell>
        </row>
        <row r="231">
          <cell r="A231" t="str">
            <v>C222MNPT/C(T)</v>
          </cell>
          <cell r="B231" t="str">
            <v>Pyrotechnology 2020 222sh</v>
          </cell>
          <cell r="C231" t="str">
            <v>1/1</v>
          </cell>
          <cell r="D231" t="str">
            <v>12</v>
          </cell>
        </row>
        <row r="232">
          <cell r="A232" t="str">
            <v>C223MF/C</v>
          </cell>
          <cell r="B232" t="str">
            <v>Profi Fireworks show 223</v>
          </cell>
          <cell r="C232" t="str">
            <v>1/1</v>
          </cell>
          <cell r="D232">
            <v>24</v>
          </cell>
        </row>
        <row r="233">
          <cell r="A233" t="str">
            <v>C223MF/C E</v>
          </cell>
          <cell r="B233" t="str">
            <v>Fireworks show 223 dummy</v>
          </cell>
          <cell r="C233" t="str">
            <v>1/1</v>
          </cell>
          <cell r="D233" t="str">
            <v/>
          </cell>
        </row>
        <row r="234">
          <cell r="A234" t="str">
            <v>C223MF/C(T)</v>
          </cell>
          <cell r="B234" t="str">
            <v>Fireworks show 223</v>
          </cell>
          <cell r="C234" t="str">
            <v>1/1</v>
          </cell>
          <cell r="D234">
            <v>24</v>
          </cell>
        </row>
        <row r="235">
          <cell r="A235" t="str">
            <v>C223MM/C E</v>
          </cell>
          <cell r="B235" t="str">
            <v>Masterblaster dummy</v>
          </cell>
          <cell r="C235"/>
          <cell r="D235" t="str">
            <v/>
          </cell>
        </row>
        <row r="236">
          <cell r="A236" t="str">
            <v>C223XMK/C</v>
          </cell>
          <cell r="B236" t="str">
            <v>King fireworks 223</v>
          </cell>
          <cell r="C236" t="str">
            <v>1/1</v>
          </cell>
          <cell r="D236">
            <v>18</v>
          </cell>
        </row>
        <row r="237">
          <cell r="A237" t="str">
            <v>C223XMK/C(T)</v>
          </cell>
          <cell r="B237" t="str">
            <v>King fireworks 223</v>
          </cell>
          <cell r="C237" t="str">
            <v>1/1</v>
          </cell>
          <cell r="D237">
            <v>18</v>
          </cell>
        </row>
        <row r="238">
          <cell r="A238" t="str">
            <v>C223XMK/C14</v>
          </cell>
          <cell r="B238" t="str">
            <v>King fireworks 223</v>
          </cell>
          <cell r="C238" t="str">
            <v>1/1</v>
          </cell>
          <cell r="D238">
            <v>18</v>
          </cell>
        </row>
        <row r="239">
          <cell r="A239" t="str">
            <v>C223XMK/C14(T)</v>
          </cell>
          <cell r="B239" t="str">
            <v>King fireworks 223</v>
          </cell>
          <cell r="C239" t="str">
            <v>1/1</v>
          </cell>
          <cell r="D239">
            <v>18</v>
          </cell>
        </row>
        <row r="240">
          <cell r="A240" t="str">
            <v>C23MO</v>
          </cell>
          <cell r="B240" t="str">
            <v>Obelix</v>
          </cell>
          <cell r="C240" t="str">
            <v>6/1</v>
          </cell>
          <cell r="D240">
            <v>12</v>
          </cell>
        </row>
        <row r="241">
          <cell r="A241" t="str">
            <v>C2463A E</v>
          </cell>
          <cell r="B241" t="str">
            <v>Red Glow dummy</v>
          </cell>
          <cell r="C241"/>
          <cell r="D241" t="str">
            <v/>
          </cell>
        </row>
        <row r="242">
          <cell r="A242" t="str">
            <v>C2463B</v>
          </cell>
          <cell r="B242" t="str">
            <v>Big Show</v>
          </cell>
          <cell r="C242" t="str">
            <v>2/1</v>
          </cell>
          <cell r="D242" t="str">
            <v>16</v>
          </cell>
        </row>
        <row r="243">
          <cell r="A243" t="str">
            <v>C24MH</v>
          </cell>
          <cell r="B243" t="str">
            <v>Hluk</v>
          </cell>
          <cell r="C243" t="str">
            <v>8/1</v>
          </cell>
          <cell r="D243">
            <v>28</v>
          </cell>
        </row>
        <row r="244">
          <cell r="A244" t="str">
            <v>C2505D</v>
          </cell>
          <cell r="B244" t="str">
            <v>Dumbum 250</v>
          </cell>
          <cell r="C244" t="str">
            <v>2/1</v>
          </cell>
          <cell r="D244">
            <v>20</v>
          </cell>
        </row>
        <row r="245">
          <cell r="A245" t="str">
            <v>C2508R</v>
          </cell>
          <cell r="B245" t="str">
            <v xml:space="preserve">Scream 25   (Raketomet 25ran)   </v>
          </cell>
          <cell r="C245" t="str">
            <v>30/4</v>
          </cell>
          <cell r="D245">
            <v>40</v>
          </cell>
        </row>
        <row r="246">
          <cell r="A246" t="str">
            <v>C2520BP</v>
          </cell>
          <cell r="B246" t="str">
            <v>Best price 25/20mm</v>
          </cell>
          <cell r="C246" t="str">
            <v>12/1</v>
          </cell>
          <cell r="D246">
            <v>54</v>
          </cell>
        </row>
        <row r="247">
          <cell r="A247" t="str">
            <v>C2520DI</v>
          </cell>
          <cell r="B247" t="str">
            <v>Dinomit</v>
          </cell>
          <cell r="C247" t="str">
            <v>12/1</v>
          </cell>
          <cell r="D247">
            <v>54</v>
          </cell>
        </row>
        <row r="248">
          <cell r="A248" t="str">
            <v>C2520DI14</v>
          </cell>
          <cell r="B248" t="str">
            <v>Dinomit</v>
          </cell>
          <cell r="C248" t="str">
            <v>12/1</v>
          </cell>
          <cell r="D248">
            <v>54</v>
          </cell>
        </row>
        <row r="249">
          <cell r="A249" t="str">
            <v>C2520E E</v>
          </cell>
          <cell r="B249" t="str">
            <v>Extreme dummy</v>
          </cell>
          <cell r="C249"/>
          <cell r="D249" t="str">
            <v/>
          </cell>
        </row>
        <row r="250">
          <cell r="A250" t="str">
            <v>C2520R</v>
          </cell>
          <cell r="B250" t="str">
            <v>Radiation</v>
          </cell>
          <cell r="C250" t="str">
            <v>12/1</v>
          </cell>
          <cell r="D250">
            <v>54</v>
          </cell>
        </row>
        <row r="251">
          <cell r="A251" t="str">
            <v>C2520SE</v>
          </cell>
          <cell r="B251" t="str">
            <v>Senior</v>
          </cell>
          <cell r="C251" t="str">
            <v>12/1</v>
          </cell>
          <cell r="D251">
            <v>54</v>
          </cell>
        </row>
        <row r="252">
          <cell r="A252" t="str">
            <v>C2520SE14</v>
          </cell>
          <cell r="B252" t="str">
            <v>Senior</v>
          </cell>
          <cell r="C252" t="str">
            <v>12/1</v>
          </cell>
          <cell r="D252">
            <v>54</v>
          </cell>
        </row>
        <row r="253">
          <cell r="A253" t="str">
            <v>C2520SIG</v>
          </cell>
          <cell r="B253" t="str">
            <v>Signature range 25/20mm</v>
          </cell>
          <cell r="C253" t="str">
            <v>12/1</v>
          </cell>
          <cell r="D253">
            <v>40</v>
          </cell>
        </row>
        <row r="254">
          <cell r="A254" t="str">
            <v>C2520SL</v>
          </cell>
          <cell r="B254" t="str">
            <v>Slet čarodejnic</v>
          </cell>
          <cell r="C254" t="str">
            <v>12/1</v>
          </cell>
          <cell r="D254">
            <v>54</v>
          </cell>
        </row>
        <row r="255">
          <cell r="A255" t="str">
            <v>C2520ST</v>
          </cell>
          <cell r="B255" t="str">
            <v>Střelmistr</v>
          </cell>
          <cell r="C255" t="str">
            <v>12/1</v>
          </cell>
          <cell r="D255">
            <v>54</v>
          </cell>
        </row>
        <row r="256">
          <cell r="A256" t="str">
            <v>C2520ST E</v>
          </cell>
          <cell r="B256" t="str">
            <v>Střelmistr dummy</v>
          </cell>
          <cell r="C256" t="str">
            <v>1/1</v>
          </cell>
          <cell r="D256" t="str">
            <v/>
          </cell>
        </row>
        <row r="257">
          <cell r="A257" t="str">
            <v>C2520T</v>
          </cell>
          <cell r="B257" t="str">
            <v>Turtle Burger</v>
          </cell>
          <cell r="C257" t="str">
            <v>12/1</v>
          </cell>
          <cell r="D257">
            <v>54</v>
          </cell>
        </row>
        <row r="258">
          <cell r="A258" t="str">
            <v>C2520T14</v>
          </cell>
          <cell r="B258" t="str">
            <v>Turtle Burger</v>
          </cell>
          <cell r="C258" t="str">
            <v>12/1</v>
          </cell>
          <cell r="D258">
            <v>54</v>
          </cell>
        </row>
        <row r="259">
          <cell r="A259" t="str">
            <v>C2520VI</v>
          </cell>
          <cell r="B259" t="str">
            <v>VIP</v>
          </cell>
          <cell r="C259" t="str">
            <v>12/1</v>
          </cell>
          <cell r="D259">
            <v>42</v>
          </cell>
        </row>
        <row r="260">
          <cell r="A260" t="str">
            <v>C2520VI E</v>
          </cell>
          <cell r="B260" t="str">
            <v>VIP dummy</v>
          </cell>
          <cell r="C260" t="str">
            <v>1/1</v>
          </cell>
          <cell r="D260" t="str">
            <v/>
          </cell>
        </row>
        <row r="261">
          <cell r="A261" t="str">
            <v>C2520Z</v>
          </cell>
          <cell r="B261" t="str">
            <v>Želvoun</v>
          </cell>
          <cell r="C261" t="str">
            <v>12/1</v>
          </cell>
          <cell r="D261">
            <v>54</v>
          </cell>
        </row>
        <row r="262">
          <cell r="A262" t="str">
            <v>C25220XFS/C</v>
          </cell>
          <cell r="B262" t="str">
            <v>Profi Fireworks show 252</v>
          </cell>
          <cell r="C262" t="str">
            <v>1/1</v>
          </cell>
          <cell r="D262" t="str">
            <v>40</v>
          </cell>
        </row>
        <row r="263">
          <cell r="A263" t="str">
            <v>C25220XFS/C(T)</v>
          </cell>
          <cell r="B263" t="str">
            <v>Fireworks show 252</v>
          </cell>
          <cell r="C263" t="str">
            <v>1/1</v>
          </cell>
          <cell r="D263" t="str">
            <v>40</v>
          </cell>
        </row>
        <row r="264">
          <cell r="A264" t="str">
            <v>C25220XFS/C14</v>
          </cell>
          <cell r="B264" t="str">
            <v>Profi Fireworks show 252</v>
          </cell>
          <cell r="C264" t="str">
            <v>1/1</v>
          </cell>
          <cell r="D264" t="str">
            <v>40</v>
          </cell>
        </row>
        <row r="265">
          <cell r="A265" t="str">
            <v>C25220XFS/C14(T)</v>
          </cell>
          <cell r="B265" t="str">
            <v>Fireworks show 252</v>
          </cell>
          <cell r="C265" t="str">
            <v>1/1</v>
          </cell>
          <cell r="D265" t="str">
            <v>40</v>
          </cell>
        </row>
        <row r="266">
          <cell r="A266" t="str">
            <v>C2525BPW</v>
          </cell>
          <cell r="B266" t="str">
            <v>Best price Wild fire 25/25mm</v>
          </cell>
          <cell r="C266" t="str">
            <v>12/1</v>
          </cell>
          <cell r="D266">
            <v>20</v>
          </cell>
        </row>
        <row r="267">
          <cell r="A267" t="str">
            <v>C2525C</v>
          </cell>
          <cell r="B267" t="str">
            <v>Casper</v>
          </cell>
          <cell r="C267" t="str">
            <v>12/1</v>
          </cell>
          <cell r="D267">
            <v>20</v>
          </cell>
        </row>
        <row r="268">
          <cell r="A268" t="str">
            <v>C2525C14 E</v>
          </cell>
          <cell r="B268" t="str">
            <v>Casper dummy</v>
          </cell>
          <cell r="C268"/>
          <cell r="D268" t="str">
            <v/>
          </cell>
        </row>
        <row r="269">
          <cell r="A269" t="str">
            <v>C2525DU</v>
          </cell>
          <cell r="B269" t="str">
            <v>Dumbum micro</v>
          </cell>
          <cell r="C269" t="str">
            <v>12/1</v>
          </cell>
          <cell r="D269">
            <v>20</v>
          </cell>
        </row>
        <row r="270">
          <cell r="A270" t="str">
            <v>C2525L</v>
          </cell>
          <cell r="B270" t="str">
            <v>Loď Duchů</v>
          </cell>
          <cell r="C270" t="str">
            <v>12/1</v>
          </cell>
          <cell r="D270">
            <v>20</v>
          </cell>
        </row>
        <row r="271">
          <cell r="A271" t="str">
            <v>C2525SC14</v>
          </cell>
          <cell r="B271" t="str">
            <v>Scream battery 25sh</v>
          </cell>
          <cell r="C271" t="str">
            <v>8/1</v>
          </cell>
          <cell r="D271">
            <v>16</v>
          </cell>
        </row>
        <row r="272">
          <cell r="A272" t="str">
            <v>C2525SIG</v>
          </cell>
          <cell r="B272" t="str">
            <v>Signature range 25ran/25mm</v>
          </cell>
          <cell r="C272" t="str">
            <v>12/1</v>
          </cell>
          <cell r="D272">
            <v>20</v>
          </cell>
        </row>
        <row r="273">
          <cell r="A273" t="str">
            <v>C253B14</v>
          </cell>
          <cell r="B273" t="str">
            <v>Frankenstein</v>
          </cell>
          <cell r="C273" t="str">
            <v>6/1</v>
          </cell>
          <cell r="D273">
            <v>28</v>
          </cell>
        </row>
        <row r="274">
          <cell r="A274" t="str">
            <v>C253BP14</v>
          </cell>
          <cell r="B274" t="str">
            <v>Best price 25/30mm</v>
          </cell>
          <cell r="C274" t="str">
            <v>6/1</v>
          </cell>
          <cell r="D274">
            <v>28</v>
          </cell>
        </row>
        <row r="275">
          <cell r="A275" t="str">
            <v>C253BPF14</v>
          </cell>
          <cell r="B275" t="str">
            <v>Best price-Frozen 25/30mm</v>
          </cell>
          <cell r="C275" t="str">
            <v>6/1</v>
          </cell>
          <cell r="D275">
            <v>28</v>
          </cell>
        </row>
        <row r="276">
          <cell r="A276" t="str">
            <v>C253DU</v>
          </cell>
          <cell r="B276" t="str">
            <v>Dumbum 25ran</v>
          </cell>
          <cell r="C276" t="str">
            <v>6/1</v>
          </cell>
          <cell r="D276">
            <v>28</v>
          </cell>
        </row>
        <row r="277">
          <cell r="A277" t="str">
            <v>C253E E</v>
          </cell>
          <cell r="B277" t="str">
            <v>Skokan dummy</v>
          </cell>
          <cell r="C277"/>
          <cell r="D277" t="str">
            <v/>
          </cell>
        </row>
        <row r="278">
          <cell r="A278" t="str">
            <v>C253E14</v>
          </cell>
          <cell r="B278" t="str">
            <v>Skokan</v>
          </cell>
          <cell r="C278" t="str">
            <v>6/1</v>
          </cell>
          <cell r="D278">
            <v>28</v>
          </cell>
        </row>
        <row r="279">
          <cell r="A279" t="str">
            <v>C253F14</v>
          </cell>
          <cell r="B279" t="str">
            <v>Horda</v>
          </cell>
          <cell r="C279" t="str">
            <v>6/1</v>
          </cell>
          <cell r="D279">
            <v>28</v>
          </cell>
        </row>
        <row r="280">
          <cell r="A280" t="str">
            <v>C253FR</v>
          </cell>
          <cell r="B280" t="str">
            <v>Frankenstein</v>
          </cell>
          <cell r="C280" t="str">
            <v>6/1</v>
          </cell>
          <cell r="D280">
            <v>28</v>
          </cell>
        </row>
        <row r="281">
          <cell r="A281" t="str">
            <v>C253H E</v>
          </cell>
          <cell r="B281" t="str">
            <v>Prskavec dummy</v>
          </cell>
          <cell r="C281"/>
          <cell r="D281" t="str">
            <v/>
          </cell>
        </row>
        <row r="282">
          <cell r="A282" t="str">
            <v>C253CH</v>
          </cell>
          <cell r="B282" t="str">
            <v>Meteor 25ran</v>
          </cell>
          <cell r="C282" t="str">
            <v>6/1</v>
          </cell>
          <cell r="D282" t="str">
            <v>28</v>
          </cell>
        </row>
        <row r="283">
          <cell r="A283" t="str">
            <v>C253MY</v>
          </cell>
          <cell r="B283" t="str">
            <v>Myšák</v>
          </cell>
          <cell r="C283" t="str">
            <v>6/1</v>
          </cell>
          <cell r="D283">
            <v>28</v>
          </cell>
        </row>
        <row r="284">
          <cell r="A284" t="str">
            <v>C253NO14</v>
          </cell>
          <cell r="B284" t="str">
            <v>No sound Fireworks</v>
          </cell>
          <cell r="C284" t="str">
            <v>6/1</v>
          </cell>
          <cell r="D284">
            <v>28</v>
          </cell>
        </row>
        <row r="285">
          <cell r="A285" t="str">
            <v>C253O</v>
          </cell>
          <cell r="B285" t="str">
            <v>Meteor 25ran</v>
          </cell>
          <cell r="C285" t="str">
            <v>6/1</v>
          </cell>
          <cell r="D285" t="str">
            <v>28</v>
          </cell>
        </row>
        <row r="286">
          <cell r="A286" t="str">
            <v>C253SIG</v>
          </cell>
          <cell r="B286" t="str">
            <v>Signature range 25sh</v>
          </cell>
          <cell r="C286" t="str">
            <v>6/1</v>
          </cell>
          <cell r="D286">
            <v>28</v>
          </cell>
        </row>
        <row r="287">
          <cell r="A287" t="str">
            <v>C253SIG B</v>
          </cell>
          <cell r="B287" t="str">
            <v>Signature range 25sh</v>
          </cell>
          <cell r="C287" t="str">
            <v>6/1</v>
          </cell>
          <cell r="D287">
            <v>32</v>
          </cell>
        </row>
        <row r="288">
          <cell r="A288" t="str">
            <v>C253TH14</v>
          </cell>
          <cell r="B288" t="str">
            <v>The Fire Lion</v>
          </cell>
          <cell r="C288" t="str">
            <v>6/1</v>
          </cell>
          <cell r="D288">
            <v>28</v>
          </cell>
        </row>
        <row r="289">
          <cell r="A289" t="str">
            <v>C253XMPT/C</v>
          </cell>
          <cell r="B289" t="str">
            <v>Pyrotechnology 2020 253sh</v>
          </cell>
          <cell r="C289" t="str">
            <v>1/1</v>
          </cell>
          <cell r="D289">
            <v>12</v>
          </cell>
        </row>
        <row r="290">
          <cell r="A290" t="str">
            <v>C253XMPT/C(T)</v>
          </cell>
          <cell r="B290" t="str">
            <v>Pyrotechnology 2020 253sh</v>
          </cell>
          <cell r="C290" t="str">
            <v>1/1</v>
          </cell>
          <cell r="D290">
            <v>12</v>
          </cell>
        </row>
        <row r="291">
          <cell r="A291" t="str">
            <v>C2545DI</v>
          </cell>
          <cell r="B291" t="str">
            <v>Diktátor</v>
          </cell>
          <cell r="C291" t="str">
            <v>2/1</v>
          </cell>
          <cell r="D291">
            <v>30</v>
          </cell>
        </row>
        <row r="292">
          <cell r="A292" t="str">
            <v>C2545MA</v>
          </cell>
          <cell r="B292" t="str">
            <v>Mao ce bum</v>
          </cell>
          <cell r="C292" t="str">
            <v>2/1</v>
          </cell>
          <cell r="D292">
            <v>30</v>
          </cell>
        </row>
        <row r="293">
          <cell r="A293" t="str">
            <v>C2545NO</v>
          </cell>
          <cell r="B293" t="str">
            <v xml:space="preserve">NO Limit 25! </v>
          </cell>
          <cell r="C293" t="str">
            <v>2/1</v>
          </cell>
          <cell r="D293">
            <v>30</v>
          </cell>
        </row>
        <row r="294">
          <cell r="A294" t="str">
            <v>C255BP</v>
          </cell>
          <cell r="B294" t="str">
            <v>Best price 25/50mm</v>
          </cell>
          <cell r="C294" t="str">
            <v>2/1</v>
          </cell>
          <cell r="D294">
            <v>20</v>
          </cell>
        </row>
        <row r="295">
          <cell r="A295" t="str">
            <v>C25620F/C</v>
          </cell>
          <cell r="B295" t="str">
            <v>Fireworks show 256</v>
          </cell>
          <cell r="C295" t="str">
            <v>1/1</v>
          </cell>
          <cell r="D295">
            <v>66</v>
          </cell>
        </row>
        <row r="296">
          <cell r="A296" t="str">
            <v>C25620F/C(T)</v>
          </cell>
          <cell r="B296" t="str">
            <v>Fireworks show 256</v>
          </cell>
          <cell r="C296" t="str">
            <v>1/1</v>
          </cell>
          <cell r="D296">
            <v>66</v>
          </cell>
        </row>
        <row r="297">
          <cell r="A297" t="str">
            <v>C25620F/C14</v>
          </cell>
          <cell r="B297" t="str">
            <v>Fireworks show 256</v>
          </cell>
          <cell r="C297" t="str">
            <v>1/1</v>
          </cell>
          <cell r="D297">
            <v>66</v>
          </cell>
        </row>
        <row r="298">
          <cell r="A298" t="str">
            <v>C25620F/C14(T)</v>
          </cell>
          <cell r="B298" t="str">
            <v>Fireworks show 256</v>
          </cell>
          <cell r="C298" t="str">
            <v>1/1</v>
          </cell>
          <cell r="D298">
            <v>66</v>
          </cell>
        </row>
        <row r="299">
          <cell r="A299" t="str">
            <v>C2563XMF/C</v>
          </cell>
          <cell r="B299" t="str">
            <v>Profi Fireworks show 256- I+V+W+FAN</v>
          </cell>
          <cell r="C299" t="str">
            <v>1/1</v>
          </cell>
          <cell r="D299">
            <v>7</v>
          </cell>
        </row>
        <row r="300">
          <cell r="A300" t="str">
            <v>C2563XMF/C(T)</v>
          </cell>
          <cell r="B300" t="str">
            <v>Profi Fireworks show 256- I+V+W+FAN</v>
          </cell>
          <cell r="C300" t="str">
            <v>1/1</v>
          </cell>
          <cell r="D300">
            <v>14</v>
          </cell>
        </row>
        <row r="301">
          <cell r="A301" t="str">
            <v>C2575C</v>
          </cell>
          <cell r="B301" t="str">
            <v>Baterie 25ran,75mm</v>
          </cell>
          <cell r="C301" t="str">
            <v>1/1</v>
          </cell>
          <cell r="D301" t="str">
            <v>24</v>
          </cell>
        </row>
        <row r="302">
          <cell r="A302" t="str">
            <v>C26020F/C</v>
          </cell>
          <cell r="B302" t="str">
            <v>Fireworks show 260</v>
          </cell>
          <cell r="C302" t="str">
            <v>1/1</v>
          </cell>
          <cell r="D302" t="str">
            <v>44</v>
          </cell>
        </row>
        <row r="303">
          <cell r="A303" t="str">
            <v>C26020F/C(T)</v>
          </cell>
          <cell r="B303" t="str">
            <v>Fireworks show 260</v>
          </cell>
          <cell r="C303" t="str">
            <v>1/1</v>
          </cell>
          <cell r="D303" t="str">
            <v>44</v>
          </cell>
        </row>
        <row r="304">
          <cell r="A304" t="str">
            <v>C26020NID/C</v>
          </cell>
          <cell r="B304" t="str">
            <v>New identity series 260</v>
          </cell>
          <cell r="C304" t="str">
            <v>1/1</v>
          </cell>
          <cell r="D304" t="str">
            <v>44</v>
          </cell>
        </row>
        <row r="305">
          <cell r="A305" t="str">
            <v>C26020NID/C(T)</v>
          </cell>
          <cell r="B305" t="str">
            <v>New identity series 260</v>
          </cell>
          <cell r="C305" t="str">
            <v>1/1</v>
          </cell>
          <cell r="D305" t="str">
            <v>44</v>
          </cell>
        </row>
        <row r="306">
          <cell r="A306" t="str">
            <v>C26020Z E</v>
          </cell>
          <cell r="B306" t="str">
            <v>Zahradní ohňostroj 260ran 20mm dummy</v>
          </cell>
          <cell r="C306"/>
          <cell r="D306" t="str">
            <v/>
          </cell>
        </row>
        <row r="307">
          <cell r="A307" t="str">
            <v>C26420N/C</v>
          </cell>
          <cell r="B307" t="str">
            <v>Neverending Sky</v>
          </cell>
          <cell r="C307" t="str">
            <v>1/1</v>
          </cell>
          <cell r="D307">
            <v>18</v>
          </cell>
        </row>
        <row r="308">
          <cell r="A308" t="str">
            <v>C26420N/C(T)</v>
          </cell>
          <cell r="B308" t="str">
            <v>Neverending Sky</v>
          </cell>
          <cell r="C308" t="str">
            <v>1/1</v>
          </cell>
          <cell r="D308" t="str">
            <v>20</v>
          </cell>
        </row>
        <row r="309">
          <cell r="A309" t="str">
            <v>C26420N/C14</v>
          </cell>
          <cell r="B309" t="str">
            <v>Neverending Sky</v>
          </cell>
          <cell r="C309" t="str">
            <v>1/1</v>
          </cell>
          <cell r="D309">
            <v>18</v>
          </cell>
        </row>
        <row r="310">
          <cell r="A310" t="str">
            <v>C26420N/C14(T)</v>
          </cell>
          <cell r="B310" t="str">
            <v>Neverending Sky</v>
          </cell>
          <cell r="C310" t="str">
            <v>1/1</v>
          </cell>
          <cell r="D310">
            <v>18</v>
          </cell>
        </row>
        <row r="311">
          <cell r="A311" t="str">
            <v>C26820F/C</v>
          </cell>
          <cell r="B311" t="str">
            <v>Profi Fireworks show 268</v>
          </cell>
          <cell r="C311" t="str">
            <v>1/1</v>
          </cell>
          <cell r="D311" t="str">
            <v>27</v>
          </cell>
        </row>
        <row r="312">
          <cell r="A312" t="str">
            <v>C26820F/C E</v>
          </cell>
          <cell r="B312" t="str">
            <v>Fireworks show 268 dummy</v>
          </cell>
          <cell r="C312" t="str">
            <v>1/1</v>
          </cell>
          <cell r="D312" t="str">
            <v/>
          </cell>
        </row>
        <row r="313">
          <cell r="A313" t="str">
            <v>C26820F/C(T)</v>
          </cell>
          <cell r="B313" t="str">
            <v>Fireworks show 268</v>
          </cell>
          <cell r="C313" t="str">
            <v>1/1</v>
          </cell>
          <cell r="D313" t="str">
            <v>27</v>
          </cell>
        </row>
        <row r="314">
          <cell r="A314" t="str">
            <v>C30008R</v>
          </cell>
          <cell r="B314" t="str">
            <v xml:space="preserve">Scream 300   (Raketomet 300ran)   </v>
          </cell>
          <cell r="C314" t="str">
            <v>12/1</v>
          </cell>
          <cell r="D314" t="str">
            <v>40</v>
          </cell>
        </row>
        <row r="315">
          <cell r="A315" t="str">
            <v>C30025BPW/C</v>
          </cell>
          <cell r="B315" t="str">
            <v>Best price Wild fire 300/25mm</v>
          </cell>
          <cell r="C315" t="str">
            <v>1/1</v>
          </cell>
          <cell r="D315">
            <v>18</v>
          </cell>
        </row>
        <row r="316">
          <cell r="A316" t="str">
            <v>C30025BPW/C(T)</v>
          </cell>
          <cell r="B316" t="str">
            <v>Best price Wild fire 300/25mm</v>
          </cell>
          <cell r="C316" t="str">
            <v>1/1</v>
          </cell>
          <cell r="D316">
            <v>18</v>
          </cell>
        </row>
        <row r="317">
          <cell r="A317" t="str">
            <v>C30025F/C</v>
          </cell>
          <cell r="B317" t="str">
            <v>Fireworks show 300</v>
          </cell>
          <cell r="C317" t="str">
            <v>1/1</v>
          </cell>
          <cell r="D317">
            <v>18</v>
          </cell>
        </row>
        <row r="318">
          <cell r="A318" t="str">
            <v>C30025F/C(T)</v>
          </cell>
          <cell r="B318" t="str">
            <v>Fireworks show 300</v>
          </cell>
          <cell r="C318" t="str">
            <v>1/1</v>
          </cell>
          <cell r="D318">
            <v>18</v>
          </cell>
        </row>
        <row r="319">
          <cell r="A319" t="str">
            <v>C304MK</v>
          </cell>
          <cell r="B319" t="str">
            <v>King fireworks 304</v>
          </cell>
          <cell r="C319" t="str">
            <v>1/1</v>
          </cell>
          <cell r="D319">
            <v>6</v>
          </cell>
        </row>
        <row r="320">
          <cell r="A320" t="str">
            <v>C320D</v>
          </cell>
          <cell r="B320" t="str">
            <v xml:space="preserve">Dumbum triple </v>
          </cell>
          <cell r="C320" t="str">
            <v>20/5</v>
          </cell>
          <cell r="D320">
            <v>25</v>
          </cell>
        </row>
        <row r="321">
          <cell r="A321" t="str">
            <v>C330D</v>
          </cell>
          <cell r="B321" t="str">
            <v xml:space="preserve">Dumbum triple </v>
          </cell>
          <cell r="C321" t="str">
            <v>18/1</v>
          </cell>
          <cell r="D321">
            <v>56</v>
          </cell>
        </row>
        <row r="322">
          <cell r="A322" t="str">
            <v>C3545MF</v>
          </cell>
          <cell r="B322" t="str">
            <v>Max Force 35</v>
          </cell>
          <cell r="C322" t="str">
            <v>2/1</v>
          </cell>
          <cell r="D322">
            <v>20</v>
          </cell>
        </row>
        <row r="323">
          <cell r="A323" t="str">
            <v>C3545NO</v>
          </cell>
          <cell r="B323" t="str">
            <v xml:space="preserve">NO Limit 35! </v>
          </cell>
          <cell r="C323" t="str">
            <v>2/1</v>
          </cell>
          <cell r="D323">
            <v>20</v>
          </cell>
        </row>
        <row r="324">
          <cell r="A324" t="str">
            <v>C363BPF</v>
          </cell>
          <cell r="B324" t="str">
            <v>Best price-Frozen 36/30mm</v>
          </cell>
          <cell r="C324" t="str">
            <v>4/1</v>
          </cell>
          <cell r="D324">
            <v>14</v>
          </cell>
        </row>
        <row r="325">
          <cell r="A325" t="str">
            <v>C363DR</v>
          </cell>
          <cell r="B325" t="str">
            <v>Drevokocur</v>
          </cell>
          <cell r="C325" t="str">
            <v>4/1</v>
          </cell>
          <cell r="D325">
            <v>14</v>
          </cell>
        </row>
        <row r="326">
          <cell r="A326" t="str">
            <v>C363E E</v>
          </cell>
          <cell r="B326" t="str">
            <v>Chameleon dummy</v>
          </cell>
          <cell r="C326"/>
          <cell r="D326" t="str">
            <v/>
          </cell>
        </row>
        <row r="327">
          <cell r="A327" t="str">
            <v>C363H E</v>
          </cell>
          <cell r="B327" t="str">
            <v>Pleskoň dummy</v>
          </cell>
          <cell r="C327"/>
          <cell r="D327" t="str">
            <v/>
          </cell>
        </row>
        <row r="328">
          <cell r="A328" t="str">
            <v>C363J E</v>
          </cell>
          <cell r="B328" t="str">
            <v>Krvavá Mary dummy</v>
          </cell>
          <cell r="C328"/>
          <cell r="D328" t="str">
            <v/>
          </cell>
        </row>
        <row r="329">
          <cell r="A329" t="str">
            <v>C363PA</v>
          </cell>
          <cell r="B329" t="str">
            <v>Panda Killer</v>
          </cell>
          <cell r="C329" t="str">
            <v>4/1</v>
          </cell>
          <cell r="D329">
            <v>14</v>
          </cell>
        </row>
        <row r="330">
          <cell r="A330" t="str">
            <v>C363PL</v>
          </cell>
          <cell r="B330" t="str">
            <v>Pleskoň</v>
          </cell>
          <cell r="C330" t="str">
            <v>4/1</v>
          </cell>
          <cell r="D330">
            <v>14</v>
          </cell>
        </row>
        <row r="331">
          <cell r="A331" t="str">
            <v>C3645BA</v>
          </cell>
          <cell r="B331" t="str">
            <v>Baracuda</v>
          </cell>
          <cell r="C331" t="str">
            <v>2/1</v>
          </cell>
          <cell r="D331">
            <v>15</v>
          </cell>
        </row>
        <row r="332">
          <cell r="A332" t="str">
            <v>C3645SE</v>
          </cell>
          <cell r="B332" t="str">
            <v>Sekáč (Wild Fireworks)</v>
          </cell>
          <cell r="C332" t="str">
            <v>2/1</v>
          </cell>
          <cell r="D332">
            <v>15</v>
          </cell>
        </row>
        <row r="333">
          <cell r="A333" t="str">
            <v>C365B E</v>
          </cell>
          <cell r="B333" t="str">
            <v>Baracuda dummy</v>
          </cell>
          <cell r="C333"/>
          <cell r="D333" t="str">
            <v/>
          </cell>
        </row>
        <row r="334">
          <cell r="A334" t="str">
            <v>C365DU</v>
          </cell>
          <cell r="B334" t="str">
            <v>Dumbum big</v>
          </cell>
          <cell r="C334" t="str">
            <v>2/1</v>
          </cell>
          <cell r="D334">
            <v>15</v>
          </cell>
        </row>
        <row r="335">
          <cell r="A335" t="str">
            <v>C365DU E</v>
          </cell>
          <cell r="B335" t="str">
            <v>Dumbum big dummy</v>
          </cell>
          <cell r="C335"/>
          <cell r="D335" t="str">
            <v/>
          </cell>
        </row>
        <row r="336">
          <cell r="A336" t="str">
            <v>C365P E</v>
          </cell>
          <cell r="B336" t="str">
            <v>Penguin Army dummy</v>
          </cell>
          <cell r="C336"/>
          <cell r="D336" t="str">
            <v/>
          </cell>
        </row>
        <row r="337">
          <cell r="A337" t="str">
            <v>C365S E</v>
          </cell>
          <cell r="B337" t="str">
            <v>Sekáč dummy</v>
          </cell>
          <cell r="C337"/>
          <cell r="D337" t="str">
            <v/>
          </cell>
        </row>
        <row r="338">
          <cell r="A338" t="str">
            <v>C365V E</v>
          </cell>
          <cell r="B338" t="str">
            <v>Vlad dummy</v>
          </cell>
          <cell r="C338"/>
          <cell r="D338" t="str">
            <v/>
          </cell>
        </row>
        <row r="339">
          <cell r="A339" t="str">
            <v>C36MH</v>
          </cell>
          <cell r="B339" t="str">
            <v>Hlavička  (Brutal power)</v>
          </cell>
          <cell r="C339" t="str">
            <v>3/1</v>
          </cell>
          <cell r="D339">
            <v>15</v>
          </cell>
        </row>
        <row r="340">
          <cell r="A340" t="str">
            <v>C36MH E</v>
          </cell>
          <cell r="B340" t="str">
            <v>Hlavička dummy</v>
          </cell>
          <cell r="C340" t="str">
            <v>1/1</v>
          </cell>
          <cell r="D340" t="str">
            <v/>
          </cell>
        </row>
        <row r="341">
          <cell r="A341" t="str">
            <v>C379XMK/C</v>
          </cell>
          <cell r="B341" t="str">
            <v>King fireworks 379</v>
          </cell>
          <cell r="C341" t="str">
            <v>1/1</v>
          </cell>
          <cell r="D341">
            <v>12</v>
          </cell>
        </row>
        <row r="342">
          <cell r="A342" t="str">
            <v>C379XMK/C(T)</v>
          </cell>
          <cell r="B342" t="str">
            <v>King fireworks 379</v>
          </cell>
          <cell r="C342" t="str">
            <v>1/1</v>
          </cell>
          <cell r="D342">
            <v>12</v>
          </cell>
        </row>
        <row r="343">
          <cell r="A343" t="str">
            <v>C39020F/C</v>
          </cell>
          <cell r="B343" t="str">
            <v>Fireworks show 390</v>
          </cell>
          <cell r="C343" t="str">
            <v>1/1</v>
          </cell>
          <cell r="D343">
            <v>33</v>
          </cell>
        </row>
        <row r="344">
          <cell r="A344" t="str">
            <v>C39020F/C(T)</v>
          </cell>
          <cell r="B344" t="str">
            <v>Fireworks show 390</v>
          </cell>
          <cell r="C344" t="str">
            <v>1/1</v>
          </cell>
          <cell r="D344">
            <v>36</v>
          </cell>
        </row>
        <row r="345">
          <cell r="A345" t="str">
            <v>C39MPT</v>
          </cell>
          <cell r="B345" t="str">
            <v>Pyrotechnology 2020 39sh</v>
          </cell>
          <cell r="C345" t="str">
            <v>8/1</v>
          </cell>
          <cell r="D345">
            <v>8</v>
          </cell>
        </row>
        <row r="346">
          <cell r="A346" t="str">
            <v>C39MPT14</v>
          </cell>
          <cell r="B346" t="str">
            <v>Pyrotechnology 2020 39sh</v>
          </cell>
          <cell r="C346" t="str">
            <v>8/1</v>
          </cell>
          <cell r="D346">
            <v>8</v>
          </cell>
        </row>
        <row r="347">
          <cell r="A347" t="str">
            <v>C40020XPR/C14</v>
          </cell>
          <cell r="B347" t="str">
            <v>Profi show multi shape 400/20mm</v>
          </cell>
          <cell r="C347" t="str">
            <v>1/1</v>
          </cell>
          <cell r="D347" t="str">
            <v>20</v>
          </cell>
        </row>
        <row r="348">
          <cell r="A348" t="str">
            <v>C40020XPR/C14(T)</v>
          </cell>
          <cell r="B348" t="str">
            <v>Profi show multi shape 400/20mm</v>
          </cell>
          <cell r="C348" t="str">
            <v>1/1</v>
          </cell>
          <cell r="D348" t="str">
            <v>20</v>
          </cell>
        </row>
        <row r="349">
          <cell r="A349" t="str">
            <v>C40025F/C</v>
          </cell>
          <cell r="B349" t="str">
            <v>Fireworks show 400</v>
          </cell>
          <cell r="C349" t="str">
            <v>1/1</v>
          </cell>
          <cell r="D349">
            <v>18</v>
          </cell>
        </row>
        <row r="350">
          <cell r="A350" t="str">
            <v>C40025F/C(T)</v>
          </cell>
          <cell r="B350" t="str">
            <v>Fireworks show 400</v>
          </cell>
          <cell r="C350" t="str">
            <v>1/1</v>
          </cell>
          <cell r="D350" t="str">
            <v>20</v>
          </cell>
        </row>
        <row r="351">
          <cell r="A351" t="str">
            <v>C40FMH</v>
          </cell>
          <cell r="B351" t="str">
            <v>Heroes</v>
          </cell>
          <cell r="C351" t="str">
            <v>8/1</v>
          </cell>
          <cell r="D351">
            <v>16</v>
          </cell>
        </row>
        <row r="352">
          <cell r="A352" t="str">
            <v>C41MSIG</v>
          </cell>
          <cell r="B352" t="str">
            <v>Red Signature range 41sh</v>
          </cell>
          <cell r="C352" t="str">
            <v>6/1</v>
          </cell>
          <cell r="D352">
            <v>14</v>
          </cell>
        </row>
        <row r="353">
          <cell r="A353" t="str">
            <v>C424MH/C E</v>
          </cell>
          <cell r="B353" t="str">
            <v>Horor Midnight dummy</v>
          </cell>
          <cell r="C353"/>
          <cell r="D353" t="str">
            <v/>
          </cell>
        </row>
        <row r="354">
          <cell r="A354" t="str">
            <v>C42MM</v>
          </cell>
          <cell r="B354" t="str">
            <v>Magor</v>
          </cell>
          <cell r="C354" t="str">
            <v>4/1</v>
          </cell>
          <cell r="D354">
            <v>24</v>
          </cell>
        </row>
        <row r="355">
          <cell r="A355" t="str">
            <v>C42XMK E</v>
          </cell>
          <cell r="B355" t="str">
            <v>Killer dummy</v>
          </cell>
          <cell r="C355"/>
          <cell r="D355" t="str">
            <v/>
          </cell>
        </row>
        <row r="356">
          <cell r="A356" t="str">
            <v>C446MM/C</v>
          </cell>
          <cell r="B356" t="str">
            <v>Mighty thunder</v>
          </cell>
          <cell r="C356" t="str">
            <v>1/1</v>
          </cell>
          <cell r="D356">
            <v>8</v>
          </cell>
        </row>
        <row r="357">
          <cell r="A357" t="str">
            <v>C446MM/C(T)</v>
          </cell>
          <cell r="B357" t="str">
            <v>Mighty thunder</v>
          </cell>
          <cell r="C357" t="str">
            <v>1/1</v>
          </cell>
          <cell r="D357">
            <v>8</v>
          </cell>
        </row>
        <row r="358">
          <cell r="A358" t="str">
            <v>C47MB</v>
          </cell>
          <cell r="B358" t="str">
            <v>Big Boss</v>
          </cell>
          <cell r="C358" t="str">
            <v>2/1</v>
          </cell>
          <cell r="D358">
            <v>30</v>
          </cell>
        </row>
        <row r="359">
          <cell r="A359" t="str">
            <v>C47MB E</v>
          </cell>
          <cell r="B359" t="str">
            <v>Big Boss dummy</v>
          </cell>
          <cell r="C359" t="str">
            <v>1/1</v>
          </cell>
          <cell r="D359" t="str">
            <v/>
          </cell>
        </row>
        <row r="360">
          <cell r="A360" t="str">
            <v>C47MI</v>
          </cell>
          <cell r="B360" t="str">
            <v>Ivánek</v>
          </cell>
          <cell r="C360" t="str">
            <v>2/1</v>
          </cell>
          <cell r="D360">
            <v>30</v>
          </cell>
        </row>
        <row r="361">
          <cell r="A361" t="str">
            <v>C47MT E</v>
          </cell>
          <cell r="B361" t="str">
            <v>Tomato dummy</v>
          </cell>
          <cell r="C361"/>
          <cell r="D361" t="str">
            <v/>
          </cell>
        </row>
        <row r="362">
          <cell r="A362" t="str">
            <v>C47XM2 E</v>
          </cell>
          <cell r="B362" t="str">
            <v>Tomato killer dummy</v>
          </cell>
          <cell r="C362"/>
          <cell r="D362" t="str">
            <v/>
          </cell>
        </row>
        <row r="363">
          <cell r="A363" t="str">
            <v>C47XMA</v>
          </cell>
          <cell r="B363" t="str">
            <v>Angry beats</v>
          </cell>
          <cell r="C363" t="str">
            <v>2/1</v>
          </cell>
          <cell r="D363">
            <v>10</v>
          </cell>
        </row>
        <row r="364">
          <cell r="A364" t="str">
            <v>C47XMT</v>
          </cell>
          <cell r="B364" t="str">
            <v>Tomato killer</v>
          </cell>
          <cell r="C364" t="str">
            <v>2/1</v>
          </cell>
          <cell r="D364">
            <v>10</v>
          </cell>
        </row>
        <row r="365">
          <cell r="A365" t="str">
            <v>C4825MP</v>
          </cell>
          <cell r="B365" t="str">
            <v>Pearates</v>
          </cell>
          <cell r="C365" t="str">
            <v>6/1</v>
          </cell>
          <cell r="D365">
            <v>18</v>
          </cell>
        </row>
        <row r="366">
          <cell r="A366" t="str">
            <v>C4920B E</v>
          </cell>
          <cell r="B366" t="str">
            <v>Baby Fighter dummy</v>
          </cell>
          <cell r="C366"/>
          <cell r="D366" t="str">
            <v/>
          </cell>
        </row>
        <row r="367">
          <cell r="A367" t="str">
            <v>C4920B14 E</v>
          </cell>
          <cell r="B367" t="str">
            <v>Baby Fighter dummy</v>
          </cell>
          <cell r="C367"/>
          <cell r="D367" t="str">
            <v/>
          </cell>
        </row>
        <row r="368">
          <cell r="A368" t="str">
            <v>C4920BPF</v>
          </cell>
          <cell r="B368" t="str">
            <v>Best price-Frozen 49/20mm</v>
          </cell>
          <cell r="C368" t="str">
            <v>8/1</v>
          </cell>
          <cell r="D368">
            <v>36</v>
          </cell>
        </row>
        <row r="369">
          <cell r="A369" t="str">
            <v>C4920D E</v>
          </cell>
          <cell r="B369" t="str">
            <v>Dráček dummy</v>
          </cell>
          <cell r="C369"/>
          <cell r="D369" t="str">
            <v/>
          </cell>
        </row>
        <row r="370">
          <cell r="A370" t="str">
            <v>C4920DR</v>
          </cell>
          <cell r="B370" t="str">
            <v>Dragon army</v>
          </cell>
          <cell r="C370" t="str">
            <v>8/1</v>
          </cell>
          <cell r="D370">
            <v>36</v>
          </cell>
        </row>
        <row r="371">
          <cell r="A371" t="str">
            <v>C4920DR14</v>
          </cell>
          <cell r="B371" t="str">
            <v>Dragon army</v>
          </cell>
          <cell r="C371" t="str">
            <v>8/1</v>
          </cell>
          <cell r="D371">
            <v>36</v>
          </cell>
        </row>
        <row r="372">
          <cell r="A372" t="str">
            <v>C4920K</v>
          </cell>
          <cell r="B372" t="str">
            <v>King Julien</v>
          </cell>
          <cell r="C372" t="str">
            <v>8/1</v>
          </cell>
          <cell r="D372">
            <v>36</v>
          </cell>
        </row>
        <row r="373">
          <cell r="A373" t="str">
            <v>C4920K E</v>
          </cell>
          <cell r="B373" t="str">
            <v>King Julien dummy</v>
          </cell>
          <cell r="C373"/>
          <cell r="D373" t="str">
            <v/>
          </cell>
        </row>
        <row r="374">
          <cell r="A374" t="str">
            <v>C4920NID</v>
          </cell>
          <cell r="B374" t="str">
            <v>New identity series 49</v>
          </cell>
          <cell r="C374" t="str">
            <v>8/1</v>
          </cell>
          <cell r="D374">
            <v>36</v>
          </cell>
        </row>
        <row r="375">
          <cell r="A375" t="str">
            <v>C4920S</v>
          </cell>
          <cell r="B375" t="str">
            <v>Šašek</v>
          </cell>
          <cell r="C375" t="str">
            <v>8/1</v>
          </cell>
          <cell r="D375">
            <v>36</v>
          </cell>
        </row>
        <row r="376">
          <cell r="A376" t="str">
            <v>C4920S E</v>
          </cell>
          <cell r="B376" t="str">
            <v>Šašek dummy</v>
          </cell>
          <cell r="C376"/>
          <cell r="D376" t="str">
            <v/>
          </cell>
        </row>
        <row r="377">
          <cell r="A377" t="str">
            <v>C4920S14</v>
          </cell>
          <cell r="B377" t="str">
            <v>Šašek</v>
          </cell>
          <cell r="C377" t="str">
            <v>8/1</v>
          </cell>
          <cell r="D377">
            <v>36</v>
          </cell>
        </row>
        <row r="378">
          <cell r="A378" t="str">
            <v>C4920SIG</v>
          </cell>
          <cell r="B378" t="str">
            <v>Signature range 49ran/20mm</v>
          </cell>
          <cell r="C378" t="str">
            <v>8/1</v>
          </cell>
          <cell r="D378">
            <v>36</v>
          </cell>
        </row>
        <row r="379">
          <cell r="A379" t="str">
            <v>C4920SIG E</v>
          </cell>
          <cell r="B379" t="str">
            <v>Signature range 49ran/20mm dummy</v>
          </cell>
          <cell r="C379"/>
          <cell r="D379" t="str">
            <v/>
          </cell>
        </row>
        <row r="380">
          <cell r="A380" t="str">
            <v>C4920SIG14</v>
          </cell>
          <cell r="B380" t="str">
            <v>Signature range 49ran/20mm</v>
          </cell>
          <cell r="C380" t="str">
            <v>8/1</v>
          </cell>
          <cell r="D380">
            <v>36</v>
          </cell>
        </row>
        <row r="381">
          <cell r="A381" t="str">
            <v>C4925BP14</v>
          </cell>
          <cell r="B381" t="str">
            <v>Best price 49/25mm</v>
          </cell>
          <cell r="C381" t="str">
            <v>6/1</v>
          </cell>
          <cell r="D381">
            <v>25</v>
          </cell>
        </row>
        <row r="382">
          <cell r="A382" t="str">
            <v>C4925D</v>
          </cell>
          <cell r="B382" t="str">
            <v>Dumbum 49ran-mini</v>
          </cell>
          <cell r="C382" t="str">
            <v>6/1</v>
          </cell>
          <cell r="D382">
            <v>25</v>
          </cell>
        </row>
        <row r="383">
          <cell r="A383" t="str">
            <v>C4925G</v>
          </cell>
          <cell r="B383" t="str">
            <v>Gas Man</v>
          </cell>
          <cell r="C383" t="str">
            <v>6/1</v>
          </cell>
          <cell r="D383">
            <v>25</v>
          </cell>
        </row>
        <row r="384">
          <cell r="A384" t="str">
            <v>C4925NO14</v>
          </cell>
          <cell r="B384" t="str">
            <v>No sound Fireworks</v>
          </cell>
          <cell r="C384" t="str">
            <v>6/1</v>
          </cell>
          <cell r="D384">
            <v>25</v>
          </cell>
        </row>
        <row r="385">
          <cell r="A385" t="str">
            <v>C4925P</v>
          </cell>
          <cell r="B385" t="str">
            <v xml:space="preserve">Panda   </v>
          </cell>
          <cell r="C385" t="str">
            <v>6/1</v>
          </cell>
          <cell r="D385">
            <v>25</v>
          </cell>
        </row>
        <row r="386">
          <cell r="A386" t="str">
            <v>C4925SIG</v>
          </cell>
          <cell r="B386" t="str">
            <v>Signature range 49ran/25mm</v>
          </cell>
          <cell r="C386" t="str">
            <v>6/1</v>
          </cell>
          <cell r="D386">
            <v>25</v>
          </cell>
        </row>
        <row r="387">
          <cell r="A387" t="str">
            <v>C4925V</v>
          </cell>
          <cell r="B387" t="str">
            <v>Viking</v>
          </cell>
          <cell r="C387" t="str">
            <v>6/1</v>
          </cell>
          <cell r="D387">
            <v>25</v>
          </cell>
        </row>
        <row r="388">
          <cell r="A388" t="str">
            <v>C4925V14</v>
          </cell>
          <cell r="B388" t="str">
            <v>Viking</v>
          </cell>
          <cell r="C388" t="str">
            <v>6/1</v>
          </cell>
          <cell r="D388">
            <v>25</v>
          </cell>
        </row>
        <row r="389">
          <cell r="A389" t="str">
            <v>C4925VS</v>
          </cell>
          <cell r="B389" t="str">
            <v>Vše nejlepší k narozeninám</v>
          </cell>
          <cell r="C389" t="str">
            <v>6/1</v>
          </cell>
          <cell r="D389">
            <v>25</v>
          </cell>
        </row>
        <row r="390">
          <cell r="A390" t="str">
            <v>C493B E</v>
          </cell>
          <cell r="B390" t="str">
            <v>Shaman dummy</v>
          </cell>
          <cell r="C390"/>
          <cell r="D390" t="str">
            <v/>
          </cell>
        </row>
        <row r="391">
          <cell r="A391" t="str">
            <v>C493BP</v>
          </cell>
          <cell r="B391" t="str">
            <v>Best price 49/30mm</v>
          </cell>
          <cell r="C391" t="str">
            <v>2/1</v>
          </cell>
          <cell r="D391">
            <v>42</v>
          </cell>
        </row>
        <row r="392">
          <cell r="A392" t="str">
            <v>C493BPS</v>
          </cell>
          <cell r="B392" t="str">
            <v>Best price Slow motion 49/30mm</v>
          </cell>
          <cell r="C392" t="str">
            <v>2/1</v>
          </cell>
          <cell r="D392">
            <v>42</v>
          </cell>
        </row>
        <row r="393">
          <cell r="A393" t="str">
            <v>C493BW</v>
          </cell>
          <cell r="B393" t="str">
            <v xml:space="preserve">Brocade War 49 </v>
          </cell>
          <cell r="C393" t="str">
            <v>2/1</v>
          </cell>
          <cell r="D393">
            <v>42</v>
          </cell>
        </row>
        <row r="394">
          <cell r="A394" t="str">
            <v>C493DU</v>
          </cell>
          <cell r="B394" t="str">
            <v>Dumbum 49ran</v>
          </cell>
          <cell r="C394" t="str">
            <v>2/1</v>
          </cell>
          <cell r="D394">
            <v>42</v>
          </cell>
        </row>
        <row r="395">
          <cell r="A395" t="str">
            <v>C493GH</v>
          </cell>
          <cell r="B395" t="str">
            <v xml:space="preserve">Ghost </v>
          </cell>
          <cell r="C395" t="str">
            <v>2/1</v>
          </cell>
          <cell r="D395">
            <v>42</v>
          </cell>
        </row>
        <row r="396">
          <cell r="A396" t="str">
            <v>C493GH E</v>
          </cell>
          <cell r="B396" t="str">
            <v>Ghost  /dummie</v>
          </cell>
          <cell r="C396" t="str">
            <v>1/1</v>
          </cell>
          <cell r="D396"/>
        </row>
        <row r="397">
          <cell r="A397" t="str">
            <v>C493LI</v>
          </cell>
          <cell r="B397" t="str">
            <v>Lion</v>
          </cell>
          <cell r="C397" t="str">
            <v>2/1</v>
          </cell>
          <cell r="D397">
            <v>42</v>
          </cell>
        </row>
        <row r="398">
          <cell r="A398" t="str">
            <v>C493MA</v>
          </cell>
          <cell r="B398" t="str">
            <v>Merry Christmas</v>
          </cell>
          <cell r="C398" t="str">
            <v>2/1</v>
          </cell>
          <cell r="D398">
            <v>42</v>
          </cell>
        </row>
        <row r="399">
          <cell r="A399" t="str">
            <v>C493PR</v>
          </cell>
          <cell r="B399" t="str">
            <v>Profi show 49</v>
          </cell>
          <cell r="C399" t="str">
            <v>2/1</v>
          </cell>
          <cell r="D399">
            <v>42</v>
          </cell>
        </row>
        <row r="400">
          <cell r="A400" t="str">
            <v>C493RG</v>
          </cell>
          <cell r="B400" t="str">
            <v>Red glittering wilow</v>
          </cell>
          <cell r="C400" t="str">
            <v>2/1</v>
          </cell>
          <cell r="D400">
            <v>42</v>
          </cell>
        </row>
        <row r="401">
          <cell r="A401" t="str">
            <v>C493RU</v>
          </cell>
          <cell r="B401" t="str">
            <v>Rusbaby</v>
          </cell>
          <cell r="C401" t="str">
            <v>2/1</v>
          </cell>
          <cell r="D401">
            <v>42</v>
          </cell>
        </row>
        <row r="402">
          <cell r="A402" t="str">
            <v>C493RU E</v>
          </cell>
          <cell r="B402" t="str">
            <v>Rusbaby dummy</v>
          </cell>
          <cell r="C402" t="str">
            <v>1/1</v>
          </cell>
          <cell r="D402" t="str">
            <v/>
          </cell>
        </row>
        <row r="403">
          <cell r="A403" t="str">
            <v>C493SW</v>
          </cell>
          <cell r="B403" t="str">
            <v xml:space="preserve">Super white strobe </v>
          </cell>
          <cell r="C403" t="str">
            <v>2/1</v>
          </cell>
          <cell r="D403">
            <v>42</v>
          </cell>
        </row>
        <row r="404">
          <cell r="A404" t="str">
            <v>C493T E</v>
          </cell>
          <cell r="B404" t="str">
            <v>Dumbum 49ran dummy</v>
          </cell>
          <cell r="C404"/>
          <cell r="D404" t="str">
            <v/>
          </cell>
        </row>
        <row r="405">
          <cell r="A405" t="str">
            <v>C495GW E</v>
          </cell>
          <cell r="B405" t="str">
            <v>C495GW dummy</v>
          </cell>
          <cell r="C405"/>
          <cell r="D405" t="str">
            <v/>
          </cell>
        </row>
        <row r="406">
          <cell r="A406" t="str">
            <v>C495V E</v>
          </cell>
          <cell r="B406" t="str">
            <v>Vietnam dummy</v>
          </cell>
          <cell r="C406"/>
          <cell r="D406" t="str">
            <v/>
          </cell>
        </row>
        <row r="407">
          <cell r="A407" t="str">
            <v>C495X E</v>
          </cell>
          <cell r="B407" t="str">
            <v>XXXL dummy</v>
          </cell>
          <cell r="C407"/>
          <cell r="D407" t="str">
            <v/>
          </cell>
        </row>
        <row r="408">
          <cell r="A408" t="str">
            <v>C4963V</v>
          </cell>
          <cell r="B408" t="str">
            <v>No Limit 49! (Victory celebration)</v>
          </cell>
          <cell r="C408" t="str">
            <v>1/1</v>
          </cell>
          <cell r="D408">
            <v>8</v>
          </cell>
        </row>
        <row r="409">
          <cell r="A409" t="str">
            <v>C503BI</v>
          </cell>
          <cell r="B409" t="str">
            <v xml:space="preserve">Big one </v>
          </cell>
          <cell r="C409" t="str">
            <v>2/1</v>
          </cell>
          <cell r="D409">
            <v>36</v>
          </cell>
        </row>
        <row r="410">
          <cell r="A410" t="str">
            <v>C503BO E</v>
          </cell>
          <cell r="B410" t="str">
            <v>Boris dummy</v>
          </cell>
          <cell r="C410"/>
          <cell r="D410" t="str">
            <v/>
          </cell>
        </row>
        <row r="411">
          <cell r="A411" t="str">
            <v>C503BW/C14</v>
          </cell>
          <cell r="B411" t="str">
            <v>Brocade War 50</v>
          </cell>
          <cell r="C411" t="str">
            <v>1/1</v>
          </cell>
          <cell r="D411" t="str">
            <v>84</v>
          </cell>
        </row>
        <row r="412">
          <cell r="A412" t="str">
            <v>C503BW/C14(T)</v>
          </cell>
          <cell r="B412" t="str">
            <v>Brocade War 50</v>
          </cell>
          <cell r="C412" t="str">
            <v>1/1</v>
          </cell>
          <cell r="D412" t="str">
            <v>84</v>
          </cell>
        </row>
        <row r="413">
          <cell r="A413" t="str">
            <v>C503F/C14</v>
          </cell>
          <cell r="B413" t="str">
            <v>Fireworks show 50</v>
          </cell>
          <cell r="C413" t="str">
            <v>1/1</v>
          </cell>
          <cell r="D413" t="str">
            <v>84</v>
          </cell>
        </row>
        <row r="414">
          <cell r="A414" t="str">
            <v>C503F/C14(T)</v>
          </cell>
          <cell r="B414" t="str">
            <v>Fireworks show 50</v>
          </cell>
          <cell r="C414" t="str">
            <v>1/1</v>
          </cell>
          <cell r="D414" t="str">
            <v>84</v>
          </cell>
        </row>
        <row r="415">
          <cell r="A415" t="str">
            <v>C503ME</v>
          </cell>
          <cell r="B415" t="str">
            <v>Meteor new age</v>
          </cell>
          <cell r="C415" t="str">
            <v>2/1</v>
          </cell>
          <cell r="D415">
            <v>36</v>
          </cell>
        </row>
        <row r="416">
          <cell r="A416" t="str">
            <v>C503NID/C14</v>
          </cell>
          <cell r="B416" t="str">
            <v>New identity series 50/30mm</v>
          </cell>
          <cell r="C416" t="str">
            <v>1/1</v>
          </cell>
          <cell r="D416" t="str">
            <v>84</v>
          </cell>
        </row>
        <row r="417">
          <cell r="A417" t="str">
            <v>C503NID/C14(T)</v>
          </cell>
          <cell r="B417" t="str">
            <v>New identity series 50/30mm</v>
          </cell>
          <cell r="C417" t="str">
            <v>1/1</v>
          </cell>
          <cell r="D417" t="str">
            <v>84</v>
          </cell>
        </row>
        <row r="418">
          <cell r="A418" t="str">
            <v>C503RA</v>
          </cell>
          <cell r="B418" t="str">
            <v>Ratman</v>
          </cell>
          <cell r="C418" t="str">
            <v>2/1</v>
          </cell>
          <cell r="D418">
            <v>36</v>
          </cell>
        </row>
        <row r="419">
          <cell r="A419" t="str">
            <v>C503RA E</v>
          </cell>
          <cell r="B419" t="str">
            <v>Ratman dummy</v>
          </cell>
          <cell r="C419"/>
          <cell r="D419" t="str">
            <v/>
          </cell>
        </row>
        <row r="420">
          <cell r="A420" t="str">
            <v>C503RO</v>
          </cell>
          <cell r="B420" t="str">
            <v>Royal</v>
          </cell>
          <cell r="C420" t="str">
            <v>2/1</v>
          </cell>
          <cell r="D420">
            <v>36</v>
          </cell>
        </row>
        <row r="421">
          <cell r="A421" t="str">
            <v>C503RO/C14</v>
          </cell>
          <cell r="B421" t="str">
            <v>Royal F2</v>
          </cell>
          <cell r="C421" t="str">
            <v>1/1</v>
          </cell>
          <cell r="D421" t="str">
            <v>84</v>
          </cell>
        </row>
        <row r="422">
          <cell r="A422" t="str">
            <v>C503RO/C14(T)</v>
          </cell>
          <cell r="B422" t="str">
            <v>Royal F2</v>
          </cell>
          <cell r="C422" t="str">
            <v>1/1</v>
          </cell>
          <cell r="D422" t="str">
            <v>84</v>
          </cell>
        </row>
        <row r="423">
          <cell r="A423" t="str">
            <v>C503SIG/C14</v>
          </cell>
          <cell r="B423" t="str">
            <v>Signature range 50/F2</v>
          </cell>
          <cell r="C423" t="str">
            <v>1/1</v>
          </cell>
          <cell r="D423" t="str">
            <v>84</v>
          </cell>
        </row>
        <row r="424">
          <cell r="A424" t="str">
            <v>C503SIG/C14(T)</v>
          </cell>
          <cell r="B424" t="str">
            <v>Signature range 50/F2</v>
          </cell>
          <cell r="C424" t="str">
            <v>1/1</v>
          </cell>
          <cell r="D424" t="str">
            <v>84</v>
          </cell>
        </row>
        <row r="425">
          <cell r="A425" t="str">
            <v>C503SIGA</v>
          </cell>
          <cell r="B425" t="str">
            <v>Signature range 50sh A</v>
          </cell>
          <cell r="C425" t="str">
            <v>2/1</v>
          </cell>
          <cell r="D425">
            <v>36</v>
          </cell>
        </row>
        <row r="426">
          <cell r="A426" t="str">
            <v>C503T</v>
          </cell>
          <cell r="B426" t="str">
            <v>Meteor 50ran-new age</v>
          </cell>
          <cell r="C426" t="str">
            <v>2/1</v>
          </cell>
          <cell r="D426">
            <v>42</v>
          </cell>
        </row>
        <row r="427">
          <cell r="A427" t="str">
            <v>C503TS/C14</v>
          </cell>
          <cell r="B427" t="str">
            <v>Turbo 30mm shots 25</v>
          </cell>
          <cell r="C427" t="str">
            <v>1/1</v>
          </cell>
          <cell r="D427" t="str">
            <v>84</v>
          </cell>
        </row>
        <row r="428">
          <cell r="A428" t="str">
            <v>C503TS/C14(T)</v>
          </cell>
          <cell r="B428" t="str">
            <v>Turbo 30mm shots 25</v>
          </cell>
          <cell r="C428" t="str">
            <v>1/1</v>
          </cell>
          <cell r="D428" t="str">
            <v>84</v>
          </cell>
        </row>
        <row r="429">
          <cell r="A429" t="str">
            <v>C503WI</v>
          </cell>
          <cell r="B429" t="str">
            <v xml:space="preserve">Winner </v>
          </cell>
          <cell r="C429" t="str">
            <v>2/1</v>
          </cell>
          <cell r="D429">
            <v>36</v>
          </cell>
        </row>
        <row r="430">
          <cell r="A430" t="str">
            <v>C505V/C</v>
          </cell>
          <cell r="B430" t="str">
            <v xml:space="preserve">Vietnam </v>
          </cell>
          <cell r="C430" t="str">
            <v>1/1</v>
          </cell>
          <cell r="D430">
            <v>20</v>
          </cell>
        </row>
        <row r="431">
          <cell r="A431" t="str">
            <v>C505V/C(T)</v>
          </cell>
          <cell r="B431" t="str">
            <v xml:space="preserve">Vietnam </v>
          </cell>
          <cell r="C431" t="str">
            <v>1/1</v>
          </cell>
          <cell r="D431">
            <v>20</v>
          </cell>
        </row>
        <row r="432">
          <cell r="A432" t="str">
            <v>C505X/C</v>
          </cell>
          <cell r="B432" t="str">
            <v>XXXL 50ran</v>
          </cell>
          <cell r="C432" t="str">
            <v>1/1</v>
          </cell>
          <cell r="D432">
            <v>20</v>
          </cell>
        </row>
        <row r="433">
          <cell r="A433" t="str">
            <v>C505X/C(T)</v>
          </cell>
          <cell r="B433" t="str">
            <v>XXXL 50ran</v>
          </cell>
          <cell r="C433" t="str">
            <v>1/1</v>
          </cell>
          <cell r="D433">
            <v>20</v>
          </cell>
        </row>
        <row r="434">
          <cell r="A434" t="str">
            <v>C50MCH</v>
          </cell>
          <cell r="B434" t="str">
            <v>Cheers</v>
          </cell>
          <cell r="C434" t="str">
            <v>6/1</v>
          </cell>
          <cell r="D434">
            <v>16</v>
          </cell>
        </row>
        <row r="435">
          <cell r="A435" t="str">
            <v>C50MO</v>
          </cell>
          <cell r="B435" t="str">
            <v>Ogre</v>
          </cell>
          <cell r="C435" t="str">
            <v>6/1</v>
          </cell>
          <cell r="D435">
            <v>16</v>
          </cell>
        </row>
        <row r="436">
          <cell r="A436" t="str">
            <v>C50MO14</v>
          </cell>
          <cell r="B436" t="str">
            <v>Ogre</v>
          </cell>
          <cell r="C436" t="str">
            <v>6/1</v>
          </cell>
          <cell r="D436">
            <v>16</v>
          </cell>
        </row>
        <row r="437">
          <cell r="A437" t="str">
            <v>C52020F/C</v>
          </cell>
          <cell r="B437" t="str">
            <v>Fireworks show 520</v>
          </cell>
          <cell r="C437" t="str">
            <v>1/1</v>
          </cell>
          <cell r="D437">
            <v>24</v>
          </cell>
        </row>
        <row r="438">
          <cell r="A438" t="str">
            <v>C52020F/C(T)</v>
          </cell>
          <cell r="B438" t="str">
            <v>Fireworks show 520</v>
          </cell>
          <cell r="C438" t="str">
            <v>1/1</v>
          </cell>
          <cell r="D438">
            <v>24</v>
          </cell>
        </row>
        <row r="439">
          <cell r="A439" t="str">
            <v>C53620F/C</v>
          </cell>
          <cell r="B439" t="str">
            <v>Fireworks show 536</v>
          </cell>
          <cell r="C439" t="str">
            <v>1/1</v>
          </cell>
          <cell r="D439" t="str">
            <v>20</v>
          </cell>
        </row>
        <row r="440">
          <cell r="A440" t="str">
            <v>C53620F/C(T)</v>
          </cell>
          <cell r="B440" t="str">
            <v>Fireworks show 536</v>
          </cell>
          <cell r="C440" t="str">
            <v>1/1</v>
          </cell>
          <cell r="D440" t="str">
            <v>20</v>
          </cell>
        </row>
        <row r="441">
          <cell r="A441" t="str">
            <v>C60020XPR/C</v>
          </cell>
          <cell r="B441" t="str">
            <v>Profi show multi shape 600</v>
          </cell>
          <cell r="C441" t="str">
            <v>1/1</v>
          </cell>
          <cell r="D441">
            <v>14</v>
          </cell>
        </row>
        <row r="442">
          <cell r="A442" t="str">
            <v>C62SMT</v>
          </cell>
          <cell r="B442" t="str">
            <v>The Sky Breaker</v>
          </cell>
          <cell r="C442" t="str">
            <v>2/1</v>
          </cell>
          <cell r="D442">
            <v>24</v>
          </cell>
        </row>
        <row r="443">
          <cell r="A443" t="str">
            <v>C62SMT E</v>
          </cell>
          <cell r="B443" t="str">
            <v>The Sky Breaker dummy</v>
          </cell>
          <cell r="C443" t="str">
            <v>1/1</v>
          </cell>
          <cell r="D443" t="str">
            <v/>
          </cell>
        </row>
        <row r="444">
          <cell r="A444" t="str">
            <v>C63MM</v>
          </cell>
          <cell r="B444" t="str">
            <v>Myslivec</v>
          </cell>
          <cell r="C444" t="str">
            <v>3/1</v>
          </cell>
          <cell r="D444">
            <v>21</v>
          </cell>
        </row>
        <row r="445">
          <cell r="A445" t="str">
            <v>C63MP</v>
          </cell>
          <cell r="B445" t="str">
            <v>Prehistoric</v>
          </cell>
          <cell r="C445" t="str">
            <v>3/1</v>
          </cell>
          <cell r="D445">
            <v>18</v>
          </cell>
        </row>
        <row r="446">
          <cell r="A446" t="str">
            <v>C63MP E</v>
          </cell>
          <cell r="B446" t="str">
            <v>Prehistoric dummy</v>
          </cell>
          <cell r="C446" t="str">
            <v>1/1</v>
          </cell>
          <cell r="D446" t="str">
            <v/>
          </cell>
        </row>
        <row r="447">
          <cell r="A447" t="str">
            <v>C6420B</v>
          </cell>
          <cell r="B447" t="str">
            <v>Breakboo</v>
          </cell>
          <cell r="C447" t="str">
            <v>6/1</v>
          </cell>
          <cell r="D447">
            <v>48</v>
          </cell>
        </row>
        <row r="448">
          <cell r="A448" t="str">
            <v>C6420B E</v>
          </cell>
          <cell r="B448" t="str">
            <v>Breakboo dummy</v>
          </cell>
          <cell r="C448"/>
          <cell r="D448" t="str">
            <v/>
          </cell>
        </row>
        <row r="449">
          <cell r="A449" t="str">
            <v>C6420B14 E</v>
          </cell>
          <cell r="B449" t="str">
            <v>Breakboo dummy</v>
          </cell>
          <cell r="C449"/>
          <cell r="D449" t="str">
            <v/>
          </cell>
        </row>
        <row r="450">
          <cell r="A450" t="str">
            <v>C6420BPW</v>
          </cell>
          <cell r="B450" t="str">
            <v>Best price Wild fire 64/20mm</v>
          </cell>
          <cell r="C450" t="str">
            <v>6/1</v>
          </cell>
          <cell r="D450">
            <v>48</v>
          </cell>
        </row>
        <row r="451">
          <cell r="A451" t="str">
            <v>C6420D</v>
          </cell>
          <cell r="B451" t="str">
            <v>Devil</v>
          </cell>
          <cell r="C451" t="str">
            <v>6/1</v>
          </cell>
          <cell r="D451">
            <v>48</v>
          </cell>
        </row>
        <row r="452">
          <cell r="A452" t="str">
            <v>C6420D14</v>
          </cell>
          <cell r="B452" t="str">
            <v>Devil</v>
          </cell>
          <cell r="C452" t="str">
            <v>6/1</v>
          </cell>
          <cell r="D452">
            <v>48</v>
          </cell>
        </row>
        <row r="453">
          <cell r="A453" t="str">
            <v>C6420DU/C</v>
          </cell>
          <cell r="B453" t="str">
            <v>Dumbum 64/20mm</v>
          </cell>
          <cell r="C453" t="str">
            <v>6/1</v>
          </cell>
          <cell r="D453">
            <v>22</v>
          </cell>
        </row>
        <row r="454">
          <cell r="A454" t="str">
            <v>C6420G</v>
          </cell>
          <cell r="B454" t="str">
            <v>Grouch</v>
          </cell>
          <cell r="C454" t="str">
            <v>6/1</v>
          </cell>
          <cell r="D454">
            <v>48</v>
          </cell>
        </row>
        <row r="455">
          <cell r="A455" t="str">
            <v>C6420G14</v>
          </cell>
          <cell r="B455" t="str">
            <v>Grouch</v>
          </cell>
          <cell r="C455" t="str">
            <v>6/1</v>
          </cell>
          <cell r="D455">
            <v>48</v>
          </cell>
        </row>
        <row r="456">
          <cell r="A456" t="str">
            <v>C6420H14 E</v>
          </cell>
          <cell r="B456" t="str">
            <v>Hedgehogs dummy</v>
          </cell>
          <cell r="C456"/>
          <cell r="D456" t="str">
            <v/>
          </cell>
        </row>
        <row r="457">
          <cell r="A457" t="str">
            <v>C6420HE14 E</v>
          </cell>
          <cell r="B457" t="str">
            <v>Heavy dummy</v>
          </cell>
          <cell r="C457"/>
          <cell r="D457" t="str">
            <v/>
          </cell>
        </row>
        <row r="458">
          <cell r="A458" t="str">
            <v>C6425XPT</v>
          </cell>
          <cell r="B458" t="str">
            <v>Pyrotechnology 2020 64sh</v>
          </cell>
          <cell r="C458" t="str">
            <v>3/1</v>
          </cell>
          <cell r="D458">
            <v>24</v>
          </cell>
        </row>
        <row r="459">
          <cell r="A459" t="str">
            <v>C643B E</v>
          </cell>
          <cell r="B459" t="str">
            <v>Trabant dummy</v>
          </cell>
          <cell r="C459"/>
          <cell r="D459" t="str">
            <v/>
          </cell>
        </row>
        <row r="460">
          <cell r="A460" t="str">
            <v>C643BI</v>
          </cell>
          <cell r="B460" t="str">
            <v>Big King</v>
          </cell>
          <cell r="C460" t="str">
            <v>2/1</v>
          </cell>
          <cell r="D460">
            <v>24</v>
          </cell>
        </row>
        <row r="461">
          <cell r="A461" t="str">
            <v>C643BI E</v>
          </cell>
          <cell r="B461" t="str">
            <v>Big King dummy</v>
          </cell>
          <cell r="C461"/>
          <cell r="D461" t="str">
            <v/>
          </cell>
        </row>
        <row r="462">
          <cell r="A462" t="str">
            <v>C643BPF</v>
          </cell>
          <cell r="B462" t="str">
            <v>Best price-Frozen 64/30mm</v>
          </cell>
          <cell r="C462" t="str">
            <v>2/1</v>
          </cell>
          <cell r="D462">
            <v>24</v>
          </cell>
        </row>
        <row r="463">
          <cell r="A463" t="str">
            <v>C643C E</v>
          </cell>
          <cell r="B463" t="str">
            <v>Ho Chi Minh dummy</v>
          </cell>
          <cell r="C463"/>
          <cell r="D463" t="str">
            <v/>
          </cell>
        </row>
        <row r="464">
          <cell r="A464" t="str">
            <v>C643D E</v>
          </cell>
          <cell r="B464" t="str">
            <v>Meteor 64ran dummy</v>
          </cell>
          <cell r="C464"/>
          <cell r="D464" t="str">
            <v/>
          </cell>
        </row>
        <row r="465">
          <cell r="A465" t="str">
            <v>C643E E</v>
          </cell>
          <cell r="B465" t="str">
            <v>Žoldák dummy</v>
          </cell>
          <cell r="C465"/>
          <cell r="D465" t="str">
            <v/>
          </cell>
        </row>
        <row r="466">
          <cell r="A466" t="str">
            <v>C643H</v>
          </cell>
          <cell r="B466" t="str">
            <v>Ho Chi Minh</v>
          </cell>
          <cell r="C466" t="str">
            <v>2/1</v>
          </cell>
          <cell r="D466">
            <v>24</v>
          </cell>
        </row>
        <row r="467">
          <cell r="A467" t="str">
            <v>C643M</v>
          </cell>
          <cell r="B467" t="str">
            <v>Meteor 64ran</v>
          </cell>
          <cell r="C467" t="str">
            <v>2/1</v>
          </cell>
          <cell r="D467">
            <v>24</v>
          </cell>
        </row>
        <row r="468">
          <cell r="A468" t="str">
            <v>C643MN</v>
          </cell>
          <cell r="B468" t="str">
            <v>New fire Power</v>
          </cell>
          <cell r="C468" t="str">
            <v>2/1</v>
          </cell>
          <cell r="D468" t="str">
            <v>12</v>
          </cell>
        </row>
        <row r="469">
          <cell r="A469" t="str">
            <v>C643MN E</v>
          </cell>
          <cell r="B469" t="str">
            <v>New fire Power dummy</v>
          </cell>
          <cell r="C469" t="str">
            <v>1/1</v>
          </cell>
          <cell r="D469" t="str">
            <v/>
          </cell>
        </row>
        <row r="470">
          <cell r="A470" t="str">
            <v>C643XMO</v>
          </cell>
          <cell r="B470" t="str">
            <v>Only for the best</v>
          </cell>
          <cell r="C470" t="str">
            <v>2/1</v>
          </cell>
          <cell r="D470">
            <v>14</v>
          </cell>
        </row>
        <row r="471">
          <cell r="A471" t="str">
            <v>C643XMS</v>
          </cell>
          <cell r="B471" t="str">
            <v>Show must go on</v>
          </cell>
          <cell r="C471" t="str">
            <v>2/1</v>
          </cell>
          <cell r="D471">
            <v>14</v>
          </cell>
        </row>
        <row r="472">
          <cell r="A472" t="str">
            <v>C64MP</v>
          </cell>
          <cell r="B472" t="str">
            <v>Profesionál</v>
          </cell>
          <cell r="C472" t="str">
            <v>4/1</v>
          </cell>
          <cell r="D472">
            <v>36</v>
          </cell>
        </row>
        <row r="473">
          <cell r="A473" t="str">
            <v>C64MSIG E</v>
          </cell>
          <cell r="B473" t="str">
            <v>Signature range 64ran dummy</v>
          </cell>
          <cell r="C473"/>
          <cell r="D473" t="str">
            <v/>
          </cell>
        </row>
        <row r="474">
          <cell r="A474" t="str">
            <v>C64MT</v>
          </cell>
          <cell r="B474" t="str">
            <v>Texas Holdem</v>
          </cell>
          <cell r="C474" t="str">
            <v>4/1</v>
          </cell>
          <cell r="D474">
            <v>36</v>
          </cell>
        </row>
        <row r="475">
          <cell r="A475" t="str">
            <v>C64MT14</v>
          </cell>
          <cell r="B475" t="str">
            <v>Texas Holdem</v>
          </cell>
          <cell r="C475" t="str">
            <v>4/1</v>
          </cell>
          <cell r="D475">
            <v>36</v>
          </cell>
        </row>
        <row r="476">
          <cell r="A476" t="str">
            <v>C6620L</v>
          </cell>
          <cell r="B476" t="str">
            <v>Luxury pyro</v>
          </cell>
          <cell r="C476" t="str">
            <v>4/1</v>
          </cell>
          <cell r="D476">
            <v>18</v>
          </cell>
        </row>
        <row r="477">
          <cell r="A477" t="str">
            <v>C6620L14</v>
          </cell>
          <cell r="B477" t="str">
            <v>Luxury pyro</v>
          </cell>
          <cell r="C477" t="str">
            <v>4/1</v>
          </cell>
          <cell r="D477">
            <v>18</v>
          </cell>
        </row>
        <row r="478">
          <cell r="A478" t="str">
            <v>C6620P</v>
          </cell>
          <cell r="B478" t="str">
            <v>Pyromaster</v>
          </cell>
          <cell r="C478" t="str">
            <v>4/1</v>
          </cell>
          <cell r="D478">
            <v>18</v>
          </cell>
        </row>
        <row r="479">
          <cell r="A479" t="str">
            <v>C6620P14</v>
          </cell>
          <cell r="B479" t="str">
            <v>Pyromaster</v>
          </cell>
          <cell r="C479" t="str">
            <v>4/1</v>
          </cell>
          <cell r="D479">
            <v>18</v>
          </cell>
        </row>
        <row r="480">
          <cell r="A480" t="str">
            <v>C6620SIG</v>
          </cell>
          <cell r="B480" t="str">
            <v>Red Signature range 66/20mm</v>
          </cell>
          <cell r="C480" t="str">
            <v>4/1</v>
          </cell>
          <cell r="D480">
            <v>18</v>
          </cell>
        </row>
        <row r="481">
          <cell r="A481" t="str">
            <v>C66SMMO</v>
          </cell>
          <cell r="B481" t="str">
            <v>Moon Destroyer</v>
          </cell>
          <cell r="C481" t="str">
            <v>2/1</v>
          </cell>
          <cell r="D481">
            <v>20</v>
          </cell>
        </row>
        <row r="482">
          <cell r="A482" t="str">
            <v>C68XMCS</v>
          </cell>
          <cell r="B482" t="str">
            <v>Colorful Sky</v>
          </cell>
          <cell r="C482" t="str">
            <v>6/1</v>
          </cell>
          <cell r="D482">
            <v>15</v>
          </cell>
        </row>
        <row r="483">
          <cell r="A483" t="str">
            <v>C68XMCS14</v>
          </cell>
          <cell r="B483" t="str">
            <v>Colorful Sky</v>
          </cell>
          <cell r="C483" t="str">
            <v>6/1</v>
          </cell>
          <cell r="D483">
            <v>15</v>
          </cell>
        </row>
        <row r="484">
          <cell r="A484" t="str">
            <v>C68XMPT</v>
          </cell>
          <cell r="B484" t="str">
            <v>Pyrotechnology 2020 68sh</v>
          </cell>
          <cell r="C484" t="str">
            <v>6/1</v>
          </cell>
          <cell r="D484">
            <v>15</v>
          </cell>
        </row>
        <row r="485">
          <cell r="A485" t="str">
            <v>C68XMPT14</v>
          </cell>
          <cell r="B485" t="str">
            <v>Pyrotechnology 2020 68sh</v>
          </cell>
          <cell r="C485" t="str">
            <v>6/1</v>
          </cell>
          <cell r="D485">
            <v>15</v>
          </cell>
        </row>
        <row r="486">
          <cell r="A486" t="str">
            <v>C755R/C</v>
          </cell>
          <cell r="B486" t="str">
            <v xml:space="preserve">Refresh </v>
          </cell>
          <cell r="C486" t="str">
            <v>1/1</v>
          </cell>
          <cell r="D486">
            <v>10</v>
          </cell>
        </row>
        <row r="487">
          <cell r="A487" t="str">
            <v>C755R/C(T)</v>
          </cell>
          <cell r="B487" t="str">
            <v xml:space="preserve">Refresh </v>
          </cell>
          <cell r="C487" t="str">
            <v>1/1</v>
          </cell>
          <cell r="D487">
            <v>24</v>
          </cell>
        </row>
        <row r="488">
          <cell r="A488" t="str">
            <v>C84M12F/C</v>
          </cell>
          <cell r="B488" t="str">
            <v>Fireworks show 84</v>
          </cell>
          <cell r="C488" t="str">
            <v>1/1</v>
          </cell>
          <cell r="D488">
            <v>30</v>
          </cell>
        </row>
        <row r="489">
          <cell r="A489" t="str">
            <v>C84M12F/C(T)</v>
          </cell>
          <cell r="B489" t="str">
            <v>Fireworks show 84</v>
          </cell>
          <cell r="C489" t="str">
            <v>1/1</v>
          </cell>
          <cell r="D489">
            <v>36</v>
          </cell>
        </row>
        <row r="490">
          <cell r="A490" t="str">
            <v>C84M12S/C</v>
          </cell>
          <cell r="B490" t="str">
            <v>Show time</v>
          </cell>
          <cell r="C490" t="str">
            <v>1/1</v>
          </cell>
          <cell r="D490">
            <v>30</v>
          </cell>
        </row>
        <row r="491">
          <cell r="A491" t="str">
            <v>C84M12S/C(T)</v>
          </cell>
          <cell r="B491" t="str">
            <v>Show time</v>
          </cell>
          <cell r="C491" t="str">
            <v>1/1</v>
          </cell>
          <cell r="D491">
            <v>36</v>
          </cell>
        </row>
        <row r="492">
          <cell r="A492" t="str">
            <v>C84MC/C</v>
          </cell>
          <cell r="B492" t="str">
            <v xml:space="preserve">City of Earth  </v>
          </cell>
          <cell r="C492" t="str">
            <v>1/1</v>
          </cell>
          <cell r="D492">
            <v>24</v>
          </cell>
        </row>
        <row r="493">
          <cell r="A493" t="str">
            <v>C84MC/C(T)</v>
          </cell>
          <cell r="B493" t="str">
            <v xml:space="preserve">City of Earth  </v>
          </cell>
          <cell r="C493" t="str">
            <v>1/1</v>
          </cell>
          <cell r="D493">
            <v>24</v>
          </cell>
        </row>
        <row r="494">
          <cell r="A494" t="str">
            <v>C8825BR</v>
          </cell>
          <cell r="B494" t="str">
            <v>Brocade war</v>
          </cell>
          <cell r="C494" t="str">
            <v>2/1</v>
          </cell>
          <cell r="D494">
            <v>40</v>
          </cell>
        </row>
        <row r="495">
          <cell r="A495" t="str">
            <v>C8825G</v>
          </cell>
          <cell r="B495" t="str">
            <v>Graffiti</v>
          </cell>
          <cell r="C495" t="str">
            <v>2/1</v>
          </cell>
          <cell r="D495">
            <v>40</v>
          </cell>
        </row>
        <row r="496">
          <cell r="A496" t="str">
            <v>C8825G E</v>
          </cell>
          <cell r="B496" t="str">
            <v>Graffiti dummy</v>
          </cell>
          <cell r="C496"/>
          <cell r="D496" t="str">
            <v/>
          </cell>
        </row>
        <row r="497">
          <cell r="A497" t="str">
            <v>C8825M</v>
          </cell>
          <cell r="B497" t="str">
            <v>Motorhead warior</v>
          </cell>
          <cell r="C497" t="str">
            <v>2/1</v>
          </cell>
          <cell r="D497">
            <v>40</v>
          </cell>
        </row>
        <row r="498">
          <cell r="A498" t="str">
            <v>C8825M E</v>
          </cell>
          <cell r="B498" t="str">
            <v>Motorhead warior dummy</v>
          </cell>
          <cell r="C498" t="str">
            <v>1/1</v>
          </cell>
          <cell r="D498" t="str">
            <v/>
          </cell>
        </row>
        <row r="499">
          <cell r="A499" t="str">
            <v>C8825PA</v>
          </cell>
          <cell r="B499" t="str">
            <v>Partička</v>
          </cell>
          <cell r="C499" t="str">
            <v>2/1</v>
          </cell>
          <cell r="D499">
            <v>40</v>
          </cell>
        </row>
        <row r="500">
          <cell r="A500" t="str">
            <v>C8825PA E</v>
          </cell>
          <cell r="B500" t="str">
            <v>Partička dummy</v>
          </cell>
          <cell r="C500" t="str">
            <v>1/1</v>
          </cell>
          <cell r="D500" t="str">
            <v/>
          </cell>
        </row>
        <row r="501">
          <cell r="A501" t="str">
            <v>C8925B</v>
          </cell>
          <cell r="B501" t="str">
            <v>Blue planet eruption</v>
          </cell>
          <cell r="C501" t="str">
            <v>2/1</v>
          </cell>
          <cell r="D501">
            <v>24</v>
          </cell>
        </row>
        <row r="502">
          <cell r="A502" t="str">
            <v>C8925M E</v>
          </cell>
          <cell r="B502" t="str">
            <v>Martian invasion dummy</v>
          </cell>
          <cell r="C502"/>
          <cell r="D502" t="str">
            <v/>
          </cell>
        </row>
        <row r="503">
          <cell r="A503" t="str">
            <v>C8925N</v>
          </cell>
          <cell r="B503" t="str">
            <v>Night Chaos</v>
          </cell>
          <cell r="C503" t="str">
            <v>2/1</v>
          </cell>
          <cell r="D503">
            <v>24</v>
          </cell>
        </row>
        <row r="504">
          <cell r="A504" t="str">
            <v>C8925N E</v>
          </cell>
          <cell r="B504" t="str">
            <v>Night Chaos dummy</v>
          </cell>
          <cell r="C504" t="str">
            <v>1/1</v>
          </cell>
          <cell r="D504" t="str">
            <v/>
          </cell>
        </row>
        <row r="505">
          <cell r="A505" t="str">
            <v>C9020C E</v>
          </cell>
          <cell r="B505" t="str">
            <v>Crocodille dummy</v>
          </cell>
          <cell r="C505"/>
          <cell r="D505" t="str">
            <v/>
          </cell>
        </row>
        <row r="506">
          <cell r="A506" t="str">
            <v>C9020SIG</v>
          </cell>
          <cell r="B506" t="str">
            <v>Signature range 90ran</v>
          </cell>
          <cell r="C506" t="str">
            <v>6/1</v>
          </cell>
          <cell r="D506">
            <v>24</v>
          </cell>
        </row>
        <row r="507">
          <cell r="A507" t="str">
            <v>C9020V</v>
          </cell>
          <cell r="B507" t="str">
            <v>Válka světů</v>
          </cell>
          <cell r="C507" t="str">
            <v>6/1</v>
          </cell>
          <cell r="D507">
            <v>24</v>
          </cell>
        </row>
        <row r="508">
          <cell r="A508" t="str">
            <v>C9020V E</v>
          </cell>
          <cell r="B508" t="str">
            <v>Válka světů dummy</v>
          </cell>
          <cell r="C508"/>
          <cell r="D508" t="str">
            <v/>
          </cell>
        </row>
        <row r="509">
          <cell r="A509" t="str">
            <v>C9020X</v>
          </cell>
          <cell r="B509" t="str">
            <v>Xmas dream</v>
          </cell>
          <cell r="C509" t="str">
            <v>6/1</v>
          </cell>
          <cell r="D509">
            <v>24</v>
          </cell>
        </row>
        <row r="510">
          <cell r="A510" t="str">
            <v>C9020X E</v>
          </cell>
          <cell r="B510" t="str">
            <v>Xmas dream dummy</v>
          </cell>
          <cell r="C510" t="str">
            <v>1/1</v>
          </cell>
          <cell r="D510" t="str">
            <v/>
          </cell>
        </row>
        <row r="511">
          <cell r="A511" t="str">
            <v>C920L</v>
          </cell>
          <cell r="B511" t="str">
            <v>Lumpík</v>
          </cell>
          <cell r="C511" t="str">
            <v>40/1</v>
          </cell>
          <cell r="D511">
            <v>36</v>
          </cell>
        </row>
        <row r="512">
          <cell r="A512" t="str">
            <v>C920M</v>
          </cell>
          <cell r="B512" t="str">
            <v>Major</v>
          </cell>
          <cell r="C512" t="str">
            <v>40/1</v>
          </cell>
          <cell r="D512">
            <v>36</v>
          </cell>
        </row>
        <row r="513">
          <cell r="A513" t="str">
            <v>C9625MF/C14</v>
          </cell>
          <cell r="B513" t="str">
            <v>Profi Fireworks show 96</v>
          </cell>
          <cell r="C513" t="str">
            <v>1/1</v>
          </cell>
          <cell r="D513" t="str">
            <v>54</v>
          </cell>
        </row>
        <row r="514">
          <cell r="A514" t="str">
            <v>C9625MF/C14(T)</v>
          </cell>
          <cell r="B514" t="str">
            <v>Fireworks show 96</v>
          </cell>
          <cell r="C514" t="str">
            <v>1/1</v>
          </cell>
          <cell r="D514" t="str">
            <v>54</v>
          </cell>
        </row>
        <row r="515">
          <cell r="A515" t="str">
            <v>C96MB</v>
          </cell>
          <cell r="B515" t="str">
            <v>Baterie 96ran B</v>
          </cell>
          <cell r="C515" t="str">
            <v>1/1</v>
          </cell>
          <cell r="D515">
            <v>20</v>
          </cell>
        </row>
        <row r="516">
          <cell r="A516" t="str">
            <v>C9825C/C</v>
          </cell>
          <cell r="B516" t="str">
            <v>Crazy Night</v>
          </cell>
          <cell r="C516" t="str">
            <v>1/1</v>
          </cell>
          <cell r="D516">
            <v>63</v>
          </cell>
        </row>
        <row r="517">
          <cell r="A517" t="str">
            <v>C9825C/C(T)</v>
          </cell>
          <cell r="B517" t="str">
            <v>Crazy Night</v>
          </cell>
          <cell r="C517" t="str">
            <v>1/1</v>
          </cell>
          <cell r="D517">
            <v>60</v>
          </cell>
        </row>
        <row r="518">
          <cell r="A518" t="str">
            <v>C9825C/C14</v>
          </cell>
          <cell r="B518" t="str">
            <v>Crazy Night</v>
          </cell>
          <cell r="C518" t="str">
            <v>1/1</v>
          </cell>
          <cell r="D518">
            <v>63</v>
          </cell>
        </row>
        <row r="519">
          <cell r="A519" t="str">
            <v>C9825C/C14(T)</v>
          </cell>
          <cell r="B519" t="str">
            <v>Crazy Night</v>
          </cell>
          <cell r="C519" t="str">
            <v>1/1</v>
          </cell>
          <cell r="D519">
            <v>60</v>
          </cell>
        </row>
        <row r="520">
          <cell r="A520" t="str">
            <v>C9825DU/C E</v>
          </cell>
          <cell r="B520" t="str">
            <v>Dumbum compound 98sh dummy</v>
          </cell>
          <cell r="C520"/>
          <cell r="D520" t="str">
            <v/>
          </cell>
        </row>
        <row r="521">
          <cell r="A521" t="str">
            <v>C9825SIG/C</v>
          </cell>
          <cell r="B521" t="str">
            <v>Signature range 98ran</v>
          </cell>
          <cell r="C521" t="str">
            <v>1/1</v>
          </cell>
          <cell r="D521" t="str">
            <v>63</v>
          </cell>
        </row>
        <row r="522">
          <cell r="A522" t="str">
            <v>C9825SIG/C E</v>
          </cell>
          <cell r="B522" t="str">
            <v>Signature range 98ran dummy</v>
          </cell>
          <cell r="C522" t="str">
            <v>1/1</v>
          </cell>
          <cell r="D522" t="str">
            <v/>
          </cell>
        </row>
        <row r="523">
          <cell r="A523" t="str">
            <v>C9825SIG/C(T)</v>
          </cell>
          <cell r="B523" t="str">
            <v>Signature range 98ran</v>
          </cell>
          <cell r="C523" t="str">
            <v>1/1</v>
          </cell>
          <cell r="D523" t="str">
            <v>63</v>
          </cell>
        </row>
        <row r="524">
          <cell r="A524" t="str">
            <v>C9825SIG/C14</v>
          </cell>
          <cell r="B524" t="str">
            <v>Signature range 98ran</v>
          </cell>
          <cell r="C524" t="str">
            <v>1/1</v>
          </cell>
          <cell r="D524">
            <v>55</v>
          </cell>
        </row>
        <row r="525">
          <cell r="A525" t="str">
            <v>C9825SIG/C14(T)</v>
          </cell>
          <cell r="B525" t="str">
            <v>Signature range 98ran</v>
          </cell>
          <cell r="C525" t="str">
            <v>1/1</v>
          </cell>
          <cell r="D525">
            <v>55</v>
          </cell>
        </row>
        <row r="526">
          <cell r="A526" t="str">
            <v>CDK1</v>
          </cell>
          <cell r="B526" t="str">
            <v>SFA1215 / Crackling Dumbum for kids</v>
          </cell>
          <cell r="C526" t="str">
            <v>20/12/8.</v>
          </cell>
          <cell r="D526">
            <v>90</v>
          </cell>
        </row>
        <row r="527">
          <cell r="A527" t="str">
            <v>CDK1(1)</v>
          </cell>
          <cell r="B527" t="str">
            <v>SFA1215 / Crackling Dumbum for kids</v>
          </cell>
          <cell r="C527" t="str">
            <v>20/12/8.</v>
          </cell>
          <cell r="D527">
            <v>90</v>
          </cell>
        </row>
        <row r="528">
          <cell r="A528" t="str">
            <v>CDLE1</v>
          </cell>
          <cell r="B528" t="str">
            <v>Dumbum zimní čepice - limited edition</v>
          </cell>
          <cell r="C528" t="str">
            <v>1/1</v>
          </cell>
          <cell r="D528"/>
        </row>
        <row r="529">
          <cell r="A529" t="str">
            <v>CF10020G</v>
          </cell>
          <cell r="B529" t="str">
            <v>Gnome</v>
          </cell>
          <cell r="C529" t="str">
            <v>2/1</v>
          </cell>
          <cell r="D529">
            <v>45</v>
          </cell>
        </row>
        <row r="530">
          <cell r="A530" t="str">
            <v>CF10020G E</v>
          </cell>
          <cell r="B530" t="str">
            <v>Gnome dummy</v>
          </cell>
          <cell r="C530" t="str">
            <v>1/1</v>
          </cell>
          <cell r="D530" t="str">
            <v/>
          </cell>
        </row>
        <row r="531">
          <cell r="A531" t="str">
            <v>CF10020P</v>
          </cell>
          <cell r="B531" t="str">
            <v>Platinium serie</v>
          </cell>
          <cell r="C531" t="str">
            <v>2/1</v>
          </cell>
          <cell r="D531">
            <v>45</v>
          </cell>
        </row>
        <row r="532">
          <cell r="A532" t="str">
            <v>CF10020P E</v>
          </cell>
          <cell r="B532" t="str">
            <v>Platinium serie dummy</v>
          </cell>
          <cell r="C532"/>
          <cell r="D532" t="str">
            <v/>
          </cell>
        </row>
        <row r="533">
          <cell r="A533" t="str">
            <v>CF1003P/C</v>
          </cell>
          <cell r="B533" t="str">
            <v xml:space="preserve">Profi Pyro show </v>
          </cell>
          <cell r="C533" t="str">
            <v>1/1</v>
          </cell>
          <cell r="D533">
            <v>24</v>
          </cell>
        </row>
        <row r="534">
          <cell r="A534" t="str">
            <v>CF1003P/C(T)</v>
          </cell>
          <cell r="B534" t="str">
            <v xml:space="preserve">Profi Pyro show </v>
          </cell>
          <cell r="C534" t="str">
            <v>1/1</v>
          </cell>
          <cell r="D534">
            <v>24</v>
          </cell>
        </row>
        <row r="535">
          <cell r="A535" t="str">
            <v>CF1352X6</v>
          </cell>
          <cell r="B535" t="str">
            <v>Storm new age-Fan shape</v>
          </cell>
          <cell r="C535" t="str">
            <v>2/1</v>
          </cell>
          <cell r="D535">
            <v>20</v>
          </cell>
        </row>
        <row r="536">
          <cell r="A536" t="str">
            <v>CF1352X7</v>
          </cell>
          <cell r="B536" t="str">
            <v>Storm new age-Fan shape</v>
          </cell>
          <cell r="C536" t="str">
            <v>2/1</v>
          </cell>
          <cell r="D536">
            <v>20</v>
          </cell>
        </row>
        <row r="537">
          <cell r="A537" t="str">
            <v>CF2525A E</v>
          </cell>
          <cell r="B537" t="str">
            <v>Azrael dummy</v>
          </cell>
          <cell r="C537"/>
          <cell r="D537" t="str">
            <v/>
          </cell>
        </row>
        <row r="538">
          <cell r="A538" t="str">
            <v>CF2525D</v>
          </cell>
          <cell r="B538" t="str">
            <v>Dracco</v>
          </cell>
          <cell r="C538" t="str">
            <v>10/1</v>
          </cell>
          <cell r="D538" t="str">
            <v>20</v>
          </cell>
        </row>
        <row r="539">
          <cell r="A539" t="str">
            <v>CF2525G14 E</v>
          </cell>
          <cell r="B539" t="str">
            <v>Gremlin dummy</v>
          </cell>
          <cell r="C539"/>
          <cell r="D539" t="str">
            <v/>
          </cell>
        </row>
        <row r="540">
          <cell r="A540" t="str">
            <v>CF2525O</v>
          </cell>
          <cell r="B540" t="str">
            <v>Ostrov pokladů</v>
          </cell>
          <cell r="C540" t="str">
            <v>10/1</v>
          </cell>
          <cell r="D540" t="str">
            <v>20</v>
          </cell>
        </row>
        <row r="541">
          <cell r="A541" t="str">
            <v>CF2525S</v>
          </cell>
          <cell r="B541" t="str">
            <v>Skřeti</v>
          </cell>
          <cell r="C541" t="str">
            <v>10/1</v>
          </cell>
          <cell r="D541" t="str">
            <v>20</v>
          </cell>
        </row>
        <row r="542">
          <cell r="A542" t="str">
            <v>CF253D14</v>
          </cell>
          <cell r="B542" t="str">
            <v>Dark stars</v>
          </cell>
          <cell r="C542" t="str">
            <v>6/1</v>
          </cell>
          <cell r="D542">
            <v>16</v>
          </cell>
        </row>
        <row r="543">
          <cell r="A543" t="str">
            <v>CF253K14</v>
          </cell>
          <cell r="B543" t="str">
            <v>Klaun</v>
          </cell>
          <cell r="C543" t="str">
            <v>6/1</v>
          </cell>
          <cell r="D543">
            <v>16</v>
          </cell>
        </row>
        <row r="544">
          <cell r="A544" t="str">
            <v>CF253L E</v>
          </cell>
          <cell r="B544" t="str">
            <v>Last Hero dummy</v>
          </cell>
          <cell r="C544"/>
          <cell r="D544" t="str">
            <v/>
          </cell>
        </row>
        <row r="545">
          <cell r="A545" t="str">
            <v>CF253R14</v>
          </cell>
          <cell r="B545" t="str">
            <v>Rarach</v>
          </cell>
          <cell r="C545" t="str">
            <v>6/1</v>
          </cell>
          <cell r="D545">
            <v>16</v>
          </cell>
        </row>
        <row r="546">
          <cell r="A546" t="str">
            <v>CF363L E</v>
          </cell>
          <cell r="B546" t="str">
            <v>Lizard dummy</v>
          </cell>
          <cell r="C546"/>
          <cell r="D546" t="str">
            <v/>
          </cell>
        </row>
        <row r="547">
          <cell r="A547" t="str">
            <v>CF363S</v>
          </cell>
          <cell r="B547" t="str">
            <v>Stalinovy varhany</v>
          </cell>
          <cell r="C547" t="str">
            <v>4/1</v>
          </cell>
          <cell r="D547">
            <v>14</v>
          </cell>
        </row>
        <row r="548">
          <cell r="A548" t="str">
            <v>CF363V E</v>
          </cell>
          <cell r="B548" t="str">
            <v>Viktor dummy</v>
          </cell>
          <cell r="C548"/>
          <cell r="D548" t="str">
            <v/>
          </cell>
        </row>
        <row r="549">
          <cell r="A549" t="str">
            <v>CF4920A</v>
          </cell>
          <cell r="B549" t="str">
            <v>Air show</v>
          </cell>
          <cell r="C549" t="str">
            <v>6/1</v>
          </cell>
          <cell r="D549">
            <v>24</v>
          </cell>
        </row>
        <row r="550">
          <cell r="A550" t="str">
            <v>CF4920F E</v>
          </cell>
          <cell r="B550" t="str">
            <v>Fireworks show dummy</v>
          </cell>
          <cell r="C550"/>
          <cell r="D550" t="str">
            <v/>
          </cell>
        </row>
        <row r="551">
          <cell r="A551" t="str">
            <v>CF4920G</v>
          </cell>
          <cell r="B551" t="str">
            <v>Goldman</v>
          </cell>
          <cell r="C551" t="str">
            <v>6/1</v>
          </cell>
          <cell r="D551">
            <v>24</v>
          </cell>
        </row>
        <row r="552">
          <cell r="A552" t="str">
            <v>CF4920G14</v>
          </cell>
          <cell r="B552" t="str">
            <v>Goldman</v>
          </cell>
          <cell r="C552" t="str">
            <v>6/1</v>
          </cell>
          <cell r="D552">
            <v>24</v>
          </cell>
        </row>
        <row r="553">
          <cell r="A553" t="str">
            <v>CF4920J</v>
          </cell>
          <cell r="B553" t="str">
            <v>Jaga</v>
          </cell>
          <cell r="C553" t="str">
            <v>6/1</v>
          </cell>
          <cell r="D553">
            <v>24</v>
          </cell>
        </row>
        <row r="554">
          <cell r="A554" t="str">
            <v>CF4920J E</v>
          </cell>
          <cell r="B554" t="str">
            <v>Jaga dummy</v>
          </cell>
          <cell r="C554"/>
          <cell r="D554" t="str">
            <v/>
          </cell>
        </row>
        <row r="555">
          <cell r="A555" t="str">
            <v>CF4920VIP</v>
          </cell>
          <cell r="B555" t="str">
            <v>Vip Nights</v>
          </cell>
          <cell r="C555" t="str">
            <v>6/1</v>
          </cell>
          <cell r="D555">
            <v>24</v>
          </cell>
        </row>
        <row r="556">
          <cell r="A556" t="str">
            <v>CF4925B</v>
          </cell>
          <cell r="B556" t="str">
            <v>Brocade war 49sh(fan)</v>
          </cell>
          <cell r="C556" t="str">
            <v>4/1</v>
          </cell>
          <cell r="D556">
            <v>16</v>
          </cell>
        </row>
        <row r="557">
          <cell r="A557" t="str">
            <v>CF4925B E</v>
          </cell>
          <cell r="B557" t="str">
            <v>Brocade war 49sh(fan) dummy</v>
          </cell>
          <cell r="C557"/>
          <cell r="D557" t="str">
            <v/>
          </cell>
        </row>
        <row r="558">
          <cell r="A558" t="str">
            <v>CF4925D</v>
          </cell>
          <cell r="B558" t="str">
            <v xml:space="preserve">Dumbum mini(fan) </v>
          </cell>
          <cell r="C558" t="str">
            <v>4/1</v>
          </cell>
          <cell r="D558">
            <v>16</v>
          </cell>
        </row>
        <row r="559">
          <cell r="A559" t="str">
            <v>CF4925S</v>
          </cell>
          <cell r="B559" t="str">
            <v>Super fast gun</v>
          </cell>
          <cell r="C559" t="str">
            <v>4/1</v>
          </cell>
          <cell r="D559">
            <v>16</v>
          </cell>
        </row>
        <row r="560">
          <cell r="A560" t="str">
            <v>CF493ME</v>
          </cell>
          <cell r="B560" t="str">
            <v>Mechanic</v>
          </cell>
          <cell r="C560" t="str">
            <v>2/1</v>
          </cell>
          <cell r="D560">
            <v>14</v>
          </cell>
        </row>
        <row r="561">
          <cell r="A561" t="str">
            <v>CF493ME E</v>
          </cell>
          <cell r="B561" t="str">
            <v>Mechanic dummy</v>
          </cell>
          <cell r="C561" t="str">
            <v>1/1</v>
          </cell>
          <cell r="D561" t="str">
            <v/>
          </cell>
        </row>
        <row r="562">
          <cell r="A562" t="str">
            <v>CF493MO E</v>
          </cell>
          <cell r="B562" t="str">
            <v>Mortimer dummy</v>
          </cell>
          <cell r="C562"/>
          <cell r="D562" t="str">
            <v/>
          </cell>
        </row>
        <row r="563">
          <cell r="A563" t="str">
            <v>CF493SA</v>
          </cell>
          <cell r="B563" t="str">
            <v>Samuraj</v>
          </cell>
          <cell r="C563" t="str">
            <v>2/1</v>
          </cell>
          <cell r="D563">
            <v>14</v>
          </cell>
        </row>
        <row r="564">
          <cell r="A564" t="str">
            <v>CF493ST</v>
          </cell>
          <cell r="B564" t="str">
            <v>Storm</v>
          </cell>
          <cell r="C564" t="str">
            <v>2/1</v>
          </cell>
          <cell r="D564">
            <v>14</v>
          </cell>
        </row>
        <row r="565">
          <cell r="A565" t="str">
            <v>CF493W</v>
          </cell>
          <cell r="B565" t="str">
            <v>World</v>
          </cell>
          <cell r="C565" t="str">
            <v>2/1</v>
          </cell>
          <cell r="D565">
            <v>14</v>
          </cell>
        </row>
        <row r="566">
          <cell r="A566" t="str">
            <v>CF503X12</v>
          </cell>
          <cell r="B566" t="str">
            <v>Storm new age</v>
          </cell>
          <cell r="C566" t="str">
            <v>2/1</v>
          </cell>
          <cell r="D566">
            <v>28</v>
          </cell>
        </row>
        <row r="567">
          <cell r="A567" t="str">
            <v>CF503X14</v>
          </cell>
          <cell r="B567" t="str">
            <v>Storm new age</v>
          </cell>
          <cell r="C567" t="str">
            <v>2/1</v>
          </cell>
          <cell r="D567">
            <v>28</v>
          </cell>
        </row>
        <row r="568">
          <cell r="A568" t="str">
            <v>CF503X15</v>
          </cell>
          <cell r="B568" t="str">
            <v>Storm new age</v>
          </cell>
          <cell r="C568" t="str">
            <v>2/1</v>
          </cell>
          <cell r="D568">
            <v>28</v>
          </cell>
        </row>
        <row r="569">
          <cell r="A569" t="str">
            <v>CF503X16</v>
          </cell>
          <cell r="B569" t="str">
            <v>Storm new age</v>
          </cell>
          <cell r="C569" t="str">
            <v>2/1</v>
          </cell>
          <cell r="D569">
            <v>28</v>
          </cell>
        </row>
        <row r="570">
          <cell r="A570" t="str">
            <v>CF503X17</v>
          </cell>
          <cell r="B570" t="str">
            <v>Storm new age</v>
          </cell>
          <cell r="C570" t="str">
            <v>2/1</v>
          </cell>
          <cell r="D570">
            <v>28</v>
          </cell>
        </row>
        <row r="571">
          <cell r="A571" t="str">
            <v>CF503X29</v>
          </cell>
          <cell r="B571" t="str">
            <v>Storm new age</v>
          </cell>
          <cell r="C571" t="str">
            <v>2/1</v>
          </cell>
          <cell r="D571">
            <v>28</v>
          </cell>
        </row>
        <row r="572">
          <cell r="A572" t="str">
            <v>CF503X3</v>
          </cell>
          <cell r="B572" t="str">
            <v>Storm new age</v>
          </cell>
          <cell r="C572" t="str">
            <v>2/1</v>
          </cell>
          <cell r="D572">
            <v>28</v>
          </cell>
        </row>
        <row r="573">
          <cell r="A573" t="str">
            <v>CF503X4</v>
          </cell>
          <cell r="B573" t="str">
            <v>Storm new age</v>
          </cell>
          <cell r="C573" t="str">
            <v>2/1</v>
          </cell>
          <cell r="D573">
            <v>28</v>
          </cell>
        </row>
        <row r="574">
          <cell r="A574" t="str">
            <v>CF503X48</v>
          </cell>
          <cell r="B574" t="str">
            <v>Storm new age</v>
          </cell>
          <cell r="C574" t="str">
            <v>2/1</v>
          </cell>
          <cell r="D574">
            <v>28</v>
          </cell>
        </row>
        <row r="575">
          <cell r="A575" t="str">
            <v>CF503X5</v>
          </cell>
          <cell r="B575" t="str">
            <v>Storm new age</v>
          </cell>
          <cell r="C575" t="str">
            <v>2/1</v>
          </cell>
          <cell r="D575">
            <v>28</v>
          </cell>
        </row>
        <row r="576">
          <cell r="A576" t="str">
            <v>CF503X54</v>
          </cell>
          <cell r="B576" t="str">
            <v>Storm new age</v>
          </cell>
          <cell r="C576" t="str">
            <v>2/1</v>
          </cell>
          <cell r="D576">
            <v>28</v>
          </cell>
        </row>
        <row r="577">
          <cell r="A577" t="str">
            <v>CF503X7</v>
          </cell>
          <cell r="B577" t="str">
            <v>Storm new age</v>
          </cell>
          <cell r="C577" t="str">
            <v>2/1</v>
          </cell>
          <cell r="D577">
            <v>28</v>
          </cell>
        </row>
        <row r="578">
          <cell r="A578" t="str">
            <v>CF503X8</v>
          </cell>
          <cell r="B578" t="str">
            <v>Storm new age</v>
          </cell>
          <cell r="C578" t="str">
            <v>2/1</v>
          </cell>
          <cell r="D578">
            <v>28</v>
          </cell>
        </row>
        <row r="579">
          <cell r="A579" t="str">
            <v>CF643M</v>
          </cell>
          <cell r="B579" t="str">
            <v>Mutant</v>
          </cell>
          <cell r="C579" t="str">
            <v>2/1</v>
          </cell>
          <cell r="D579">
            <v>14</v>
          </cell>
        </row>
        <row r="580">
          <cell r="A580" t="str">
            <v>CF643M E</v>
          </cell>
          <cell r="B580" t="str">
            <v>Mutant dummy</v>
          </cell>
          <cell r="C580" t="str">
            <v>1/1</v>
          </cell>
          <cell r="D580" t="str">
            <v/>
          </cell>
        </row>
        <row r="581">
          <cell r="A581" t="str">
            <v>CF643T</v>
          </cell>
          <cell r="B581" t="str">
            <v>Tiger</v>
          </cell>
          <cell r="C581" t="str">
            <v>2/1</v>
          </cell>
          <cell r="D581">
            <v>14</v>
          </cell>
        </row>
        <row r="582">
          <cell r="A582" t="str">
            <v>CM9825DU/C E</v>
          </cell>
          <cell r="B582" t="str">
            <v>Dumbum compound 98sh(I+fan) dummy</v>
          </cell>
          <cell r="C582"/>
          <cell r="D582" t="str">
            <v/>
          </cell>
        </row>
        <row r="583">
          <cell r="A583" t="str">
            <v>CON40F</v>
          </cell>
          <cell r="B583" t="str">
            <v>Firemní konfety 40cm</v>
          </cell>
          <cell r="C583" t="str">
            <v>72/1</v>
          </cell>
          <cell r="D583" t="str">
            <v>16</v>
          </cell>
        </row>
        <row r="584">
          <cell r="A584" t="str">
            <v>CON40P</v>
          </cell>
          <cell r="B584" t="str">
            <v>Párty konfety 40cm</v>
          </cell>
          <cell r="C584" t="str">
            <v>72/1</v>
          </cell>
          <cell r="D584" t="str">
            <v>16</v>
          </cell>
        </row>
        <row r="585">
          <cell r="A585" t="str">
            <v>CON40S</v>
          </cell>
          <cell r="B585" t="str">
            <v>Svatební konfety 40cm</v>
          </cell>
          <cell r="C585" t="str">
            <v>72/1</v>
          </cell>
          <cell r="D585" t="str">
            <v>16</v>
          </cell>
        </row>
        <row r="586">
          <cell r="A586" t="str">
            <v>CON80P</v>
          </cell>
          <cell r="B586" t="str">
            <v>Párty konfety 80cm</v>
          </cell>
          <cell r="C586" t="str">
            <v>36/1</v>
          </cell>
          <cell r="D586" t="str">
            <v>21</v>
          </cell>
        </row>
        <row r="587">
          <cell r="A587" t="str">
            <v>CP5DU14(G)</v>
          </cell>
          <cell r="B587" t="str">
            <v>Crackling Dumbum</v>
          </cell>
          <cell r="C587" t="str">
            <v>50/20</v>
          </cell>
          <cell r="D587">
            <v>72</v>
          </cell>
        </row>
        <row r="588">
          <cell r="A588" t="str">
            <v>CP5DU14(G)1</v>
          </cell>
          <cell r="B588" t="str">
            <v>Crackling Dumbum</v>
          </cell>
          <cell r="C588" t="str">
            <v>50/20</v>
          </cell>
          <cell r="D588">
            <v>72</v>
          </cell>
        </row>
        <row r="589">
          <cell r="A589" t="str">
            <v>CP5DU14(R)</v>
          </cell>
          <cell r="B589" t="str">
            <v>Crackling Dumbum</v>
          </cell>
          <cell r="C589" t="str">
            <v>50/20</v>
          </cell>
          <cell r="D589">
            <v>72</v>
          </cell>
        </row>
        <row r="590">
          <cell r="A590" t="str">
            <v>CP5DU14(R)1</v>
          </cell>
          <cell r="B590" t="str">
            <v>Crackling Dumbum</v>
          </cell>
          <cell r="C590" t="str">
            <v>50/20</v>
          </cell>
          <cell r="D590">
            <v>72</v>
          </cell>
        </row>
        <row r="591">
          <cell r="A591" t="str">
            <v>CS1352X10</v>
          </cell>
          <cell r="B591" t="str">
            <v>Storm new age-S type</v>
          </cell>
          <cell r="C591" t="str">
            <v>2/1</v>
          </cell>
          <cell r="D591">
            <v>20</v>
          </cell>
        </row>
        <row r="592">
          <cell r="A592" t="str">
            <v>CS1352X14</v>
          </cell>
          <cell r="B592" t="str">
            <v>Storm new age-S type</v>
          </cell>
          <cell r="C592" t="str">
            <v>2/1</v>
          </cell>
          <cell r="D592">
            <v>20</v>
          </cell>
        </row>
        <row r="593">
          <cell r="A593" t="str">
            <v>CS1352X5</v>
          </cell>
          <cell r="B593" t="str">
            <v>Storm new age-S type</v>
          </cell>
          <cell r="C593" t="str">
            <v>2/1</v>
          </cell>
          <cell r="D593">
            <v>20</v>
          </cell>
        </row>
        <row r="594">
          <cell r="A594" t="str">
            <v>CS1352X9</v>
          </cell>
          <cell r="B594" t="str">
            <v>Storm new age-S type</v>
          </cell>
          <cell r="C594" t="str">
            <v>2/1</v>
          </cell>
          <cell r="D594">
            <v>20</v>
          </cell>
        </row>
        <row r="595">
          <cell r="A595" t="str">
            <v>CS2BB</v>
          </cell>
          <cell r="B595" t="str">
            <v>Big Boss</v>
          </cell>
          <cell r="C595" t="str">
            <v>4/18</v>
          </cell>
          <cell r="D595">
            <v>12</v>
          </cell>
        </row>
        <row r="596">
          <cell r="A596" t="str">
            <v>CS503X11</v>
          </cell>
          <cell r="B596" t="str">
            <v>Storm new age</v>
          </cell>
          <cell r="C596" t="str">
            <v>2/1</v>
          </cell>
          <cell r="D596">
            <v>28</v>
          </cell>
        </row>
        <row r="597">
          <cell r="A597" t="str">
            <v>CS503X12</v>
          </cell>
          <cell r="B597" t="str">
            <v>Storm new age</v>
          </cell>
          <cell r="C597" t="str">
            <v>2/1</v>
          </cell>
          <cell r="D597">
            <v>28</v>
          </cell>
        </row>
        <row r="598">
          <cell r="A598" t="str">
            <v>CS503X14</v>
          </cell>
          <cell r="B598" t="str">
            <v>Storm new age</v>
          </cell>
          <cell r="C598" t="str">
            <v>2/1</v>
          </cell>
          <cell r="D598">
            <v>28</v>
          </cell>
        </row>
        <row r="599">
          <cell r="A599" t="str">
            <v>CS503X15</v>
          </cell>
          <cell r="B599" t="str">
            <v>Storm new age</v>
          </cell>
          <cell r="C599" t="str">
            <v>2/1</v>
          </cell>
          <cell r="D599">
            <v>28</v>
          </cell>
        </row>
        <row r="600">
          <cell r="A600" t="str">
            <v>CS503X17</v>
          </cell>
          <cell r="B600" t="str">
            <v>Storm new age</v>
          </cell>
          <cell r="C600" t="str">
            <v>2/1</v>
          </cell>
          <cell r="D600">
            <v>28</v>
          </cell>
        </row>
        <row r="601">
          <cell r="A601" t="str">
            <v>CS503X18</v>
          </cell>
          <cell r="B601" t="str">
            <v>Storm new age</v>
          </cell>
          <cell r="C601" t="str">
            <v>2/1</v>
          </cell>
          <cell r="D601">
            <v>28</v>
          </cell>
        </row>
        <row r="602">
          <cell r="A602" t="str">
            <v>CS503X19</v>
          </cell>
          <cell r="B602" t="str">
            <v>Storm new age</v>
          </cell>
          <cell r="C602" t="str">
            <v>2/1</v>
          </cell>
          <cell r="D602">
            <v>28</v>
          </cell>
        </row>
        <row r="603">
          <cell r="A603" t="str">
            <v>CS503X20</v>
          </cell>
          <cell r="B603" t="str">
            <v>Storm new age</v>
          </cell>
          <cell r="C603" t="str">
            <v>2/1</v>
          </cell>
          <cell r="D603">
            <v>28</v>
          </cell>
        </row>
        <row r="604">
          <cell r="A604" t="str">
            <v>CS503X21</v>
          </cell>
          <cell r="B604" t="str">
            <v>Storm new age</v>
          </cell>
          <cell r="C604" t="str">
            <v>2/1</v>
          </cell>
          <cell r="D604">
            <v>28</v>
          </cell>
        </row>
        <row r="605">
          <cell r="A605" t="str">
            <v>CS503X26</v>
          </cell>
          <cell r="B605" t="str">
            <v>Storm new age</v>
          </cell>
          <cell r="C605" t="str">
            <v>2/1</v>
          </cell>
          <cell r="D605">
            <v>28</v>
          </cell>
        </row>
        <row r="606">
          <cell r="A606" t="str">
            <v>CS503X29</v>
          </cell>
          <cell r="B606" t="str">
            <v>Storm new age</v>
          </cell>
          <cell r="C606" t="str">
            <v>2/1</v>
          </cell>
          <cell r="D606">
            <v>28</v>
          </cell>
        </row>
        <row r="607">
          <cell r="A607" t="str">
            <v>CS503X33</v>
          </cell>
          <cell r="B607" t="str">
            <v>Storm new age</v>
          </cell>
          <cell r="C607" t="str">
            <v>2/1</v>
          </cell>
          <cell r="D607">
            <v>28</v>
          </cell>
        </row>
        <row r="608">
          <cell r="A608" t="str">
            <v>CS503X35</v>
          </cell>
          <cell r="B608" t="str">
            <v>Storm new age</v>
          </cell>
          <cell r="C608" t="str">
            <v>2/1</v>
          </cell>
          <cell r="D608">
            <v>28</v>
          </cell>
        </row>
        <row r="609">
          <cell r="A609" t="str">
            <v>CS503X37</v>
          </cell>
          <cell r="B609" t="str">
            <v>Storm new age</v>
          </cell>
          <cell r="C609" t="str">
            <v>2/1</v>
          </cell>
          <cell r="D609">
            <v>28</v>
          </cell>
        </row>
        <row r="610">
          <cell r="A610" t="str">
            <v>CS503X38</v>
          </cell>
          <cell r="B610" t="str">
            <v>Storm new age</v>
          </cell>
          <cell r="C610" t="str">
            <v>2/1</v>
          </cell>
          <cell r="D610">
            <v>28</v>
          </cell>
        </row>
        <row r="611">
          <cell r="A611" t="str">
            <v>CS503X55</v>
          </cell>
          <cell r="B611" t="str">
            <v>Storm new age</v>
          </cell>
          <cell r="C611" t="str">
            <v>2/1</v>
          </cell>
          <cell r="D611">
            <v>28</v>
          </cell>
        </row>
        <row r="612">
          <cell r="A612" t="str">
            <v>CS503X8</v>
          </cell>
          <cell r="B612" t="str">
            <v>Storm new age</v>
          </cell>
          <cell r="C612" t="str">
            <v>2/1</v>
          </cell>
          <cell r="D612">
            <v>28</v>
          </cell>
        </row>
        <row r="613">
          <cell r="A613" t="str">
            <v>CS503X9</v>
          </cell>
          <cell r="B613" t="str">
            <v>Storm new age</v>
          </cell>
          <cell r="C613" t="str">
            <v>2/1</v>
          </cell>
          <cell r="D613">
            <v>28</v>
          </cell>
        </row>
        <row r="614">
          <cell r="A614" t="str">
            <v>CST12S</v>
          </cell>
          <cell r="B614" t="str">
            <v>SFF1217 / Crackling and strobe torch</v>
          </cell>
          <cell r="C614" t="str">
            <v>40/12</v>
          </cell>
          <cell r="D614">
            <v>78</v>
          </cell>
        </row>
        <row r="615">
          <cell r="A615" t="str">
            <v>CV503X41</v>
          </cell>
          <cell r="B615" t="str">
            <v>Storm new age</v>
          </cell>
          <cell r="C615" t="str">
            <v>2/1</v>
          </cell>
          <cell r="D615">
            <v>28</v>
          </cell>
        </row>
        <row r="616">
          <cell r="A616" t="str">
            <v>CV503X44</v>
          </cell>
          <cell r="B616" t="str">
            <v>Storm new age</v>
          </cell>
          <cell r="C616" t="str">
            <v>2/1</v>
          </cell>
          <cell r="D616">
            <v>28</v>
          </cell>
        </row>
        <row r="617">
          <cell r="A617" t="str">
            <v>CV503X45</v>
          </cell>
          <cell r="B617" t="str">
            <v>Storm new age</v>
          </cell>
          <cell r="C617" t="str">
            <v>2/1</v>
          </cell>
          <cell r="D617">
            <v>28</v>
          </cell>
        </row>
        <row r="618">
          <cell r="A618" t="str">
            <v>CX1352X11</v>
          </cell>
          <cell r="B618" t="str">
            <v>Storm new age-X type</v>
          </cell>
          <cell r="C618" t="str">
            <v>2/1</v>
          </cell>
          <cell r="D618">
            <v>20</v>
          </cell>
        </row>
        <row r="619">
          <cell r="A619" t="str">
            <v>CX1352X2</v>
          </cell>
          <cell r="B619" t="str">
            <v>Storm new age-X type</v>
          </cell>
          <cell r="C619" t="str">
            <v>2/1</v>
          </cell>
          <cell r="D619">
            <v>20</v>
          </cell>
        </row>
        <row r="620">
          <cell r="A620" t="str">
            <v>CX1620D</v>
          </cell>
          <cell r="B620" t="str">
            <v>Dumbum 16sh X shape</v>
          </cell>
          <cell r="C620" t="str">
            <v>16/1</v>
          </cell>
          <cell r="D620">
            <v>36</v>
          </cell>
        </row>
        <row r="621">
          <cell r="A621" t="str">
            <v>CX1620X</v>
          </cell>
          <cell r="B621" t="str">
            <v>X Show</v>
          </cell>
          <cell r="C621" t="str">
            <v>16/1</v>
          </cell>
          <cell r="D621">
            <v>36</v>
          </cell>
        </row>
        <row r="622">
          <cell r="A622" t="str">
            <v>D1D</v>
          </cell>
          <cell r="B622" t="str">
            <v>Dýmovničky</v>
          </cell>
          <cell r="C622" t="str">
            <v>20/12/6</v>
          </cell>
          <cell r="D622">
            <v>32</v>
          </cell>
        </row>
        <row r="623">
          <cell r="A623" t="str">
            <v>D1M</v>
          </cell>
          <cell r="B623" t="str">
            <v>Mikiho dýmovnice- Colour smoke ball</v>
          </cell>
          <cell r="C623" t="str">
            <v>8/5/8.</v>
          </cell>
          <cell r="D623">
            <v>15</v>
          </cell>
        </row>
        <row r="624">
          <cell r="A624" t="str">
            <v>D2C</v>
          </cell>
          <cell r="B624" t="str">
            <v>Čmoudík</v>
          </cell>
          <cell r="C624" t="str">
            <v>36/4</v>
          </cell>
          <cell r="D624">
            <v>42</v>
          </cell>
        </row>
        <row r="625">
          <cell r="A625" t="str">
            <v>D2C(1)</v>
          </cell>
          <cell r="B625" t="str">
            <v>Čmoudík- RDG40</v>
          </cell>
          <cell r="C625" t="str">
            <v>36/4</v>
          </cell>
          <cell r="D625">
            <v>42</v>
          </cell>
        </row>
        <row r="626">
          <cell r="A626" t="str">
            <v>D2CN</v>
          </cell>
          <cell r="B626" t="str">
            <v>Čmoudík new colour</v>
          </cell>
          <cell r="C626" t="str">
            <v>36/4</v>
          </cell>
          <cell r="D626">
            <v>42</v>
          </cell>
        </row>
        <row r="627">
          <cell r="A627" t="str">
            <v>D2CN(1)</v>
          </cell>
          <cell r="B627" t="str">
            <v>Čmoudík new colour- RDG40</v>
          </cell>
          <cell r="C627" t="str">
            <v>36/4</v>
          </cell>
          <cell r="D627">
            <v>42</v>
          </cell>
        </row>
        <row r="628">
          <cell r="A628" t="str">
            <v>D3SK</v>
          </cell>
          <cell r="B628" t="str">
            <v>Dýmovnice proti krtkům</v>
          </cell>
          <cell r="C628" t="str">
            <v>72/4</v>
          </cell>
          <cell r="D628" t="str">
            <v>105</v>
          </cell>
        </row>
        <row r="629">
          <cell r="A629" t="str">
            <v>DBB1E</v>
          </cell>
          <cell r="B629" t="str">
            <v xml:space="preserve">Dumbum bird bangers </v>
          </cell>
          <cell r="C629" t="str">
            <v>40/50</v>
          </cell>
          <cell r="D629">
            <v>47</v>
          </cell>
        </row>
        <row r="630">
          <cell r="A630" t="str">
            <v>DD1</v>
          </cell>
          <cell r="B630" t="str">
            <v>Deštník Dumbum</v>
          </cell>
          <cell r="C630" t="str">
            <v>1/1</v>
          </cell>
          <cell r="D630" t="str">
            <v/>
          </cell>
        </row>
        <row r="631">
          <cell r="A631" t="str">
            <v>DF10CM</v>
          </cell>
          <cell r="B631" t="str">
            <v>Dortová fontána 10cm</v>
          </cell>
          <cell r="C631" t="str">
            <v>100/6</v>
          </cell>
          <cell r="D631">
            <v>48</v>
          </cell>
        </row>
        <row r="632">
          <cell r="A632" t="str">
            <v>DF10CM E</v>
          </cell>
          <cell r="B632" t="str">
            <v>Dortová fontána 10cm dummy</v>
          </cell>
          <cell r="C632" t="str">
            <v>1/1</v>
          </cell>
          <cell r="D632" t="str">
            <v/>
          </cell>
        </row>
        <row r="633">
          <cell r="A633" t="str">
            <v>DF12CM</v>
          </cell>
          <cell r="B633" t="str">
            <v>Dortová fontána 12cm-zlatá</v>
          </cell>
          <cell r="C633" t="str">
            <v>100/2</v>
          </cell>
          <cell r="D633" t="str">
            <v>36</v>
          </cell>
        </row>
        <row r="634">
          <cell r="A634" t="str">
            <v>DF20CM</v>
          </cell>
          <cell r="B634" t="str">
            <v>Dortová fontána 20cm</v>
          </cell>
          <cell r="C634" t="str">
            <v>50/6</v>
          </cell>
          <cell r="D634">
            <v>54</v>
          </cell>
        </row>
        <row r="635">
          <cell r="A635" t="str">
            <v>DF30CM</v>
          </cell>
          <cell r="B635" t="str">
            <v>Dortová fontána 30cm</v>
          </cell>
          <cell r="C635" t="str">
            <v>50/6</v>
          </cell>
          <cell r="D635">
            <v>40</v>
          </cell>
        </row>
        <row r="636">
          <cell r="A636" t="str">
            <v>DP1BP</v>
          </cell>
          <cell r="B636" t="str">
            <v>Bouchající provázky</v>
          </cell>
          <cell r="C636" t="str">
            <v>5/60/12</v>
          </cell>
          <cell r="D636" t="str">
            <v>144</v>
          </cell>
        </row>
        <row r="637">
          <cell r="A637" t="str">
            <v>DP1BS</v>
          </cell>
          <cell r="B637" t="str">
            <v>Baby shark</v>
          </cell>
          <cell r="C637" t="str">
            <v>60/1</v>
          </cell>
          <cell r="D637">
            <v>32</v>
          </cell>
        </row>
        <row r="638">
          <cell r="A638" t="str">
            <v>DP1BS(1)</v>
          </cell>
          <cell r="B638" t="str">
            <v>Baby shark</v>
          </cell>
          <cell r="C638" t="str">
            <v>60/1</v>
          </cell>
          <cell r="D638">
            <v>32</v>
          </cell>
        </row>
        <row r="639">
          <cell r="A639" t="str">
            <v>DP1CB</v>
          </cell>
          <cell r="B639" t="str">
            <v xml:space="preserve">Crazy Ball </v>
          </cell>
          <cell r="C639" t="str">
            <v>4/48/6</v>
          </cell>
          <cell r="D639">
            <v>49</v>
          </cell>
        </row>
        <row r="640">
          <cell r="A640" t="str">
            <v>DP1CB(1)</v>
          </cell>
          <cell r="B640" t="str">
            <v xml:space="preserve">Crazy Ball </v>
          </cell>
          <cell r="C640" t="str">
            <v>4/48/6</v>
          </cell>
          <cell r="D640">
            <v>49</v>
          </cell>
        </row>
        <row r="641">
          <cell r="A641" t="str">
            <v>DP1EM</v>
          </cell>
          <cell r="B641" t="str">
            <v xml:space="preserve">Emoji </v>
          </cell>
          <cell r="C641" t="str">
            <v>6/12/4</v>
          </cell>
          <cell r="D641">
            <v>48</v>
          </cell>
        </row>
        <row r="642">
          <cell r="A642" t="str">
            <v>DP1FD</v>
          </cell>
          <cell r="B642" t="str">
            <v>Párty fountain   (Dětské fontánky)</v>
          </cell>
          <cell r="C642" t="str">
            <v>40/6</v>
          </cell>
          <cell r="D642">
            <v>42</v>
          </cell>
        </row>
        <row r="643">
          <cell r="A643" t="str">
            <v>DP1FD E</v>
          </cell>
          <cell r="B643" t="str">
            <v>Dětské fontánky dummy</v>
          </cell>
          <cell r="C643"/>
          <cell r="D643" t="str">
            <v/>
          </cell>
        </row>
        <row r="644">
          <cell r="A644" t="str">
            <v>DP1FM</v>
          </cell>
          <cell r="B644" t="str">
            <v>Mini Vulkán   (Mini fontánky)</v>
          </cell>
          <cell r="C644" t="str">
            <v>24/6/4.</v>
          </cell>
          <cell r="D644">
            <v>48</v>
          </cell>
        </row>
        <row r="645">
          <cell r="A645" t="str">
            <v>DP1FR</v>
          </cell>
          <cell r="B645" t="str">
            <v>Rozpustilé fontánky</v>
          </cell>
          <cell r="C645" t="str">
            <v>10/20/10</v>
          </cell>
          <cell r="D645" t="str">
            <v>40</v>
          </cell>
        </row>
        <row r="646">
          <cell r="A646" t="str">
            <v>DP1FR E</v>
          </cell>
          <cell r="B646" t="str">
            <v>Rozpustilé fontánky dummy</v>
          </cell>
          <cell r="C646"/>
          <cell r="D646" t="str">
            <v/>
          </cell>
        </row>
        <row r="647">
          <cell r="A647" t="str">
            <v>DP1M</v>
          </cell>
          <cell r="B647" t="str">
            <v>Meteorit</v>
          </cell>
          <cell r="C647" t="str">
            <v>10/40/12</v>
          </cell>
          <cell r="D647">
            <v>42</v>
          </cell>
        </row>
        <row r="648">
          <cell r="A648" t="str">
            <v>DP1P</v>
          </cell>
          <cell r="B648" t="str">
            <v>Scream mini  (Píšťalka)</v>
          </cell>
          <cell r="C648" t="str">
            <v>6/40/10</v>
          </cell>
          <cell r="D648">
            <v>42</v>
          </cell>
        </row>
        <row r="649">
          <cell r="A649" t="str">
            <v>DP1P(1)</v>
          </cell>
          <cell r="B649" t="str">
            <v>Scream mini  (Píšťalka)</v>
          </cell>
          <cell r="C649" t="str">
            <v>6/40/10</v>
          </cell>
          <cell r="D649">
            <v>42</v>
          </cell>
        </row>
        <row r="650">
          <cell r="A650" t="str">
            <v>DP1R</v>
          </cell>
          <cell r="B650" t="str">
            <v>Rotáček</v>
          </cell>
          <cell r="C650" t="str">
            <v>25/20/6</v>
          </cell>
          <cell r="D650" t="str">
            <v>32</v>
          </cell>
        </row>
        <row r="651">
          <cell r="A651" t="str">
            <v>DP1R(1)</v>
          </cell>
          <cell r="B651" t="str">
            <v>Rotáček</v>
          </cell>
          <cell r="C651" t="str">
            <v>25/20/6</v>
          </cell>
          <cell r="D651" t="str">
            <v>32</v>
          </cell>
        </row>
        <row r="652">
          <cell r="A652" t="str">
            <v>DP1SW</v>
          </cell>
          <cell r="B652" t="str">
            <v>Scream wheel</v>
          </cell>
          <cell r="C652" t="str">
            <v>48/12</v>
          </cell>
          <cell r="D652">
            <v>20</v>
          </cell>
        </row>
        <row r="653">
          <cell r="A653" t="str">
            <v>DP1T</v>
          </cell>
          <cell r="B653" t="str">
            <v>Tazmánia</v>
          </cell>
          <cell r="C653" t="str">
            <v>135/6</v>
          </cell>
          <cell r="D653">
            <v>66</v>
          </cell>
        </row>
        <row r="654">
          <cell r="A654" t="str">
            <v>DP1T SK</v>
          </cell>
          <cell r="B654" t="str">
            <v xml:space="preserve">Tazmánia </v>
          </cell>
          <cell r="C654" t="str">
            <v>15/18/3</v>
          </cell>
          <cell r="D654">
            <v>66</v>
          </cell>
        </row>
        <row r="655">
          <cell r="A655" t="str">
            <v>DP1TA</v>
          </cell>
          <cell r="B655" t="str">
            <v>Tank</v>
          </cell>
          <cell r="C655" t="str">
            <v>60/1</v>
          </cell>
          <cell r="D655">
            <v>32</v>
          </cell>
        </row>
        <row r="656">
          <cell r="A656" t="str">
            <v>DP1TA(1)</v>
          </cell>
          <cell r="B656" t="str">
            <v>Tank</v>
          </cell>
          <cell r="C656" t="str">
            <v>60/1</v>
          </cell>
          <cell r="D656">
            <v>32</v>
          </cell>
        </row>
        <row r="657">
          <cell r="A657" t="str">
            <v>DP1VR</v>
          </cell>
          <cell r="B657" t="str">
            <v>Velký Rotáček</v>
          </cell>
          <cell r="C657" t="str">
            <v>25/20/4</v>
          </cell>
          <cell r="D657" t="str">
            <v>30</v>
          </cell>
        </row>
        <row r="658">
          <cell r="A658" t="str">
            <v>DP1Z20</v>
          </cell>
          <cell r="B658" t="str">
            <v>Kalashnikov small-20cm (Žabák malý)</v>
          </cell>
          <cell r="C658" t="str">
            <v>4/20/12</v>
          </cell>
          <cell r="D658">
            <v>54</v>
          </cell>
        </row>
        <row r="659">
          <cell r="A659" t="str">
            <v>DP1Z50</v>
          </cell>
          <cell r="B659" t="str">
            <v>Kalashnikov small-50cm  (Žabák střední)</v>
          </cell>
          <cell r="C659" t="str">
            <v>72/6</v>
          </cell>
          <cell r="D659">
            <v>50</v>
          </cell>
        </row>
        <row r="660">
          <cell r="A660" t="str">
            <v>DP2CB</v>
          </cell>
          <cell r="B660" t="str">
            <v>Crazy Ball big</v>
          </cell>
          <cell r="C660" t="str">
            <v>12/6/6</v>
          </cell>
          <cell r="D660">
            <v>36</v>
          </cell>
        </row>
        <row r="661">
          <cell r="A661" t="str">
            <v>DP2W</v>
          </cell>
          <cell r="B661" t="str">
            <v>Scream maxi  (Whistle)</v>
          </cell>
          <cell r="C661" t="str">
            <v>50/5</v>
          </cell>
          <cell r="D661">
            <v>56</v>
          </cell>
        </row>
        <row r="662">
          <cell r="A662" t="str">
            <v>DS1</v>
          </cell>
          <cell r="B662" t="str">
            <v>Dětská sada</v>
          </cell>
          <cell r="C662" t="str">
            <v>40/1</v>
          </cell>
          <cell r="D662">
            <v>25</v>
          </cell>
        </row>
        <row r="663">
          <cell r="A663" t="str">
            <v>EB15</v>
          </cell>
          <cell r="B663" t="str">
            <v>Dumbum Explosive ball 15</v>
          </cell>
          <cell r="C663" t="str">
            <v>40/3</v>
          </cell>
          <cell r="D663" t="str">
            <v>87</v>
          </cell>
        </row>
        <row r="664">
          <cell r="A664" t="str">
            <v>EB9</v>
          </cell>
          <cell r="B664" t="str">
            <v>Explosive ball 9</v>
          </cell>
          <cell r="C664" t="str">
            <v>40/3</v>
          </cell>
          <cell r="D664">
            <v>60</v>
          </cell>
        </row>
        <row r="665">
          <cell r="A665" t="str">
            <v>ED500M</v>
          </cell>
          <cell r="B665" t="str">
            <v>Měděná dvojlinka 0,6mm, 500m</v>
          </cell>
          <cell r="C665"/>
          <cell r="D665" t="str">
            <v/>
          </cell>
        </row>
        <row r="666">
          <cell r="A666" t="str">
            <v>EP03M</v>
          </cell>
          <cell r="B666" t="str">
            <v>Elektrický palník 30cm</v>
          </cell>
          <cell r="C666" t="str">
            <v>20/200</v>
          </cell>
          <cell r="D666">
            <v>30</v>
          </cell>
        </row>
        <row r="667">
          <cell r="A667" t="str">
            <v>EP1M</v>
          </cell>
          <cell r="B667" t="str">
            <v>Elektrický palník 100cm</v>
          </cell>
          <cell r="C667" t="str">
            <v>20/50</v>
          </cell>
          <cell r="D667">
            <v>40</v>
          </cell>
        </row>
        <row r="668">
          <cell r="A668" t="str">
            <v>EP2M</v>
          </cell>
          <cell r="B668" t="str">
            <v xml:space="preserve">Elektrický palník 200cm </v>
          </cell>
          <cell r="C668" t="str">
            <v>20/50</v>
          </cell>
          <cell r="D668">
            <v>48</v>
          </cell>
        </row>
        <row r="669">
          <cell r="A669" t="str">
            <v>EP3M</v>
          </cell>
          <cell r="B669" t="str">
            <v xml:space="preserve">Elektrický palník 300cm </v>
          </cell>
          <cell r="C669" t="str">
            <v>20/25</v>
          </cell>
          <cell r="D669">
            <v>48</v>
          </cell>
        </row>
        <row r="670">
          <cell r="A670" t="str">
            <v>EP5M</v>
          </cell>
          <cell r="B670" t="str">
            <v xml:space="preserve">Elektrický palník 500cm </v>
          </cell>
          <cell r="C670" t="str">
            <v>20/25</v>
          </cell>
          <cell r="D670">
            <v>36</v>
          </cell>
        </row>
        <row r="671">
          <cell r="A671" t="str">
            <v>F1000SC</v>
          </cell>
          <cell r="B671" t="str">
            <v xml:space="preserve">Silver crackling Vulkán 1000g </v>
          </cell>
          <cell r="C671" t="str">
            <v>12/1</v>
          </cell>
          <cell r="D671">
            <v>32</v>
          </cell>
        </row>
        <row r="672">
          <cell r="A672" t="str">
            <v>F1000SS</v>
          </cell>
          <cell r="B672" t="str">
            <v xml:space="preserve">Silver stars Vulkán 1000g </v>
          </cell>
          <cell r="C672" t="str">
            <v>12/1</v>
          </cell>
          <cell r="D672">
            <v>32</v>
          </cell>
        </row>
        <row r="673">
          <cell r="A673" t="str">
            <v>F100C</v>
          </cell>
          <cell r="B673" t="str">
            <v xml:space="preserve">Colour Vulkán 100g </v>
          </cell>
          <cell r="C673" t="str">
            <v>20/6</v>
          </cell>
          <cell r="D673">
            <v>30</v>
          </cell>
        </row>
        <row r="674">
          <cell r="A674" t="str">
            <v>F100DC</v>
          </cell>
          <cell r="B674" t="str">
            <v xml:space="preserve">Double crackling Vulkán 100g </v>
          </cell>
          <cell r="C674" t="str">
            <v>20/4</v>
          </cell>
          <cell r="D674">
            <v>42</v>
          </cell>
        </row>
        <row r="675">
          <cell r="A675" t="str">
            <v>F10E</v>
          </cell>
          <cell r="B675" t="str">
            <v>Explosive fountain</v>
          </cell>
          <cell r="C675" t="str">
            <v>96/3</v>
          </cell>
          <cell r="D675">
            <v>54</v>
          </cell>
        </row>
        <row r="676">
          <cell r="A676" t="str">
            <v>F11M</v>
          </cell>
          <cell r="B676" t="str">
            <v xml:space="preserve">Monsters fountain </v>
          </cell>
          <cell r="C676" t="str">
            <v>12/1</v>
          </cell>
          <cell r="D676" t="str">
            <v>16</v>
          </cell>
        </row>
        <row r="677">
          <cell r="A677" t="str">
            <v>F14R</v>
          </cell>
          <cell r="B677" t="str">
            <v>Rotate fountain</v>
          </cell>
          <cell r="C677" t="str">
            <v>8/1</v>
          </cell>
          <cell r="D677">
            <v>24</v>
          </cell>
        </row>
        <row r="678">
          <cell r="A678" t="str">
            <v>F14R F</v>
          </cell>
          <cell r="B678" t="str">
            <v>Fire ball Rotate fountain</v>
          </cell>
          <cell r="C678" t="str">
            <v>4/1</v>
          </cell>
          <cell r="D678">
            <v>24</v>
          </cell>
        </row>
        <row r="679">
          <cell r="A679" t="str">
            <v>F1500C</v>
          </cell>
          <cell r="B679" t="str">
            <v xml:space="preserve">Colour Vulkán 1500g </v>
          </cell>
          <cell r="C679" t="str">
            <v>12/1</v>
          </cell>
          <cell r="D679">
            <v>20</v>
          </cell>
        </row>
        <row r="680">
          <cell r="A680" t="str">
            <v>F1500SS</v>
          </cell>
          <cell r="B680" t="str">
            <v xml:space="preserve">Silver stars Vulkán 1500g </v>
          </cell>
          <cell r="C680" t="str">
            <v>12/1</v>
          </cell>
          <cell r="D680">
            <v>20</v>
          </cell>
        </row>
        <row r="681">
          <cell r="A681" t="str">
            <v>F15BR</v>
          </cell>
          <cell r="B681" t="str">
            <v>Best rotate fountain</v>
          </cell>
          <cell r="C681" t="str">
            <v>2/1</v>
          </cell>
          <cell r="D681">
            <v>24</v>
          </cell>
        </row>
        <row r="682">
          <cell r="A682" t="str">
            <v>F16CS</v>
          </cell>
          <cell r="B682" t="str">
            <v>Crackling shock</v>
          </cell>
          <cell r="C682" t="str">
            <v>20/3</v>
          </cell>
          <cell r="D682">
            <v>30</v>
          </cell>
        </row>
        <row r="683">
          <cell r="A683" t="str">
            <v>F1M</v>
          </cell>
          <cell r="B683" t="str">
            <v>Fontánový mix</v>
          </cell>
          <cell r="C683" t="str">
            <v>36/4</v>
          </cell>
          <cell r="D683">
            <v>16</v>
          </cell>
        </row>
        <row r="684">
          <cell r="A684" t="str">
            <v>F250C</v>
          </cell>
          <cell r="B684" t="str">
            <v xml:space="preserve">Colour Vulkán 250g </v>
          </cell>
          <cell r="C684" t="str">
            <v>25/2</v>
          </cell>
          <cell r="D684">
            <v>32</v>
          </cell>
        </row>
        <row r="685">
          <cell r="A685" t="str">
            <v>F250SC</v>
          </cell>
          <cell r="B685" t="str">
            <v xml:space="preserve">Silver crackling Vulkán 250g </v>
          </cell>
          <cell r="C685" t="str">
            <v>25/2</v>
          </cell>
          <cell r="D685">
            <v>32</v>
          </cell>
        </row>
        <row r="686">
          <cell r="A686" t="str">
            <v>F250SS</v>
          </cell>
          <cell r="B686" t="str">
            <v xml:space="preserve">Silver stars Vulkán 250g </v>
          </cell>
          <cell r="C686" t="str">
            <v>25/2</v>
          </cell>
          <cell r="D686">
            <v>32</v>
          </cell>
        </row>
        <row r="687">
          <cell r="A687" t="str">
            <v>F2M</v>
          </cell>
          <cell r="B687" t="str">
            <v>Conic fountains 25  Fontánový mix</v>
          </cell>
          <cell r="C687" t="str">
            <v>50/4</v>
          </cell>
          <cell r="D687">
            <v>20</v>
          </cell>
        </row>
        <row r="688">
          <cell r="A688" t="str">
            <v>F3CC</v>
          </cell>
          <cell r="B688" t="str">
            <v xml:space="preserve">Colour and crackling </v>
          </cell>
          <cell r="C688" t="str">
            <v>48/3</v>
          </cell>
          <cell r="D688">
            <v>36</v>
          </cell>
        </row>
        <row r="689">
          <cell r="A689" t="str">
            <v>F3N</v>
          </cell>
          <cell r="B689" t="str">
            <v>Narozeninová svíce s melodií</v>
          </cell>
          <cell r="C689" t="str">
            <v>48/1</v>
          </cell>
          <cell r="D689" t="str">
            <v>24</v>
          </cell>
        </row>
        <row r="690">
          <cell r="A690" t="str">
            <v>F500C</v>
          </cell>
          <cell r="B690" t="str">
            <v xml:space="preserve">Colour Vulkán 500g </v>
          </cell>
          <cell r="C690" t="str">
            <v>15/2</v>
          </cell>
          <cell r="D690">
            <v>15</v>
          </cell>
        </row>
        <row r="691">
          <cell r="A691" t="str">
            <v>F500SIG</v>
          </cell>
          <cell r="B691" t="str">
            <v xml:space="preserve">Signature range vulkán 500g </v>
          </cell>
          <cell r="C691" t="str">
            <v>15/2</v>
          </cell>
          <cell r="D691" t="str">
            <v>16</v>
          </cell>
        </row>
        <row r="692">
          <cell r="A692" t="str">
            <v>F500SS</v>
          </cell>
          <cell r="B692" t="str">
            <v xml:space="preserve">Silver stars Vulkán 500g </v>
          </cell>
          <cell r="C692" t="str">
            <v>15/2</v>
          </cell>
          <cell r="D692">
            <v>15</v>
          </cell>
        </row>
        <row r="693">
          <cell r="A693" t="str">
            <v>F6K</v>
          </cell>
          <cell r="B693" t="str">
            <v>King fountain</v>
          </cell>
          <cell r="C693" t="str">
            <v>12/1</v>
          </cell>
          <cell r="D693">
            <v>60</v>
          </cell>
        </row>
        <row r="694">
          <cell r="A694" t="str">
            <v>F8B</v>
          </cell>
          <cell r="B694" t="str">
            <v>Barevné fontány</v>
          </cell>
          <cell r="C694" t="str">
            <v>50/5</v>
          </cell>
          <cell r="D694">
            <v>24</v>
          </cell>
        </row>
        <row r="695">
          <cell r="A695" t="str">
            <v>FPS1</v>
          </cell>
          <cell r="B695" t="str">
            <v>Family packing(small)</v>
          </cell>
          <cell r="C695" t="str">
            <v>20/1</v>
          </cell>
          <cell r="D695" t="str">
            <v>28</v>
          </cell>
        </row>
        <row r="696">
          <cell r="A696" t="str">
            <v>HD1</v>
          </cell>
          <cell r="B696" t="str">
            <v>Keramický hrnek Dumbum</v>
          </cell>
          <cell r="C696" t="str">
            <v>1/1</v>
          </cell>
          <cell r="D696" t="str">
            <v/>
          </cell>
        </row>
        <row r="697">
          <cell r="A697" t="str">
            <v>HDP60B</v>
          </cell>
          <cell r="B697" t="str">
            <v xml:space="preserve">Hooligans dýmová pochodeň bílá </v>
          </cell>
          <cell r="C697" t="str">
            <v>20/5</v>
          </cell>
          <cell r="D697">
            <v>21</v>
          </cell>
        </row>
        <row r="698">
          <cell r="A698" t="str">
            <v>HDP60C</v>
          </cell>
          <cell r="B698" t="str">
            <v>Hooligans dýmová pochodeň červená</v>
          </cell>
          <cell r="C698" t="str">
            <v>20/5</v>
          </cell>
          <cell r="D698">
            <v>21</v>
          </cell>
        </row>
        <row r="699">
          <cell r="A699" t="str">
            <v>HDP60CER</v>
          </cell>
          <cell r="B699" t="str">
            <v>Hooligans dýmová pochodeň černá</v>
          </cell>
          <cell r="C699" t="str">
            <v>20/5</v>
          </cell>
          <cell r="D699">
            <v>21</v>
          </cell>
        </row>
        <row r="700">
          <cell r="A700" t="str">
            <v>HDP60M</v>
          </cell>
          <cell r="B700" t="str">
            <v>Hooligans dýmová pochodeň modrá</v>
          </cell>
          <cell r="C700" t="str">
            <v>20/5</v>
          </cell>
          <cell r="D700">
            <v>21</v>
          </cell>
        </row>
        <row r="701">
          <cell r="A701" t="str">
            <v>HDP60O</v>
          </cell>
          <cell r="B701" t="str">
            <v>Hooligans dýmová pochodeň oranžová</v>
          </cell>
          <cell r="C701" t="str">
            <v>20/5</v>
          </cell>
          <cell r="D701">
            <v>21</v>
          </cell>
        </row>
        <row r="702">
          <cell r="A702" t="str">
            <v>HDP60ZE</v>
          </cell>
          <cell r="B702" t="str">
            <v>Hooligans dýmová pochodeň zelená</v>
          </cell>
          <cell r="C702" t="str">
            <v>20/5</v>
          </cell>
          <cell r="D702">
            <v>21</v>
          </cell>
        </row>
        <row r="703">
          <cell r="A703" t="str">
            <v>HDP60ZL</v>
          </cell>
          <cell r="B703" t="str">
            <v>Hooligans dýmová pochodeň žlutá</v>
          </cell>
          <cell r="C703" t="str">
            <v>20/5</v>
          </cell>
          <cell r="D703">
            <v>21</v>
          </cell>
        </row>
        <row r="704">
          <cell r="A704" t="str">
            <v>IF220A</v>
          </cell>
          <cell r="B704" t="str">
            <v>Interiérová fontána 2m,20sec</v>
          </cell>
          <cell r="C704" t="str">
            <v>24/5</v>
          </cell>
          <cell r="D704">
            <v>70</v>
          </cell>
        </row>
        <row r="705">
          <cell r="A705" t="str">
            <v>IF3MA</v>
          </cell>
          <cell r="B705" t="str">
            <v>Interiérová fontána 3m,30sec</v>
          </cell>
          <cell r="C705" t="str">
            <v>24/5</v>
          </cell>
          <cell r="D705">
            <v>48</v>
          </cell>
        </row>
        <row r="706">
          <cell r="A706" t="str">
            <v>IF560B</v>
          </cell>
          <cell r="B706" t="str">
            <v>Interiérová fontána 5m,60sec</v>
          </cell>
          <cell r="C706" t="str">
            <v>10/5</v>
          </cell>
          <cell r="D706">
            <v>32</v>
          </cell>
        </row>
        <row r="707">
          <cell r="A707" t="str">
            <v>IF660B</v>
          </cell>
          <cell r="B707" t="str">
            <v>Interiérová fontána 6m,60sec</v>
          </cell>
          <cell r="C707" t="str">
            <v>36/1</v>
          </cell>
          <cell r="D707" t="str">
            <v>42</v>
          </cell>
        </row>
        <row r="708">
          <cell r="A708" t="str">
            <v>IS60S</v>
          </cell>
          <cell r="B708" t="str">
            <v>Červené srdce s fontánami</v>
          </cell>
          <cell r="C708"/>
          <cell r="D708" t="str">
            <v>6</v>
          </cell>
        </row>
        <row r="709">
          <cell r="A709" t="str">
            <v>IV5M</v>
          </cell>
          <cell r="B709" t="str">
            <v>Interiérový výstřik 5m</v>
          </cell>
          <cell r="C709"/>
          <cell r="D709" t="str">
            <v>105</v>
          </cell>
        </row>
        <row r="710">
          <cell r="A710" t="str">
            <v>IV8M</v>
          </cell>
          <cell r="B710" t="str">
            <v>Interiérový výstřik 8m</v>
          </cell>
          <cell r="C710"/>
          <cell r="D710">
            <v>48</v>
          </cell>
        </row>
        <row r="711">
          <cell r="A711" t="str">
            <v>K01M</v>
          </cell>
          <cell r="B711" t="str">
            <v>Kalashnikov 70sh  (Bouchající kobereček malý)</v>
          </cell>
          <cell r="C711" t="str">
            <v>8/30/5</v>
          </cell>
          <cell r="D711">
            <v>24</v>
          </cell>
        </row>
        <row r="712">
          <cell r="A712" t="str">
            <v>K0203BP</v>
          </cell>
          <cell r="B712" t="str">
            <v>Dumbum Black Pirat</v>
          </cell>
          <cell r="C712" t="str">
            <v>50/100</v>
          </cell>
          <cell r="D712">
            <v>36</v>
          </cell>
        </row>
        <row r="713">
          <cell r="A713" t="str">
            <v>K0203K</v>
          </cell>
          <cell r="B713" t="str">
            <v xml:space="preserve">Pirát s knotem </v>
          </cell>
          <cell r="C713" t="str">
            <v>50/100</v>
          </cell>
          <cell r="D713">
            <v>36</v>
          </cell>
        </row>
        <row r="714">
          <cell r="A714" t="str">
            <v>K0203KB</v>
          </cell>
          <cell r="B714" t="str">
            <v xml:space="preserve">Dumbum Pirát s knotem </v>
          </cell>
          <cell r="C714" t="str">
            <v>100/50</v>
          </cell>
          <cell r="D714">
            <v>35</v>
          </cell>
        </row>
        <row r="715">
          <cell r="A715" t="str">
            <v>K1000R</v>
          </cell>
          <cell r="B715" t="str">
            <v>Kalashnikov 1000sh  (Bouchající kobereček 1000ran)</v>
          </cell>
          <cell r="C715" t="str">
            <v>16/1</v>
          </cell>
          <cell r="D715">
            <v>30</v>
          </cell>
        </row>
        <row r="716">
          <cell r="A716" t="str">
            <v>K10M</v>
          </cell>
          <cell r="B716" t="str">
            <v>Dračí ocas střední</v>
          </cell>
          <cell r="C716" t="str">
            <v>1/1</v>
          </cell>
          <cell r="D716">
            <v>32</v>
          </cell>
        </row>
        <row r="717">
          <cell r="A717" t="str">
            <v>K1969R</v>
          </cell>
          <cell r="B717" t="str">
            <v>Dračí ocas 5m</v>
          </cell>
          <cell r="C717" t="str">
            <v>1/1</v>
          </cell>
          <cell r="D717">
            <v>52</v>
          </cell>
        </row>
        <row r="718">
          <cell r="A718" t="str">
            <v>K200R</v>
          </cell>
          <cell r="B718" t="str">
            <v>Kalashnikov 200sh  (Bouchající kobereček 200ran)</v>
          </cell>
          <cell r="C718" t="str">
            <v>8/10</v>
          </cell>
          <cell r="D718">
            <v>42</v>
          </cell>
        </row>
        <row r="719">
          <cell r="A719" t="str">
            <v>K20K</v>
          </cell>
          <cell r="B719" t="str">
            <v>Kalashnikov 50sh   Kalašnikov 20ran</v>
          </cell>
          <cell r="C719" t="str">
            <v>24/6</v>
          </cell>
          <cell r="D719">
            <v>54</v>
          </cell>
        </row>
        <row r="720">
          <cell r="A720" t="str">
            <v>K500R</v>
          </cell>
          <cell r="B720" t="str">
            <v>Kalashnikov 500sh  (Bouchající kobereček 500ran)</v>
          </cell>
          <cell r="C720" t="str">
            <v>32/1</v>
          </cell>
          <cell r="D720">
            <v>35</v>
          </cell>
        </row>
        <row r="721">
          <cell r="A721" t="str">
            <v>K60K</v>
          </cell>
          <cell r="B721" t="str">
            <v>Kalashnikov 150sh   Kalašnikov 60ran</v>
          </cell>
          <cell r="C721" t="str">
            <v>20/4</v>
          </cell>
          <cell r="D721">
            <v>20</v>
          </cell>
        </row>
        <row r="722">
          <cell r="A722" t="str">
            <v>K-C10025BPW/C14</v>
          </cell>
          <cell r="B722" t="str">
            <v>Best price Wild fire 100/25mm /empty color carton</v>
          </cell>
          <cell r="C722" t="str">
            <v>1/1</v>
          </cell>
          <cell r="D722"/>
        </row>
        <row r="723">
          <cell r="A723" t="str">
            <v>K-C10030XF/C14</v>
          </cell>
          <cell r="B723" t="str">
            <v>Fireworks show 100 /empty color carton</v>
          </cell>
          <cell r="C723" t="str">
            <v>1/1</v>
          </cell>
          <cell r="D723"/>
        </row>
        <row r="724">
          <cell r="A724" t="str">
            <v>K-C1003BB/C</v>
          </cell>
          <cell r="B724" t="str">
            <v>Big Brother /empty color carton</v>
          </cell>
          <cell r="C724" t="str">
            <v>1/1</v>
          </cell>
          <cell r="D724"/>
        </row>
        <row r="725">
          <cell r="A725" t="str">
            <v>K-C1003BO/C</v>
          </cell>
          <cell r="B725" t="str">
            <v>C1003BO/C karton</v>
          </cell>
          <cell r="C725"/>
          <cell r="D725"/>
        </row>
        <row r="726">
          <cell r="A726" t="str">
            <v>K-C1003BP/C</v>
          </cell>
          <cell r="B726" t="str">
            <v>Best price 100/30mm /empty color carton</v>
          </cell>
          <cell r="C726" t="str">
            <v>1/1</v>
          </cell>
          <cell r="D726"/>
        </row>
        <row r="727">
          <cell r="A727" t="str">
            <v>K-C1003BPF/C</v>
          </cell>
          <cell r="B727" t="str">
            <v>Best price-Frozen 100/30mm /empty color carton</v>
          </cell>
          <cell r="C727" t="str">
            <v>1/1</v>
          </cell>
          <cell r="D727"/>
        </row>
        <row r="728">
          <cell r="A728" t="str">
            <v>K-C1003BPW/C14</v>
          </cell>
          <cell r="B728" t="str">
            <v>C1003BPW/C14 karton</v>
          </cell>
          <cell r="C728"/>
          <cell r="D728"/>
        </row>
        <row r="729">
          <cell r="A729" t="str">
            <v>K-C1003NO/C14</v>
          </cell>
          <cell r="B729" t="str">
            <v>No sound Fireworks /empty color carton</v>
          </cell>
          <cell r="C729" t="str">
            <v>1/1</v>
          </cell>
          <cell r="D729"/>
        </row>
        <row r="730">
          <cell r="A730" t="str">
            <v>K-C1003SIG/C</v>
          </cell>
          <cell r="B730" t="str">
            <v>Signature range 100ran /empty color carton</v>
          </cell>
          <cell r="C730" t="str">
            <v>1/1</v>
          </cell>
          <cell r="D730"/>
        </row>
        <row r="731">
          <cell r="A731" t="str">
            <v>K-C1003W/C</v>
          </cell>
          <cell r="B731" t="str">
            <v>C1003W/C karton</v>
          </cell>
          <cell r="C731"/>
          <cell r="D731"/>
        </row>
        <row r="732">
          <cell r="A732" t="str">
            <v>K-C10545GI/C</v>
          </cell>
          <cell r="B732" t="str">
            <v>Gigant 105 /empty color carton</v>
          </cell>
          <cell r="C732" t="str">
            <v>1/1</v>
          </cell>
          <cell r="D732"/>
        </row>
        <row r="733">
          <cell r="A733" t="str">
            <v>K-C12230XPT/C14</v>
          </cell>
          <cell r="B733" t="str">
            <v>Pyrotechnology 2020 122sh /empty color carton</v>
          </cell>
          <cell r="C733" t="str">
            <v>1/1</v>
          </cell>
          <cell r="D733"/>
        </row>
        <row r="734">
          <cell r="A734" t="str">
            <v>K-C12820F/C14</v>
          </cell>
          <cell r="B734" t="str">
            <v>Fireworks show 128/20mm karton</v>
          </cell>
          <cell r="C734"/>
          <cell r="D734"/>
        </row>
        <row r="735">
          <cell r="A735" t="str">
            <v>K-C12820NID/C(T)</v>
          </cell>
          <cell r="B735" t="str">
            <v>New identity series 128 karton</v>
          </cell>
          <cell r="C735"/>
          <cell r="D735"/>
        </row>
        <row r="736">
          <cell r="A736" t="str">
            <v>K-C128XMB/C</v>
          </cell>
          <cell r="B736" t="str">
            <v>Big sellers /empty color carton</v>
          </cell>
          <cell r="C736" t="str">
            <v>1/1</v>
          </cell>
          <cell r="D736"/>
        </row>
        <row r="737">
          <cell r="A737" t="str">
            <v>K-C128XMPT/C</v>
          </cell>
          <cell r="B737" t="str">
            <v>Pyrotechnology 2020 128sh /empty color carton</v>
          </cell>
          <cell r="C737" t="str">
            <v>1/1</v>
          </cell>
          <cell r="D737"/>
        </row>
        <row r="738">
          <cell r="A738" t="str">
            <v>K-C13220B/C14</v>
          </cell>
          <cell r="B738" t="str">
            <v>Big and Bad /empty color carton</v>
          </cell>
          <cell r="C738" t="str">
            <v>1/1</v>
          </cell>
          <cell r="D738"/>
        </row>
        <row r="739">
          <cell r="A739" t="str">
            <v>K-C13220TS/C14(T)</v>
          </cell>
          <cell r="B739" t="str">
            <v>Turbo 20mm shots 60 /empty color carton</v>
          </cell>
          <cell r="C739" t="str">
            <v>1/1</v>
          </cell>
          <cell r="D739"/>
        </row>
        <row r="740">
          <cell r="A740" t="str">
            <v>K-C132XMPT/C</v>
          </cell>
          <cell r="B740" t="str">
            <v>Pyrotechnology 2020 132sh /empty color carton</v>
          </cell>
          <cell r="C740" t="str">
            <v>1/1</v>
          </cell>
          <cell r="D740"/>
        </row>
        <row r="741">
          <cell r="A741" t="str">
            <v>K-C132XMPT/C14</v>
          </cell>
          <cell r="B741" t="str">
            <v>Pyrotechnology 2020 132sh /empty color carton</v>
          </cell>
          <cell r="C741" t="str">
            <v>1/1</v>
          </cell>
          <cell r="D741"/>
        </row>
        <row r="742">
          <cell r="A742" t="str">
            <v>K-C14025XFS/C</v>
          </cell>
          <cell r="B742" t="str">
            <v>Fireworks show 140 /empty color carton</v>
          </cell>
          <cell r="C742" t="str">
            <v>1/1</v>
          </cell>
          <cell r="D742"/>
        </row>
        <row r="743">
          <cell r="A743" t="str">
            <v>K-C14025XFS/C14</v>
          </cell>
          <cell r="B743" t="str">
            <v>Profi Fireworks show 140 /empty color carton</v>
          </cell>
          <cell r="C743" t="str">
            <v>1/1</v>
          </cell>
          <cell r="D743"/>
        </row>
        <row r="744">
          <cell r="A744" t="str">
            <v>K-C1503BPF/C</v>
          </cell>
          <cell r="B744" t="str">
            <v>Best price-Frozen 150/30mm /empty color carton</v>
          </cell>
          <cell r="C744" t="str">
            <v>1/1</v>
          </cell>
          <cell r="D744"/>
        </row>
        <row r="745">
          <cell r="A745" t="str">
            <v>K-C1503X/C</v>
          </cell>
          <cell r="B745" t="str">
            <v>XXXL 150ran karton</v>
          </cell>
          <cell r="C745"/>
          <cell r="D745"/>
        </row>
        <row r="746">
          <cell r="A746" t="str">
            <v>K-C150MF/C</v>
          </cell>
          <cell r="B746" t="str">
            <v>Fireworks show 150 /empty color carton</v>
          </cell>
          <cell r="C746" t="str">
            <v>1/1</v>
          </cell>
          <cell r="D746"/>
        </row>
        <row r="747">
          <cell r="A747" t="str">
            <v>K-C150MPT/C</v>
          </cell>
          <cell r="B747" t="str">
            <v>Pyrotechnology 2020 150sh /empty color carton</v>
          </cell>
          <cell r="C747" t="str">
            <v>1/1</v>
          </cell>
          <cell r="D747"/>
        </row>
        <row r="748">
          <cell r="A748" t="str">
            <v>K-C175MF/C</v>
          </cell>
          <cell r="B748" t="str">
            <v>Fireworks show 175 karton</v>
          </cell>
          <cell r="C748"/>
          <cell r="D748"/>
        </row>
        <row r="749">
          <cell r="A749" t="str">
            <v>K-C175MSIG/C</v>
          </cell>
          <cell r="B749" t="str">
            <v>Signature range 175ran</v>
          </cell>
          <cell r="C749" t="str">
            <v>1/1</v>
          </cell>
          <cell r="D749"/>
        </row>
        <row r="750">
          <cell r="A750" t="str">
            <v>K-C18020SIG/C</v>
          </cell>
          <cell r="B750" t="str">
            <v>Signature range 180ran /empty color carton</v>
          </cell>
          <cell r="C750" t="str">
            <v>1/1</v>
          </cell>
          <cell r="D750"/>
        </row>
        <row r="751">
          <cell r="A751" t="str">
            <v>K-C180MA</v>
          </cell>
          <cell r="B751" t="str">
            <v>King Fireworks Baterie 180ran karton</v>
          </cell>
          <cell r="C751"/>
          <cell r="D751"/>
        </row>
        <row r="752">
          <cell r="A752" t="str">
            <v>K-C188MF/C</v>
          </cell>
          <cell r="B752" t="str">
            <v>C188MF/C karton</v>
          </cell>
          <cell r="C752"/>
          <cell r="D752"/>
        </row>
        <row r="753">
          <cell r="A753" t="str">
            <v>K-C19220F/C</v>
          </cell>
          <cell r="B753" t="str">
            <v>Fireworks show 192/20mm /empty color carton</v>
          </cell>
          <cell r="C753" t="str">
            <v>1/1</v>
          </cell>
          <cell r="D753"/>
        </row>
        <row r="754">
          <cell r="A754" t="str">
            <v>K-C20020XPR/C14</v>
          </cell>
          <cell r="B754" t="str">
            <v>Profi show multi shape 200/20mm /empty color carton</v>
          </cell>
          <cell r="C754" t="str">
            <v>1/1</v>
          </cell>
          <cell r="D754"/>
        </row>
        <row r="755">
          <cell r="A755" t="str">
            <v>K-C20025BPF/C</v>
          </cell>
          <cell r="B755" t="str">
            <v>C20025BPF/C karton</v>
          </cell>
          <cell r="C755"/>
          <cell r="D755"/>
        </row>
        <row r="756">
          <cell r="A756" t="str">
            <v>K-C20025F/C</v>
          </cell>
          <cell r="B756" t="str">
            <v>Fireworks show 200/25mm karton</v>
          </cell>
          <cell r="C756"/>
          <cell r="D756"/>
        </row>
        <row r="757">
          <cell r="A757" t="str">
            <v>K-C2003BP/C</v>
          </cell>
          <cell r="B757" t="str">
            <v>Best price 200/30mm /empty color carton</v>
          </cell>
          <cell r="C757" t="str">
            <v>1/1</v>
          </cell>
          <cell r="D757"/>
        </row>
        <row r="758">
          <cell r="A758" t="str">
            <v>K-C200MF/C</v>
          </cell>
          <cell r="B758" t="str">
            <v>Fireworks show 200 /empty color carton</v>
          </cell>
          <cell r="C758" t="str">
            <v>1/1</v>
          </cell>
          <cell r="D758"/>
        </row>
        <row r="759">
          <cell r="A759" t="str">
            <v>K-C200MNID/C</v>
          </cell>
          <cell r="B759" t="str">
            <v>C200MNID/C karton</v>
          </cell>
          <cell r="C759"/>
          <cell r="D759"/>
        </row>
        <row r="760">
          <cell r="A760" t="str">
            <v>K-C204XMPT/C</v>
          </cell>
          <cell r="B760" t="str">
            <v>Pyrotechnology 2020 204sh /empty color carton</v>
          </cell>
          <cell r="C760" t="str">
            <v>1/1</v>
          </cell>
          <cell r="D760"/>
        </row>
        <row r="761">
          <cell r="A761" t="str">
            <v>K-C204XMPT/C14</v>
          </cell>
          <cell r="B761" t="str">
            <v>Pyrotechnology 2020 204sh /empty color carton</v>
          </cell>
          <cell r="C761" t="str">
            <v>1/1</v>
          </cell>
          <cell r="D761"/>
        </row>
        <row r="762">
          <cell r="A762" t="str">
            <v>K-C212MF/C</v>
          </cell>
          <cell r="B762" t="str">
            <v>Profi Fireworks show 212 /empty color carton</v>
          </cell>
          <cell r="C762" t="str">
            <v>1/1</v>
          </cell>
          <cell r="D762"/>
        </row>
        <row r="763">
          <cell r="A763" t="str">
            <v>K-C216XMFS/C</v>
          </cell>
          <cell r="B763" t="str">
            <v>Fireworks show 216 /empty color carton</v>
          </cell>
          <cell r="C763" t="str">
            <v>1/1</v>
          </cell>
          <cell r="D763"/>
        </row>
        <row r="764">
          <cell r="A764" t="str">
            <v>K-C216XMFS/C14</v>
          </cell>
          <cell r="B764" t="str">
            <v>Fireworks show 216 /empty color carton</v>
          </cell>
          <cell r="C764" t="str">
            <v>1/1</v>
          </cell>
          <cell r="D764"/>
        </row>
        <row r="765">
          <cell r="A765" t="str">
            <v>K-C219XMPT/C</v>
          </cell>
          <cell r="B765" t="str">
            <v>Pyrotechnology 2020 219sh /empty color carton</v>
          </cell>
          <cell r="C765" t="str">
            <v>1/1</v>
          </cell>
          <cell r="D765"/>
        </row>
        <row r="766">
          <cell r="A766" t="str">
            <v>K-C222MF/C</v>
          </cell>
          <cell r="B766" t="str">
            <v>Fireworks show 222 /empty color carton</v>
          </cell>
          <cell r="C766" t="str">
            <v>1/1</v>
          </cell>
          <cell r="D766"/>
        </row>
        <row r="767">
          <cell r="A767" t="str">
            <v>K-C222MNID/C</v>
          </cell>
          <cell r="B767" t="str">
            <v>C222MNID/C karton</v>
          </cell>
          <cell r="C767"/>
          <cell r="D767"/>
        </row>
        <row r="768">
          <cell r="A768" t="str">
            <v>K-C222MNPT/C</v>
          </cell>
          <cell r="B768" t="str">
            <v>Pyrotechnology 2020 222sh /empty color carton</v>
          </cell>
          <cell r="C768" t="str">
            <v>1/1</v>
          </cell>
          <cell r="D768"/>
        </row>
        <row r="769">
          <cell r="A769" t="str">
            <v>K-C223XMK/C</v>
          </cell>
          <cell r="B769" t="str">
            <v>King fireworks 223 /empty color carton</v>
          </cell>
          <cell r="C769" t="str">
            <v>1/1</v>
          </cell>
          <cell r="D769"/>
        </row>
        <row r="770">
          <cell r="A770" t="str">
            <v>K-C223XMK/C14</v>
          </cell>
          <cell r="B770" t="str">
            <v>King fireworks 223 /empty color carton</v>
          </cell>
          <cell r="C770" t="str">
            <v>1/1</v>
          </cell>
          <cell r="D770"/>
        </row>
        <row r="771">
          <cell r="A771" t="str">
            <v>K-C25220XFS/C</v>
          </cell>
          <cell r="B771" t="str">
            <v>Fireworks show 252 karton</v>
          </cell>
          <cell r="C771"/>
          <cell r="D771"/>
        </row>
        <row r="772">
          <cell r="A772" t="str">
            <v>K-C25220XFS/C14</v>
          </cell>
          <cell r="B772" t="str">
            <v>Profi Fireworks show 252 /empty color carton</v>
          </cell>
          <cell r="C772" t="str">
            <v>1/1</v>
          </cell>
          <cell r="D772"/>
        </row>
        <row r="773">
          <cell r="A773" t="str">
            <v>K-C253XMPT/C</v>
          </cell>
          <cell r="B773" t="str">
            <v>Pyrotechnology 2020 253sh /empty color carton</v>
          </cell>
          <cell r="C773" t="str">
            <v>1/1</v>
          </cell>
          <cell r="D773"/>
        </row>
        <row r="774">
          <cell r="A774" t="str">
            <v>K-C25620F/C</v>
          </cell>
          <cell r="B774" t="str">
            <v>Fireworks show 256 /empty color carton</v>
          </cell>
          <cell r="C774" t="str">
            <v>1/1</v>
          </cell>
          <cell r="D774"/>
        </row>
        <row r="775">
          <cell r="A775" t="str">
            <v>K-C25620F/C14(T)</v>
          </cell>
          <cell r="B775" t="str">
            <v>Fireworks show 256 karton</v>
          </cell>
          <cell r="C775"/>
          <cell r="D775"/>
        </row>
        <row r="776">
          <cell r="A776" t="str">
            <v>K-C2563F/C</v>
          </cell>
          <cell r="B776" t="str">
            <v>C2563F/C karton</v>
          </cell>
          <cell r="C776"/>
          <cell r="D776"/>
        </row>
        <row r="777">
          <cell r="A777" t="str">
            <v>K-C2563XMF/C</v>
          </cell>
          <cell r="B777" t="str">
            <v>Profi Fireworks show 256- I+V+W+FAN /empty color carton</v>
          </cell>
          <cell r="C777" t="str">
            <v>1/1</v>
          </cell>
          <cell r="D777"/>
        </row>
        <row r="778">
          <cell r="A778" t="str">
            <v>K-C26020F/C</v>
          </cell>
          <cell r="B778" t="str">
            <v>Fireworks show 260 /empty color carton</v>
          </cell>
          <cell r="C778" t="str">
            <v>1/1</v>
          </cell>
          <cell r="D778"/>
        </row>
        <row r="779">
          <cell r="A779" t="str">
            <v>K-C26420N/C</v>
          </cell>
          <cell r="B779" t="str">
            <v>Neverending Sky /empty color carton</v>
          </cell>
          <cell r="C779" t="str">
            <v>1/1</v>
          </cell>
          <cell r="D779"/>
        </row>
        <row r="780">
          <cell r="A780" t="str">
            <v>K-C30025BPW/C</v>
          </cell>
          <cell r="B780" t="str">
            <v>Best price Wild fire 300/25mm /empty color carton</v>
          </cell>
          <cell r="C780" t="str">
            <v>1/1</v>
          </cell>
          <cell r="D780"/>
        </row>
        <row r="781">
          <cell r="A781" t="str">
            <v>K-C30025F/C</v>
          </cell>
          <cell r="B781" t="str">
            <v>Fireworks show 300 /empty color carton</v>
          </cell>
          <cell r="C781" t="str">
            <v>1/1</v>
          </cell>
          <cell r="D781"/>
        </row>
        <row r="782">
          <cell r="A782" t="str">
            <v>K-C30025NID/C</v>
          </cell>
          <cell r="B782" t="str">
            <v>C30025NID/C karton</v>
          </cell>
          <cell r="C782"/>
          <cell r="D782"/>
        </row>
        <row r="783">
          <cell r="A783" t="str">
            <v>K-C379XMK/C</v>
          </cell>
          <cell r="B783" t="str">
            <v>King fireworks 379 /empty color carton</v>
          </cell>
          <cell r="C783" t="str">
            <v>1/1</v>
          </cell>
          <cell r="D783"/>
        </row>
        <row r="784">
          <cell r="A784" t="str">
            <v>K-C39020F/C</v>
          </cell>
          <cell r="B784" t="str">
            <v>Fireworks show 390 /empty color carton</v>
          </cell>
          <cell r="C784" t="str">
            <v>1/1</v>
          </cell>
          <cell r="D784"/>
        </row>
        <row r="785">
          <cell r="A785" t="str">
            <v>K-C40020XPR/C14</v>
          </cell>
          <cell r="B785" t="str">
            <v>Profi show multi shape 400/20mm /empty color carton</v>
          </cell>
          <cell r="C785" t="str">
            <v>1/1</v>
          </cell>
          <cell r="D785"/>
        </row>
        <row r="786">
          <cell r="A786" t="str">
            <v>K-C40025F/C</v>
          </cell>
          <cell r="B786" t="str">
            <v>Fireworks show 400 /empty color carton</v>
          </cell>
          <cell r="C786" t="str">
            <v>1/1</v>
          </cell>
          <cell r="D786"/>
        </row>
        <row r="787">
          <cell r="A787" t="str">
            <v>K-C503BPW/C14</v>
          </cell>
          <cell r="B787" t="str">
            <v>C503BPW/C14 karton</v>
          </cell>
          <cell r="C787"/>
          <cell r="D787"/>
        </row>
        <row r="788">
          <cell r="A788" t="str">
            <v>K-C503BW/C14</v>
          </cell>
          <cell r="B788" t="str">
            <v>Brocade War 50 karton</v>
          </cell>
          <cell r="C788"/>
          <cell r="D788"/>
        </row>
        <row r="789">
          <cell r="A789" t="str">
            <v>K-C503ME/C14</v>
          </cell>
          <cell r="B789" t="str">
            <v>Meteor new age F2 /empty color carton</v>
          </cell>
          <cell r="C789" t="str">
            <v>1/1</v>
          </cell>
          <cell r="D789"/>
        </row>
        <row r="790">
          <cell r="A790" t="str">
            <v>K-C503NID/C14</v>
          </cell>
          <cell r="B790" t="str">
            <v>New identity series 50/30mm /empty color carton</v>
          </cell>
          <cell r="C790" t="str">
            <v>1/1</v>
          </cell>
          <cell r="D790"/>
        </row>
        <row r="791">
          <cell r="A791" t="str">
            <v>K-C503TS/C14</v>
          </cell>
          <cell r="B791" t="str">
            <v>Turbo 30mm shots 25 karton</v>
          </cell>
          <cell r="C791"/>
          <cell r="D791"/>
        </row>
        <row r="792">
          <cell r="A792" t="str">
            <v>K-C505V/C</v>
          </cell>
          <cell r="B792" t="str">
            <v>Vietnam  /empty color carton</v>
          </cell>
          <cell r="C792" t="str">
            <v>1/1</v>
          </cell>
          <cell r="D792"/>
        </row>
        <row r="793">
          <cell r="A793" t="str">
            <v>K-C505X/C</v>
          </cell>
          <cell r="B793" t="str">
            <v>XXXL 50ran /empty color carton</v>
          </cell>
          <cell r="C793" t="str">
            <v>1/1</v>
          </cell>
          <cell r="D793"/>
        </row>
        <row r="794">
          <cell r="A794" t="str">
            <v>K-C52020F/C</v>
          </cell>
          <cell r="B794" t="str">
            <v>Fireworks show 520 /empty color carton</v>
          </cell>
          <cell r="C794" t="str">
            <v>1/1</v>
          </cell>
          <cell r="D794"/>
        </row>
        <row r="795">
          <cell r="A795" t="str">
            <v>K-C53620F/C</v>
          </cell>
          <cell r="B795" t="str">
            <v>Fireworks show 536 /empty color carton</v>
          </cell>
          <cell r="C795" t="str">
            <v>1/1</v>
          </cell>
          <cell r="D795"/>
        </row>
        <row r="796">
          <cell r="A796" t="str">
            <v>K-C6420DU/C</v>
          </cell>
          <cell r="B796" t="str">
            <v>empty color carton</v>
          </cell>
          <cell r="C796" t="str">
            <v>1/1</v>
          </cell>
          <cell r="D796"/>
        </row>
        <row r="797">
          <cell r="A797" t="str">
            <v>K-C6420DU/IC14(1)</v>
          </cell>
          <cell r="B797" t="str">
            <v>Dumbum 64/20mm karton</v>
          </cell>
          <cell r="C797"/>
          <cell r="D797"/>
        </row>
        <row r="798">
          <cell r="A798" t="str">
            <v>K-C755R/C</v>
          </cell>
          <cell r="B798" t="str">
            <v>Refresh  /empty color carton</v>
          </cell>
          <cell r="C798" t="str">
            <v>1/1</v>
          </cell>
          <cell r="D798"/>
        </row>
        <row r="799">
          <cell r="A799" t="str">
            <v>K-C84M12E/C</v>
          </cell>
          <cell r="B799" t="str">
            <v>C84M12E/C karton</v>
          </cell>
          <cell r="C799"/>
          <cell r="D799"/>
        </row>
        <row r="800">
          <cell r="A800" t="str">
            <v>K-C84M12F/C</v>
          </cell>
          <cell r="B800" t="str">
            <v>Fireworks show 84 /empty color carton</v>
          </cell>
          <cell r="C800" t="str">
            <v>1/1</v>
          </cell>
          <cell r="D800"/>
        </row>
        <row r="801">
          <cell r="A801" t="str">
            <v>K-C84M12S/C</v>
          </cell>
          <cell r="B801" t="str">
            <v>Show time /empty color carton</v>
          </cell>
          <cell r="C801" t="str">
            <v>1/1</v>
          </cell>
          <cell r="D801"/>
        </row>
        <row r="802">
          <cell r="A802" t="str">
            <v>K-C84MC/C</v>
          </cell>
          <cell r="B802" t="str">
            <v>City of Earth   /empty color carton</v>
          </cell>
          <cell r="C802" t="str">
            <v>1/1</v>
          </cell>
          <cell r="D802"/>
        </row>
        <row r="803">
          <cell r="A803" t="str">
            <v>K-C9625MF/C14</v>
          </cell>
          <cell r="B803" t="str">
            <v>Profi Fireworks show 96 /empty color carton</v>
          </cell>
          <cell r="C803" t="str">
            <v>1/1</v>
          </cell>
          <cell r="D803"/>
        </row>
        <row r="804">
          <cell r="A804" t="str">
            <v>K-C9825C/C14</v>
          </cell>
          <cell r="B804" t="str">
            <v>Crazy Night /empty color carton</v>
          </cell>
          <cell r="C804" t="str">
            <v>1/1</v>
          </cell>
          <cell r="D804"/>
        </row>
        <row r="805">
          <cell r="A805" t="str">
            <v>KDLE1</v>
          </cell>
          <cell r="B805" t="str">
            <v>Dumbum kšiltovka - limited edition</v>
          </cell>
          <cell r="C805" t="str">
            <v>1/1</v>
          </cell>
          <cell r="D805"/>
        </row>
        <row r="806">
          <cell r="A806" t="str">
            <v>KK2023</v>
          </cell>
          <cell r="B806" t="str">
            <v>Katalog Klásek 2023</v>
          </cell>
          <cell r="C806" t="str">
            <v>1/1</v>
          </cell>
          <cell r="D806" t="str">
            <v/>
          </cell>
        </row>
        <row r="807">
          <cell r="A807" t="str">
            <v>KKD1</v>
          </cell>
          <cell r="B807" t="str">
            <v>Klíčenka na krk Dumbum</v>
          </cell>
          <cell r="C807" t="str">
            <v>1/1</v>
          </cell>
          <cell r="D807" t="str">
            <v/>
          </cell>
        </row>
        <row r="808">
          <cell r="A808" t="str">
            <v>LM0SW</v>
          </cell>
          <cell r="B808" t="str">
            <v>Scream Wasp</v>
          </cell>
          <cell r="C808" t="str">
            <v>5/40/6</v>
          </cell>
          <cell r="D808">
            <v>80</v>
          </cell>
        </row>
        <row r="809">
          <cell r="A809" t="str">
            <v>LM0SW(1)</v>
          </cell>
          <cell r="B809" t="str">
            <v>Scream Wasp</v>
          </cell>
          <cell r="C809" t="str">
            <v>5/40/6</v>
          </cell>
          <cell r="D809">
            <v>80</v>
          </cell>
        </row>
        <row r="810">
          <cell r="A810" t="str">
            <v>LM1O</v>
          </cell>
          <cell r="B810" t="str">
            <v>Ohnivý motýl</v>
          </cell>
          <cell r="C810" t="str">
            <v>120/10</v>
          </cell>
          <cell r="D810">
            <v>80</v>
          </cell>
        </row>
        <row r="811">
          <cell r="A811" t="str">
            <v>LM2C</v>
          </cell>
          <cell r="B811" t="str">
            <v>Čmelák</v>
          </cell>
          <cell r="C811" t="str">
            <v>60/6</v>
          </cell>
          <cell r="D811">
            <v>24</v>
          </cell>
        </row>
        <row r="812">
          <cell r="A812" t="str">
            <v>LM2V</v>
          </cell>
          <cell r="B812" t="str">
            <v>Vampír</v>
          </cell>
          <cell r="C812" t="str">
            <v>60/6</v>
          </cell>
          <cell r="D812">
            <v>42</v>
          </cell>
        </row>
        <row r="813">
          <cell r="A813" t="str">
            <v>LM3T</v>
          </cell>
          <cell r="B813" t="str">
            <v>Turbo čmelík</v>
          </cell>
          <cell r="C813" t="str">
            <v>36/3</v>
          </cell>
          <cell r="D813">
            <v>40</v>
          </cell>
        </row>
        <row r="814">
          <cell r="A814" t="str">
            <v>LM4O</v>
          </cell>
          <cell r="B814" t="str">
            <v>Obří motýl</v>
          </cell>
          <cell r="C814" t="str">
            <v>36/4</v>
          </cell>
          <cell r="D814" t="str">
            <v>40</v>
          </cell>
        </row>
        <row r="815">
          <cell r="A815" t="str">
            <v>LM5W</v>
          </cell>
          <cell r="B815" t="str">
            <v>Whistling Airplane</v>
          </cell>
          <cell r="C815" t="str">
            <v>48/4</v>
          </cell>
          <cell r="D815">
            <v>24</v>
          </cell>
        </row>
        <row r="816">
          <cell r="A816" t="str">
            <v>LM6M</v>
          </cell>
          <cell r="B816" t="str">
            <v>Medusa</v>
          </cell>
          <cell r="C816" t="str">
            <v>24/4</v>
          </cell>
          <cell r="D816">
            <v>24</v>
          </cell>
        </row>
        <row r="817">
          <cell r="A817" t="str">
            <v>LM7S</v>
          </cell>
          <cell r="B817" t="str">
            <v>Scream UFO</v>
          </cell>
          <cell r="C817" t="str">
            <v>24/4</v>
          </cell>
          <cell r="D817">
            <v>30</v>
          </cell>
        </row>
        <row r="818">
          <cell r="A818" t="str">
            <v>M2</v>
          </cell>
          <cell r="B818" t="str">
            <v xml:space="preserve">2“ Fabric glass mortar </v>
          </cell>
          <cell r="C818" t="str">
            <v>1/1</v>
          </cell>
          <cell r="D818" t="str">
            <v/>
          </cell>
        </row>
        <row r="819">
          <cell r="A819" t="str">
            <v>M25</v>
          </cell>
          <cell r="B819" t="str">
            <v xml:space="preserve">2,5“ Fabric glass mortar </v>
          </cell>
          <cell r="C819"/>
          <cell r="D819" t="str">
            <v/>
          </cell>
        </row>
        <row r="820">
          <cell r="A820" t="str">
            <v>M3</v>
          </cell>
          <cell r="B820" t="str">
            <v>3“ Fabric glass mortar</v>
          </cell>
          <cell r="C820" t="str">
            <v>1/1</v>
          </cell>
          <cell r="D820" t="str">
            <v/>
          </cell>
        </row>
        <row r="821">
          <cell r="A821" t="str">
            <v>M4</v>
          </cell>
          <cell r="B821" t="str">
            <v>4“ Fabric glass mortar</v>
          </cell>
          <cell r="C821" t="str">
            <v>1/1</v>
          </cell>
          <cell r="D821" t="str">
            <v/>
          </cell>
        </row>
        <row r="822">
          <cell r="A822" t="str">
            <v>M5</v>
          </cell>
          <cell r="B822" t="str">
            <v>5" Fabric glass mortar</v>
          </cell>
          <cell r="C822" t="str">
            <v>1/1</v>
          </cell>
          <cell r="D822" t="str">
            <v/>
          </cell>
        </row>
        <row r="823">
          <cell r="A823" t="str">
            <v>M6</v>
          </cell>
          <cell r="B823" t="str">
            <v>6“ Fabric glass mortar</v>
          </cell>
          <cell r="C823" t="str">
            <v>1/1</v>
          </cell>
          <cell r="D823" t="str">
            <v/>
          </cell>
        </row>
        <row r="824">
          <cell r="A824" t="str">
            <v>MDLE1L</v>
          </cell>
          <cell r="B824" t="str">
            <v>Dumbum mikina s kapucí L -limited edition</v>
          </cell>
          <cell r="C824" t="str">
            <v>1/1</v>
          </cell>
          <cell r="D824"/>
        </row>
        <row r="825">
          <cell r="A825" t="str">
            <v>MDLE1M</v>
          </cell>
          <cell r="B825" t="str">
            <v>Dumbum mikina s kapucí M -limited edition</v>
          </cell>
          <cell r="C825" t="str">
            <v>1/1</v>
          </cell>
          <cell r="D825"/>
        </row>
        <row r="826">
          <cell r="A826" t="str">
            <v>MDLE1XL</v>
          </cell>
          <cell r="B826" t="str">
            <v>Dumbum mikina s kapucí XL -limited edition</v>
          </cell>
          <cell r="C826" t="str">
            <v>1/1</v>
          </cell>
          <cell r="D826"/>
        </row>
        <row r="827">
          <cell r="A827" t="str">
            <v>MDLE1XXL</v>
          </cell>
          <cell r="B827" t="str">
            <v>Dumbum mikina s kapucí XXL -limited edition</v>
          </cell>
          <cell r="C827" t="str">
            <v>1/1</v>
          </cell>
          <cell r="D827"/>
        </row>
        <row r="828">
          <cell r="A828" t="str">
            <v>MDLEZ1L</v>
          </cell>
          <cell r="B828" t="str">
            <v>Dumbum mikina se zipem a kapucí L - limited edition</v>
          </cell>
          <cell r="C828" t="str">
            <v>1/1</v>
          </cell>
          <cell r="D828"/>
        </row>
        <row r="829">
          <cell r="A829" t="str">
            <v>MDLEZ1M</v>
          </cell>
          <cell r="B829" t="str">
            <v>Dumbum mikina se zipem a kapucí M - limited edition</v>
          </cell>
          <cell r="C829" t="str">
            <v>1/1</v>
          </cell>
          <cell r="D829"/>
        </row>
        <row r="830">
          <cell r="A830" t="str">
            <v>MDLEZ1XL</v>
          </cell>
          <cell r="B830" t="str">
            <v>Dumbum mikina se zipem a kapucí XL - limited edition</v>
          </cell>
          <cell r="C830" t="str">
            <v>1/1</v>
          </cell>
          <cell r="D830"/>
        </row>
        <row r="831">
          <cell r="A831" t="str">
            <v>MDLEZ1XXL</v>
          </cell>
          <cell r="B831" t="str">
            <v>Dumbum mikina se zipem a kapucí XXL - limited edition</v>
          </cell>
          <cell r="C831" t="str">
            <v>1/1</v>
          </cell>
          <cell r="D831"/>
        </row>
        <row r="832">
          <cell r="A832" t="str">
            <v>N1</v>
          </cell>
          <cell r="B832" t="str">
            <v>Dumbum explosive drink</v>
          </cell>
          <cell r="C832" t="str">
            <v>24/1</v>
          </cell>
          <cell r="D832" t="str">
            <v>120</v>
          </cell>
        </row>
        <row r="833">
          <cell r="A833" t="str">
            <v>ND1</v>
          </cell>
          <cell r="B833" t="str">
            <v>Samolepka Dumbum</v>
          </cell>
          <cell r="C833" t="str">
            <v>1/1</v>
          </cell>
          <cell r="D833" t="str">
            <v/>
          </cell>
        </row>
        <row r="834">
          <cell r="A834" t="str">
            <v>OZ4</v>
          </cell>
          <cell r="B834" t="str">
            <v>Odpalovací zařízení Professionál</v>
          </cell>
          <cell r="C834" t="str">
            <v>1/1</v>
          </cell>
          <cell r="D834"/>
        </row>
        <row r="835">
          <cell r="A835" t="str">
            <v>P05D</v>
          </cell>
          <cell r="B835" t="str">
            <v>FA1 / Dumbum F2</v>
          </cell>
          <cell r="C835" t="str">
            <v>200/20</v>
          </cell>
          <cell r="D835" t="str">
            <v>36</v>
          </cell>
        </row>
        <row r="836">
          <cell r="A836" t="str">
            <v>P05DSP1</v>
          </cell>
          <cell r="B836" t="str">
            <v>ZAP1Mb / Dumbum P1 (scatch head)</v>
          </cell>
          <cell r="C836" t="str">
            <v>200/20</v>
          </cell>
          <cell r="D836"/>
        </row>
        <row r="837">
          <cell r="A837" t="str">
            <v>P066D20</v>
          </cell>
          <cell r="B837" t="str">
            <v>SZA1e / Dumbum F3</v>
          </cell>
          <cell r="C837" t="str">
            <v>100/20</v>
          </cell>
          <cell r="D837">
            <v>54</v>
          </cell>
        </row>
        <row r="838">
          <cell r="A838" t="str">
            <v>P066D20P1</v>
          </cell>
          <cell r="B838" t="str">
            <v>ZAP1b / Dumbum P1</v>
          </cell>
          <cell r="C838" t="str">
            <v>100/20</v>
          </cell>
          <cell r="D838"/>
        </row>
        <row r="839">
          <cell r="A839" t="str">
            <v>P10D20</v>
          </cell>
          <cell r="B839" t="str">
            <v>SZA1d / Dumbum 120</v>
          </cell>
          <cell r="C839" t="str">
            <v>90/20</v>
          </cell>
          <cell r="D839">
            <v>36</v>
          </cell>
        </row>
        <row r="840">
          <cell r="A840" t="str">
            <v>P10D20SP1</v>
          </cell>
          <cell r="B840" t="str">
            <v>ZAP1Ma / Dumbum 120 (scatch head)</v>
          </cell>
          <cell r="C840" t="str">
            <v>100/20</v>
          </cell>
          <cell r="D840"/>
        </row>
        <row r="841">
          <cell r="A841" t="str">
            <v>P1D</v>
          </cell>
          <cell r="B841" t="str">
            <v>Dumbum nano</v>
          </cell>
          <cell r="C841" t="str">
            <v>6/54/40</v>
          </cell>
          <cell r="D841">
            <v>42</v>
          </cell>
        </row>
        <row r="842">
          <cell r="A842" t="str">
            <v>P2D</v>
          </cell>
          <cell r="B842" t="str">
            <v xml:space="preserve">Dumbum micro </v>
          </cell>
          <cell r="C842" t="str">
            <v>6/54/25</v>
          </cell>
          <cell r="D842">
            <v>24</v>
          </cell>
        </row>
        <row r="843">
          <cell r="A843" t="str">
            <v>P40B25</v>
          </cell>
          <cell r="B843" t="str">
            <v xml:space="preserve">Fotbalová pochodeň bílá+dým </v>
          </cell>
          <cell r="C843" t="str">
            <v>20/5</v>
          </cell>
          <cell r="D843" t="str">
            <v>60</v>
          </cell>
        </row>
        <row r="844">
          <cell r="A844" t="str">
            <v>P40C25</v>
          </cell>
          <cell r="B844" t="str">
            <v xml:space="preserve">Fotbalová pochodeň červená+dým </v>
          </cell>
          <cell r="C844" t="str">
            <v>20/5</v>
          </cell>
          <cell r="D844" t="str">
            <v>60</v>
          </cell>
        </row>
        <row r="845">
          <cell r="A845" t="str">
            <v>P40MO25</v>
          </cell>
          <cell r="B845" t="str">
            <v xml:space="preserve">Fotbalová pochodeň modrá+dým </v>
          </cell>
          <cell r="C845" t="str">
            <v>20/5</v>
          </cell>
          <cell r="D845" t="str">
            <v>60</v>
          </cell>
        </row>
        <row r="846">
          <cell r="A846" t="str">
            <v>P40Z25</v>
          </cell>
          <cell r="B846" t="str">
            <v xml:space="preserve">Fotbalová pochodeň zelená+dým </v>
          </cell>
          <cell r="C846" t="str">
            <v>20/5</v>
          </cell>
          <cell r="D846" t="str">
            <v>60</v>
          </cell>
        </row>
        <row r="847">
          <cell r="A847" t="str">
            <v>P40ZL25</v>
          </cell>
          <cell r="B847" t="str">
            <v xml:space="preserve">Fotbalová pochodeň žlutá+dým </v>
          </cell>
          <cell r="C847" t="str">
            <v>20/5</v>
          </cell>
          <cell r="D847" t="str">
            <v>60</v>
          </cell>
        </row>
        <row r="848">
          <cell r="A848" t="str">
            <v>P4A(1)</v>
          </cell>
          <cell r="B848" t="str">
            <v>Mini Bomb</v>
          </cell>
          <cell r="C848" t="str">
            <v>90/21</v>
          </cell>
          <cell r="D848">
            <v>34</v>
          </cell>
        </row>
        <row r="849">
          <cell r="A849" t="str">
            <v>P4B</v>
          </cell>
          <cell r="B849" t="str">
            <v xml:space="preserve">Mini Dumbum </v>
          </cell>
          <cell r="C849" t="str">
            <v>70/24</v>
          </cell>
          <cell r="D849">
            <v>36</v>
          </cell>
        </row>
        <row r="850">
          <cell r="A850" t="str">
            <v>P5A13</v>
          </cell>
          <cell r="B850" t="str">
            <v>Bomb</v>
          </cell>
          <cell r="C850" t="str">
            <v>50/20</v>
          </cell>
          <cell r="D850">
            <v>42</v>
          </cell>
        </row>
        <row r="851">
          <cell r="A851" t="str">
            <v>P5C E</v>
          </cell>
          <cell r="B851" t="str">
            <v>Bomb black dummy</v>
          </cell>
          <cell r="C851"/>
          <cell r="D851" t="str">
            <v/>
          </cell>
        </row>
        <row r="852">
          <cell r="A852" t="str">
            <v>P5D13</v>
          </cell>
          <cell r="B852" t="str">
            <v>Viper 1</v>
          </cell>
          <cell r="C852" t="str">
            <v>50/20</v>
          </cell>
          <cell r="D852">
            <v>42</v>
          </cell>
        </row>
        <row r="853">
          <cell r="A853" t="str">
            <v>P5D13(W)</v>
          </cell>
          <cell r="B853" t="str">
            <v>Viper 1  (white)</v>
          </cell>
          <cell r="C853" t="str">
            <v>50/20</v>
          </cell>
          <cell r="D853">
            <v>48</v>
          </cell>
        </row>
        <row r="854">
          <cell r="A854" t="str">
            <v>P5DU</v>
          </cell>
          <cell r="B854" t="str">
            <v>SZA1b / Dumbum 2G</v>
          </cell>
          <cell r="C854" t="str">
            <v>60/20</v>
          </cell>
          <cell r="D854">
            <v>40</v>
          </cell>
        </row>
        <row r="855">
          <cell r="A855" t="str">
            <v>P5DU13</v>
          </cell>
          <cell r="B855" t="str">
            <v>Dumbum 2G+</v>
          </cell>
          <cell r="C855" t="str">
            <v>50/20</v>
          </cell>
          <cell r="D855">
            <v>42</v>
          </cell>
        </row>
        <row r="856">
          <cell r="A856" t="str">
            <v>P5DU13(M)</v>
          </cell>
          <cell r="B856" t="str">
            <v>Dumbum 2G+</v>
          </cell>
          <cell r="C856" t="str">
            <v>50/20</v>
          </cell>
          <cell r="D856">
            <v>42</v>
          </cell>
        </row>
        <row r="857">
          <cell r="A857" t="str">
            <v>P6A13(G)F3</v>
          </cell>
          <cell r="B857" t="str">
            <v>Dumbum midlle green</v>
          </cell>
          <cell r="C857" t="str">
            <v>60/20</v>
          </cell>
          <cell r="D857">
            <v>26</v>
          </cell>
        </row>
        <row r="858">
          <cell r="A858" t="str">
            <v>P6A13(R)F3</v>
          </cell>
          <cell r="B858" t="str">
            <v>Dumbum midlle red</v>
          </cell>
          <cell r="C858" t="str">
            <v>60/20</v>
          </cell>
          <cell r="D858">
            <v>26</v>
          </cell>
        </row>
        <row r="859">
          <cell r="A859" t="str">
            <v>P6A13(R)F3-1</v>
          </cell>
          <cell r="B859" t="str">
            <v>Dumbum midlle red</v>
          </cell>
          <cell r="C859" t="str">
            <v>60/20</v>
          </cell>
          <cell r="D859">
            <v>26</v>
          </cell>
        </row>
        <row r="860">
          <cell r="A860" t="str">
            <v>P6A14F3</v>
          </cell>
          <cell r="B860" t="str">
            <v>Dumbum</v>
          </cell>
          <cell r="C860" t="str">
            <v>50/30</v>
          </cell>
          <cell r="D860">
            <v>42</v>
          </cell>
        </row>
        <row r="861">
          <cell r="A861" t="str">
            <v>P6A14F3(R)</v>
          </cell>
          <cell r="B861" t="str">
            <v>Dumbum red</v>
          </cell>
          <cell r="C861" t="str">
            <v>50/30</v>
          </cell>
          <cell r="D861">
            <v>42</v>
          </cell>
        </row>
        <row r="862">
          <cell r="A862" t="str">
            <v>P6AE</v>
          </cell>
          <cell r="B862" t="str">
            <v>SZA1T / Dumbum 5g</v>
          </cell>
          <cell r="C862" t="str">
            <v>60/20</v>
          </cell>
          <cell r="D862">
            <v>40</v>
          </cell>
        </row>
        <row r="863">
          <cell r="A863" t="str">
            <v>P7A14</v>
          </cell>
          <cell r="B863" t="str">
            <v>Dumbum Silver</v>
          </cell>
          <cell r="C863" t="str">
            <v>40/36</v>
          </cell>
          <cell r="D863">
            <v>30</v>
          </cell>
        </row>
        <row r="864">
          <cell r="A864" t="str">
            <v>P8DCH</v>
          </cell>
          <cell r="B864" t="str">
            <v>8 days Pyro challenge</v>
          </cell>
          <cell r="C864" t="str">
            <v>60/1</v>
          </cell>
          <cell r="D864">
            <v>8</v>
          </cell>
        </row>
        <row r="865">
          <cell r="A865" t="str">
            <v>PB120D</v>
          </cell>
          <cell r="B865" t="str">
            <v>Dumbum black edition 120db</v>
          </cell>
          <cell r="C865" t="str">
            <v>50/20</v>
          </cell>
          <cell r="D865">
            <v>28</v>
          </cell>
        </row>
        <row r="866">
          <cell r="A866" t="str">
            <v>PB120D E</v>
          </cell>
          <cell r="B866" t="str">
            <v>Dumbum black edition 120db</v>
          </cell>
          <cell r="C866"/>
          <cell r="D866"/>
        </row>
        <row r="867">
          <cell r="A867" t="str">
            <v>PBF2D</v>
          </cell>
          <cell r="B867" t="str">
            <v>Dumbum Big F2 black</v>
          </cell>
          <cell r="C867" t="str">
            <v>60/10</v>
          </cell>
          <cell r="D867">
            <v>36</v>
          </cell>
        </row>
        <row r="868">
          <cell r="A868" t="str">
            <v>PK1</v>
          </cell>
          <cell r="B868" t="str">
            <v xml:space="preserve">Černý plastový konektor-samec </v>
          </cell>
          <cell r="C868"/>
          <cell r="D868" t="str">
            <v/>
          </cell>
        </row>
        <row r="869">
          <cell r="A869" t="str">
            <v>PK2</v>
          </cell>
          <cell r="B869" t="str">
            <v xml:space="preserve">Červený plastový konektor-samice </v>
          </cell>
          <cell r="C869"/>
          <cell r="D869" t="str">
            <v/>
          </cell>
        </row>
        <row r="870">
          <cell r="A870" t="str">
            <v>PL1DU</v>
          </cell>
          <cell r="B870" t="str">
            <v>Plakát Dumbum</v>
          </cell>
          <cell r="C870" t="str">
            <v>1/1</v>
          </cell>
          <cell r="D870" t="str">
            <v/>
          </cell>
        </row>
        <row r="871">
          <cell r="A871" t="str">
            <v>PLZ420</v>
          </cell>
          <cell r="B871" t="str">
            <v>Plašič zvěře 420min (Sznur hukowy)</v>
          </cell>
          <cell r="C871" t="str">
            <v>7/12</v>
          </cell>
          <cell r="D871">
            <v>40</v>
          </cell>
        </row>
        <row r="872">
          <cell r="A872" t="str">
            <v>PPMD1</v>
          </cell>
          <cell r="B872" t="str">
            <v>Podložka pod myš Dumbum</v>
          </cell>
          <cell r="C872" t="str">
            <v>1/1</v>
          </cell>
          <cell r="D872" t="str">
            <v/>
          </cell>
        </row>
        <row r="873">
          <cell r="A873" t="str">
            <v>PSF2D</v>
          </cell>
          <cell r="B873" t="str">
            <v>Dumbum Big F2 silver</v>
          </cell>
          <cell r="C873" t="str">
            <v>60/10</v>
          </cell>
          <cell r="D873">
            <v>36</v>
          </cell>
        </row>
        <row r="874">
          <cell r="A874" t="str">
            <v>R100M</v>
          </cell>
          <cell r="B874" t="str">
            <v xml:space="preserve">Minomet </v>
          </cell>
          <cell r="C874" t="str">
            <v>40/1</v>
          </cell>
          <cell r="D874">
            <v>30</v>
          </cell>
        </row>
        <row r="875">
          <cell r="A875" t="str">
            <v>R12T1</v>
          </cell>
          <cell r="B875" t="str">
            <v>Tomahawk rocket 1</v>
          </cell>
          <cell r="C875" t="str">
            <v>36/12</v>
          </cell>
          <cell r="D875">
            <v>24</v>
          </cell>
        </row>
        <row r="876">
          <cell r="A876" t="str">
            <v>R12T3</v>
          </cell>
          <cell r="B876" t="str">
            <v>Tomahawk rocket 3</v>
          </cell>
          <cell r="C876" t="str">
            <v>24/12</v>
          </cell>
          <cell r="D876" t="str">
            <v>18</v>
          </cell>
        </row>
        <row r="877">
          <cell r="A877" t="str">
            <v>R170B</v>
          </cell>
          <cell r="B877" t="str">
            <v>Brocade war rocket</v>
          </cell>
          <cell r="C877" t="str">
            <v>12/2</v>
          </cell>
          <cell r="D877">
            <v>9</v>
          </cell>
        </row>
        <row r="878">
          <cell r="A878" t="str">
            <v>R170B E</v>
          </cell>
          <cell r="B878" t="str">
            <v>Brocade war rocket dummy</v>
          </cell>
          <cell r="C878"/>
          <cell r="D878" t="str">
            <v/>
          </cell>
        </row>
        <row r="879">
          <cell r="A879" t="str">
            <v>R170M</v>
          </cell>
          <cell r="B879" t="str">
            <v>Big mix rocket</v>
          </cell>
          <cell r="C879" t="str">
            <v>4/5</v>
          </cell>
          <cell r="D879" t="str">
            <v>15</v>
          </cell>
        </row>
        <row r="880">
          <cell r="A880" t="str">
            <v>R170X</v>
          </cell>
          <cell r="B880" t="str">
            <v>XXXL rocket</v>
          </cell>
          <cell r="C880" t="str">
            <v>6/3</v>
          </cell>
          <cell r="D880">
            <v>12</v>
          </cell>
        </row>
        <row r="881">
          <cell r="A881" t="str">
            <v>R4420B</v>
          </cell>
          <cell r="B881" t="str">
            <v>Color balls 20ran</v>
          </cell>
          <cell r="C881" t="str">
            <v>24/12</v>
          </cell>
          <cell r="D881">
            <v>56</v>
          </cell>
        </row>
        <row r="882">
          <cell r="A882" t="str">
            <v>R5410B</v>
          </cell>
          <cell r="B882" t="str">
            <v>Římská svíce 10ran</v>
          </cell>
          <cell r="C882" t="str">
            <v>40/4</v>
          </cell>
          <cell r="D882">
            <v>40</v>
          </cell>
        </row>
        <row r="883">
          <cell r="A883" t="str">
            <v>R5420K</v>
          </cell>
          <cell r="B883" t="str">
            <v>Práskající komety</v>
          </cell>
          <cell r="C883" t="str">
            <v>15/12</v>
          </cell>
          <cell r="D883">
            <v>36</v>
          </cell>
        </row>
        <row r="884">
          <cell r="A884" t="str">
            <v>R5808D</v>
          </cell>
          <cell r="B884" t="str">
            <v xml:space="preserve">Dumbum římská svíce 8ran </v>
          </cell>
          <cell r="C884" t="str">
            <v>48/2</v>
          </cell>
          <cell r="D884">
            <v>30</v>
          </cell>
        </row>
        <row r="885">
          <cell r="A885" t="str">
            <v>R6008E</v>
          </cell>
          <cell r="B885" t="str">
            <v>Římská svíce 8ran</v>
          </cell>
          <cell r="C885" t="str">
            <v>24/2</v>
          </cell>
          <cell r="D885">
            <v>63</v>
          </cell>
        </row>
        <row r="886">
          <cell r="A886" t="str">
            <v>R6008M</v>
          </cell>
          <cell r="B886" t="str">
            <v>Mix římských svící 8ran</v>
          </cell>
          <cell r="C886" t="str">
            <v>24/4</v>
          </cell>
          <cell r="D886">
            <v>30</v>
          </cell>
        </row>
        <row r="887">
          <cell r="A887" t="str">
            <v>R6020B</v>
          </cell>
          <cell r="B887" t="str">
            <v>Římská svíce 20ran</v>
          </cell>
          <cell r="C887" t="str">
            <v>15/10</v>
          </cell>
          <cell r="D887">
            <v>36</v>
          </cell>
        </row>
        <row r="888">
          <cell r="A888" t="str">
            <v>R6020M</v>
          </cell>
          <cell r="B888" t="str">
            <v>Mix římských svící 20ran</v>
          </cell>
          <cell r="C888" t="str">
            <v>30/6</v>
          </cell>
          <cell r="D888">
            <v>30</v>
          </cell>
        </row>
        <row r="889">
          <cell r="A889" t="str">
            <v>R6508S</v>
          </cell>
          <cell r="B889" t="str">
            <v>Scream 8sh</v>
          </cell>
          <cell r="C889" t="str">
            <v>24/4</v>
          </cell>
          <cell r="D889">
            <v>30</v>
          </cell>
        </row>
        <row r="890">
          <cell r="A890" t="str">
            <v>R6520BK/2</v>
          </cell>
          <cell r="B890" t="str">
            <v>Nad Tatrou sa blýska</v>
          </cell>
          <cell r="C890" t="str">
            <v>25/6</v>
          </cell>
          <cell r="D890">
            <v>28</v>
          </cell>
        </row>
        <row r="891">
          <cell r="A891" t="str">
            <v>R7020K</v>
          </cell>
          <cell r="B891" t="str">
            <v>Práskající komety</v>
          </cell>
          <cell r="C891" t="str">
            <v>15/12</v>
          </cell>
          <cell r="D891">
            <v>24</v>
          </cell>
        </row>
        <row r="892">
          <cell r="A892" t="str">
            <v>R7020M</v>
          </cell>
          <cell r="B892" t="str">
            <v>Mix římských svící 20ran</v>
          </cell>
          <cell r="C892" t="str">
            <v>15/12</v>
          </cell>
          <cell r="D892">
            <v>27</v>
          </cell>
        </row>
        <row r="893">
          <cell r="A893" t="str">
            <v>R7040C</v>
          </cell>
          <cell r="B893" t="str">
            <v>Color balls 40ran</v>
          </cell>
          <cell r="C893" t="str">
            <v>36/6</v>
          </cell>
          <cell r="D893" t="str">
            <v>56</v>
          </cell>
        </row>
        <row r="894">
          <cell r="A894" t="str">
            <v>R7508E</v>
          </cell>
          <cell r="B894" t="str">
            <v>Římská svíce 8ran</v>
          </cell>
          <cell r="C894" t="str">
            <v>24/4</v>
          </cell>
          <cell r="D894">
            <v>25</v>
          </cell>
        </row>
        <row r="895">
          <cell r="A895" t="str">
            <v>R7508SIG</v>
          </cell>
          <cell r="B895" t="str">
            <v>Signature range Roman candle 20mm</v>
          </cell>
          <cell r="C895" t="str">
            <v>24/4</v>
          </cell>
          <cell r="D895">
            <v>21</v>
          </cell>
        </row>
        <row r="896">
          <cell r="A896" t="str">
            <v>R7538D</v>
          </cell>
          <cell r="B896" t="str">
            <v xml:space="preserve">Golden tail </v>
          </cell>
          <cell r="C896" t="str">
            <v>25/1</v>
          </cell>
          <cell r="D896">
            <v>40</v>
          </cell>
        </row>
        <row r="897">
          <cell r="A897" t="str">
            <v>R7538E</v>
          </cell>
          <cell r="B897" t="str">
            <v>Římská svíce 8ran</v>
          </cell>
          <cell r="C897" t="str">
            <v>25/1</v>
          </cell>
          <cell r="D897">
            <v>40</v>
          </cell>
        </row>
        <row r="898">
          <cell r="A898" t="str">
            <v>R7538H</v>
          </cell>
          <cell r="B898" t="str">
            <v>Silver glitter willow tail</v>
          </cell>
          <cell r="C898" t="str">
            <v>25/1</v>
          </cell>
          <cell r="D898">
            <v>40</v>
          </cell>
        </row>
        <row r="899">
          <cell r="A899" t="str">
            <v>R7538CH</v>
          </cell>
          <cell r="B899" t="str">
            <v>Crackling tail</v>
          </cell>
          <cell r="C899" t="str">
            <v>25/1</v>
          </cell>
          <cell r="D899">
            <v>40</v>
          </cell>
        </row>
        <row r="900">
          <cell r="A900" t="str">
            <v>R7538I</v>
          </cell>
          <cell r="B900" t="str">
            <v>Římská svíce 8ran</v>
          </cell>
          <cell r="C900" t="str">
            <v>25/1</v>
          </cell>
          <cell r="D900">
            <v>40</v>
          </cell>
        </row>
        <row r="901">
          <cell r="A901" t="str">
            <v>R7538S</v>
          </cell>
          <cell r="B901" t="str">
            <v>Signature range Roman candle</v>
          </cell>
          <cell r="C901" t="str">
            <v>25/1</v>
          </cell>
          <cell r="D901">
            <v>36</v>
          </cell>
        </row>
        <row r="902">
          <cell r="A902" t="str">
            <v>RB1</v>
          </cell>
          <cell r="B902" t="str">
            <v>Rodinné balení</v>
          </cell>
          <cell r="C902" t="str">
            <v>20/1</v>
          </cell>
          <cell r="D902" t="str">
            <v>16</v>
          </cell>
        </row>
        <row r="903">
          <cell r="A903" t="str">
            <v>RD8</v>
          </cell>
          <cell r="B903" t="str">
            <v>LG2112 / Racing drones</v>
          </cell>
          <cell r="C903" t="str">
            <v>30/1.</v>
          </cell>
          <cell r="D903">
            <v>16</v>
          </cell>
        </row>
        <row r="904">
          <cell r="A904" t="str">
            <v>RDG1B</v>
          </cell>
          <cell r="B904" t="str">
            <v>RDG1-bílá</v>
          </cell>
          <cell r="C904" t="str">
            <v>12/4.</v>
          </cell>
          <cell r="D904" t="str">
            <v>72</v>
          </cell>
        </row>
        <row r="905">
          <cell r="A905" t="str">
            <v>RDG1B(1)</v>
          </cell>
          <cell r="B905" t="str">
            <v>RDG1-bílá</v>
          </cell>
          <cell r="C905" t="str">
            <v>50/1</v>
          </cell>
          <cell r="D905" t="str">
            <v>72</v>
          </cell>
        </row>
        <row r="906">
          <cell r="A906" t="str">
            <v>RDG1B-P</v>
          </cell>
          <cell r="B906" t="str">
            <v>RDG1-bílá</v>
          </cell>
          <cell r="C906" t="str">
            <v>25/1</v>
          </cell>
          <cell r="D906">
            <v>60</v>
          </cell>
        </row>
        <row r="907">
          <cell r="A907" t="str">
            <v>RDG1C</v>
          </cell>
          <cell r="B907" t="str">
            <v>RDG1-červená</v>
          </cell>
          <cell r="C907" t="str">
            <v>50/1</v>
          </cell>
          <cell r="D907" t="str">
            <v>72</v>
          </cell>
        </row>
        <row r="908">
          <cell r="A908" t="str">
            <v>RDG1C(1)</v>
          </cell>
          <cell r="B908" t="str">
            <v>RDG1-červená</v>
          </cell>
          <cell r="C908" t="str">
            <v>50/1</v>
          </cell>
          <cell r="D908" t="str">
            <v>72</v>
          </cell>
        </row>
        <row r="909">
          <cell r="A909" t="str">
            <v>RDG1C-P</v>
          </cell>
          <cell r="B909" t="str">
            <v>RDG1-červená</v>
          </cell>
          <cell r="C909" t="str">
            <v>25/1</v>
          </cell>
          <cell r="D909">
            <v>60</v>
          </cell>
        </row>
        <row r="910">
          <cell r="A910" t="str">
            <v>RDG1M</v>
          </cell>
          <cell r="B910" t="str">
            <v>RDG1-modrá</v>
          </cell>
          <cell r="C910" t="str">
            <v>50/1</v>
          </cell>
          <cell r="D910" t="str">
            <v>72</v>
          </cell>
        </row>
        <row r="911">
          <cell r="A911" t="str">
            <v>RDG1M-P</v>
          </cell>
          <cell r="B911" t="str">
            <v>RDG1-modrá</v>
          </cell>
          <cell r="C911" t="str">
            <v>25/1</v>
          </cell>
          <cell r="D911">
            <v>60</v>
          </cell>
        </row>
        <row r="912">
          <cell r="A912" t="str">
            <v>RDG1O</v>
          </cell>
          <cell r="B912" t="str">
            <v>RDG1-oranžová</v>
          </cell>
          <cell r="C912" t="str">
            <v>50/1</v>
          </cell>
          <cell r="D912" t="str">
            <v>72</v>
          </cell>
        </row>
        <row r="913">
          <cell r="A913" t="str">
            <v>RDG1O(1)</v>
          </cell>
          <cell r="B913" t="str">
            <v>RDG1-oranžová</v>
          </cell>
          <cell r="C913" t="str">
            <v>50/1</v>
          </cell>
          <cell r="D913" t="str">
            <v>72</v>
          </cell>
        </row>
        <row r="914">
          <cell r="A914" t="str">
            <v>RDG1O-P</v>
          </cell>
          <cell r="B914" t="str">
            <v>RDG1-oranžová</v>
          </cell>
          <cell r="C914" t="str">
            <v>25/1</v>
          </cell>
          <cell r="D914">
            <v>60</v>
          </cell>
        </row>
        <row r="915">
          <cell r="A915" t="str">
            <v>RDG1O-P(1)</v>
          </cell>
          <cell r="B915" t="str">
            <v>RDG1-oranžová</v>
          </cell>
          <cell r="C915" t="str">
            <v>25/1</v>
          </cell>
          <cell r="D915">
            <v>60</v>
          </cell>
        </row>
        <row r="916">
          <cell r="A916" t="str">
            <v>RDG1ZE</v>
          </cell>
          <cell r="B916" t="str">
            <v>RDG1-zelená</v>
          </cell>
          <cell r="C916" t="str">
            <v>50/1</v>
          </cell>
          <cell r="D916" t="str">
            <v>72</v>
          </cell>
        </row>
        <row r="917">
          <cell r="A917" t="str">
            <v>RDG1ZE(1)</v>
          </cell>
          <cell r="B917" t="str">
            <v>RDG1-zelená</v>
          </cell>
          <cell r="C917" t="str">
            <v>50/1</v>
          </cell>
          <cell r="D917" t="str">
            <v>72</v>
          </cell>
        </row>
        <row r="918">
          <cell r="A918" t="str">
            <v>RDG1ZE-P</v>
          </cell>
          <cell r="B918" t="str">
            <v>RDG1-zelená</v>
          </cell>
          <cell r="C918" t="str">
            <v>25/1</v>
          </cell>
          <cell r="D918">
            <v>60</v>
          </cell>
        </row>
        <row r="919">
          <cell r="A919" t="str">
            <v>RDG1ZE-P(1)</v>
          </cell>
          <cell r="B919" t="str">
            <v>RDG1-zelená</v>
          </cell>
          <cell r="C919" t="str">
            <v>25/1</v>
          </cell>
          <cell r="D919">
            <v>60</v>
          </cell>
        </row>
        <row r="920">
          <cell r="A920" t="str">
            <v>RDG1ZL</v>
          </cell>
          <cell r="B920" t="str">
            <v>RDG1- žlutá</v>
          </cell>
          <cell r="C920" t="str">
            <v>50/1</v>
          </cell>
          <cell r="D920" t="str">
            <v>72</v>
          </cell>
        </row>
        <row r="921">
          <cell r="A921" t="str">
            <v>RDG1ZL(1)</v>
          </cell>
          <cell r="B921" t="str">
            <v>RDG1- žlutá</v>
          </cell>
          <cell r="C921" t="str">
            <v>50/1</v>
          </cell>
          <cell r="D921" t="str">
            <v>72</v>
          </cell>
        </row>
        <row r="922">
          <cell r="A922" t="str">
            <v>RDG1ZL-P</v>
          </cell>
          <cell r="B922" t="str">
            <v>RDG1- žlutá</v>
          </cell>
          <cell r="C922" t="str">
            <v>25/1</v>
          </cell>
          <cell r="D922">
            <v>60</v>
          </cell>
        </row>
        <row r="923">
          <cell r="A923" t="str">
            <v>RDG1ZL-P(1)</v>
          </cell>
          <cell r="B923" t="str">
            <v>RDG1- žlutá</v>
          </cell>
          <cell r="C923" t="str">
            <v>25/1</v>
          </cell>
          <cell r="D923">
            <v>60</v>
          </cell>
        </row>
        <row r="924">
          <cell r="A924" t="str">
            <v>RDG25B</v>
          </cell>
          <cell r="B924" t="str">
            <v xml:space="preserve">SP9036W / Bílá turbo dýmovnice s trhací pojistkou </v>
          </cell>
          <cell r="C924" t="str">
            <v>20/5</v>
          </cell>
          <cell r="D924" t="str">
            <v>45</v>
          </cell>
        </row>
        <row r="925">
          <cell r="A925" t="str">
            <v>RDG25CER</v>
          </cell>
          <cell r="B925" t="str">
            <v xml:space="preserve">SP9036B2 / Černá turbo dýmovnice s trhací pojistkou </v>
          </cell>
          <cell r="C925" t="str">
            <v>20/5</v>
          </cell>
          <cell r="D925" t="str">
            <v>45</v>
          </cell>
        </row>
        <row r="926">
          <cell r="A926" t="str">
            <v>RDG25O</v>
          </cell>
          <cell r="B926" t="str">
            <v xml:space="preserve">SP9036O / Oranžová turbo dýmovnice s trhací pojistkou </v>
          </cell>
          <cell r="C926" t="str">
            <v>20/5</v>
          </cell>
          <cell r="D926" t="str">
            <v>45</v>
          </cell>
        </row>
        <row r="927">
          <cell r="A927" t="str">
            <v>RDG25ZE</v>
          </cell>
          <cell r="B927" t="str">
            <v xml:space="preserve">SP9036G / Zelená turbo dýmovnice s trhací pojistkou </v>
          </cell>
          <cell r="C927" t="str">
            <v>20/5</v>
          </cell>
          <cell r="D927" t="str">
            <v>45</v>
          </cell>
        </row>
        <row r="928">
          <cell r="A928" t="str">
            <v>RDG25ZL</v>
          </cell>
          <cell r="B928" t="str">
            <v xml:space="preserve">SP9036Y / Žlutá turbo dýmovnice s trhací pojistkou </v>
          </cell>
          <cell r="C928" t="str">
            <v>20/5</v>
          </cell>
          <cell r="D928" t="str">
            <v>45</v>
          </cell>
        </row>
        <row r="929">
          <cell r="A929" t="str">
            <v>RDG2B</v>
          </cell>
          <cell r="B929" t="str">
            <v>RDG2-bílá</v>
          </cell>
          <cell r="C929" t="str">
            <v>50/1</v>
          </cell>
          <cell r="D929">
            <v>42</v>
          </cell>
        </row>
        <row r="930">
          <cell r="A930" t="str">
            <v>RDG2C</v>
          </cell>
          <cell r="B930" t="str">
            <v>RDG2-červená</v>
          </cell>
          <cell r="C930" t="str">
            <v>50/1</v>
          </cell>
          <cell r="D930">
            <v>42</v>
          </cell>
        </row>
        <row r="931">
          <cell r="A931" t="str">
            <v>RDG2M</v>
          </cell>
          <cell r="B931" t="str">
            <v>RDG2-modrá</v>
          </cell>
          <cell r="C931" t="str">
            <v>50/1</v>
          </cell>
          <cell r="D931">
            <v>42</v>
          </cell>
        </row>
        <row r="932">
          <cell r="A932" t="str">
            <v>RDG60B</v>
          </cell>
          <cell r="B932" t="str">
            <v xml:space="preserve">SP9020W / Bílá dýmovnice s trhací pojistkou </v>
          </cell>
          <cell r="C932" t="str">
            <v>20/5</v>
          </cell>
          <cell r="D932" t="str">
            <v>36</v>
          </cell>
        </row>
        <row r="933">
          <cell r="A933" t="str">
            <v>RDG60B(SH)</v>
          </cell>
          <cell r="B933" t="str">
            <v>Bílá dýmovnice-škrtací</v>
          </cell>
          <cell r="C933" t="str">
            <v>20/5</v>
          </cell>
          <cell r="D933">
            <v>28</v>
          </cell>
        </row>
        <row r="934">
          <cell r="A934" t="str">
            <v>RDG60C(SH)</v>
          </cell>
          <cell r="B934" t="str">
            <v>Červená dýmovnice-škrtací</v>
          </cell>
          <cell r="C934" t="str">
            <v>20/5</v>
          </cell>
          <cell r="D934">
            <v>28</v>
          </cell>
        </row>
        <row r="935">
          <cell r="A935" t="str">
            <v>RDG60CER</v>
          </cell>
          <cell r="B935" t="str">
            <v xml:space="preserve">SP9020B2 / Černá dýmovnice s trhací pojistkou </v>
          </cell>
          <cell r="C935" t="str">
            <v>20/5</v>
          </cell>
          <cell r="D935" t="str">
            <v>36</v>
          </cell>
        </row>
        <row r="936">
          <cell r="A936" t="str">
            <v>RDG60CER(SH)</v>
          </cell>
          <cell r="B936" t="str">
            <v>Černá dýmovnice-škrtací</v>
          </cell>
          <cell r="C936" t="str">
            <v>20/5</v>
          </cell>
          <cell r="D936">
            <v>36</v>
          </cell>
        </row>
        <row r="937">
          <cell r="A937" t="str">
            <v>RDG60M</v>
          </cell>
          <cell r="B937" t="str">
            <v xml:space="preserve">SP9020B / Modrá dýmovnice s trhací pojistkou </v>
          </cell>
          <cell r="C937" t="str">
            <v>20/5</v>
          </cell>
          <cell r="D937" t="str">
            <v>36</v>
          </cell>
        </row>
        <row r="938">
          <cell r="A938" t="str">
            <v>RDG60M(SH)</v>
          </cell>
          <cell r="B938" t="str">
            <v>Modrá dýmovnice-škrtací</v>
          </cell>
          <cell r="C938" t="str">
            <v>20/5</v>
          </cell>
          <cell r="D938">
            <v>28</v>
          </cell>
        </row>
        <row r="939">
          <cell r="A939" t="str">
            <v>RDG60O</v>
          </cell>
          <cell r="B939" t="str">
            <v xml:space="preserve">SP9020O / Oranžová dýmovnice s trhací pojistkou </v>
          </cell>
          <cell r="C939" t="str">
            <v>20/5</v>
          </cell>
          <cell r="D939" t="str">
            <v>36</v>
          </cell>
        </row>
        <row r="940">
          <cell r="A940" t="str">
            <v>RDG60O(SH)</v>
          </cell>
          <cell r="B940" t="str">
            <v>Oranžová dýmovnice-škrtací</v>
          </cell>
          <cell r="C940" t="str">
            <v>20/5</v>
          </cell>
          <cell r="D940">
            <v>36</v>
          </cell>
        </row>
        <row r="941">
          <cell r="A941" t="str">
            <v>RDG60R(SH)</v>
          </cell>
          <cell r="B941" t="str">
            <v>Růžová dýmovnice-škrtací</v>
          </cell>
          <cell r="C941" t="str">
            <v>20/5</v>
          </cell>
          <cell r="D941">
            <v>36</v>
          </cell>
        </row>
        <row r="942">
          <cell r="A942" t="str">
            <v>RDG60ZE(SH)</v>
          </cell>
          <cell r="B942" t="str">
            <v>Zelená dýmovnice-škrtací</v>
          </cell>
          <cell r="C942" t="str">
            <v>20/5</v>
          </cell>
          <cell r="D942">
            <v>36</v>
          </cell>
        </row>
        <row r="943">
          <cell r="A943" t="str">
            <v>RDG60ZL(SH)</v>
          </cell>
          <cell r="B943" t="str">
            <v>Žlutá dýmovnice-škrtací</v>
          </cell>
          <cell r="C943" t="str">
            <v>20/5</v>
          </cell>
          <cell r="D943">
            <v>28</v>
          </cell>
        </row>
        <row r="944">
          <cell r="A944" t="str">
            <v>RDP60C</v>
          </cell>
          <cell r="B944" t="str">
            <v xml:space="preserve">SP9038R / Červená dýmová pochodeň s trhací pojistkou </v>
          </cell>
          <cell r="C944" t="str">
            <v>20/5</v>
          </cell>
          <cell r="D944" t="str">
            <v>36</v>
          </cell>
        </row>
        <row r="945">
          <cell r="A945" t="str">
            <v>RDP60CER</v>
          </cell>
          <cell r="B945" t="str">
            <v xml:space="preserve">SP9038B2 / Černá dýmová pochodeň s trhací pojistkou </v>
          </cell>
          <cell r="C945" t="str">
            <v>20/5</v>
          </cell>
          <cell r="D945">
            <v>21</v>
          </cell>
        </row>
        <row r="946">
          <cell r="A946" t="str">
            <v>RDP60M</v>
          </cell>
          <cell r="B946" t="str">
            <v xml:space="preserve">SP9038B / Modrá dýmová pochodeň s trhací pojistkou </v>
          </cell>
          <cell r="C946" t="str">
            <v>20/5</v>
          </cell>
          <cell r="D946" t="str">
            <v>36</v>
          </cell>
        </row>
        <row r="947">
          <cell r="A947" t="str">
            <v>RP5DU14</v>
          </cell>
          <cell r="B947" t="str">
            <v>Rotate Dumbum</v>
          </cell>
          <cell r="C947" t="str">
            <v>50/20</v>
          </cell>
          <cell r="D947">
            <v>72</v>
          </cell>
        </row>
        <row r="948">
          <cell r="A948" t="str">
            <v>RP5DU14(1)</v>
          </cell>
          <cell r="B948" t="str">
            <v>Rotate Dumbum</v>
          </cell>
          <cell r="C948" t="str">
            <v>50/20</v>
          </cell>
          <cell r="D948">
            <v>72</v>
          </cell>
        </row>
        <row r="949">
          <cell r="A949" t="str">
            <v>RS1</v>
          </cell>
          <cell r="B949" t="str">
            <v>Scream rocket micro (Pískající raketky)</v>
          </cell>
          <cell r="C949" t="str">
            <v>20/12/12</v>
          </cell>
          <cell r="D949">
            <v>25</v>
          </cell>
        </row>
        <row r="950">
          <cell r="A950" t="str">
            <v>RS11H</v>
          </cell>
          <cell r="B950" t="str">
            <v>Happy New Year</v>
          </cell>
          <cell r="C950" t="str">
            <v>12/11</v>
          </cell>
          <cell r="D950">
            <v>12</v>
          </cell>
        </row>
        <row r="951">
          <cell r="A951" t="str">
            <v>RS18S</v>
          </cell>
          <cell r="B951" t="str">
            <v>Storm rocket</v>
          </cell>
          <cell r="C951" t="str">
            <v>10/18</v>
          </cell>
          <cell r="D951">
            <v>8</v>
          </cell>
        </row>
        <row r="952">
          <cell r="A952" t="str">
            <v>RS18T</v>
          </cell>
          <cell r="B952" t="str">
            <v>Tiger rocket</v>
          </cell>
          <cell r="C952" t="str">
            <v>10/18</v>
          </cell>
          <cell r="D952">
            <v>8</v>
          </cell>
        </row>
        <row r="953">
          <cell r="A953" t="str">
            <v>RS21Z</v>
          </cell>
          <cell r="B953" t="str">
            <v>Zoombie invasion</v>
          </cell>
          <cell r="C953" t="str">
            <v>5/21</v>
          </cell>
          <cell r="D953">
            <v>18</v>
          </cell>
        </row>
        <row r="954">
          <cell r="A954" t="str">
            <v>RS21Z14</v>
          </cell>
          <cell r="B954" t="str">
            <v>Zoombie invasion</v>
          </cell>
          <cell r="C954" t="str">
            <v>5/21</v>
          </cell>
          <cell r="D954">
            <v>18</v>
          </cell>
        </row>
        <row r="955">
          <cell r="A955" t="str">
            <v>RS33R</v>
          </cell>
          <cell r="B955" t="str">
            <v xml:space="preserve">Rocket Land </v>
          </cell>
          <cell r="C955" t="str">
            <v>6/33</v>
          </cell>
          <cell r="D955">
            <v>8</v>
          </cell>
        </row>
        <row r="956">
          <cell r="A956" t="str">
            <v>RS33R14</v>
          </cell>
          <cell r="B956" t="str">
            <v>Rocket Land</v>
          </cell>
          <cell r="C956" t="str">
            <v>6/33</v>
          </cell>
          <cell r="D956">
            <v>8</v>
          </cell>
        </row>
        <row r="957">
          <cell r="A957" t="str">
            <v>RS4D</v>
          </cell>
          <cell r="B957" t="str">
            <v>Dumbum rakety</v>
          </cell>
          <cell r="C957" t="str">
            <v>24/4</v>
          </cell>
          <cell r="D957">
            <v>21</v>
          </cell>
        </row>
        <row r="958">
          <cell r="A958" t="str">
            <v>RS4H14</v>
          </cell>
          <cell r="B958" t="str">
            <v>Happy rocket</v>
          </cell>
          <cell r="C958" t="str">
            <v>50/4</v>
          </cell>
          <cell r="D958">
            <v>30</v>
          </cell>
        </row>
        <row r="959">
          <cell r="A959" t="str">
            <v>RS5DU</v>
          </cell>
          <cell r="B959" t="str">
            <v>Dumbum rocket with scream</v>
          </cell>
          <cell r="C959" t="str">
            <v>20/5</v>
          </cell>
          <cell r="D959">
            <v>22</v>
          </cell>
        </row>
        <row r="960">
          <cell r="A960" t="str">
            <v>RS6NO14</v>
          </cell>
          <cell r="B960" t="str">
            <v>No Sound rocket</v>
          </cell>
          <cell r="C960" t="str">
            <v>18/6</v>
          </cell>
          <cell r="D960" t="str">
            <v>16</v>
          </cell>
        </row>
        <row r="961">
          <cell r="A961" t="str">
            <v>RS6O</v>
          </cell>
          <cell r="B961" t="str">
            <v>Ohnivý déšť</v>
          </cell>
          <cell r="C961" t="str">
            <v>50/6</v>
          </cell>
          <cell r="D961">
            <v>54</v>
          </cell>
        </row>
        <row r="962">
          <cell r="A962" t="str">
            <v>RS6P</v>
          </cell>
          <cell r="B962" t="str">
            <v>Padáčková raketa</v>
          </cell>
          <cell r="C962" t="str">
            <v>50/6</v>
          </cell>
          <cell r="D962">
            <v>48</v>
          </cell>
        </row>
        <row r="963">
          <cell r="A963" t="str">
            <v>RS6P E</v>
          </cell>
          <cell r="B963" t="str">
            <v>Padáčková raketa dummy</v>
          </cell>
          <cell r="C963"/>
          <cell r="D963" t="str">
            <v/>
          </cell>
        </row>
        <row r="964">
          <cell r="A964" t="str">
            <v>RS6S</v>
          </cell>
          <cell r="B964" t="str">
            <v>Scream rocket-mini</v>
          </cell>
          <cell r="C964" t="str">
            <v>50/6</v>
          </cell>
          <cell r="D964">
            <v>63</v>
          </cell>
        </row>
        <row r="965">
          <cell r="A965" t="str">
            <v>RS7MD14</v>
          </cell>
          <cell r="B965" t="str">
            <v>Devil rocket</v>
          </cell>
          <cell r="C965" t="str">
            <v>30/7</v>
          </cell>
          <cell r="D965">
            <v>15</v>
          </cell>
        </row>
        <row r="966">
          <cell r="A966" t="str">
            <v>RS7T14</v>
          </cell>
          <cell r="B966" t="str">
            <v>T2</v>
          </cell>
          <cell r="C966" t="str">
            <v>20/7</v>
          </cell>
          <cell r="D966">
            <v>12</v>
          </cell>
        </row>
        <row r="967">
          <cell r="A967" t="str">
            <v>RS9P14</v>
          </cell>
          <cell r="B967" t="str">
            <v>Pyro show rocket</v>
          </cell>
          <cell r="C967" t="str">
            <v>20/9</v>
          </cell>
          <cell r="D967">
            <v>10</v>
          </cell>
        </row>
        <row r="968">
          <cell r="A968" t="str">
            <v>RS9T14</v>
          </cell>
          <cell r="B968" t="str">
            <v>Troll</v>
          </cell>
          <cell r="C968" t="str">
            <v>20/9</v>
          </cell>
          <cell r="D968">
            <v>10</v>
          </cell>
        </row>
        <row r="969">
          <cell r="A969" t="str">
            <v>RSD6</v>
          </cell>
          <cell r="B969" t="str">
            <v>Scream/Dumbum rocket(Comet 2)</v>
          </cell>
          <cell r="C969" t="str">
            <v>20/6</v>
          </cell>
          <cell r="D969" t="str">
            <v>30</v>
          </cell>
        </row>
        <row r="970">
          <cell r="A970" t="str">
            <v>RSS100</v>
          </cell>
          <cell r="B970" t="str">
            <v>Signature range rocket 100</v>
          </cell>
          <cell r="C970" t="str">
            <v>8/5</v>
          </cell>
          <cell r="D970">
            <v>15</v>
          </cell>
        </row>
        <row r="971">
          <cell r="A971" t="str">
            <v>RSSF2</v>
          </cell>
          <cell r="B971" t="str">
            <v>Signature range rocket F2</v>
          </cell>
          <cell r="C971" t="str">
            <v>8/5</v>
          </cell>
          <cell r="D971" t="str">
            <v>18</v>
          </cell>
        </row>
        <row r="972">
          <cell r="A972" t="str">
            <v>RSSF3</v>
          </cell>
          <cell r="B972" t="str">
            <v>Signature range rocket F3</v>
          </cell>
          <cell r="C972" t="str">
            <v>4/5</v>
          </cell>
          <cell r="D972">
            <v>15</v>
          </cell>
        </row>
        <row r="973">
          <cell r="A973" t="str">
            <v>RT1DU</v>
          </cell>
          <cell r="B973" t="str">
            <v>Reklamní tabule Dumbum</v>
          </cell>
          <cell r="C973" t="str">
            <v>1/1</v>
          </cell>
          <cell r="D973" t="str">
            <v/>
          </cell>
        </row>
        <row r="974">
          <cell r="A974" t="str">
            <v>RUN1</v>
          </cell>
          <cell r="B974" t="str">
            <v>Vysunovací reklama No sound fireworks</v>
          </cell>
          <cell r="C974" t="str">
            <v>1/1</v>
          </cell>
          <cell r="D974" t="str">
            <v/>
          </cell>
        </row>
        <row r="975">
          <cell r="A975" t="str">
            <v>S12S</v>
          </cell>
          <cell r="B975" t="str">
            <v>Stroboskop malý</v>
          </cell>
          <cell r="C975" t="str">
            <v>24/16/4</v>
          </cell>
          <cell r="D975">
            <v>45</v>
          </cell>
        </row>
        <row r="976">
          <cell r="A976" t="str">
            <v>S12S(1)</v>
          </cell>
          <cell r="B976" t="str">
            <v>Stroboskop malý</v>
          </cell>
          <cell r="C976" t="str">
            <v>24/16/4</v>
          </cell>
          <cell r="D976">
            <v>45</v>
          </cell>
        </row>
        <row r="977">
          <cell r="A977" t="str">
            <v>S2E</v>
          </cell>
          <cell r="B977" t="str">
            <v>Shell 50mm silver strobe willow</v>
          </cell>
          <cell r="C977"/>
          <cell r="D977" t="str">
            <v>23</v>
          </cell>
        </row>
        <row r="978">
          <cell r="A978" t="str">
            <v>S2G</v>
          </cell>
          <cell r="B978" t="str">
            <v>Shell 50mm silver wave to red</v>
          </cell>
          <cell r="C978"/>
          <cell r="D978" t="str">
            <v>23</v>
          </cell>
        </row>
        <row r="979">
          <cell r="A979" t="str">
            <v>S2H</v>
          </cell>
          <cell r="B979" t="str">
            <v>Shell 50mm green tail to green wave w.crackling</v>
          </cell>
          <cell r="C979"/>
          <cell r="D979" t="str">
            <v>23</v>
          </cell>
        </row>
        <row r="980">
          <cell r="A980" t="str">
            <v>S2CH</v>
          </cell>
          <cell r="B980" t="str">
            <v>Shell 50mm colorful dahlia</v>
          </cell>
          <cell r="C980"/>
          <cell r="D980" t="str">
            <v>23</v>
          </cell>
        </row>
        <row r="981">
          <cell r="A981" t="str">
            <v>S2K</v>
          </cell>
          <cell r="B981" t="str">
            <v>Shell 50mm golden ti willow</v>
          </cell>
          <cell r="C981"/>
          <cell r="D981" t="str">
            <v>23</v>
          </cell>
        </row>
        <row r="982">
          <cell r="A982" t="str">
            <v>S2M</v>
          </cell>
          <cell r="B982" t="str">
            <v>Shell 50mm mix carton</v>
          </cell>
          <cell r="C982" t="str">
            <v>12/12</v>
          </cell>
          <cell r="D982" t="str">
            <v>23</v>
          </cell>
        </row>
        <row r="983">
          <cell r="A983" t="str">
            <v>S3A/P</v>
          </cell>
          <cell r="B983" t="str">
            <v>Shell 75mm silver flashing fountain</v>
          </cell>
          <cell r="C983"/>
          <cell r="D983" t="str">
            <v>21</v>
          </cell>
        </row>
        <row r="984">
          <cell r="A984" t="str">
            <v>S3B/P</v>
          </cell>
          <cell r="B984" t="str">
            <v>Shell 75mm silver tail to red wave w.crackling</v>
          </cell>
          <cell r="C984"/>
          <cell r="D984" t="str">
            <v>21</v>
          </cell>
        </row>
        <row r="985">
          <cell r="A985" t="str">
            <v>S3C/P</v>
          </cell>
          <cell r="B985" t="str">
            <v>Shell 75mm flower crown chrysant. to blue</v>
          </cell>
          <cell r="C985"/>
          <cell r="D985" t="str">
            <v>21</v>
          </cell>
        </row>
        <row r="986">
          <cell r="A986" t="str">
            <v>S3D/P</v>
          </cell>
          <cell r="B986" t="str">
            <v>Shell 75mm silver tail to silver strobe</v>
          </cell>
          <cell r="C986"/>
          <cell r="D986" t="str">
            <v>21</v>
          </cell>
        </row>
        <row r="987">
          <cell r="A987" t="str">
            <v>S3E/P</v>
          </cell>
          <cell r="B987" t="str">
            <v>Shell 75mm red peony w.silver palm core</v>
          </cell>
          <cell r="C987"/>
          <cell r="D987" t="str">
            <v>21</v>
          </cell>
        </row>
        <row r="988">
          <cell r="A988" t="str">
            <v>S3F/P</v>
          </cell>
          <cell r="B988" t="str">
            <v>Shell 75mm delay cracker wilow</v>
          </cell>
          <cell r="C988" t="str">
            <v>12/6</v>
          </cell>
          <cell r="D988" t="str">
            <v>21</v>
          </cell>
        </row>
        <row r="989">
          <cell r="A989" t="str">
            <v>S3G/P</v>
          </cell>
          <cell r="B989" t="str">
            <v>Shell 75mm water color peony w.brocade crown pistil</v>
          </cell>
          <cell r="C989"/>
          <cell r="D989" t="str">
            <v>21</v>
          </cell>
        </row>
        <row r="990">
          <cell r="A990" t="str">
            <v>S3H/P</v>
          </cell>
          <cell r="B990" t="str">
            <v>Shell 75mm chrysantnenum to purple</v>
          </cell>
          <cell r="C990"/>
          <cell r="D990" t="str">
            <v>21</v>
          </cell>
        </row>
        <row r="991">
          <cell r="A991" t="str">
            <v>S3IA/P</v>
          </cell>
          <cell r="B991" t="str">
            <v>Shell 75mm golden ti wilow</v>
          </cell>
          <cell r="C991" t="str">
            <v>12/6</v>
          </cell>
          <cell r="D991" t="str">
            <v>21</v>
          </cell>
        </row>
        <row r="992">
          <cell r="A992" t="str">
            <v>S3J/P</v>
          </cell>
          <cell r="B992" t="str">
            <v>Shell 75mm brocade crown crossete</v>
          </cell>
          <cell r="C992" t="str">
            <v>12/6</v>
          </cell>
          <cell r="D992" t="str">
            <v>21</v>
          </cell>
        </row>
        <row r="993">
          <cell r="A993" t="str">
            <v>S3K/P</v>
          </cell>
          <cell r="B993" t="str">
            <v>Shell 75mm purple wave with green glitter</v>
          </cell>
          <cell r="C993"/>
          <cell r="D993" t="str">
            <v>21</v>
          </cell>
        </row>
        <row r="994">
          <cell r="A994" t="str">
            <v>S3L/P</v>
          </cell>
          <cell r="B994" t="str">
            <v>Shell 75mm pink dahlia w.pink pistil</v>
          </cell>
          <cell r="C994"/>
          <cell r="D994" t="str">
            <v>21</v>
          </cell>
        </row>
        <row r="995">
          <cell r="A995" t="str">
            <v>S3M/P</v>
          </cell>
          <cell r="B995" t="str">
            <v>Shell 75mm mix karton-premiun quality</v>
          </cell>
          <cell r="C995" t="str">
            <v>12/6</v>
          </cell>
          <cell r="D995" t="str">
            <v>21</v>
          </cell>
        </row>
        <row r="996">
          <cell r="A996" t="str">
            <v>S3N/P</v>
          </cell>
          <cell r="B996" t="str">
            <v>Shell 75mm silver tail to silver palm tree</v>
          </cell>
          <cell r="C996"/>
          <cell r="D996" t="str">
            <v>21</v>
          </cell>
        </row>
        <row r="997">
          <cell r="A997" t="str">
            <v>S3P/P</v>
          </cell>
          <cell r="B997" t="str">
            <v>Shell 75mm brocade crown w.white glitter</v>
          </cell>
          <cell r="C997"/>
          <cell r="D997" t="str">
            <v>21</v>
          </cell>
        </row>
        <row r="998">
          <cell r="A998" t="str">
            <v>S3R/P</v>
          </cell>
          <cell r="B998" t="str">
            <v>Shell 75mm purple ring with chrysanthemum pistil</v>
          </cell>
          <cell r="C998"/>
          <cell r="D998" t="str">
            <v>21</v>
          </cell>
        </row>
        <row r="999">
          <cell r="A999" t="str">
            <v>S3S/P</v>
          </cell>
          <cell r="B999" t="str">
            <v>Shell 75mm blood red+silver strobe</v>
          </cell>
          <cell r="C999" t="str">
            <v>12/6</v>
          </cell>
          <cell r="D999" t="str">
            <v>21</v>
          </cell>
        </row>
        <row r="1000">
          <cell r="A1000" t="str">
            <v>S3V/P</v>
          </cell>
          <cell r="B1000" t="str">
            <v>Shell 75mm red coco w.silver strobing pistil</v>
          </cell>
          <cell r="C1000"/>
          <cell r="D1000" t="str">
            <v>21</v>
          </cell>
        </row>
        <row r="1001">
          <cell r="A1001" t="str">
            <v>S3W/P</v>
          </cell>
          <cell r="B1001" t="str">
            <v>Shell 75mm lemon crossette+purple crosette</v>
          </cell>
          <cell r="C1001"/>
          <cell r="D1001" t="str">
            <v>21</v>
          </cell>
        </row>
        <row r="1002">
          <cell r="A1002" t="str">
            <v>S3X/P</v>
          </cell>
          <cell r="B1002" t="str">
            <v>Shell 75mm red wave crossete</v>
          </cell>
          <cell r="C1002"/>
          <cell r="D1002" t="str">
            <v>21</v>
          </cell>
        </row>
        <row r="1003">
          <cell r="A1003" t="str">
            <v>S4C/P</v>
          </cell>
          <cell r="B1003" t="str">
            <v>Shell 100mm glitter.palm tree</v>
          </cell>
          <cell r="C1003" t="str">
            <v>9/4</v>
          </cell>
          <cell r="D1003" t="str">
            <v>24</v>
          </cell>
        </row>
        <row r="1004">
          <cell r="A1004" t="str">
            <v>S4D/P</v>
          </cell>
          <cell r="B1004" t="str">
            <v>Shell 100mm colorfull dahlia</v>
          </cell>
          <cell r="C1004"/>
          <cell r="D1004" t="str">
            <v>24</v>
          </cell>
        </row>
        <row r="1005">
          <cell r="A1005" t="str">
            <v>S4E/P</v>
          </cell>
          <cell r="B1005" t="str">
            <v>Shell 100mm gold titanium wilow w.assorted color glitter</v>
          </cell>
          <cell r="C1005"/>
          <cell r="D1005" t="str">
            <v>24</v>
          </cell>
        </row>
        <row r="1006">
          <cell r="A1006" t="str">
            <v>S4F/P</v>
          </cell>
          <cell r="B1006" t="str">
            <v>Shell 100mm titanium chrysantenum crackling to titanium crackling palm</v>
          </cell>
          <cell r="C1006"/>
          <cell r="D1006" t="str">
            <v>24</v>
          </cell>
        </row>
        <row r="1007">
          <cell r="A1007" t="str">
            <v>S4H/P</v>
          </cell>
          <cell r="B1007" t="str">
            <v>Shell 100mm silver flashing fountain</v>
          </cell>
          <cell r="C1007"/>
          <cell r="D1007" t="str">
            <v>24</v>
          </cell>
        </row>
        <row r="1008">
          <cell r="A1008" t="str">
            <v>S4J/P</v>
          </cell>
          <cell r="B1008" t="str">
            <v>Shell 100mm crackling nishiki kamuro</v>
          </cell>
          <cell r="C1008" t="str">
            <v>9/4</v>
          </cell>
          <cell r="D1008" t="str">
            <v>24</v>
          </cell>
        </row>
        <row r="1009">
          <cell r="A1009" t="str">
            <v>S4K/P</v>
          </cell>
          <cell r="B1009" t="str">
            <v>Shell 100mm silver crown w.red pistil</v>
          </cell>
          <cell r="C1009" t="str">
            <v>9/4</v>
          </cell>
          <cell r="D1009" t="str">
            <v>24</v>
          </cell>
        </row>
        <row r="1010">
          <cell r="A1010" t="str">
            <v>S4L/P</v>
          </cell>
          <cell r="B1010" t="str">
            <v>Shell 100mm blood red+silver strobe</v>
          </cell>
          <cell r="C1010" t="str">
            <v>9/4</v>
          </cell>
          <cell r="D1010" t="str">
            <v>24</v>
          </cell>
        </row>
        <row r="1011">
          <cell r="A1011" t="str">
            <v>S4M/P</v>
          </cell>
          <cell r="B1011" t="str">
            <v>Shell 100mm mix carton-premium quality</v>
          </cell>
          <cell r="C1011" t="str">
            <v>9/4</v>
          </cell>
          <cell r="D1011" t="str">
            <v>24</v>
          </cell>
        </row>
        <row r="1012">
          <cell r="A1012" t="str">
            <v>S4NA/P</v>
          </cell>
          <cell r="B1012" t="str">
            <v>Shell 100mm golden ti wilow</v>
          </cell>
          <cell r="C1012" t="str">
            <v>9/4</v>
          </cell>
          <cell r="D1012" t="str">
            <v>24</v>
          </cell>
        </row>
        <row r="1013">
          <cell r="A1013" t="str">
            <v>S4O/P</v>
          </cell>
          <cell r="B1013" t="str">
            <v>Shell 100mm silver strobe</v>
          </cell>
          <cell r="C1013" t="str">
            <v>9/4</v>
          </cell>
          <cell r="D1013" t="str">
            <v>24</v>
          </cell>
        </row>
        <row r="1014">
          <cell r="A1014" t="str">
            <v>S4P/P</v>
          </cell>
          <cell r="B1014" t="str">
            <v>Shell 100mm silver tail to silver palm tree</v>
          </cell>
          <cell r="C1014" t="str">
            <v>9/4</v>
          </cell>
          <cell r="D1014" t="str">
            <v>24</v>
          </cell>
        </row>
        <row r="1015">
          <cell r="A1015" t="str">
            <v>S4Q/P</v>
          </cell>
          <cell r="B1015" t="str">
            <v>Shell 100mm special strobe red</v>
          </cell>
          <cell r="C1015" t="str">
            <v>9/4</v>
          </cell>
          <cell r="D1015" t="str">
            <v>24</v>
          </cell>
        </row>
        <row r="1016">
          <cell r="A1016" t="str">
            <v>S4R/P</v>
          </cell>
          <cell r="B1016" t="str">
            <v>Shell 100mm green peony with corrola pistil with brocade trunk</v>
          </cell>
          <cell r="C1016"/>
          <cell r="D1016" t="str">
            <v>24</v>
          </cell>
        </row>
        <row r="1017">
          <cell r="A1017" t="str">
            <v>S4S/P</v>
          </cell>
          <cell r="B1017" t="str">
            <v>Shell 100mm silver wave to blue w.crackling</v>
          </cell>
          <cell r="C1017" t="str">
            <v>9/4</v>
          </cell>
          <cell r="D1017" t="str">
            <v>24</v>
          </cell>
        </row>
        <row r="1018">
          <cell r="A1018" t="str">
            <v>S4T</v>
          </cell>
          <cell r="B1018" t="str">
            <v>Shell 100mm silver tail to titanium salute</v>
          </cell>
          <cell r="C1018" t="str">
            <v>9/4</v>
          </cell>
          <cell r="D1018" t="str">
            <v>24</v>
          </cell>
        </row>
        <row r="1019">
          <cell r="A1019" t="str">
            <v>S4U/P</v>
          </cell>
          <cell r="B1019" t="str">
            <v>Shell 100mm purple crossette</v>
          </cell>
          <cell r="C1019"/>
          <cell r="D1019" t="str">
            <v>24</v>
          </cell>
        </row>
        <row r="1020">
          <cell r="A1020" t="str">
            <v>S4V/P</v>
          </cell>
          <cell r="B1020" t="str">
            <v>Shell 100mm brocade crown crossete</v>
          </cell>
          <cell r="C1020"/>
          <cell r="D1020" t="str">
            <v>24</v>
          </cell>
        </row>
        <row r="1021">
          <cell r="A1021" t="str">
            <v>S4W/P</v>
          </cell>
          <cell r="B1021" t="str">
            <v>Shell 100mm golden wave to red</v>
          </cell>
          <cell r="C1021" t="str">
            <v>9/4</v>
          </cell>
          <cell r="D1021" t="str">
            <v>24</v>
          </cell>
        </row>
        <row r="1022">
          <cell r="A1022" t="str">
            <v>S4X/P</v>
          </cell>
          <cell r="B1022" t="str">
            <v>Shell 100mm colorfull chrysantenum</v>
          </cell>
          <cell r="C1022"/>
          <cell r="D1022" t="str">
            <v>24</v>
          </cell>
        </row>
        <row r="1023">
          <cell r="A1023" t="str">
            <v>S4Y/P</v>
          </cell>
          <cell r="B1023" t="str">
            <v>Shell 100mm silver wilow w.red pistil</v>
          </cell>
          <cell r="C1023"/>
          <cell r="D1023" t="str">
            <v>24</v>
          </cell>
        </row>
        <row r="1024">
          <cell r="A1024" t="str">
            <v>S4Z/P</v>
          </cell>
          <cell r="B1024" t="str">
            <v>Shell 100mm silver tail to red peony w.silver palm pistil</v>
          </cell>
          <cell r="C1024"/>
          <cell r="D1024" t="str">
            <v>24</v>
          </cell>
        </row>
        <row r="1025">
          <cell r="A1025" t="str">
            <v>S4Z1/P</v>
          </cell>
          <cell r="B1025" t="str">
            <v xml:space="preserve">Shell 100mm red gamboge to red to blue chrys.to red spider ring </v>
          </cell>
          <cell r="C1025"/>
          <cell r="D1025" t="str">
            <v>24</v>
          </cell>
        </row>
        <row r="1026">
          <cell r="A1026" t="str">
            <v>S4Z10/P</v>
          </cell>
          <cell r="B1026" t="str">
            <v>Shell 100mm silver coco w/crackling rain pistil</v>
          </cell>
          <cell r="C1026"/>
          <cell r="D1026" t="str">
            <v>24</v>
          </cell>
        </row>
        <row r="1027">
          <cell r="A1027" t="str">
            <v>S4Z11/P</v>
          </cell>
          <cell r="B1027" t="str">
            <v>Shell 100mm crackling waterfall</v>
          </cell>
          <cell r="C1027" t="str">
            <v>9/4</v>
          </cell>
          <cell r="D1027" t="str">
            <v>24</v>
          </cell>
        </row>
        <row r="1028">
          <cell r="A1028" t="str">
            <v>S4Z12/P</v>
          </cell>
          <cell r="B1028" t="str">
            <v>Shell 100mm crackling willow crossette</v>
          </cell>
          <cell r="C1028" t="str">
            <v>9/4</v>
          </cell>
          <cell r="D1028" t="str">
            <v>24</v>
          </cell>
        </row>
        <row r="1029">
          <cell r="A1029" t="str">
            <v>S4Z13/P</v>
          </cell>
          <cell r="B1029" t="str">
            <v>Cylinder 100mm silver dragon ring+red crossette</v>
          </cell>
          <cell r="C1029"/>
          <cell r="D1029" t="str">
            <v>24</v>
          </cell>
        </row>
        <row r="1030">
          <cell r="A1030" t="str">
            <v>S4Z14/P</v>
          </cell>
          <cell r="B1030" t="str">
            <v>Shell 100mm silver crackling coco w/red strobe up silver crackling tiger tail</v>
          </cell>
          <cell r="C1030"/>
          <cell r="D1030" t="str">
            <v>24</v>
          </cell>
        </row>
        <row r="1031">
          <cell r="A1031" t="str">
            <v>S4Z2/P</v>
          </cell>
          <cell r="B1031" t="str">
            <v>Shell 100mm red peony to brocade</v>
          </cell>
          <cell r="C1031"/>
          <cell r="D1031" t="str">
            <v>24</v>
          </cell>
        </row>
        <row r="1032">
          <cell r="A1032" t="str">
            <v>S4Z3/P</v>
          </cell>
          <cell r="B1032" t="str">
            <v>Shell 100mm palm pistil with water peony</v>
          </cell>
          <cell r="C1032"/>
          <cell r="D1032" t="str">
            <v>24</v>
          </cell>
        </row>
        <row r="1033">
          <cell r="A1033" t="str">
            <v>S4Z4/P</v>
          </cell>
          <cell r="B1033" t="str">
            <v>Shell 100mm blue ring with chrysanthemum pistil</v>
          </cell>
          <cell r="C1033"/>
          <cell r="D1033" t="str">
            <v>24</v>
          </cell>
        </row>
        <row r="1034">
          <cell r="A1034" t="str">
            <v>S4Z5/P</v>
          </cell>
          <cell r="B1034" t="str">
            <v>Shell 100mm red strobe willow</v>
          </cell>
          <cell r="C1034" t="str">
            <v>9/4</v>
          </cell>
          <cell r="D1034" t="str">
            <v>24</v>
          </cell>
        </row>
        <row r="1035">
          <cell r="A1035" t="str">
            <v>S4Z6/P</v>
          </cell>
          <cell r="B1035" t="str">
            <v>Shell 100mm red three swords man</v>
          </cell>
          <cell r="C1035" t="str">
            <v>9/4</v>
          </cell>
          <cell r="D1035" t="str">
            <v>24</v>
          </cell>
        </row>
        <row r="1036">
          <cell r="A1036" t="str">
            <v>S4Z7/P</v>
          </cell>
          <cell r="B1036" t="str">
            <v>Shell 100mm orange wave to green</v>
          </cell>
          <cell r="C1036"/>
          <cell r="D1036" t="str">
            <v>24</v>
          </cell>
        </row>
        <row r="1037">
          <cell r="A1037" t="str">
            <v>S4Z8/P</v>
          </cell>
          <cell r="B1037" t="str">
            <v>Shell 100mm brocade crown to color</v>
          </cell>
          <cell r="C1037" t="str">
            <v>9/4</v>
          </cell>
          <cell r="D1037" t="str">
            <v>24</v>
          </cell>
        </row>
        <row r="1038">
          <cell r="A1038" t="str">
            <v>S4Z9/P</v>
          </cell>
          <cell r="B1038" t="str">
            <v>Shell 100mm crackling wave to red</v>
          </cell>
          <cell r="C1038"/>
          <cell r="D1038" t="str">
            <v>24</v>
          </cell>
        </row>
        <row r="1039">
          <cell r="A1039" t="str">
            <v>S5C/P</v>
          </cell>
          <cell r="B1039" t="str">
            <v xml:space="preserve">Shell 125mm silver spider w.strobe pistil </v>
          </cell>
          <cell r="C1039"/>
          <cell r="D1039">
            <v>24</v>
          </cell>
        </row>
        <row r="1040">
          <cell r="A1040" t="str">
            <v>S5E/P</v>
          </cell>
          <cell r="B1040" t="str">
            <v xml:space="preserve">Shell 125mm silver glittering red coco crossette </v>
          </cell>
          <cell r="C1040" t="str">
            <v>16/1</v>
          </cell>
          <cell r="D1040">
            <v>24</v>
          </cell>
        </row>
        <row r="1041">
          <cell r="A1041" t="str">
            <v>S5F/P</v>
          </cell>
          <cell r="B1041" t="str">
            <v xml:space="preserve">Shell 125mm golden ti wilow </v>
          </cell>
          <cell r="C1041" t="str">
            <v>16/1</v>
          </cell>
          <cell r="D1041">
            <v>24</v>
          </cell>
        </row>
        <row r="1042">
          <cell r="A1042" t="str">
            <v>S5G/P</v>
          </cell>
          <cell r="B1042" t="str">
            <v>Shell 125mm silver tail to silver palm tree</v>
          </cell>
          <cell r="C1042"/>
          <cell r="D1042">
            <v>24</v>
          </cell>
        </row>
        <row r="1043">
          <cell r="A1043" t="str">
            <v>S5I/P</v>
          </cell>
          <cell r="B1043" t="str">
            <v>Shell 125mm crackling nishiki kamuro</v>
          </cell>
          <cell r="C1043"/>
          <cell r="D1043">
            <v>24</v>
          </cell>
        </row>
        <row r="1044">
          <cell r="A1044" t="str">
            <v>S5K/P</v>
          </cell>
          <cell r="B1044" t="str">
            <v>Shell 125mm brocade crown</v>
          </cell>
          <cell r="C1044" t="str">
            <v>16/1</v>
          </cell>
          <cell r="D1044">
            <v>24</v>
          </cell>
        </row>
        <row r="1045">
          <cell r="A1045" t="str">
            <v>S5M/P</v>
          </cell>
          <cell r="B1045" t="str">
            <v>Shell 125mm mix carton-premium quality</v>
          </cell>
          <cell r="C1045" t="str">
            <v>16/1</v>
          </cell>
          <cell r="D1045">
            <v>24</v>
          </cell>
        </row>
        <row r="1046">
          <cell r="A1046" t="str">
            <v>S5N/P</v>
          </cell>
          <cell r="B1046" t="str">
            <v>Shell 125mm blue pistil silver ring to brocade crown with ring chrysanthemum pistil</v>
          </cell>
          <cell r="C1046"/>
          <cell r="D1046">
            <v>16</v>
          </cell>
        </row>
        <row r="1047">
          <cell r="A1047" t="str">
            <v>S5O/P</v>
          </cell>
          <cell r="B1047" t="str">
            <v>Shell 125mm brocade delay cracker to blue with green glitter pistil</v>
          </cell>
          <cell r="C1047"/>
          <cell r="D1047">
            <v>24</v>
          </cell>
        </row>
        <row r="1048">
          <cell r="A1048" t="str">
            <v>S5R/P</v>
          </cell>
          <cell r="B1048" t="str">
            <v>Shell 125mm crackling coco w/color strobe pistil</v>
          </cell>
          <cell r="C1048"/>
          <cell r="D1048">
            <v>24</v>
          </cell>
        </row>
        <row r="1049">
          <cell r="A1049" t="str">
            <v>S60S</v>
          </cell>
          <cell r="B1049" t="str">
            <v>Stroboskop bílý 60sec</v>
          </cell>
          <cell r="C1049" t="str">
            <v>30/6</v>
          </cell>
          <cell r="D1049" t="str">
            <v>95</v>
          </cell>
        </row>
        <row r="1050">
          <cell r="A1050" t="str">
            <v>S6A/P(9)</v>
          </cell>
          <cell r="B1050" t="str">
            <v>Shell 150mm green ring w.chry crackling crossette</v>
          </cell>
          <cell r="C1050"/>
          <cell r="D1050" t="str">
            <v>24</v>
          </cell>
        </row>
        <row r="1051">
          <cell r="A1051" t="str">
            <v>S6B/P(9)</v>
          </cell>
          <cell r="B1051" t="str">
            <v>Shell 150mm red green yelow falling leaves</v>
          </cell>
          <cell r="C1051"/>
          <cell r="D1051" t="str">
            <v>24</v>
          </cell>
        </row>
        <row r="1052">
          <cell r="A1052" t="str">
            <v>S6C/P</v>
          </cell>
          <cell r="B1052" t="str">
            <v>Shell 150mm chrysantenum to red wandering star</v>
          </cell>
          <cell r="C1052"/>
          <cell r="D1052" t="str">
            <v>24</v>
          </cell>
        </row>
        <row r="1053">
          <cell r="A1053" t="str">
            <v>S6D/P(9)</v>
          </cell>
          <cell r="B1053" t="str">
            <v>Shell 150mm super horse tail</v>
          </cell>
          <cell r="C1053"/>
          <cell r="D1053" t="str">
            <v>24</v>
          </cell>
        </row>
        <row r="1054">
          <cell r="A1054" t="str">
            <v>S6E/P</v>
          </cell>
          <cell r="B1054" t="str">
            <v>Shell 150mm time rain wilow fountain</v>
          </cell>
          <cell r="C1054"/>
          <cell r="D1054" t="str">
            <v>24</v>
          </cell>
        </row>
        <row r="1055">
          <cell r="A1055" t="str">
            <v>S6F/P(9)</v>
          </cell>
          <cell r="B1055" t="str">
            <v>Shell 150mm ghost silver to red</v>
          </cell>
          <cell r="C1055" t="str">
            <v>9/1</v>
          </cell>
          <cell r="D1055" t="str">
            <v>24</v>
          </cell>
        </row>
        <row r="1056">
          <cell r="A1056" t="str">
            <v>S6G/P(9)</v>
          </cell>
          <cell r="B1056" t="str">
            <v>Shell 150mm gold titanium willow with crackling pistil</v>
          </cell>
          <cell r="C1056"/>
          <cell r="D1056" t="str">
            <v>24</v>
          </cell>
        </row>
        <row r="1057">
          <cell r="A1057" t="str">
            <v>S6H/P</v>
          </cell>
          <cell r="B1057" t="str">
            <v>Shell 150mm color chrysantenum</v>
          </cell>
          <cell r="C1057"/>
          <cell r="D1057" t="str">
            <v>24</v>
          </cell>
        </row>
        <row r="1058">
          <cell r="A1058" t="str">
            <v>S6CH/P(9)</v>
          </cell>
          <cell r="B1058" t="str">
            <v xml:space="preserve">Shell 150mm gold wave w.purple peony double rings to special orange strobing pistil </v>
          </cell>
          <cell r="C1058"/>
          <cell r="D1058" t="str">
            <v>24</v>
          </cell>
        </row>
        <row r="1059">
          <cell r="A1059" t="str">
            <v>S6I/P(9)</v>
          </cell>
          <cell r="B1059" t="str">
            <v>Shell 150mm golden ti wilow</v>
          </cell>
          <cell r="C1059" t="str">
            <v>9/1</v>
          </cell>
          <cell r="D1059" t="str">
            <v>24</v>
          </cell>
        </row>
        <row r="1060">
          <cell r="A1060" t="str">
            <v>S6K/P</v>
          </cell>
          <cell r="B1060" t="str">
            <v>Shell 150mm red glitter w.brocade crown</v>
          </cell>
          <cell r="C1060"/>
          <cell r="D1060" t="str">
            <v>24</v>
          </cell>
        </row>
        <row r="1061">
          <cell r="A1061" t="str">
            <v>S6M</v>
          </cell>
          <cell r="B1061" t="str">
            <v>Shell 150mm mix carton</v>
          </cell>
          <cell r="C1061" t="str">
            <v>9/1</v>
          </cell>
          <cell r="D1061" t="str">
            <v>24</v>
          </cell>
        </row>
        <row r="1062">
          <cell r="A1062" t="str">
            <v>S6N/P(9)</v>
          </cell>
          <cell r="B1062" t="str">
            <v>Shell 150mm silver tail to thousanf red wave</v>
          </cell>
          <cell r="C1062"/>
          <cell r="D1062" t="str">
            <v>24</v>
          </cell>
        </row>
        <row r="1063">
          <cell r="A1063" t="str">
            <v>S6R/P(9)</v>
          </cell>
          <cell r="B1063" t="str">
            <v>Shell 150mm silver glittering red coco crossettte</v>
          </cell>
          <cell r="C1063" t="str">
            <v>9/1</v>
          </cell>
          <cell r="D1063" t="str">
            <v>24</v>
          </cell>
        </row>
        <row r="1064">
          <cell r="A1064" t="str">
            <v>S6S/P(9)</v>
          </cell>
          <cell r="B1064" t="str">
            <v xml:space="preserve">Shell 150mm silver tail to silver palm </v>
          </cell>
          <cell r="C1064"/>
          <cell r="D1064" t="str">
            <v>24</v>
          </cell>
        </row>
        <row r="1065">
          <cell r="A1065" t="str">
            <v>S6T/P</v>
          </cell>
          <cell r="B1065" t="str">
            <v>Shell 150mm nishiki kamuro flash pistil</v>
          </cell>
          <cell r="C1065"/>
          <cell r="D1065" t="str">
            <v>24</v>
          </cell>
        </row>
        <row r="1066">
          <cell r="A1066" t="str">
            <v>S6X/P</v>
          </cell>
          <cell r="B1066" t="str">
            <v>Shell 150mm silver glittering</v>
          </cell>
          <cell r="C1066"/>
          <cell r="D1066" t="str">
            <v>24</v>
          </cell>
        </row>
        <row r="1067">
          <cell r="A1067" t="str">
            <v>S6Z1/P(9)</v>
          </cell>
          <cell r="B1067" t="str">
            <v>Shell 150mm color dahlia w/strobe pistil</v>
          </cell>
          <cell r="C1067"/>
          <cell r="D1067" t="str">
            <v>24</v>
          </cell>
        </row>
        <row r="1068">
          <cell r="A1068" t="str">
            <v>S6Z2/P(9)</v>
          </cell>
          <cell r="B1068" t="str">
            <v>Shell 150mm brocade coco w/strobe pistil</v>
          </cell>
          <cell r="C1068"/>
          <cell r="D1068" t="str">
            <v>24</v>
          </cell>
        </row>
        <row r="1069">
          <cell r="A1069" t="str">
            <v>S6Z3/P(9)</v>
          </cell>
          <cell r="B1069" t="str">
            <v>Shell 150mm brocade crown to blue to red strobe w/red strobe pistil</v>
          </cell>
          <cell r="C1069" t="str">
            <v>9/1</v>
          </cell>
          <cell r="D1069" t="str">
            <v>24</v>
          </cell>
        </row>
        <row r="1070">
          <cell r="A1070" t="str">
            <v>S90S</v>
          </cell>
          <cell r="B1070" t="str">
            <v>Stroboskop bílý 90sec</v>
          </cell>
          <cell r="C1070" t="str">
            <v>36/5</v>
          </cell>
          <cell r="D1070" t="str">
            <v>87</v>
          </cell>
        </row>
        <row r="1071">
          <cell r="A1071" t="str">
            <v>SP3C</v>
          </cell>
          <cell r="B1071" t="str">
            <v>Mach one</v>
          </cell>
          <cell r="C1071" t="str">
            <v>12/12</v>
          </cell>
          <cell r="D1071">
            <v>10</v>
          </cell>
        </row>
        <row r="1072">
          <cell r="A1072" t="str">
            <v>SPRS1E</v>
          </cell>
          <cell r="B1072" t="str">
            <v>Stojan na prskavky-prázdný</v>
          </cell>
          <cell r="C1072" t="str">
            <v>1/1</v>
          </cell>
          <cell r="D1072"/>
        </row>
        <row r="1073">
          <cell r="A1073" t="str">
            <v>SR1930D</v>
          </cell>
          <cell r="B1073" t="str">
            <v>19sh one line mortar</v>
          </cell>
          <cell r="C1073" t="str">
            <v>6/1</v>
          </cell>
          <cell r="D1073">
            <v>21</v>
          </cell>
        </row>
        <row r="1074">
          <cell r="A1074" t="str">
            <v>SR1930E</v>
          </cell>
          <cell r="B1074" t="str">
            <v>19sh one line mortar</v>
          </cell>
          <cell r="C1074" t="str">
            <v>6/1</v>
          </cell>
          <cell r="D1074">
            <v>21</v>
          </cell>
        </row>
        <row r="1075">
          <cell r="A1075" t="str">
            <v>SR1930G</v>
          </cell>
          <cell r="B1075" t="str">
            <v>19sh one line mortar</v>
          </cell>
          <cell r="C1075" t="str">
            <v>6/1</v>
          </cell>
          <cell r="D1075">
            <v>21</v>
          </cell>
        </row>
        <row r="1076">
          <cell r="A1076" t="str">
            <v>SR1930CH</v>
          </cell>
          <cell r="B1076" t="str">
            <v>19sh one line mortar</v>
          </cell>
          <cell r="C1076"/>
          <cell r="D1076">
            <v>21</v>
          </cell>
        </row>
        <row r="1077">
          <cell r="A1077" t="str">
            <v>SR1930I</v>
          </cell>
          <cell r="B1077" t="str">
            <v>19sh one line mortar</v>
          </cell>
          <cell r="C1077" t="str">
            <v>6/1</v>
          </cell>
          <cell r="D1077">
            <v>21</v>
          </cell>
        </row>
        <row r="1078">
          <cell r="A1078" t="str">
            <v>SR1930J</v>
          </cell>
          <cell r="B1078" t="str">
            <v>19sh one line mortar</v>
          </cell>
          <cell r="C1078" t="str">
            <v>6/1</v>
          </cell>
          <cell r="D1078">
            <v>21</v>
          </cell>
        </row>
        <row r="1079">
          <cell r="A1079" t="str">
            <v>SR1930K</v>
          </cell>
          <cell r="B1079" t="str">
            <v>19sh one line mortar</v>
          </cell>
          <cell r="C1079"/>
          <cell r="D1079">
            <v>21</v>
          </cell>
        </row>
        <row r="1080">
          <cell r="A1080" t="str">
            <v>SR1930L</v>
          </cell>
          <cell r="B1080" t="str">
            <v>19sh one line mortar</v>
          </cell>
          <cell r="C1080"/>
          <cell r="D1080">
            <v>21</v>
          </cell>
        </row>
        <row r="1081">
          <cell r="A1081" t="str">
            <v>SR1930M</v>
          </cell>
          <cell r="B1081" t="str">
            <v>19sh one line mortar</v>
          </cell>
          <cell r="C1081"/>
          <cell r="D1081">
            <v>21</v>
          </cell>
        </row>
        <row r="1082">
          <cell r="A1082" t="str">
            <v>SR1930O</v>
          </cell>
          <cell r="B1082" t="str">
            <v>19sh one line mortar</v>
          </cell>
          <cell r="C1082"/>
          <cell r="D1082">
            <v>21</v>
          </cell>
        </row>
        <row r="1083">
          <cell r="A1083" t="str">
            <v>SR1930R</v>
          </cell>
          <cell r="B1083" t="str">
            <v>19sh one line mortar</v>
          </cell>
          <cell r="C1083"/>
          <cell r="D1083">
            <v>21</v>
          </cell>
        </row>
        <row r="1084">
          <cell r="A1084" t="str">
            <v>SR1930S</v>
          </cell>
          <cell r="B1084" t="str">
            <v>19sh one line mortar</v>
          </cell>
          <cell r="C1084"/>
          <cell r="D1084">
            <v>21</v>
          </cell>
        </row>
        <row r="1085">
          <cell r="A1085" t="str">
            <v>SR550C</v>
          </cell>
          <cell r="B1085" t="str">
            <v>5sh one line mortar</v>
          </cell>
          <cell r="C1085"/>
          <cell r="D1085">
            <v>20</v>
          </cell>
        </row>
        <row r="1086">
          <cell r="A1086" t="str">
            <v>SR550F</v>
          </cell>
          <cell r="B1086" t="str">
            <v>5sh one line mortar</v>
          </cell>
          <cell r="C1086"/>
          <cell r="D1086">
            <v>20</v>
          </cell>
        </row>
        <row r="1087">
          <cell r="A1087" t="str">
            <v>SR550G</v>
          </cell>
          <cell r="B1087" t="str">
            <v>5sh one line mortar</v>
          </cell>
          <cell r="C1087"/>
          <cell r="D1087">
            <v>20</v>
          </cell>
        </row>
        <row r="1088">
          <cell r="A1088" t="str">
            <v>SR550H</v>
          </cell>
          <cell r="B1088" t="str">
            <v>5sh one line mortar</v>
          </cell>
          <cell r="C1088"/>
          <cell r="D1088">
            <v>20</v>
          </cell>
        </row>
        <row r="1089">
          <cell r="A1089" t="str">
            <v>SR550CH</v>
          </cell>
          <cell r="B1089" t="str">
            <v>5sh one line mortar</v>
          </cell>
          <cell r="C1089"/>
          <cell r="D1089">
            <v>20</v>
          </cell>
        </row>
        <row r="1090">
          <cell r="A1090" t="str">
            <v>SS20D</v>
          </cell>
          <cell r="B1090" t="str">
            <v>Dumbum single shot 20mm</v>
          </cell>
          <cell r="C1090" t="str">
            <v>30/10</v>
          </cell>
          <cell r="D1090">
            <v>28</v>
          </cell>
        </row>
        <row r="1091">
          <cell r="A1091" t="str">
            <v>SS25SC</v>
          </cell>
          <cell r="B1091" t="str">
            <v>Scream single shot</v>
          </cell>
          <cell r="C1091" t="str">
            <v>24/6</v>
          </cell>
          <cell r="D1091">
            <v>36</v>
          </cell>
        </row>
        <row r="1092">
          <cell r="A1092" t="str">
            <v>SS30A</v>
          </cell>
          <cell r="B1092" t="str">
            <v>XXL Thunder 30mm</v>
          </cell>
          <cell r="C1092" t="str">
            <v>30/4</v>
          </cell>
          <cell r="D1092" t="str">
            <v>22</v>
          </cell>
        </row>
        <row r="1093">
          <cell r="A1093" t="str">
            <v>SS30D</v>
          </cell>
          <cell r="B1093" t="str">
            <v>Dumbum shot tube 30mm</v>
          </cell>
          <cell r="C1093" t="str">
            <v>30/4</v>
          </cell>
          <cell r="D1093">
            <v>24</v>
          </cell>
        </row>
        <row r="1094">
          <cell r="A1094" t="str">
            <v>SS30G</v>
          </cell>
          <cell r="B1094" t="str">
            <v>Green glitter willow tail</v>
          </cell>
          <cell r="C1094" t="str">
            <v>5/20</v>
          </cell>
          <cell r="D1094">
            <v>20</v>
          </cell>
        </row>
        <row r="1095">
          <cell r="A1095" t="str">
            <v>SS30H</v>
          </cell>
          <cell r="B1095" t="str">
            <v>Silver glitter willow tail</v>
          </cell>
          <cell r="C1095" t="str">
            <v>5/20</v>
          </cell>
          <cell r="D1095">
            <v>20</v>
          </cell>
        </row>
        <row r="1096">
          <cell r="A1096" t="str">
            <v>SS30CH</v>
          </cell>
          <cell r="B1096" t="str">
            <v>Crackling tail</v>
          </cell>
          <cell r="C1096" t="str">
            <v>5/20</v>
          </cell>
          <cell r="D1096">
            <v>20</v>
          </cell>
        </row>
        <row r="1097">
          <cell r="A1097" t="str">
            <v>SS30SIGF2</v>
          </cell>
          <cell r="B1097" t="str">
            <v>Signature range single shot F2</v>
          </cell>
          <cell r="C1097" t="str">
            <v>30/4</v>
          </cell>
          <cell r="D1097">
            <v>18</v>
          </cell>
        </row>
        <row r="1098">
          <cell r="A1098" t="str">
            <v>SS37K</v>
          </cell>
          <cell r="B1098" t="str">
            <v>Kulovky v moždíři 37mm</v>
          </cell>
          <cell r="C1098" t="str">
            <v>18/4</v>
          </cell>
          <cell r="D1098">
            <v>14</v>
          </cell>
        </row>
        <row r="1099">
          <cell r="A1099" t="str">
            <v>SS50F</v>
          </cell>
          <cell r="B1099" t="str">
            <v>Sea blue+red glitter mine</v>
          </cell>
          <cell r="C1099" t="str">
            <v>10/4</v>
          </cell>
          <cell r="D1099">
            <v>20</v>
          </cell>
        </row>
        <row r="1100">
          <cell r="A1100" t="str">
            <v>SS50K</v>
          </cell>
          <cell r="B1100" t="str">
            <v>No limit! Kulovky v moždíři 50mm</v>
          </cell>
          <cell r="C1100" t="str">
            <v>9/4</v>
          </cell>
          <cell r="D1100">
            <v>15</v>
          </cell>
        </row>
        <row r="1101">
          <cell r="A1101" t="str">
            <v>SS50M</v>
          </cell>
          <cell r="B1101" t="str">
            <v>Special colour strobing mine</v>
          </cell>
          <cell r="C1101" t="str">
            <v>10/4</v>
          </cell>
          <cell r="D1101">
            <v>20</v>
          </cell>
        </row>
        <row r="1102">
          <cell r="A1102" t="str">
            <v>SU45B</v>
          </cell>
          <cell r="B1102" t="str">
            <v>Scream UFO 45 with brocade shell</v>
          </cell>
          <cell r="C1102" t="str">
            <v>4/1</v>
          </cell>
          <cell r="D1102">
            <v>14</v>
          </cell>
        </row>
        <row r="1103">
          <cell r="A1103" t="str">
            <v>T1</v>
          </cell>
          <cell r="B1103" t="str">
            <v>Taška Klásek</v>
          </cell>
          <cell r="C1103" t="str">
            <v>1/1</v>
          </cell>
          <cell r="D1103" t="str">
            <v/>
          </cell>
        </row>
        <row r="1104">
          <cell r="A1104" t="str">
            <v>T2</v>
          </cell>
          <cell r="B1104" t="str">
            <v>Taška Dumbum</v>
          </cell>
          <cell r="C1104" t="str">
            <v>1/1</v>
          </cell>
          <cell r="D1104" t="str">
            <v/>
          </cell>
        </row>
        <row r="1105">
          <cell r="A1105" t="str">
            <v>TDLE1L</v>
          </cell>
          <cell r="B1105" t="str">
            <v>Dumbum tričko L - limited edition</v>
          </cell>
          <cell r="C1105" t="str">
            <v>1/1</v>
          </cell>
          <cell r="D1105"/>
        </row>
        <row r="1106">
          <cell r="A1106" t="str">
            <v>TDLE1M</v>
          </cell>
          <cell r="B1106" t="str">
            <v>Dumbum tričko M - limited edition</v>
          </cell>
          <cell r="C1106" t="str">
            <v>1/1</v>
          </cell>
          <cell r="D1106"/>
        </row>
        <row r="1107">
          <cell r="A1107" t="str">
            <v>TDLE1XL</v>
          </cell>
          <cell r="B1107" t="str">
            <v>Dumbum tričko XL - limited edition</v>
          </cell>
          <cell r="C1107" t="str">
            <v>1/1</v>
          </cell>
          <cell r="D1107"/>
        </row>
        <row r="1108">
          <cell r="A1108" t="str">
            <v>TDLE1XXL</v>
          </cell>
          <cell r="B1108" t="str">
            <v>Dumbum tričko XXL - limited edition</v>
          </cell>
          <cell r="C1108" t="str">
            <v>1/1</v>
          </cell>
          <cell r="D1108"/>
        </row>
        <row r="1109">
          <cell r="A1109" t="str">
            <v>TIDB1L</v>
          </cell>
          <cell r="B1109" t="str">
            <v>Tričko I love Dumbum(bílé)-L</v>
          </cell>
          <cell r="C1109" t="str">
            <v>1/1</v>
          </cell>
          <cell r="D1109" t="str">
            <v/>
          </cell>
        </row>
        <row r="1110">
          <cell r="A1110" t="str">
            <v>TPD1L</v>
          </cell>
          <cell r="B1110" t="str">
            <v>Dumbum polo tričko L</v>
          </cell>
          <cell r="C1110" t="str">
            <v>1/1</v>
          </cell>
          <cell r="D1110" t="str">
            <v/>
          </cell>
        </row>
        <row r="1111">
          <cell r="A1111" t="str">
            <v>TPD1XL</v>
          </cell>
          <cell r="B1111" t="str">
            <v>Dumbum polo tričko XL</v>
          </cell>
          <cell r="C1111" t="str">
            <v>1/1</v>
          </cell>
          <cell r="D1111" t="str">
            <v/>
          </cell>
        </row>
        <row r="1112">
          <cell r="A1112" t="str">
            <v>TPDLE1L</v>
          </cell>
          <cell r="B1112" t="str">
            <v>Dumbum tričko polo  L- limited edition</v>
          </cell>
          <cell r="C1112" t="str">
            <v>1/1</v>
          </cell>
          <cell r="D1112"/>
        </row>
        <row r="1113">
          <cell r="A1113" t="str">
            <v>TPDLE1M</v>
          </cell>
          <cell r="B1113" t="str">
            <v>Dumbum tričko polo  M - limited edition</v>
          </cell>
          <cell r="C1113" t="str">
            <v>1/1</v>
          </cell>
          <cell r="D1113"/>
        </row>
        <row r="1114">
          <cell r="A1114" t="str">
            <v>TPDLE1XL</v>
          </cell>
          <cell r="B1114" t="str">
            <v>Dumbum tričko polo  XL - limited edition</v>
          </cell>
          <cell r="C1114" t="str">
            <v>1/1</v>
          </cell>
          <cell r="D1114"/>
        </row>
        <row r="1115">
          <cell r="A1115" t="str">
            <v>TPDLE1XXL</v>
          </cell>
          <cell r="B1115" t="str">
            <v>Dumbum tričko polo  XXL - limited edition</v>
          </cell>
          <cell r="C1115" t="str">
            <v>1/1</v>
          </cell>
          <cell r="D1115"/>
        </row>
        <row r="1116">
          <cell r="A1116" t="str">
            <v>UZD2</v>
          </cell>
          <cell r="B1116" t="str">
            <v>USB Zapalovač Dumbum</v>
          </cell>
          <cell r="C1116" t="str">
            <v>1/1</v>
          </cell>
          <cell r="D1116" t="str">
            <v/>
          </cell>
        </row>
        <row r="1117">
          <cell r="A1117" t="str">
            <v>VDLE1L</v>
          </cell>
          <cell r="B1117" t="str">
            <v>Dumbum vesta softshell L-limited edition</v>
          </cell>
          <cell r="C1117" t="str">
            <v>1/1</v>
          </cell>
          <cell r="D1117"/>
        </row>
        <row r="1118">
          <cell r="A1118" t="str">
            <v>VDLE1M</v>
          </cell>
          <cell r="B1118" t="str">
            <v>Dumbum vesta softshell M-limited edition</v>
          </cell>
          <cell r="C1118" t="str">
            <v>1/1</v>
          </cell>
          <cell r="D1118"/>
        </row>
        <row r="1119">
          <cell r="A1119" t="str">
            <v>VDLE1XL</v>
          </cell>
          <cell r="B1119" t="str">
            <v>Dumbum vesta softshell XL -limited edition</v>
          </cell>
          <cell r="C1119" t="str">
            <v>1/1</v>
          </cell>
          <cell r="D1119"/>
        </row>
        <row r="1120">
          <cell r="A1120" t="str">
            <v>VDLE1XXL</v>
          </cell>
          <cell r="B1120" t="str">
            <v>Dumbum vesta softshell XXL -limited edition</v>
          </cell>
          <cell r="C1120" t="str">
            <v>1/1</v>
          </cell>
          <cell r="D1120"/>
        </row>
        <row r="1121">
          <cell r="A1121" t="str">
            <v>VP12MIX</v>
          </cell>
          <cell r="B1121" t="str">
            <v>Prskavky(mix tvarů)</v>
          </cell>
          <cell r="C1121" t="str">
            <v>12/10</v>
          </cell>
          <cell r="D1121" t="str">
            <v>54</v>
          </cell>
        </row>
        <row r="1122">
          <cell r="A1122" t="str">
            <v>VP12T1</v>
          </cell>
          <cell r="B1122" t="str">
            <v>Prskavka ve tvaru čísla 1</v>
          </cell>
          <cell r="C1122" t="str">
            <v>6/25</v>
          </cell>
          <cell r="D1122">
            <v>42</v>
          </cell>
        </row>
        <row r="1123">
          <cell r="A1123" t="str">
            <v>VP12TH</v>
          </cell>
          <cell r="B1123" t="str">
            <v>Prskavka ve tvaru hvězdy</v>
          </cell>
          <cell r="C1123" t="str">
            <v>6/25</v>
          </cell>
          <cell r="D1123">
            <v>72</v>
          </cell>
        </row>
        <row r="1124">
          <cell r="A1124" t="str">
            <v>VP12TS</v>
          </cell>
          <cell r="B1124" t="str">
            <v>Prskavka ve tvaru srdce</v>
          </cell>
          <cell r="C1124" t="str">
            <v>6/25</v>
          </cell>
          <cell r="D1124">
            <v>72</v>
          </cell>
        </row>
        <row r="1125">
          <cell r="A1125" t="str">
            <v>VP16A</v>
          </cell>
          <cell r="B1125" t="str">
            <v>Prskavky 16cm</v>
          </cell>
          <cell r="C1125" t="str">
            <v>40/15/10</v>
          </cell>
          <cell r="D1125" t="str">
            <v>25</v>
          </cell>
        </row>
        <row r="1126">
          <cell r="A1126" t="str">
            <v>VP16A(1)</v>
          </cell>
          <cell r="B1126" t="str">
            <v>Prskavky 16cm</v>
          </cell>
          <cell r="C1126" t="str">
            <v>40/15/10</v>
          </cell>
          <cell r="D1126" t="str">
            <v>25</v>
          </cell>
        </row>
        <row r="1127">
          <cell r="A1127" t="str">
            <v>VP28</v>
          </cell>
          <cell r="B1127" t="str">
            <v>Prskavky 28cm</v>
          </cell>
          <cell r="C1127" t="str">
            <v>10/20/10</v>
          </cell>
          <cell r="D1127">
            <v>48</v>
          </cell>
        </row>
        <row r="1128">
          <cell r="A1128" t="str">
            <v>VP28E</v>
          </cell>
          <cell r="B1128" t="str">
            <v xml:space="preserve">Zlaté vánoční prskavky 28cm(exclusive) </v>
          </cell>
          <cell r="C1128" t="str">
            <v>10/20/10</v>
          </cell>
          <cell r="D1128" t="str">
            <v>42</v>
          </cell>
        </row>
        <row r="1129">
          <cell r="A1129" t="str">
            <v>VP28N</v>
          </cell>
          <cell r="B1129" t="str">
            <v>Neon sparklers 28cm</v>
          </cell>
          <cell r="C1129" t="str">
            <v>100/20</v>
          </cell>
          <cell r="D1129" t="str">
            <v>24</v>
          </cell>
        </row>
        <row r="1130">
          <cell r="A1130" t="str">
            <v>VP40</v>
          </cell>
          <cell r="B1130" t="str">
            <v>Prskavky 40cm</v>
          </cell>
          <cell r="C1130" t="str">
            <v>100/10</v>
          </cell>
          <cell r="D1130">
            <v>62</v>
          </cell>
        </row>
        <row r="1131">
          <cell r="A1131" t="str">
            <v>VP40/20</v>
          </cell>
          <cell r="B1131" t="str">
            <v>Prskavky 40cm</v>
          </cell>
          <cell r="C1131" t="str">
            <v>10/10/20</v>
          </cell>
          <cell r="D1131">
            <v>33</v>
          </cell>
        </row>
        <row r="1132">
          <cell r="A1132" t="str">
            <v>VP40E</v>
          </cell>
          <cell r="B1132" t="str">
            <v xml:space="preserve">Zlaté vánoční prskavky 40cm(exclusive) </v>
          </cell>
          <cell r="C1132" t="str">
            <v>10/10/10</v>
          </cell>
          <cell r="D1132">
            <v>60</v>
          </cell>
        </row>
        <row r="1133">
          <cell r="A1133" t="str">
            <v>VP40N</v>
          </cell>
          <cell r="B1133" t="str">
            <v>Neon sparklers 40cm</v>
          </cell>
          <cell r="C1133" t="str">
            <v>50/8</v>
          </cell>
          <cell r="D1133">
            <v>63</v>
          </cell>
        </row>
        <row r="1134">
          <cell r="A1134" t="str">
            <v>VP40W</v>
          </cell>
          <cell r="B1134" t="str">
            <v>Prskavky 40cm - Wedding serie</v>
          </cell>
          <cell r="C1134" t="str">
            <v>100/10</v>
          </cell>
          <cell r="D1134">
            <v>62</v>
          </cell>
        </row>
        <row r="1135">
          <cell r="A1135" t="str">
            <v>VP70</v>
          </cell>
          <cell r="B1135" t="str">
            <v>Prskavky 70cm</v>
          </cell>
          <cell r="C1135" t="str">
            <v>72/4</v>
          </cell>
          <cell r="D1135">
            <v>60</v>
          </cell>
        </row>
        <row r="1136">
          <cell r="A1136" t="str">
            <v>VP70E</v>
          </cell>
          <cell r="B1136" t="str">
            <v xml:space="preserve">Zlaté vánoční prskavky 70cm(exclusive) </v>
          </cell>
          <cell r="C1136" t="str">
            <v>72/8</v>
          </cell>
          <cell r="D1136" t="str">
            <v>38</v>
          </cell>
        </row>
        <row r="1137">
          <cell r="A1137" t="str">
            <v>VP70W</v>
          </cell>
          <cell r="B1137" t="str">
            <v>Prskavky 70cm - Wedding serie</v>
          </cell>
          <cell r="C1137" t="str">
            <v>72/4</v>
          </cell>
          <cell r="D1137">
            <v>60</v>
          </cell>
        </row>
        <row r="1138">
          <cell r="A1138" t="str">
            <v>VP90</v>
          </cell>
          <cell r="B1138" t="str">
            <v>Prskavky 90cm</v>
          </cell>
          <cell r="C1138" t="str">
            <v>80/3</v>
          </cell>
          <cell r="D1138">
            <v>36</v>
          </cell>
        </row>
        <row r="1139">
          <cell r="A1139" t="str">
            <v>ZD1</v>
          </cell>
          <cell r="B1139" t="str">
            <v>Zapalovač Dumbum s turboplamenem</v>
          </cell>
          <cell r="C1139" t="str">
            <v>1/20</v>
          </cell>
          <cell r="D1139" t="str">
            <v/>
          </cell>
        </row>
        <row r="1140">
          <cell r="A1140" t="str">
            <v>ZS5M</v>
          </cell>
          <cell r="B1140" t="str">
            <v>Zápalná šňůra 2mm</v>
          </cell>
          <cell r="C1140" t="str">
            <v>100/1/5m</v>
          </cell>
          <cell r="D1140">
            <v>36</v>
          </cell>
        </row>
      </sheetData>
    </sheetDataSet>
  </externalBook>
</externalLink>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detail-kurzu?curr=eur" backgroundRefresh="0" refreshOnLoad="1" connectionId="1" xr16:uid="{00000000-0016-0000-0600-000000000000}" autoFormatId="16" applyNumberFormats="0" applyBorderFormats="0" applyFontFormats="1" applyPatternFormats="1" applyAlignmentFormats="0" applyWidthHeightFormats="0"/>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7.vml"/></Relationships>
</file>

<file path=xl/worksheets/_rels/sheet12.xml.rels><?xml version="1.0" encoding="UTF-8" standalone="yes"?>
<Relationships xmlns="http://schemas.openxmlformats.org/package/2006/relationships"><Relationship Id="rId3" Type="http://schemas.openxmlformats.org/officeDocument/2006/relationships/queryTable" Target="../queryTables/queryTable1.xml"/><Relationship Id="rId2" Type="http://schemas.openxmlformats.org/officeDocument/2006/relationships/vmlDrawing" Target="../drawings/vmlDrawing8.vml"/><Relationship Id="rId1" Type="http://schemas.openxmlformats.org/officeDocument/2006/relationships/printerSettings" Target="../printerSettings/printerSettings7.bin"/><Relationship Id="rId4" Type="http://schemas.openxmlformats.org/officeDocument/2006/relationships/comments" Target="../comments8.xml"/></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4.xml"/><Relationship Id="rId13" Type="http://schemas.openxmlformats.org/officeDocument/2006/relationships/ctrlProp" Target="../ctrlProps/ctrlProp9.xml"/><Relationship Id="rId18" Type="http://schemas.openxmlformats.org/officeDocument/2006/relationships/ctrlProp" Target="../ctrlProps/ctrlProp14.xml"/><Relationship Id="rId3" Type="http://schemas.openxmlformats.org/officeDocument/2006/relationships/drawing" Target="../drawings/drawing2.xml"/><Relationship Id="rId7" Type="http://schemas.openxmlformats.org/officeDocument/2006/relationships/ctrlProp" Target="../ctrlProps/ctrlProp3.xml"/><Relationship Id="rId12" Type="http://schemas.openxmlformats.org/officeDocument/2006/relationships/ctrlProp" Target="../ctrlProps/ctrlProp8.xml"/><Relationship Id="rId17" Type="http://schemas.openxmlformats.org/officeDocument/2006/relationships/ctrlProp" Target="../ctrlProps/ctrlProp13.xml"/><Relationship Id="rId2" Type="http://schemas.openxmlformats.org/officeDocument/2006/relationships/printerSettings" Target="../printerSettings/printerSettings2.bin"/><Relationship Id="rId16" Type="http://schemas.openxmlformats.org/officeDocument/2006/relationships/ctrlProp" Target="../ctrlProps/ctrlProp12.xml"/><Relationship Id="rId20" Type="http://schemas.openxmlformats.org/officeDocument/2006/relationships/comments" Target="../comments1.xml"/><Relationship Id="rId1" Type="http://schemas.openxmlformats.org/officeDocument/2006/relationships/hyperlink" Target="mailto:info@klasekpyrotechnics.cz" TargetMode="External"/><Relationship Id="rId6" Type="http://schemas.openxmlformats.org/officeDocument/2006/relationships/ctrlProp" Target="../ctrlProps/ctrlProp2.xml"/><Relationship Id="rId11" Type="http://schemas.openxmlformats.org/officeDocument/2006/relationships/ctrlProp" Target="../ctrlProps/ctrlProp7.xml"/><Relationship Id="rId5" Type="http://schemas.openxmlformats.org/officeDocument/2006/relationships/ctrlProp" Target="../ctrlProps/ctrlProp1.xml"/><Relationship Id="rId15" Type="http://schemas.openxmlformats.org/officeDocument/2006/relationships/ctrlProp" Target="../ctrlProps/ctrlProp11.xml"/><Relationship Id="rId10" Type="http://schemas.openxmlformats.org/officeDocument/2006/relationships/ctrlProp" Target="../ctrlProps/ctrlProp6.xml"/><Relationship Id="rId19" Type="http://schemas.openxmlformats.org/officeDocument/2006/relationships/ctrlProp" Target="../ctrlProps/ctrlProp15.xml"/><Relationship Id="rId4" Type="http://schemas.openxmlformats.org/officeDocument/2006/relationships/vmlDrawing" Target="../drawings/vmlDrawing1.vml"/><Relationship Id="rId9" Type="http://schemas.openxmlformats.org/officeDocument/2006/relationships/ctrlProp" Target="../ctrlProps/ctrlProp5.xml"/><Relationship Id="rId14" Type="http://schemas.openxmlformats.org/officeDocument/2006/relationships/ctrlProp" Target="../ctrlProps/ctrlProp10.xml"/></Relationships>
</file>

<file path=xl/worksheets/_rels/sheet3.xml.rels><?xml version="1.0" encoding="UTF-8" standalone="yes"?>
<Relationships xmlns="http://schemas.openxmlformats.org/package/2006/relationships"><Relationship Id="rId3" Type="http://schemas.openxmlformats.org/officeDocument/2006/relationships/hyperlink" Target="https://youtu.be/7VjovCRBPv4" TargetMode="External"/><Relationship Id="rId2" Type="http://schemas.openxmlformats.org/officeDocument/2006/relationships/hyperlink" Target="http://www.kb.cz/kurzovni-listek/cs/rl/index.x" TargetMode="External"/><Relationship Id="rId1" Type="http://schemas.openxmlformats.org/officeDocument/2006/relationships/hyperlink" Target="https://youtu.be/7VjovCRBPv4" TargetMode="External"/><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5.bin"/><Relationship Id="rId1" Type="http://schemas.openxmlformats.org/officeDocument/2006/relationships/hyperlink" Target="mailto:info@klasekpyrotechnics.cz" TargetMode="External"/><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s://www.kb.cz/en/exchange-rates" TargetMode="External"/></Relationships>
</file>

<file path=xl/worksheets/_rels/sheet7.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8.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9.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6.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220234-8B84-49C2-8A34-E3774FFB5A9C}">
  <sheetPr codeName="List1"/>
  <dimension ref="C1:CK79"/>
  <sheetViews>
    <sheetView topLeftCell="AT1" zoomScale="85" zoomScaleNormal="85" workbookViewId="0">
      <selection activeCell="BP44" sqref="BP44:BS44"/>
    </sheetView>
  </sheetViews>
  <sheetFormatPr defaultRowHeight="15"/>
  <cols>
    <col min="2" max="2" width="10" customWidth="1"/>
    <col min="3" max="3" width="1.140625" customWidth="1"/>
    <col min="4" max="4" width="4.5703125" customWidth="1"/>
    <col min="5" max="5" width="4.140625" customWidth="1"/>
    <col min="6" max="6" width="5.85546875" customWidth="1"/>
    <col min="11" max="11" width="5.7109375" customWidth="1"/>
    <col min="12" max="12" width="6.28515625" customWidth="1"/>
    <col min="13" max="13" width="1.140625" customWidth="1"/>
    <col min="32" max="32" width="4.7109375" customWidth="1"/>
    <col min="33" max="33" width="12.28515625" customWidth="1"/>
    <col min="34" max="34" width="8.42578125" customWidth="1"/>
    <col min="35" max="35" width="2.5703125" customWidth="1"/>
    <col min="36" max="36" width="10" style="191" customWidth="1"/>
    <col min="37" max="37" width="5.42578125" style="18" customWidth="1"/>
    <col min="38" max="38" width="7.85546875" style="18" customWidth="1"/>
    <col min="39" max="39" width="4.28515625" style="18" customWidth="1"/>
    <col min="40" max="40" width="2.7109375" style="18" customWidth="1"/>
    <col min="41" max="41" width="9.140625" style="18" customWidth="1"/>
    <col min="42" max="42" width="12.42578125" style="18" customWidth="1"/>
    <col min="43" max="43" width="9.5703125" style="18" customWidth="1"/>
    <col min="44" max="44" width="3.5703125" style="18" customWidth="1"/>
    <col min="45" max="45" width="11.28515625" style="18" customWidth="1"/>
    <col min="46" max="46" width="3.140625" style="18" customWidth="1"/>
    <col min="47" max="47" width="17.5703125" style="18" customWidth="1"/>
    <col min="48" max="48" width="9.140625" style="18"/>
    <col min="49" max="49" width="6.85546875" style="18" customWidth="1"/>
    <col min="50" max="50" width="3.7109375" style="18" customWidth="1"/>
    <col min="51" max="51" width="9.140625" style="18"/>
    <col min="52" max="52" width="9.140625" style="189"/>
    <col min="54" max="54" width="2.28515625" customWidth="1"/>
    <col min="61" max="61" width="2.85546875" customWidth="1"/>
    <col min="62" max="62" width="11.85546875" bestFit="1" customWidth="1"/>
    <col min="73" max="73" width="12" customWidth="1"/>
    <col min="75" max="75" width="11.28515625" bestFit="1" customWidth="1"/>
    <col min="78" max="78" width="10.28515625" customWidth="1"/>
    <col min="80" max="80" width="10.28515625" customWidth="1"/>
    <col min="82" max="82" width="10.28515625" customWidth="1"/>
    <col min="84" max="84" width="10.28515625" customWidth="1"/>
  </cols>
  <sheetData>
    <row r="1" spans="32:85" ht="15" customHeight="1" thickTop="1" thickBot="1">
      <c r="AF1" s="18"/>
      <c r="AG1" s="172" t="str">
        <f>'General price list'!J1</f>
        <v>Wert oben</v>
      </c>
      <c r="AH1" s="173" t="str">
        <f>'General price list'!M1</f>
        <v>Rabatt</v>
      </c>
      <c r="AI1" s="18"/>
      <c r="BA1" s="18"/>
      <c r="BB1" s="18"/>
      <c r="BZ1" s="1095" t="s">
        <v>13527</v>
      </c>
      <c r="CA1" s="1095"/>
      <c r="CB1" s="1095"/>
      <c r="CC1" s="1095"/>
      <c r="CD1" s="1095" t="s">
        <v>13528</v>
      </c>
      <c r="CE1" s="1095"/>
      <c r="CF1" s="1095"/>
      <c r="CG1" s="1095"/>
    </row>
    <row r="2" spans="32:85" ht="15" customHeight="1" thickTop="1">
      <c r="AF2" s="18"/>
      <c r="AG2" s="174">
        <f>'General price list'!J2</f>
        <v>2000</v>
      </c>
      <c r="AH2" s="175">
        <f>'General price list'!M2</f>
        <v>-0.05</v>
      </c>
      <c r="AI2" s="143"/>
      <c r="AJ2" s="192"/>
      <c r="AK2" s="144"/>
      <c r="AL2" s="144"/>
      <c r="AM2" s="144"/>
      <c r="AN2" s="144"/>
      <c r="BA2" s="18"/>
      <c r="BB2" s="18"/>
      <c r="BD2" s="18"/>
      <c r="BE2" s="18"/>
      <c r="BU2" s="607"/>
      <c r="BV2" s="607"/>
      <c r="BW2" s="607"/>
      <c r="BX2" s="607"/>
      <c r="BZ2" s="993" t="str">
        <f>AG1</f>
        <v>Wert oben</v>
      </c>
      <c r="CA2" s="994" t="str">
        <f>AH1</f>
        <v>Rabatt</v>
      </c>
      <c r="CB2" s="995" t="str">
        <f>BZ2</f>
        <v>Wert oben</v>
      </c>
      <c r="CC2" s="996" t="str">
        <f t="shared" ref="CC2:CG2" si="0">CA2</f>
        <v>Rabatt</v>
      </c>
      <c r="CD2" s="997" t="str">
        <f t="shared" si="0"/>
        <v>Wert oben</v>
      </c>
      <c r="CE2" s="998" t="str">
        <f t="shared" si="0"/>
        <v>Rabatt</v>
      </c>
      <c r="CF2" s="997" t="str">
        <f t="shared" si="0"/>
        <v>Wert oben</v>
      </c>
      <c r="CG2" s="996" t="str">
        <f t="shared" si="0"/>
        <v>Rabatt</v>
      </c>
    </row>
    <row r="3" spans="32:85" ht="15" customHeight="1">
      <c r="AF3" s="18"/>
      <c r="AG3" s="174">
        <f>'General price list'!J3</f>
        <v>5000</v>
      </c>
      <c r="AH3" s="175">
        <f>'General price list'!M3</f>
        <v>-0.1</v>
      </c>
      <c r="AI3" s="143"/>
      <c r="AJ3" s="192"/>
      <c r="AK3" s="144"/>
      <c r="AL3" s="144"/>
      <c r="AM3" s="144"/>
      <c r="AN3" s="144"/>
      <c r="AP3" s="210" t="str">
        <f>'General price list'!W17</f>
        <v>deutsch</v>
      </c>
      <c r="AQ3" s="210" t="s">
        <v>2861</v>
      </c>
      <c r="BA3" s="18"/>
      <c r="BB3" s="18"/>
      <c r="BD3" s="18"/>
      <c r="BE3" s="140"/>
      <c r="BU3" s="950"/>
      <c r="BV3" s="951"/>
      <c r="BW3" s="950"/>
      <c r="BX3" s="951"/>
      <c r="BZ3" s="984">
        <v>4000</v>
      </c>
      <c r="CA3" s="944">
        <v>-0.3</v>
      </c>
      <c r="CB3" s="989">
        <v>30000</v>
      </c>
      <c r="CC3" s="945">
        <v>-0.5</v>
      </c>
      <c r="CD3" s="992">
        <v>10000</v>
      </c>
      <c r="CE3" s="944">
        <v>-0.36</v>
      </c>
      <c r="CF3" s="992">
        <v>40000</v>
      </c>
      <c r="CG3" s="945">
        <v>-0.46</v>
      </c>
    </row>
    <row r="4" spans="32:85" ht="15" customHeight="1">
      <c r="AF4" s="18"/>
      <c r="AG4" s="174">
        <f>'General price list'!J4</f>
        <v>20000</v>
      </c>
      <c r="AH4" s="175">
        <f>'General price list'!M4</f>
        <v>-0.2</v>
      </c>
      <c r="AI4" s="145"/>
      <c r="AJ4" s="193"/>
      <c r="AK4" s="145"/>
      <c r="AL4" s="145"/>
      <c r="AM4" s="145"/>
      <c r="AN4" s="145"/>
      <c r="BA4" s="18"/>
      <c r="BB4" s="18"/>
      <c r="BD4" s="18"/>
      <c r="BE4" s="140"/>
      <c r="BU4" s="950"/>
      <c r="BV4" s="951"/>
      <c r="BW4" s="950"/>
      <c r="BX4" s="951"/>
      <c r="BZ4" s="985">
        <v>10000</v>
      </c>
      <c r="CA4" s="946">
        <v>-0.45</v>
      </c>
      <c r="CB4" s="988">
        <v>40000</v>
      </c>
      <c r="CC4" s="947">
        <v>-0.52</v>
      </c>
      <c r="CD4" s="991">
        <v>15000</v>
      </c>
      <c r="CE4" s="946">
        <v>-0.4</v>
      </c>
      <c r="CF4" s="991">
        <v>60000</v>
      </c>
      <c r="CG4" s="947">
        <v>-0.48</v>
      </c>
    </row>
    <row r="5" spans="32:85" ht="15" customHeight="1" thickBot="1">
      <c r="AF5" s="18"/>
      <c r="AG5" s="174">
        <f>'General price list'!J5</f>
        <v>50000</v>
      </c>
      <c r="AH5" s="175">
        <f>'General price list'!M5</f>
        <v>-0.25</v>
      </c>
      <c r="AI5" s="18"/>
      <c r="AP5" s="18" t="str">
        <f>IF($AP$3=$AQ$3,Jazyky_ceník!A84,IFERROR(VLOOKUP(Jazyky_ceník!A84,Jazyky_ceník!A:Q,MATCH($AP$3,Jazyky_ceník!$A$1:$Q$1,0),FALSE),"---------------"))</f>
        <v>Geben Sie Ihren Rabatt in die Zelle D19 ein, die Preisliste wird automatisch neu berechnet. Der Rabatt berechnet sich auch selbst nach der aktuellen Bestellung.</v>
      </c>
      <c r="BA5" s="18"/>
      <c r="BB5" s="18"/>
      <c r="BD5" s="18"/>
      <c r="BE5" s="140"/>
      <c r="BU5" s="950"/>
      <c r="BV5" s="951"/>
      <c r="BW5" s="950"/>
      <c r="BX5" s="951"/>
      <c r="BZ5" s="986">
        <v>15000</v>
      </c>
      <c r="CA5" s="948">
        <v>-0.48</v>
      </c>
      <c r="CB5" s="987">
        <v>60000</v>
      </c>
      <c r="CC5" s="949">
        <v>-0.54</v>
      </c>
      <c r="CD5" s="990">
        <v>30000</v>
      </c>
      <c r="CE5" s="948">
        <v>-0.44</v>
      </c>
      <c r="CF5" s="990"/>
      <c r="CG5" s="949"/>
    </row>
    <row r="6" spans="32:85" ht="15" customHeight="1" thickTop="1">
      <c r="AF6" s="18"/>
      <c r="AG6" s="174">
        <f>'General price list'!J6</f>
        <v>80000</v>
      </c>
      <c r="AH6" s="175">
        <f>'General price list'!M6</f>
        <v>-0.3</v>
      </c>
      <c r="AI6" s="143"/>
      <c r="AJ6" s="192"/>
      <c r="AK6" s="143"/>
      <c r="AL6" s="143"/>
      <c r="AM6" s="143"/>
      <c r="AN6" s="143"/>
      <c r="AO6" s="143"/>
      <c r="AP6" s="143"/>
      <c r="AQ6" s="143"/>
      <c r="AR6" s="143"/>
      <c r="AS6" s="143"/>
      <c r="AT6" s="143"/>
      <c r="BA6" s="18"/>
      <c r="BB6" s="18"/>
      <c r="BD6" s="18"/>
      <c r="BE6" s="140"/>
      <c r="BU6" s="950"/>
      <c r="BV6" s="951"/>
      <c r="BW6" s="950"/>
      <c r="BX6" s="951"/>
      <c r="CD6" s="992"/>
      <c r="CE6" s="945"/>
    </row>
    <row r="7" spans="32:85" ht="15" customHeight="1">
      <c r="AF7" s="18"/>
      <c r="AG7" s="174">
        <f>'General price list'!J7</f>
        <v>100000</v>
      </c>
      <c r="AH7" s="175">
        <f>'General price list'!M7</f>
        <v>-0.4</v>
      </c>
      <c r="AI7" s="143"/>
      <c r="AJ7" s="192"/>
      <c r="AK7" s="143"/>
      <c r="AL7" s="143"/>
      <c r="AM7" s="143"/>
      <c r="AN7" s="143"/>
      <c r="AO7" s="143"/>
      <c r="AP7" s="143"/>
      <c r="AQ7" s="143"/>
      <c r="AR7" s="143"/>
      <c r="AS7" s="143"/>
      <c r="AT7" s="143"/>
      <c r="BA7" s="18"/>
      <c r="BB7" s="18"/>
      <c r="BD7" s="18"/>
      <c r="BE7" s="140"/>
      <c r="BU7" s="950"/>
      <c r="BV7" s="951"/>
      <c r="BW7" s="950"/>
      <c r="BX7" s="951"/>
      <c r="BZ7">
        <v>4000</v>
      </c>
      <c r="CB7">
        <v>10000</v>
      </c>
    </row>
    <row r="8" spans="32:85" ht="15" customHeight="1">
      <c r="AF8" s="18"/>
      <c r="AG8" s="174">
        <f>'General price list'!J8</f>
        <v>175000</v>
      </c>
      <c r="AH8" s="175">
        <f>'General price list'!M8</f>
        <v>-0.45</v>
      </c>
      <c r="AI8" s="141"/>
      <c r="AJ8" s="194"/>
      <c r="AK8" s="141"/>
      <c r="AL8" s="141"/>
      <c r="AM8" s="141"/>
      <c r="AN8" s="142"/>
      <c r="AO8" s="142"/>
      <c r="AP8" s="142"/>
      <c r="AQ8" s="142"/>
      <c r="AR8" s="196"/>
      <c r="AS8" s="196"/>
      <c r="AT8" s="196"/>
      <c r="BA8" s="18"/>
      <c r="BB8" s="18"/>
      <c r="BD8" s="18"/>
      <c r="BE8" s="140"/>
      <c r="BL8" s="231"/>
      <c r="BU8" s="950"/>
      <c r="BV8" s="951"/>
      <c r="BW8" s="952"/>
      <c r="BX8" s="951"/>
      <c r="BZ8">
        <v>10000</v>
      </c>
      <c r="CB8">
        <v>15000</v>
      </c>
    </row>
    <row r="9" spans="32:85" ht="15" customHeight="1">
      <c r="AF9" s="18"/>
      <c r="AG9" s="174">
        <f>'General price list'!J9</f>
        <v>250000</v>
      </c>
      <c r="AH9" s="175">
        <f>'General price list'!M9</f>
        <v>-0.48</v>
      </c>
      <c r="AI9" s="143"/>
      <c r="AJ9" s="192"/>
      <c r="AK9" s="143"/>
      <c r="AL9" s="143"/>
      <c r="AM9" s="143"/>
      <c r="AN9" s="143"/>
      <c r="AO9" s="143"/>
      <c r="AP9" s="143"/>
      <c r="AQ9" s="143"/>
      <c r="AR9" s="143"/>
      <c r="AS9" s="143"/>
      <c r="AT9" s="143"/>
      <c r="BA9" s="18"/>
      <c r="BB9" s="18"/>
      <c r="BD9" s="18"/>
      <c r="BE9" s="140"/>
      <c r="BZ9">
        <v>15000</v>
      </c>
      <c r="CB9">
        <v>30000</v>
      </c>
    </row>
    <row r="10" spans="32:85" ht="15" customHeight="1">
      <c r="AF10" s="18"/>
      <c r="AG10" s="174">
        <f>'General price list'!J10</f>
        <v>500000</v>
      </c>
      <c r="AH10" s="175">
        <f>'General price list'!M10</f>
        <v>-0.5</v>
      </c>
      <c r="AI10" s="143"/>
      <c r="AJ10" s="192"/>
      <c r="AK10" s="143"/>
      <c r="AL10" s="143"/>
      <c r="AM10" s="143"/>
      <c r="AN10" s="143"/>
      <c r="AO10" s="143"/>
      <c r="AP10" s="143"/>
      <c r="AQ10" s="143"/>
      <c r="AR10" s="143"/>
      <c r="AS10" s="143"/>
      <c r="AT10" s="143"/>
      <c r="BA10" s="18"/>
      <c r="BB10" s="18"/>
      <c r="BD10" s="18"/>
      <c r="BE10" s="140"/>
      <c r="BZ10">
        <v>30000</v>
      </c>
      <c r="CB10">
        <v>40000</v>
      </c>
    </row>
    <row r="11" spans="32:85" ht="15" customHeight="1">
      <c r="AF11" s="18"/>
      <c r="AG11" s="174">
        <f>'General price list'!J11</f>
        <v>750000</v>
      </c>
      <c r="AH11" s="175">
        <f>'General price list'!M11</f>
        <v>-0.52</v>
      </c>
      <c r="AI11" s="143"/>
      <c r="AJ11" s="192"/>
      <c r="AK11" s="143"/>
      <c r="AL11" s="143"/>
      <c r="AM11" s="143"/>
      <c r="AN11" s="143"/>
      <c r="AO11" s="143"/>
      <c r="AP11" s="143"/>
      <c r="AQ11" s="143"/>
      <c r="AR11" s="143"/>
      <c r="AS11" s="143"/>
      <c r="AT11" s="143"/>
      <c r="BA11" s="18"/>
      <c r="BB11" s="18"/>
      <c r="BD11" s="18"/>
      <c r="BE11" s="140"/>
      <c r="BZ11">
        <v>40000</v>
      </c>
      <c r="CB11">
        <v>60000</v>
      </c>
    </row>
    <row r="12" spans="32:85" ht="15" customHeight="1">
      <c r="AF12" s="18"/>
      <c r="AG12" s="174">
        <f>'General price list'!J12</f>
        <v>1000000</v>
      </c>
      <c r="AH12" s="175">
        <f>'General price list'!M12</f>
        <v>-0.54</v>
      </c>
      <c r="AI12" s="143"/>
      <c r="AJ12" s="192"/>
      <c r="AK12" s="143"/>
      <c r="AL12" s="143"/>
      <c r="AM12" s="143"/>
      <c r="AN12" s="143"/>
      <c r="AO12" s="143"/>
      <c r="AP12" s="143"/>
      <c r="AQ12" s="143"/>
      <c r="AR12" s="143"/>
      <c r="AS12" s="143"/>
      <c r="AT12" s="143"/>
      <c r="BA12" s="18"/>
      <c r="BB12" s="18"/>
      <c r="BD12" s="18"/>
      <c r="BE12" s="140"/>
      <c r="BZ12">
        <v>60000</v>
      </c>
    </row>
    <row r="13" spans="32:85" ht="15" customHeight="1">
      <c r="AF13" s="18"/>
      <c r="AG13" s="18"/>
      <c r="AH13" s="143"/>
      <c r="AI13" s="143"/>
      <c r="AJ13" s="192"/>
      <c r="AK13" s="143"/>
      <c r="AL13" s="143"/>
      <c r="AM13" s="143"/>
      <c r="AN13" s="143"/>
      <c r="AO13" s="143"/>
      <c r="AP13" s="143"/>
      <c r="AQ13" s="143"/>
      <c r="AR13" s="143"/>
      <c r="AS13" s="143"/>
      <c r="AT13" s="143"/>
      <c r="BA13" s="18"/>
      <c r="BB13" s="18"/>
      <c r="BD13" s="18"/>
      <c r="BE13" s="140"/>
    </row>
    <row r="14" spans="32:85">
      <c r="AQ14" s="18" t="str">
        <f>"i-"&amp;PROPER(IF($AP$3=$AQ$3,"ceník",IFERROR(VLOOKUP("ceník",Jazyky_ceník!A:Q,MATCH(AP3,Jazyky_ceník!A1:Q1,0),FALSE),"---------------")))&amp;" 2022"</f>
        <v>i-Preisliste 2022</v>
      </c>
      <c r="AV14" s="19"/>
      <c r="AW14" s="19"/>
      <c r="AX14" s="19"/>
      <c r="AY14" s="19"/>
      <c r="AZ14" s="197"/>
      <c r="BA14" s="6"/>
      <c r="BB14" s="6"/>
      <c r="BC14" s="6"/>
      <c r="BD14" s="6"/>
      <c r="BE14" s="6"/>
      <c r="BF14" s="6"/>
      <c r="BG14" s="6"/>
      <c r="BH14" s="6"/>
      <c r="BI14" s="6"/>
      <c r="BJ14" s="6"/>
      <c r="BK14" s="6"/>
      <c r="BL14" s="6"/>
      <c r="BM14" s="6"/>
      <c r="BN14" s="6"/>
      <c r="BU14" s="262">
        <f>AG13</f>
        <v>0</v>
      </c>
      <c r="BV14" s="262">
        <f>AH13</f>
        <v>0</v>
      </c>
    </row>
    <row r="15" spans="32:85" ht="6.95" customHeight="1">
      <c r="AV15" s="19"/>
      <c r="AW15" s="19"/>
      <c r="AX15" s="19"/>
      <c r="AY15" s="19"/>
      <c r="AZ15" s="197"/>
      <c r="BA15" s="6"/>
      <c r="BB15" s="6"/>
      <c r="BC15" s="6"/>
      <c r="BD15" s="6"/>
      <c r="BE15" s="6"/>
      <c r="BF15" s="6"/>
      <c r="BG15" s="6"/>
      <c r="BH15" s="6"/>
      <c r="BI15" s="6"/>
      <c r="BJ15" s="6"/>
      <c r="BK15" s="6"/>
      <c r="BL15" s="6"/>
      <c r="BM15" s="6"/>
      <c r="BN15" s="6"/>
    </row>
    <row r="16" spans="32:85" ht="5.0999999999999996" customHeight="1">
      <c r="AV16" s="19"/>
      <c r="AW16" s="19"/>
      <c r="AX16" s="19"/>
      <c r="AY16" s="19"/>
      <c r="AZ16" s="197"/>
      <c r="BA16" s="6"/>
      <c r="BB16" s="253"/>
      <c r="BC16" s="247"/>
      <c r="BD16" s="247"/>
      <c r="BE16" s="247"/>
      <c r="BF16" s="247"/>
      <c r="BG16" s="247"/>
      <c r="BH16" s="247"/>
      <c r="BI16" s="247"/>
      <c r="BJ16" s="6"/>
      <c r="BK16" s="6"/>
      <c r="BL16" s="6"/>
      <c r="BM16" s="6"/>
      <c r="BN16" s="6"/>
    </row>
    <row r="17" spans="34:89" s="27" customFormat="1" ht="12">
      <c r="AJ17" s="195"/>
      <c r="AV17" s="139"/>
      <c r="AW17" s="139"/>
      <c r="AX17" s="139"/>
      <c r="AY17" s="139"/>
      <c r="AZ17" s="190"/>
      <c r="BA17" s="139"/>
      <c r="BB17" s="139"/>
      <c r="BC17" s="1088" t="str">
        <f>'General price list'!V6</f>
        <v>AUF LAGER</v>
      </c>
      <c r="BD17" s="1089"/>
      <c r="BE17" s="1086" t="str">
        <f>"  "&amp;'General price list'!W6</f>
        <v xml:space="preserve">  Es kann jede beliebige Nummer bestellt werden. </v>
      </c>
      <c r="BF17" s="1086"/>
      <c r="BG17" s="1086"/>
      <c r="BH17" s="1087"/>
      <c r="BI17" s="139"/>
      <c r="BJ17" s="139"/>
      <c r="BK17" s="139"/>
      <c r="BL17" s="139"/>
      <c r="BM17" s="139"/>
      <c r="BN17" s="139"/>
    </row>
    <row r="18" spans="34:89" s="27" customFormat="1" ht="12">
      <c r="AJ18" s="195"/>
      <c r="AV18" s="139"/>
      <c r="AW18" s="139"/>
      <c r="AX18" s="139"/>
      <c r="AY18" s="139"/>
      <c r="AZ18" s="190"/>
      <c r="BA18" s="139"/>
      <c r="BB18" s="139"/>
      <c r="BC18" s="1090" t="str">
        <f>'General price list'!V7</f>
        <v>LETZTE … KTN</v>
      </c>
      <c r="BD18" s="1091"/>
      <c r="BE18" s="1086" t="str">
        <f>"  "&amp;'General price list'!W7</f>
        <v xml:space="preserve">  Maximal kann diese Menge bestellt werden. </v>
      </c>
      <c r="BF18" s="1086"/>
      <c r="BG18" s="1086"/>
      <c r="BH18" s="1087"/>
      <c r="BI18" s="139"/>
      <c r="BJ18" s="139"/>
      <c r="BK18" s="139"/>
      <c r="BL18" s="139"/>
      <c r="BM18" s="139"/>
      <c r="BN18" s="139"/>
    </row>
    <row r="19" spans="34:89" s="27" customFormat="1" ht="12">
      <c r="AJ19" s="195"/>
      <c r="AV19" s="139"/>
      <c r="AW19" s="139"/>
      <c r="AX19" s="139"/>
      <c r="AY19" s="139"/>
      <c r="AZ19" s="190"/>
      <c r="BA19" s="139"/>
      <c r="BB19" s="139"/>
      <c r="BC19" s="1088" t="str">
        <f>'General price list'!V5</f>
        <v>Datum</v>
      </c>
      <c r="BD19" s="1089"/>
      <c r="BE19" s="1086" t="str">
        <f>"  "&amp;'General price list'!W5</f>
        <v xml:space="preserve">  Das Datum der weiteren Warenverfügbarkeit</v>
      </c>
      <c r="BF19" s="1086"/>
      <c r="BG19" s="1086"/>
      <c r="BH19" s="1087"/>
      <c r="BI19" s="139"/>
      <c r="BJ19" s="139"/>
      <c r="BK19" s="139"/>
      <c r="BL19" s="139"/>
      <c r="BM19" s="139"/>
      <c r="BN19" s="139"/>
    </row>
    <row r="20" spans="34:89" s="27" customFormat="1" ht="12">
      <c r="AJ20" s="195"/>
      <c r="AV20" s="139"/>
      <c r="AW20" s="139"/>
      <c r="AX20" s="139"/>
      <c r="AY20" s="139"/>
      <c r="AZ20" s="190"/>
      <c r="BA20" s="139"/>
      <c r="BB20" s="139"/>
      <c r="BC20" s="1090" t="str">
        <f>'General price list'!V9</f>
        <v>AUSVERKAUFT</v>
      </c>
      <c r="BD20" s="1091"/>
      <c r="BE20" s="1086" t="str">
        <f>"  "&amp;'General price list'!W9</f>
        <v xml:space="preserve">  Kann derzeit nicht bestellen.</v>
      </c>
      <c r="BF20" s="1086"/>
      <c r="BG20" s="1086"/>
      <c r="BH20" s="1087"/>
      <c r="BI20" s="139"/>
      <c r="BJ20" s="139"/>
      <c r="BK20" s="139"/>
      <c r="BL20" s="139"/>
      <c r="BM20" s="139"/>
      <c r="BN20" s="139"/>
    </row>
    <row r="21" spans="34:89" ht="5.0999999999999996" customHeight="1">
      <c r="AH21" s="6"/>
      <c r="AI21" s="6"/>
      <c r="AJ21" s="18"/>
      <c r="AV21" s="19"/>
      <c r="AW21" s="19"/>
      <c r="AX21" s="19"/>
      <c r="AY21" s="19"/>
      <c r="AZ21" s="197"/>
      <c r="BA21" s="6"/>
      <c r="BB21" s="253"/>
      <c r="BC21" s="249"/>
      <c r="BD21" s="249"/>
      <c r="BE21" s="249"/>
      <c r="BF21" s="249"/>
      <c r="BG21" s="249"/>
      <c r="BH21" s="249"/>
      <c r="BI21" s="249"/>
      <c r="BJ21" s="6"/>
      <c r="BK21" s="6"/>
      <c r="BL21" s="6"/>
      <c r="BM21" s="6"/>
      <c r="BN21" s="6"/>
    </row>
    <row r="22" spans="34:89" ht="6.95" customHeight="1">
      <c r="AH22" s="6"/>
      <c r="AI22" s="6"/>
      <c r="AJ22" s="19"/>
      <c r="AV22" s="19"/>
      <c r="AW22" s="19"/>
      <c r="AX22" s="19"/>
      <c r="AY22" s="19"/>
      <c r="AZ22" s="197"/>
      <c r="BA22" s="6"/>
      <c r="BB22" s="6"/>
      <c r="BC22" s="6"/>
      <c r="BD22" s="6"/>
      <c r="BE22" s="6"/>
      <c r="BF22" s="6"/>
      <c r="BG22" s="6"/>
      <c r="BH22" s="6"/>
      <c r="BI22" s="6"/>
      <c r="BJ22" s="6"/>
      <c r="BK22" s="6"/>
      <c r="BL22" s="6"/>
      <c r="BM22" s="6"/>
      <c r="BN22" s="6"/>
    </row>
    <row r="23" spans="34:89" s="26" customFormat="1" ht="7.5" customHeight="1">
      <c r="AH23" s="6"/>
      <c r="AI23" s="6"/>
      <c r="AJ23" s="19"/>
      <c r="AK23" s="19"/>
      <c r="AL23" s="19"/>
      <c r="AM23" s="19"/>
      <c r="AN23" s="19"/>
      <c r="AO23" s="19"/>
      <c r="AP23" s="19"/>
      <c r="AQ23" s="19"/>
      <c r="AR23" s="19"/>
      <c r="AS23" s="19"/>
      <c r="AT23" s="19"/>
      <c r="AU23" s="19"/>
      <c r="AV23" s="19"/>
      <c r="AW23" s="19"/>
      <c r="AX23" s="19"/>
      <c r="AY23" s="19"/>
      <c r="AZ23" s="198"/>
      <c r="BA23" s="188"/>
      <c r="BB23" s="188"/>
      <c r="BC23" s="188"/>
      <c r="BD23" s="188"/>
      <c r="BE23" s="188"/>
      <c r="BF23" s="188"/>
      <c r="BG23" s="188"/>
      <c r="BH23" s="188"/>
      <c r="BI23" s="188"/>
      <c r="BJ23" s="188"/>
      <c r="BK23" s="188"/>
      <c r="BL23" s="188"/>
      <c r="BM23" s="188"/>
      <c r="BN23" s="188"/>
      <c r="BX23"/>
      <c r="BY23"/>
      <c r="BZ23"/>
      <c r="CA23"/>
      <c r="CB23"/>
      <c r="CC23"/>
      <c r="CD23"/>
      <c r="CE23"/>
      <c r="CF23"/>
      <c r="CG23"/>
      <c r="CH23"/>
      <c r="CI23"/>
      <c r="CJ23"/>
      <c r="CK23"/>
    </row>
    <row r="24" spans="34:89" ht="15" customHeight="1">
      <c r="AH24" s="6"/>
      <c r="AI24" s="6"/>
      <c r="AJ24" s="19"/>
      <c r="AK24" s="19"/>
      <c r="AL24" s="19"/>
      <c r="AM24" s="1082" t="str">
        <f>UPPER(IF($AP$3=$AQ$3,"interaktivní",IFERROR(VLOOKUP("interaktivní",Jazyky_ceník!A:Q,MATCH(AP3,Jazyky_ceník!A1:Q1,0),FALSE),"---------------")))</f>
        <v>INTERAKTIV</v>
      </c>
      <c r="AN24" s="1082"/>
      <c r="AO24" s="1082"/>
      <c r="AP24" s="1082"/>
      <c r="AQ24" s="1084" t="str">
        <f>"i-"&amp;PROPER(IF($AP$3=$AQ$3,"ceník",IFERROR(VLOOKUP("ceník",Jazyky_ceník!A:Q,MATCH(AP3,Jazyky_ceník!A1:Q1,0),FALSE),"---------------")))&amp;" 2022"</f>
        <v>i-Preisliste 2022</v>
      </c>
      <c r="AR24" s="1084"/>
      <c r="AS24" s="1084"/>
      <c r="AT24" s="1084"/>
      <c r="AU24" s="1084"/>
      <c r="AV24" s="19"/>
      <c r="AW24" s="19"/>
      <c r="AX24" s="19"/>
      <c r="AY24" s="19"/>
      <c r="AZ24" s="197"/>
      <c r="BA24" s="6"/>
      <c r="BB24" s="6"/>
      <c r="BC24" s="6"/>
      <c r="BD24" s="6"/>
      <c r="BE24" s="6"/>
      <c r="BF24" s="6"/>
      <c r="BG24" s="6"/>
      <c r="BH24" s="6"/>
      <c r="BI24" s="6"/>
      <c r="BJ24" s="6"/>
      <c r="BK24" s="6"/>
      <c r="BL24" s="6"/>
      <c r="BM24" s="6"/>
      <c r="BN24" s="6"/>
    </row>
    <row r="25" spans="34:89" ht="15" customHeight="1">
      <c r="AH25" s="6"/>
      <c r="AI25" s="6"/>
      <c r="AJ25" s="19"/>
      <c r="AK25" s="19"/>
      <c r="AL25" s="19"/>
      <c r="AM25" s="1082"/>
      <c r="AN25" s="1082"/>
      <c r="AO25" s="1082"/>
      <c r="AP25" s="1082"/>
      <c r="AQ25" s="1084"/>
      <c r="AR25" s="1084"/>
      <c r="AS25" s="1084"/>
      <c r="AT25" s="1084"/>
      <c r="AU25" s="1084"/>
      <c r="AV25" s="19"/>
      <c r="AW25" s="19"/>
      <c r="AX25" s="19"/>
      <c r="BC25" s="1080"/>
      <c r="BD25" s="1081"/>
    </row>
    <row r="26" spans="34:89" ht="15" customHeight="1">
      <c r="AH26" s="6"/>
      <c r="AI26" s="6"/>
      <c r="AJ26" s="19"/>
      <c r="AK26" s="19"/>
      <c r="AL26" s="19"/>
      <c r="AM26" s="199"/>
      <c r="AN26" s="1085" t="str">
        <f>IF($AP$3=$AQ$3,Jazyky_ceník!A90,IFERROR(VLOOKUP(Jazyky_ceník!A90,Jazyky_ceník!A:Q,MATCH($AP$3,Jazyky_ceník!$A$1:$Q$1,0),FALSE),"---------------"))</f>
        <v>Gültig von: 01.01.2024 - 31.08.2024</v>
      </c>
      <c r="AO26" s="1085"/>
      <c r="AP26" s="1085"/>
      <c r="AQ26" s="1085"/>
      <c r="AR26" s="1085"/>
      <c r="AS26" s="1085"/>
      <c r="AT26" s="19"/>
      <c r="AU26" s="19"/>
      <c r="AV26" s="19"/>
      <c r="AW26" s="19"/>
      <c r="AX26" s="19"/>
      <c r="BC26" s="1080" t="str">
        <f>'General price list'!V1</f>
        <v>KTN</v>
      </c>
      <c r="BD26" s="1081"/>
    </row>
    <row r="27" spans="34:89" ht="9" customHeight="1">
      <c r="AI27" s="247"/>
      <c r="AJ27" s="248"/>
      <c r="AK27" s="248"/>
      <c r="AL27" s="248"/>
      <c r="AM27" s="248"/>
      <c r="AN27" s="248"/>
      <c r="AO27" s="248"/>
      <c r="AP27" s="248"/>
      <c r="AQ27" s="248"/>
      <c r="AR27" s="248"/>
      <c r="AS27" s="248"/>
      <c r="AT27" s="248"/>
      <c r="AU27" s="248"/>
      <c r="AV27" s="248"/>
      <c r="AW27" s="248"/>
      <c r="AX27" s="248"/>
      <c r="BC27" s="1080" t="str">
        <f>'General price list'!V2</f>
        <v>LETZTE</v>
      </c>
      <c r="BD27" s="1081"/>
      <c r="BF27" s="247"/>
      <c r="BG27" s="248"/>
      <c r="BH27" s="248"/>
      <c r="BI27" s="248"/>
      <c r="BJ27" s="248"/>
      <c r="BK27" s="248"/>
      <c r="BL27" s="248"/>
      <c r="BM27" s="248"/>
      <c r="BN27" s="248"/>
      <c r="BO27" s="248"/>
      <c r="BP27" s="248"/>
      <c r="BQ27" s="248"/>
      <c r="BR27" s="18"/>
      <c r="BS27" s="18"/>
      <c r="BT27" s="18"/>
      <c r="BZ27" s="18"/>
      <c r="CA27" s="18"/>
      <c r="CH27" s="18"/>
      <c r="CI27" s="18"/>
    </row>
    <row r="28" spans="34:89" ht="15" customHeight="1">
      <c r="AI28" s="254"/>
      <c r="AJ28" s="1083" t="str">
        <f>IF($AP$3=$AQ$3,Jazyky_ceník!A93,IFERROR(VLOOKUP(Jazyky_ceník!A93,Jazyky_ceník!A:Q,MATCH($AP$3,Jazyky_ceník!$A$1:$Q$1,0),FALSE),"---------------"))</f>
        <v>Klásek Trading  s.r.o.  ○</v>
      </c>
      <c r="AK28" s="1083"/>
      <c r="AL28" s="1083"/>
      <c r="AM28" s="1092" t="str">
        <f>IF($AP$3=$AQ$3,Jazyky_ceník!A94,IFERROR(VLOOKUP(Jazyky_ceník!A94,Jazyky_ceník!A:Q,MATCH($AP$3,Jazyky_ceník!$A$1:$Q$1,0),FALSE),"---------------"))</f>
        <v xml:space="preserve"> K Zyfu 1083, Ostrava-Hrabová 720 00 ○</v>
      </c>
      <c r="AN28" s="1092"/>
      <c r="AO28" s="1092"/>
      <c r="AP28" s="1092"/>
      <c r="AQ28" s="1092"/>
      <c r="AR28" s="1083" t="str">
        <f>IF($AP$3=$AQ$3,Jazyky_ceník!A86,IFERROR(VLOOKUP(Jazyky_ceník!A86,Jazyky_ceník!A:Q,MATCH($AP$3,Jazyky_ceník!$A$1:$Q$1,0),FALSE),"---------------"))</f>
        <v>Tschechien</v>
      </c>
      <c r="AS28" s="1083"/>
      <c r="AT28" s="1092" t="str">
        <f>IF($AP$3=$AQ$3,Jazyky_ceník!A87,IFERROR(VLOOKUP(Jazyky_ceník!A87,Jazyky_ceník!A:Q,MATCH($AP$3,Jazyky_ceník!$A$1:$Q$1,0),FALSE),"---------------"))</f>
        <v>○ IN: 26848643 ○ Umsatzsteuer: CZ26848643</v>
      </c>
      <c r="AU28" s="1092"/>
      <c r="AV28" s="1092"/>
      <c r="AW28" s="1092"/>
      <c r="AX28" s="1092"/>
      <c r="BC28" s="1080" t="str">
        <f>'General price list'!V3</f>
        <v>LETZTE STÜCKE</v>
      </c>
      <c r="BD28" s="1081"/>
      <c r="BF28" s="254"/>
      <c r="BG28" s="1093" t="str">
        <f>IF($AP$3=$AQ$3,Jazyky_ceník!A101,IFERROR(VLOOKUP(Jazyky_ceník!A101,Jazyky_ceník!A:Q,MATCH($AP$3,Jazyky_ceník!$A$1:$Q$1,0),FALSE),"---------------"))</f>
        <v>AUFMERKSAMKEIT! Hier werden nur Waren mit BAM-Zulassung gezeigt!</v>
      </c>
      <c r="BH28" s="1093"/>
      <c r="BI28" s="1093"/>
      <c r="BJ28" s="1093"/>
      <c r="BK28" s="1093"/>
      <c r="BL28" s="1093"/>
      <c r="BM28" s="1093"/>
      <c r="BN28" s="1093"/>
      <c r="BO28" s="1093"/>
      <c r="BP28" s="1093"/>
      <c r="BQ28" s="497"/>
      <c r="BR28" s="498"/>
      <c r="BS28" s="498"/>
      <c r="BT28" s="498"/>
      <c r="CA28" s="953"/>
      <c r="CH28" s="953"/>
      <c r="CI28" s="953"/>
    </row>
    <row r="29" spans="34:89" ht="15" customHeight="1">
      <c r="AI29" s="255"/>
      <c r="AJ29" s="256" t="str">
        <f>IF($AP$3=$AQ$3,Jazyky_ceník!A88,IFERROR(VLOOKUP(Jazyky_ceník!A88,Jazyky_ceník!A:Q,MATCH($AP$3,Jazyky_ceník!$A$1:$Q$1,0),FALSE),"---------------"))</f>
        <v>Büro:</v>
      </c>
      <c r="AK29" s="1094">
        <f>IF($AP$3=$AQ$3,Jazyky_ceník!A91,IFERROR(VLOOKUP(Jazyky_ceník!A91,Jazyky_ceník!A:Q,MATCH($AP$3,Jazyky_ceník!$A$1:$Q$1,0),FALSE),"---------------"))</f>
        <v>420799999333</v>
      </c>
      <c r="AL29" s="1094"/>
      <c r="AM29" s="1094"/>
      <c r="AN29" s="257" t="s">
        <v>11561</v>
      </c>
      <c r="AO29" s="258" t="str">
        <f>IF($AP$3=$AQ$3,Jazyky_ceník!A89,IFERROR(VLOOKUP(Jazyky_ceník!A89,Jazyky_ceník!A:Q,MATCH($AP$3,Jazyky_ceník!$A$1:$Q$1,0),FALSE),"---------------"))</f>
        <v>Lager:</v>
      </c>
      <c r="AP29" s="1075">
        <f>IF($AP$3=$AQ$3,Jazyky_ceník!A92,IFERROR(VLOOKUP(Jazyky_ceník!A92,Jazyky_ceník!A:Q,MATCH($AP$3,Jazyky_ceník!$A$1:$Q$1,0),FALSE),"---------------"))</f>
        <v>420799799733</v>
      </c>
      <c r="AQ29" s="1075"/>
      <c r="AR29" s="261"/>
      <c r="AS29" s="259"/>
      <c r="AT29" s="259"/>
      <c r="AU29" s="259"/>
      <c r="AV29" s="259"/>
      <c r="AW29" s="259"/>
      <c r="AX29" s="259"/>
      <c r="BC29" s="1080" t="str">
        <f>'General price list'!V4</f>
        <v xml:space="preserve">KOMMT </v>
      </c>
      <c r="BD29" s="1081"/>
      <c r="BF29" s="255"/>
      <c r="BG29" s="1093"/>
      <c r="BH29" s="1093"/>
      <c r="BI29" s="1093"/>
      <c r="BJ29" s="1093"/>
      <c r="BK29" s="1093"/>
      <c r="BL29" s="1093"/>
      <c r="BM29" s="1093"/>
      <c r="BN29" s="1093"/>
      <c r="BO29" s="1093"/>
      <c r="BP29" s="1093"/>
      <c r="BQ29" s="259"/>
      <c r="BR29" s="18"/>
      <c r="BS29" s="18"/>
      <c r="BT29" s="18"/>
      <c r="BZ29" s="953"/>
      <c r="CA29" s="953"/>
      <c r="CH29" s="953"/>
      <c r="CI29" s="953"/>
    </row>
    <row r="30" spans="34:89" ht="9" customHeight="1">
      <c r="AI30" s="249"/>
      <c r="AJ30" s="250"/>
      <c r="AK30" s="251"/>
      <c r="AL30" s="251"/>
      <c r="AM30" s="251"/>
      <c r="AN30" s="251"/>
      <c r="AO30" s="251"/>
      <c r="AP30" s="251"/>
      <c r="AQ30" s="252"/>
      <c r="AR30" s="251"/>
      <c r="AS30" s="251"/>
      <c r="AT30" s="251"/>
      <c r="AU30" s="251"/>
      <c r="AV30" s="251"/>
      <c r="AW30" s="251"/>
      <c r="AX30" s="251"/>
      <c r="BC30" s="1080" t="str">
        <f>'General price list'!V5</f>
        <v>Datum</v>
      </c>
      <c r="BD30" s="1081"/>
      <c r="BF30" s="249"/>
      <c r="BG30" s="250"/>
      <c r="BH30" s="251"/>
      <c r="BI30" s="251"/>
      <c r="BJ30" s="251"/>
      <c r="BK30" s="251"/>
      <c r="BL30" s="251"/>
      <c r="BM30" s="251"/>
      <c r="BN30" s="252"/>
      <c r="BO30" s="251"/>
      <c r="BP30" s="251"/>
      <c r="BQ30" s="251"/>
      <c r="BR30" s="18"/>
      <c r="BS30" s="18"/>
      <c r="BT30" s="18"/>
      <c r="BZ30" s="205"/>
      <c r="CA30" s="18"/>
      <c r="CH30" s="18"/>
      <c r="CI30" s="18"/>
    </row>
    <row r="31" spans="34:89" ht="6.75" customHeight="1">
      <c r="AI31" s="6"/>
      <c r="AJ31" s="19"/>
      <c r="AK31" s="19"/>
      <c r="AL31" s="19"/>
      <c r="AM31" s="19"/>
      <c r="AN31" s="19"/>
      <c r="AO31" s="19"/>
      <c r="AP31" s="19"/>
      <c r="AQ31" s="19"/>
      <c r="AR31" s="19"/>
      <c r="AS31" s="19"/>
      <c r="AT31" s="19"/>
      <c r="AU31" s="19"/>
      <c r="AV31" s="19"/>
      <c r="AW31" s="19"/>
      <c r="AX31" s="19"/>
      <c r="BC31" s="1080" t="str">
        <f>'General price list'!V6</f>
        <v>AUF LAGER</v>
      </c>
      <c r="BD31" s="1081"/>
    </row>
    <row r="32" spans="34:89">
      <c r="AI32" s="6"/>
      <c r="AJ32" s="139"/>
      <c r="AK32" s="139"/>
      <c r="AL32" s="139"/>
      <c r="AM32" s="139"/>
      <c r="AN32" s="139"/>
      <c r="AO32" s="139"/>
      <c r="AP32" s="139"/>
      <c r="AQ32" s="139"/>
      <c r="AR32" s="139"/>
      <c r="AS32" s="139"/>
      <c r="AT32" s="139"/>
      <c r="AU32" s="139"/>
      <c r="AV32" s="139"/>
      <c r="AW32" s="139"/>
      <c r="AX32" s="139"/>
      <c r="BC32" s="1080" t="str">
        <f>'General price list'!V7</f>
        <v>LETZTE … KTN</v>
      </c>
      <c r="BD32" s="1081"/>
    </row>
    <row r="33" spans="35:83">
      <c r="AI33" s="6"/>
      <c r="AJ33" s="139"/>
      <c r="AK33" s="139"/>
      <c r="AL33" s="139"/>
      <c r="AM33" s="139"/>
      <c r="AN33" s="139"/>
      <c r="AO33" s="139"/>
      <c r="AP33" s="139"/>
      <c r="AQ33" s="139"/>
      <c r="AR33" s="139"/>
      <c r="AS33" s="139"/>
      <c r="AT33" s="139"/>
      <c r="AU33" s="139"/>
      <c r="AV33" s="139"/>
      <c r="AW33" s="139"/>
      <c r="AX33" s="139"/>
      <c r="BC33" s="1080" t="str">
        <f>'General price list'!V8</f>
        <v>WENIGER ALS 1 KTN!</v>
      </c>
      <c r="BD33" s="1081"/>
    </row>
    <row r="34" spans="35:83">
      <c r="AI34" s="6"/>
      <c r="AJ34" s="139"/>
      <c r="AK34" s="139"/>
      <c r="AL34" s="139"/>
      <c r="AM34" s="139"/>
      <c r="AN34" s="139"/>
      <c r="AO34" s="139"/>
      <c r="AP34" s="139"/>
      <c r="AQ34" s="139"/>
      <c r="AR34" s="139"/>
      <c r="AS34" s="139"/>
      <c r="AT34" s="139"/>
      <c r="AU34" s="139"/>
      <c r="AV34" s="139"/>
      <c r="AW34" s="139"/>
      <c r="AX34" s="139"/>
      <c r="BC34" s="1080" t="str">
        <f>'General price list'!V9</f>
        <v>AUSVERKAUFT</v>
      </c>
      <c r="BD34" s="1081"/>
    </row>
    <row r="35" spans="35:83">
      <c r="AJ35" s="27"/>
      <c r="AK35" s="27"/>
      <c r="AL35" s="27"/>
      <c r="AM35" s="27"/>
      <c r="AN35" s="27"/>
      <c r="AO35" s="27"/>
      <c r="AP35" s="27"/>
      <c r="AQ35" s="27"/>
      <c r="AR35" s="27"/>
      <c r="AS35" s="27"/>
      <c r="AT35" s="27"/>
      <c r="AU35" s="27"/>
      <c r="AV35" s="27"/>
      <c r="AW35" s="27"/>
      <c r="AX35" s="27"/>
      <c r="AZ35" s="18"/>
      <c r="BC35" s="1080" t="str">
        <f>'General price list'!V10</f>
        <v>UNMÖGLICH!</v>
      </c>
      <c r="BD35" s="1081"/>
    </row>
    <row r="36" spans="35:83">
      <c r="AJ36" s="27"/>
      <c r="AK36" s="27"/>
      <c r="AL36" s="27"/>
      <c r="AM36" s="27"/>
      <c r="AN36" s="27"/>
      <c r="AO36" s="27"/>
      <c r="AP36" s="27"/>
      <c r="AQ36" s="27"/>
      <c r="AR36" s="27"/>
      <c r="AS36" s="27"/>
      <c r="AT36" s="27"/>
      <c r="AU36" s="27"/>
      <c r="AV36" s="27"/>
      <c r="AW36" s="27"/>
      <c r="AX36" s="27"/>
      <c r="AZ36" s="18"/>
      <c r="BC36" s="1080">
        <f>'General price list'!V11</f>
        <v>0</v>
      </c>
      <c r="BD36" s="1081"/>
    </row>
    <row r="37" spans="35:83" ht="9" customHeight="1">
      <c r="AJ37" s="18"/>
      <c r="AZ37" s="18"/>
      <c r="BC37" s="1080">
        <f>'General price list'!V12</f>
        <v>0</v>
      </c>
      <c r="BD37" s="1081"/>
    </row>
    <row r="38" spans="35:83">
      <c r="AJ38" s="18"/>
      <c r="AZ38" s="18"/>
      <c r="BZ38" t="s">
        <v>13525</v>
      </c>
    </row>
    <row r="39" spans="35:83">
      <c r="AJ39" s="18"/>
      <c r="AZ39" s="18"/>
      <c r="BJ39" s="18"/>
      <c r="BK39" s="18"/>
      <c r="BL39" s="18"/>
      <c r="BM39" s="18"/>
      <c r="BN39" s="18"/>
      <c r="BO39" s="19"/>
      <c r="BP39" s="19"/>
      <c r="BQ39" s="19"/>
      <c r="BR39" s="19"/>
      <c r="BS39" s="19"/>
      <c r="BT39" s="19"/>
      <c r="BU39" s="19"/>
      <c r="BV39" s="6"/>
      <c r="BW39" s="6"/>
      <c r="BX39" s="6"/>
      <c r="CD39" t="s">
        <v>13520</v>
      </c>
      <c r="CE39" t="s">
        <v>13523</v>
      </c>
    </row>
    <row r="40" spans="35:83">
      <c r="AJ40" s="18"/>
      <c r="AZ40" s="18"/>
      <c r="BJ40" s="18"/>
      <c r="BK40" s="18"/>
      <c r="BL40" s="18"/>
      <c r="BM40" s="18"/>
      <c r="BN40" s="18"/>
      <c r="BO40" s="19"/>
      <c r="BP40" s="1098" t="str">
        <f>UPPER(IF($AP$3=$AQ$3,"interaktivní",IFERROR(VLOOKUP("interaktivní",Jazyky_ceník!A:Q,MATCH(AP3,Jazyky_ceník!A1:Q1,0),FALSE),"---------------")))</f>
        <v>INTERAKTIV</v>
      </c>
      <c r="BQ40" s="1098"/>
      <c r="BR40" s="1098"/>
      <c r="BS40" s="1098"/>
      <c r="BT40" s="18"/>
      <c r="BU40" s="18"/>
      <c r="BZ40" t="s">
        <v>11646</v>
      </c>
      <c r="CA40" t="s">
        <v>13510</v>
      </c>
      <c r="CB40" t="s">
        <v>13511</v>
      </c>
      <c r="CC40" t="s">
        <v>13519</v>
      </c>
      <c r="CD40" t="s">
        <v>2261</v>
      </c>
      <c r="CE40" t="s">
        <v>13511</v>
      </c>
    </row>
    <row r="41" spans="35:83">
      <c r="AJ41" s="18"/>
      <c r="AZ41" s="18"/>
      <c r="BJ41" s="18"/>
      <c r="BK41" s="18"/>
      <c r="BL41" s="18"/>
      <c r="BM41" s="18"/>
      <c r="BN41" s="18"/>
      <c r="BO41" s="19"/>
      <c r="BP41" s="1098"/>
      <c r="BQ41" s="1098"/>
      <c r="BR41" s="1098"/>
      <c r="BS41" s="1098"/>
      <c r="BT41" s="18"/>
      <c r="BU41" s="18"/>
      <c r="BZ41">
        <v>-0.3</v>
      </c>
      <c r="CA41">
        <v>4000</v>
      </c>
      <c r="CB41" t="s">
        <v>13513</v>
      </c>
      <c r="CC41" t="s">
        <v>13521</v>
      </c>
      <c r="CD41">
        <v>2</v>
      </c>
      <c r="CE41">
        <v>300</v>
      </c>
    </row>
    <row r="42" spans="35:83" ht="15" customHeight="1">
      <c r="BJ42" s="18"/>
      <c r="BK42" s="18"/>
      <c r="BL42" s="18"/>
      <c r="BM42" s="18"/>
      <c r="BN42" s="18"/>
      <c r="BO42" s="18"/>
      <c r="BP42" s="1097" t="str">
        <f>"i-"&amp;PROPER(IF($AP$3=$AQ$3,"ceník",IFERROR(VLOOKUP("ceník",Jazyky_ceník!A:Q,MATCH(AP3,Jazyky_ceník!A1:Q1,0),FALSE),"---------------")))&amp;" 2024"</f>
        <v>i-Preisliste 2024</v>
      </c>
      <c r="BQ42" s="1097"/>
      <c r="BR42" s="1097"/>
      <c r="BS42" s="1097"/>
      <c r="BT42" s="18"/>
      <c r="BU42" s="18"/>
      <c r="BW42" s="6"/>
      <c r="BX42" s="6"/>
      <c r="BZ42">
        <v>-0.45</v>
      </c>
      <c r="CA42">
        <v>10000</v>
      </c>
      <c r="CB42" t="s">
        <v>13514</v>
      </c>
      <c r="CC42" t="s">
        <v>13521</v>
      </c>
      <c r="CD42">
        <v>5</v>
      </c>
      <c r="CE42">
        <v>700</v>
      </c>
    </row>
    <row r="43" spans="35:83" ht="15" customHeight="1">
      <c r="BJ43" s="18">
        <f>'General price list'!C5</f>
        <v>0</v>
      </c>
      <c r="BK43" s="18"/>
      <c r="BL43" s="18"/>
      <c r="BM43" s="18"/>
      <c r="BN43" s="18"/>
      <c r="BO43" s="244"/>
      <c r="BP43" s="1097"/>
      <c r="BQ43" s="1097"/>
      <c r="BR43" s="1097"/>
      <c r="BS43" s="1097"/>
      <c r="BT43" s="18"/>
      <c r="BU43" s="18"/>
      <c r="BW43" s="6"/>
      <c r="BX43" s="6"/>
      <c r="BZ43">
        <v>-0.48</v>
      </c>
      <c r="CA43">
        <v>15000</v>
      </c>
      <c r="CB43" t="s">
        <v>13515</v>
      </c>
      <c r="CC43" t="s">
        <v>13521</v>
      </c>
      <c r="CD43">
        <v>7</v>
      </c>
      <c r="CE43">
        <v>910</v>
      </c>
    </row>
    <row r="44" spans="35:83" ht="22.5" customHeight="1">
      <c r="BJ44" s="18" t="str">
        <f>'General price list'!D6</f>
        <v>kancelář: +420 799 999 333 ○ sklad: +420 799 799 733</v>
      </c>
      <c r="BK44" s="18"/>
      <c r="BL44" s="18"/>
      <c r="BM44" s="18"/>
      <c r="BN44" s="18"/>
      <c r="BO44" s="18"/>
      <c r="BP44" s="1096" t="str">
        <f>IF($AP$3=$AQ$3,Jazyky_ceník!A90,IFERROR(VLOOKUP(Jazyky_ceník!A90,Jazyky_ceník!A:Q,MATCH($AP$3,Jazyky_ceník!$A$1:$Q$1,0),FALSE),"---------------"))</f>
        <v>Gültig von: 01.01.2024 - 31.08.2024</v>
      </c>
      <c r="BQ44" s="1096"/>
      <c r="BR44" s="1096"/>
      <c r="BS44" s="1096"/>
      <c r="BT44" s="260"/>
      <c r="BU44" s="18"/>
      <c r="BZ44">
        <v>-0.5</v>
      </c>
      <c r="CA44">
        <v>30000</v>
      </c>
      <c r="CB44" t="s">
        <v>13516</v>
      </c>
      <c r="CC44" t="s">
        <v>13521</v>
      </c>
      <c r="CD44">
        <v>15</v>
      </c>
      <c r="CE44">
        <v>1800</v>
      </c>
    </row>
    <row r="45" spans="35:83">
      <c r="AK45" s="200"/>
      <c r="AL45" s="209"/>
      <c r="AM45" s="209"/>
      <c r="AN45" s="209"/>
      <c r="AO45" s="27"/>
      <c r="AP45" s="27"/>
      <c r="BJ45" s="18"/>
      <c r="BK45" s="18"/>
      <c r="BL45" s="18"/>
      <c r="BM45" s="18"/>
      <c r="BN45" s="18"/>
      <c r="BO45" s="18"/>
      <c r="BP45" s="18"/>
      <c r="BQ45" s="18"/>
      <c r="BR45" s="18"/>
      <c r="BS45" s="18"/>
      <c r="BT45" s="18"/>
      <c r="BU45" s="18"/>
      <c r="BZ45">
        <v>-0.52</v>
      </c>
      <c r="CA45">
        <v>40000</v>
      </c>
      <c r="CB45" t="s">
        <v>13517</v>
      </c>
      <c r="CC45" t="s">
        <v>13521</v>
      </c>
      <c r="CD45">
        <v>20</v>
      </c>
      <c r="CE45">
        <v>2200</v>
      </c>
    </row>
    <row r="46" spans="35:83">
      <c r="AK46" s="200"/>
      <c r="AL46" s="27"/>
      <c r="AM46" s="201"/>
      <c r="AN46" s="200"/>
      <c r="AO46" s="27"/>
      <c r="AP46" s="27"/>
      <c r="BJ46" s="18"/>
      <c r="BK46" s="18"/>
      <c r="BL46" s="18"/>
      <c r="BM46" s="18"/>
      <c r="BN46" s="18"/>
      <c r="BO46" s="18"/>
      <c r="BP46" s="18"/>
      <c r="BQ46" s="18"/>
      <c r="BR46" s="18"/>
      <c r="BS46" s="18"/>
      <c r="BT46" s="18"/>
      <c r="BU46" s="18"/>
      <c r="BZ46">
        <v>-0.54</v>
      </c>
      <c r="CA46">
        <v>60000</v>
      </c>
      <c r="CB46" t="s">
        <v>13518</v>
      </c>
      <c r="CC46" t="s">
        <v>13521</v>
      </c>
      <c r="CD46">
        <v>30</v>
      </c>
      <c r="CE46">
        <v>3000</v>
      </c>
    </row>
    <row r="47" spans="35:83">
      <c r="AK47" s="202"/>
      <c r="AL47" s="202"/>
      <c r="AM47" s="202"/>
      <c r="AN47" s="202"/>
      <c r="AO47" s="202"/>
      <c r="AP47" s="27"/>
      <c r="BJ47" s="18"/>
      <c r="BK47" s="18"/>
      <c r="BL47" s="18"/>
      <c r="BM47" s="18"/>
      <c r="BN47" s="18"/>
      <c r="BO47" s="18"/>
      <c r="BP47" s="18"/>
      <c r="BQ47" s="18"/>
      <c r="BR47" s="18"/>
      <c r="BS47" s="18"/>
      <c r="BT47" s="18"/>
      <c r="BU47" s="18"/>
    </row>
    <row r="48" spans="35:83">
      <c r="AK48" s="203"/>
      <c r="AL48" s="27"/>
      <c r="AM48" s="27"/>
      <c r="AN48" s="204"/>
      <c r="AO48" s="27"/>
      <c r="AP48" s="27"/>
      <c r="BJ48" s="18"/>
      <c r="BK48" s="18"/>
      <c r="BL48" s="18"/>
      <c r="BM48" s="18"/>
      <c r="BN48" s="18"/>
      <c r="BO48" s="18"/>
      <c r="BP48" s="18"/>
      <c r="BQ48" s="18"/>
      <c r="BR48" s="18"/>
      <c r="BS48" s="18"/>
      <c r="BT48" s="18"/>
      <c r="BU48" s="18"/>
      <c r="BZ48" t="s">
        <v>13524</v>
      </c>
    </row>
    <row r="49" spans="37:81" ht="18">
      <c r="AK49" s="205"/>
      <c r="AL49" s="1079" t="str">
        <f>'General price list'!D7</f>
        <v>SENDEN SIE ALLE BESTELLUNGEN NUR AN DIE E-MAIL-ADRESSE:</v>
      </c>
      <c r="AM49" s="1079"/>
      <c r="AN49" s="1079"/>
      <c r="AO49" s="1079"/>
      <c r="AP49" s="1079"/>
      <c r="AQ49" s="1079"/>
      <c r="AS49" s="246" t="str">
        <f>'General price list'!E8</f>
        <v>info@klasekpyrotechnics.cz</v>
      </c>
      <c r="BJ49" s="18"/>
      <c r="BK49" s="1096" t="str">
        <f>LOWER(IF($AP$3=$AQ$3,"nápověda",IFERROR(VLOOKUP("nápověda",Jazyky_ceník!A:Q,MATCH(AP3,Jazyky_ceník!A1:Q1,0),FALSE),"---------------")))</f>
        <v>hilfe</v>
      </c>
      <c r="BL49" s="1096"/>
      <c r="BM49" s="263"/>
      <c r="BN49" s="263"/>
      <c r="BO49" s="18"/>
      <c r="BP49" s="18"/>
      <c r="BQ49" s="18"/>
      <c r="BR49" s="18"/>
      <c r="BS49" s="18"/>
      <c r="BT49" s="18"/>
      <c r="BU49" s="18"/>
    </row>
    <row r="50" spans="37:81">
      <c r="AK50" s="27"/>
      <c r="AL50" s="27"/>
      <c r="AM50" s="206"/>
      <c r="AN50" s="200"/>
      <c r="AO50" s="27"/>
      <c r="AP50" s="27"/>
      <c r="BJ50" s="18"/>
      <c r="BK50" s="18"/>
      <c r="BL50" s="18"/>
      <c r="BM50" s="18"/>
      <c r="BN50" s="18"/>
      <c r="BO50" s="18"/>
      <c r="BP50" s="18"/>
      <c r="BQ50" s="18"/>
      <c r="BR50" s="18"/>
      <c r="BS50" s="18"/>
      <c r="BT50" s="18"/>
      <c r="BU50" s="18"/>
      <c r="BZ50" t="s">
        <v>11646</v>
      </c>
      <c r="CA50" t="s">
        <v>13510</v>
      </c>
      <c r="CB50" t="s">
        <v>13511</v>
      </c>
      <c r="CC50" t="s">
        <v>13519</v>
      </c>
    </row>
    <row r="51" spans="37:81">
      <c r="AK51" s="207"/>
      <c r="AL51" s="27"/>
      <c r="AM51" s="201"/>
      <c r="AN51" s="200"/>
      <c r="AO51" s="27"/>
      <c r="AP51" s="27"/>
      <c r="BJ51" s="18"/>
      <c r="BK51" s="18"/>
      <c r="BL51" s="18"/>
      <c r="BM51" s="18"/>
      <c r="BN51" s="18"/>
      <c r="BO51" s="18"/>
      <c r="BP51" s="18"/>
      <c r="BQ51" s="18"/>
      <c r="BR51" s="18"/>
      <c r="BS51" s="18"/>
      <c r="BT51" s="18"/>
      <c r="BU51" s="18"/>
      <c r="BZ51">
        <v>-0.36</v>
      </c>
      <c r="CA51">
        <v>10000</v>
      </c>
      <c r="CB51" t="s">
        <v>13512</v>
      </c>
      <c r="CC51" t="s">
        <v>13521</v>
      </c>
    </row>
    <row r="52" spans="37:81">
      <c r="AK52" s="207"/>
      <c r="AL52" s="27"/>
      <c r="AM52" s="201"/>
      <c r="AN52" s="200"/>
      <c r="AO52" s="27"/>
      <c r="AP52" s="27"/>
      <c r="BJ52" s="18"/>
      <c r="BK52" s="18"/>
      <c r="BL52" s="18"/>
      <c r="BM52" s="18"/>
      <c r="BN52" s="18"/>
      <c r="BO52" s="18"/>
      <c r="BP52" s="18"/>
      <c r="BQ52" s="18"/>
      <c r="BR52" s="18"/>
      <c r="BS52" s="18"/>
      <c r="BT52" s="18"/>
      <c r="BU52" s="18"/>
      <c r="BZ52">
        <v>-0.4</v>
      </c>
      <c r="CA52">
        <v>15000</v>
      </c>
      <c r="CB52" t="s">
        <v>13512</v>
      </c>
      <c r="CC52" t="s">
        <v>13521</v>
      </c>
    </row>
    <row r="53" spans="37:81">
      <c r="AK53" s="207"/>
      <c r="AL53" s="27"/>
      <c r="AM53" s="201"/>
      <c r="AN53" s="200"/>
      <c r="AO53" s="27"/>
      <c r="AP53" s="27"/>
      <c r="BJ53" s="18"/>
      <c r="BK53" s="18"/>
      <c r="BL53" s="18"/>
      <c r="BM53" s="18"/>
      <c r="BN53" s="18"/>
      <c r="BO53" s="18"/>
      <c r="BP53" s="18"/>
      <c r="BQ53" s="18"/>
      <c r="BR53" s="18"/>
      <c r="BS53" s="18"/>
      <c r="BT53" s="18"/>
      <c r="BU53" s="18"/>
      <c r="BZ53">
        <v>-0.44</v>
      </c>
      <c r="CA53">
        <v>30000</v>
      </c>
      <c r="CB53" t="s">
        <v>13512</v>
      </c>
      <c r="CC53" t="s">
        <v>13521</v>
      </c>
    </row>
    <row r="54" spans="37:81" ht="37.5" customHeight="1">
      <c r="AK54" s="207"/>
      <c r="AL54" s="27"/>
      <c r="AM54" s="201"/>
      <c r="AN54" s="200"/>
      <c r="AO54" s="27"/>
      <c r="AP54" s="27"/>
      <c r="BI54" s="245"/>
      <c r="BQ54" s="20"/>
      <c r="BR54" s="20"/>
      <c r="BS54" s="18"/>
      <c r="BT54" s="18"/>
      <c r="BU54" s="18"/>
      <c r="BZ54">
        <v>-0.46</v>
      </c>
      <c r="CA54">
        <v>40000</v>
      </c>
      <c r="CB54" t="s">
        <v>13512</v>
      </c>
      <c r="CC54" t="s">
        <v>13521</v>
      </c>
    </row>
    <row r="55" spans="37:81">
      <c r="AK55" s="207"/>
      <c r="AL55" s="27"/>
      <c r="AM55" s="201"/>
      <c r="AN55" s="200"/>
      <c r="AO55" s="208"/>
      <c r="AP55" s="27"/>
      <c r="BC55" t="s">
        <v>11706</v>
      </c>
      <c r="BJ55" s="18"/>
      <c r="BK55" s="18"/>
      <c r="BL55" s="18"/>
      <c r="BM55" s="18"/>
      <c r="BN55" s="18"/>
      <c r="BO55" s="18"/>
      <c r="BP55" s="18"/>
      <c r="BQ55" s="18"/>
      <c r="BR55" s="18"/>
      <c r="BS55" s="18"/>
      <c r="BT55" s="18"/>
      <c r="BU55" s="18"/>
      <c r="BZ55">
        <v>-0.48</v>
      </c>
      <c r="CA55">
        <v>60000</v>
      </c>
      <c r="CB55" t="s">
        <v>13512</v>
      </c>
      <c r="CC55" t="s">
        <v>13521</v>
      </c>
    </row>
    <row r="56" spans="37:81">
      <c r="BJ56" s="18"/>
      <c r="BK56" s="18"/>
      <c r="BL56" s="18"/>
      <c r="BM56" s="18"/>
      <c r="BN56" s="18"/>
      <c r="BO56" s="18"/>
      <c r="BP56" s="18"/>
      <c r="BQ56" s="18"/>
      <c r="BR56" s="18"/>
      <c r="BS56" s="18"/>
      <c r="BT56" s="18"/>
      <c r="BU56" s="18"/>
    </row>
    <row r="58" spans="37:81">
      <c r="BC58" s="248"/>
      <c r="BD58" s="248"/>
      <c r="BE58" s="248"/>
      <c r="BF58" s="248"/>
      <c r="BG58" s="248"/>
      <c r="BH58" s="248"/>
    </row>
    <row r="59" spans="37:81">
      <c r="BC59" s="1077" t="str">
        <f>IF($AP$3=$AQ$3,Jazyky_ceník!A72,IFERROR(VLOOKUP(Jazyky_ceník!A72,Jazyky_ceník!A:Q,MATCH($AP$3,Jazyky_ceník!$A$1:$Q$1,0),FALSE),"---------------"))</f>
        <v>RESERVIERUNGSPREISLISTE</v>
      </c>
      <c r="BD59" s="1077"/>
      <c r="BE59" s="1077"/>
      <c r="BF59" s="1077"/>
      <c r="BG59" s="1077"/>
      <c r="BH59" s="1077"/>
    </row>
    <row r="60" spans="37:81">
      <c r="BC60" s="1077"/>
      <c r="BD60" s="1077"/>
      <c r="BE60" s="1077"/>
      <c r="BF60" s="1077"/>
      <c r="BG60" s="1077"/>
      <c r="BH60" s="1077"/>
    </row>
    <row r="61" spans="37:81" ht="15" customHeight="1">
      <c r="AX61" s="499"/>
      <c r="BC61" s="1078" t="str">
        <f>IF($AP$3=$AQ$3,Jazyky_ceník!A102,IFERROR(VLOOKUP(Jazyky_ceník!A102,Jazyky_ceník!A:Q,MATCH($AP$3,Jazyky_ceník!$A$1:$Q$1,0),FALSE),"---------------"))</f>
        <v>mit einem Zuschlag von 8%</v>
      </c>
      <c r="BD61" s="1078"/>
      <c r="BE61" s="1078"/>
      <c r="BF61" s="1078"/>
      <c r="BG61" s="1078"/>
      <c r="BH61" s="1078"/>
    </row>
    <row r="62" spans="37:81" ht="15" customHeight="1">
      <c r="BC62" s="1078"/>
      <c r="BD62" s="1078"/>
      <c r="BE62" s="1078"/>
      <c r="BF62" s="1078"/>
      <c r="BG62" s="1078"/>
      <c r="BH62" s="1078"/>
    </row>
    <row r="63" spans="37:81">
      <c r="BC63" s="251"/>
      <c r="BD63" s="251"/>
      <c r="BE63" s="251"/>
      <c r="BF63" s="251"/>
      <c r="BG63" s="251"/>
      <c r="BH63" s="252"/>
    </row>
    <row r="64" spans="37:81" ht="15" customHeight="1"/>
    <row r="67" spans="3:59" ht="15" customHeight="1">
      <c r="AR67" s="500" t="str">
        <f>IF($AP$3=$AQ$3,Jazyky_ceník!#REF!,IFERROR(VLOOKUP(Jazyky_ceník!#REF!,Jazyky_ceník!#REF!,MATCH($AP$3,Jazyky_ceník!$A$1:$Q$1,0),FALSE),"---------------"))</f>
        <v>---------------</v>
      </c>
      <c r="AS67" s="500"/>
      <c r="AT67" s="500"/>
      <c r="AU67" s="500"/>
      <c r="AV67" s="500"/>
      <c r="AW67" s="500"/>
      <c r="BD67" s="2"/>
    </row>
    <row r="68" spans="3:59" ht="15" customHeight="1">
      <c r="AR68" s="500"/>
      <c r="AS68" s="500"/>
      <c r="AT68" s="500"/>
      <c r="AV68" s="500"/>
      <c r="AW68" s="500"/>
    </row>
    <row r="70" spans="3:59">
      <c r="BC70" s="248"/>
      <c r="BD70" s="248"/>
      <c r="BE70" s="248"/>
      <c r="BF70" s="248"/>
      <c r="BG70" s="248"/>
    </row>
    <row r="71" spans="3:59" ht="15" customHeight="1">
      <c r="BC71" s="1076" t="str">
        <f>IF($AP$3=$AQ$3,Jazyky_ceník!A103,IFERROR(VLOOKUP(Jazyky_ceník!A103,Jazyky_ceník!A:Q,MATCH($AP$3,Jazyky_ceník!$A$1:$Q$1,0),FALSE),"---------------"))</f>
        <v>Die Endsumme Ihrer Bestellung finden Sie hier:</v>
      </c>
      <c r="BD71" s="1076"/>
      <c r="BE71" s="1076"/>
      <c r="BF71" s="1076"/>
      <c r="BG71" s="1076"/>
    </row>
    <row r="72" spans="3:59" ht="15" customHeight="1">
      <c r="BC72" s="1076"/>
      <c r="BD72" s="1076"/>
      <c r="BE72" s="1076"/>
      <c r="BF72" s="1076"/>
      <c r="BG72" s="1076"/>
    </row>
    <row r="73" spans="3:59">
      <c r="BC73" s="251"/>
      <c r="BD73" s="251"/>
      <c r="BE73" s="251"/>
      <c r="BF73" s="251"/>
      <c r="BG73" s="251"/>
    </row>
    <row r="75" spans="3:59" ht="6" customHeight="1" thickBot="1">
      <c r="C75" s="966"/>
      <c r="D75" s="966"/>
      <c r="E75" s="966"/>
      <c r="F75" s="966"/>
      <c r="G75" s="966"/>
      <c r="H75" s="966"/>
      <c r="I75" s="966"/>
      <c r="J75" s="966"/>
      <c r="K75" s="966"/>
      <c r="L75" s="966"/>
      <c r="M75" s="966"/>
    </row>
    <row r="76" spans="3:59" ht="15.75" thickTop="1">
      <c r="C76" s="966"/>
      <c r="D76" s="960"/>
      <c r="E76" s="961"/>
      <c r="F76" s="1070" t="str">
        <f>IF($AP$3=$AQ$3,Jazyky_ceník!A117,IFERROR(VLOOKUP(Jazyky_ceník!A117,Jazyky_ceník!A:Q,MATCH($AP$3,Jazyky_ceník!$A$1:$Q$1,0),FALSE),"---------------"))</f>
        <v>Wenn Sie F4 bestellen möchten, müssen Sie dieses Kästchen ankreuzen:</v>
      </c>
      <c r="G76" s="1070"/>
      <c r="H76" s="1070"/>
      <c r="I76" s="1070"/>
      <c r="J76" s="1070"/>
      <c r="K76" s="1070"/>
      <c r="L76" s="962"/>
      <c r="M76" s="966"/>
    </row>
    <row r="77" spans="3:59">
      <c r="C77" s="966"/>
      <c r="D77" s="963"/>
      <c r="E77" s="964"/>
      <c r="F77" s="964"/>
      <c r="G77" s="1071" t="str">
        <f>IF($AP$3=$AQ$3,Jazyky_ceník!A115,IFERROR(VLOOKUP(Jazyky_ceník!A115,Jazyky_ceník!A:Q,MATCH($AP$3,Jazyky_ceník!$A$1:$Q$1,0),FALSE),"---------------"))</f>
        <v>Ja, ich habe eine F4-Erlaubnis</v>
      </c>
      <c r="H77" s="1071"/>
      <c r="I77" s="1071"/>
      <c r="J77" s="1071"/>
      <c r="K77" s="964"/>
      <c r="L77" s="965"/>
      <c r="M77" s="966"/>
    </row>
    <row r="78" spans="3:59" ht="15.75" thickBot="1">
      <c r="C78" s="966"/>
      <c r="D78" s="1072" t="str">
        <f>IF($AP$3=$AQ$3,Jazyky_ceník!A116,IFERROR(VLOOKUP(Jazyky_ceník!A116,Jazyky_ceník!A:Q,MATCH($AP$3,Jazyky_ceník!$A$1:$Q$1,0),FALSE),"---------------"))</f>
        <v>Senden Sie uns zusammen mit Ihrer Bestellung eine Kopie Ihrer F4-Erlaubnis.</v>
      </c>
      <c r="E78" s="1073"/>
      <c r="F78" s="1073"/>
      <c r="G78" s="1073"/>
      <c r="H78" s="1073"/>
      <c r="I78" s="1073"/>
      <c r="J78" s="1073"/>
      <c r="K78" s="1073"/>
      <c r="L78" s="1074"/>
      <c r="M78" s="966"/>
    </row>
    <row r="79" spans="3:59" ht="6" customHeight="1" thickTop="1">
      <c r="C79" s="966"/>
      <c r="D79" s="966"/>
      <c r="E79" s="966"/>
      <c r="F79" s="966"/>
      <c r="G79" s="966"/>
      <c r="H79" s="966"/>
      <c r="I79" s="966"/>
      <c r="J79" s="966"/>
      <c r="K79" s="966"/>
      <c r="L79" s="966"/>
      <c r="M79" s="966"/>
    </row>
  </sheetData>
  <mergeCells count="44">
    <mergeCell ref="BZ1:CC1"/>
    <mergeCell ref="CD1:CG1"/>
    <mergeCell ref="BK49:BL49"/>
    <mergeCell ref="BP42:BS43"/>
    <mergeCell ref="BP44:BS44"/>
    <mergeCell ref="BP40:BS41"/>
    <mergeCell ref="BC35:BD35"/>
    <mergeCell ref="AJ28:AL28"/>
    <mergeCell ref="AM28:AQ28"/>
    <mergeCell ref="AT28:AX28"/>
    <mergeCell ref="BG28:BP29"/>
    <mergeCell ref="BC28:BD28"/>
    <mergeCell ref="AK29:AM29"/>
    <mergeCell ref="BE17:BH17"/>
    <mergeCell ref="BE20:BH20"/>
    <mergeCell ref="BE19:BH19"/>
    <mergeCell ref="BC17:BD17"/>
    <mergeCell ref="BC20:BD20"/>
    <mergeCell ref="BC19:BD19"/>
    <mergeCell ref="BC18:BD18"/>
    <mergeCell ref="BE18:BH18"/>
    <mergeCell ref="AM24:AP25"/>
    <mergeCell ref="AR28:AS28"/>
    <mergeCell ref="AQ24:AU25"/>
    <mergeCell ref="AN26:AS26"/>
    <mergeCell ref="BC25:BD25"/>
    <mergeCell ref="BC26:BD26"/>
    <mergeCell ref="BC27:BD27"/>
    <mergeCell ref="F76:K76"/>
    <mergeCell ref="G77:J77"/>
    <mergeCell ref="D78:L78"/>
    <mergeCell ref="AP29:AQ29"/>
    <mergeCell ref="BC71:BG72"/>
    <mergeCell ref="BC59:BH60"/>
    <mergeCell ref="BC61:BH62"/>
    <mergeCell ref="AL49:AQ49"/>
    <mergeCell ref="BC30:BD30"/>
    <mergeCell ref="BC37:BD37"/>
    <mergeCell ref="BC29:BD29"/>
    <mergeCell ref="BC36:BD36"/>
    <mergeCell ref="BC31:BD31"/>
    <mergeCell ref="BC32:BD32"/>
    <mergeCell ref="BC33:BD33"/>
    <mergeCell ref="BC34:BD34"/>
  </mergeCells>
  <pageMargins left="0.7" right="0.7" top="0.78740157499999996" bottom="0.78740157499999996"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AF4B41-F403-499B-8A9A-5BAD57535CF8}">
  <sheetPr codeName="List11"/>
  <dimension ref="A1:P1462"/>
  <sheetViews>
    <sheetView zoomScaleNormal="100" workbookViewId="0">
      <pane xSplit="1" ySplit="8" topLeftCell="B1435" activePane="bottomRight" state="frozen"/>
      <selection pane="topRight" activeCell="B1" sqref="B1"/>
      <selection pane="bottomLeft" activeCell="A9" sqref="A9"/>
      <selection pane="bottomRight" activeCell="I1458" sqref="I1458"/>
    </sheetView>
  </sheetViews>
  <sheetFormatPr defaultRowHeight="15" customHeight="1"/>
  <sheetData>
    <row r="1" spans="1:16">
      <c r="A1" s="28"/>
      <c r="B1" s="29" t="s">
        <v>2926</v>
      </c>
      <c r="C1" s="30"/>
      <c r="D1" s="30"/>
      <c r="E1" s="30"/>
      <c r="F1" s="30"/>
      <c r="G1" s="30"/>
      <c r="H1" s="30"/>
      <c r="I1" s="30"/>
      <c r="J1" s="30"/>
      <c r="K1" s="30"/>
      <c r="L1" s="30"/>
      <c r="M1" s="30"/>
      <c r="P1" s="120"/>
    </row>
    <row r="2" spans="1:16">
      <c r="A2" s="28"/>
      <c r="B2" s="28" t="s">
        <v>2927</v>
      </c>
      <c r="C2" s="30"/>
      <c r="D2" s="30"/>
      <c r="E2" s="30"/>
      <c r="F2" s="30"/>
      <c r="G2" s="30"/>
      <c r="H2" s="30"/>
      <c r="I2" s="30"/>
      <c r="J2" s="30"/>
      <c r="K2" s="30"/>
      <c r="L2" s="30"/>
      <c r="M2" s="30"/>
      <c r="P2" s="120"/>
    </row>
    <row r="3" spans="1:16">
      <c r="A3" s="28"/>
      <c r="B3" s="28" t="s">
        <v>10969</v>
      </c>
      <c r="C3" s="30"/>
      <c r="D3" s="30"/>
      <c r="E3" s="30"/>
      <c r="F3" s="30"/>
      <c r="G3" s="30"/>
      <c r="H3" s="30"/>
      <c r="I3" s="30"/>
      <c r="J3" s="30"/>
      <c r="K3" s="30"/>
      <c r="L3" s="30"/>
      <c r="M3" s="30"/>
      <c r="P3" s="120"/>
    </row>
    <row r="4" spans="1:16">
      <c r="A4" s="28"/>
      <c r="B4" s="28" t="s">
        <v>0</v>
      </c>
      <c r="C4" s="30"/>
      <c r="D4" s="30"/>
      <c r="E4" s="30"/>
      <c r="F4" s="30"/>
      <c r="G4" s="30"/>
      <c r="H4" s="30"/>
      <c r="I4" s="30"/>
      <c r="J4" s="30"/>
      <c r="K4" s="30"/>
      <c r="L4" s="30"/>
      <c r="M4" s="30"/>
      <c r="P4" s="120"/>
    </row>
    <row r="5" spans="1:16" ht="15.75" thickBot="1">
      <c r="A5" s="31">
        <v>1</v>
      </c>
      <c r="B5" s="31">
        <v>96</v>
      </c>
      <c r="C5" s="31">
        <v>19</v>
      </c>
      <c r="D5" s="31">
        <v>97</v>
      </c>
      <c r="E5" s="31">
        <v>139</v>
      </c>
      <c r="F5" s="31">
        <v>140</v>
      </c>
      <c r="G5" s="31">
        <v>141</v>
      </c>
      <c r="H5" s="31">
        <v>142</v>
      </c>
      <c r="I5" s="31">
        <v>143</v>
      </c>
      <c r="J5" s="31">
        <v>144</v>
      </c>
      <c r="K5" s="31">
        <v>158</v>
      </c>
      <c r="L5" s="31">
        <v>159</v>
      </c>
      <c r="M5" s="31">
        <v>157</v>
      </c>
      <c r="P5" s="120"/>
    </row>
    <row r="6" spans="1:16">
      <c r="A6" s="39" t="s">
        <v>1</v>
      </c>
      <c r="B6" s="40" t="s">
        <v>9</v>
      </c>
      <c r="C6" s="41" t="s">
        <v>8</v>
      </c>
      <c r="D6" s="41" t="s">
        <v>10</v>
      </c>
      <c r="E6" s="41" t="s">
        <v>2928</v>
      </c>
      <c r="F6" s="41" t="s">
        <v>2929</v>
      </c>
      <c r="G6" s="42" t="s">
        <v>2930</v>
      </c>
      <c r="H6" s="43" t="s">
        <v>2928</v>
      </c>
      <c r="I6" s="42" t="s">
        <v>2931</v>
      </c>
      <c r="J6" s="44" t="s">
        <v>2932</v>
      </c>
      <c r="K6" s="45" t="s">
        <v>8714</v>
      </c>
      <c r="L6" s="45" t="s">
        <v>9593</v>
      </c>
      <c r="M6" s="45"/>
      <c r="P6" s="120"/>
    </row>
    <row r="7" spans="1:16">
      <c r="A7" s="46" t="s">
        <v>16</v>
      </c>
      <c r="B7" s="47" t="s">
        <v>2861</v>
      </c>
      <c r="C7" s="48" t="s">
        <v>2862</v>
      </c>
      <c r="D7" s="48" t="s">
        <v>2863</v>
      </c>
      <c r="E7" s="48" t="s">
        <v>8332</v>
      </c>
      <c r="F7" s="48" t="s">
        <v>8329</v>
      </c>
      <c r="G7" s="49" t="s">
        <v>8740</v>
      </c>
      <c r="H7" s="50" t="s">
        <v>9604</v>
      </c>
      <c r="I7" s="49" t="s">
        <v>2865</v>
      </c>
      <c r="J7" s="51" t="s">
        <v>2864</v>
      </c>
      <c r="K7" s="52" t="s">
        <v>8685</v>
      </c>
      <c r="L7" s="52" t="s">
        <v>9603</v>
      </c>
      <c r="M7" s="52" t="s">
        <v>9605</v>
      </c>
      <c r="P7" s="120"/>
    </row>
    <row r="8" spans="1:16">
      <c r="A8" s="46"/>
      <c r="B8" s="47" t="s">
        <v>11620</v>
      </c>
      <c r="C8" s="48" t="s">
        <v>2862</v>
      </c>
      <c r="D8" s="48" t="s">
        <v>11621</v>
      </c>
      <c r="E8" s="48" t="s">
        <v>11622</v>
      </c>
      <c r="F8" s="48" t="s">
        <v>8329</v>
      </c>
      <c r="G8" s="48" t="s">
        <v>11623</v>
      </c>
      <c r="H8" s="53" t="s">
        <v>8330</v>
      </c>
      <c r="I8" s="48" t="s">
        <v>8331</v>
      </c>
      <c r="J8" s="53" t="s">
        <v>8333</v>
      </c>
      <c r="K8" s="54" t="s">
        <v>9049</v>
      </c>
      <c r="L8" s="54" t="s">
        <v>11624</v>
      </c>
      <c r="M8" s="54" t="s">
        <v>9614</v>
      </c>
      <c r="P8" s="120"/>
    </row>
    <row r="9" spans="1:16" ht="15.75" thickBot="1">
      <c r="A9" s="55"/>
      <c r="B9" s="56" t="s">
        <v>9</v>
      </c>
      <c r="C9" s="57" t="s">
        <v>8</v>
      </c>
      <c r="D9" s="56" t="s">
        <v>10</v>
      </c>
      <c r="E9" s="57" t="s">
        <v>2928</v>
      </c>
      <c r="F9" s="57" t="s">
        <v>2929</v>
      </c>
      <c r="G9" s="57" t="s">
        <v>2930</v>
      </c>
      <c r="H9" s="58" t="s">
        <v>2928</v>
      </c>
      <c r="I9" s="57" t="s">
        <v>2931</v>
      </c>
      <c r="J9" s="58" t="s">
        <v>2932</v>
      </c>
      <c r="K9" s="59" t="s">
        <v>8714</v>
      </c>
      <c r="L9" s="59" t="s">
        <v>9593</v>
      </c>
      <c r="M9" s="59"/>
      <c r="P9" s="120"/>
    </row>
    <row r="10" spans="1:16" ht="36.75" customHeight="1" thickTop="1">
      <c r="A10" s="214" t="s">
        <v>2288</v>
      </c>
      <c r="B10" s="36" t="s">
        <v>2573</v>
      </c>
      <c r="C10" s="37" t="s">
        <v>2679</v>
      </c>
      <c r="D10" s="38" t="s">
        <v>2759</v>
      </c>
      <c r="E10" s="37" t="s">
        <v>2933</v>
      </c>
      <c r="F10" s="36" t="s">
        <v>2934</v>
      </c>
      <c r="G10" s="36" t="s">
        <v>2935</v>
      </c>
      <c r="H10" s="36" t="s">
        <v>2936</v>
      </c>
      <c r="I10" s="36" t="s">
        <v>2937</v>
      </c>
      <c r="J10" s="36" t="s">
        <v>2938</v>
      </c>
      <c r="K10" s="36" t="s">
        <v>9050</v>
      </c>
      <c r="L10" s="36" t="s">
        <v>10303</v>
      </c>
      <c r="M10" s="36" t="s">
        <v>9647</v>
      </c>
      <c r="P10" s="120"/>
    </row>
    <row r="11" spans="1:16" ht="45" customHeight="1">
      <c r="A11" s="214" t="s">
        <v>2442</v>
      </c>
      <c r="B11" s="214" t="s">
        <v>2573</v>
      </c>
      <c r="C11" s="222" t="s">
        <v>2679</v>
      </c>
      <c r="D11" s="222" t="s">
        <v>2759</v>
      </c>
      <c r="E11" s="222" t="s">
        <v>2933</v>
      </c>
      <c r="F11" s="214" t="s">
        <v>2934</v>
      </c>
      <c r="G11" s="214" t="s">
        <v>2935</v>
      </c>
      <c r="H11" s="214" t="s">
        <v>2936</v>
      </c>
      <c r="I11" s="214" t="s">
        <v>2937</v>
      </c>
      <c r="J11" s="214" t="s">
        <v>2938</v>
      </c>
      <c r="K11" s="214" t="s">
        <v>9050</v>
      </c>
      <c r="L11" s="214" t="s">
        <v>10303</v>
      </c>
      <c r="M11" s="214" t="s">
        <v>9647</v>
      </c>
      <c r="P11" s="120"/>
    </row>
    <row r="12" spans="1:16" ht="36.75" customHeight="1">
      <c r="A12" s="214" t="s">
        <v>2289</v>
      </c>
      <c r="B12" s="214" t="s">
        <v>2574</v>
      </c>
      <c r="C12" s="222" t="s">
        <v>2680</v>
      </c>
      <c r="D12" s="222" t="s">
        <v>2760</v>
      </c>
      <c r="E12" s="222" t="s">
        <v>2939</v>
      </c>
      <c r="F12" s="214" t="s">
        <v>2940</v>
      </c>
      <c r="G12" s="214" t="s">
        <v>2941</v>
      </c>
      <c r="H12" s="214" t="s">
        <v>2942</v>
      </c>
      <c r="I12" s="214" t="s">
        <v>2943</v>
      </c>
      <c r="J12" s="214" t="s">
        <v>2944</v>
      </c>
      <c r="K12" s="214" t="s">
        <v>9051</v>
      </c>
      <c r="L12" s="214" t="s">
        <v>10304</v>
      </c>
      <c r="M12" s="214" t="s">
        <v>9648</v>
      </c>
      <c r="P12" s="120"/>
    </row>
    <row r="13" spans="1:16" ht="36.75" customHeight="1">
      <c r="A13" s="214" t="s">
        <v>2443</v>
      </c>
      <c r="B13" s="214" t="s">
        <v>2574</v>
      </c>
      <c r="C13" s="222" t="s">
        <v>2680</v>
      </c>
      <c r="D13" s="222" t="s">
        <v>2760</v>
      </c>
      <c r="E13" s="222" t="s">
        <v>2939</v>
      </c>
      <c r="F13" s="214" t="s">
        <v>2940</v>
      </c>
      <c r="G13" s="214" t="s">
        <v>2941</v>
      </c>
      <c r="H13" s="214" t="s">
        <v>2942</v>
      </c>
      <c r="I13" s="214" t="s">
        <v>2943</v>
      </c>
      <c r="J13" s="214" t="s">
        <v>2944</v>
      </c>
      <c r="K13" s="214" t="s">
        <v>9051</v>
      </c>
      <c r="L13" s="214" t="s">
        <v>10304</v>
      </c>
      <c r="M13" s="214" t="s">
        <v>9648</v>
      </c>
      <c r="P13" s="120"/>
    </row>
    <row r="14" spans="1:16" ht="36.75" customHeight="1">
      <c r="A14" s="214" t="s">
        <v>20</v>
      </c>
      <c r="B14" s="214" t="s">
        <v>27</v>
      </c>
      <c r="C14" s="222" t="s">
        <v>26</v>
      </c>
      <c r="D14" s="222" t="s">
        <v>28</v>
      </c>
      <c r="E14" s="222" t="s">
        <v>2945</v>
      </c>
      <c r="F14" s="214" t="s">
        <v>2946</v>
      </c>
      <c r="G14" s="214" t="s">
        <v>2947</v>
      </c>
      <c r="H14" s="214" t="s">
        <v>2948</v>
      </c>
      <c r="I14" s="214" t="s">
        <v>2949</v>
      </c>
      <c r="J14" s="214" t="s">
        <v>2950</v>
      </c>
      <c r="K14" s="214" t="s">
        <v>9052</v>
      </c>
      <c r="L14" s="214" t="s">
        <v>10305</v>
      </c>
      <c r="M14" s="214" t="s">
        <v>9649</v>
      </c>
      <c r="P14" s="120"/>
    </row>
    <row r="15" spans="1:16" ht="36.75" customHeight="1">
      <c r="A15" s="214" t="s">
        <v>29</v>
      </c>
      <c r="B15" s="214" t="s">
        <v>27</v>
      </c>
      <c r="C15" s="222" t="s">
        <v>26</v>
      </c>
      <c r="D15" s="222" t="s">
        <v>28</v>
      </c>
      <c r="E15" s="222" t="s">
        <v>2945</v>
      </c>
      <c r="F15" s="214" t="s">
        <v>2946</v>
      </c>
      <c r="G15" s="214" t="s">
        <v>2947</v>
      </c>
      <c r="H15" s="214" t="s">
        <v>2948</v>
      </c>
      <c r="I15" s="214" t="s">
        <v>2949</v>
      </c>
      <c r="J15" s="214" t="s">
        <v>2950</v>
      </c>
      <c r="K15" s="214" t="s">
        <v>9052</v>
      </c>
      <c r="L15" s="214" t="s">
        <v>10305</v>
      </c>
      <c r="M15" s="214" t="s">
        <v>9649</v>
      </c>
      <c r="P15" s="120"/>
    </row>
    <row r="16" spans="1:16" ht="36.75" customHeight="1">
      <c r="A16" s="214" t="s">
        <v>2290</v>
      </c>
      <c r="B16" s="214" t="s">
        <v>2575</v>
      </c>
      <c r="C16" s="222" t="s">
        <v>2681</v>
      </c>
      <c r="D16" s="222" t="s">
        <v>2761</v>
      </c>
      <c r="E16" s="222" t="s">
        <v>2951</v>
      </c>
      <c r="F16" s="214" t="s">
        <v>2952</v>
      </c>
      <c r="G16" s="214" t="s">
        <v>2953</v>
      </c>
      <c r="H16" s="214" t="s">
        <v>2954</v>
      </c>
      <c r="I16" s="214" t="s">
        <v>2955</v>
      </c>
      <c r="J16" s="214" t="s">
        <v>2956</v>
      </c>
      <c r="K16" s="214" t="s">
        <v>9053</v>
      </c>
      <c r="L16" s="214" t="s">
        <v>10306</v>
      </c>
      <c r="M16" s="214" t="s">
        <v>9650</v>
      </c>
      <c r="P16" s="120"/>
    </row>
    <row r="17" spans="1:16" ht="36.75" customHeight="1">
      <c r="A17" s="214" t="s">
        <v>30</v>
      </c>
      <c r="B17" s="214" t="s">
        <v>34</v>
      </c>
      <c r="C17" s="222" t="s">
        <v>33</v>
      </c>
      <c r="D17" s="222" t="s">
        <v>35</v>
      </c>
      <c r="E17" s="222" t="s">
        <v>2957</v>
      </c>
      <c r="F17" s="214" t="s">
        <v>2946</v>
      </c>
      <c r="G17" s="214" t="s">
        <v>2958</v>
      </c>
      <c r="H17" s="214" t="s">
        <v>2959</v>
      </c>
      <c r="I17" s="214" t="s">
        <v>2960</v>
      </c>
      <c r="J17" s="214" t="s">
        <v>2961</v>
      </c>
      <c r="K17" s="214" t="s">
        <v>9054</v>
      </c>
      <c r="L17" s="214" t="s">
        <v>10307</v>
      </c>
      <c r="M17" s="214" t="s">
        <v>9651</v>
      </c>
      <c r="P17" s="120"/>
    </row>
    <row r="18" spans="1:16" ht="36.75" customHeight="1">
      <c r="A18" s="215" t="s">
        <v>2962</v>
      </c>
      <c r="B18" s="214" t="s">
        <v>2964</v>
      </c>
      <c r="C18" s="222" t="s">
        <v>2963</v>
      </c>
      <c r="D18" s="222" t="s">
        <v>2965</v>
      </c>
      <c r="E18" s="222" t="s">
        <v>2966</v>
      </c>
      <c r="F18" s="214" t="s">
        <v>2967</v>
      </c>
      <c r="G18" s="214" t="s">
        <v>2968</v>
      </c>
      <c r="H18" s="214" t="s">
        <v>2969</v>
      </c>
      <c r="I18" s="214" t="s">
        <v>2970</v>
      </c>
      <c r="J18" s="214" t="s">
        <v>2971</v>
      </c>
      <c r="K18" s="214" t="s">
        <v>9055</v>
      </c>
      <c r="L18" s="214" t="s">
        <v>10308</v>
      </c>
      <c r="M18" s="214" t="s">
        <v>9652</v>
      </c>
      <c r="P18" s="120"/>
    </row>
    <row r="19" spans="1:16" ht="36.75" customHeight="1">
      <c r="A19" s="214" t="s">
        <v>36</v>
      </c>
      <c r="B19" s="214" t="s">
        <v>39</v>
      </c>
      <c r="C19" s="222" t="s">
        <v>38</v>
      </c>
      <c r="D19" s="222" t="s">
        <v>40</v>
      </c>
      <c r="E19" s="222" t="s">
        <v>2972</v>
      </c>
      <c r="F19" s="214" t="s">
        <v>2973</v>
      </c>
      <c r="G19" s="214" t="s">
        <v>2974</v>
      </c>
      <c r="H19" s="214" t="s">
        <v>2975</v>
      </c>
      <c r="I19" s="214" t="s">
        <v>2949</v>
      </c>
      <c r="J19" s="214" t="s">
        <v>2976</v>
      </c>
      <c r="K19" s="214" t="s">
        <v>9056</v>
      </c>
      <c r="L19" s="214" t="s">
        <v>10309</v>
      </c>
      <c r="M19" s="214" t="s">
        <v>9653</v>
      </c>
      <c r="P19" s="120"/>
    </row>
    <row r="20" spans="1:16">
      <c r="A20" s="214" t="s">
        <v>41</v>
      </c>
      <c r="B20" s="214" t="s">
        <v>39</v>
      </c>
      <c r="C20" s="222" t="s">
        <v>38</v>
      </c>
      <c r="D20" s="222" t="s">
        <v>40</v>
      </c>
      <c r="E20" s="222" t="s">
        <v>2972</v>
      </c>
      <c r="F20" s="214" t="s">
        <v>2973</v>
      </c>
      <c r="G20" s="214" t="s">
        <v>2974</v>
      </c>
      <c r="H20" s="214" t="s">
        <v>2975</v>
      </c>
      <c r="I20" s="214" t="s">
        <v>2949</v>
      </c>
      <c r="J20" s="214" t="s">
        <v>2976</v>
      </c>
      <c r="K20" s="214" t="s">
        <v>9056</v>
      </c>
      <c r="L20" s="214" t="s">
        <v>10309</v>
      </c>
      <c r="M20" s="214" t="s">
        <v>9653</v>
      </c>
      <c r="P20" s="120"/>
    </row>
    <row r="21" spans="1:16">
      <c r="A21" s="214" t="s">
        <v>42</v>
      </c>
      <c r="B21" s="214" t="s">
        <v>2576</v>
      </c>
      <c r="C21" s="222" t="s">
        <v>2682</v>
      </c>
      <c r="D21" s="222" t="s">
        <v>2762</v>
      </c>
      <c r="E21" s="222" t="s">
        <v>2977</v>
      </c>
      <c r="F21" s="214" t="s">
        <v>2978</v>
      </c>
      <c r="G21" s="214" t="s">
        <v>2979</v>
      </c>
      <c r="H21" s="214" t="s">
        <v>2980</v>
      </c>
      <c r="I21" s="214" t="s">
        <v>2981</v>
      </c>
      <c r="J21" s="214" t="s">
        <v>2982</v>
      </c>
      <c r="K21" s="214" t="s">
        <v>9057</v>
      </c>
      <c r="L21" s="214" t="s">
        <v>10310</v>
      </c>
      <c r="M21" s="214" t="s">
        <v>9654</v>
      </c>
      <c r="P21" s="120"/>
    </row>
    <row r="22" spans="1:16">
      <c r="A22" s="214" t="s">
        <v>11760</v>
      </c>
      <c r="B22" s="214" t="s">
        <v>13369</v>
      </c>
      <c r="C22" s="222" t="s">
        <v>13370</v>
      </c>
      <c r="D22" s="222" t="s">
        <v>13371</v>
      </c>
      <c r="E22" s="222" t="s">
        <v>11934</v>
      </c>
      <c r="F22" s="214" t="s">
        <v>11935</v>
      </c>
      <c r="G22" s="214" t="s">
        <v>11936</v>
      </c>
      <c r="H22" s="214" t="s">
        <v>11937</v>
      </c>
      <c r="I22" s="214" t="s">
        <v>13372</v>
      </c>
      <c r="J22" s="214" t="s">
        <v>11938</v>
      </c>
      <c r="K22" s="214" t="s">
        <v>11940</v>
      </c>
      <c r="L22" s="214" t="s">
        <v>11941</v>
      </c>
      <c r="M22" s="214" t="s">
        <v>11939</v>
      </c>
      <c r="P22" s="120"/>
    </row>
    <row r="23" spans="1:16">
      <c r="A23" s="214" t="s">
        <v>12110</v>
      </c>
      <c r="B23" s="214" t="s">
        <v>11942</v>
      </c>
      <c r="C23" s="222" t="s">
        <v>83</v>
      </c>
      <c r="D23" s="222" t="s">
        <v>85</v>
      </c>
      <c r="E23" s="222" t="s">
        <v>2983</v>
      </c>
      <c r="F23" s="214" t="s">
        <v>2984</v>
      </c>
      <c r="G23" s="214" t="s">
        <v>2985</v>
      </c>
      <c r="H23" s="214" t="s">
        <v>2986</v>
      </c>
      <c r="I23" s="214" t="s">
        <v>2987</v>
      </c>
      <c r="J23" s="214" t="s">
        <v>2988</v>
      </c>
      <c r="K23" s="214" t="s">
        <v>9058</v>
      </c>
      <c r="L23" s="214" t="s">
        <v>10311</v>
      </c>
      <c r="M23" s="214" t="s">
        <v>9655</v>
      </c>
      <c r="P23" s="120"/>
    </row>
    <row r="24" spans="1:16">
      <c r="A24" s="214" t="s">
        <v>12111</v>
      </c>
      <c r="B24" s="214" t="s">
        <v>11942</v>
      </c>
      <c r="C24" s="222" t="s">
        <v>83</v>
      </c>
      <c r="D24" s="222" t="s">
        <v>85</v>
      </c>
      <c r="E24" s="222" t="s">
        <v>2983</v>
      </c>
      <c r="F24" s="214" t="s">
        <v>2984</v>
      </c>
      <c r="G24" s="214" t="s">
        <v>2985</v>
      </c>
      <c r="H24" s="214" t="s">
        <v>2986</v>
      </c>
      <c r="I24" s="214" t="s">
        <v>2987</v>
      </c>
      <c r="J24" s="214" t="s">
        <v>2988</v>
      </c>
      <c r="K24" s="214" t="s">
        <v>9058</v>
      </c>
      <c r="L24" s="214" t="s">
        <v>10311</v>
      </c>
      <c r="M24" s="214" t="s">
        <v>9655</v>
      </c>
      <c r="P24" s="120"/>
    </row>
    <row r="25" spans="1:16">
      <c r="A25" s="214" t="s">
        <v>80</v>
      </c>
      <c r="B25" s="214" t="s">
        <v>84</v>
      </c>
      <c r="C25" s="222" t="s">
        <v>83</v>
      </c>
      <c r="D25" s="222" t="s">
        <v>85</v>
      </c>
      <c r="E25" s="222" t="s">
        <v>2983</v>
      </c>
      <c r="F25" s="214" t="s">
        <v>2984</v>
      </c>
      <c r="G25" s="214" t="s">
        <v>2985</v>
      </c>
      <c r="H25" s="214" t="s">
        <v>2986</v>
      </c>
      <c r="I25" s="214" t="s">
        <v>2987</v>
      </c>
      <c r="J25" s="214" t="s">
        <v>2988</v>
      </c>
      <c r="K25" s="214" t="s">
        <v>9058</v>
      </c>
      <c r="L25" s="214" t="s">
        <v>10311</v>
      </c>
      <c r="M25" s="214" t="s">
        <v>9655</v>
      </c>
      <c r="P25" s="120"/>
    </row>
    <row r="26" spans="1:16">
      <c r="A26" s="215" t="s">
        <v>86</v>
      </c>
      <c r="B26" s="214" t="s">
        <v>90</v>
      </c>
      <c r="C26" s="222" t="s">
        <v>89</v>
      </c>
      <c r="D26" s="222" t="s">
        <v>91</v>
      </c>
      <c r="E26" s="222" t="s">
        <v>2989</v>
      </c>
      <c r="F26" s="214" t="s">
        <v>2990</v>
      </c>
      <c r="G26" s="214" t="s">
        <v>2991</v>
      </c>
      <c r="H26" s="214" t="s">
        <v>2992</v>
      </c>
      <c r="I26" s="214" t="s">
        <v>2993</v>
      </c>
      <c r="J26" s="214" t="s">
        <v>2994</v>
      </c>
      <c r="K26" s="214" t="s">
        <v>9059</v>
      </c>
      <c r="L26" s="214" t="s">
        <v>10312</v>
      </c>
      <c r="M26" s="214" t="s">
        <v>9656</v>
      </c>
      <c r="P26" s="120"/>
    </row>
    <row r="27" spans="1:16">
      <c r="A27" s="215" t="s">
        <v>92</v>
      </c>
      <c r="B27" s="214" t="s">
        <v>90</v>
      </c>
      <c r="C27" s="222" t="s">
        <v>89</v>
      </c>
      <c r="D27" s="222" t="s">
        <v>91</v>
      </c>
      <c r="E27" s="222" t="s">
        <v>2989</v>
      </c>
      <c r="F27" s="214" t="s">
        <v>2990</v>
      </c>
      <c r="G27" s="214" t="s">
        <v>2991</v>
      </c>
      <c r="H27" s="214" t="s">
        <v>2992</v>
      </c>
      <c r="I27" s="214" t="s">
        <v>2993</v>
      </c>
      <c r="J27" s="214" t="s">
        <v>2994</v>
      </c>
      <c r="K27" s="214" t="s">
        <v>9059</v>
      </c>
      <c r="L27" s="214" t="s">
        <v>10312</v>
      </c>
      <c r="M27" s="214" t="s">
        <v>9656</v>
      </c>
      <c r="P27" s="120"/>
    </row>
    <row r="28" spans="1:16">
      <c r="A28" s="215" t="s">
        <v>4343</v>
      </c>
      <c r="B28" s="214" t="s">
        <v>4346</v>
      </c>
      <c r="C28" s="222" t="s">
        <v>4345</v>
      </c>
      <c r="D28" s="222" t="s">
        <v>4347</v>
      </c>
      <c r="E28" s="222" t="s">
        <v>4348</v>
      </c>
      <c r="F28" s="214" t="s">
        <v>4349</v>
      </c>
      <c r="G28" s="214" t="s">
        <v>4350</v>
      </c>
      <c r="H28" s="214" t="s">
        <v>4351</v>
      </c>
      <c r="I28" s="214" t="s">
        <v>4352</v>
      </c>
      <c r="J28" s="214" t="s">
        <v>4353</v>
      </c>
      <c r="K28" s="214" t="s">
        <v>9257</v>
      </c>
      <c r="L28" s="214" t="s">
        <v>10506</v>
      </c>
      <c r="M28" s="214" t="s">
        <v>9859</v>
      </c>
      <c r="P28" s="120"/>
    </row>
    <row r="29" spans="1:16">
      <c r="A29" s="214" t="s">
        <v>98</v>
      </c>
      <c r="B29" s="214" t="s">
        <v>100</v>
      </c>
      <c r="C29" s="222" t="s">
        <v>99</v>
      </c>
      <c r="D29" s="222" t="s">
        <v>101</v>
      </c>
      <c r="E29" s="222" t="s">
        <v>2995</v>
      </c>
      <c r="F29" s="214" t="s">
        <v>2996</v>
      </c>
      <c r="G29" s="214" t="s">
        <v>2997</v>
      </c>
      <c r="H29" s="214" t="s">
        <v>2998</v>
      </c>
      <c r="I29" s="214" t="s">
        <v>2999</v>
      </c>
      <c r="J29" s="214" t="s">
        <v>3000</v>
      </c>
      <c r="K29" s="214" t="s">
        <v>9060</v>
      </c>
      <c r="L29" s="214" t="s">
        <v>10313</v>
      </c>
      <c r="M29" s="214" t="s">
        <v>9657</v>
      </c>
      <c r="P29" s="120"/>
    </row>
    <row r="30" spans="1:16">
      <c r="A30" s="214" t="s">
        <v>102</v>
      </c>
      <c r="B30" s="214" t="s">
        <v>100</v>
      </c>
      <c r="C30" s="222" t="s">
        <v>99</v>
      </c>
      <c r="D30" s="222" t="s">
        <v>101</v>
      </c>
      <c r="E30" s="222" t="s">
        <v>2995</v>
      </c>
      <c r="F30" s="214" t="s">
        <v>2996</v>
      </c>
      <c r="G30" s="214" t="s">
        <v>2997</v>
      </c>
      <c r="H30" s="214" t="s">
        <v>2998</v>
      </c>
      <c r="I30" s="214" t="s">
        <v>2999</v>
      </c>
      <c r="J30" s="214" t="s">
        <v>3000</v>
      </c>
      <c r="K30" s="214" t="s">
        <v>9060</v>
      </c>
      <c r="L30" s="214" t="s">
        <v>10313</v>
      </c>
      <c r="M30" s="214" t="s">
        <v>9657</v>
      </c>
      <c r="P30" s="120"/>
    </row>
    <row r="31" spans="1:16">
      <c r="A31" s="214" t="s">
        <v>3001</v>
      </c>
      <c r="B31" s="214" t="s">
        <v>100</v>
      </c>
      <c r="C31" s="222" t="s">
        <v>99</v>
      </c>
      <c r="D31" s="222" t="s">
        <v>101</v>
      </c>
      <c r="E31" s="222" t="s">
        <v>2995</v>
      </c>
      <c r="F31" s="214" t="s">
        <v>2996</v>
      </c>
      <c r="G31" s="214" t="s">
        <v>2997</v>
      </c>
      <c r="H31" s="214" t="s">
        <v>2998</v>
      </c>
      <c r="I31" s="214" t="s">
        <v>2999</v>
      </c>
      <c r="J31" s="214" t="s">
        <v>3000</v>
      </c>
      <c r="K31" s="214" t="s">
        <v>9060</v>
      </c>
      <c r="L31" s="214" t="s">
        <v>10313</v>
      </c>
      <c r="M31" s="214" t="s">
        <v>9657</v>
      </c>
      <c r="P31" s="120"/>
    </row>
    <row r="32" spans="1:16">
      <c r="A32" s="214" t="s">
        <v>103</v>
      </c>
      <c r="B32" s="214" t="s">
        <v>105</v>
      </c>
      <c r="C32" s="222" t="s">
        <v>104</v>
      </c>
      <c r="D32" s="222" t="s">
        <v>106</v>
      </c>
      <c r="E32" s="222" t="s">
        <v>3002</v>
      </c>
      <c r="F32" s="214" t="s">
        <v>3003</v>
      </c>
      <c r="G32" s="214" t="s">
        <v>3004</v>
      </c>
      <c r="H32" s="214" t="s">
        <v>3005</v>
      </c>
      <c r="I32" s="214" t="s">
        <v>3006</v>
      </c>
      <c r="J32" s="214" t="s">
        <v>3007</v>
      </c>
      <c r="K32" s="214" t="s">
        <v>9061</v>
      </c>
      <c r="L32" s="214" t="s">
        <v>10314</v>
      </c>
      <c r="M32" s="214" t="s">
        <v>9658</v>
      </c>
      <c r="P32" s="120"/>
    </row>
    <row r="33" spans="1:16">
      <c r="A33" s="214" t="s">
        <v>107</v>
      </c>
      <c r="B33" s="214" t="s">
        <v>105</v>
      </c>
      <c r="C33" s="222" t="s">
        <v>104</v>
      </c>
      <c r="D33" s="222" t="s">
        <v>106</v>
      </c>
      <c r="E33" s="222" t="s">
        <v>3002</v>
      </c>
      <c r="F33" s="214" t="s">
        <v>3003</v>
      </c>
      <c r="G33" s="214" t="s">
        <v>3004</v>
      </c>
      <c r="H33" s="214" t="s">
        <v>3005</v>
      </c>
      <c r="I33" s="214" t="s">
        <v>3006</v>
      </c>
      <c r="J33" s="214" t="s">
        <v>3007</v>
      </c>
      <c r="K33" s="214" t="s">
        <v>9061</v>
      </c>
      <c r="L33" s="214" t="s">
        <v>10314</v>
      </c>
      <c r="M33" s="214" t="s">
        <v>9658</v>
      </c>
      <c r="P33" s="120"/>
    </row>
    <row r="34" spans="1:16">
      <c r="A34" s="214" t="s">
        <v>11671</v>
      </c>
      <c r="B34" s="214" t="s">
        <v>11944</v>
      </c>
      <c r="C34" s="222" t="s">
        <v>11943</v>
      </c>
      <c r="D34" s="222" t="s">
        <v>11945</v>
      </c>
      <c r="E34" s="222" t="s">
        <v>3008</v>
      </c>
      <c r="F34" s="214" t="s">
        <v>11946</v>
      </c>
      <c r="G34" s="214" t="s">
        <v>11947</v>
      </c>
      <c r="H34" s="214" t="s">
        <v>3011</v>
      </c>
      <c r="I34" s="214" t="s">
        <v>3012</v>
      </c>
      <c r="J34" s="214" t="s">
        <v>3013</v>
      </c>
      <c r="K34" s="214" t="s">
        <v>9062</v>
      </c>
      <c r="L34" s="214" t="s">
        <v>10315</v>
      </c>
      <c r="M34" s="214" t="s">
        <v>9659</v>
      </c>
      <c r="P34" s="120"/>
    </row>
    <row r="35" spans="1:16">
      <c r="A35" s="214" t="s">
        <v>112</v>
      </c>
      <c r="B35" s="214" t="s">
        <v>110</v>
      </c>
      <c r="C35" s="222" t="s">
        <v>109</v>
      </c>
      <c r="D35" s="222" t="s">
        <v>111</v>
      </c>
      <c r="E35" s="222" t="s">
        <v>3008</v>
      </c>
      <c r="F35" s="214" t="s">
        <v>3009</v>
      </c>
      <c r="G35" s="214" t="s">
        <v>3010</v>
      </c>
      <c r="H35" s="214" t="s">
        <v>3011</v>
      </c>
      <c r="I35" s="214" t="s">
        <v>3012</v>
      </c>
      <c r="J35" s="214" t="s">
        <v>3013</v>
      </c>
      <c r="K35" s="223" t="s">
        <v>9062</v>
      </c>
      <c r="L35" s="214" t="s">
        <v>10315</v>
      </c>
      <c r="M35" s="214" t="s">
        <v>9659</v>
      </c>
      <c r="P35" s="120"/>
    </row>
    <row r="36" spans="1:16">
      <c r="A36" s="214" t="s">
        <v>11762</v>
      </c>
      <c r="B36" s="214" t="s">
        <v>11949</v>
      </c>
      <c r="C36" s="222" t="s">
        <v>11948</v>
      </c>
      <c r="D36" s="222" t="s">
        <v>13373</v>
      </c>
      <c r="E36" s="222" t="s">
        <v>13374</v>
      </c>
      <c r="F36" s="214" t="s">
        <v>13375</v>
      </c>
      <c r="G36" s="214" t="s">
        <v>13376</v>
      </c>
      <c r="H36" s="214" t="s">
        <v>13374</v>
      </c>
      <c r="I36" s="214" t="s">
        <v>13377</v>
      </c>
      <c r="J36" s="214" t="s">
        <v>13378</v>
      </c>
      <c r="K36" s="223" t="s">
        <v>13379</v>
      </c>
      <c r="L36" s="214" t="s">
        <v>13380</v>
      </c>
      <c r="M36" s="214" t="s">
        <v>13381</v>
      </c>
      <c r="P36" s="120"/>
    </row>
    <row r="37" spans="1:16">
      <c r="A37" s="215" t="s">
        <v>113</v>
      </c>
      <c r="B37" s="214" t="s">
        <v>115</v>
      </c>
      <c r="C37" s="222" t="s">
        <v>114</v>
      </c>
      <c r="D37" s="222" t="s">
        <v>116</v>
      </c>
      <c r="E37" s="222" t="s">
        <v>3014</v>
      </c>
      <c r="F37" s="214" t="s">
        <v>3015</v>
      </c>
      <c r="G37" s="214" t="s">
        <v>3016</v>
      </c>
      <c r="H37" s="214" t="s">
        <v>3017</v>
      </c>
      <c r="I37" s="214" t="s">
        <v>3018</v>
      </c>
      <c r="J37" s="214" t="s">
        <v>3019</v>
      </c>
      <c r="K37" s="214" t="s">
        <v>9063</v>
      </c>
      <c r="L37" s="214" t="s">
        <v>10316</v>
      </c>
      <c r="M37" s="214" t="s">
        <v>9660</v>
      </c>
      <c r="P37" s="120"/>
    </row>
    <row r="38" spans="1:16">
      <c r="A38" s="214" t="s">
        <v>117</v>
      </c>
      <c r="B38" s="214" t="s">
        <v>115</v>
      </c>
      <c r="C38" s="222" t="s">
        <v>114</v>
      </c>
      <c r="D38" s="222" t="s">
        <v>116</v>
      </c>
      <c r="E38" s="222" t="s">
        <v>3014</v>
      </c>
      <c r="F38" s="214" t="s">
        <v>3015</v>
      </c>
      <c r="G38" s="214" t="s">
        <v>3016</v>
      </c>
      <c r="H38" s="214" t="s">
        <v>3017</v>
      </c>
      <c r="I38" s="214" t="s">
        <v>3018</v>
      </c>
      <c r="J38" s="214" t="s">
        <v>3019</v>
      </c>
      <c r="K38" s="214" t="s">
        <v>9063</v>
      </c>
      <c r="L38" s="214" t="s">
        <v>10316</v>
      </c>
      <c r="M38" s="214" t="s">
        <v>9660</v>
      </c>
      <c r="P38" s="120"/>
    </row>
    <row r="39" spans="1:16">
      <c r="A39" s="215" t="s">
        <v>2299</v>
      </c>
      <c r="B39" s="214" t="s">
        <v>2577</v>
      </c>
      <c r="C39" s="222" t="s">
        <v>2683</v>
      </c>
      <c r="D39" s="222" t="s">
        <v>2763</v>
      </c>
      <c r="E39" s="222" t="s">
        <v>3020</v>
      </c>
      <c r="F39" s="214" t="s">
        <v>3021</v>
      </c>
      <c r="G39" s="214" t="s">
        <v>3022</v>
      </c>
      <c r="H39" s="214" t="s">
        <v>3023</v>
      </c>
      <c r="I39" s="214" t="s">
        <v>3024</v>
      </c>
      <c r="J39" s="214" t="s">
        <v>3025</v>
      </c>
      <c r="K39" s="214" t="s">
        <v>9064</v>
      </c>
      <c r="L39" s="214" t="s">
        <v>10317</v>
      </c>
      <c r="M39" s="214" t="s">
        <v>9661</v>
      </c>
      <c r="P39" s="120"/>
    </row>
    <row r="40" spans="1:16">
      <c r="A40" s="214" t="s">
        <v>12112</v>
      </c>
      <c r="B40" s="214" t="s">
        <v>11951</v>
      </c>
      <c r="C40" s="222" t="s">
        <v>11950</v>
      </c>
      <c r="D40" s="222" t="s">
        <v>11952</v>
      </c>
      <c r="E40" s="222" t="s">
        <v>11953</v>
      </c>
      <c r="F40" s="214" t="s">
        <v>11954</v>
      </c>
      <c r="G40" s="214" t="s">
        <v>11955</v>
      </c>
      <c r="H40" s="214" t="s">
        <v>11956</v>
      </c>
      <c r="I40" s="214" t="s">
        <v>11957</v>
      </c>
      <c r="J40" s="214" t="s">
        <v>11958</v>
      </c>
      <c r="K40" s="214" t="s">
        <v>11960</v>
      </c>
      <c r="L40" s="214" t="s">
        <v>11961</v>
      </c>
      <c r="M40" s="214" t="s">
        <v>11959</v>
      </c>
      <c r="P40" s="120"/>
    </row>
    <row r="41" spans="1:16">
      <c r="A41" s="214" t="s">
        <v>122</v>
      </c>
      <c r="B41" s="214" t="s">
        <v>120</v>
      </c>
      <c r="C41" s="222" t="s">
        <v>119</v>
      </c>
      <c r="D41" s="222" t="s">
        <v>121</v>
      </c>
      <c r="E41" s="222" t="s">
        <v>3026</v>
      </c>
      <c r="F41" s="214" t="s">
        <v>3021</v>
      </c>
      <c r="G41" s="214" t="s">
        <v>3027</v>
      </c>
      <c r="H41" s="214" t="s">
        <v>3028</v>
      </c>
      <c r="I41" s="214" t="s">
        <v>3029</v>
      </c>
      <c r="J41" s="214" t="s">
        <v>3030</v>
      </c>
      <c r="K41" s="214" t="s">
        <v>9065</v>
      </c>
      <c r="L41" s="214" t="s">
        <v>10318</v>
      </c>
      <c r="M41" s="214" t="s">
        <v>9662</v>
      </c>
      <c r="P41" s="120"/>
    </row>
    <row r="42" spans="1:16">
      <c r="A42" s="214" t="s">
        <v>125</v>
      </c>
      <c r="B42" s="214" t="s">
        <v>120</v>
      </c>
      <c r="C42" s="222" t="s">
        <v>119</v>
      </c>
      <c r="D42" s="222" t="s">
        <v>121</v>
      </c>
      <c r="E42" s="222" t="s">
        <v>3026</v>
      </c>
      <c r="F42" s="214" t="s">
        <v>3021</v>
      </c>
      <c r="G42" s="214" t="s">
        <v>3027</v>
      </c>
      <c r="H42" s="214" t="s">
        <v>3028</v>
      </c>
      <c r="I42" s="214" t="s">
        <v>3029</v>
      </c>
      <c r="J42" s="214" t="s">
        <v>3030</v>
      </c>
      <c r="K42" s="214" t="s">
        <v>9065</v>
      </c>
      <c r="L42" s="214" t="s">
        <v>10318</v>
      </c>
      <c r="M42" s="214" t="s">
        <v>9662</v>
      </c>
      <c r="P42" s="120"/>
    </row>
    <row r="43" spans="1:16">
      <c r="A43" s="215" t="s">
        <v>126</v>
      </c>
      <c r="B43" s="214" t="s">
        <v>3033</v>
      </c>
      <c r="C43" s="222" t="s">
        <v>3032</v>
      </c>
      <c r="D43" s="222" t="s">
        <v>3034</v>
      </c>
      <c r="E43" s="222" t="s">
        <v>3035</v>
      </c>
      <c r="F43" s="214" t="s">
        <v>3036</v>
      </c>
      <c r="G43" s="214" t="s">
        <v>3037</v>
      </c>
      <c r="H43" s="214" t="s">
        <v>3038</v>
      </c>
      <c r="I43" s="214" t="s">
        <v>3029</v>
      </c>
      <c r="J43" s="214" t="s">
        <v>3039</v>
      </c>
      <c r="K43" s="214" t="s">
        <v>9066</v>
      </c>
      <c r="L43" s="214" t="s">
        <v>10319</v>
      </c>
      <c r="M43" s="214" t="s">
        <v>9663</v>
      </c>
      <c r="P43" s="120"/>
    </row>
    <row r="44" spans="1:16">
      <c r="A44" s="215" t="s">
        <v>128</v>
      </c>
      <c r="B44" s="214" t="s">
        <v>3033</v>
      </c>
      <c r="C44" s="222" t="s">
        <v>3032</v>
      </c>
      <c r="D44" s="222" t="s">
        <v>3034</v>
      </c>
      <c r="E44" s="222" t="s">
        <v>3035</v>
      </c>
      <c r="F44" s="214" t="s">
        <v>3036</v>
      </c>
      <c r="G44" s="214" t="s">
        <v>3037</v>
      </c>
      <c r="H44" s="214" t="s">
        <v>3038</v>
      </c>
      <c r="I44" s="214" t="s">
        <v>3040</v>
      </c>
      <c r="J44" s="214" t="s">
        <v>3039</v>
      </c>
      <c r="K44" s="214" t="s">
        <v>9066</v>
      </c>
      <c r="L44" s="214" t="s">
        <v>10319</v>
      </c>
      <c r="M44" s="214" t="s">
        <v>9663</v>
      </c>
      <c r="P44" s="120"/>
    </row>
    <row r="45" spans="1:16">
      <c r="A45" s="214" t="s">
        <v>46</v>
      </c>
      <c r="B45" s="214" t="s">
        <v>48</v>
      </c>
      <c r="C45" s="222" t="s">
        <v>47</v>
      </c>
      <c r="D45" s="222" t="s">
        <v>49</v>
      </c>
      <c r="E45" s="222" t="s">
        <v>3041</v>
      </c>
      <c r="F45" s="214" t="s">
        <v>3042</v>
      </c>
      <c r="G45" s="214" t="s">
        <v>3043</v>
      </c>
      <c r="H45" s="214" t="s">
        <v>3044</v>
      </c>
      <c r="I45" s="214" t="s">
        <v>3045</v>
      </c>
      <c r="J45" s="214" t="s">
        <v>3046</v>
      </c>
      <c r="K45" s="214" t="s">
        <v>9067</v>
      </c>
      <c r="L45" s="214" t="s">
        <v>10320</v>
      </c>
      <c r="M45" s="214" t="s">
        <v>9664</v>
      </c>
      <c r="P45" s="120"/>
    </row>
    <row r="46" spans="1:16">
      <c r="A46" s="214" t="s">
        <v>50</v>
      </c>
      <c r="B46" s="214" t="s">
        <v>48</v>
      </c>
      <c r="C46" s="222" t="s">
        <v>47</v>
      </c>
      <c r="D46" s="222" t="s">
        <v>49</v>
      </c>
      <c r="E46" s="222" t="s">
        <v>3041</v>
      </c>
      <c r="F46" s="214" t="s">
        <v>3042</v>
      </c>
      <c r="G46" s="214" t="s">
        <v>3043</v>
      </c>
      <c r="H46" s="214" t="s">
        <v>3044</v>
      </c>
      <c r="I46" s="214" t="s">
        <v>3045</v>
      </c>
      <c r="J46" s="214" t="s">
        <v>3046</v>
      </c>
      <c r="K46" s="214" t="s">
        <v>9067</v>
      </c>
      <c r="L46" s="214" t="s">
        <v>10320</v>
      </c>
      <c r="M46" s="214" t="s">
        <v>9664</v>
      </c>
      <c r="P46" s="120"/>
    </row>
    <row r="47" spans="1:16">
      <c r="A47" s="215" t="s">
        <v>3047</v>
      </c>
      <c r="B47" s="214" t="s">
        <v>3050</v>
      </c>
      <c r="C47" s="222" t="s">
        <v>3049</v>
      </c>
      <c r="D47" s="222" t="s">
        <v>3051</v>
      </c>
      <c r="E47" s="222" t="s">
        <v>3052</v>
      </c>
      <c r="F47" s="214" t="s">
        <v>3053</v>
      </c>
      <c r="G47" s="214" t="s">
        <v>3054</v>
      </c>
      <c r="H47" s="214" t="s">
        <v>3055</v>
      </c>
      <c r="I47" s="214" t="s">
        <v>3056</v>
      </c>
      <c r="J47" s="214" t="s">
        <v>3057</v>
      </c>
      <c r="K47" s="214" t="s">
        <v>9068</v>
      </c>
      <c r="L47" s="214" t="s">
        <v>10321</v>
      </c>
      <c r="M47" s="214" t="s">
        <v>9665</v>
      </c>
      <c r="P47" s="120"/>
    </row>
    <row r="48" spans="1:16">
      <c r="A48" s="214" t="s">
        <v>11083</v>
      </c>
      <c r="B48" s="214" t="s">
        <v>3050</v>
      </c>
      <c r="C48" s="222" t="s">
        <v>3049</v>
      </c>
      <c r="D48" s="222" t="s">
        <v>3051</v>
      </c>
      <c r="E48" s="222" t="s">
        <v>3052</v>
      </c>
      <c r="F48" s="214" t="s">
        <v>3053</v>
      </c>
      <c r="G48" s="214" t="s">
        <v>3054</v>
      </c>
      <c r="H48" s="214" t="s">
        <v>3055</v>
      </c>
      <c r="I48" s="214" t="s">
        <v>3056</v>
      </c>
      <c r="J48" s="214" t="s">
        <v>3057</v>
      </c>
      <c r="K48" s="214" t="s">
        <v>9068</v>
      </c>
      <c r="L48" s="214" t="s">
        <v>10321</v>
      </c>
      <c r="M48" s="214" t="s">
        <v>9665</v>
      </c>
      <c r="P48" s="120"/>
    </row>
    <row r="49" spans="1:16">
      <c r="A49" s="214" t="s">
        <v>74</v>
      </c>
      <c r="B49" s="214" t="s">
        <v>78</v>
      </c>
      <c r="C49" s="222" t="s">
        <v>77</v>
      </c>
      <c r="D49" s="222" t="s">
        <v>79</v>
      </c>
      <c r="E49" s="222" t="s">
        <v>3058</v>
      </c>
      <c r="F49" s="214" t="s">
        <v>3059</v>
      </c>
      <c r="G49" s="214" t="s">
        <v>3060</v>
      </c>
      <c r="H49" s="214" t="s">
        <v>3061</v>
      </c>
      <c r="I49" s="214" t="s">
        <v>3062</v>
      </c>
      <c r="J49" s="214" t="s">
        <v>3063</v>
      </c>
      <c r="K49" s="214" t="s">
        <v>9069</v>
      </c>
      <c r="L49" s="214" t="s">
        <v>10322</v>
      </c>
      <c r="M49" s="214" t="s">
        <v>9666</v>
      </c>
      <c r="P49" s="120"/>
    </row>
    <row r="50" spans="1:16">
      <c r="A50" s="214" t="s">
        <v>69</v>
      </c>
      <c r="B50" s="214" t="s">
        <v>72</v>
      </c>
      <c r="C50" s="222" t="s">
        <v>71</v>
      </c>
      <c r="D50" s="222" t="s">
        <v>73</v>
      </c>
      <c r="E50" s="222" t="s">
        <v>3064</v>
      </c>
      <c r="F50" s="214" t="s">
        <v>3065</v>
      </c>
      <c r="G50" s="214" t="s">
        <v>3066</v>
      </c>
      <c r="H50" s="214" t="s">
        <v>3067</v>
      </c>
      <c r="I50" s="214" t="s">
        <v>3068</v>
      </c>
      <c r="J50" s="214" t="s">
        <v>3069</v>
      </c>
      <c r="K50" s="214" t="s">
        <v>9070</v>
      </c>
      <c r="L50" s="214" t="s">
        <v>10323</v>
      </c>
      <c r="M50" s="214" t="s">
        <v>9667</v>
      </c>
      <c r="P50" s="120"/>
    </row>
    <row r="51" spans="1:16">
      <c r="A51" s="214" t="s">
        <v>63</v>
      </c>
      <c r="B51" s="214" t="s">
        <v>67</v>
      </c>
      <c r="C51" s="222" t="s">
        <v>66</v>
      </c>
      <c r="D51" s="222" t="s">
        <v>68</v>
      </c>
      <c r="E51" s="222" t="s">
        <v>3070</v>
      </c>
      <c r="F51" s="214" t="s">
        <v>3071</v>
      </c>
      <c r="G51" s="214" t="s">
        <v>3072</v>
      </c>
      <c r="H51" s="214" t="s">
        <v>3073</v>
      </c>
      <c r="I51" s="214" t="s">
        <v>2970</v>
      </c>
      <c r="J51" s="214" t="s">
        <v>3074</v>
      </c>
      <c r="K51" s="214" t="s">
        <v>9071</v>
      </c>
      <c r="L51" s="214" t="s">
        <v>10324</v>
      </c>
      <c r="M51" s="214" t="s">
        <v>9668</v>
      </c>
      <c r="P51" s="120"/>
    </row>
    <row r="52" spans="1:16">
      <c r="A52" s="214" t="s">
        <v>57</v>
      </c>
      <c r="B52" s="214" t="s">
        <v>61</v>
      </c>
      <c r="C52" s="222" t="s">
        <v>60</v>
      </c>
      <c r="D52" s="222" t="s">
        <v>62</v>
      </c>
      <c r="E52" s="222" t="s">
        <v>3075</v>
      </c>
      <c r="F52" s="214" t="s">
        <v>3076</v>
      </c>
      <c r="G52" s="214" t="s">
        <v>3077</v>
      </c>
      <c r="H52" s="214" t="s">
        <v>3078</v>
      </c>
      <c r="I52" s="214" t="s">
        <v>3079</v>
      </c>
      <c r="J52" s="214" t="s">
        <v>3080</v>
      </c>
      <c r="K52" s="214" t="s">
        <v>9072</v>
      </c>
      <c r="L52" s="214" t="s">
        <v>10325</v>
      </c>
      <c r="M52" s="214" t="s">
        <v>9669</v>
      </c>
      <c r="P52" s="120"/>
    </row>
    <row r="53" spans="1:16">
      <c r="A53" s="215" t="s">
        <v>51</v>
      </c>
      <c r="B53" s="214" t="s">
        <v>55</v>
      </c>
      <c r="C53" s="222" t="s">
        <v>54</v>
      </c>
      <c r="D53" s="222" t="s">
        <v>56</v>
      </c>
      <c r="E53" s="222" t="s">
        <v>3081</v>
      </c>
      <c r="F53" s="214" t="s">
        <v>3082</v>
      </c>
      <c r="G53" s="214" t="s">
        <v>3083</v>
      </c>
      <c r="H53" s="214" t="s">
        <v>3084</v>
      </c>
      <c r="I53" s="214" t="s">
        <v>3085</v>
      </c>
      <c r="J53" s="214" t="s">
        <v>3086</v>
      </c>
      <c r="K53" s="214" t="s">
        <v>9073</v>
      </c>
      <c r="L53" s="214" t="s">
        <v>10326</v>
      </c>
      <c r="M53" s="214" t="s">
        <v>9670</v>
      </c>
      <c r="P53" s="120"/>
    </row>
    <row r="54" spans="1:16">
      <c r="A54" s="215" t="s">
        <v>2291</v>
      </c>
      <c r="B54" s="214" t="s">
        <v>2578</v>
      </c>
      <c r="C54" s="222" t="s">
        <v>2684</v>
      </c>
      <c r="D54" s="222" t="s">
        <v>10970</v>
      </c>
      <c r="E54" s="222" t="s">
        <v>3087</v>
      </c>
      <c r="F54" s="214" t="s">
        <v>3088</v>
      </c>
      <c r="G54" s="214" t="s">
        <v>3089</v>
      </c>
      <c r="H54" s="214" t="s">
        <v>3090</v>
      </c>
      <c r="I54" s="214" t="s">
        <v>3091</v>
      </c>
      <c r="J54" s="214" t="s">
        <v>3092</v>
      </c>
      <c r="K54" s="214" t="s">
        <v>9074</v>
      </c>
      <c r="L54" s="214" t="s">
        <v>10327</v>
      </c>
      <c r="M54" s="214" t="s">
        <v>9671</v>
      </c>
      <c r="P54" s="120"/>
    </row>
    <row r="55" spans="1:16">
      <c r="A55" s="214" t="s">
        <v>2293</v>
      </c>
      <c r="B55" s="214" t="s">
        <v>2579</v>
      </c>
      <c r="C55" s="222" t="s">
        <v>2685</v>
      </c>
      <c r="D55" s="222" t="s">
        <v>10971</v>
      </c>
      <c r="E55" s="222" t="s">
        <v>3093</v>
      </c>
      <c r="F55" s="214" t="s">
        <v>3094</v>
      </c>
      <c r="G55" s="214" t="s">
        <v>3095</v>
      </c>
      <c r="H55" s="214" t="s">
        <v>3096</v>
      </c>
      <c r="I55" s="214" t="s">
        <v>3097</v>
      </c>
      <c r="J55" s="214" t="s">
        <v>3098</v>
      </c>
      <c r="K55" s="223" t="s">
        <v>9075</v>
      </c>
      <c r="L55" s="214" t="s">
        <v>10328</v>
      </c>
      <c r="M55" s="214" t="s">
        <v>9672</v>
      </c>
      <c r="P55" s="120"/>
    </row>
    <row r="56" spans="1:16">
      <c r="A56" s="214" t="s">
        <v>2295</v>
      </c>
      <c r="B56" s="214" t="s">
        <v>2580</v>
      </c>
      <c r="C56" s="222" t="s">
        <v>2686</v>
      </c>
      <c r="D56" s="222" t="s">
        <v>2686</v>
      </c>
      <c r="E56" s="222" t="s">
        <v>3099</v>
      </c>
      <c r="F56" s="214" t="s">
        <v>3100</v>
      </c>
      <c r="G56" s="214" t="s">
        <v>3101</v>
      </c>
      <c r="H56" s="214" t="s">
        <v>3102</v>
      </c>
      <c r="I56" s="214" t="s">
        <v>3103</v>
      </c>
      <c r="J56" s="214" t="s">
        <v>3104</v>
      </c>
      <c r="K56" s="223" t="s">
        <v>9076</v>
      </c>
      <c r="L56" s="214" t="s">
        <v>10329</v>
      </c>
      <c r="M56" s="214" t="s">
        <v>9673</v>
      </c>
      <c r="P56" s="120"/>
    </row>
    <row r="57" spans="1:16">
      <c r="A57" s="214" t="s">
        <v>3105</v>
      </c>
      <c r="B57" s="214" t="s">
        <v>2580</v>
      </c>
      <c r="C57" s="222" t="s">
        <v>2686</v>
      </c>
      <c r="D57" s="222" t="s">
        <v>2686</v>
      </c>
      <c r="E57" s="222" t="s">
        <v>3099</v>
      </c>
      <c r="F57" s="214" t="s">
        <v>3100</v>
      </c>
      <c r="G57" s="214" t="s">
        <v>3101</v>
      </c>
      <c r="H57" s="214" t="s">
        <v>3102</v>
      </c>
      <c r="I57" s="214" t="s">
        <v>3103</v>
      </c>
      <c r="J57" s="214" t="s">
        <v>3106</v>
      </c>
      <c r="K57" s="214" t="s">
        <v>9076</v>
      </c>
      <c r="L57" s="214" t="s">
        <v>10329</v>
      </c>
      <c r="M57" s="214" t="s">
        <v>9673</v>
      </c>
      <c r="P57" s="120"/>
    </row>
    <row r="58" spans="1:16">
      <c r="A58" s="214" t="s">
        <v>3107</v>
      </c>
      <c r="B58" s="214" t="s">
        <v>3109</v>
      </c>
      <c r="C58" s="222" t="s">
        <v>3108</v>
      </c>
      <c r="D58" s="222" t="s">
        <v>3108</v>
      </c>
      <c r="E58" s="222" t="s">
        <v>3110</v>
      </c>
      <c r="F58" s="214" t="s">
        <v>3111</v>
      </c>
      <c r="G58" s="214" t="s">
        <v>3112</v>
      </c>
      <c r="H58" s="214" t="s">
        <v>3113</v>
      </c>
      <c r="I58" s="214" t="s">
        <v>3114</v>
      </c>
      <c r="J58" s="214" t="s">
        <v>3115</v>
      </c>
      <c r="K58" s="214" t="s">
        <v>9077</v>
      </c>
      <c r="L58" s="214" t="s">
        <v>10330</v>
      </c>
      <c r="M58" s="214" t="s">
        <v>9674</v>
      </c>
      <c r="P58" s="120"/>
    </row>
    <row r="59" spans="1:16">
      <c r="A59" s="215" t="s">
        <v>132</v>
      </c>
      <c r="B59" s="214" t="s">
        <v>134</v>
      </c>
      <c r="C59" s="222" t="s">
        <v>2687</v>
      </c>
      <c r="D59" s="214" t="s">
        <v>135</v>
      </c>
      <c r="E59" s="214" t="s">
        <v>3116</v>
      </c>
      <c r="F59" s="214" t="s">
        <v>3117</v>
      </c>
      <c r="G59" s="214" t="s">
        <v>3118</v>
      </c>
      <c r="H59" s="214" t="s">
        <v>3119</v>
      </c>
      <c r="I59" s="214" t="s">
        <v>3120</v>
      </c>
      <c r="J59" s="214" t="s">
        <v>3121</v>
      </c>
      <c r="K59" s="214" t="s">
        <v>9078</v>
      </c>
      <c r="L59" s="214" t="s">
        <v>11457</v>
      </c>
      <c r="M59" s="214" t="s">
        <v>9675</v>
      </c>
      <c r="P59" s="120"/>
    </row>
    <row r="60" spans="1:16">
      <c r="A60" s="215" t="s">
        <v>3122</v>
      </c>
      <c r="B60" s="214" t="s">
        <v>11458</v>
      </c>
      <c r="C60" s="222" t="s">
        <v>11459</v>
      </c>
      <c r="D60" s="222" t="s">
        <v>11460</v>
      </c>
      <c r="E60" s="222" t="s">
        <v>11461</v>
      </c>
      <c r="F60" s="214" t="s">
        <v>11462</v>
      </c>
      <c r="G60" s="214" t="s">
        <v>11081</v>
      </c>
      <c r="H60" s="214" t="s">
        <v>11463</v>
      </c>
      <c r="I60" s="214" t="s">
        <v>11464</v>
      </c>
      <c r="J60" s="214" t="s">
        <v>11465</v>
      </c>
      <c r="K60" s="214" t="s">
        <v>11618</v>
      </c>
      <c r="L60" s="214" t="s">
        <v>11619</v>
      </c>
      <c r="M60" s="214" t="s">
        <v>9676</v>
      </c>
      <c r="P60" s="120"/>
    </row>
    <row r="61" spans="1:16">
      <c r="A61" s="214" t="s">
        <v>11084</v>
      </c>
      <c r="B61" s="214" t="s">
        <v>3124</v>
      </c>
      <c r="C61" s="222" t="s">
        <v>3123</v>
      </c>
      <c r="D61" s="222" t="s">
        <v>3125</v>
      </c>
      <c r="E61" s="222" t="s">
        <v>3126</v>
      </c>
      <c r="F61" s="214" t="s">
        <v>3127</v>
      </c>
      <c r="G61" s="214" t="s">
        <v>11466</v>
      </c>
      <c r="H61" s="214" t="s">
        <v>3128</v>
      </c>
      <c r="I61" s="214" t="s">
        <v>3129</v>
      </c>
      <c r="J61" s="214" t="s">
        <v>3130</v>
      </c>
      <c r="K61" s="214" t="s">
        <v>9079</v>
      </c>
      <c r="L61" s="214" t="s">
        <v>10331</v>
      </c>
      <c r="M61" s="214" t="s">
        <v>11467</v>
      </c>
      <c r="P61" s="120"/>
    </row>
    <row r="62" spans="1:16">
      <c r="A62" s="214" t="s">
        <v>136</v>
      </c>
      <c r="B62" s="214" t="s">
        <v>137</v>
      </c>
      <c r="C62" s="222" t="s">
        <v>2688</v>
      </c>
      <c r="D62" s="222" t="s">
        <v>138</v>
      </c>
      <c r="E62" s="222" t="s">
        <v>3131</v>
      </c>
      <c r="F62" s="214" t="s">
        <v>3132</v>
      </c>
      <c r="G62" s="214" t="s">
        <v>3133</v>
      </c>
      <c r="H62" s="214" t="s">
        <v>3134</v>
      </c>
      <c r="I62" s="214" t="s">
        <v>3135</v>
      </c>
      <c r="J62" s="214" t="s">
        <v>3136</v>
      </c>
      <c r="K62" s="214" t="s">
        <v>9080</v>
      </c>
      <c r="L62" s="214" t="s">
        <v>11468</v>
      </c>
      <c r="M62" s="214" t="s">
        <v>9677</v>
      </c>
      <c r="P62" s="120"/>
    </row>
    <row r="63" spans="1:16">
      <c r="A63" s="214" t="s">
        <v>139</v>
      </c>
      <c r="B63" s="214" t="s">
        <v>137</v>
      </c>
      <c r="C63" s="222" t="s">
        <v>2688</v>
      </c>
      <c r="D63" s="222" t="s">
        <v>138</v>
      </c>
      <c r="E63" s="222" t="s">
        <v>3131</v>
      </c>
      <c r="F63" s="214" t="s">
        <v>3132</v>
      </c>
      <c r="G63" s="214" t="s">
        <v>3133</v>
      </c>
      <c r="H63" s="214" t="s">
        <v>3134</v>
      </c>
      <c r="I63" s="214" t="s">
        <v>3135</v>
      </c>
      <c r="J63" s="214" t="s">
        <v>3136</v>
      </c>
      <c r="K63" s="223" t="s">
        <v>9080</v>
      </c>
      <c r="L63" s="214" t="s">
        <v>11468</v>
      </c>
      <c r="M63" s="214" t="s">
        <v>9677</v>
      </c>
      <c r="P63" s="120"/>
    </row>
    <row r="64" spans="1:16">
      <c r="A64" s="214" t="s">
        <v>2300</v>
      </c>
      <c r="B64" s="214" t="s">
        <v>2581</v>
      </c>
      <c r="C64" s="222" t="s">
        <v>2689</v>
      </c>
      <c r="D64" s="222" t="s">
        <v>2764</v>
      </c>
      <c r="E64" s="222" t="s">
        <v>3137</v>
      </c>
      <c r="F64" s="214" t="s">
        <v>3138</v>
      </c>
      <c r="G64" s="214" t="s">
        <v>3139</v>
      </c>
      <c r="H64" s="214" t="s">
        <v>3140</v>
      </c>
      <c r="I64" s="214" t="s">
        <v>3141</v>
      </c>
      <c r="J64" s="214" t="s">
        <v>3142</v>
      </c>
      <c r="K64" s="214" t="s">
        <v>9081</v>
      </c>
      <c r="L64" s="214" t="s">
        <v>11469</v>
      </c>
      <c r="M64" s="214" t="s">
        <v>9678</v>
      </c>
      <c r="P64" s="120"/>
    </row>
    <row r="65" spans="1:16">
      <c r="A65" s="214" t="s">
        <v>141</v>
      </c>
      <c r="B65" s="214" t="s">
        <v>2582</v>
      </c>
      <c r="C65" s="222" t="s">
        <v>144</v>
      </c>
      <c r="D65" s="222" t="s">
        <v>145</v>
      </c>
      <c r="E65" s="222" t="s">
        <v>3143</v>
      </c>
      <c r="F65" s="214" t="s">
        <v>3144</v>
      </c>
      <c r="G65" s="214" t="s">
        <v>3145</v>
      </c>
      <c r="H65" s="214" t="s">
        <v>3146</v>
      </c>
      <c r="I65" s="214" t="s">
        <v>3147</v>
      </c>
      <c r="J65" s="214" t="s">
        <v>3148</v>
      </c>
      <c r="K65" s="214" t="s">
        <v>9082</v>
      </c>
      <c r="L65" s="214" t="s">
        <v>10332</v>
      </c>
      <c r="M65" s="214" t="s">
        <v>9679</v>
      </c>
      <c r="P65" s="120"/>
    </row>
    <row r="66" spans="1:16">
      <c r="A66" s="214" t="s">
        <v>146</v>
      </c>
      <c r="B66" s="214" t="s">
        <v>152</v>
      </c>
      <c r="C66" s="222" t="s">
        <v>151</v>
      </c>
      <c r="D66" s="222" t="s">
        <v>153</v>
      </c>
      <c r="E66" s="222" t="s">
        <v>3149</v>
      </c>
      <c r="F66" s="214" t="s">
        <v>3150</v>
      </c>
      <c r="G66" s="214" t="s">
        <v>3151</v>
      </c>
      <c r="H66" s="214" t="s">
        <v>3152</v>
      </c>
      <c r="I66" s="214" t="s">
        <v>3153</v>
      </c>
      <c r="J66" s="214" t="s">
        <v>3154</v>
      </c>
      <c r="K66" s="214" t="s">
        <v>9083</v>
      </c>
      <c r="L66" s="214" t="s">
        <v>10333</v>
      </c>
      <c r="M66" s="214" t="s">
        <v>9680</v>
      </c>
      <c r="P66" s="120"/>
    </row>
    <row r="67" spans="1:16">
      <c r="A67" s="214" t="s">
        <v>154</v>
      </c>
      <c r="B67" s="214" t="s">
        <v>158</v>
      </c>
      <c r="C67" s="222" t="s">
        <v>157</v>
      </c>
      <c r="D67" s="222" t="s">
        <v>159</v>
      </c>
      <c r="E67" s="222" t="s">
        <v>3155</v>
      </c>
      <c r="F67" s="214" t="s">
        <v>3156</v>
      </c>
      <c r="G67" s="214" t="s">
        <v>3157</v>
      </c>
      <c r="H67" s="214" t="s">
        <v>3158</v>
      </c>
      <c r="I67" s="214" t="s">
        <v>3159</v>
      </c>
      <c r="J67" s="214" t="s">
        <v>3160</v>
      </c>
      <c r="K67" s="214" t="s">
        <v>9084</v>
      </c>
      <c r="L67" s="214" t="s">
        <v>10334</v>
      </c>
      <c r="M67" s="214" t="s">
        <v>9681</v>
      </c>
      <c r="P67" s="120"/>
    </row>
    <row r="68" spans="1:16">
      <c r="A68" s="214" t="s">
        <v>160</v>
      </c>
      <c r="B68" s="214" t="s">
        <v>163</v>
      </c>
      <c r="C68" s="222" t="s">
        <v>162</v>
      </c>
      <c r="D68" s="222" t="s">
        <v>164</v>
      </c>
      <c r="E68" s="222" t="s">
        <v>3161</v>
      </c>
      <c r="F68" s="214" t="s">
        <v>3162</v>
      </c>
      <c r="G68" s="214" t="s">
        <v>3163</v>
      </c>
      <c r="H68" s="214" t="s">
        <v>3164</v>
      </c>
      <c r="I68" s="214" t="s">
        <v>3165</v>
      </c>
      <c r="J68" s="214" t="s">
        <v>3166</v>
      </c>
      <c r="K68" s="214" t="s">
        <v>9085</v>
      </c>
      <c r="L68" s="214" t="s">
        <v>10335</v>
      </c>
      <c r="M68" s="214" t="s">
        <v>9682</v>
      </c>
      <c r="P68" s="120"/>
    </row>
    <row r="69" spans="1:16">
      <c r="A69" s="214" t="s">
        <v>165</v>
      </c>
      <c r="B69" s="214" t="s">
        <v>3168</v>
      </c>
      <c r="C69" s="222" t="s">
        <v>3167</v>
      </c>
      <c r="D69" s="222" t="s">
        <v>3169</v>
      </c>
      <c r="E69" s="222" t="s">
        <v>3170</v>
      </c>
      <c r="F69" s="214" t="s">
        <v>3171</v>
      </c>
      <c r="G69" s="214" t="s">
        <v>3172</v>
      </c>
      <c r="H69" s="214" t="s">
        <v>3173</v>
      </c>
      <c r="I69" s="214" t="s">
        <v>3174</v>
      </c>
      <c r="J69" s="214" t="s">
        <v>3175</v>
      </c>
      <c r="K69" s="214" t="s">
        <v>9086</v>
      </c>
      <c r="L69" s="214" t="s">
        <v>10336</v>
      </c>
      <c r="M69" s="214" t="s">
        <v>9683</v>
      </c>
      <c r="P69" s="120"/>
    </row>
    <row r="70" spans="1:16">
      <c r="A70" s="214" t="s">
        <v>166</v>
      </c>
      <c r="B70" s="214" t="s">
        <v>170</v>
      </c>
      <c r="C70" s="222" t="s">
        <v>169</v>
      </c>
      <c r="D70" s="222" t="s">
        <v>171</v>
      </c>
      <c r="E70" s="222" t="s">
        <v>3176</v>
      </c>
      <c r="F70" s="214" t="s">
        <v>3177</v>
      </c>
      <c r="G70" s="214" t="s">
        <v>3145</v>
      </c>
      <c r="H70" s="214" t="s">
        <v>3178</v>
      </c>
      <c r="I70" s="214" t="s">
        <v>3179</v>
      </c>
      <c r="J70" s="214" t="s">
        <v>3180</v>
      </c>
      <c r="K70" s="214" t="s">
        <v>9087</v>
      </c>
      <c r="L70" s="214" t="s">
        <v>10337</v>
      </c>
      <c r="M70" s="214" t="s">
        <v>9684</v>
      </c>
      <c r="P70" s="120"/>
    </row>
    <row r="71" spans="1:16">
      <c r="A71" s="214" t="s">
        <v>11763</v>
      </c>
      <c r="B71" s="214" t="s">
        <v>170</v>
      </c>
      <c r="C71" s="222" t="s">
        <v>169</v>
      </c>
      <c r="D71" s="222" t="s">
        <v>171</v>
      </c>
      <c r="E71" s="222" t="s">
        <v>3176</v>
      </c>
      <c r="F71" s="214" t="s">
        <v>3177</v>
      </c>
      <c r="G71" s="214" t="s">
        <v>3145</v>
      </c>
      <c r="H71" s="214" t="s">
        <v>3178</v>
      </c>
      <c r="I71" s="214" t="s">
        <v>3179</v>
      </c>
      <c r="J71" s="214" t="s">
        <v>3180</v>
      </c>
      <c r="K71" s="214" t="s">
        <v>9087</v>
      </c>
      <c r="L71" s="214" t="s">
        <v>10337</v>
      </c>
      <c r="M71" s="214" t="s">
        <v>9684</v>
      </c>
      <c r="P71" s="120"/>
    </row>
    <row r="72" spans="1:16">
      <c r="A72" s="214" t="s">
        <v>172</v>
      </c>
      <c r="B72" s="214" t="s">
        <v>175</v>
      </c>
      <c r="C72" s="222" t="s">
        <v>174</v>
      </c>
      <c r="D72" s="222" t="s">
        <v>176</v>
      </c>
      <c r="E72" s="222" t="s">
        <v>3181</v>
      </c>
      <c r="F72" s="214" t="s">
        <v>3182</v>
      </c>
      <c r="G72" s="214" t="s">
        <v>3183</v>
      </c>
      <c r="H72" s="214" t="s">
        <v>3184</v>
      </c>
      <c r="I72" s="214" t="s">
        <v>3185</v>
      </c>
      <c r="J72" s="214" t="s">
        <v>3186</v>
      </c>
      <c r="K72" s="214" t="s">
        <v>9088</v>
      </c>
      <c r="L72" s="214" t="s">
        <v>10338</v>
      </c>
      <c r="M72" s="214" t="s">
        <v>9685</v>
      </c>
      <c r="P72" s="120"/>
    </row>
    <row r="73" spans="1:16">
      <c r="A73" s="214" t="s">
        <v>177</v>
      </c>
      <c r="B73" s="214" t="s">
        <v>175</v>
      </c>
      <c r="C73" s="222" t="s">
        <v>174</v>
      </c>
      <c r="D73" s="222" t="s">
        <v>176</v>
      </c>
      <c r="E73" s="222" t="s">
        <v>3181</v>
      </c>
      <c r="F73" s="214" t="s">
        <v>3182</v>
      </c>
      <c r="G73" s="214" t="s">
        <v>3183</v>
      </c>
      <c r="H73" s="214" t="s">
        <v>3184</v>
      </c>
      <c r="I73" s="214" t="s">
        <v>3185</v>
      </c>
      <c r="J73" s="214" t="s">
        <v>3186</v>
      </c>
      <c r="K73" s="214" t="s">
        <v>9088</v>
      </c>
      <c r="L73" s="214" t="s">
        <v>10338</v>
      </c>
      <c r="M73" s="214" t="s">
        <v>9685</v>
      </c>
      <c r="P73" s="120"/>
    </row>
    <row r="74" spans="1:16">
      <c r="A74" s="214" t="s">
        <v>11765</v>
      </c>
      <c r="B74" s="214" t="s">
        <v>175</v>
      </c>
      <c r="C74" s="222" t="s">
        <v>174</v>
      </c>
      <c r="D74" s="222" t="s">
        <v>176</v>
      </c>
      <c r="E74" s="222" t="s">
        <v>3181</v>
      </c>
      <c r="F74" s="214" t="s">
        <v>3182</v>
      </c>
      <c r="G74" s="214" t="s">
        <v>3183</v>
      </c>
      <c r="H74" s="214" t="s">
        <v>3184</v>
      </c>
      <c r="I74" s="214" t="s">
        <v>3185</v>
      </c>
      <c r="J74" s="214" t="s">
        <v>3186</v>
      </c>
      <c r="K74" s="214" t="s">
        <v>9088</v>
      </c>
      <c r="L74" s="214" t="s">
        <v>10338</v>
      </c>
      <c r="M74" s="214" t="s">
        <v>9685</v>
      </c>
      <c r="P74" s="120"/>
    </row>
    <row r="75" spans="1:16">
      <c r="A75" s="214" t="s">
        <v>179</v>
      </c>
      <c r="B75" s="214" t="s">
        <v>182</v>
      </c>
      <c r="C75" s="222" t="s">
        <v>181</v>
      </c>
      <c r="D75" s="222" t="s">
        <v>183</v>
      </c>
      <c r="E75" s="222" t="s">
        <v>3187</v>
      </c>
      <c r="F75" s="214" t="s">
        <v>3188</v>
      </c>
      <c r="G75" s="214" t="s">
        <v>3189</v>
      </c>
      <c r="H75" s="214" t="s">
        <v>3190</v>
      </c>
      <c r="I75" s="214" t="s">
        <v>3191</v>
      </c>
      <c r="J75" s="214" t="s">
        <v>3192</v>
      </c>
      <c r="K75" s="214" t="s">
        <v>9089</v>
      </c>
      <c r="L75" s="214" t="s">
        <v>10339</v>
      </c>
      <c r="M75" s="214" t="s">
        <v>9686</v>
      </c>
      <c r="P75" s="120"/>
    </row>
    <row r="76" spans="1:16">
      <c r="A76" s="214" t="s">
        <v>184</v>
      </c>
      <c r="B76" s="214" t="s">
        <v>188</v>
      </c>
      <c r="C76" s="222" t="s">
        <v>187</v>
      </c>
      <c r="D76" s="222" t="s">
        <v>189</v>
      </c>
      <c r="E76" s="222" t="s">
        <v>3193</v>
      </c>
      <c r="F76" s="214" t="s">
        <v>3194</v>
      </c>
      <c r="G76" s="214" t="s">
        <v>3195</v>
      </c>
      <c r="H76" s="214" t="s">
        <v>3196</v>
      </c>
      <c r="I76" s="214" t="s">
        <v>3197</v>
      </c>
      <c r="J76" s="214" t="s">
        <v>3198</v>
      </c>
      <c r="K76" s="214" t="s">
        <v>9090</v>
      </c>
      <c r="L76" s="214" t="s">
        <v>10340</v>
      </c>
      <c r="M76" s="214" t="s">
        <v>9687</v>
      </c>
      <c r="P76" s="120"/>
    </row>
    <row r="77" spans="1:16">
      <c r="A77" s="214" t="s">
        <v>190</v>
      </c>
      <c r="B77" s="214" t="s">
        <v>188</v>
      </c>
      <c r="C77" s="222" t="s">
        <v>187</v>
      </c>
      <c r="D77" s="222" t="s">
        <v>189</v>
      </c>
      <c r="E77" s="222" t="s">
        <v>3193</v>
      </c>
      <c r="F77" s="214" t="s">
        <v>3194</v>
      </c>
      <c r="G77" s="214" t="s">
        <v>3195</v>
      </c>
      <c r="H77" s="214" t="s">
        <v>3196</v>
      </c>
      <c r="I77" s="214" t="s">
        <v>3197</v>
      </c>
      <c r="J77" s="214" t="s">
        <v>3198</v>
      </c>
      <c r="K77" s="214" t="s">
        <v>9090</v>
      </c>
      <c r="L77" s="214" t="s">
        <v>10340</v>
      </c>
      <c r="M77" s="214" t="s">
        <v>9687</v>
      </c>
      <c r="P77" s="120"/>
    </row>
    <row r="78" spans="1:16">
      <c r="A78" s="214" t="s">
        <v>191</v>
      </c>
      <c r="B78" s="214" t="s">
        <v>2583</v>
      </c>
      <c r="C78" s="222" t="s">
        <v>2690</v>
      </c>
      <c r="D78" s="222" t="s">
        <v>2765</v>
      </c>
      <c r="E78" s="222" t="s">
        <v>3199</v>
      </c>
      <c r="F78" s="214" t="s">
        <v>3200</v>
      </c>
      <c r="G78" s="214" t="s">
        <v>3201</v>
      </c>
      <c r="H78" s="214" t="s">
        <v>3202</v>
      </c>
      <c r="I78" s="214" t="s">
        <v>3203</v>
      </c>
      <c r="J78" s="214" t="s">
        <v>3204</v>
      </c>
      <c r="K78" s="214" t="s">
        <v>9091</v>
      </c>
      <c r="L78" s="214" t="s">
        <v>10341</v>
      </c>
      <c r="M78" s="214" t="s">
        <v>9688</v>
      </c>
      <c r="P78" s="120"/>
    </row>
    <row r="79" spans="1:16">
      <c r="A79" s="214" t="s">
        <v>194</v>
      </c>
      <c r="B79" s="214" t="s">
        <v>198</v>
      </c>
      <c r="C79" s="222" t="s">
        <v>197</v>
      </c>
      <c r="D79" s="222" t="s">
        <v>199</v>
      </c>
      <c r="E79" s="222" t="s">
        <v>3205</v>
      </c>
      <c r="F79" s="214" t="s">
        <v>3206</v>
      </c>
      <c r="G79" s="214" t="s">
        <v>3207</v>
      </c>
      <c r="H79" s="214" t="s">
        <v>3208</v>
      </c>
      <c r="I79" s="214" t="s">
        <v>3209</v>
      </c>
      <c r="J79" s="214" t="s">
        <v>3210</v>
      </c>
      <c r="K79" s="214" t="s">
        <v>9092</v>
      </c>
      <c r="L79" s="214" t="s">
        <v>10342</v>
      </c>
      <c r="M79" s="214" t="s">
        <v>9689</v>
      </c>
      <c r="P79" s="120"/>
    </row>
    <row r="80" spans="1:16">
      <c r="A80" s="214" t="s">
        <v>200</v>
      </c>
      <c r="B80" s="214" t="s">
        <v>202</v>
      </c>
      <c r="C80" s="222" t="s">
        <v>201</v>
      </c>
      <c r="D80" s="222" t="s">
        <v>203</v>
      </c>
      <c r="E80" s="222" t="s">
        <v>3211</v>
      </c>
      <c r="F80" s="214" t="s">
        <v>3212</v>
      </c>
      <c r="G80" s="214" t="s">
        <v>3213</v>
      </c>
      <c r="H80" s="214" t="s">
        <v>3214</v>
      </c>
      <c r="I80" s="214" t="s">
        <v>3215</v>
      </c>
      <c r="J80" s="214" t="s">
        <v>3216</v>
      </c>
      <c r="K80" s="214" t="s">
        <v>9093</v>
      </c>
      <c r="L80" s="214" t="s">
        <v>10343</v>
      </c>
      <c r="M80" s="214" t="s">
        <v>9690</v>
      </c>
      <c r="P80" s="120"/>
    </row>
    <row r="81" spans="1:16">
      <c r="A81" s="214" t="s">
        <v>204</v>
      </c>
      <c r="B81" s="214" t="s">
        <v>209</v>
      </c>
      <c r="C81" s="222" t="s">
        <v>208</v>
      </c>
      <c r="D81" s="222" t="s">
        <v>210</v>
      </c>
      <c r="E81" s="222" t="s">
        <v>3217</v>
      </c>
      <c r="F81" s="214" t="s">
        <v>3218</v>
      </c>
      <c r="G81" s="214" t="s">
        <v>3219</v>
      </c>
      <c r="H81" s="214" t="s">
        <v>3220</v>
      </c>
      <c r="I81" s="214" t="s">
        <v>3221</v>
      </c>
      <c r="J81" s="214" t="s">
        <v>3222</v>
      </c>
      <c r="K81" s="214" t="s">
        <v>9094</v>
      </c>
      <c r="L81" s="214" t="s">
        <v>10344</v>
      </c>
      <c r="M81" s="214" t="s">
        <v>9691</v>
      </c>
      <c r="P81" s="120"/>
    </row>
    <row r="82" spans="1:16">
      <c r="A82" s="214" t="s">
        <v>211</v>
      </c>
      <c r="B82" s="214" t="s">
        <v>214</v>
      </c>
      <c r="C82" s="222" t="s">
        <v>213</v>
      </c>
      <c r="D82" s="222" t="s">
        <v>215</v>
      </c>
      <c r="E82" s="222" t="s">
        <v>3223</v>
      </c>
      <c r="F82" s="214" t="s">
        <v>3224</v>
      </c>
      <c r="G82" s="214" t="s">
        <v>3225</v>
      </c>
      <c r="H82" s="214" t="s">
        <v>3226</v>
      </c>
      <c r="I82" s="214" t="s">
        <v>3227</v>
      </c>
      <c r="J82" s="214" t="s">
        <v>3228</v>
      </c>
      <c r="K82" s="214" t="s">
        <v>9095</v>
      </c>
      <c r="L82" s="214" t="s">
        <v>10345</v>
      </c>
      <c r="M82" s="214" t="s">
        <v>9692</v>
      </c>
      <c r="P82" s="120"/>
    </row>
    <row r="83" spans="1:16">
      <c r="A83" s="214" t="s">
        <v>216</v>
      </c>
      <c r="B83" s="214" t="s">
        <v>219</v>
      </c>
      <c r="C83" s="222" t="s">
        <v>218</v>
      </c>
      <c r="D83" s="222" t="s">
        <v>220</v>
      </c>
      <c r="E83" s="222" t="s">
        <v>3229</v>
      </c>
      <c r="F83" s="214" t="s">
        <v>3230</v>
      </c>
      <c r="G83" s="214" t="s">
        <v>3231</v>
      </c>
      <c r="H83" s="214" t="s">
        <v>3232</v>
      </c>
      <c r="I83" s="214" t="s">
        <v>3233</v>
      </c>
      <c r="J83" s="214" t="s">
        <v>3234</v>
      </c>
      <c r="K83" s="214" t="s">
        <v>9096</v>
      </c>
      <c r="L83" s="214" t="s">
        <v>10346</v>
      </c>
      <c r="M83" s="214" t="s">
        <v>9693</v>
      </c>
      <c r="P83" s="120"/>
    </row>
    <row r="84" spans="1:16">
      <c r="A84" s="214" t="s">
        <v>221</v>
      </c>
      <c r="B84" s="214" t="s">
        <v>225</v>
      </c>
      <c r="C84" s="222" t="s">
        <v>224</v>
      </c>
      <c r="D84" s="222" t="s">
        <v>226</v>
      </c>
      <c r="E84" s="222" t="s">
        <v>3235</v>
      </c>
      <c r="F84" s="214" t="s">
        <v>3236</v>
      </c>
      <c r="G84" s="214" t="s">
        <v>3237</v>
      </c>
      <c r="H84" s="214" t="s">
        <v>3238</v>
      </c>
      <c r="I84" s="214" t="s">
        <v>3239</v>
      </c>
      <c r="J84" s="214" t="s">
        <v>3240</v>
      </c>
      <c r="K84" s="214" t="s">
        <v>9097</v>
      </c>
      <c r="L84" s="214" t="s">
        <v>10347</v>
      </c>
      <c r="M84" s="214" t="s">
        <v>9694</v>
      </c>
      <c r="P84" s="120"/>
    </row>
    <row r="85" spans="1:16">
      <c r="A85" s="214" t="s">
        <v>2743</v>
      </c>
      <c r="B85" s="214" t="s">
        <v>2745</v>
      </c>
      <c r="C85" s="222" t="s">
        <v>2753</v>
      </c>
      <c r="D85" s="222" t="s">
        <v>2787</v>
      </c>
      <c r="E85" s="222" t="s">
        <v>4800</v>
      </c>
      <c r="F85" s="214" t="s">
        <v>4801</v>
      </c>
      <c r="G85" s="214" t="s">
        <v>4802</v>
      </c>
      <c r="H85" s="214" t="s">
        <v>4803</v>
      </c>
      <c r="I85" s="214" t="s">
        <v>4804</v>
      </c>
      <c r="J85" s="214" t="s">
        <v>4805</v>
      </c>
      <c r="K85" s="214"/>
      <c r="L85" s="214" t="s">
        <v>10580</v>
      </c>
      <c r="M85" s="214" t="s">
        <v>9934</v>
      </c>
      <c r="P85" s="120"/>
    </row>
    <row r="86" spans="1:16">
      <c r="A86" s="214" t="s">
        <v>227</v>
      </c>
      <c r="B86" s="214" t="s">
        <v>232</v>
      </c>
      <c r="C86" s="222" t="s">
        <v>231</v>
      </c>
      <c r="D86" s="222" t="s">
        <v>233</v>
      </c>
      <c r="E86" s="222" t="s">
        <v>3241</v>
      </c>
      <c r="F86" s="214" t="s">
        <v>3242</v>
      </c>
      <c r="G86" s="214" t="s">
        <v>3243</v>
      </c>
      <c r="H86" s="214" t="s">
        <v>3244</v>
      </c>
      <c r="I86" s="214" t="s">
        <v>3245</v>
      </c>
      <c r="J86" s="214" t="s">
        <v>3246</v>
      </c>
      <c r="K86" s="214" t="s">
        <v>9098</v>
      </c>
      <c r="L86" s="214" t="s">
        <v>10348</v>
      </c>
      <c r="M86" s="214" t="s">
        <v>9695</v>
      </c>
      <c r="P86" s="120"/>
    </row>
    <row r="87" spans="1:16">
      <c r="A87" s="214" t="s">
        <v>13213</v>
      </c>
      <c r="B87" s="214" t="s">
        <v>13382</v>
      </c>
      <c r="C87" s="222" t="s">
        <v>13383</v>
      </c>
      <c r="D87" s="222" t="s">
        <v>13384</v>
      </c>
      <c r="E87" s="222" t="s">
        <v>13385</v>
      </c>
      <c r="F87" s="214" t="s">
        <v>13386</v>
      </c>
      <c r="G87" s="214" t="s">
        <v>13387</v>
      </c>
      <c r="H87" s="214" t="s">
        <v>13388</v>
      </c>
      <c r="I87" s="214" t="s">
        <v>13389</v>
      </c>
      <c r="J87" s="214" t="s">
        <v>13390</v>
      </c>
      <c r="K87" s="214" t="s">
        <v>13391</v>
      </c>
      <c r="L87" s="214" t="s">
        <v>13392</v>
      </c>
      <c r="M87" s="214" t="s">
        <v>13393</v>
      </c>
      <c r="P87" s="120"/>
    </row>
    <row r="88" spans="1:16">
      <c r="A88" s="215" t="s">
        <v>234</v>
      </c>
      <c r="B88" s="214" t="s">
        <v>237</v>
      </c>
      <c r="C88" s="222" t="s">
        <v>236</v>
      </c>
      <c r="D88" s="222" t="s">
        <v>238</v>
      </c>
      <c r="E88" s="222" t="s">
        <v>3247</v>
      </c>
      <c r="F88" s="214" t="s">
        <v>3248</v>
      </c>
      <c r="G88" s="214" t="s">
        <v>3249</v>
      </c>
      <c r="H88" s="214" t="s">
        <v>3250</v>
      </c>
      <c r="I88" s="214" t="s">
        <v>3251</v>
      </c>
      <c r="J88" s="214" t="s">
        <v>3252</v>
      </c>
      <c r="K88" s="214" t="s">
        <v>9099</v>
      </c>
      <c r="L88" s="214" t="s">
        <v>10349</v>
      </c>
      <c r="M88" s="214" t="s">
        <v>9696</v>
      </c>
      <c r="P88" s="120"/>
    </row>
    <row r="89" spans="1:16">
      <c r="A89" s="215" t="s">
        <v>239</v>
      </c>
      <c r="B89" s="214" t="s">
        <v>242</v>
      </c>
      <c r="C89" s="222" t="s">
        <v>241</v>
      </c>
      <c r="D89" s="222" t="s">
        <v>243</v>
      </c>
      <c r="E89" s="222" t="s">
        <v>3253</v>
      </c>
      <c r="F89" s="214" t="s">
        <v>3254</v>
      </c>
      <c r="G89" s="214" t="s">
        <v>3255</v>
      </c>
      <c r="H89" s="214" t="s">
        <v>3256</v>
      </c>
      <c r="I89" s="214" t="s">
        <v>3257</v>
      </c>
      <c r="J89" s="214" t="s">
        <v>3258</v>
      </c>
      <c r="K89" s="214" t="s">
        <v>9100</v>
      </c>
      <c r="L89" s="214" t="s">
        <v>10350</v>
      </c>
      <c r="M89" s="214" t="s">
        <v>9697</v>
      </c>
      <c r="P89" s="120"/>
    </row>
    <row r="90" spans="1:16">
      <c r="A90" s="214" t="s">
        <v>3259</v>
      </c>
      <c r="B90" s="214" t="s">
        <v>237</v>
      </c>
      <c r="C90" s="222" t="s">
        <v>236</v>
      </c>
      <c r="D90" s="222" t="s">
        <v>238</v>
      </c>
      <c r="E90" s="222" t="s">
        <v>3247</v>
      </c>
      <c r="F90" s="214" t="s">
        <v>3248</v>
      </c>
      <c r="G90" s="214" t="s">
        <v>3249</v>
      </c>
      <c r="H90" s="214" t="s">
        <v>3250</v>
      </c>
      <c r="I90" s="214" t="s">
        <v>3251</v>
      </c>
      <c r="J90" s="214" t="s">
        <v>3252</v>
      </c>
      <c r="K90" s="214" t="s">
        <v>9099</v>
      </c>
      <c r="L90" s="214" t="s">
        <v>10349</v>
      </c>
      <c r="M90" s="214" t="s">
        <v>9698</v>
      </c>
      <c r="P90" s="120"/>
    </row>
    <row r="91" spans="1:16">
      <c r="A91" s="214" t="s">
        <v>3260</v>
      </c>
      <c r="B91" s="214" t="s">
        <v>242</v>
      </c>
      <c r="C91" s="222" t="s">
        <v>241</v>
      </c>
      <c r="D91" s="222" t="s">
        <v>243</v>
      </c>
      <c r="E91" s="222" t="s">
        <v>3253</v>
      </c>
      <c r="F91" s="214" t="s">
        <v>3254</v>
      </c>
      <c r="G91" s="214" t="s">
        <v>3255</v>
      </c>
      <c r="H91" s="214" t="s">
        <v>3256</v>
      </c>
      <c r="I91" s="214" t="s">
        <v>3257</v>
      </c>
      <c r="J91" s="214" t="s">
        <v>3258</v>
      </c>
      <c r="K91" s="214" t="s">
        <v>9100</v>
      </c>
      <c r="L91" s="214" t="s">
        <v>10350</v>
      </c>
      <c r="M91" s="214" t="s">
        <v>9697</v>
      </c>
      <c r="P91" s="120"/>
    </row>
    <row r="92" spans="1:16">
      <c r="A92" s="214" t="s">
        <v>2301</v>
      </c>
      <c r="B92" s="214" t="s">
        <v>2584</v>
      </c>
      <c r="C92" s="222" t="s">
        <v>2691</v>
      </c>
      <c r="D92" s="222" t="s">
        <v>2766</v>
      </c>
      <c r="E92" s="222" t="s">
        <v>3261</v>
      </c>
      <c r="F92" s="214" t="s">
        <v>3262</v>
      </c>
      <c r="G92" s="214" t="s">
        <v>3263</v>
      </c>
      <c r="H92" s="214" t="s">
        <v>3261</v>
      </c>
      <c r="I92" s="214" t="s">
        <v>3264</v>
      </c>
      <c r="J92" s="214" t="s">
        <v>3265</v>
      </c>
      <c r="K92" s="214" t="s">
        <v>9101</v>
      </c>
      <c r="L92" s="214" t="s">
        <v>10351</v>
      </c>
      <c r="M92" s="214" t="s">
        <v>9699</v>
      </c>
      <c r="P92" s="120"/>
    </row>
    <row r="93" spans="1:16">
      <c r="A93" s="214" t="s">
        <v>244</v>
      </c>
      <c r="B93" s="214" t="s">
        <v>249</v>
      </c>
      <c r="C93" s="222" t="s">
        <v>248</v>
      </c>
      <c r="D93" s="222" t="s">
        <v>250</v>
      </c>
      <c r="E93" s="222" t="s">
        <v>3266</v>
      </c>
      <c r="F93" s="214" t="s">
        <v>3267</v>
      </c>
      <c r="G93" s="214" t="s">
        <v>3268</v>
      </c>
      <c r="H93" s="214" t="s">
        <v>3269</v>
      </c>
      <c r="I93" s="214" t="s">
        <v>3270</v>
      </c>
      <c r="J93" s="214" t="s">
        <v>3271</v>
      </c>
      <c r="K93" s="214" t="s">
        <v>9102</v>
      </c>
      <c r="L93" s="214" t="s">
        <v>10352</v>
      </c>
      <c r="M93" s="214" t="s">
        <v>9700</v>
      </c>
      <c r="P93" s="120"/>
    </row>
    <row r="94" spans="1:16">
      <c r="A94" s="214" t="s">
        <v>251</v>
      </c>
      <c r="B94" s="214" t="s">
        <v>249</v>
      </c>
      <c r="C94" s="222" t="s">
        <v>248</v>
      </c>
      <c r="D94" s="222" t="s">
        <v>250</v>
      </c>
      <c r="E94" s="222" t="s">
        <v>3266</v>
      </c>
      <c r="F94" s="214" t="s">
        <v>3267</v>
      </c>
      <c r="G94" s="214" t="s">
        <v>3268</v>
      </c>
      <c r="H94" s="214" t="s">
        <v>3269</v>
      </c>
      <c r="I94" s="214" t="s">
        <v>3270</v>
      </c>
      <c r="J94" s="214" t="s">
        <v>3271</v>
      </c>
      <c r="K94" s="214" t="s">
        <v>9102</v>
      </c>
      <c r="L94" s="214" t="s">
        <v>10352</v>
      </c>
      <c r="M94" s="214" t="s">
        <v>9700</v>
      </c>
      <c r="P94" s="120"/>
    </row>
    <row r="95" spans="1:16">
      <c r="A95" s="214" t="s">
        <v>252</v>
      </c>
      <c r="B95" s="214" t="s">
        <v>255</v>
      </c>
      <c r="C95" s="222" t="s">
        <v>254</v>
      </c>
      <c r="D95" s="222" t="s">
        <v>256</v>
      </c>
      <c r="E95" s="222" t="s">
        <v>3272</v>
      </c>
      <c r="F95" s="214" t="s">
        <v>3273</v>
      </c>
      <c r="G95" s="214" t="s">
        <v>3274</v>
      </c>
      <c r="H95" s="214" t="s">
        <v>3275</v>
      </c>
      <c r="I95" s="214" t="s">
        <v>3276</v>
      </c>
      <c r="J95" s="214" t="s">
        <v>3277</v>
      </c>
      <c r="K95" s="214" t="s">
        <v>9103</v>
      </c>
      <c r="L95" s="214" t="s">
        <v>10353</v>
      </c>
      <c r="M95" s="214" t="s">
        <v>9701</v>
      </c>
      <c r="P95" s="120"/>
    </row>
    <row r="96" spans="1:16">
      <c r="A96" s="214" t="s">
        <v>257</v>
      </c>
      <c r="B96" s="214" t="s">
        <v>255</v>
      </c>
      <c r="C96" s="222" t="s">
        <v>254</v>
      </c>
      <c r="D96" s="222" t="s">
        <v>256</v>
      </c>
      <c r="E96" s="222" t="s">
        <v>3272</v>
      </c>
      <c r="F96" s="214" t="s">
        <v>3278</v>
      </c>
      <c r="G96" s="214" t="s">
        <v>3274</v>
      </c>
      <c r="H96" s="214" t="s">
        <v>3275</v>
      </c>
      <c r="I96" s="214" t="s">
        <v>3276</v>
      </c>
      <c r="J96" s="214" t="s">
        <v>3277</v>
      </c>
      <c r="K96" s="214" t="s">
        <v>9103</v>
      </c>
      <c r="L96" s="214" t="s">
        <v>10353</v>
      </c>
      <c r="M96" s="214" t="s">
        <v>9702</v>
      </c>
      <c r="P96" s="120"/>
    </row>
    <row r="97" spans="1:16">
      <c r="A97" s="214" t="s">
        <v>258</v>
      </c>
      <c r="B97" s="214" t="s">
        <v>261</v>
      </c>
      <c r="C97" s="222" t="s">
        <v>260</v>
      </c>
      <c r="D97" s="222" t="s">
        <v>262</v>
      </c>
      <c r="E97" s="222" t="s">
        <v>3279</v>
      </c>
      <c r="F97" s="214" t="s">
        <v>3280</v>
      </c>
      <c r="G97" s="214" t="s">
        <v>3281</v>
      </c>
      <c r="H97" s="214" t="s">
        <v>3282</v>
      </c>
      <c r="I97" s="214" t="s">
        <v>3283</v>
      </c>
      <c r="J97" s="214" t="s">
        <v>3284</v>
      </c>
      <c r="K97" s="214" t="s">
        <v>9104</v>
      </c>
      <c r="L97" s="214" t="s">
        <v>10354</v>
      </c>
      <c r="M97" s="214" t="s">
        <v>9703</v>
      </c>
      <c r="P97" s="120"/>
    </row>
    <row r="98" spans="1:16">
      <c r="A98" s="214" t="s">
        <v>263</v>
      </c>
      <c r="B98" s="214" t="s">
        <v>261</v>
      </c>
      <c r="C98" s="222" t="s">
        <v>260</v>
      </c>
      <c r="D98" s="222" t="s">
        <v>262</v>
      </c>
      <c r="E98" s="222" t="s">
        <v>3279</v>
      </c>
      <c r="F98" s="214" t="s">
        <v>3280</v>
      </c>
      <c r="G98" s="214" t="s">
        <v>3281</v>
      </c>
      <c r="H98" s="214" t="s">
        <v>3282</v>
      </c>
      <c r="I98" s="214" t="s">
        <v>3283</v>
      </c>
      <c r="J98" s="214" t="s">
        <v>3284</v>
      </c>
      <c r="K98" s="214" t="s">
        <v>9104</v>
      </c>
      <c r="L98" s="214" t="s">
        <v>10354</v>
      </c>
      <c r="M98" s="214" t="s">
        <v>9703</v>
      </c>
      <c r="P98" s="120"/>
    </row>
    <row r="99" spans="1:16">
      <c r="A99" s="214" t="s">
        <v>264</v>
      </c>
      <c r="B99" s="214" t="s">
        <v>267</v>
      </c>
      <c r="C99" s="222" t="s">
        <v>266</v>
      </c>
      <c r="D99" s="222" t="s">
        <v>268</v>
      </c>
      <c r="E99" s="222" t="s">
        <v>3285</v>
      </c>
      <c r="F99" s="214" t="s">
        <v>3286</v>
      </c>
      <c r="G99" s="214" t="s">
        <v>3287</v>
      </c>
      <c r="H99" s="214" t="s">
        <v>3288</v>
      </c>
      <c r="I99" s="214" t="s">
        <v>3289</v>
      </c>
      <c r="J99" s="214" t="s">
        <v>3290</v>
      </c>
      <c r="K99" s="214" t="s">
        <v>9105</v>
      </c>
      <c r="L99" s="214" t="s">
        <v>10355</v>
      </c>
      <c r="M99" s="214" t="s">
        <v>9704</v>
      </c>
      <c r="P99" s="120"/>
    </row>
    <row r="100" spans="1:16">
      <c r="A100" s="214" t="s">
        <v>269</v>
      </c>
      <c r="B100" s="214" t="s">
        <v>267</v>
      </c>
      <c r="C100" s="222" t="s">
        <v>266</v>
      </c>
      <c r="D100" s="222" t="s">
        <v>268</v>
      </c>
      <c r="E100" s="222" t="s">
        <v>3285</v>
      </c>
      <c r="F100" s="214" t="s">
        <v>3291</v>
      </c>
      <c r="G100" s="214" t="s">
        <v>3287</v>
      </c>
      <c r="H100" s="214" t="s">
        <v>3288</v>
      </c>
      <c r="I100" s="214" t="s">
        <v>3289</v>
      </c>
      <c r="J100" s="214" t="s">
        <v>3290</v>
      </c>
      <c r="K100" s="214" t="s">
        <v>9105</v>
      </c>
      <c r="L100" s="214" t="s">
        <v>10355</v>
      </c>
      <c r="M100" s="214" t="s">
        <v>9704</v>
      </c>
      <c r="P100" s="120"/>
    </row>
    <row r="101" spans="1:16">
      <c r="A101" s="214" t="s">
        <v>270</v>
      </c>
      <c r="B101" s="214" t="s">
        <v>273</v>
      </c>
      <c r="C101" s="222" t="s">
        <v>272</v>
      </c>
      <c r="D101" s="222" t="s">
        <v>274</v>
      </c>
      <c r="E101" s="222" t="s">
        <v>3292</v>
      </c>
      <c r="F101" s="214" t="s">
        <v>3293</v>
      </c>
      <c r="G101" s="214" t="s">
        <v>3294</v>
      </c>
      <c r="H101" s="214" t="s">
        <v>3295</v>
      </c>
      <c r="I101" s="214" t="s">
        <v>3296</v>
      </c>
      <c r="J101" s="214" t="s">
        <v>3297</v>
      </c>
      <c r="K101" s="214" t="s">
        <v>9106</v>
      </c>
      <c r="L101" s="214" t="s">
        <v>10356</v>
      </c>
      <c r="M101" s="214" t="s">
        <v>9705</v>
      </c>
      <c r="P101" s="120"/>
    </row>
    <row r="102" spans="1:16">
      <c r="A102" s="214" t="s">
        <v>275</v>
      </c>
      <c r="B102" s="214" t="s">
        <v>273</v>
      </c>
      <c r="C102" s="222" t="s">
        <v>272</v>
      </c>
      <c r="D102" s="222" t="s">
        <v>274</v>
      </c>
      <c r="E102" s="222" t="s">
        <v>3292</v>
      </c>
      <c r="F102" s="214" t="s">
        <v>3293</v>
      </c>
      <c r="G102" s="214" t="s">
        <v>3294</v>
      </c>
      <c r="H102" s="214" t="s">
        <v>3295</v>
      </c>
      <c r="I102" s="214" t="s">
        <v>3296</v>
      </c>
      <c r="J102" s="214" t="s">
        <v>3297</v>
      </c>
      <c r="K102" s="214" t="s">
        <v>9106</v>
      </c>
      <c r="L102" s="214" t="s">
        <v>10356</v>
      </c>
      <c r="M102" s="214" t="s">
        <v>9705</v>
      </c>
      <c r="P102" s="120"/>
    </row>
    <row r="103" spans="1:16">
      <c r="A103" s="214" t="s">
        <v>276</v>
      </c>
      <c r="B103" s="214" t="s">
        <v>279</v>
      </c>
      <c r="C103" s="222" t="s">
        <v>278</v>
      </c>
      <c r="D103" s="222" t="s">
        <v>280</v>
      </c>
      <c r="E103" s="222" t="s">
        <v>3298</v>
      </c>
      <c r="F103" s="214" t="s">
        <v>3299</v>
      </c>
      <c r="G103" s="214" t="s">
        <v>3300</v>
      </c>
      <c r="H103" s="214" t="s">
        <v>3301</v>
      </c>
      <c r="I103" s="214" t="s">
        <v>3302</v>
      </c>
      <c r="J103" s="214" t="s">
        <v>3303</v>
      </c>
      <c r="K103" s="214" t="s">
        <v>9107</v>
      </c>
      <c r="L103" s="214" t="s">
        <v>10357</v>
      </c>
      <c r="M103" s="214" t="s">
        <v>9706</v>
      </c>
      <c r="P103" s="120"/>
    </row>
    <row r="104" spans="1:16">
      <c r="A104" s="214" t="s">
        <v>281</v>
      </c>
      <c r="B104" s="214" t="s">
        <v>279</v>
      </c>
      <c r="C104" s="222" t="s">
        <v>278</v>
      </c>
      <c r="D104" s="222" t="s">
        <v>280</v>
      </c>
      <c r="E104" s="222" t="s">
        <v>3298</v>
      </c>
      <c r="F104" s="214" t="s">
        <v>3299</v>
      </c>
      <c r="G104" s="214" t="s">
        <v>3300</v>
      </c>
      <c r="H104" s="214" t="s">
        <v>3301</v>
      </c>
      <c r="I104" s="214" t="s">
        <v>3302</v>
      </c>
      <c r="J104" s="214" t="s">
        <v>3303</v>
      </c>
      <c r="K104" s="214" t="s">
        <v>9107</v>
      </c>
      <c r="L104" s="214" t="s">
        <v>10357</v>
      </c>
      <c r="M104" s="214" t="s">
        <v>9706</v>
      </c>
      <c r="P104" s="120"/>
    </row>
    <row r="105" spans="1:16">
      <c r="A105" s="214" t="s">
        <v>282</v>
      </c>
      <c r="B105" s="214" t="s">
        <v>285</v>
      </c>
      <c r="C105" s="222" t="s">
        <v>284</v>
      </c>
      <c r="D105" s="222" t="s">
        <v>286</v>
      </c>
      <c r="E105" s="222" t="s">
        <v>3304</v>
      </c>
      <c r="F105" s="214" t="s">
        <v>3305</v>
      </c>
      <c r="G105" s="214" t="s">
        <v>3306</v>
      </c>
      <c r="H105" s="214" t="s">
        <v>3307</v>
      </c>
      <c r="I105" s="214" t="s">
        <v>3308</v>
      </c>
      <c r="J105" s="214" t="s">
        <v>3309</v>
      </c>
      <c r="K105" s="214" t="s">
        <v>9108</v>
      </c>
      <c r="L105" s="214" t="s">
        <v>10358</v>
      </c>
      <c r="M105" s="214" t="s">
        <v>9707</v>
      </c>
      <c r="P105" s="120"/>
    </row>
    <row r="106" spans="1:16">
      <c r="A106" s="214" t="s">
        <v>287</v>
      </c>
      <c r="B106" s="214" t="s">
        <v>290</v>
      </c>
      <c r="C106" s="222" t="s">
        <v>289</v>
      </c>
      <c r="D106" s="222" t="s">
        <v>291</v>
      </c>
      <c r="E106" s="222" t="s">
        <v>3310</v>
      </c>
      <c r="F106" s="214" t="s">
        <v>3311</v>
      </c>
      <c r="G106" s="214" t="s">
        <v>3312</v>
      </c>
      <c r="H106" s="214" t="s">
        <v>3313</v>
      </c>
      <c r="I106" s="214" t="s">
        <v>3314</v>
      </c>
      <c r="J106" s="214" t="s">
        <v>3315</v>
      </c>
      <c r="K106" s="214" t="s">
        <v>9109</v>
      </c>
      <c r="L106" s="214" t="s">
        <v>10359</v>
      </c>
      <c r="M106" s="214" t="s">
        <v>9708</v>
      </c>
      <c r="P106" s="120"/>
    </row>
    <row r="107" spans="1:16">
      <c r="A107" s="214" t="s">
        <v>292</v>
      </c>
      <c r="B107" s="214" t="s">
        <v>295</v>
      </c>
      <c r="C107" s="222" t="s">
        <v>294</v>
      </c>
      <c r="D107" s="222" t="s">
        <v>296</v>
      </c>
      <c r="E107" s="222" t="s">
        <v>3316</v>
      </c>
      <c r="F107" s="214" t="s">
        <v>3317</v>
      </c>
      <c r="G107" s="214" t="s">
        <v>3318</v>
      </c>
      <c r="H107" s="214" t="s">
        <v>3319</v>
      </c>
      <c r="I107" s="214" t="s">
        <v>3320</v>
      </c>
      <c r="J107" s="214" t="s">
        <v>3321</v>
      </c>
      <c r="K107" s="214" t="s">
        <v>9110</v>
      </c>
      <c r="L107" s="214" t="s">
        <v>10360</v>
      </c>
      <c r="M107" s="214" t="s">
        <v>9709</v>
      </c>
      <c r="P107" s="120"/>
    </row>
    <row r="108" spans="1:16">
      <c r="A108" s="214" t="s">
        <v>12113</v>
      </c>
      <c r="B108" s="214" t="s">
        <v>299</v>
      </c>
      <c r="C108" s="222" t="s">
        <v>298</v>
      </c>
      <c r="D108" s="222" t="s">
        <v>300</v>
      </c>
      <c r="E108" s="222" t="s">
        <v>3322</v>
      </c>
      <c r="F108" s="214" t="s">
        <v>3323</v>
      </c>
      <c r="G108" s="214" t="s">
        <v>3324</v>
      </c>
      <c r="H108" s="214" t="s">
        <v>3325</v>
      </c>
      <c r="I108" s="214" t="s">
        <v>3326</v>
      </c>
      <c r="J108" s="214" t="s">
        <v>3327</v>
      </c>
      <c r="K108" s="214" t="s">
        <v>9111</v>
      </c>
      <c r="L108" s="214" t="s">
        <v>10361</v>
      </c>
      <c r="M108" s="214" t="s">
        <v>9710</v>
      </c>
      <c r="P108" s="120"/>
    </row>
    <row r="109" spans="1:16">
      <c r="A109" s="214" t="s">
        <v>12114</v>
      </c>
      <c r="B109" s="214" t="s">
        <v>302</v>
      </c>
      <c r="C109" s="222" t="s">
        <v>301</v>
      </c>
      <c r="D109" s="222" t="s">
        <v>303</v>
      </c>
      <c r="E109" s="222" t="s">
        <v>3328</v>
      </c>
      <c r="F109" s="214" t="s">
        <v>3329</v>
      </c>
      <c r="G109" s="214" t="s">
        <v>3330</v>
      </c>
      <c r="H109" s="214" t="s">
        <v>3331</v>
      </c>
      <c r="I109" s="214" t="s">
        <v>3332</v>
      </c>
      <c r="J109" s="214" t="s">
        <v>3333</v>
      </c>
      <c r="K109" s="214" t="s">
        <v>9112</v>
      </c>
      <c r="L109" s="214" t="s">
        <v>10362</v>
      </c>
      <c r="M109" s="214" t="s">
        <v>9711</v>
      </c>
      <c r="P109" s="120"/>
    </row>
    <row r="110" spans="1:16">
      <c r="A110" s="214" t="s">
        <v>12115</v>
      </c>
      <c r="B110" s="214" t="s">
        <v>305</v>
      </c>
      <c r="C110" s="222" t="s">
        <v>304</v>
      </c>
      <c r="D110" s="222" t="s">
        <v>306</v>
      </c>
      <c r="E110" s="222" t="s">
        <v>3334</v>
      </c>
      <c r="F110" s="214" t="s">
        <v>3335</v>
      </c>
      <c r="G110" s="214" t="s">
        <v>3336</v>
      </c>
      <c r="H110" s="214" t="s">
        <v>3337</v>
      </c>
      <c r="I110" s="214" t="s">
        <v>3338</v>
      </c>
      <c r="J110" s="214" t="s">
        <v>3339</v>
      </c>
      <c r="K110" s="214" t="s">
        <v>9113</v>
      </c>
      <c r="L110" s="214" t="s">
        <v>10363</v>
      </c>
      <c r="M110" s="214" t="s">
        <v>9712</v>
      </c>
      <c r="P110" s="120"/>
    </row>
    <row r="111" spans="1:16">
      <c r="A111" s="214" t="s">
        <v>12116</v>
      </c>
      <c r="B111" s="214" t="s">
        <v>308</v>
      </c>
      <c r="C111" s="222" t="s">
        <v>307</v>
      </c>
      <c r="D111" s="222" t="s">
        <v>309</v>
      </c>
      <c r="E111" s="222" t="s">
        <v>3340</v>
      </c>
      <c r="F111" s="214" t="s">
        <v>3341</v>
      </c>
      <c r="G111" s="214" t="s">
        <v>3342</v>
      </c>
      <c r="H111" s="214" t="s">
        <v>3343</v>
      </c>
      <c r="I111" s="214" t="s">
        <v>3344</v>
      </c>
      <c r="J111" s="214" t="s">
        <v>3345</v>
      </c>
      <c r="K111" s="214" t="s">
        <v>9114</v>
      </c>
      <c r="L111" s="214" t="s">
        <v>10364</v>
      </c>
      <c r="M111" s="214" t="s">
        <v>9713</v>
      </c>
      <c r="P111" s="120"/>
    </row>
    <row r="112" spans="1:16">
      <c r="A112" s="214" t="s">
        <v>12117</v>
      </c>
      <c r="B112" s="214" t="s">
        <v>311</v>
      </c>
      <c r="C112" s="222" t="s">
        <v>310</v>
      </c>
      <c r="D112" s="222" t="s">
        <v>312</v>
      </c>
      <c r="E112" s="222" t="s">
        <v>3346</v>
      </c>
      <c r="F112" s="214" t="s">
        <v>3347</v>
      </c>
      <c r="G112" s="214" t="s">
        <v>3348</v>
      </c>
      <c r="H112" s="214" t="s">
        <v>3349</v>
      </c>
      <c r="I112" s="214" t="s">
        <v>3350</v>
      </c>
      <c r="J112" s="214" t="s">
        <v>3351</v>
      </c>
      <c r="K112" s="214" t="s">
        <v>9115</v>
      </c>
      <c r="L112" s="214" t="s">
        <v>10365</v>
      </c>
      <c r="M112" s="214" t="s">
        <v>9714</v>
      </c>
      <c r="P112" s="120"/>
    </row>
    <row r="113" spans="1:16">
      <c r="A113" s="214" t="s">
        <v>12118</v>
      </c>
      <c r="B113" s="214" t="s">
        <v>314</v>
      </c>
      <c r="C113" s="222" t="s">
        <v>313</v>
      </c>
      <c r="D113" s="222" t="s">
        <v>315</v>
      </c>
      <c r="E113" s="222" t="s">
        <v>3352</v>
      </c>
      <c r="F113" s="214" t="s">
        <v>3353</v>
      </c>
      <c r="G113" s="214" t="s">
        <v>3354</v>
      </c>
      <c r="H113" s="214" t="s">
        <v>3355</v>
      </c>
      <c r="I113" s="214" t="s">
        <v>3356</v>
      </c>
      <c r="J113" s="214" t="s">
        <v>3357</v>
      </c>
      <c r="K113" s="214" t="s">
        <v>9116</v>
      </c>
      <c r="L113" s="214" t="s">
        <v>10366</v>
      </c>
      <c r="M113" s="214" t="s">
        <v>9715</v>
      </c>
      <c r="P113" s="120"/>
    </row>
    <row r="114" spans="1:16">
      <c r="A114" s="214" t="s">
        <v>12119</v>
      </c>
      <c r="B114" s="214" t="s">
        <v>317</v>
      </c>
      <c r="C114" s="222" t="s">
        <v>316</v>
      </c>
      <c r="D114" s="222" t="s">
        <v>318</v>
      </c>
      <c r="E114" s="222" t="s">
        <v>3328</v>
      </c>
      <c r="F114" s="214" t="s">
        <v>3358</v>
      </c>
      <c r="G114" s="214" t="s">
        <v>3359</v>
      </c>
      <c r="H114" s="214" t="s">
        <v>3360</v>
      </c>
      <c r="I114" s="214" t="s">
        <v>3361</v>
      </c>
      <c r="J114" s="214" t="s">
        <v>3362</v>
      </c>
      <c r="K114" s="214" t="s">
        <v>9117</v>
      </c>
      <c r="L114" s="214" t="s">
        <v>10367</v>
      </c>
      <c r="M114" s="214" t="s">
        <v>9716</v>
      </c>
      <c r="P114" s="120"/>
    </row>
    <row r="115" spans="1:16">
      <c r="A115" s="214" t="s">
        <v>12120</v>
      </c>
      <c r="B115" s="214" t="s">
        <v>320</v>
      </c>
      <c r="C115" s="222" t="s">
        <v>319</v>
      </c>
      <c r="D115" s="222" t="s">
        <v>321</v>
      </c>
      <c r="E115" s="222" t="s">
        <v>3363</v>
      </c>
      <c r="F115" s="214" t="s">
        <v>3364</v>
      </c>
      <c r="G115" s="214" t="s">
        <v>3365</v>
      </c>
      <c r="H115" s="214" t="s">
        <v>3366</v>
      </c>
      <c r="I115" s="214" t="s">
        <v>3367</v>
      </c>
      <c r="J115" s="214" t="s">
        <v>3368</v>
      </c>
      <c r="K115" s="214" t="s">
        <v>9118</v>
      </c>
      <c r="L115" s="214" t="s">
        <v>10368</v>
      </c>
      <c r="M115" s="214" t="s">
        <v>9717</v>
      </c>
      <c r="P115" s="120"/>
    </row>
    <row r="116" spans="1:16">
      <c r="A116" s="214" t="s">
        <v>12121</v>
      </c>
      <c r="B116" s="214" t="s">
        <v>323</v>
      </c>
      <c r="C116" s="222" t="s">
        <v>322</v>
      </c>
      <c r="D116" s="222" t="s">
        <v>324</v>
      </c>
      <c r="E116" s="222" t="s">
        <v>3369</v>
      </c>
      <c r="F116" s="214" t="s">
        <v>3370</v>
      </c>
      <c r="G116" s="214" t="s">
        <v>3371</v>
      </c>
      <c r="H116" s="214" t="s">
        <v>3372</v>
      </c>
      <c r="I116" s="214" t="s">
        <v>3373</v>
      </c>
      <c r="J116" s="214" t="s">
        <v>3374</v>
      </c>
      <c r="K116" s="214" t="s">
        <v>9119</v>
      </c>
      <c r="L116" s="214" t="s">
        <v>10369</v>
      </c>
      <c r="M116" s="214" t="s">
        <v>9718</v>
      </c>
      <c r="P116" s="120"/>
    </row>
    <row r="117" spans="1:16">
      <c r="A117" s="214" t="s">
        <v>12122</v>
      </c>
      <c r="B117" s="214" t="s">
        <v>326</v>
      </c>
      <c r="C117" s="222" t="s">
        <v>325</v>
      </c>
      <c r="D117" s="222" t="s">
        <v>327</v>
      </c>
      <c r="E117" s="222" t="s">
        <v>3375</v>
      </c>
      <c r="F117" s="214" t="s">
        <v>3376</v>
      </c>
      <c r="G117" s="214" t="s">
        <v>3377</v>
      </c>
      <c r="H117" s="214" t="s">
        <v>3378</v>
      </c>
      <c r="I117" s="214" t="s">
        <v>3379</v>
      </c>
      <c r="J117" s="214" t="s">
        <v>3380</v>
      </c>
      <c r="K117" s="214" t="s">
        <v>9120</v>
      </c>
      <c r="L117" s="214" t="s">
        <v>10370</v>
      </c>
      <c r="M117" s="214" t="s">
        <v>9719</v>
      </c>
      <c r="P117" s="120"/>
    </row>
    <row r="118" spans="1:16">
      <c r="A118" s="214" t="s">
        <v>12123</v>
      </c>
      <c r="B118" s="214" t="s">
        <v>329</v>
      </c>
      <c r="C118" s="222" t="s">
        <v>328</v>
      </c>
      <c r="D118" s="222" t="s">
        <v>330</v>
      </c>
      <c r="E118" s="222" t="s">
        <v>3381</v>
      </c>
      <c r="F118" s="214" t="s">
        <v>3382</v>
      </c>
      <c r="G118" s="214" t="s">
        <v>3383</v>
      </c>
      <c r="H118" s="214" t="s">
        <v>3384</v>
      </c>
      <c r="I118" s="214" t="s">
        <v>3385</v>
      </c>
      <c r="J118" s="214" t="s">
        <v>3386</v>
      </c>
      <c r="K118" s="214" t="s">
        <v>9121</v>
      </c>
      <c r="L118" s="214" t="s">
        <v>10371</v>
      </c>
      <c r="M118" s="214" t="s">
        <v>9720</v>
      </c>
      <c r="P118" s="120"/>
    </row>
    <row r="119" spans="1:16">
      <c r="A119" s="214" t="s">
        <v>12124</v>
      </c>
      <c r="B119" s="214" t="s">
        <v>2585</v>
      </c>
      <c r="C119" s="222" t="s">
        <v>331</v>
      </c>
      <c r="D119" s="222" t="s">
        <v>332</v>
      </c>
      <c r="E119" s="222" t="s">
        <v>3387</v>
      </c>
      <c r="F119" s="214" t="s">
        <v>3388</v>
      </c>
      <c r="G119" s="214" t="s">
        <v>3389</v>
      </c>
      <c r="H119" s="214" t="s">
        <v>3390</v>
      </c>
      <c r="I119" s="214" t="s">
        <v>3391</v>
      </c>
      <c r="J119" s="214" t="s">
        <v>3392</v>
      </c>
      <c r="K119" s="214" t="s">
        <v>9122</v>
      </c>
      <c r="L119" s="214" t="s">
        <v>10372</v>
      </c>
      <c r="M119" s="214" t="s">
        <v>9721</v>
      </c>
      <c r="P119" s="120"/>
    </row>
    <row r="120" spans="1:16">
      <c r="A120" s="215" t="s">
        <v>12125</v>
      </c>
      <c r="B120" s="214" t="s">
        <v>334</v>
      </c>
      <c r="C120" s="222" t="s">
        <v>333</v>
      </c>
      <c r="D120" s="222" t="s">
        <v>335</v>
      </c>
      <c r="E120" s="222" t="s">
        <v>3393</v>
      </c>
      <c r="F120" s="214" t="s">
        <v>3394</v>
      </c>
      <c r="G120" s="214" t="s">
        <v>3395</v>
      </c>
      <c r="H120" s="214" t="s">
        <v>3396</v>
      </c>
      <c r="I120" s="214" t="s">
        <v>3397</v>
      </c>
      <c r="J120" s="214" t="s">
        <v>3398</v>
      </c>
      <c r="K120" s="214" t="s">
        <v>9123</v>
      </c>
      <c r="L120" s="214" t="s">
        <v>10373</v>
      </c>
      <c r="M120" s="214" t="s">
        <v>9722</v>
      </c>
      <c r="P120" s="120"/>
    </row>
    <row r="121" spans="1:16">
      <c r="A121" s="215" t="s">
        <v>12126</v>
      </c>
      <c r="B121" s="214" t="s">
        <v>337</v>
      </c>
      <c r="C121" s="222" t="s">
        <v>336</v>
      </c>
      <c r="D121" s="222" t="s">
        <v>338</v>
      </c>
      <c r="E121" s="222" t="s">
        <v>3399</v>
      </c>
      <c r="F121" s="214" t="s">
        <v>3400</v>
      </c>
      <c r="G121" s="214" t="s">
        <v>3401</v>
      </c>
      <c r="H121" s="214" t="s">
        <v>3402</v>
      </c>
      <c r="I121" s="214" t="s">
        <v>3403</v>
      </c>
      <c r="J121" s="214" t="s">
        <v>3404</v>
      </c>
      <c r="K121" s="214" t="s">
        <v>9124</v>
      </c>
      <c r="L121" s="214" t="s">
        <v>10374</v>
      </c>
      <c r="M121" s="214" t="s">
        <v>9723</v>
      </c>
      <c r="P121" s="120"/>
    </row>
    <row r="122" spans="1:16">
      <c r="A122" s="215" t="s">
        <v>3405</v>
      </c>
      <c r="B122" s="214" t="s">
        <v>3408</v>
      </c>
      <c r="C122" s="222" t="s">
        <v>3407</v>
      </c>
      <c r="D122" s="222" t="s">
        <v>3409</v>
      </c>
      <c r="E122" s="222" t="s">
        <v>3410</v>
      </c>
      <c r="F122" s="214" t="s">
        <v>3411</v>
      </c>
      <c r="G122" s="214" t="s">
        <v>3412</v>
      </c>
      <c r="H122" s="214" t="s">
        <v>3413</v>
      </c>
      <c r="I122" s="214" t="s">
        <v>3414</v>
      </c>
      <c r="J122" s="214" t="s">
        <v>3415</v>
      </c>
      <c r="K122" s="214" t="s">
        <v>9125</v>
      </c>
      <c r="L122" s="214" t="s">
        <v>10375</v>
      </c>
      <c r="M122" s="214" t="s">
        <v>9724</v>
      </c>
      <c r="P122" s="120"/>
    </row>
    <row r="123" spans="1:16">
      <c r="A123" s="215" t="s">
        <v>3416</v>
      </c>
      <c r="B123" s="214" t="s">
        <v>3419</v>
      </c>
      <c r="C123" s="222" t="s">
        <v>3418</v>
      </c>
      <c r="D123" s="222" t="s">
        <v>3420</v>
      </c>
      <c r="E123" s="222" t="s">
        <v>3421</v>
      </c>
      <c r="F123" s="214" t="s">
        <v>3422</v>
      </c>
      <c r="G123" s="214" t="s">
        <v>3423</v>
      </c>
      <c r="H123" s="214" t="s">
        <v>3424</v>
      </c>
      <c r="I123" s="214" t="s">
        <v>3425</v>
      </c>
      <c r="J123" s="214" t="s">
        <v>3426</v>
      </c>
      <c r="K123" s="214" t="s">
        <v>9126</v>
      </c>
      <c r="L123" s="214" t="s">
        <v>10376</v>
      </c>
      <c r="M123" s="214" t="s">
        <v>9725</v>
      </c>
      <c r="P123" s="120"/>
    </row>
    <row r="124" spans="1:16">
      <c r="A124" s="215" t="s">
        <v>3427</v>
      </c>
      <c r="B124" s="214" t="s">
        <v>3430</v>
      </c>
      <c r="C124" s="222" t="s">
        <v>3429</v>
      </c>
      <c r="D124" s="222" t="s">
        <v>3431</v>
      </c>
      <c r="E124" s="222" t="s">
        <v>3432</v>
      </c>
      <c r="F124" s="214" t="s">
        <v>3433</v>
      </c>
      <c r="G124" s="214" t="s">
        <v>3434</v>
      </c>
      <c r="H124" s="214" t="s">
        <v>3435</v>
      </c>
      <c r="I124" s="214" t="s">
        <v>3436</v>
      </c>
      <c r="J124" s="214" t="s">
        <v>3437</v>
      </c>
      <c r="K124" s="214" t="s">
        <v>9127</v>
      </c>
      <c r="L124" s="214" t="s">
        <v>10377</v>
      </c>
      <c r="M124" s="214" t="s">
        <v>9726</v>
      </c>
      <c r="P124" s="120"/>
    </row>
    <row r="125" spans="1:16">
      <c r="A125" s="215" t="s">
        <v>3438</v>
      </c>
      <c r="B125" s="214" t="s">
        <v>3441</v>
      </c>
      <c r="C125" s="222" t="s">
        <v>3440</v>
      </c>
      <c r="D125" s="222" t="s">
        <v>3442</v>
      </c>
      <c r="E125" s="222" t="s">
        <v>3443</v>
      </c>
      <c r="F125" s="214" t="s">
        <v>3444</v>
      </c>
      <c r="G125" s="214" t="s">
        <v>3445</v>
      </c>
      <c r="H125" s="214" t="s">
        <v>3446</v>
      </c>
      <c r="I125" s="214" t="s">
        <v>3447</v>
      </c>
      <c r="J125" s="214" t="s">
        <v>3448</v>
      </c>
      <c r="K125" s="214" t="s">
        <v>9128</v>
      </c>
      <c r="L125" s="214" t="s">
        <v>10378</v>
      </c>
      <c r="M125" s="214" t="s">
        <v>9727</v>
      </c>
      <c r="P125" s="120"/>
    </row>
    <row r="126" spans="1:16">
      <c r="A126" s="215" t="s">
        <v>3449</v>
      </c>
      <c r="B126" s="214" t="s">
        <v>3452</v>
      </c>
      <c r="C126" s="222" t="s">
        <v>3451</v>
      </c>
      <c r="D126" s="222" t="s">
        <v>3453</v>
      </c>
      <c r="E126" s="222" t="s">
        <v>3454</v>
      </c>
      <c r="F126" s="214" t="s">
        <v>3455</v>
      </c>
      <c r="G126" s="214" t="s">
        <v>3456</v>
      </c>
      <c r="H126" s="214" t="s">
        <v>3457</v>
      </c>
      <c r="I126" s="214" t="s">
        <v>3458</v>
      </c>
      <c r="J126" s="214" t="s">
        <v>3459</v>
      </c>
      <c r="K126" s="214" t="s">
        <v>9129</v>
      </c>
      <c r="L126" s="214" t="s">
        <v>10379</v>
      </c>
      <c r="M126" s="214" t="s">
        <v>9728</v>
      </c>
      <c r="P126" s="120"/>
    </row>
    <row r="127" spans="1:16">
      <c r="A127" s="215" t="s">
        <v>3460</v>
      </c>
      <c r="B127" s="214" t="s">
        <v>3463</v>
      </c>
      <c r="C127" s="222" t="s">
        <v>3462</v>
      </c>
      <c r="D127" s="222" t="s">
        <v>3464</v>
      </c>
      <c r="E127" s="222" t="s">
        <v>3465</v>
      </c>
      <c r="F127" s="214" t="s">
        <v>3466</v>
      </c>
      <c r="G127" s="214" t="s">
        <v>3467</v>
      </c>
      <c r="H127" s="214" t="s">
        <v>3468</v>
      </c>
      <c r="I127" s="214" t="s">
        <v>3469</v>
      </c>
      <c r="J127" s="214" t="s">
        <v>3470</v>
      </c>
      <c r="K127" s="214" t="s">
        <v>9130</v>
      </c>
      <c r="L127" s="214" t="s">
        <v>10380</v>
      </c>
      <c r="M127" s="214" t="s">
        <v>9729</v>
      </c>
      <c r="P127" s="120"/>
    </row>
    <row r="128" spans="1:16">
      <c r="A128" s="214" t="s">
        <v>3471</v>
      </c>
      <c r="B128" s="214" t="s">
        <v>3474</v>
      </c>
      <c r="C128" s="222" t="s">
        <v>3473</v>
      </c>
      <c r="D128" s="222" t="s">
        <v>3475</v>
      </c>
      <c r="E128" s="222" t="s">
        <v>3476</v>
      </c>
      <c r="F128" s="214" t="s">
        <v>3477</v>
      </c>
      <c r="G128" s="214" t="s">
        <v>3478</v>
      </c>
      <c r="H128" s="214" t="s">
        <v>3479</v>
      </c>
      <c r="I128" s="214" t="s">
        <v>3480</v>
      </c>
      <c r="J128" s="214" t="s">
        <v>3481</v>
      </c>
      <c r="K128" s="214" t="s">
        <v>9131</v>
      </c>
      <c r="L128" s="214" t="s">
        <v>10381</v>
      </c>
      <c r="M128" s="214" t="s">
        <v>9730</v>
      </c>
      <c r="P128" s="120"/>
    </row>
    <row r="129" spans="1:16">
      <c r="A129" s="214" t="s">
        <v>3482</v>
      </c>
      <c r="B129" s="214" t="s">
        <v>3485</v>
      </c>
      <c r="C129" s="222" t="s">
        <v>3484</v>
      </c>
      <c r="D129" s="222" t="s">
        <v>3486</v>
      </c>
      <c r="E129" s="222" t="s">
        <v>3487</v>
      </c>
      <c r="F129" s="214" t="s">
        <v>3488</v>
      </c>
      <c r="G129" s="214" t="s">
        <v>3489</v>
      </c>
      <c r="H129" s="214" t="s">
        <v>3490</v>
      </c>
      <c r="I129" s="214" t="s">
        <v>3491</v>
      </c>
      <c r="J129" s="214" t="s">
        <v>3492</v>
      </c>
      <c r="K129" s="214" t="s">
        <v>9132</v>
      </c>
      <c r="L129" s="214" t="s">
        <v>10382</v>
      </c>
      <c r="M129" s="214" t="s">
        <v>9731</v>
      </c>
      <c r="P129" s="120"/>
    </row>
    <row r="130" spans="1:16">
      <c r="A130" s="214" t="s">
        <v>351</v>
      </c>
      <c r="B130" s="214" t="s">
        <v>353</v>
      </c>
      <c r="C130" s="222" t="s">
        <v>352</v>
      </c>
      <c r="D130" s="222" t="s">
        <v>354</v>
      </c>
      <c r="E130" s="222" t="s">
        <v>3493</v>
      </c>
      <c r="F130" s="214" t="s">
        <v>3494</v>
      </c>
      <c r="G130" s="214" t="s">
        <v>3495</v>
      </c>
      <c r="H130" s="214" t="s">
        <v>3496</v>
      </c>
      <c r="I130" s="214" t="s">
        <v>3497</v>
      </c>
      <c r="J130" s="214" t="s">
        <v>3498</v>
      </c>
      <c r="K130" s="214" t="s">
        <v>9133</v>
      </c>
      <c r="L130" s="214" t="s">
        <v>10383</v>
      </c>
      <c r="M130" s="214" t="s">
        <v>9732</v>
      </c>
      <c r="P130" s="120"/>
    </row>
    <row r="131" spans="1:16">
      <c r="A131" s="214" t="s">
        <v>355</v>
      </c>
      <c r="B131" s="214" t="s">
        <v>353</v>
      </c>
      <c r="C131" s="222" t="s">
        <v>352</v>
      </c>
      <c r="D131" s="222" t="s">
        <v>354</v>
      </c>
      <c r="E131" s="222" t="s">
        <v>3493</v>
      </c>
      <c r="F131" s="214" t="s">
        <v>3494</v>
      </c>
      <c r="G131" s="214" t="s">
        <v>3495</v>
      </c>
      <c r="H131" s="214" t="s">
        <v>3496</v>
      </c>
      <c r="I131" s="214" t="s">
        <v>3497</v>
      </c>
      <c r="J131" s="214" t="s">
        <v>3499</v>
      </c>
      <c r="K131" s="214" t="s">
        <v>9133</v>
      </c>
      <c r="L131" s="214" t="s">
        <v>10383</v>
      </c>
      <c r="M131" s="214" t="s">
        <v>9732</v>
      </c>
      <c r="P131" s="120"/>
    </row>
    <row r="132" spans="1:16">
      <c r="A132" s="214" t="s">
        <v>356</v>
      </c>
      <c r="B132" s="214" t="s">
        <v>358</v>
      </c>
      <c r="C132" s="222" t="s">
        <v>357</v>
      </c>
      <c r="D132" s="222" t="s">
        <v>359</v>
      </c>
      <c r="E132" s="222" t="s">
        <v>3500</v>
      </c>
      <c r="F132" s="214" t="s">
        <v>3501</v>
      </c>
      <c r="G132" s="214" t="s">
        <v>3502</v>
      </c>
      <c r="H132" s="214" t="s">
        <v>3503</v>
      </c>
      <c r="I132" s="214" t="s">
        <v>3504</v>
      </c>
      <c r="J132" s="214" t="s">
        <v>3505</v>
      </c>
      <c r="K132" s="214" t="s">
        <v>9134</v>
      </c>
      <c r="L132" s="214" t="s">
        <v>10384</v>
      </c>
      <c r="M132" s="214" t="s">
        <v>9733</v>
      </c>
      <c r="P132" s="120"/>
    </row>
    <row r="133" spans="1:16">
      <c r="A133" s="214" t="s">
        <v>360</v>
      </c>
      <c r="B133" s="214" t="s">
        <v>362</v>
      </c>
      <c r="C133" s="222" t="s">
        <v>361</v>
      </c>
      <c r="D133" s="222" t="s">
        <v>363</v>
      </c>
      <c r="E133" s="222" t="s">
        <v>3506</v>
      </c>
      <c r="F133" s="214" t="s">
        <v>3507</v>
      </c>
      <c r="G133" s="214" t="s">
        <v>3508</v>
      </c>
      <c r="H133" s="214" t="s">
        <v>3509</v>
      </c>
      <c r="I133" s="214" t="s">
        <v>3510</v>
      </c>
      <c r="J133" s="214" t="s">
        <v>3511</v>
      </c>
      <c r="K133" s="214" t="s">
        <v>9135</v>
      </c>
      <c r="L133" s="214" t="s">
        <v>10385</v>
      </c>
      <c r="M133" s="214" t="s">
        <v>9734</v>
      </c>
      <c r="P133" s="120"/>
    </row>
    <row r="134" spans="1:16">
      <c r="A134" s="214" t="s">
        <v>364</v>
      </c>
      <c r="B134" s="214" t="s">
        <v>362</v>
      </c>
      <c r="C134" s="222" t="s">
        <v>361</v>
      </c>
      <c r="D134" s="222" t="s">
        <v>363</v>
      </c>
      <c r="E134" s="222" t="s">
        <v>3506</v>
      </c>
      <c r="F134" s="214" t="s">
        <v>3507</v>
      </c>
      <c r="G134" s="214" t="s">
        <v>3508</v>
      </c>
      <c r="H134" s="214" t="s">
        <v>3509</v>
      </c>
      <c r="I134" s="214" t="s">
        <v>3512</v>
      </c>
      <c r="J134" s="214" t="s">
        <v>3513</v>
      </c>
      <c r="K134" s="214" t="s">
        <v>9136</v>
      </c>
      <c r="L134" s="214" t="s">
        <v>10385</v>
      </c>
      <c r="M134" s="214" t="s">
        <v>9734</v>
      </c>
      <c r="P134" s="120"/>
    </row>
    <row r="135" spans="1:16">
      <c r="A135" s="214" t="s">
        <v>365</v>
      </c>
      <c r="B135" s="214" t="s">
        <v>367</v>
      </c>
      <c r="C135" s="222" t="s">
        <v>366</v>
      </c>
      <c r="D135" s="222" t="s">
        <v>368</v>
      </c>
      <c r="E135" s="222" t="s">
        <v>3514</v>
      </c>
      <c r="F135" s="214" t="s">
        <v>3515</v>
      </c>
      <c r="G135" s="214" t="s">
        <v>3516</v>
      </c>
      <c r="H135" s="214" t="s">
        <v>3517</v>
      </c>
      <c r="I135" s="214" t="s">
        <v>3518</v>
      </c>
      <c r="J135" s="214" t="s">
        <v>3519</v>
      </c>
      <c r="K135" s="214" t="s">
        <v>9137</v>
      </c>
      <c r="L135" s="214" t="s">
        <v>10386</v>
      </c>
      <c r="M135" s="214" t="s">
        <v>9735</v>
      </c>
      <c r="P135" s="120"/>
    </row>
    <row r="136" spans="1:16">
      <c r="A136" s="214" t="s">
        <v>369</v>
      </c>
      <c r="B136" s="214" t="s">
        <v>367</v>
      </c>
      <c r="C136" s="222" t="s">
        <v>366</v>
      </c>
      <c r="D136" s="222" t="s">
        <v>368</v>
      </c>
      <c r="E136" s="222" t="s">
        <v>3514</v>
      </c>
      <c r="F136" s="214" t="s">
        <v>3515</v>
      </c>
      <c r="G136" s="214" t="s">
        <v>3516</v>
      </c>
      <c r="H136" s="214" t="s">
        <v>3517</v>
      </c>
      <c r="I136" s="214" t="s">
        <v>3518</v>
      </c>
      <c r="J136" s="214" t="s">
        <v>3519</v>
      </c>
      <c r="K136" s="214" t="s">
        <v>9137</v>
      </c>
      <c r="L136" s="214" t="s">
        <v>10386</v>
      </c>
      <c r="M136" s="214" t="s">
        <v>9735</v>
      </c>
      <c r="P136" s="120"/>
    </row>
    <row r="137" spans="1:16">
      <c r="A137" s="214" t="s">
        <v>370</v>
      </c>
      <c r="B137" s="214" t="s">
        <v>372</v>
      </c>
      <c r="C137" s="222" t="s">
        <v>371</v>
      </c>
      <c r="D137" s="222" t="s">
        <v>373</v>
      </c>
      <c r="E137" s="222" t="s">
        <v>3520</v>
      </c>
      <c r="F137" s="214" t="s">
        <v>3521</v>
      </c>
      <c r="G137" s="214" t="s">
        <v>3522</v>
      </c>
      <c r="H137" s="214" t="s">
        <v>3523</v>
      </c>
      <c r="I137" s="214" t="s">
        <v>3524</v>
      </c>
      <c r="J137" s="214" t="s">
        <v>3525</v>
      </c>
      <c r="K137" s="214" t="s">
        <v>9138</v>
      </c>
      <c r="L137" s="214" t="s">
        <v>10387</v>
      </c>
      <c r="M137" s="214" t="s">
        <v>9736</v>
      </c>
      <c r="P137" s="120"/>
    </row>
    <row r="138" spans="1:16">
      <c r="A138" s="214" t="s">
        <v>374</v>
      </c>
      <c r="B138" s="214" t="s">
        <v>372</v>
      </c>
      <c r="C138" s="222" t="s">
        <v>371</v>
      </c>
      <c r="D138" s="222" t="s">
        <v>373</v>
      </c>
      <c r="E138" s="222" t="s">
        <v>3520</v>
      </c>
      <c r="F138" s="214" t="s">
        <v>3521</v>
      </c>
      <c r="G138" s="214" t="s">
        <v>3522</v>
      </c>
      <c r="H138" s="214" t="s">
        <v>3523</v>
      </c>
      <c r="I138" s="214" t="s">
        <v>3524</v>
      </c>
      <c r="J138" s="214" t="s">
        <v>3525</v>
      </c>
      <c r="K138" s="214" t="s">
        <v>9138</v>
      </c>
      <c r="L138" s="214" t="s">
        <v>10387</v>
      </c>
      <c r="M138" s="214" t="s">
        <v>9736</v>
      </c>
      <c r="P138" s="120"/>
    </row>
    <row r="139" spans="1:16">
      <c r="A139" s="214" t="s">
        <v>375</v>
      </c>
      <c r="B139" s="214" t="s">
        <v>377</v>
      </c>
      <c r="C139" s="222" t="s">
        <v>376</v>
      </c>
      <c r="D139" s="222" t="s">
        <v>378</v>
      </c>
      <c r="E139" s="222" t="s">
        <v>3526</v>
      </c>
      <c r="F139" s="214" t="s">
        <v>3527</v>
      </c>
      <c r="G139" s="214" t="s">
        <v>3528</v>
      </c>
      <c r="H139" s="214" t="s">
        <v>3529</v>
      </c>
      <c r="I139" s="214" t="s">
        <v>3530</v>
      </c>
      <c r="J139" s="214" t="s">
        <v>3531</v>
      </c>
      <c r="K139" s="214" t="s">
        <v>9139</v>
      </c>
      <c r="L139" s="214" t="s">
        <v>10388</v>
      </c>
      <c r="M139" s="214" t="s">
        <v>9737</v>
      </c>
      <c r="P139" s="120"/>
    </row>
    <row r="140" spans="1:16">
      <c r="A140" s="214" t="s">
        <v>379</v>
      </c>
      <c r="B140" s="214" t="s">
        <v>377</v>
      </c>
      <c r="C140" s="222" t="s">
        <v>376</v>
      </c>
      <c r="D140" s="222" t="s">
        <v>378</v>
      </c>
      <c r="E140" s="222" t="s">
        <v>3526</v>
      </c>
      <c r="F140" s="214" t="s">
        <v>3527</v>
      </c>
      <c r="G140" s="214" t="s">
        <v>3528</v>
      </c>
      <c r="H140" s="214" t="s">
        <v>3529</v>
      </c>
      <c r="I140" s="214" t="s">
        <v>3530</v>
      </c>
      <c r="J140" s="214" t="s">
        <v>3531</v>
      </c>
      <c r="K140" s="214" t="s">
        <v>9139</v>
      </c>
      <c r="L140" s="214" t="s">
        <v>10388</v>
      </c>
      <c r="M140" s="214" t="s">
        <v>9738</v>
      </c>
      <c r="P140" s="120"/>
    </row>
    <row r="141" spans="1:16">
      <c r="A141" s="214" t="s">
        <v>12127</v>
      </c>
      <c r="B141" s="214" t="s">
        <v>340</v>
      </c>
      <c r="C141" s="222" t="s">
        <v>339</v>
      </c>
      <c r="D141" s="222" t="s">
        <v>341</v>
      </c>
      <c r="E141" s="222" t="s">
        <v>3532</v>
      </c>
      <c r="F141" s="214" t="s">
        <v>3533</v>
      </c>
      <c r="G141" s="214" t="s">
        <v>3534</v>
      </c>
      <c r="H141" s="214" t="s">
        <v>3343</v>
      </c>
      <c r="I141" s="214" t="s">
        <v>3535</v>
      </c>
      <c r="J141" s="214" t="s">
        <v>3536</v>
      </c>
      <c r="K141" s="214" t="s">
        <v>9140</v>
      </c>
      <c r="L141" s="214" t="s">
        <v>10389</v>
      </c>
      <c r="M141" s="214" t="s">
        <v>9739</v>
      </c>
      <c r="P141" s="120"/>
    </row>
    <row r="142" spans="1:16">
      <c r="A142" s="214" t="s">
        <v>12128</v>
      </c>
      <c r="B142" s="214" t="s">
        <v>343</v>
      </c>
      <c r="C142" s="222" t="s">
        <v>342</v>
      </c>
      <c r="D142" s="222" t="s">
        <v>344</v>
      </c>
      <c r="E142" s="222" t="s">
        <v>3537</v>
      </c>
      <c r="F142" s="214" t="s">
        <v>3538</v>
      </c>
      <c r="G142" s="214" t="s">
        <v>3539</v>
      </c>
      <c r="H142" s="214" t="s">
        <v>3349</v>
      </c>
      <c r="I142" s="214" t="s">
        <v>3540</v>
      </c>
      <c r="J142" s="214" t="s">
        <v>3541</v>
      </c>
      <c r="K142" s="214" t="s">
        <v>9141</v>
      </c>
      <c r="L142" s="214" t="s">
        <v>10390</v>
      </c>
      <c r="M142" s="214" t="s">
        <v>9740</v>
      </c>
      <c r="P142" s="120"/>
    </row>
    <row r="143" spans="1:16">
      <c r="A143" s="214" t="s">
        <v>12129</v>
      </c>
      <c r="B143" s="214" t="s">
        <v>346</v>
      </c>
      <c r="C143" s="222" t="s">
        <v>345</v>
      </c>
      <c r="D143" s="222" t="s">
        <v>347</v>
      </c>
      <c r="E143" s="222" t="s">
        <v>3542</v>
      </c>
      <c r="F143" s="214" t="s">
        <v>3543</v>
      </c>
      <c r="G143" s="214" t="s">
        <v>3544</v>
      </c>
      <c r="H143" s="214" t="s">
        <v>3355</v>
      </c>
      <c r="I143" s="214" t="s">
        <v>3545</v>
      </c>
      <c r="J143" s="214" t="s">
        <v>3546</v>
      </c>
      <c r="K143" s="214" t="s">
        <v>9142</v>
      </c>
      <c r="L143" s="214" t="s">
        <v>10391</v>
      </c>
      <c r="M143" s="214" t="s">
        <v>9741</v>
      </c>
      <c r="P143" s="120"/>
    </row>
    <row r="144" spans="1:16">
      <c r="A144" s="214" t="s">
        <v>12200</v>
      </c>
      <c r="B144" s="214" t="s">
        <v>12202</v>
      </c>
      <c r="C144" s="222" t="s">
        <v>12204</v>
      </c>
      <c r="D144" s="222" t="s">
        <v>12205</v>
      </c>
      <c r="E144" s="222" t="s">
        <v>12206</v>
      </c>
      <c r="F144" s="214" t="s">
        <v>12207</v>
      </c>
      <c r="G144" s="214" t="s">
        <v>12208</v>
      </c>
      <c r="H144" s="214" t="s">
        <v>3331</v>
      </c>
      <c r="I144" s="214" t="s">
        <v>12209</v>
      </c>
      <c r="J144" s="214" t="s">
        <v>12210</v>
      </c>
      <c r="K144" s="214" t="s">
        <v>12211</v>
      </c>
      <c r="L144" s="214" t="s">
        <v>12212</v>
      </c>
      <c r="M144" s="214" t="s">
        <v>12213</v>
      </c>
      <c r="P144" s="120"/>
    </row>
    <row r="145" spans="1:16">
      <c r="A145" s="214" t="s">
        <v>12201</v>
      </c>
      <c r="B145" s="214" t="s">
        <v>12203</v>
      </c>
      <c r="C145" s="222" t="s">
        <v>12214</v>
      </c>
      <c r="D145" s="222" t="s">
        <v>12215</v>
      </c>
      <c r="E145" s="222" t="s">
        <v>12216</v>
      </c>
      <c r="F145" s="214" t="s">
        <v>12217</v>
      </c>
      <c r="G145" s="214" t="s">
        <v>12218</v>
      </c>
      <c r="H145" s="214" t="s">
        <v>3337</v>
      </c>
      <c r="I145" s="214" t="s">
        <v>12219</v>
      </c>
      <c r="J145" s="214" t="s">
        <v>12220</v>
      </c>
      <c r="K145" s="214" t="s">
        <v>12221</v>
      </c>
      <c r="L145" s="214" t="s">
        <v>12222</v>
      </c>
      <c r="M145" s="214" t="s">
        <v>12223</v>
      </c>
      <c r="P145" s="120"/>
    </row>
    <row r="146" spans="1:16">
      <c r="A146" s="214" t="s">
        <v>12130</v>
      </c>
      <c r="B146" s="214" t="s">
        <v>349</v>
      </c>
      <c r="C146" s="222" t="s">
        <v>348</v>
      </c>
      <c r="D146" s="222" t="s">
        <v>350</v>
      </c>
      <c r="E146" s="222" t="s">
        <v>3547</v>
      </c>
      <c r="F146" s="214" t="s">
        <v>3548</v>
      </c>
      <c r="G146" s="214" t="s">
        <v>3549</v>
      </c>
      <c r="H146" s="214" t="s">
        <v>3360</v>
      </c>
      <c r="I146" s="214" t="s">
        <v>3550</v>
      </c>
      <c r="J146" s="214" t="s">
        <v>3551</v>
      </c>
      <c r="K146" s="214" t="s">
        <v>9143</v>
      </c>
      <c r="L146" s="214" t="s">
        <v>10392</v>
      </c>
      <c r="M146" s="214" t="s">
        <v>9742</v>
      </c>
      <c r="P146" s="120"/>
    </row>
    <row r="147" spans="1:16">
      <c r="A147" s="214" t="s">
        <v>3552</v>
      </c>
      <c r="B147" s="214" t="s">
        <v>3555</v>
      </c>
      <c r="C147" s="222" t="s">
        <v>3554</v>
      </c>
      <c r="D147" s="222" t="s">
        <v>3556</v>
      </c>
      <c r="E147" s="222" t="s">
        <v>3557</v>
      </c>
      <c r="F147" s="214" t="s">
        <v>3558</v>
      </c>
      <c r="G147" s="214" t="s">
        <v>3559</v>
      </c>
      <c r="H147" s="214" t="s">
        <v>3560</v>
      </c>
      <c r="I147" s="214" t="s">
        <v>3561</v>
      </c>
      <c r="J147" s="214" t="s">
        <v>3562</v>
      </c>
      <c r="K147" s="214" t="s">
        <v>9144</v>
      </c>
      <c r="L147" s="214" t="s">
        <v>10393</v>
      </c>
      <c r="M147" s="214" t="s">
        <v>9743</v>
      </c>
      <c r="P147" s="120"/>
    </row>
    <row r="148" spans="1:16">
      <c r="A148" s="214" t="s">
        <v>3563</v>
      </c>
      <c r="B148" s="214" t="s">
        <v>3566</v>
      </c>
      <c r="C148" s="222" t="s">
        <v>3565</v>
      </c>
      <c r="D148" s="222" t="s">
        <v>3567</v>
      </c>
      <c r="E148" s="222" t="s">
        <v>3568</v>
      </c>
      <c r="F148" s="214" t="s">
        <v>3569</v>
      </c>
      <c r="G148" s="214" t="s">
        <v>3570</v>
      </c>
      <c r="H148" s="214" t="s">
        <v>3571</v>
      </c>
      <c r="I148" s="214" t="s">
        <v>3572</v>
      </c>
      <c r="J148" s="214" t="s">
        <v>3573</v>
      </c>
      <c r="K148" s="214" t="s">
        <v>9145</v>
      </c>
      <c r="L148" s="214" t="s">
        <v>10394</v>
      </c>
      <c r="M148" s="214" t="s">
        <v>9744</v>
      </c>
      <c r="P148" s="120"/>
    </row>
    <row r="149" spans="1:16">
      <c r="A149" s="215" t="s">
        <v>3574</v>
      </c>
      <c r="B149" s="214" t="s">
        <v>3577</v>
      </c>
      <c r="C149" s="222" t="s">
        <v>3576</v>
      </c>
      <c r="D149" s="222" t="s">
        <v>3578</v>
      </c>
      <c r="E149" s="222" t="s">
        <v>3579</v>
      </c>
      <c r="F149" s="214" t="s">
        <v>3580</v>
      </c>
      <c r="G149" s="214" t="s">
        <v>3581</v>
      </c>
      <c r="H149" s="214" t="s">
        <v>3582</v>
      </c>
      <c r="I149" s="214" t="s">
        <v>3583</v>
      </c>
      <c r="J149" s="214" t="s">
        <v>3584</v>
      </c>
      <c r="K149" s="214" t="s">
        <v>9146</v>
      </c>
      <c r="L149" s="214" t="s">
        <v>10395</v>
      </c>
      <c r="M149" s="214" t="s">
        <v>9745</v>
      </c>
      <c r="P149" s="120"/>
    </row>
    <row r="150" spans="1:16">
      <c r="A150" s="215" t="s">
        <v>3585</v>
      </c>
      <c r="B150" s="214" t="s">
        <v>3588</v>
      </c>
      <c r="C150" s="222" t="s">
        <v>3587</v>
      </c>
      <c r="D150" s="222" t="s">
        <v>3589</v>
      </c>
      <c r="E150" s="222" t="s">
        <v>3590</v>
      </c>
      <c r="F150" s="214" t="s">
        <v>3591</v>
      </c>
      <c r="G150" s="214" t="s">
        <v>3592</v>
      </c>
      <c r="H150" s="214" t="s">
        <v>3593</v>
      </c>
      <c r="I150" s="214" t="s">
        <v>3594</v>
      </c>
      <c r="J150" s="214" t="s">
        <v>3595</v>
      </c>
      <c r="K150" s="214" t="s">
        <v>9147</v>
      </c>
      <c r="L150" s="214" t="s">
        <v>10396</v>
      </c>
      <c r="M150" s="214" t="s">
        <v>9746</v>
      </c>
      <c r="P150" s="120"/>
    </row>
    <row r="151" spans="1:16">
      <c r="A151" s="215" t="s">
        <v>3596</v>
      </c>
      <c r="B151" s="214" t="s">
        <v>3599</v>
      </c>
      <c r="C151" s="222" t="s">
        <v>3598</v>
      </c>
      <c r="D151" s="222" t="s">
        <v>3600</v>
      </c>
      <c r="E151" s="222" t="s">
        <v>3601</v>
      </c>
      <c r="F151" s="214" t="s">
        <v>3602</v>
      </c>
      <c r="G151" s="214" t="s">
        <v>3603</v>
      </c>
      <c r="H151" s="214" t="s">
        <v>3604</v>
      </c>
      <c r="I151" s="214" t="s">
        <v>3605</v>
      </c>
      <c r="J151" s="214" t="s">
        <v>3606</v>
      </c>
      <c r="K151" s="214" t="s">
        <v>9148</v>
      </c>
      <c r="L151" s="214" t="s">
        <v>10397</v>
      </c>
      <c r="M151" s="214" t="s">
        <v>9747</v>
      </c>
      <c r="P151" s="120"/>
    </row>
    <row r="152" spans="1:16">
      <c r="A152" s="215" t="s">
        <v>3607</v>
      </c>
      <c r="B152" s="214" t="s">
        <v>3610</v>
      </c>
      <c r="C152" s="222" t="s">
        <v>3609</v>
      </c>
      <c r="D152" s="222" t="s">
        <v>3611</v>
      </c>
      <c r="E152" s="222" t="s">
        <v>3612</v>
      </c>
      <c r="F152" s="214" t="s">
        <v>3613</v>
      </c>
      <c r="G152" s="214" t="s">
        <v>3614</v>
      </c>
      <c r="H152" s="214" t="s">
        <v>3615</v>
      </c>
      <c r="I152" s="214" t="s">
        <v>3616</v>
      </c>
      <c r="J152" s="214" t="s">
        <v>3617</v>
      </c>
      <c r="K152" s="214" t="s">
        <v>9149</v>
      </c>
      <c r="L152" s="214" t="s">
        <v>10398</v>
      </c>
      <c r="M152" s="214" t="s">
        <v>9748</v>
      </c>
      <c r="P152" s="120"/>
    </row>
    <row r="153" spans="1:16">
      <c r="A153" s="215" t="s">
        <v>3618</v>
      </c>
      <c r="B153" s="214" t="s">
        <v>3621</v>
      </c>
      <c r="C153" s="222" t="s">
        <v>3620</v>
      </c>
      <c r="D153" s="222" t="s">
        <v>3622</v>
      </c>
      <c r="E153" s="222" t="s">
        <v>3623</v>
      </c>
      <c r="F153" s="214" t="s">
        <v>3569</v>
      </c>
      <c r="G153" s="214" t="s">
        <v>3624</v>
      </c>
      <c r="H153" s="214" t="s">
        <v>3625</v>
      </c>
      <c r="I153" s="214" t="s">
        <v>3626</v>
      </c>
      <c r="J153" s="214" t="s">
        <v>3627</v>
      </c>
      <c r="K153" s="214" t="s">
        <v>9150</v>
      </c>
      <c r="L153" s="214" t="s">
        <v>10399</v>
      </c>
      <c r="M153" s="214" t="s">
        <v>9749</v>
      </c>
      <c r="P153" s="120"/>
    </row>
    <row r="154" spans="1:16">
      <c r="A154" s="215" t="s">
        <v>869</v>
      </c>
      <c r="B154" s="214" t="s">
        <v>860</v>
      </c>
      <c r="C154" s="222" t="s">
        <v>859</v>
      </c>
      <c r="D154" s="222" t="s">
        <v>861</v>
      </c>
      <c r="E154" s="222" t="s">
        <v>3628</v>
      </c>
      <c r="F154" s="214" t="s">
        <v>3629</v>
      </c>
      <c r="G154" s="214" t="s">
        <v>3630</v>
      </c>
      <c r="H154" s="214" t="s">
        <v>3631</v>
      </c>
      <c r="I154" s="214" t="s">
        <v>3632</v>
      </c>
      <c r="J154" s="214" t="s">
        <v>3633</v>
      </c>
      <c r="K154" s="214" t="s">
        <v>9151</v>
      </c>
      <c r="L154" s="214" t="s">
        <v>10400</v>
      </c>
      <c r="M154" s="214" t="s">
        <v>9750</v>
      </c>
      <c r="P154" s="120"/>
    </row>
    <row r="155" spans="1:16">
      <c r="A155" s="215" t="s">
        <v>871</v>
      </c>
      <c r="B155" s="214" t="s">
        <v>864</v>
      </c>
      <c r="C155" s="222" t="s">
        <v>863</v>
      </c>
      <c r="D155" s="222" t="s">
        <v>865</v>
      </c>
      <c r="E155" s="222" t="s">
        <v>3634</v>
      </c>
      <c r="F155" s="214" t="s">
        <v>3635</v>
      </c>
      <c r="G155" s="214" t="s">
        <v>3636</v>
      </c>
      <c r="H155" s="214" t="s">
        <v>3637</v>
      </c>
      <c r="I155" s="214" t="s">
        <v>3638</v>
      </c>
      <c r="J155" s="214" t="s">
        <v>3639</v>
      </c>
      <c r="K155" s="214" t="s">
        <v>9152</v>
      </c>
      <c r="L155" s="214" t="s">
        <v>10401</v>
      </c>
      <c r="M155" s="214" t="s">
        <v>9751</v>
      </c>
      <c r="P155" s="120"/>
    </row>
    <row r="156" spans="1:16">
      <c r="A156" s="214" t="s">
        <v>3640</v>
      </c>
      <c r="B156" s="214" t="s">
        <v>3643</v>
      </c>
      <c r="C156" s="222" t="s">
        <v>3642</v>
      </c>
      <c r="D156" s="222" t="s">
        <v>3644</v>
      </c>
      <c r="E156" s="222" t="s">
        <v>3645</v>
      </c>
      <c r="F156" s="214" t="s">
        <v>3646</v>
      </c>
      <c r="G156" s="214" t="s">
        <v>3647</v>
      </c>
      <c r="H156" s="214" t="s">
        <v>3648</v>
      </c>
      <c r="I156" s="214" t="s">
        <v>3649</v>
      </c>
      <c r="J156" s="214" t="s">
        <v>3650</v>
      </c>
      <c r="K156" s="214" t="s">
        <v>9153</v>
      </c>
      <c r="L156" s="214" t="s">
        <v>10402</v>
      </c>
      <c r="M156" s="214" t="s">
        <v>9752</v>
      </c>
      <c r="P156" s="120"/>
    </row>
    <row r="157" spans="1:16">
      <c r="A157" s="214" t="s">
        <v>872</v>
      </c>
      <c r="B157" s="214" t="s">
        <v>2611</v>
      </c>
      <c r="C157" s="222" t="s">
        <v>867</v>
      </c>
      <c r="D157" s="222" t="s">
        <v>868</v>
      </c>
      <c r="E157" s="222" t="s">
        <v>3651</v>
      </c>
      <c r="F157" s="214" t="s">
        <v>3652</v>
      </c>
      <c r="G157" s="214" t="s">
        <v>3653</v>
      </c>
      <c r="H157" s="214" t="s">
        <v>3654</v>
      </c>
      <c r="I157" s="214" t="s">
        <v>3655</v>
      </c>
      <c r="J157" s="214" t="s">
        <v>3656</v>
      </c>
      <c r="K157" s="214" t="s">
        <v>9154</v>
      </c>
      <c r="L157" s="214" t="s">
        <v>10403</v>
      </c>
      <c r="M157" s="214" t="s">
        <v>9753</v>
      </c>
      <c r="P157" s="120"/>
    </row>
    <row r="158" spans="1:16">
      <c r="A158" s="215" t="s">
        <v>2329</v>
      </c>
      <c r="B158" s="214" t="s">
        <v>2612</v>
      </c>
      <c r="C158" s="222" t="s">
        <v>2709</v>
      </c>
      <c r="D158" s="222" t="s">
        <v>2785</v>
      </c>
      <c r="E158" s="222" t="s">
        <v>3657</v>
      </c>
      <c r="F158" s="214" t="s">
        <v>3658</v>
      </c>
      <c r="G158" s="214" t="s">
        <v>3659</v>
      </c>
      <c r="H158" s="214" t="s">
        <v>3660</v>
      </c>
      <c r="I158" s="214" t="s">
        <v>3638</v>
      </c>
      <c r="J158" s="214" t="s">
        <v>3661</v>
      </c>
      <c r="K158" s="214" t="s">
        <v>9155</v>
      </c>
      <c r="L158" s="214" t="s">
        <v>10404</v>
      </c>
      <c r="M158" s="214" t="s">
        <v>9754</v>
      </c>
      <c r="P158" s="120"/>
    </row>
    <row r="159" spans="1:16">
      <c r="A159" s="214" t="s">
        <v>873</v>
      </c>
      <c r="B159" s="214" t="s">
        <v>875</v>
      </c>
      <c r="C159" s="222" t="s">
        <v>874</v>
      </c>
      <c r="D159" s="222" t="s">
        <v>876</v>
      </c>
      <c r="E159" s="222" t="s">
        <v>3662</v>
      </c>
      <c r="F159" s="214" t="s">
        <v>3663</v>
      </c>
      <c r="G159" s="214" t="s">
        <v>3664</v>
      </c>
      <c r="H159" s="214" t="s">
        <v>3665</v>
      </c>
      <c r="I159" s="214" t="s">
        <v>3666</v>
      </c>
      <c r="J159" s="214" t="s">
        <v>3667</v>
      </c>
      <c r="K159" s="214" t="s">
        <v>9156</v>
      </c>
      <c r="L159" s="214" t="s">
        <v>10405</v>
      </c>
      <c r="M159" s="214" t="s">
        <v>9755</v>
      </c>
      <c r="P159" s="120"/>
    </row>
    <row r="160" spans="1:16">
      <c r="A160" s="214" t="s">
        <v>2331</v>
      </c>
      <c r="B160" s="214" t="s">
        <v>2613</v>
      </c>
      <c r="C160" s="222" t="s">
        <v>2710</v>
      </c>
      <c r="D160" s="222" t="s">
        <v>2786</v>
      </c>
      <c r="E160" s="222" t="s">
        <v>3668</v>
      </c>
      <c r="F160" s="214" t="s">
        <v>3669</v>
      </c>
      <c r="G160" s="214" t="s">
        <v>3670</v>
      </c>
      <c r="H160" s="214" t="s">
        <v>3671</v>
      </c>
      <c r="I160" s="214" t="s">
        <v>3672</v>
      </c>
      <c r="J160" s="214" t="s">
        <v>3673</v>
      </c>
      <c r="K160" s="214" t="s">
        <v>9157</v>
      </c>
      <c r="L160" s="214" t="s">
        <v>10406</v>
      </c>
      <c r="M160" s="214" t="s">
        <v>9756</v>
      </c>
      <c r="P160" s="120"/>
    </row>
    <row r="161" spans="1:16">
      <c r="A161" s="214" t="s">
        <v>847</v>
      </c>
      <c r="B161" s="214" t="s">
        <v>851</v>
      </c>
      <c r="C161" s="222" t="s">
        <v>850</v>
      </c>
      <c r="D161" s="222" t="s">
        <v>852</v>
      </c>
      <c r="E161" s="222" t="s">
        <v>3674</v>
      </c>
      <c r="F161" s="214" t="s">
        <v>3675</v>
      </c>
      <c r="G161" s="214" t="s">
        <v>3676</v>
      </c>
      <c r="H161" s="214" t="s">
        <v>3677</v>
      </c>
      <c r="I161" s="214" t="s">
        <v>3018</v>
      </c>
      <c r="J161" s="214" t="s">
        <v>3678</v>
      </c>
      <c r="K161" s="214" t="s">
        <v>9158</v>
      </c>
      <c r="L161" s="214" t="s">
        <v>10407</v>
      </c>
      <c r="M161" s="214" t="s">
        <v>9757</v>
      </c>
      <c r="P161" s="120"/>
    </row>
    <row r="162" spans="1:16">
      <c r="A162" s="214" t="s">
        <v>853</v>
      </c>
      <c r="B162" s="214" t="s">
        <v>851</v>
      </c>
      <c r="C162" s="222" t="s">
        <v>850</v>
      </c>
      <c r="D162" s="222" t="s">
        <v>852</v>
      </c>
      <c r="E162" s="222" t="s">
        <v>3674</v>
      </c>
      <c r="F162" s="214" t="s">
        <v>3675</v>
      </c>
      <c r="G162" s="214" t="s">
        <v>3679</v>
      </c>
      <c r="H162" s="214" t="s">
        <v>3677</v>
      </c>
      <c r="I162" s="214" t="s">
        <v>3018</v>
      </c>
      <c r="J162" s="214" t="s">
        <v>3678</v>
      </c>
      <c r="K162" s="214" t="s">
        <v>9158</v>
      </c>
      <c r="L162" s="214" t="s">
        <v>10407</v>
      </c>
      <c r="M162" s="214" t="s">
        <v>9757</v>
      </c>
      <c r="P162" s="120"/>
    </row>
    <row r="163" spans="1:16">
      <c r="A163" s="214" t="s">
        <v>855</v>
      </c>
      <c r="B163" s="214" t="s">
        <v>857</v>
      </c>
      <c r="C163" s="222" t="s">
        <v>856</v>
      </c>
      <c r="D163" s="222" t="s">
        <v>858</v>
      </c>
      <c r="E163" s="222" t="s">
        <v>3680</v>
      </c>
      <c r="F163" s="214" t="s">
        <v>3681</v>
      </c>
      <c r="G163" s="214" t="s">
        <v>3682</v>
      </c>
      <c r="H163" s="214" t="s">
        <v>3683</v>
      </c>
      <c r="I163" s="214" t="s">
        <v>3684</v>
      </c>
      <c r="J163" s="214" t="s">
        <v>3685</v>
      </c>
      <c r="K163" s="223" t="s">
        <v>9159</v>
      </c>
      <c r="L163" s="214" t="s">
        <v>10408</v>
      </c>
      <c r="M163" s="214" t="s">
        <v>9758</v>
      </c>
      <c r="P163" s="120"/>
    </row>
    <row r="164" spans="1:16">
      <c r="A164" s="214" t="s">
        <v>381</v>
      </c>
      <c r="B164" s="214" t="s">
        <v>384</v>
      </c>
      <c r="C164" s="222" t="s">
        <v>383</v>
      </c>
      <c r="D164" s="222" t="s">
        <v>385</v>
      </c>
      <c r="E164" s="222" t="s">
        <v>3686</v>
      </c>
      <c r="F164" s="214" t="s">
        <v>3687</v>
      </c>
      <c r="G164" s="214" t="s">
        <v>3688</v>
      </c>
      <c r="H164" s="214" t="s">
        <v>3689</v>
      </c>
      <c r="I164" s="214" t="s">
        <v>3690</v>
      </c>
      <c r="J164" s="214" t="s">
        <v>3691</v>
      </c>
      <c r="K164" s="214" t="s">
        <v>9160</v>
      </c>
      <c r="L164" s="214" t="s">
        <v>10409</v>
      </c>
      <c r="M164" s="214" t="s">
        <v>9759</v>
      </c>
      <c r="P164" s="120"/>
    </row>
    <row r="165" spans="1:16">
      <c r="A165" s="215" t="s">
        <v>386</v>
      </c>
      <c r="B165" s="214" t="s">
        <v>390</v>
      </c>
      <c r="C165" s="222" t="s">
        <v>389</v>
      </c>
      <c r="D165" s="222" t="s">
        <v>391</v>
      </c>
      <c r="E165" s="222" t="s">
        <v>3692</v>
      </c>
      <c r="F165" s="214" t="s">
        <v>3693</v>
      </c>
      <c r="G165" s="214" t="s">
        <v>3694</v>
      </c>
      <c r="H165" s="214" t="s">
        <v>3695</v>
      </c>
      <c r="I165" s="214" t="s">
        <v>3696</v>
      </c>
      <c r="J165" s="214" t="s">
        <v>3697</v>
      </c>
      <c r="K165" s="214" t="s">
        <v>9161</v>
      </c>
      <c r="L165" s="214" t="s">
        <v>10410</v>
      </c>
      <c r="M165" s="214" t="s">
        <v>9760</v>
      </c>
      <c r="P165" s="120"/>
    </row>
    <row r="166" spans="1:16">
      <c r="A166" s="214" t="s">
        <v>3698</v>
      </c>
      <c r="B166" s="214" t="s">
        <v>3701</v>
      </c>
      <c r="C166" s="222" t="s">
        <v>3700</v>
      </c>
      <c r="D166" s="222" t="s">
        <v>3702</v>
      </c>
      <c r="E166" s="222" t="s">
        <v>3703</v>
      </c>
      <c r="F166" s="214" t="s">
        <v>3704</v>
      </c>
      <c r="G166" s="214" t="s">
        <v>3705</v>
      </c>
      <c r="H166" s="214" t="s">
        <v>3706</v>
      </c>
      <c r="I166" s="214" t="s">
        <v>3707</v>
      </c>
      <c r="J166" s="214" t="s">
        <v>3708</v>
      </c>
      <c r="K166" s="214" t="s">
        <v>9162</v>
      </c>
      <c r="L166" s="214" t="s">
        <v>10411</v>
      </c>
      <c r="M166" s="214" t="s">
        <v>9761</v>
      </c>
      <c r="P166" s="120"/>
    </row>
    <row r="167" spans="1:16">
      <c r="A167" s="214" t="s">
        <v>392</v>
      </c>
      <c r="B167" s="214" t="s">
        <v>395</v>
      </c>
      <c r="C167" s="222" t="s">
        <v>394</v>
      </c>
      <c r="D167" s="222" t="s">
        <v>396</v>
      </c>
      <c r="E167" s="222" t="s">
        <v>3709</v>
      </c>
      <c r="F167" s="214" t="s">
        <v>3710</v>
      </c>
      <c r="G167" s="214" t="s">
        <v>3711</v>
      </c>
      <c r="H167" s="214" t="s">
        <v>3712</v>
      </c>
      <c r="I167" s="214" t="s">
        <v>3713</v>
      </c>
      <c r="J167" s="214" t="s">
        <v>3714</v>
      </c>
      <c r="K167" s="214" t="s">
        <v>9163</v>
      </c>
      <c r="L167" s="214" t="s">
        <v>10412</v>
      </c>
      <c r="M167" s="214" t="s">
        <v>9762</v>
      </c>
      <c r="P167" s="120"/>
    </row>
    <row r="168" spans="1:16">
      <c r="A168" s="214" t="s">
        <v>397</v>
      </c>
      <c r="B168" s="214" t="s">
        <v>401</v>
      </c>
      <c r="C168" s="222" t="s">
        <v>400</v>
      </c>
      <c r="D168" s="222" t="s">
        <v>402</v>
      </c>
      <c r="E168" s="222" t="s">
        <v>3715</v>
      </c>
      <c r="F168" s="214" t="s">
        <v>3716</v>
      </c>
      <c r="G168" s="214" t="s">
        <v>3717</v>
      </c>
      <c r="H168" s="214" t="s">
        <v>3718</v>
      </c>
      <c r="I168" s="214" t="s">
        <v>3719</v>
      </c>
      <c r="J168" s="214" t="s">
        <v>3720</v>
      </c>
      <c r="K168" s="223" t="s">
        <v>9164</v>
      </c>
      <c r="L168" s="214" t="s">
        <v>10413</v>
      </c>
      <c r="M168" s="214" t="s">
        <v>9763</v>
      </c>
      <c r="P168" s="120"/>
    </row>
    <row r="169" spans="1:16">
      <c r="A169" s="214" t="s">
        <v>3721</v>
      </c>
      <c r="B169" s="214" t="s">
        <v>3723</v>
      </c>
      <c r="C169" s="222" t="s">
        <v>3722</v>
      </c>
      <c r="D169" s="222" t="s">
        <v>3724</v>
      </c>
      <c r="E169" s="222" t="s">
        <v>3725</v>
      </c>
      <c r="F169" s="214" t="s">
        <v>3726</v>
      </c>
      <c r="G169" s="214" t="s">
        <v>3727</v>
      </c>
      <c r="H169" s="214" t="s">
        <v>3728</v>
      </c>
      <c r="I169" s="214" t="s">
        <v>3729</v>
      </c>
      <c r="J169" s="214" t="s">
        <v>3730</v>
      </c>
      <c r="K169" s="223" t="s">
        <v>9165</v>
      </c>
      <c r="L169" s="214" t="s">
        <v>10414</v>
      </c>
      <c r="M169" s="214" t="s">
        <v>9764</v>
      </c>
      <c r="P169" s="120"/>
    </row>
    <row r="170" spans="1:16">
      <c r="A170" s="214" t="s">
        <v>3731</v>
      </c>
      <c r="B170" s="214" t="s">
        <v>3734</v>
      </c>
      <c r="C170" s="222" t="s">
        <v>3733</v>
      </c>
      <c r="D170" s="222" t="s">
        <v>3735</v>
      </c>
      <c r="E170" s="222" t="s">
        <v>3736</v>
      </c>
      <c r="F170" s="214" t="s">
        <v>3737</v>
      </c>
      <c r="G170" s="214" t="s">
        <v>3738</v>
      </c>
      <c r="H170" s="214" t="s">
        <v>3739</v>
      </c>
      <c r="I170" s="214" t="s">
        <v>3740</v>
      </c>
      <c r="J170" s="214" t="s">
        <v>3741</v>
      </c>
      <c r="K170" s="214" t="s">
        <v>9166</v>
      </c>
      <c r="L170" s="214" t="s">
        <v>10415</v>
      </c>
      <c r="M170" s="214" t="s">
        <v>9765</v>
      </c>
      <c r="P170" s="120"/>
    </row>
    <row r="171" spans="1:16">
      <c r="A171" s="215" t="s">
        <v>407</v>
      </c>
      <c r="B171" s="214" t="s">
        <v>411</v>
      </c>
      <c r="C171" s="222" t="s">
        <v>410</v>
      </c>
      <c r="D171" s="222" t="s">
        <v>412</v>
      </c>
      <c r="E171" s="222" t="s">
        <v>3742</v>
      </c>
      <c r="F171" s="214" t="s">
        <v>3743</v>
      </c>
      <c r="G171" s="214" t="s">
        <v>3744</v>
      </c>
      <c r="H171" s="214" t="s">
        <v>3745</v>
      </c>
      <c r="I171" s="214" t="s">
        <v>3746</v>
      </c>
      <c r="J171" s="214" t="s">
        <v>3747</v>
      </c>
      <c r="K171" s="214" t="s">
        <v>9167</v>
      </c>
      <c r="L171" s="214" t="s">
        <v>10416</v>
      </c>
      <c r="M171" s="214" t="s">
        <v>9766</v>
      </c>
      <c r="P171" s="120"/>
    </row>
    <row r="172" spans="1:16">
      <c r="A172" s="214" t="s">
        <v>413</v>
      </c>
      <c r="B172" s="214" t="s">
        <v>415</v>
      </c>
      <c r="C172" s="222" t="s">
        <v>414</v>
      </c>
      <c r="D172" s="222" t="s">
        <v>416</v>
      </c>
      <c r="E172" s="222" t="s">
        <v>3748</v>
      </c>
      <c r="F172" s="214" t="s">
        <v>3749</v>
      </c>
      <c r="G172" s="214" t="s">
        <v>3750</v>
      </c>
      <c r="H172" s="214" t="s">
        <v>3751</v>
      </c>
      <c r="I172" s="214" t="s">
        <v>3752</v>
      </c>
      <c r="J172" s="214" t="s">
        <v>3753</v>
      </c>
      <c r="K172" s="214" t="s">
        <v>9168</v>
      </c>
      <c r="L172" s="214" t="s">
        <v>10417</v>
      </c>
      <c r="M172" s="214" t="s">
        <v>9767</v>
      </c>
      <c r="P172" s="120"/>
    </row>
    <row r="173" spans="1:16">
      <c r="A173" s="215" t="s">
        <v>2303</v>
      </c>
      <c r="B173" s="214" t="s">
        <v>2586</v>
      </c>
      <c r="C173" s="222" t="s">
        <v>2692</v>
      </c>
      <c r="D173" s="222" t="s">
        <v>2767</v>
      </c>
      <c r="E173" s="222" t="s">
        <v>3754</v>
      </c>
      <c r="F173" s="214" t="s">
        <v>3755</v>
      </c>
      <c r="G173" s="214" t="s">
        <v>3756</v>
      </c>
      <c r="H173" s="214" t="s">
        <v>3757</v>
      </c>
      <c r="I173" s="214" t="s">
        <v>3758</v>
      </c>
      <c r="J173" s="214" t="s">
        <v>3759</v>
      </c>
      <c r="K173" s="214" t="s">
        <v>9169</v>
      </c>
      <c r="L173" s="214" t="s">
        <v>10418</v>
      </c>
      <c r="M173" s="214" t="s">
        <v>9768</v>
      </c>
      <c r="P173" s="120"/>
    </row>
    <row r="174" spans="1:16">
      <c r="A174" s="215" t="s">
        <v>418</v>
      </c>
      <c r="B174" s="214" t="s">
        <v>401</v>
      </c>
      <c r="C174" s="222" t="s">
        <v>400</v>
      </c>
      <c r="D174" s="222" t="s">
        <v>402</v>
      </c>
      <c r="E174" s="222" t="s">
        <v>3715</v>
      </c>
      <c r="F174" s="214" t="s">
        <v>3716</v>
      </c>
      <c r="G174" s="214" t="s">
        <v>3760</v>
      </c>
      <c r="H174" s="214" t="s">
        <v>3718</v>
      </c>
      <c r="I174" s="214" t="s">
        <v>3719</v>
      </c>
      <c r="J174" s="214" t="s">
        <v>3720</v>
      </c>
      <c r="K174" s="214" t="s">
        <v>9164</v>
      </c>
      <c r="L174" s="214" t="s">
        <v>10413</v>
      </c>
      <c r="M174" s="214" t="s">
        <v>9763</v>
      </c>
      <c r="P174" s="120"/>
    </row>
    <row r="175" spans="1:16">
      <c r="A175" s="215" t="s">
        <v>421</v>
      </c>
      <c r="B175" s="214" t="s">
        <v>2587</v>
      </c>
      <c r="C175" s="222" t="s">
        <v>424</v>
      </c>
      <c r="D175" s="222" t="s">
        <v>425</v>
      </c>
      <c r="E175" s="222" t="s">
        <v>3765</v>
      </c>
      <c r="F175" s="214" t="s">
        <v>3766</v>
      </c>
      <c r="G175" s="214" t="s">
        <v>3767</v>
      </c>
      <c r="H175" s="214" t="s">
        <v>3765</v>
      </c>
      <c r="I175" s="214" t="s">
        <v>3768</v>
      </c>
      <c r="J175" s="214" t="s">
        <v>3769</v>
      </c>
      <c r="K175" s="214" t="s">
        <v>9171</v>
      </c>
      <c r="L175" s="214" t="s">
        <v>10420</v>
      </c>
      <c r="M175" s="214" t="s">
        <v>9769</v>
      </c>
      <c r="P175" s="120"/>
    </row>
    <row r="176" spans="1:16">
      <c r="A176" s="214" t="s">
        <v>12032</v>
      </c>
      <c r="B176" s="214" t="s">
        <v>2587</v>
      </c>
      <c r="C176" s="222" t="s">
        <v>424</v>
      </c>
      <c r="D176" s="222" t="s">
        <v>425</v>
      </c>
      <c r="E176" s="222" t="s">
        <v>3765</v>
      </c>
      <c r="F176" s="214" t="s">
        <v>3766</v>
      </c>
      <c r="G176" s="214" t="s">
        <v>3767</v>
      </c>
      <c r="H176" s="214" t="s">
        <v>3765</v>
      </c>
      <c r="I176" s="214" t="s">
        <v>3768</v>
      </c>
      <c r="J176" s="214" t="s">
        <v>3769</v>
      </c>
      <c r="K176" s="214" t="s">
        <v>9171</v>
      </c>
      <c r="L176" s="214" t="s">
        <v>10420</v>
      </c>
      <c r="M176" s="214" t="s">
        <v>9769</v>
      </c>
      <c r="P176" s="120"/>
    </row>
    <row r="177" spans="1:16">
      <c r="A177" s="214" t="s">
        <v>3770</v>
      </c>
      <c r="B177" s="214" t="s">
        <v>3772</v>
      </c>
      <c r="C177" s="222" t="s">
        <v>3771</v>
      </c>
      <c r="D177" s="222" t="s">
        <v>3773</v>
      </c>
      <c r="E177" s="222" t="s">
        <v>3774</v>
      </c>
      <c r="F177" s="214" t="s">
        <v>3775</v>
      </c>
      <c r="G177" s="214" t="s">
        <v>3776</v>
      </c>
      <c r="H177" s="214" t="s">
        <v>3777</v>
      </c>
      <c r="I177" s="214" t="s">
        <v>3778</v>
      </c>
      <c r="J177" s="214" t="s">
        <v>3779</v>
      </c>
      <c r="K177" s="214" t="s">
        <v>9172</v>
      </c>
      <c r="L177" s="214" t="s">
        <v>10421</v>
      </c>
      <c r="M177" s="214" t="s">
        <v>9770</v>
      </c>
      <c r="P177" s="120"/>
    </row>
    <row r="178" spans="1:16">
      <c r="A178" s="214" t="s">
        <v>426</v>
      </c>
      <c r="B178" s="214" t="s">
        <v>2588</v>
      </c>
      <c r="C178" s="222" t="s">
        <v>2693</v>
      </c>
      <c r="D178" s="222" t="s">
        <v>2768</v>
      </c>
      <c r="E178" s="222" t="s">
        <v>3780</v>
      </c>
      <c r="F178" s="214" t="s">
        <v>3781</v>
      </c>
      <c r="G178" s="214" t="s">
        <v>3782</v>
      </c>
      <c r="H178" s="214" t="s">
        <v>3783</v>
      </c>
      <c r="I178" s="214" t="s">
        <v>3784</v>
      </c>
      <c r="J178" s="214" t="s">
        <v>3785</v>
      </c>
      <c r="K178" s="214" t="s">
        <v>9173</v>
      </c>
      <c r="L178" s="214" t="s">
        <v>10422</v>
      </c>
      <c r="M178" s="214" t="s">
        <v>9771</v>
      </c>
      <c r="P178" s="120"/>
    </row>
    <row r="179" spans="1:16">
      <c r="A179" s="214" t="s">
        <v>430</v>
      </c>
      <c r="B179" s="214" t="s">
        <v>2589</v>
      </c>
      <c r="C179" s="222" t="s">
        <v>2694</v>
      </c>
      <c r="D179" s="222" t="s">
        <v>2769</v>
      </c>
      <c r="E179" s="222" t="s">
        <v>3786</v>
      </c>
      <c r="F179" s="214" t="s">
        <v>3787</v>
      </c>
      <c r="G179" s="214" t="s">
        <v>3788</v>
      </c>
      <c r="H179" s="214" t="s">
        <v>3789</v>
      </c>
      <c r="I179" s="214" t="s">
        <v>3790</v>
      </c>
      <c r="J179" s="214" t="s">
        <v>3791</v>
      </c>
      <c r="K179" s="214" t="s">
        <v>9174</v>
      </c>
      <c r="L179" s="214" t="s">
        <v>10423</v>
      </c>
      <c r="M179" s="214" t="s">
        <v>9772</v>
      </c>
      <c r="P179" s="120"/>
    </row>
    <row r="180" spans="1:16">
      <c r="A180" s="214" t="s">
        <v>431</v>
      </c>
      <c r="B180" s="214" t="s">
        <v>434</v>
      </c>
      <c r="C180" s="222" t="s">
        <v>433</v>
      </c>
      <c r="D180" s="222" t="s">
        <v>435</v>
      </c>
      <c r="E180" s="222" t="s">
        <v>3792</v>
      </c>
      <c r="F180" s="214" t="s">
        <v>3793</v>
      </c>
      <c r="G180" s="214" t="s">
        <v>3794</v>
      </c>
      <c r="H180" s="214" t="s">
        <v>3795</v>
      </c>
      <c r="I180" s="214" t="s">
        <v>3796</v>
      </c>
      <c r="J180" s="214" t="s">
        <v>3797</v>
      </c>
      <c r="K180" s="223" t="s">
        <v>9175</v>
      </c>
      <c r="L180" s="214" t="s">
        <v>10424</v>
      </c>
      <c r="M180" s="214" t="s">
        <v>9773</v>
      </c>
      <c r="P180" s="120"/>
    </row>
    <row r="181" spans="1:16">
      <c r="A181" s="214" t="s">
        <v>436</v>
      </c>
      <c r="B181" s="214" t="s">
        <v>438</v>
      </c>
      <c r="C181" s="222" t="s">
        <v>437</v>
      </c>
      <c r="D181" s="222" t="s">
        <v>439</v>
      </c>
      <c r="E181" s="222" t="s">
        <v>3798</v>
      </c>
      <c r="F181" s="214" t="s">
        <v>3799</v>
      </c>
      <c r="G181" s="214" t="s">
        <v>3800</v>
      </c>
      <c r="H181" s="214" t="s">
        <v>3801</v>
      </c>
      <c r="I181" s="214" t="s">
        <v>3802</v>
      </c>
      <c r="J181" s="214" t="s">
        <v>3803</v>
      </c>
      <c r="K181" s="223" t="s">
        <v>9176</v>
      </c>
      <c r="L181" s="214" t="s">
        <v>10425</v>
      </c>
      <c r="M181" s="214" t="s">
        <v>9774</v>
      </c>
      <c r="P181" s="120"/>
    </row>
    <row r="182" spans="1:16">
      <c r="A182" s="215" t="s">
        <v>440</v>
      </c>
      <c r="B182" s="214" t="s">
        <v>428</v>
      </c>
      <c r="C182" s="222" t="s">
        <v>441</v>
      </c>
      <c r="D182" s="222" t="s">
        <v>429</v>
      </c>
      <c r="E182" s="222" t="s">
        <v>3804</v>
      </c>
      <c r="F182" s="214" t="s">
        <v>3805</v>
      </c>
      <c r="G182" s="214" t="s">
        <v>3806</v>
      </c>
      <c r="H182" s="214" t="s">
        <v>3807</v>
      </c>
      <c r="I182" s="214" t="s">
        <v>3808</v>
      </c>
      <c r="J182" s="214" t="s">
        <v>3809</v>
      </c>
      <c r="K182" s="214" t="s">
        <v>9177</v>
      </c>
      <c r="L182" s="214" t="s">
        <v>10426</v>
      </c>
      <c r="M182" s="214" t="s">
        <v>9771</v>
      </c>
      <c r="P182" s="120"/>
    </row>
    <row r="183" spans="1:16">
      <c r="A183" s="216" t="s">
        <v>442</v>
      </c>
      <c r="B183" s="214" t="s">
        <v>446</v>
      </c>
      <c r="C183" s="222" t="s">
        <v>445</v>
      </c>
      <c r="D183" s="222" t="s">
        <v>447</v>
      </c>
      <c r="E183" s="222" t="s">
        <v>3810</v>
      </c>
      <c r="F183" s="214" t="s">
        <v>3811</v>
      </c>
      <c r="G183" s="214" t="s">
        <v>3812</v>
      </c>
      <c r="H183" s="214" t="s">
        <v>3813</v>
      </c>
      <c r="I183" s="214" t="s">
        <v>3814</v>
      </c>
      <c r="J183" s="214" t="s">
        <v>3815</v>
      </c>
      <c r="K183" s="214" t="s">
        <v>9178</v>
      </c>
      <c r="L183" s="214" t="s">
        <v>10427</v>
      </c>
      <c r="M183" s="214" t="s">
        <v>9775</v>
      </c>
      <c r="P183" s="120"/>
    </row>
    <row r="184" spans="1:16">
      <c r="A184" s="214" t="s">
        <v>448</v>
      </c>
      <c r="B184" s="214" t="s">
        <v>450</v>
      </c>
      <c r="C184" s="222" t="s">
        <v>449</v>
      </c>
      <c r="D184" s="222" t="s">
        <v>451</v>
      </c>
      <c r="E184" s="222" t="s">
        <v>3816</v>
      </c>
      <c r="F184" s="214" t="s">
        <v>3817</v>
      </c>
      <c r="G184" s="214" t="s">
        <v>3818</v>
      </c>
      <c r="H184" s="214" t="s">
        <v>3819</v>
      </c>
      <c r="I184" s="214" t="s">
        <v>3820</v>
      </c>
      <c r="J184" s="214" t="s">
        <v>3821</v>
      </c>
      <c r="K184" s="214" t="s">
        <v>9179</v>
      </c>
      <c r="L184" s="214" t="s">
        <v>10428</v>
      </c>
      <c r="M184" s="214" t="s">
        <v>9776</v>
      </c>
      <c r="P184" s="120"/>
    </row>
    <row r="185" spans="1:16">
      <c r="A185" s="214" t="s">
        <v>452</v>
      </c>
      <c r="B185" s="214" t="s">
        <v>454</v>
      </c>
      <c r="C185" s="222" t="s">
        <v>453</v>
      </c>
      <c r="D185" s="222" t="s">
        <v>455</v>
      </c>
      <c r="E185" s="222" t="s">
        <v>3822</v>
      </c>
      <c r="F185" s="214" t="s">
        <v>3817</v>
      </c>
      <c r="G185" s="214" t="s">
        <v>3823</v>
      </c>
      <c r="H185" s="214" t="s">
        <v>3824</v>
      </c>
      <c r="I185" s="214" t="s">
        <v>3825</v>
      </c>
      <c r="J185" s="214" t="s">
        <v>3826</v>
      </c>
      <c r="K185" s="214" t="s">
        <v>9180</v>
      </c>
      <c r="L185" s="214" t="s">
        <v>10429</v>
      </c>
      <c r="M185" s="214" t="s">
        <v>9777</v>
      </c>
      <c r="P185" s="120"/>
    </row>
    <row r="186" spans="1:16">
      <c r="A186" s="214" t="s">
        <v>456</v>
      </c>
      <c r="B186" s="214" t="s">
        <v>458</v>
      </c>
      <c r="C186" s="222" t="s">
        <v>457</v>
      </c>
      <c r="D186" s="222" t="s">
        <v>459</v>
      </c>
      <c r="E186" s="222" t="s">
        <v>3827</v>
      </c>
      <c r="F186" s="214" t="s">
        <v>3828</v>
      </c>
      <c r="G186" s="214" t="s">
        <v>3829</v>
      </c>
      <c r="H186" s="214" t="s">
        <v>3830</v>
      </c>
      <c r="I186" s="214" t="s">
        <v>3831</v>
      </c>
      <c r="J186" s="214" t="s">
        <v>3832</v>
      </c>
      <c r="K186" s="214" t="s">
        <v>9181</v>
      </c>
      <c r="L186" s="214" t="s">
        <v>10430</v>
      </c>
      <c r="M186" s="214" t="s">
        <v>9778</v>
      </c>
      <c r="P186" s="120"/>
    </row>
    <row r="187" spans="1:16">
      <c r="A187" s="214" t="s">
        <v>460</v>
      </c>
      <c r="B187" s="214" t="s">
        <v>462</v>
      </c>
      <c r="C187" s="222" t="s">
        <v>461</v>
      </c>
      <c r="D187" s="222" t="s">
        <v>463</v>
      </c>
      <c r="E187" s="222" t="s">
        <v>3833</v>
      </c>
      <c r="F187" s="214" t="s">
        <v>3834</v>
      </c>
      <c r="G187" s="214" t="s">
        <v>3835</v>
      </c>
      <c r="H187" s="214" t="s">
        <v>3836</v>
      </c>
      <c r="I187" s="214" t="s">
        <v>3837</v>
      </c>
      <c r="J187" s="214" t="s">
        <v>3838</v>
      </c>
      <c r="K187" s="214" t="s">
        <v>9182</v>
      </c>
      <c r="L187" s="214" t="s">
        <v>10431</v>
      </c>
      <c r="M187" s="214" t="s">
        <v>9779</v>
      </c>
      <c r="P187" s="120"/>
    </row>
    <row r="188" spans="1:16">
      <c r="A188" s="214" t="s">
        <v>464</v>
      </c>
      <c r="B188" s="214" t="s">
        <v>466</v>
      </c>
      <c r="C188" s="222" t="s">
        <v>465</v>
      </c>
      <c r="D188" s="222" t="s">
        <v>467</v>
      </c>
      <c r="E188" s="222" t="s">
        <v>3839</v>
      </c>
      <c r="F188" s="214" t="s">
        <v>3840</v>
      </c>
      <c r="G188" s="214" t="s">
        <v>3841</v>
      </c>
      <c r="H188" s="214" t="s">
        <v>3842</v>
      </c>
      <c r="I188" s="214" t="s">
        <v>3843</v>
      </c>
      <c r="J188" s="214" t="s">
        <v>3844</v>
      </c>
      <c r="K188" s="214" t="s">
        <v>9183</v>
      </c>
      <c r="L188" s="214" t="s">
        <v>10432</v>
      </c>
      <c r="M188" s="214" t="s">
        <v>9780</v>
      </c>
      <c r="P188" s="120"/>
    </row>
    <row r="189" spans="1:16">
      <c r="A189" s="214" t="s">
        <v>468</v>
      </c>
      <c r="B189" s="214" t="s">
        <v>470</v>
      </c>
      <c r="C189" s="222" t="s">
        <v>469</v>
      </c>
      <c r="D189" s="222" t="s">
        <v>471</v>
      </c>
      <c r="E189" s="222" t="s">
        <v>3845</v>
      </c>
      <c r="F189" s="214" t="s">
        <v>3846</v>
      </c>
      <c r="G189" s="214" t="s">
        <v>3847</v>
      </c>
      <c r="H189" s="214" t="s">
        <v>3848</v>
      </c>
      <c r="I189" s="214" t="s">
        <v>3849</v>
      </c>
      <c r="J189" s="214" t="s">
        <v>3850</v>
      </c>
      <c r="K189" s="214" t="s">
        <v>9184</v>
      </c>
      <c r="L189" s="214" t="s">
        <v>10433</v>
      </c>
      <c r="M189" s="214" t="s">
        <v>9781</v>
      </c>
      <c r="P189" s="120"/>
    </row>
    <row r="190" spans="1:16">
      <c r="A190" s="214" t="s">
        <v>472</v>
      </c>
      <c r="B190" s="214" t="s">
        <v>2590</v>
      </c>
      <c r="C190" s="222" t="s">
        <v>473</v>
      </c>
      <c r="D190" s="222" t="s">
        <v>474</v>
      </c>
      <c r="E190" s="222" t="s">
        <v>3851</v>
      </c>
      <c r="F190" s="214" t="s">
        <v>3852</v>
      </c>
      <c r="G190" s="214" t="s">
        <v>3853</v>
      </c>
      <c r="H190" s="214" t="s">
        <v>3854</v>
      </c>
      <c r="I190" s="214" t="s">
        <v>3855</v>
      </c>
      <c r="J190" s="214" t="s">
        <v>3856</v>
      </c>
      <c r="K190" s="214" t="s">
        <v>9185</v>
      </c>
      <c r="L190" s="214" t="s">
        <v>10434</v>
      </c>
      <c r="M190" s="214" t="s">
        <v>9782</v>
      </c>
      <c r="P190" s="120"/>
    </row>
    <row r="191" spans="1:16">
      <c r="A191" s="214" t="s">
        <v>475</v>
      </c>
      <c r="B191" s="214" t="s">
        <v>477</v>
      </c>
      <c r="C191" s="222" t="s">
        <v>476</v>
      </c>
      <c r="D191" s="222" t="s">
        <v>478</v>
      </c>
      <c r="E191" s="222" t="s">
        <v>3845</v>
      </c>
      <c r="F191" s="214" t="s">
        <v>3857</v>
      </c>
      <c r="G191" s="214" t="s">
        <v>3858</v>
      </c>
      <c r="H191" s="214" t="s">
        <v>3859</v>
      </c>
      <c r="I191" s="214" t="s">
        <v>3860</v>
      </c>
      <c r="J191" s="214" t="s">
        <v>3861</v>
      </c>
      <c r="K191" s="214" t="s">
        <v>9186</v>
      </c>
      <c r="L191" s="214" t="s">
        <v>10435</v>
      </c>
      <c r="M191" s="214" t="s">
        <v>9783</v>
      </c>
      <c r="P191" s="120"/>
    </row>
    <row r="192" spans="1:16">
      <c r="A192" s="214" t="s">
        <v>479</v>
      </c>
      <c r="B192" s="214" t="s">
        <v>481</v>
      </c>
      <c r="C192" s="222" t="s">
        <v>480</v>
      </c>
      <c r="D192" s="222" t="s">
        <v>482</v>
      </c>
      <c r="E192" s="222" t="s">
        <v>3862</v>
      </c>
      <c r="F192" s="214" t="s">
        <v>3863</v>
      </c>
      <c r="G192" s="214" t="s">
        <v>3864</v>
      </c>
      <c r="H192" s="214" t="s">
        <v>3865</v>
      </c>
      <c r="I192" s="214" t="s">
        <v>3866</v>
      </c>
      <c r="J192" s="214" t="s">
        <v>3867</v>
      </c>
      <c r="K192" s="214" t="s">
        <v>9187</v>
      </c>
      <c r="L192" s="214" t="s">
        <v>10436</v>
      </c>
      <c r="M192" s="214" t="s">
        <v>9784</v>
      </c>
      <c r="P192" s="120"/>
    </row>
    <row r="193" spans="1:16">
      <c r="A193" s="214" t="s">
        <v>483</v>
      </c>
      <c r="B193" s="214" t="s">
        <v>487</v>
      </c>
      <c r="C193" s="222" t="s">
        <v>486</v>
      </c>
      <c r="D193" s="222" t="s">
        <v>488</v>
      </c>
      <c r="E193" s="222" t="s">
        <v>3868</v>
      </c>
      <c r="F193" s="214" t="s">
        <v>3869</v>
      </c>
      <c r="G193" s="214" t="s">
        <v>3870</v>
      </c>
      <c r="H193" s="214" t="s">
        <v>3871</v>
      </c>
      <c r="I193" s="214" t="s">
        <v>3872</v>
      </c>
      <c r="J193" s="214" t="s">
        <v>3873</v>
      </c>
      <c r="K193" s="214" t="s">
        <v>9188</v>
      </c>
      <c r="L193" s="214" t="s">
        <v>10437</v>
      </c>
      <c r="M193" s="214" t="s">
        <v>9785</v>
      </c>
      <c r="P193" s="120"/>
    </row>
    <row r="194" spans="1:16">
      <c r="A194" s="214" t="s">
        <v>489</v>
      </c>
      <c r="B194" s="214" t="s">
        <v>493</v>
      </c>
      <c r="C194" s="222" t="s">
        <v>492</v>
      </c>
      <c r="D194" s="222" t="s">
        <v>494</v>
      </c>
      <c r="E194" s="222" t="s">
        <v>3874</v>
      </c>
      <c r="F194" s="214" t="s">
        <v>3875</v>
      </c>
      <c r="G194" s="214" t="s">
        <v>3876</v>
      </c>
      <c r="H194" s="214" t="s">
        <v>3877</v>
      </c>
      <c r="I194" s="214" t="s">
        <v>3878</v>
      </c>
      <c r="J194" s="214" t="s">
        <v>3879</v>
      </c>
      <c r="K194" s="214" t="s">
        <v>9189</v>
      </c>
      <c r="L194" s="214" t="s">
        <v>10438</v>
      </c>
      <c r="M194" s="214" t="s">
        <v>9786</v>
      </c>
      <c r="P194" s="120"/>
    </row>
    <row r="195" spans="1:16">
      <c r="A195" s="214" t="s">
        <v>497</v>
      </c>
      <c r="B195" s="214" t="s">
        <v>500</v>
      </c>
      <c r="C195" s="222" t="s">
        <v>499</v>
      </c>
      <c r="D195" s="222" t="s">
        <v>501</v>
      </c>
      <c r="E195" s="222" t="s">
        <v>3880</v>
      </c>
      <c r="F195" s="214" t="s">
        <v>3881</v>
      </c>
      <c r="G195" s="214" t="s">
        <v>3882</v>
      </c>
      <c r="H195" s="214" t="s">
        <v>3883</v>
      </c>
      <c r="I195" s="214" t="s">
        <v>3884</v>
      </c>
      <c r="J195" s="214" t="s">
        <v>3885</v>
      </c>
      <c r="K195" s="214" t="s">
        <v>9190</v>
      </c>
      <c r="L195" s="214" t="s">
        <v>10439</v>
      </c>
      <c r="M195" s="214" t="s">
        <v>9787</v>
      </c>
      <c r="P195" s="120"/>
    </row>
    <row r="196" spans="1:16">
      <c r="A196" s="214" t="s">
        <v>502</v>
      </c>
      <c r="B196" s="214" t="s">
        <v>504</v>
      </c>
      <c r="C196" s="222" t="s">
        <v>503</v>
      </c>
      <c r="D196" s="222" t="s">
        <v>505</v>
      </c>
      <c r="E196" s="222" t="s">
        <v>3886</v>
      </c>
      <c r="F196" s="214" t="s">
        <v>3887</v>
      </c>
      <c r="G196" s="214" t="s">
        <v>3888</v>
      </c>
      <c r="H196" s="214" t="s">
        <v>3889</v>
      </c>
      <c r="I196" s="214" t="s">
        <v>3890</v>
      </c>
      <c r="J196" s="214" t="s">
        <v>3891</v>
      </c>
      <c r="K196" s="214" t="s">
        <v>9191</v>
      </c>
      <c r="L196" s="214" t="s">
        <v>10440</v>
      </c>
      <c r="M196" s="214" t="s">
        <v>9788</v>
      </c>
      <c r="P196" s="120"/>
    </row>
    <row r="197" spans="1:16">
      <c r="A197" s="214" t="s">
        <v>506</v>
      </c>
      <c r="B197" s="214" t="s">
        <v>496</v>
      </c>
      <c r="C197" s="222" t="s">
        <v>495</v>
      </c>
      <c r="D197" s="222" t="s">
        <v>507</v>
      </c>
      <c r="E197" s="222" t="s">
        <v>3892</v>
      </c>
      <c r="F197" s="214" t="s">
        <v>3893</v>
      </c>
      <c r="G197" s="214" t="s">
        <v>3894</v>
      </c>
      <c r="H197" s="214" t="s">
        <v>3877</v>
      </c>
      <c r="I197" s="214" t="s">
        <v>3895</v>
      </c>
      <c r="J197" s="214" t="s">
        <v>3896</v>
      </c>
      <c r="K197" s="214" t="s">
        <v>9192</v>
      </c>
      <c r="L197" s="214" t="s">
        <v>10441</v>
      </c>
      <c r="M197" s="214" t="s">
        <v>9789</v>
      </c>
      <c r="P197" s="120"/>
    </row>
    <row r="198" spans="1:16">
      <c r="A198" s="214" t="s">
        <v>508</v>
      </c>
      <c r="B198" s="214" t="s">
        <v>493</v>
      </c>
      <c r="C198" s="222" t="s">
        <v>492</v>
      </c>
      <c r="D198" s="222" t="s">
        <v>494</v>
      </c>
      <c r="E198" s="222" t="s">
        <v>3874</v>
      </c>
      <c r="F198" s="214" t="s">
        <v>3875</v>
      </c>
      <c r="G198" s="214" t="s">
        <v>3876</v>
      </c>
      <c r="H198" s="214" t="s">
        <v>3897</v>
      </c>
      <c r="I198" s="214" t="s">
        <v>3878</v>
      </c>
      <c r="J198" s="214" t="s">
        <v>3898</v>
      </c>
      <c r="K198" s="223" t="s">
        <v>9189</v>
      </c>
      <c r="L198" s="214" t="s">
        <v>10438</v>
      </c>
      <c r="M198" s="214" t="s">
        <v>9786</v>
      </c>
      <c r="P198" s="120"/>
    </row>
    <row r="199" spans="1:16">
      <c r="A199" s="214" t="s">
        <v>509</v>
      </c>
      <c r="B199" s="214" t="s">
        <v>511</v>
      </c>
      <c r="C199" s="222" t="s">
        <v>510</v>
      </c>
      <c r="D199" s="222" t="s">
        <v>10972</v>
      </c>
      <c r="E199" s="222" t="s">
        <v>3899</v>
      </c>
      <c r="F199" s="214" t="s">
        <v>3900</v>
      </c>
      <c r="G199" s="214" t="s">
        <v>3901</v>
      </c>
      <c r="H199" s="214" t="s">
        <v>3902</v>
      </c>
      <c r="I199" s="214" t="s">
        <v>3903</v>
      </c>
      <c r="J199" s="214" t="s">
        <v>3904</v>
      </c>
      <c r="K199" s="214" t="s">
        <v>9193</v>
      </c>
      <c r="L199" s="214" t="s">
        <v>10442</v>
      </c>
      <c r="M199" s="214" t="s">
        <v>9790</v>
      </c>
      <c r="P199" s="120"/>
    </row>
    <row r="200" spans="1:16">
      <c r="A200" s="214" t="s">
        <v>512</v>
      </c>
      <c r="B200" s="214" t="s">
        <v>514</v>
      </c>
      <c r="C200" s="222" t="s">
        <v>513</v>
      </c>
      <c r="D200" s="222" t="s">
        <v>10973</v>
      </c>
      <c r="E200" s="222" t="s">
        <v>3905</v>
      </c>
      <c r="F200" s="214" t="s">
        <v>3906</v>
      </c>
      <c r="G200" s="214" t="s">
        <v>3907</v>
      </c>
      <c r="H200" s="214" t="s">
        <v>3908</v>
      </c>
      <c r="I200" s="214" t="s">
        <v>3909</v>
      </c>
      <c r="J200" s="214" t="s">
        <v>3910</v>
      </c>
      <c r="K200" s="214" t="s">
        <v>9194</v>
      </c>
      <c r="L200" s="214" t="s">
        <v>10443</v>
      </c>
      <c r="M200" s="214" t="s">
        <v>9791</v>
      </c>
      <c r="P200" s="120"/>
    </row>
    <row r="201" spans="1:16">
      <c r="A201" s="214" t="s">
        <v>515</v>
      </c>
      <c r="B201" s="214" t="s">
        <v>517</v>
      </c>
      <c r="C201" s="222" t="s">
        <v>516</v>
      </c>
      <c r="D201" s="222" t="s">
        <v>10974</v>
      </c>
      <c r="E201" s="222" t="s">
        <v>3911</v>
      </c>
      <c r="F201" s="214" t="s">
        <v>3912</v>
      </c>
      <c r="G201" s="214" t="s">
        <v>3913</v>
      </c>
      <c r="H201" s="214" t="s">
        <v>3914</v>
      </c>
      <c r="I201" s="214" t="s">
        <v>3915</v>
      </c>
      <c r="J201" s="214" t="s">
        <v>3916</v>
      </c>
      <c r="K201" s="214" t="s">
        <v>9195</v>
      </c>
      <c r="L201" s="214" t="s">
        <v>10444</v>
      </c>
      <c r="M201" s="214" t="s">
        <v>9792</v>
      </c>
      <c r="P201" s="120"/>
    </row>
    <row r="202" spans="1:16">
      <c r="A202" s="214" t="s">
        <v>518</v>
      </c>
      <c r="B202" s="214" t="s">
        <v>520</v>
      </c>
      <c r="C202" s="222" t="s">
        <v>519</v>
      </c>
      <c r="D202" s="222" t="s">
        <v>10975</v>
      </c>
      <c r="E202" s="222" t="s">
        <v>3917</v>
      </c>
      <c r="F202" s="214" t="s">
        <v>3918</v>
      </c>
      <c r="G202" s="214" t="s">
        <v>3919</v>
      </c>
      <c r="H202" s="214" t="s">
        <v>3920</v>
      </c>
      <c r="I202" s="214" t="s">
        <v>3921</v>
      </c>
      <c r="J202" s="214" t="s">
        <v>3922</v>
      </c>
      <c r="K202" s="214" t="s">
        <v>9196</v>
      </c>
      <c r="L202" s="214" t="s">
        <v>10445</v>
      </c>
      <c r="M202" s="214" t="s">
        <v>9793</v>
      </c>
      <c r="P202" s="120"/>
    </row>
    <row r="203" spans="1:16">
      <c r="A203" s="214" t="s">
        <v>521</v>
      </c>
      <c r="B203" s="214" t="s">
        <v>523</v>
      </c>
      <c r="C203" s="222" t="s">
        <v>522</v>
      </c>
      <c r="D203" s="222" t="s">
        <v>10976</v>
      </c>
      <c r="E203" s="222" t="s">
        <v>3923</v>
      </c>
      <c r="F203" s="214" t="s">
        <v>3924</v>
      </c>
      <c r="G203" s="214" t="s">
        <v>3925</v>
      </c>
      <c r="H203" s="214" t="s">
        <v>3926</v>
      </c>
      <c r="I203" s="214" t="s">
        <v>3927</v>
      </c>
      <c r="J203" s="214" t="s">
        <v>3928</v>
      </c>
      <c r="K203" s="214" t="s">
        <v>9197</v>
      </c>
      <c r="L203" s="214" t="s">
        <v>10446</v>
      </c>
      <c r="M203" s="214" t="s">
        <v>9794</v>
      </c>
      <c r="P203" s="120"/>
    </row>
    <row r="204" spans="1:16">
      <c r="A204" s="214" t="s">
        <v>524</v>
      </c>
      <c r="B204" s="214" t="s">
        <v>526</v>
      </c>
      <c r="C204" s="222" t="s">
        <v>525</v>
      </c>
      <c r="D204" s="222" t="s">
        <v>10977</v>
      </c>
      <c r="E204" s="222" t="s">
        <v>3929</v>
      </c>
      <c r="F204" s="214" t="s">
        <v>3930</v>
      </c>
      <c r="G204" s="214" t="s">
        <v>3931</v>
      </c>
      <c r="H204" s="214" t="s">
        <v>3932</v>
      </c>
      <c r="I204" s="214" t="s">
        <v>3933</v>
      </c>
      <c r="J204" s="214" t="s">
        <v>3934</v>
      </c>
      <c r="K204" s="214" t="s">
        <v>9198</v>
      </c>
      <c r="L204" s="214" t="s">
        <v>10447</v>
      </c>
      <c r="M204" s="214" t="s">
        <v>9795</v>
      </c>
      <c r="P204" s="120"/>
    </row>
    <row r="205" spans="1:16">
      <c r="A205" s="214" t="s">
        <v>527</v>
      </c>
      <c r="B205" s="214" t="s">
        <v>2591</v>
      </c>
      <c r="C205" s="222" t="s">
        <v>528</v>
      </c>
      <c r="D205" s="222" t="s">
        <v>10978</v>
      </c>
      <c r="E205" s="222" t="s">
        <v>3935</v>
      </c>
      <c r="F205" s="214" t="s">
        <v>3936</v>
      </c>
      <c r="G205" s="214" t="s">
        <v>3937</v>
      </c>
      <c r="H205" s="214" t="s">
        <v>3938</v>
      </c>
      <c r="I205" s="214" t="s">
        <v>3939</v>
      </c>
      <c r="J205" s="214" t="s">
        <v>3940</v>
      </c>
      <c r="K205" s="214" t="s">
        <v>9199</v>
      </c>
      <c r="L205" s="214" t="s">
        <v>10448</v>
      </c>
      <c r="M205" s="214" t="s">
        <v>9796</v>
      </c>
      <c r="P205" s="120"/>
    </row>
    <row r="206" spans="1:16">
      <c r="A206" s="214" t="s">
        <v>529</v>
      </c>
      <c r="B206" s="214" t="s">
        <v>531</v>
      </c>
      <c r="C206" s="222" t="s">
        <v>530</v>
      </c>
      <c r="D206" s="222" t="s">
        <v>10979</v>
      </c>
      <c r="E206" s="222" t="s">
        <v>3941</v>
      </c>
      <c r="F206" s="214" t="s">
        <v>3942</v>
      </c>
      <c r="G206" s="214" t="s">
        <v>3943</v>
      </c>
      <c r="H206" s="214" t="s">
        <v>3944</v>
      </c>
      <c r="I206" s="214" t="s">
        <v>3945</v>
      </c>
      <c r="J206" s="214" t="s">
        <v>3946</v>
      </c>
      <c r="K206" s="214" t="s">
        <v>9200</v>
      </c>
      <c r="L206" s="214" t="s">
        <v>10449</v>
      </c>
      <c r="M206" s="214" t="s">
        <v>9797</v>
      </c>
      <c r="P206" s="120"/>
    </row>
    <row r="207" spans="1:16">
      <c r="A207" s="214" t="s">
        <v>532</v>
      </c>
      <c r="B207" s="214" t="s">
        <v>534</v>
      </c>
      <c r="C207" s="222" t="s">
        <v>533</v>
      </c>
      <c r="D207" s="222" t="s">
        <v>10980</v>
      </c>
      <c r="E207" s="222" t="s">
        <v>3947</v>
      </c>
      <c r="F207" s="214" t="s">
        <v>3948</v>
      </c>
      <c r="G207" s="214" t="s">
        <v>3949</v>
      </c>
      <c r="H207" s="214" t="s">
        <v>3950</v>
      </c>
      <c r="I207" s="214" t="s">
        <v>3951</v>
      </c>
      <c r="J207" s="214" t="s">
        <v>3952</v>
      </c>
      <c r="K207" s="214" t="s">
        <v>9201</v>
      </c>
      <c r="L207" s="214" t="s">
        <v>10450</v>
      </c>
      <c r="M207" s="214" t="s">
        <v>9798</v>
      </c>
      <c r="P207" s="120"/>
    </row>
    <row r="208" spans="1:16">
      <c r="A208" s="214" t="s">
        <v>535</v>
      </c>
      <c r="B208" s="214" t="s">
        <v>537</v>
      </c>
      <c r="C208" s="222" t="s">
        <v>536</v>
      </c>
      <c r="D208" s="222" t="s">
        <v>10981</v>
      </c>
      <c r="E208" s="222" t="s">
        <v>3953</v>
      </c>
      <c r="F208" s="214" t="s">
        <v>3954</v>
      </c>
      <c r="G208" s="214" t="s">
        <v>3955</v>
      </c>
      <c r="H208" s="214" t="s">
        <v>3956</v>
      </c>
      <c r="I208" s="214" t="s">
        <v>3957</v>
      </c>
      <c r="J208" s="214" t="s">
        <v>3958</v>
      </c>
      <c r="K208" s="214" t="s">
        <v>9202</v>
      </c>
      <c r="L208" s="214" t="s">
        <v>10451</v>
      </c>
      <c r="M208" s="214" t="s">
        <v>9799</v>
      </c>
      <c r="P208" s="120"/>
    </row>
    <row r="209" spans="1:16">
      <c r="A209" s="214" t="s">
        <v>538</v>
      </c>
      <c r="B209" s="214" t="s">
        <v>540</v>
      </c>
      <c r="C209" s="222" t="s">
        <v>539</v>
      </c>
      <c r="D209" s="222" t="s">
        <v>10982</v>
      </c>
      <c r="E209" s="222" t="s">
        <v>3959</v>
      </c>
      <c r="F209" s="214" t="s">
        <v>3960</v>
      </c>
      <c r="G209" s="214" t="s">
        <v>3961</v>
      </c>
      <c r="H209" s="214" t="s">
        <v>3962</v>
      </c>
      <c r="I209" s="214" t="s">
        <v>3963</v>
      </c>
      <c r="J209" s="214" t="s">
        <v>3964</v>
      </c>
      <c r="K209" s="214" t="s">
        <v>9203</v>
      </c>
      <c r="L209" s="214" t="s">
        <v>10452</v>
      </c>
      <c r="M209" s="214" t="s">
        <v>9800</v>
      </c>
      <c r="P209" s="120"/>
    </row>
    <row r="210" spans="1:16">
      <c r="A210" s="214" t="s">
        <v>541</v>
      </c>
      <c r="B210" s="214" t="s">
        <v>543</v>
      </c>
      <c r="C210" s="222" t="s">
        <v>542</v>
      </c>
      <c r="D210" s="222" t="s">
        <v>544</v>
      </c>
      <c r="E210" s="222" t="s">
        <v>3965</v>
      </c>
      <c r="F210" s="214" t="s">
        <v>3966</v>
      </c>
      <c r="G210" s="214" t="s">
        <v>3967</v>
      </c>
      <c r="H210" s="214" t="s">
        <v>3968</v>
      </c>
      <c r="I210" s="214" t="s">
        <v>3969</v>
      </c>
      <c r="J210" s="214" t="s">
        <v>3970</v>
      </c>
      <c r="K210" s="214" t="s">
        <v>9204</v>
      </c>
      <c r="L210" s="214" t="s">
        <v>10453</v>
      </c>
      <c r="M210" s="214" t="s">
        <v>9801</v>
      </c>
      <c r="P210" s="120"/>
    </row>
    <row r="211" spans="1:16">
      <c r="A211" s="214" t="s">
        <v>545</v>
      </c>
      <c r="B211" s="214" t="s">
        <v>547</v>
      </c>
      <c r="C211" s="222" t="s">
        <v>546</v>
      </c>
      <c r="D211" s="222" t="s">
        <v>548</v>
      </c>
      <c r="E211" s="222" t="s">
        <v>3971</v>
      </c>
      <c r="F211" s="214" t="s">
        <v>3972</v>
      </c>
      <c r="G211" s="214" t="s">
        <v>3973</v>
      </c>
      <c r="H211" s="214" t="s">
        <v>3974</v>
      </c>
      <c r="I211" s="214" t="s">
        <v>3975</v>
      </c>
      <c r="J211" s="214" t="s">
        <v>3976</v>
      </c>
      <c r="K211" s="214" t="s">
        <v>9205</v>
      </c>
      <c r="L211" s="214" t="s">
        <v>10454</v>
      </c>
      <c r="M211" s="214" t="s">
        <v>9802</v>
      </c>
      <c r="P211" s="120"/>
    </row>
    <row r="212" spans="1:16">
      <c r="A212" s="214" t="s">
        <v>549</v>
      </c>
      <c r="B212" s="214" t="s">
        <v>551</v>
      </c>
      <c r="C212" s="222" t="s">
        <v>550</v>
      </c>
      <c r="D212" s="222" t="s">
        <v>552</v>
      </c>
      <c r="E212" s="222" t="s">
        <v>3977</v>
      </c>
      <c r="F212" s="214" t="s">
        <v>3978</v>
      </c>
      <c r="G212" s="214" t="s">
        <v>3979</v>
      </c>
      <c r="H212" s="214" t="s">
        <v>3980</v>
      </c>
      <c r="I212" s="214" t="s">
        <v>3981</v>
      </c>
      <c r="J212" s="214" t="s">
        <v>3982</v>
      </c>
      <c r="K212" s="214" t="s">
        <v>9206</v>
      </c>
      <c r="L212" s="214" t="s">
        <v>10455</v>
      </c>
      <c r="M212" s="214" t="s">
        <v>9803</v>
      </c>
      <c r="P212" s="120"/>
    </row>
    <row r="213" spans="1:16">
      <c r="A213" s="214" t="s">
        <v>553</v>
      </c>
      <c r="B213" s="214" t="s">
        <v>556</v>
      </c>
      <c r="C213" s="222" t="s">
        <v>555</v>
      </c>
      <c r="D213" s="222" t="s">
        <v>557</v>
      </c>
      <c r="E213" s="222" t="s">
        <v>3983</v>
      </c>
      <c r="F213" s="214" t="s">
        <v>3984</v>
      </c>
      <c r="G213" s="214" t="s">
        <v>3985</v>
      </c>
      <c r="H213" s="214" t="s">
        <v>3986</v>
      </c>
      <c r="I213" s="214" t="s">
        <v>3987</v>
      </c>
      <c r="J213" s="214" t="s">
        <v>3988</v>
      </c>
      <c r="K213" s="214" t="s">
        <v>9207</v>
      </c>
      <c r="L213" s="214" t="s">
        <v>10456</v>
      </c>
      <c r="M213" s="214" t="s">
        <v>9804</v>
      </c>
      <c r="P213" s="120"/>
    </row>
    <row r="214" spans="1:16">
      <c r="A214" s="214" t="s">
        <v>2305</v>
      </c>
      <c r="B214" s="214" t="s">
        <v>559</v>
      </c>
      <c r="C214" s="222" t="s">
        <v>558</v>
      </c>
      <c r="D214" s="222" t="s">
        <v>560</v>
      </c>
      <c r="E214" s="222" t="s">
        <v>3989</v>
      </c>
      <c r="F214" s="214" t="s">
        <v>3990</v>
      </c>
      <c r="G214" s="214" t="s">
        <v>3991</v>
      </c>
      <c r="H214" s="214" t="s">
        <v>3992</v>
      </c>
      <c r="I214" s="214" t="s">
        <v>3993</v>
      </c>
      <c r="J214" s="214" t="s">
        <v>3994</v>
      </c>
      <c r="K214" s="214" t="s">
        <v>9208</v>
      </c>
      <c r="L214" s="214" t="s">
        <v>10457</v>
      </c>
      <c r="M214" s="214" t="s">
        <v>9805</v>
      </c>
      <c r="P214" s="120"/>
    </row>
    <row r="215" spans="1:16">
      <c r="A215" s="214" t="s">
        <v>561</v>
      </c>
      <c r="B215" s="214" t="s">
        <v>563</v>
      </c>
      <c r="C215" s="222" t="s">
        <v>562</v>
      </c>
      <c r="D215" s="222" t="s">
        <v>564</v>
      </c>
      <c r="E215" s="222" t="s">
        <v>3995</v>
      </c>
      <c r="F215" s="214" t="s">
        <v>3996</v>
      </c>
      <c r="G215" s="214" t="s">
        <v>3997</v>
      </c>
      <c r="H215" s="214" t="s">
        <v>3998</v>
      </c>
      <c r="I215" s="214" t="s">
        <v>3999</v>
      </c>
      <c r="J215" s="214" t="s">
        <v>4000</v>
      </c>
      <c r="K215" s="214" t="s">
        <v>9209</v>
      </c>
      <c r="L215" s="214" t="s">
        <v>10458</v>
      </c>
      <c r="M215" s="214" t="s">
        <v>9806</v>
      </c>
      <c r="P215" s="120"/>
    </row>
    <row r="216" spans="1:16">
      <c r="A216" s="214" t="s">
        <v>565</v>
      </c>
      <c r="B216" s="214" t="s">
        <v>569</v>
      </c>
      <c r="C216" s="222" t="s">
        <v>568</v>
      </c>
      <c r="D216" s="222" t="s">
        <v>570</v>
      </c>
      <c r="E216" s="222" t="s">
        <v>4001</v>
      </c>
      <c r="F216" s="214" t="s">
        <v>4002</v>
      </c>
      <c r="G216" s="214" t="s">
        <v>4003</v>
      </c>
      <c r="H216" s="214" t="s">
        <v>4004</v>
      </c>
      <c r="I216" s="214" t="s">
        <v>4005</v>
      </c>
      <c r="J216" s="214" t="s">
        <v>4006</v>
      </c>
      <c r="K216" s="214" t="s">
        <v>9210</v>
      </c>
      <c r="L216" s="214" t="s">
        <v>10459</v>
      </c>
      <c r="M216" s="214" t="s">
        <v>9807</v>
      </c>
      <c r="P216" s="120"/>
    </row>
    <row r="217" spans="1:16">
      <c r="A217" s="214" t="s">
        <v>2306</v>
      </c>
      <c r="B217" s="214" t="s">
        <v>573</v>
      </c>
      <c r="C217" s="222" t="s">
        <v>2695</v>
      </c>
      <c r="D217" s="222" t="s">
        <v>574</v>
      </c>
      <c r="E217" s="222" t="s">
        <v>4007</v>
      </c>
      <c r="F217" s="214" t="s">
        <v>4008</v>
      </c>
      <c r="G217" s="214" t="s">
        <v>4009</v>
      </c>
      <c r="H217" s="214" t="s">
        <v>4010</v>
      </c>
      <c r="I217" s="214" t="s">
        <v>4011</v>
      </c>
      <c r="J217" s="214" t="s">
        <v>4012</v>
      </c>
      <c r="K217" s="214" t="s">
        <v>9211</v>
      </c>
      <c r="L217" s="214" t="s">
        <v>10460</v>
      </c>
      <c r="M217" s="214" t="s">
        <v>9808</v>
      </c>
      <c r="P217" s="120"/>
    </row>
    <row r="218" spans="1:16">
      <c r="A218" s="214" t="s">
        <v>575</v>
      </c>
      <c r="B218" s="214" t="s">
        <v>579</v>
      </c>
      <c r="C218" s="222" t="s">
        <v>578</v>
      </c>
      <c r="D218" s="222" t="s">
        <v>580</v>
      </c>
      <c r="E218" s="222" t="s">
        <v>4013</v>
      </c>
      <c r="F218" s="214" t="s">
        <v>4014</v>
      </c>
      <c r="G218" s="214" t="s">
        <v>4015</v>
      </c>
      <c r="H218" s="214" t="s">
        <v>4016</v>
      </c>
      <c r="I218" s="214" t="s">
        <v>4017</v>
      </c>
      <c r="J218" s="214" t="s">
        <v>4018</v>
      </c>
      <c r="K218" s="214" t="s">
        <v>9212</v>
      </c>
      <c r="L218" s="214" t="s">
        <v>10461</v>
      </c>
      <c r="M218" s="214" t="s">
        <v>9809</v>
      </c>
      <c r="P218" s="120"/>
    </row>
    <row r="219" spans="1:16">
      <c r="A219" s="214" t="s">
        <v>581</v>
      </c>
      <c r="B219" s="214" t="s">
        <v>585</v>
      </c>
      <c r="C219" s="222" t="s">
        <v>584</v>
      </c>
      <c r="D219" s="222" t="s">
        <v>586</v>
      </c>
      <c r="E219" s="222" t="s">
        <v>4019</v>
      </c>
      <c r="F219" s="214" t="s">
        <v>4020</v>
      </c>
      <c r="G219" s="214" t="s">
        <v>4021</v>
      </c>
      <c r="H219" s="214" t="s">
        <v>4022</v>
      </c>
      <c r="I219" s="214" t="s">
        <v>4023</v>
      </c>
      <c r="J219" s="214" t="s">
        <v>4024</v>
      </c>
      <c r="K219" s="214" t="s">
        <v>9213</v>
      </c>
      <c r="L219" s="214" t="s">
        <v>10462</v>
      </c>
      <c r="M219" s="214" t="s">
        <v>9810</v>
      </c>
      <c r="P219" s="120"/>
    </row>
    <row r="220" spans="1:16">
      <c r="A220" s="214" t="s">
        <v>587</v>
      </c>
      <c r="B220" s="214" t="s">
        <v>589</v>
      </c>
      <c r="C220" s="222" t="s">
        <v>588</v>
      </c>
      <c r="D220" s="222" t="s">
        <v>590</v>
      </c>
      <c r="E220" s="222" t="s">
        <v>4025</v>
      </c>
      <c r="F220" s="214" t="s">
        <v>4026</v>
      </c>
      <c r="G220" s="214" t="s">
        <v>4027</v>
      </c>
      <c r="H220" s="214" t="s">
        <v>4028</v>
      </c>
      <c r="I220" s="214" t="s">
        <v>4029</v>
      </c>
      <c r="J220" s="214" t="s">
        <v>4030</v>
      </c>
      <c r="K220" s="214" t="s">
        <v>9214</v>
      </c>
      <c r="L220" s="214" t="s">
        <v>10463</v>
      </c>
      <c r="M220" s="214" t="s">
        <v>9811</v>
      </c>
      <c r="P220" s="120"/>
    </row>
    <row r="221" spans="1:16">
      <c r="A221" s="214" t="s">
        <v>591</v>
      </c>
      <c r="B221" s="214" t="s">
        <v>595</v>
      </c>
      <c r="C221" s="222" t="s">
        <v>594</v>
      </c>
      <c r="D221" s="222" t="s">
        <v>596</v>
      </c>
      <c r="E221" s="222" t="s">
        <v>4031</v>
      </c>
      <c r="F221" s="214" t="s">
        <v>4032</v>
      </c>
      <c r="G221" s="214" t="s">
        <v>4033</v>
      </c>
      <c r="H221" s="214" t="s">
        <v>4034</v>
      </c>
      <c r="I221" s="214" t="s">
        <v>4035</v>
      </c>
      <c r="J221" s="214" t="s">
        <v>4036</v>
      </c>
      <c r="K221" s="214" t="s">
        <v>9215</v>
      </c>
      <c r="L221" s="214" t="s">
        <v>10464</v>
      </c>
      <c r="M221" s="214" t="s">
        <v>9812</v>
      </c>
      <c r="P221" s="120"/>
    </row>
    <row r="222" spans="1:16">
      <c r="A222" s="214" t="s">
        <v>601</v>
      </c>
      <c r="B222" s="214" t="s">
        <v>599</v>
      </c>
      <c r="C222" s="222" t="s">
        <v>598</v>
      </c>
      <c r="D222" s="222" t="s">
        <v>600</v>
      </c>
      <c r="E222" s="222" t="s">
        <v>4037</v>
      </c>
      <c r="F222" s="214" t="s">
        <v>4038</v>
      </c>
      <c r="G222" s="214" t="s">
        <v>4039</v>
      </c>
      <c r="H222" s="214" t="s">
        <v>4040</v>
      </c>
      <c r="I222" s="214" t="s">
        <v>4041</v>
      </c>
      <c r="J222" s="214" t="s">
        <v>4042</v>
      </c>
      <c r="K222" s="214" t="s">
        <v>9216</v>
      </c>
      <c r="L222" s="214" t="s">
        <v>10465</v>
      </c>
      <c r="M222" s="214" t="s">
        <v>9813</v>
      </c>
      <c r="P222" s="120"/>
    </row>
    <row r="223" spans="1:16">
      <c r="A223" s="216" t="s">
        <v>604</v>
      </c>
      <c r="B223" s="214" t="s">
        <v>607</v>
      </c>
      <c r="C223" s="222" t="s">
        <v>606</v>
      </c>
      <c r="D223" s="222" t="s">
        <v>608</v>
      </c>
      <c r="E223" s="222" t="s">
        <v>4043</v>
      </c>
      <c r="F223" s="214" t="s">
        <v>4044</v>
      </c>
      <c r="G223" s="214" t="s">
        <v>4045</v>
      </c>
      <c r="H223" s="214" t="s">
        <v>4046</v>
      </c>
      <c r="I223" s="214" t="s">
        <v>4047</v>
      </c>
      <c r="J223" s="214" t="s">
        <v>4048</v>
      </c>
      <c r="K223" s="223" t="s">
        <v>9217</v>
      </c>
      <c r="L223" s="214" t="s">
        <v>10466</v>
      </c>
      <c r="M223" s="214" t="s">
        <v>9814</v>
      </c>
      <c r="P223" s="120"/>
    </row>
    <row r="224" spans="1:16">
      <c r="A224" s="214" t="s">
        <v>609</v>
      </c>
      <c r="B224" s="214" t="s">
        <v>612</v>
      </c>
      <c r="C224" s="222" t="s">
        <v>611</v>
      </c>
      <c r="D224" s="222" t="s">
        <v>613</v>
      </c>
      <c r="E224" s="222" t="s">
        <v>4049</v>
      </c>
      <c r="F224" s="214" t="s">
        <v>4050</v>
      </c>
      <c r="G224" s="214" t="s">
        <v>4051</v>
      </c>
      <c r="H224" s="214" t="s">
        <v>4052</v>
      </c>
      <c r="I224" s="214" t="s">
        <v>4053</v>
      </c>
      <c r="J224" s="214" t="s">
        <v>4054</v>
      </c>
      <c r="K224" s="214" t="s">
        <v>9218</v>
      </c>
      <c r="L224" s="214" t="s">
        <v>10467</v>
      </c>
      <c r="M224" s="214" t="s">
        <v>9815</v>
      </c>
      <c r="P224" s="120"/>
    </row>
    <row r="225" spans="1:16">
      <c r="A225" s="214" t="s">
        <v>614</v>
      </c>
      <c r="B225" s="214" t="s">
        <v>573</v>
      </c>
      <c r="C225" s="222" t="s">
        <v>615</v>
      </c>
      <c r="D225" s="222" t="s">
        <v>574</v>
      </c>
      <c r="E225" s="222" t="s">
        <v>4007</v>
      </c>
      <c r="F225" s="214" t="s">
        <v>4008</v>
      </c>
      <c r="G225" s="214" t="s">
        <v>4009</v>
      </c>
      <c r="H225" s="214" t="s">
        <v>4010</v>
      </c>
      <c r="I225" s="214" t="s">
        <v>4055</v>
      </c>
      <c r="J225" s="214" t="s">
        <v>4056</v>
      </c>
      <c r="K225" s="214" t="s">
        <v>9211</v>
      </c>
      <c r="L225" s="214" t="s">
        <v>10460</v>
      </c>
      <c r="M225" s="214" t="s">
        <v>9808</v>
      </c>
      <c r="P225" s="120"/>
    </row>
    <row r="226" spans="1:16">
      <c r="A226" s="214" t="s">
        <v>619</v>
      </c>
      <c r="B226" s="214" t="s">
        <v>621</v>
      </c>
      <c r="C226" s="222" t="s">
        <v>620</v>
      </c>
      <c r="D226" s="222" t="s">
        <v>622</v>
      </c>
      <c r="E226" s="222" t="s">
        <v>4057</v>
      </c>
      <c r="F226" s="214" t="s">
        <v>4058</v>
      </c>
      <c r="G226" s="214" t="s">
        <v>4059</v>
      </c>
      <c r="H226" s="214" t="s">
        <v>4060</v>
      </c>
      <c r="I226" s="214" t="s">
        <v>4061</v>
      </c>
      <c r="J226" s="214" t="s">
        <v>4062</v>
      </c>
      <c r="K226" s="214" t="s">
        <v>9219</v>
      </c>
      <c r="L226" s="214" t="s">
        <v>10468</v>
      </c>
      <c r="M226" s="214" t="s">
        <v>9816</v>
      </c>
      <c r="P226" s="120"/>
    </row>
    <row r="227" spans="1:16">
      <c r="A227" s="214" t="s">
        <v>623</v>
      </c>
      <c r="B227" s="214" t="s">
        <v>625</v>
      </c>
      <c r="C227" s="222" t="s">
        <v>624</v>
      </c>
      <c r="D227" s="222" t="s">
        <v>626</v>
      </c>
      <c r="E227" s="222" t="s">
        <v>4063</v>
      </c>
      <c r="F227" s="214" t="s">
        <v>4064</v>
      </c>
      <c r="G227" s="214" t="s">
        <v>4065</v>
      </c>
      <c r="H227" s="214" t="s">
        <v>4066</v>
      </c>
      <c r="I227" s="214" t="s">
        <v>4067</v>
      </c>
      <c r="J227" s="214" t="s">
        <v>4068</v>
      </c>
      <c r="K227" s="214" t="s">
        <v>9220</v>
      </c>
      <c r="L227" s="214" t="s">
        <v>10469</v>
      </c>
      <c r="M227" s="214" t="s">
        <v>9817</v>
      </c>
      <c r="P227" s="120"/>
    </row>
    <row r="228" spans="1:16">
      <c r="A228" s="214" t="s">
        <v>627</v>
      </c>
      <c r="B228" s="214" t="s">
        <v>2592</v>
      </c>
      <c r="C228" s="222" t="s">
        <v>628</v>
      </c>
      <c r="D228" s="222" t="s">
        <v>629</v>
      </c>
      <c r="E228" s="222" t="s">
        <v>4069</v>
      </c>
      <c r="F228" s="214" t="s">
        <v>4070</v>
      </c>
      <c r="G228" s="214" t="s">
        <v>4071</v>
      </c>
      <c r="H228" s="214" t="s">
        <v>4072</v>
      </c>
      <c r="I228" s="214" t="s">
        <v>4073</v>
      </c>
      <c r="J228" s="214" t="s">
        <v>4074</v>
      </c>
      <c r="K228" s="214" t="s">
        <v>9221</v>
      </c>
      <c r="L228" s="214" t="s">
        <v>10470</v>
      </c>
      <c r="M228" s="214" t="s">
        <v>9818</v>
      </c>
      <c r="P228" s="120"/>
    </row>
    <row r="229" spans="1:16">
      <c r="A229" s="214" t="s">
        <v>2307</v>
      </c>
      <c r="B229" s="214" t="s">
        <v>2593</v>
      </c>
      <c r="C229" s="222" t="s">
        <v>2696</v>
      </c>
      <c r="D229" s="222" t="s">
        <v>2770</v>
      </c>
      <c r="E229" s="222" t="s">
        <v>4075</v>
      </c>
      <c r="F229" s="214" t="s">
        <v>4076</v>
      </c>
      <c r="G229" s="214" t="s">
        <v>4077</v>
      </c>
      <c r="H229" s="214" t="s">
        <v>4078</v>
      </c>
      <c r="I229" s="214" t="s">
        <v>4079</v>
      </c>
      <c r="J229" s="214" t="s">
        <v>4080</v>
      </c>
      <c r="K229" s="214" t="s">
        <v>9222</v>
      </c>
      <c r="L229" s="214" t="s">
        <v>10471</v>
      </c>
      <c r="M229" s="214" t="s">
        <v>9819</v>
      </c>
      <c r="P229" s="120"/>
    </row>
    <row r="230" spans="1:16">
      <c r="A230" s="214" t="s">
        <v>630</v>
      </c>
      <c r="B230" s="214" t="s">
        <v>632</v>
      </c>
      <c r="C230" s="222" t="s">
        <v>631</v>
      </c>
      <c r="D230" s="222" t="s">
        <v>633</v>
      </c>
      <c r="E230" s="222" t="s">
        <v>4081</v>
      </c>
      <c r="F230" s="214" t="s">
        <v>4082</v>
      </c>
      <c r="G230" s="214" t="s">
        <v>4083</v>
      </c>
      <c r="H230" s="214" t="s">
        <v>4084</v>
      </c>
      <c r="I230" s="214" t="s">
        <v>4085</v>
      </c>
      <c r="J230" s="214" t="s">
        <v>4086</v>
      </c>
      <c r="K230" s="214" t="s">
        <v>9223</v>
      </c>
      <c r="L230" s="214" t="s">
        <v>10472</v>
      </c>
      <c r="M230" s="214" t="s">
        <v>9820</v>
      </c>
      <c r="P230" s="120"/>
    </row>
    <row r="231" spans="1:16">
      <c r="A231" s="214" t="s">
        <v>4087</v>
      </c>
      <c r="B231" s="214" t="s">
        <v>632</v>
      </c>
      <c r="C231" s="222" t="s">
        <v>631</v>
      </c>
      <c r="D231" s="222" t="s">
        <v>633</v>
      </c>
      <c r="E231" s="222" t="s">
        <v>4081</v>
      </c>
      <c r="F231" s="214" t="s">
        <v>4082</v>
      </c>
      <c r="G231" s="214" t="s">
        <v>4083</v>
      </c>
      <c r="H231" s="214" t="s">
        <v>4084</v>
      </c>
      <c r="I231" s="214" t="s">
        <v>4085</v>
      </c>
      <c r="J231" s="214" t="s">
        <v>4086</v>
      </c>
      <c r="K231" s="214" t="s">
        <v>9223</v>
      </c>
      <c r="L231" s="214" t="s">
        <v>10472</v>
      </c>
      <c r="M231" s="214" t="s">
        <v>9820</v>
      </c>
      <c r="P231" s="120"/>
    </row>
    <row r="232" spans="1:16">
      <c r="A232" s="214" t="s">
        <v>634</v>
      </c>
      <c r="B232" s="214" t="s">
        <v>637</v>
      </c>
      <c r="C232" s="222" t="s">
        <v>636</v>
      </c>
      <c r="D232" s="222" t="s">
        <v>638</v>
      </c>
      <c r="E232" s="222" t="s">
        <v>4088</v>
      </c>
      <c r="F232" s="214" t="s">
        <v>4089</v>
      </c>
      <c r="G232" s="214" t="s">
        <v>4090</v>
      </c>
      <c r="H232" s="214" t="s">
        <v>4091</v>
      </c>
      <c r="I232" s="214" t="s">
        <v>4092</v>
      </c>
      <c r="J232" s="214" t="s">
        <v>4093</v>
      </c>
      <c r="K232" s="214" t="s">
        <v>9224</v>
      </c>
      <c r="L232" s="214" t="s">
        <v>10473</v>
      </c>
      <c r="M232" s="214" t="s">
        <v>9821</v>
      </c>
      <c r="P232" s="120"/>
    </row>
    <row r="233" spans="1:16">
      <c r="A233" s="214" t="s">
        <v>639</v>
      </c>
      <c r="B233" s="214" t="s">
        <v>637</v>
      </c>
      <c r="C233" s="222" t="s">
        <v>636</v>
      </c>
      <c r="D233" s="222" t="s">
        <v>638</v>
      </c>
      <c r="E233" s="222" t="s">
        <v>4088</v>
      </c>
      <c r="F233" s="214" t="s">
        <v>4089</v>
      </c>
      <c r="G233" s="214" t="s">
        <v>4090</v>
      </c>
      <c r="H233" s="214" t="s">
        <v>4091</v>
      </c>
      <c r="I233" s="214" t="s">
        <v>4092</v>
      </c>
      <c r="J233" s="214" t="s">
        <v>4093</v>
      </c>
      <c r="K233" s="214" t="s">
        <v>9224</v>
      </c>
      <c r="L233" s="214" t="s">
        <v>10473</v>
      </c>
      <c r="M233" s="214" t="s">
        <v>9821</v>
      </c>
      <c r="P233" s="120"/>
    </row>
    <row r="234" spans="1:16">
      <c r="A234" s="214" t="s">
        <v>640</v>
      </c>
      <c r="B234" s="214" t="s">
        <v>642</v>
      </c>
      <c r="C234" s="222" t="s">
        <v>641</v>
      </c>
      <c r="D234" s="222" t="s">
        <v>643</v>
      </c>
      <c r="E234" s="222" t="s">
        <v>4094</v>
      </c>
      <c r="F234" s="214" t="s">
        <v>4095</v>
      </c>
      <c r="G234" s="214" t="s">
        <v>4096</v>
      </c>
      <c r="H234" s="214" t="s">
        <v>4097</v>
      </c>
      <c r="I234" s="214" t="s">
        <v>4098</v>
      </c>
      <c r="J234" s="214" t="s">
        <v>4099</v>
      </c>
      <c r="K234" s="214" t="s">
        <v>9225</v>
      </c>
      <c r="L234" s="214" t="s">
        <v>10474</v>
      </c>
      <c r="M234" s="214" t="s">
        <v>9822</v>
      </c>
      <c r="P234" s="120"/>
    </row>
    <row r="235" spans="1:16">
      <c r="A235" s="214" t="s">
        <v>644</v>
      </c>
      <c r="B235" s="214" t="s">
        <v>647</v>
      </c>
      <c r="C235" s="222" t="s">
        <v>646</v>
      </c>
      <c r="D235" s="222" t="s">
        <v>648</v>
      </c>
      <c r="E235" s="222" t="s">
        <v>4100</v>
      </c>
      <c r="F235" s="214" t="s">
        <v>4101</v>
      </c>
      <c r="G235" s="214" t="s">
        <v>4102</v>
      </c>
      <c r="H235" s="214" t="s">
        <v>4103</v>
      </c>
      <c r="I235" s="214" t="s">
        <v>4104</v>
      </c>
      <c r="J235" s="214" t="s">
        <v>4105</v>
      </c>
      <c r="K235" s="214" t="s">
        <v>9226</v>
      </c>
      <c r="L235" s="214" t="s">
        <v>10475</v>
      </c>
      <c r="M235" s="214" t="s">
        <v>9823</v>
      </c>
      <c r="P235" s="120"/>
    </row>
    <row r="236" spans="1:16">
      <c r="A236" s="214" t="s">
        <v>649</v>
      </c>
      <c r="B236" s="214" t="s">
        <v>653</v>
      </c>
      <c r="C236" s="222" t="s">
        <v>652</v>
      </c>
      <c r="D236" s="222" t="s">
        <v>654</v>
      </c>
      <c r="E236" s="222" t="s">
        <v>4106</v>
      </c>
      <c r="F236" s="214" t="s">
        <v>4107</v>
      </c>
      <c r="G236" s="214" t="s">
        <v>4108</v>
      </c>
      <c r="H236" s="214" t="s">
        <v>4109</v>
      </c>
      <c r="I236" s="214" t="s">
        <v>4110</v>
      </c>
      <c r="J236" s="214" t="s">
        <v>4111</v>
      </c>
      <c r="K236" s="214" t="s">
        <v>9227</v>
      </c>
      <c r="L236" s="214" t="s">
        <v>10476</v>
      </c>
      <c r="M236" s="214" t="s">
        <v>9824</v>
      </c>
      <c r="P236" s="120"/>
    </row>
    <row r="237" spans="1:16">
      <c r="A237" s="214" t="s">
        <v>655</v>
      </c>
      <c r="B237" s="214" t="s">
        <v>653</v>
      </c>
      <c r="C237" s="222" t="s">
        <v>652</v>
      </c>
      <c r="D237" s="222" t="s">
        <v>654</v>
      </c>
      <c r="E237" s="222" t="s">
        <v>4106</v>
      </c>
      <c r="F237" s="214" t="s">
        <v>4107</v>
      </c>
      <c r="G237" s="214" t="s">
        <v>4108</v>
      </c>
      <c r="H237" s="214" t="s">
        <v>4109</v>
      </c>
      <c r="I237" s="214" t="s">
        <v>4110</v>
      </c>
      <c r="J237" s="214" t="s">
        <v>4111</v>
      </c>
      <c r="K237" s="214" t="s">
        <v>9227</v>
      </c>
      <c r="L237" s="214" t="s">
        <v>10476</v>
      </c>
      <c r="M237" s="214" t="s">
        <v>9824</v>
      </c>
      <c r="P237" s="120"/>
    </row>
    <row r="238" spans="1:16">
      <c r="A238" s="214" t="s">
        <v>656</v>
      </c>
      <c r="B238" s="214" t="s">
        <v>658</v>
      </c>
      <c r="C238" s="222" t="s">
        <v>657</v>
      </c>
      <c r="D238" s="222" t="s">
        <v>659</v>
      </c>
      <c r="E238" s="222" t="s">
        <v>4112</v>
      </c>
      <c r="F238" s="214" t="s">
        <v>4113</v>
      </c>
      <c r="G238" s="214" t="s">
        <v>4114</v>
      </c>
      <c r="H238" s="214" t="s">
        <v>4115</v>
      </c>
      <c r="I238" s="214" t="s">
        <v>4116</v>
      </c>
      <c r="J238" s="214" t="s">
        <v>4117</v>
      </c>
      <c r="K238" s="214" t="s">
        <v>9228</v>
      </c>
      <c r="L238" s="214" t="s">
        <v>10477</v>
      </c>
      <c r="M238" s="214" t="s">
        <v>9825</v>
      </c>
      <c r="P238" s="120"/>
    </row>
    <row r="239" spans="1:16">
      <c r="A239" s="214" t="s">
        <v>2309</v>
      </c>
      <c r="B239" s="214" t="s">
        <v>2594</v>
      </c>
      <c r="C239" s="222" t="s">
        <v>2697</v>
      </c>
      <c r="D239" s="222" t="s">
        <v>2771</v>
      </c>
      <c r="E239" s="222" t="s">
        <v>4118</v>
      </c>
      <c r="F239" s="214" t="s">
        <v>4119</v>
      </c>
      <c r="G239" s="214" t="s">
        <v>4120</v>
      </c>
      <c r="H239" s="214" t="s">
        <v>4118</v>
      </c>
      <c r="I239" s="214" t="s">
        <v>4121</v>
      </c>
      <c r="J239" s="214" t="s">
        <v>4122</v>
      </c>
      <c r="K239" s="214" t="s">
        <v>9229</v>
      </c>
      <c r="L239" s="214" t="s">
        <v>10478</v>
      </c>
      <c r="M239" s="214" t="s">
        <v>9826</v>
      </c>
      <c r="P239" s="120"/>
    </row>
    <row r="240" spans="1:16">
      <c r="A240" s="215" t="s">
        <v>660</v>
      </c>
      <c r="B240" s="214" t="s">
        <v>405</v>
      </c>
      <c r="C240" s="222" t="s">
        <v>404</v>
      </c>
      <c r="D240" s="222" t="s">
        <v>406</v>
      </c>
      <c r="E240" s="222" t="s">
        <v>3761</v>
      </c>
      <c r="F240" s="214" t="s">
        <v>3762</v>
      </c>
      <c r="G240" s="214" t="s">
        <v>4123</v>
      </c>
      <c r="H240" s="214" t="s">
        <v>3761</v>
      </c>
      <c r="I240" s="214" t="s">
        <v>3763</v>
      </c>
      <c r="J240" s="214" t="s">
        <v>3764</v>
      </c>
      <c r="K240" s="214" t="s">
        <v>9170</v>
      </c>
      <c r="L240" s="214" t="s">
        <v>10419</v>
      </c>
      <c r="M240" s="214" t="s">
        <v>9827</v>
      </c>
      <c r="P240" s="120"/>
    </row>
    <row r="241" spans="1:16">
      <c r="A241" s="214" t="s">
        <v>663</v>
      </c>
      <c r="B241" s="214" t="s">
        <v>665</v>
      </c>
      <c r="C241" s="222" t="s">
        <v>664</v>
      </c>
      <c r="D241" s="222" t="s">
        <v>666</v>
      </c>
      <c r="E241" s="222" t="s">
        <v>4124</v>
      </c>
      <c r="F241" s="214" t="s">
        <v>4125</v>
      </c>
      <c r="G241" s="214" t="s">
        <v>4126</v>
      </c>
      <c r="H241" s="214" t="s">
        <v>4127</v>
      </c>
      <c r="I241" s="214" t="s">
        <v>4128</v>
      </c>
      <c r="J241" s="214" t="s">
        <v>4129</v>
      </c>
      <c r="K241" s="214" t="s">
        <v>9230</v>
      </c>
      <c r="L241" s="214" t="s">
        <v>10479</v>
      </c>
      <c r="M241" s="214" t="s">
        <v>9828</v>
      </c>
      <c r="P241" s="120"/>
    </row>
    <row r="242" spans="1:16">
      <c r="A242" s="214" t="s">
        <v>2643</v>
      </c>
      <c r="B242" s="214" t="s">
        <v>1031</v>
      </c>
      <c r="C242" s="222" t="s">
        <v>652</v>
      </c>
      <c r="D242" s="222" t="s">
        <v>1032</v>
      </c>
      <c r="E242" s="222" t="s">
        <v>4130</v>
      </c>
      <c r="F242" s="214" t="s">
        <v>4107</v>
      </c>
      <c r="G242" s="214" t="s">
        <v>4108</v>
      </c>
      <c r="H242" s="214" t="s">
        <v>4109</v>
      </c>
      <c r="I242" s="214" t="s">
        <v>4131</v>
      </c>
      <c r="J242" s="214" t="s">
        <v>4111</v>
      </c>
      <c r="K242" s="214" t="s">
        <v>9227</v>
      </c>
      <c r="L242" s="214" t="s">
        <v>10476</v>
      </c>
      <c r="M242" s="214" t="s">
        <v>9829</v>
      </c>
      <c r="P242" s="120"/>
    </row>
    <row r="243" spans="1:16">
      <c r="A243" s="214" t="s">
        <v>2336</v>
      </c>
      <c r="B243" s="214" t="s">
        <v>1031</v>
      </c>
      <c r="C243" s="222" t="s">
        <v>652</v>
      </c>
      <c r="D243" s="222" t="s">
        <v>1032</v>
      </c>
      <c r="E243" s="222" t="s">
        <v>4130</v>
      </c>
      <c r="F243" s="214" t="s">
        <v>4107</v>
      </c>
      <c r="G243" s="214" t="s">
        <v>4108</v>
      </c>
      <c r="H243" s="214" t="s">
        <v>4109</v>
      </c>
      <c r="I243" s="214" t="s">
        <v>4131</v>
      </c>
      <c r="J243" s="214" t="s">
        <v>4111</v>
      </c>
      <c r="K243" s="214" t="s">
        <v>9227</v>
      </c>
      <c r="L243" s="214" t="s">
        <v>10476</v>
      </c>
      <c r="M243" s="214" t="s">
        <v>9829</v>
      </c>
      <c r="P243" s="120"/>
    </row>
    <row r="244" spans="1:16">
      <c r="A244" s="214" t="s">
        <v>2363</v>
      </c>
      <c r="B244" s="214" t="s">
        <v>1370</v>
      </c>
      <c r="C244" s="222" t="s">
        <v>652</v>
      </c>
      <c r="D244" s="222" t="s">
        <v>1371</v>
      </c>
      <c r="E244" s="222" t="s">
        <v>4130</v>
      </c>
      <c r="F244" s="214" t="s">
        <v>4107</v>
      </c>
      <c r="G244" s="214" t="s">
        <v>4108</v>
      </c>
      <c r="H244" s="214" t="s">
        <v>4109</v>
      </c>
      <c r="I244" s="214" t="s">
        <v>4132</v>
      </c>
      <c r="J244" s="214" t="s">
        <v>4111</v>
      </c>
      <c r="K244" s="214" t="s">
        <v>9227</v>
      </c>
      <c r="L244" s="214" t="s">
        <v>10480</v>
      </c>
      <c r="M244" s="214" t="s">
        <v>9829</v>
      </c>
      <c r="P244" s="120"/>
    </row>
    <row r="245" spans="1:16">
      <c r="A245" s="214" t="s">
        <v>667</v>
      </c>
      <c r="B245" s="214" t="s">
        <v>653</v>
      </c>
      <c r="C245" s="222" t="s">
        <v>652</v>
      </c>
      <c r="D245" s="222" t="s">
        <v>654</v>
      </c>
      <c r="E245" s="222" t="s">
        <v>4130</v>
      </c>
      <c r="F245" s="214" t="s">
        <v>4107</v>
      </c>
      <c r="G245" s="214" t="s">
        <v>4108</v>
      </c>
      <c r="H245" s="214" t="s">
        <v>4109</v>
      </c>
      <c r="I245" s="214" t="s">
        <v>4110</v>
      </c>
      <c r="J245" s="214" t="s">
        <v>4111</v>
      </c>
      <c r="K245" s="214" t="s">
        <v>9227</v>
      </c>
      <c r="L245" s="214" t="s">
        <v>10476</v>
      </c>
      <c r="M245" s="214" t="s">
        <v>9829</v>
      </c>
      <c r="P245" s="120"/>
    </row>
    <row r="246" spans="1:16">
      <c r="A246" s="214" t="s">
        <v>668</v>
      </c>
      <c r="B246" s="214" t="s">
        <v>405</v>
      </c>
      <c r="C246" s="222" t="s">
        <v>404</v>
      </c>
      <c r="D246" s="222" t="s">
        <v>406</v>
      </c>
      <c r="E246" s="222" t="s">
        <v>3761</v>
      </c>
      <c r="F246" s="214" t="s">
        <v>3762</v>
      </c>
      <c r="G246" s="214" t="s">
        <v>4123</v>
      </c>
      <c r="H246" s="214" t="s">
        <v>3761</v>
      </c>
      <c r="I246" s="214" t="s">
        <v>3763</v>
      </c>
      <c r="J246" s="214" t="s">
        <v>3764</v>
      </c>
      <c r="K246" s="214" t="s">
        <v>9170</v>
      </c>
      <c r="L246" s="214" t="s">
        <v>10419</v>
      </c>
      <c r="M246" s="214" t="s">
        <v>9827</v>
      </c>
      <c r="P246" s="120"/>
    </row>
    <row r="247" spans="1:16">
      <c r="A247" s="214" t="s">
        <v>670</v>
      </c>
      <c r="B247" s="214" t="s">
        <v>405</v>
      </c>
      <c r="C247" s="222" t="s">
        <v>404</v>
      </c>
      <c r="D247" s="222" t="s">
        <v>406</v>
      </c>
      <c r="E247" s="222" t="s">
        <v>3761</v>
      </c>
      <c r="F247" s="214" t="s">
        <v>3762</v>
      </c>
      <c r="G247" s="214" t="s">
        <v>4123</v>
      </c>
      <c r="H247" s="214" t="s">
        <v>3761</v>
      </c>
      <c r="I247" s="214" t="s">
        <v>3763</v>
      </c>
      <c r="J247" s="214" t="s">
        <v>3764</v>
      </c>
      <c r="K247" s="214" t="s">
        <v>9170</v>
      </c>
      <c r="L247" s="214" t="s">
        <v>10419</v>
      </c>
      <c r="M247" s="214" t="s">
        <v>9827</v>
      </c>
      <c r="P247" s="120"/>
    </row>
    <row r="248" spans="1:16">
      <c r="A248" s="214" t="s">
        <v>671</v>
      </c>
      <c r="B248" s="214" t="s">
        <v>405</v>
      </c>
      <c r="C248" s="222" t="s">
        <v>404</v>
      </c>
      <c r="D248" s="222" t="s">
        <v>406</v>
      </c>
      <c r="E248" s="222" t="s">
        <v>3761</v>
      </c>
      <c r="F248" s="214" t="s">
        <v>3762</v>
      </c>
      <c r="G248" s="214" t="s">
        <v>4123</v>
      </c>
      <c r="H248" s="214" t="s">
        <v>3761</v>
      </c>
      <c r="I248" s="214" t="s">
        <v>3763</v>
      </c>
      <c r="J248" s="214" t="s">
        <v>3764</v>
      </c>
      <c r="K248" s="214" t="s">
        <v>9170</v>
      </c>
      <c r="L248" s="214" t="s">
        <v>10419</v>
      </c>
      <c r="M248" s="214" t="s">
        <v>9827</v>
      </c>
      <c r="P248" s="120"/>
    </row>
    <row r="249" spans="1:16">
      <c r="A249" s="214" t="s">
        <v>672</v>
      </c>
      <c r="B249" s="214" t="s">
        <v>674</v>
      </c>
      <c r="C249" s="222" t="s">
        <v>673</v>
      </c>
      <c r="D249" s="222" t="s">
        <v>675</v>
      </c>
      <c r="E249" s="222" t="s">
        <v>4133</v>
      </c>
      <c r="F249" s="214" t="s">
        <v>4134</v>
      </c>
      <c r="G249" s="214" t="s">
        <v>4135</v>
      </c>
      <c r="H249" s="214" t="s">
        <v>4136</v>
      </c>
      <c r="I249" s="214" t="s">
        <v>4137</v>
      </c>
      <c r="J249" s="214" t="s">
        <v>4138</v>
      </c>
      <c r="K249" s="214" t="s">
        <v>9231</v>
      </c>
      <c r="L249" s="214" t="s">
        <v>10481</v>
      </c>
      <c r="M249" s="214" t="s">
        <v>9830</v>
      </c>
      <c r="P249" s="120"/>
    </row>
    <row r="250" spans="1:16">
      <c r="A250" s="214" t="s">
        <v>676</v>
      </c>
      <c r="B250" s="214" t="s">
        <v>2595</v>
      </c>
      <c r="C250" s="222" t="s">
        <v>679</v>
      </c>
      <c r="D250" s="222" t="s">
        <v>680</v>
      </c>
      <c r="E250" s="222" t="s">
        <v>4139</v>
      </c>
      <c r="F250" s="214" t="s">
        <v>4140</v>
      </c>
      <c r="G250" s="214" t="s">
        <v>4141</v>
      </c>
      <c r="H250" s="214" t="s">
        <v>4142</v>
      </c>
      <c r="I250" s="214" t="s">
        <v>4143</v>
      </c>
      <c r="J250" s="214" t="s">
        <v>4144</v>
      </c>
      <c r="K250" s="214" t="s">
        <v>9232</v>
      </c>
      <c r="L250" s="214" t="s">
        <v>10482</v>
      </c>
      <c r="M250" s="214" t="s">
        <v>9831</v>
      </c>
      <c r="P250" s="120"/>
    </row>
    <row r="251" spans="1:16">
      <c r="A251" s="214" t="s">
        <v>2311</v>
      </c>
      <c r="B251" s="214" t="s">
        <v>2596</v>
      </c>
      <c r="C251" s="222" t="s">
        <v>2698</v>
      </c>
      <c r="D251" s="222" t="s">
        <v>2772</v>
      </c>
      <c r="E251" s="222" t="s">
        <v>4145</v>
      </c>
      <c r="F251" s="214" t="s">
        <v>4146</v>
      </c>
      <c r="G251" s="214" t="s">
        <v>4147</v>
      </c>
      <c r="H251" s="214" t="s">
        <v>4148</v>
      </c>
      <c r="I251" s="214" t="s">
        <v>4149</v>
      </c>
      <c r="J251" s="214" t="s">
        <v>4150</v>
      </c>
      <c r="K251" s="214" t="s">
        <v>9233</v>
      </c>
      <c r="L251" s="214" t="s">
        <v>10483</v>
      </c>
      <c r="M251" s="214" t="s">
        <v>9832</v>
      </c>
      <c r="P251" s="120"/>
    </row>
    <row r="252" spans="1:16">
      <c r="A252" s="214" t="s">
        <v>2312</v>
      </c>
      <c r="B252" s="214" t="s">
        <v>2597</v>
      </c>
      <c r="C252" s="222" t="s">
        <v>2699</v>
      </c>
      <c r="D252" s="222" t="s">
        <v>2773</v>
      </c>
      <c r="E252" s="222" t="s">
        <v>4151</v>
      </c>
      <c r="F252" s="214" t="s">
        <v>4152</v>
      </c>
      <c r="G252" s="214" t="s">
        <v>4153</v>
      </c>
      <c r="H252" s="214" t="s">
        <v>4154</v>
      </c>
      <c r="I252" s="214" t="s">
        <v>4155</v>
      </c>
      <c r="J252" s="214" t="s">
        <v>4156</v>
      </c>
      <c r="K252" s="214" t="s">
        <v>9234</v>
      </c>
      <c r="L252" s="214" t="s">
        <v>10484</v>
      </c>
      <c r="M252" s="214" t="s">
        <v>9833</v>
      </c>
      <c r="P252" s="120"/>
    </row>
    <row r="253" spans="1:16">
      <c r="A253" s="214" t="s">
        <v>4157</v>
      </c>
      <c r="B253" s="214" t="s">
        <v>2597</v>
      </c>
      <c r="C253" s="222" t="s">
        <v>2699</v>
      </c>
      <c r="D253" s="222" t="s">
        <v>2773</v>
      </c>
      <c r="E253" s="222" t="s">
        <v>4151</v>
      </c>
      <c r="F253" s="214" t="s">
        <v>4152</v>
      </c>
      <c r="G253" s="214" t="s">
        <v>4153</v>
      </c>
      <c r="H253" s="214" t="s">
        <v>4154</v>
      </c>
      <c r="I253" s="214" t="s">
        <v>4155</v>
      </c>
      <c r="J253" s="214" t="s">
        <v>4156</v>
      </c>
      <c r="K253" s="214" t="s">
        <v>9234</v>
      </c>
      <c r="L253" s="214" t="s">
        <v>10484</v>
      </c>
      <c r="M253" s="214" t="s">
        <v>9833</v>
      </c>
      <c r="P253" s="120"/>
    </row>
    <row r="254" spans="1:16">
      <c r="A254" s="214" t="s">
        <v>4158</v>
      </c>
      <c r="B254" s="214" t="s">
        <v>4160</v>
      </c>
      <c r="C254" s="222" t="s">
        <v>4159</v>
      </c>
      <c r="D254" s="222" t="s">
        <v>4161</v>
      </c>
      <c r="E254" s="222" t="s">
        <v>4162</v>
      </c>
      <c r="F254" s="214" t="s">
        <v>4163</v>
      </c>
      <c r="G254" s="214" t="s">
        <v>4164</v>
      </c>
      <c r="H254" s="214" t="s">
        <v>4165</v>
      </c>
      <c r="I254" s="214" t="s">
        <v>4166</v>
      </c>
      <c r="J254" s="214" t="s">
        <v>4167</v>
      </c>
      <c r="K254" s="214" t="s">
        <v>9235</v>
      </c>
      <c r="L254" s="214" t="s">
        <v>10485</v>
      </c>
      <c r="M254" s="214" t="s">
        <v>9834</v>
      </c>
      <c r="P254" s="120"/>
    </row>
    <row r="255" spans="1:16">
      <c r="A255" s="214" t="s">
        <v>4168</v>
      </c>
      <c r="B255" s="214" t="s">
        <v>4160</v>
      </c>
      <c r="C255" s="222" t="s">
        <v>4159</v>
      </c>
      <c r="D255" s="222" t="s">
        <v>4161</v>
      </c>
      <c r="E255" s="222" t="s">
        <v>4162</v>
      </c>
      <c r="F255" s="214" t="s">
        <v>4163</v>
      </c>
      <c r="G255" s="214" t="s">
        <v>4164</v>
      </c>
      <c r="H255" s="214" t="s">
        <v>4165</v>
      </c>
      <c r="I255" s="214" t="s">
        <v>4166</v>
      </c>
      <c r="J255" s="214" t="s">
        <v>4167</v>
      </c>
      <c r="K255" s="214" t="s">
        <v>9235</v>
      </c>
      <c r="L255" s="214" t="s">
        <v>10485</v>
      </c>
      <c r="M255" s="214" t="s">
        <v>9834</v>
      </c>
      <c r="P255" s="120"/>
    </row>
    <row r="256" spans="1:16">
      <c r="A256" s="215" t="s">
        <v>4169</v>
      </c>
      <c r="B256" s="214" t="s">
        <v>4171</v>
      </c>
      <c r="C256" s="222" t="s">
        <v>4170</v>
      </c>
      <c r="D256" s="222" t="s">
        <v>4172</v>
      </c>
      <c r="E256" s="222" t="s">
        <v>4173</v>
      </c>
      <c r="F256" s="214" t="s">
        <v>4174</v>
      </c>
      <c r="G256" s="214" t="s">
        <v>4175</v>
      </c>
      <c r="H256" s="214" t="s">
        <v>4176</v>
      </c>
      <c r="I256" s="214" t="s">
        <v>4177</v>
      </c>
      <c r="J256" s="214" t="s">
        <v>4178</v>
      </c>
      <c r="K256" s="214" t="s">
        <v>9236</v>
      </c>
      <c r="L256" s="214" t="s">
        <v>10486</v>
      </c>
      <c r="M256" s="214" t="s">
        <v>9835</v>
      </c>
      <c r="P256" s="120"/>
    </row>
    <row r="257" spans="1:16">
      <c r="A257" s="214" t="s">
        <v>4179</v>
      </c>
      <c r="B257" s="214" t="s">
        <v>4171</v>
      </c>
      <c r="C257" s="222" t="s">
        <v>4170</v>
      </c>
      <c r="D257" s="222" t="s">
        <v>4172</v>
      </c>
      <c r="E257" s="222" t="s">
        <v>4173</v>
      </c>
      <c r="F257" s="214" t="s">
        <v>4174</v>
      </c>
      <c r="G257" s="214" t="s">
        <v>4175</v>
      </c>
      <c r="H257" s="214" t="s">
        <v>4176</v>
      </c>
      <c r="I257" s="214" t="s">
        <v>4177</v>
      </c>
      <c r="J257" s="214" t="s">
        <v>4178</v>
      </c>
      <c r="K257" s="214" t="s">
        <v>9236</v>
      </c>
      <c r="L257" s="214" t="s">
        <v>10486</v>
      </c>
      <c r="M257" s="214" t="s">
        <v>9836</v>
      </c>
      <c r="P257" s="120"/>
    </row>
    <row r="258" spans="1:16">
      <c r="A258" s="215" t="s">
        <v>2447</v>
      </c>
      <c r="B258" s="214" t="s">
        <v>2598</v>
      </c>
      <c r="C258" s="222" t="s">
        <v>2700</v>
      </c>
      <c r="D258" s="222" t="s">
        <v>2774</v>
      </c>
      <c r="E258" s="222" t="s">
        <v>4180</v>
      </c>
      <c r="F258" s="214" t="s">
        <v>4181</v>
      </c>
      <c r="G258" s="214" t="s">
        <v>4182</v>
      </c>
      <c r="H258" s="214" t="s">
        <v>4183</v>
      </c>
      <c r="I258" s="214" t="s">
        <v>4184</v>
      </c>
      <c r="J258" s="214" t="s">
        <v>4185</v>
      </c>
      <c r="K258" s="214" t="s">
        <v>9237</v>
      </c>
      <c r="L258" s="214" t="s">
        <v>10487</v>
      </c>
      <c r="M258" s="214" t="s">
        <v>9837</v>
      </c>
      <c r="P258" s="120"/>
    </row>
    <row r="259" spans="1:16">
      <c r="A259" s="214" t="s">
        <v>682</v>
      </c>
      <c r="B259" s="214" t="s">
        <v>685</v>
      </c>
      <c r="C259" s="222" t="s">
        <v>684</v>
      </c>
      <c r="D259" s="222" t="s">
        <v>686</v>
      </c>
      <c r="E259" s="222" t="s">
        <v>4186</v>
      </c>
      <c r="F259" s="214" t="s">
        <v>4187</v>
      </c>
      <c r="G259" s="214" t="s">
        <v>4188</v>
      </c>
      <c r="H259" s="214" t="s">
        <v>4189</v>
      </c>
      <c r="I259" s="214" t="s">
        <v>4190</v>
      </c>
      <c r="J259" s="214" t="s">
        <v>4191</v>
      </c>
      <c r="K259" s="214" t="s">
        <v>9238</v>
      </c>
      <c r="L259" s="214" t="s">
        <v>10488</v>
      </c>
      <c r="M259" s="214" t="s">
        <v>9838</v>
      </c>
      <c r="P259" s="120"/>
    </row>
    <row r="260" spans="1:16">
      <c r="A260" s="214" t="s">
        <v>2313</v>
      </c>
      <c r="B260" s="214" t="s">
        <v>685</v>
      </c>
      <c r="C260" s="222" t="s">
        <v>684</v>
      </c>
      <c r="D260" s="222" t="s">
        <v>686</v>
      </c>
      <c r="E260" s="222" t="s">
        <v>4186</v>
      </c>
      <c r="F260" s="214" t="s">
        <v>4187</v>
      </c>
      <c r="G260" s="214" t="s">
        <v>4188</v>
      </c>
      <c r="H260" s="214" t="s">
        <v>4189</v>
      </c>
      <c r="I260" s="214" t="s">
        <v>4190</v>
      </c>
      <c r="J260" s="214" t="s">
        <v>4191</v>
      </c>
      <c r="K260" s="223" t="s">
        <v>9238</v>
      </c>
      <c r="L260" s="214" t="s">
        <v>10488</v>
      </c>
      <c r="M260" s="214" t="s">
        <v>9838</v>
      </c>
      <c r="P260" s="120"/>
    </row>
    <row r="261" spans="1:16">
      <c r="A261" s="214" t="s">
        <v>10983</v>
      </c>
      <c r="B261" s="214" t="s">
        <v>685</v>
      </c>
      <c r="C261" s="222" t="s">
        <v>684</v>
      </c>
      <c r="D261" s="222" t="s">
        <v>686</v>
      </c>
      <c r="E261" s="222" t="s">
        <v>4186</v>
      </c>
      <c r="F261" s="214" t="s">
        <v>4187</v>
      </c>
      <c r="G261" s="214" t="s">
        <v>4188</v>
      </c>
      <c r="H261" s="214" t="s">
        <v>4189</v>
      </c>
      <c r="I261" s="214" t="s">
        <v>4192</v>
      </c>
      <c r="J261" s="214" t="s">
        <v>4191</v>
      </c>
      <c r="K261" s="214" t="s">
        <v>9238</v>
      </c>
      <c r="L261" s="214" t="s">
        <v>10488</v>
      </c>
      <c r="M261" s="214" t="s">
        <v>9838</v>
      </c>
      <c r="P261" s="120"/>
    </row>
    <row r="262" spans="1:16">
      <c r="A262" s="214" t="s">
        <v>2314</v>
      </c>
      <c r="B262" s="214" t="s">
        <v>2599</v>
      </c>
      <c r="C262" s="222" t="s">
        <v>2701</v>
      </c>
      <c r="D262" s="222" t="s">
        <v>2775</v>
      </c>
      <c r="E262" s="222" t="s">
        <v>4193</v>
      </c>
      <c r="F262" s="214" t="s">
        <v>4194</v>
      </c>
      <c r="G262" s="214" t="s">
        <v>4195</v>
      </c>
      <c r="H262" s="214" t="s">
        <v>4196</v>
      </c>
      <c r="I262" s="214" t="s">
        <v>4197</v>
      </c>
      <c r="J262" s="214" t="s">
        <v>4198</v>
      </c>
      <c r="K262" s="214" t="s">
        <v>9239</v>
      </c>
      <c r="L262" s="214" t="s">
        <v>10489</v>
      </c>
      <c r="M262" s="214" t="s">
        <v>9839</v>
      </c>
      <c r="P262" s="120"/>
    </row>
    <row r="263" spans="1:16">
      <c r="A263" s="215" t="s">
        <v>2315</v>
      </c>
      <c r="B263" s="214" t="s">
        <v>2599</v>
      </c>
      <c r="C263" s="222" t="s">
        <v>2701</v>
      </c>
      <c r="D263" s="222" t="s">
        <v>2775</v>
      </c>
      <c r="E263" s="222" t="s">
        <v>4193</v>
      </c>
      <c r="F263" s="214" t="s">
        <v>4194</v>
      </c>
      <c r="G263" s="214" t="s">
        <v>4195</v>
      </c>
      <c r="H263" s="214" t="s">
        <v>4196</v>
      </c>
      <c r="I263" s="214" t="s">
        <v>4197</v>
      </c>
      <c r="J263" s="214" t="s">
        <v>4198</v>
      </c>
      <c r="K263" s="214" t="s">
        <v>9239</v>
      </c>
      <c r="L263" s="214" t="s">
        <v>10489</v>
      </c>
      <c r="M263" s="214" t="s">
        <v>9839</v>
      </c>
      <c r="P263" s="120"/>
    </row>
    <row r="264" spans="1:16">
      <c r="A264" s="215" t="s">
        <v>2316</v>
      </c>
      <c r="B264" s="214" t="s">
        <v>2600</v>
      </c>
      <c r="C264" s="222" t="s">
        <v>2702</v>
      </c>
      <c r="D264" s="222" t="s">
        <v>2776</v>
      </c>
      <c r="E264" s="222" t="s">
        <v>4199</v>
      </c>
      <c r="F264" s="214" t="s">
        <v>4200</v>
      </c>
      <c r="G264" s="214" t="s">
        <v>4201</v>
      </c>
      <c r="H264" s="214" t="s">
        <v>4202</v>
      </c>
      <c r="I264" s="214" t="s">
        <v>4203</v>
      </c>
      <c r="J264" s="214" t="s">
        <v>4204</v>
      </c>
      <c r="K264" s="214" t="s">
        <v>9240</v>
      </c>
      <c r="L264" s="214" t="s">
        <v>10490</v>
      </c>
      <c r="M264" s="214" t="s">
        <v>9840</v>
      </c>
      <c r="P264" s="120"/>
    </row>
    <row r="265" spans="1:16">
      <c r="A265" s="215" t="s">
        <v>4205</v>
      </c>
      <c r="B265" s="214" t="s">
        <v>2600</v>
      </c>
      <c r="C265" s="222" t="s">
        <v>2702</v>
      </c>
      <c r="D265" s="222" t="s">
        <v>2776</v>
      </c>
      <c r="E265" s="222" t="s">
        <v>4199</v>
      </c>
      <c r="F265" s="214" t="s">
        <v>4200</v>
      </c>
      <c r="G265" s="214" t="s">
        <v>4201</v>
      </c>
      <c r="H265" s="214" t="s">
        <v>4202</v>
      </c>
      <c r="I265" s="214" t="s">
        <v>4206</v>
      </c>
      <c r="J265" s="214" t="s">
        <v>4204</v>
      </c>
      <c r="K265" s="214" t="s">
        <v>9240</v>
      </c>
      <c r="L265" s="214" t="s">
        <v>10490</v>
      </c>
      <c r="M265" s="214" t="s">
        <v>9840</v>
      </c>
      <c r="P265" s="120"/>
    </row>
    <row r="266" spans="1:16">
      <c r="A266" s="215" t="s">
        <v>2317</v>
      </c>
      <c r="B266" s="214" t="s">
        <v>2601</v>
      </c>
      <c r="C266" s="222" t="s">
        <v>2703</v>
      </c>
      <c r="D266" s="222" t="s">
        <v>2777</v>
      </c>
      <c r="E266" s="222" t="s">
        <v>4207</v>
      </c>
      <c r="F266" s="214" t="s">
        <v>4208</v>
      </c>
      <c r="G266" s="214" t="s">
        <v>4209</v>
      </c>
      <c r="H266" s="214" t="s">
        <v>4210</v>
      </c>
      <c r="I266" s="214" t="s">
        <v>4211</v>
      </c>
      <c r="J266" s="214" t="s">
        <v>4212</v>
      </c>
      <c r="K266" s="214" t="s">
        <v>9241</v>
      </c>
      <c r="L266" s="214" t="s">
        <v>10491</v>
      </c>
      <c r="M266" s="214" t="s">
        <v>9840</v>
      </c>
      <c r="P266" s="120"/>
    </row>
    <row r="267" spans="1:16">
      <c r="A267" s="215" t="s">
        <v>4213</v>
      </c>
      <c r="B267" s="214" t="s">
        <v>2601</v>
      </c>
      <c r="C267" s="222" t="s">
        <v>2703</v>
      </c>
      <c r="D267" s="222" t="s">
        <v>2777</v>
      </c>
      <c r="E267" s="222" t="s">
        <v>4207</v>
      </c>
      <c r="F267" s="214" t="s">
        <v>4208</v>
      </c>
      <c r="G267" s="214" t="s">
        <v>4209</v>
      </c>
      <c r="H267" s="214" t="s">
        <v>4210</v>
      </c>
      <c r="I267" s="214" t="s">
        <v>4211</v>
      </c>
      <c r="J267" s="214" t="s">
        <v>4212</v>
      </c>
      <c r="K267" s="214" t="s">
        <v>9241</v>
      </c>
      <c r="L267" s="214" t="s">
        <v>10491</v>
      </c>
      <c r="M267" s="214" t="s">
        <v>9840</v>
      </c>
      <c r="P267" s="120"/>
    </row>
    <row r="268" spans="1:16">
      <c r="A268" s="214" t="s">
        <v>690</v>
      </c>
      <c r="B268" s="214" t="s">
        <v>688</v>
      </c>
      <c r="C268" s="222" t="s">
        <v>687</v>
      </c>
      <c r="D268" s="222" t="s">
        <v>689</v>
      </c>
      <c r="E268" s="222" t="s">
        <v>4214</v>
      </c>
      <c r="F268" s="214" t="s">
        <v>4215</v>
      </c>
      <c r="G268" s="214" t="s">
        <v>4216</v>
      </c>
      <c r="H268" s="214" t="s">
        <v>4217</v>
      </c>
      <c r="I268" s="214" t="s">
        <v>4218</v>
      </c>
      <c r="J268" s="214" t="s">
        <v>4219</v>
      </c>
      <c r="K268" s="214" t="s">
        <v>9242</v>
      </c>
      <c r="L268" s="214" t="s">
        <v>10492</v>
      </c>
      <c r="M268" s="214" t="s">
        <v>9841</v>
      </c>
      <c r="P268" s="120"/>
    </row>
    <row r="269" spans="1:16">
      <c r="A269" s="214" t="s">
        <v>691</v>
      </c>
      <c r="B269" s="214" t="s">
        <v>693</v>
      </c>
      <c r="C269" s="222" t="s">
        <v>692</v>
      </c>
      <c r="D269" s="222" t="s">
        <v>694</v>
      </c>
      <c r="E269" s="222" t="s">
        <v>4220</v>
      </c>
      <c r="F269" s="214" t="s">
        <v>4221</v>
      </c>
      <c r="G269" s="214" t="s">
        <v>4222</v>
      </c>
      <c r="H269" s="214" t="s">
        <v>4223</v>
      </c>
      <c r="I269" s="214" t="s">
        <v>4224</v>
      </c>
      <c r="J269" s="214" t="s">
        <v>4225</v>
      </c>
      <c r="K269" s="223" t="s">
        <v>9243</v>
      </c>
      <c r="L269" s="214" t="s">
        <v>10493</v>
      </c>
      <c r="M269" s="214" t="s">
        <v>9842</v>
      </c>
      <c r="P269" s="120"/>
    </row>
    <row r="270" spans="1:16">
      <c r="A270" s="214" t="s">
        <v>695</v>
      </c>
      <c r="B270" s="214" t="s">
        <v>693</v>
      </c>
      <c r="C270" s="222" t="s">
        <v>692</v>
      </c>
      <c r="D270" s="222" t="s">
        <v>694</v>
      </c>
      <c r="E270" s="222" t="s">
        <v>4220</v>
      </c>
      <c r="F270" s="214" t="s">
        <v>4221</v>
      </c>
      <c r="G270" s="214" t="s">
        <v>4222</v>
      </c>
      <c r="H270" s="214" t="s">
        <v>4223</v>
      </c>
      <c r="I270" s="214" t="s">
        <v>4224</v>
      </c>
      <c r="J270" s="214" t="s">
        <v>4225</v>
      </c>
      <c r="K270" s="223" t="s">
        <v>9243</v>
      </c>
      <c r="L270" s="214" t="s">
        <v>10493</v>
      </c>
      <c r="M270" s="214" t="s">
        <v>9843</v>
      </c>
      <c r="P270" s="120"/>
    </row>
    <row r="271" spans="1:16">
      <c r="A271" s="214" t="s">
        <v>696</v>
      </c>
      <c r="B271" s="214" t="s">
        <v>698</v>
      </c>
      <c r="C271" s="222" t="s">
        <v>697</v>
      </c>
      <c r="D271" s="222" t="s">
        <v>699</v>
      </c>
      <c r="E271" s="222" t="s">
        <v>4226</v>
      </c>
      <c r="F271" s="214" t="s">
        <v>4227</v>
      </c>
      <c r="G271" s="214" t="s">
        <v>4228</v>
      </c>
      <c r="H271" s="214" t="s">
        <v>4229</v>
      </c>
      <c r="I271" s="214" t="s">
        <v>4230</v>
      </c>
      <c r="J271" s="214" t="s">
        <v>4231</v>
      </c>
      <c r="K271" s="223" t="s">
        <v>9244</v>
      </c>
      <c r="L271" s="214" t="s">
        <v>10494</v>
      </c>
      <c r="M271" s="214" t="s">
        <v>9844</v>
      </c>
      <c r="P271" s="120"/>
    </row>
    <row r="272" spans="1:16">
      <c r="A272" s="214" t="s">
        <v>4232</v>
      </c>
      <c r="B272" s="214" t="s">
        <v>698</v>
      </c>
      <c r="C272" s="222" t="s">
        <v>697</v>
      </c>
      <c r="D272" s="222" t="s">
        <v>699</v>
      </c>
      <c r="E272" s="222" t="s">
        <v>4226</v>
      </c>
      <c r="F272" s="214" t="s">
        <v>4227</v>
      </c>
      <c r="G272" s="214" t="s">
        <v>4228</v>
      </c>
      <c r="H272" s="214" t="s">
        <v>4229</v>
      </c>
      <c r="I272" s="214" t="s">
        <v>4230</v>
      </c>
      <c r="J272" s="214" t="s">
        <v>4231</v>
      </c>
      <c r="K272" s="223" t="s">
        <v>9245</v>
      </c>
      <c r="L272" s="214" t="s">
        <v>10494</v>
      </c>
      <c r="M272" s="214" t="s">
        <v>9844</v>
      </c>
      <c r="P272" s="120"/>
    </row>
    <row r="273" spans="1:16">
      <c r="A273" s="214" t="s">
        <v>4233</v>
      </c>
      <c r="B273" s="214" t="s">
        <v>11963</v>
      </c>
      <c r="C273" s="222" t="s">
        <v>11962</v>
      </c>
      <c r="D273" s="222" t="s">
        <v>11964</v>
      </c>
      <c r="E273" s="222" t="s">
        <v>11965</v>
      </c>
      <c r="F273" s="214" t="s">
        <v>11966</v>
      </c>
      <c r="G273" s="214" t="s">
        <v>11967</v>
      </c>
      <c r="H273" s="214" t="s">
        <v>11968</v>
      </c>
      <c r="I273" s="214" t="s">
        <v>11969</v>
      </c>
      <c r="J273" s="214" t="s">
        <v>11970</v>
      </c>
      <c r="K273" s="223" t="s">
        <v>11972</v>
      </c>
      <c r="L273" s="214" t="s">
        <v>11973</v>
      </c>
      <c r="M273" s="214" t="s">
        <v>11971</v>
      </c>
      <c r="P273" s="120"/>
    </row>
    <row r="274" spans="1:16">
      <c r="A274" s="214" t="s">
        <v>700</v>
      </c>
      <c r="B274" s="214" t="s">
        <v>703</v>
      </c>
      <c r="C274" s="222" t="s">
        <v>702</v>
      </c>
      <c r="D274" s="222" t="s">
        <v>2778</v>
      </c>
      <c r="E274" s="222" t="s">
        <v>4235</v>
      </c>
      <c r="F274" s="214" t="s">
        <v>4236</v>
      </c>
      <c r="G274" s="214" t="s">
        <v>4237</v>
      </c>
      <c r="H274" s="214" t="s">
        <v>4238</v>
      </c>
      <c r="I274" s="214" t="s">
        <v>4239</v>
      </c>
      <c r="J274" s="214" t="s">
        <v>4240</v>
      </c>
      <c r="K274" s="223" t="s">
        <v>9246</v>
      </c>
      <c r="L274" s="214" t="s">
        <v>10495</v>
      </c>
      <c r="M274" s="214" t="s">
        <v>9845</v>
      </c>
      <c r="P274" s="120"/>
    </row>
    <row r="275" spans="1:16">
      <c r="A275" s="214" t="s">
        <v>704</v>
      </c>
      <c r="B275" s="214" t="s">
        <v>2602</v>
      </c>
      <c r="C275" s="222" t="s">
        <v>707</v>
      </c>
      <c r="D275" s="222" t="s">
        <v>708</v>
      </c>
      <c r="E275" s="222" t="s">
        <v>4241</v>
      </c>
      <c r="F275" s="214" t="s">
        <v>4242</v>
      </c>
      <c r="G275" s="214" t="s">
        <v>4243</v>
      </c>
      <c r="H275" s="214" t="s">
        <v>4244</v>
      </c>
      <c r="I275" s="214" t="s">
        <v>4245</v>
      </c>
      <c r="J275" s="214" t="s">
        <v>4246</v>
      </c>
      <c r="K275" s="223" t="s">
        <v>9247</v>
      </c>
      <c r="L275" s="214" t="s">
        <v>10496</v>
      </c>
      <c r="M275" s="214" t="s">
        <v>9846</v>
      </c>
      <c r="P275" s="120"/>
    </row>
    <row r="276" spans="1:16">
      <c r="A276" s="214" t="s">
        <v>709</v>
      </c>
      <c r="B276" s="214" t="s">
        <v>711</v>
      </c>
      <c r="C276" s="222" t="s">
        <v>710</v>
      </c>
      <c r="D276" s="222" t="s">
        <v>712</v>
      </c>
      <c r="E276" s="222" t="s">
        <v>4247</v>
      </c>
      <c r="F276" s="214" t="s">
        <v>4248</v>
      </c>
      <c r="G276" s="214" t="s">
        <v>4249</v>
      </c>
      <c r="H276" s="214" t="s">
        <v>4250</v>
      </c>
      <c r="I276" s="214" t="s">
        <v>4251</v>
      </c>
      <c r="J276" s="214" t="s">
        <v>4240</v>
      </c>
      <c r="K276" s="223" t="s">
        <v>9248</v>
      </c>
      <c r="L276" s="214" t="s">
        <v>10497</v>
      </c>
      <c r="M276" s="214" t="s">
        <v>9847</v>
      </c>
      <c r="P276" s="120"/>
    </row>
    <row r="277" spans="1:16">
      <c r="A277" s="215" t="s">
        <v>713</v>
      </c>
      <c r="B277" s="214" t="s">
        <v>711</v>
      </c>
      <c r="C277" s="222" t="s">
        <v>710</v>
      </c>
      <c r="D277" s="222" t="s">
        <v>712</v>
      </c>
      <c r="E277" s="222" t="s">
        <v>4247</v>
      </c>
      <c r="F277" s="214" t="s">
        <v>4248</v>
      </c>
      <c r="G277" s="214" t="s">
        <v>4249</v>
      </c>
      <c r="H277" s="214" t="s">
        <v>4250</v>
      </c>
      <c r="I277" s="214" t="s">
        <v>4252</v>
      </c>
      <c r="J277" s="214" t="s">
        <v>4240</v>
      </c>
      <c r="K277" s="223" t="s">
        <v>9248</v>
      </c>
      <c r="L277" s="214" t="s">
        <v>10497</v>
      </c>
      <c r="M277" s="214" t="s">
        <v>9847</v>
      </c>
      <c r="P277" s="120"/>
    </row>
    <row r="278" spans="1:16">
      <c r="A278" s="214" t="s">
        <v>4253</v>
      </c>
      <c r="B278" s="214" t="s">
        <v>4255</v>
      </c>
      <c r="C278" s="222" t="s">
        <v>4254</v>
      </c>
      <c r="D278" s="222" t="s">
        <v>4256</v>
      </c>
      <c r="E278" s="222" t="s">
        <v>11974</v>
      </c>
      <c r="F278" s="214" t="s">
        <v>4258</v>
      </c>
      <c r="G278" s="214" t="s">
        <v>4259</v>
      </c>
      <c r="H278" s="214" t="s">
        <v>4260</v>
      </c>
      <c r="I278" s="214" t="s">
        <v>4286</v>
      </c>
      <c r="J278" s="214" t="s">
        <v>4261</v>
      </c>
      <c r="K278" s="223" t="s">
        <v>9249</v>
      </c>
      <c r="L278" s="214" t="s">
        <v>10498</v>
      </c>
      <c r="M278" s="214" t="s">
        <v>9848</v>
      </c>
      <c r="P278" s="120"/>
    </row>
    <row r="279" spans="1:16">
      <c r="A279" s="215" t="s">
        <v>11876</v>
      </c>
      <c r="B279" s="214" t="s">
        <v>11976</v>
      </c>
      <c r="C279" s="222" t="s">
        <v>11975</v>
      </c>
      <c r="D279" s="222" t="s">
        <v>11977</v>
      </c>
      <c r="E279" s="222" t="s">
        <v>11978</v>
      </c>
      <c r="F279" s="214" t="s">
        <v>11979</v>
      </c>
      <c r="G279" s="214" t="s">
        <v>11980</v>
      </c>
      <c r="H279" s="214" t="s">
        <v>11981</v>
      </c>
      <c r="I279" s="214" t="s">
        <v>11982</v>
      </c>
      <c r="J279" s="214" t="s">
        <v>4261</v>
      </c>
      <c r="K279" s="223" t="s">
        <v>11984</v>
      </c>
      <c r="L279" s="214" t="s">
        <v>10498</v>
      </c>
      <c r="M279" s="214" t="s">
        <v>11983</v>
      </c>
      <c r="P279" s="120"/>
    </row>
    <row r="280" spans="1:16">
      <c r="A280" s="214" t="s">
        <v>4262</v>
      </c>
      <c r="B280" s="214" t="s">
        <v>4264</v>
      </c>
      <c r="C280" s="222" t="s">
        <v>4263</v>
      </c>
      <c r="D280" s="222" t="s">
        <v>4265</v>
      </c>
      <c r="E280" s="222" t="s">
        <v>4257</v>
      </c>
      <c r="F280" s="214" t="s">
        <v>4266</v>
      </c>
      <c r="G280" s="214" t="s">
        <v>4267</v>
      </c>
      <c r="H280" s="214" t="s">
        <v>4268</v>
      </c>
      <c r="I280" s="214" t="s">
        <v>4269</v>
      </c>
      <c r="J280" s="214" t="s">
        <v>4270</v>
      </c>
      <c r="K280" s="223" t="s">
        <v>9250</v>
      </c>
      <c r="L280" s="214" t="s">
        <v>10499</v>
      </c>
      <c r="M280" s="214" t="s">
        <v>9849</v>
      </c>
      <c r="P280" s="120"/>
    </row>
    <row r="281" spans="1:16">
      <c r="A281" s="214" t="s">
        <v>717</v>
      </c>
      <c r="B281" s="214" t="s">
        <v>715</v>
      </c>
      <c r="C281" s="222" t="s">
        <v>714</v>
      </c>
      <c r="D281" s="222" t="s">
        <v>716</v>
      </c>
      <c r="E281" s="222" t="s">
        <v>4271</v>
      </c>
      <c r="F281" s="214" t="s">
        <v>4272</v>
      </c>
      <c r="G281" s="214" t="s">
        <v>4273</v>
      </c>
      <c r="H281" s="214" t="s">
        <v>4274</v>
      </c>
      <c r="I281" s="214" t="s">
        <v>4275</v>
      </c>
      <c r="J281" s="214" t="s">
        <v>4276</v>
      </c>
      <c r="K281" s="214" t="s">
        <v>9251</v>
      </c>
      <c r="L281" s="214" t="s">
        <v>10500</v>
      </c>
      <c r="M281" s="214" t="s">
        <v>9850</v>
      </c>
      <c r="P281" s="120"/>
    </row>
    <row r="282" spans="1:16">
      <c r="A282" s="214" t="s">
        <v>718</v>
      </c>
      <c r="B282" s="214" t="s">
        <v>715</v>
      </c>
      <c r="C282" s="222" t="s">
        <v>714</v>
      </c>
      <c r="D282" s="222" t="s">
        <v>716</v>
      </c>
      <c r="E282" s="222" t="s">
        <v>4271</v>
      </c>
      <c r="F282" s="214" t="s">
        <v>4272</v>
      </c>
      <c r="G282" s="214" t="s">
        <v>4273</v>
      </c>
      <c r="H282" s="214" t="s">
        <v>4274</v>
      </c>
      <c r="I282" s="214" t="s">
        <v>4275</v>
      </c>
      <c r="J282" s="214" t="s">
        <v>4276</v>
      </c>
      <c r="K282" s="214" t="s">
        <v>9251</v>
      </c>
      <c r="L282" s="214" t="s">
        <v>10500</v>
      </c>
      <c r="M282" s="214" t="s">
        <v>9851</v>
      </c>
      <c r="P282" s="120"/>
    </row>
    <row r="283" spans="1:16">
      <c r="A283" s="214" t="s">
        <v>720</v>
      </c>
      <c r="B283" s="214" t="s">
        <v>722</v>
      </c>
      <c r="C283" s="222" t="s">
        <v>721</v>
      </c>
      <c r="D283" s="222" t="s">
        <v>723</v>
      </c>
      <c r="E283" s="222" t="s">
        <v>4277</v>
      </c>
      <c r="F283" s="214" t="s">
        <v>4272</v>
      </c>
      <c r="G283" s="214" t="s">
        <v>4278</v>
      </c>
      <c r="H283" s="214" t="s">
        <v>4279</v>
      </c>
      <c r="I283" s="214" t="s">
        <v>4280</v>
      </c>
      <c r="J283" s="214" t="s">
        <v>4281</v>
      </c>
      <c r="K283" s="214" t="s">
        <v>9245</v>
      </c>
      <c r="L283" s="214" t="s">
        <v>10501</v>
      </c>
      <c r="M283" s="214" t="s">
        <v>9852</v>
      </c>
      <c r="P283" s="120"/>
    </row>
    <row r="284" spans="1:16">
      <c r="A284" s="214" t="s">
        <v>4282</v>
      </c>
      <c r="B284" s="214" t="s">
        <v>4295</v>
      </c>
      <c r="C284" s="222" t="s">
        <v>4294</v>
      </c>
      <c r="D284" s="222" t="s">
        <v>4296</v>
      </c>
      <c r="E284" s="222" t="s">
        <v>11615</v>
      </c>
      <c r="F284" s="214" t="s">
        <v>11616</v>
      </c>
      <c r="G284" s="214" t="s">
        <v>11617</v>
      </c>
      <c r="H284" s="214" t="s">
        <v>4299</v>
      </c>
      <c r="I284" s="214" t="s">
        <v>4286</v>
      </c>
      <c r="J284" s="214" t="s">
        <v>4281</v>
      </c>
      <c r="K284" s="214" t="s">
        <v>9245</v>
      </c>
      <c r="L284" s="214" t="s">
        <v>10501</v>
      </c>
      <c r="M284" s="214" t="s">
        <v>9852</v>
      </c>
      <c r="P284" s="120"/>
    </row>
    <row r="285" spans="1:16">
      <c r="A285" s="215" t="s">
        <v>724</v>
      </c>
      <c r="B285" s="214" t="s">
        <v>711</v>
      </c>
      <c r="C285" s="222" t="s">
        <v>710</v>
      </c>
      <c r="D285" s="222" t="s">
        <v>712</v>
      </c>
      <c r="E285" s="222" t="s">
        <v>4247</v>
      </c>
      <c r="F285" s="214" t="s">
        <v>4284</v>
      </c>
      <c r="G285" s="214" t="s">
        <v>4249</v>
      </c>
      <c r="H285" s="214" t="s">
        <v>4250</v>
      </c>
      <c r="I285" s="214" t="s">
        <v>4287</v>
      </c>
      <c r="J285" s="214" t="s">
        <v>4240</v>
      </c>
      <c r="K285" s="214" t="s">
        <v>9248</v>
      </c>
      <c r="L285" s="214" t="s">
        <v>10497</v>
      </c>
      <c r="M285" s="214" t="s">
        <v>9847</v>
      </c>
      <c r="P285" s="120"/>
    </row>
    <row r="286" spans="1:16">
      <c r="A286" s="215" t="s">
        <v>725</v>
      </c>
      <c r="B286" s="214" t="s">
        <v>715</v>
      </c>
      <c r="C286" s="222" t="s">
        <v>714</v>
      </c>
      <c r="D286" s="222" t="s">
        <v>716</v>
      </c>
      <c r="E286" s="222" t="s">
        <v>4271</v>
      </c>
      <c r="F286" s="214" t="s">
        <v>4248</v>
      </c>
      <c r="G286" s="214" t="s">
        <v>4273</v>
      </c>
      <c r="H286" s="214" t="s">
        <v>4274</v>
      </c>
      <c r="I286" s="214" t="s">
        <v>4288</v>
      </c>
      <c r="J286" s="214" t="s">
        <v>4276</v>
      </c>
      <c r="K286" s="214" t="s">
        <v>9251</v>
      </c>
      <c r="L286" s="214" t="s">
        <v>10500</v>
      </c>
      <c r="M286" s="214" t="s">
        <v>9853</v>
      </c>
      <c r="P286" s="120"/>
    </row>
    <row r="287" spans="1:16">
      <c r="A287" s="214" t="s">
        <v>727</v>
      </c>
      <c r="B287" s="214" t="s">
        <v>715</v>
      </c>
      <c r="C287" s="222" t="s">
        <v>714</v>
      </c>
      <c r="D287" s="222" t="s">
        <v>716</v>
      </c>
      <c r="E287" s="222" t="s">
        <v>4271</v>
      </c>
      <c r="F287" s="214" t="s">
        <v>4272</v>
      </c>
      <c r="G287" s="214" t="s">
        <v>4273</v>
      </c>
      <c r="H287" s="214" t="s">
        <v>4274</v>
      </c>
      <c r="I287" s="214" t="s">
        <v>4288</v>
      </c>
      <c r="J287" s="214" t="s">
        <v>4276</v>
      </c>
      <c r="K287" s="214" t="s">
        <v>9251</v>
      </c>
      <c r="L287" s="214" t="s">
        <v>10500</v>
      </c>
      <c r="M287" s="214" t="s">
        <v>9850</v>
      </c>
      <c r="P287" s="120"/>
    </row>
    <row r="288" spans="1:16">
      <c r="A288" s="214" t="s">
        <v>2318</v>
      </c>
      <c r="B288" s="214" t="s">
        <v>715</v>
      </c>
      <c r="C288" s="222" t="s">
        <v>714</v>
      </c>
      <c r="D288" s="222" t="s">
        <v>716</v>
      </c>
      <c r="E288" s="222" t="s">
        <v>4271</v>
      </c>
      <c r="F288" s="214" t="s">
        <v>4272</v>
      </c>
      <c r="G288" s="214" t="s">
        <v>4273</v>
      </c>
      <c r="H288" s="214" t="s">
        <v>4274</v>
      </c>
      <c r="I288" s="214" t="s">
        <v>4288</v>
      </c>
      <c r="J288" s="214" t="s">
        <v>4276</v>
      </c>
      <c r="K288" s="214" t="s">
        <v>9251</v>
      </c>
      <c r="L288" s="214" t="s">
        <v>10500</v>
      </c>
      <c r="M288" s="214" t="s">
        <v>9850</v>
      </c>
      <c r="P288" s="120"/>
    </row>
    <row r="289" spans="1:16">
      <c r="A289" s="214" t="s">
        <v>4289</v>
      </c>
      <c r="B289" s="214" t="s">
        <v>722</v>
      </c>
      <c r="C289" s="222" t="s">
        <v>721</v>
      </c>
      <c r="D289" s="222" t="s">
        <v>723</v>
      </c>
      <c r="E289" s="222" t="s">
        <v>4283</v>
      </c>
      <c r="F289" s="214" t="s">
        <v>4284</v>
      </c>
      <c r="G289" s="214" t="s">
        <v>4278</v>
      </c>
      <c r="H289" s="214" t="s">
        <v>4285</v>
      </c>
      <c r="I289" s="214" t="s">
        <v>4286</v>
      </c>
      <c r="J289" s="214" t="s">
        <v>4281</v>
      </c>
      <c r="K289" s="214" t="s">
        <v>9245</v>
      </c>
      <c r="L289" s="214" t="s">
        <v>10501</v>
      </c>
      <c r="M289" s="214" t="s">
        <v>9852</v>
      </c>
      <c r="P289" s="120"/>
    </row>
    <row r="290" spans="1:16">
      <c r="A290" s="214" t="s">
        <v>4291</v>
      </c>
      <c r="B290" s="214" t="s">
        <v>722</v>
      </c>
      <c r="C290" s="222" t="s">
        <v>721</v>
      </c>
      <c r="D290" s="222" t="s">
        <v>723</v>
      </c>
      <c r="E290" s="222" t="s">
        <v>4283</v>
      </c>
      <c r="F290" s="214" t="s">
        <v>4284</v>
      </c>
      <c r="G290" s="214" t="s">
        <v>4278</v>
      </c>
      <c r="H290" s="214" t="s">
        <v>4285</v>
      </c>
      <c r="I290" s="214" t="s">
        <v>4286</v>
      </c>
      <c r="J290" s="214" t="s">
        <v>4281</v>
      </c>
      <c r="K290" s="214" t="s">
        <v>9245</v>
      </c>
      <c r="L290" s="214" t="s">
        <v>10501</v>
      </c>
      <c r="M290" s="214" t="s">
        <v>9852</v>
      </c>
      <c r="P290" s="120"/>
    </row>
    <row r="291" spans="1:16">
      <c r="A291" s="215" t="s">
        <v>4292</v>
      </c>
      <c r="B291" s="214" t="s">
        <v>4295</v>
      </c>
      <c r="C291" s="222" t="s">
        <v>4294</v>
      </c>
      <c r="D291" s="222" t="s">
        <v>4296</v>
      </c>
      <c r="E291" s="222" t="s">
        <v>4308</v>
      </c>
      <c r="F291" s="214" t="s">
        <v>4297</v>
      </c>
      <c r="G291" s="214" t="s">
        <v>4298</v>
      </c>
      <c r="H291" s="214" t="s">
        <v>4299</v>
      </c>
      <c r="I291" s="214" t="s">
        <v>4300</v>
      </c>
      <c r="J291" s="214" t="s">
        <v>4301</v>
      </c>
      <c r="K291" s="214" t="s">
        <v>9252</v>
      </c>
      <c r="L291" s="214" t="s">
        <v>10501</v>
      </c>
      <c r="M291" s="214" t="s">
        <v>9854</v>
      </c>
      <c r="P291" s="120"/>
    </row>
    <row r="292" spans="1:16">
      <c r="A292" s="215" t="s">
        <v>4302</v>
      </c>
      <c r="B292" s="214" t="s">
        <v>4295</v>
      </c>
      <c r="C292" s="222" t="s">
        <v>4294</v>
      </c>
      <c r="D292" s="222" t="s">
        <v>4296</v>
      </c>
      <c r="E292" s="222" t="s">
        <v>4308</v>
      </c>
      <c r="F292" s="214" t="s">
        <v>4297</v>
      </c>
      <c r="G292" s="214" t="s">
        <v>4298</v>
      </c>
      <c r="H292" s="214" t="s">
        <v>4299</v>
      </c>
      <c r="I292" s="214" t="s">
        <v>4300</v>
      </c>
      <c r="J292" s="214" t="s">
        <v>4301</v>
      </c>
      <c r="K292" s="214" t="s">
        <v>9252</v>
      </c>
      <c r="L292" s="214" t="s">
        <v>10501</v>
      </c>
      <c r="M292" s="214" t="s">
        <v>9854</v>
      </c>
      <c r="P292" s="120"/>
    </row>
    <row r="293" spans="1:16">
      <c r="A293" s="214" t="s">
        <v>2319</v>
      </c>
      <c r="B293" s="214" t="s">
        <v>4255</v>
      </c>
      <c r="C293" s="222" t="s">
        <v>4254</v>
      </c>
      <c r="D293" s="222" t="s">
        <v>4256</v>
      </c>
      <c r="E293" s="222" t="s">
        <v>4277</v>
      </c>
      <c r="F293" s="214" t="s">
        <v>4258</v>
      </c>
      <c r="G293" s="214" t="s">
        <v>4259</v>
      </c>
      <c r="H293" s="214" t="s">
        <v>4304</v>
      </c>
      <c r="I293" s="214" t="s">
        <v>4305</v>
      </c>
      <c r="J293" s="214" t="s">
        <v>4261</v>
      </c>
      <c r="K293" s="214" t="s">
        <v>9249</v>
      </c>
      <c r="L293" s="214" t="s">
        <v>10498</v>
      </c>
      <c r="M293" s="214" t="s">
        <v>9848</v>
      </c>
      <c r="P293" s="120"/>
    </row>
    <row r="294" spans="1:16">
      <c r="A294" s="214" t="s">
        <v>4306</v>
      </c>
      <c r="B294" s="214" t="s">
        <v>722</v>
      </c>
      <c r="C294" s="222" t="s">
        <v>721</v>
      </c>
      <c r="D294" s="222" t="s">
        <v>723</v>
      </c>
      <c r="E294" s="222" t="s">
        <v>4277</v>
      </c>
      <c r="F294" s="214" t="s">
        <v>4284</v>
      </c>
      <c r="G294" s="214" t="s">
        <v>4278</v>
      </c>
      <c r="H294" s="214" t="s">
        <v>4279</v>
      </c>
      <c r="I294" s="214" t="s">
        <v>4303</v>
      </c>
      <c r="J294" s="214" t="s">
        <v>4281</v>
      </c>
      <c r="K294" s="214" t="s">
        <v>9245</v>
      </c>
      <c r="L294" s="214" t="s">
        <v>10501</v>
      </c>
      <c r="M294" s="214" t="s">
        <v>9852</v>
      </c>
      <c r="P294" s="120"/>
    </row>
    <row r="295" spans="1:16">
      <c r="A295" s="214" t="s">
        <v>4307</v>
      </c>
      <c r="B295" s="214" t="s">
        <v>4295</v>
      </c>
      <c r="C295" s="222" t="s">
        <v>4294</v>
      </c>
      <c r="D295" s="222" t="s">
        <v>4296</v>
      </c>
      <c r="E295" s="222" t="s">
        <v>4308</v>
      </c>
      <c r="F295" s="214" t="s">
        <v>4284</v>
      </c>
      <c r="G295" s="214" t="s">
        <v>4278</v>
      </c>
      <c r="H295" s="214" t="s">
        <v>4309</v>
      </c>
      <c r="I295" s="214" t="s">
        <v>4310</v>
      </c>
      <c r="J295" s="214" t="s">
        <v>4281</v>
      </c>
      <c r="K295" s="214" t="s">
        <v>9252</v>
      </c>
      <c r="L295" s="214" t="s">
        <v>10501</v>
      </c>
      <c r="M295" s="214" t="s">
        <v>9854</v>
      </c>
      <c r="P295" s="120"/>
    </row>
    <row r="296" spans="1:16">
      <c r="A296" s="215" t="s">
        <v>729</v>
      </c>
      <c r="B296" s="214" t="s">
        <v>730</v>
      </c>
      <c r="C296" s="222" t="s">
        <v>4311</v>
      </c>
      <c r="D296" s="222" t="s">
        <v>4312</v>
      </c>
      <c r="E296" s="222" t="s">
        <v>4313</v>
      </c>
      <c r="F296" s="214" t="s">
        <v>4314</v>
      </c>
      <c r="G296" s="214" t="s">
        <v>4315</v>
      </c>
      <c r="H296" s="214" t="s">
        <v>4316</v>
      </c>
      <c r="I296" s="214" t="s">
        <v>4317</v>
      </c>
      <c r="J296" s="214" t="s">
        <v>4318</v>
      </c>
      <c r="K296" s="214"/>
      <c r="L296" s="214" t="s">
        <v>24</v>
      </c>
      <c r="M296" s="214"/>
      <c r="P296" s="120"/>
    </row>
    <row r="297" spans="1:16">
      <c r="A297" s="214" t="s">
        <v>732</v>
      </c>
      <c r="B297" s="214" t="s">
        <v>734</v>
      </c>
      <c r="C297" s="222" t="s">
        <v>733</v>
      </c>
      <c r="D297" s="222" t="s">
        <v>735</v>
      </c>
      <c r="E297" s="222" t="s">
        <v>4319</v>
      </c>
      <c r="F297" s="214" t="s">
        <v>4320</v>
      </c>
      <c r="G297" s="214" t="s">
        <v>4321</v>
      </c>
      <c r="H297" s="214" t="s">
        <v>4322</v>
      </c>
      <c r="I297" s="214" t="s">
        <v>4323</v>
      </c>
      <c r="J297" s="214" t="s">
        <v>4324</v>
      </c>
      <c r="K297" s="214" t="s">
        <v>9253</v>
      </c>
      <c r="L297" s="214" t="s">
        <v>10502</v>
      </c>
      <c r="M297" s="214" t="s">
        <v>9855</v>
      </c>
      <c r="P297" s="120"/>
    </row>
    <row r="298" spans="1:16">
      <c r="A298" s="214" t="s">
        <v>736</v>
      </c>
      <c r="B298" s="214" t="s">
        <v>738</v>
      </c>
      <c r="C298" s="222" t="s">
        <v>737</v>
      </c>
      <c r="D298" s="222" t="s">
        <v>739</v>
      </c>
      <c r="E298" s="222" t="s">
        <v>4325</v>
      </c>
      <c r="F298" s="214" t="s">
        <v>4326</v>
      </c>
      <c r="G298" s="214" t="s">
        <v>4327</v>
      </c>
      <c r="H298" s="214" t="s">
        <v>4328</v>
      </c>
      <c r="I298" s="214" t="s">
        <v>4329</v>
      </c>
      <c r="J298" s="214" t="s">
        <v>4330</v>
      </c>
      <c r="K298" s="214" t="s">
        <v>9254</v>
      </c>
      <c r="L298" s="214" t="s">
        <v>10503</v>
      </c>
      <c r="M298" s="214" t="s">
        <v>9856</v>
      </c>
      <c r="P298" s="120"/>
    </row>
    <row r="299" spans="1:16">
      <c r="A299" s="214" t="s">
        <v>740</v>
      </c>
      <c r="B299" s="214" t="s">
        <v>742</v>
      </c>
      <c r="C299" s="222" t="s">
        <v>741</v>
      </c>
      <c r="D299" s="222" t="s">
        <v>743</v>
      </c>
      <c r="E299" s="222" t="s">
        <v>4331</v>
      </c>
      <c r="F299" s="214" t="s">
        <v>4332</v>
      </c>
      <c r="G299" s="214" t="s">
        <v>4333</v>
      </c>
      <c r="H299" s="214" t="s">
        <v>4334</v>
      </c>
      <c r="I299" s="214" t="s">
        <v>4335</v>
      </c>
      <c r="J299" s="214" t="s">
        <v>4336</v>
      </c>
      <c r="K299" s="214" t="s">
        <v>9255</v>
      </c>
      <c r="L299" s="214" t="s">
        <v>10504</v>
      </c>
      <c r="M299" s="214" t="s">
        <v>9857</v>
      </c>
      <c r="P299" s="120"/>
    </row>
    <row r="300" spans="1:16">
      <c r="A300" s="214" t="s">
        <v>2320</v>
      </c>
      <c r="B300" s="214" t="s">
        <v>2603</v>
      </c>
      <c r="C300" s="222" t="s">
        <v>2704</v>
      </c>
      <c r="D300" s="222" t="s">
        <v>2779</v>
      </c>
      <c r="E300" s="222" t="s">
        <v>4337</v>
      </c>
      <c r="F300" s="214" t="s">
        <v>4338</v>
      </c>
      <c r="G300" s="214" t="s">
        <v>4339</v>
      </c>
      <c r="H300" s="214" t="s">
        <v>4340</v>
      </c>
      <c r="I300" s="214" t="s">
        <v>4341</v>
      </c>
      <c r="J300" s="214" t="s">
        <v>4342</v>
      </c>
      <c r="K300" s="214" t="s">
        <v>9256</v>
      </c>
      <c r="L300" s="214" t="s">
        <v>10505</v>
      </c>
      <c r="M300" s="214" t="s">
        <v>9858</v>
      </c>
      <c r="P300" s="120"/>
    </row>
    <row r="301" spans="1:16">
      <c r="A301" s="215" t="s">
        <v>93</v>
      </c>
      <c r="B301" s="214" t="s">
        <v>96</v>
      </c>
      <c r="C301" s="222" t="s">
        <v>95</v>
      </c>
      <c r="D301" s="222" t="s">
        <v>97</v>
      </c>
      <c r="E301" s="222" t="s">
        <v>4355</v>
      </c>
      <c r="F301" s="214" t="s">
        <v>4356</v>
      </c>
      <c r="G301" s="214" t="s">
        <v>4357</v>
      </c>
      <c r="H301" s="214" t="s">
        <v>4358</v>
      </c>
      <c r="I301" s="214" t="s">
        <v>4359</v>
      </c>
      <c r="J301" s="214" t="s">
        <v>4360</v>
      </c>
      <c r="K301" s="214" t="s">
        <v>9258</v>
      </c>
      <c r="L301" s="214" t="s">
        <v>10507</v>
      </c>
      <c r="M301" s="214" t="s">
        <v>9860</v>
      </c>
      <c r="P301" s="120"/>
    </row>
    <row r="302" spans="1:16">
      <c r="A302" s="215" t="s">
        <v>2297</v>
      </c>
      <c r="B302" s="214" t="s">
        <v>2604</v>
      </c>
      <c r="C302" s="222" t="s">
        <v>2705</v>
      </c>
      <c r="D302" s="222" t="s">
        <v>2780</v>
      </c>
      <c r="E302" s="222" t="s">
        <v>4361</v>
      </c>
      <c r="F302" s="214" t="s">
        <v>4362</v>
      </c>
      <c r="G302" s="214" t="s">
        <v>4363</v>
      </c>
      <c r="H302" s="214" t="s">
        <v>4364</v>
      </c>
      <c r="I302" s="214" t="s">
        <v>4365</v>
      </c>
      <c r="J302" s="214" t="s">
        <v>4366</v>
      </c>
      <c r="K302" s="214" t="s">
        <v>9259</v>
      </c>
      <c r="L302" s="214" t="s">
        <v>10508</v>
      </c>
      <c r="M302" s="214" t="s">
        <v>9861</v>
      </c>
      <c r="P302" s="120"/>
    </row>
    <row r="303" spans="1:16">
      <c r="A303" s="215" t="s">
        <v>744</v>
      </c>
      <c r="B303" s="214" t="s">
        <v>11986</v>
      </c>
      <c r="C303" s="222" t="s">
        <v>11985</v>
      </c>
      <c r="D303" s="222" t="s">
        <v>11987</v>
      </c>
      <c r="E303" s="222" t="s">
        <v>11988</v>
      </c>
      <c r="F303" s="214" t="s">
        <v>11989</v>
      </c>
      <c r="G303" s="214" t="s">
        <v>11990</v>
      </c>
      <c r="H303" s="214" t="s">
        <v>11991</v>
      </c>
      <c r="I303" s="214" t="s">
        <v>11992</v>
      </c>
      <c r="J303" s="214" t="s">
        <v>11993</v>
      </c>
      <c r="K303" s="214" t="s">
        <v>11995</v>
      </c>
      <c r="L303" s="214" t="s">
        <v>11996</v>
      </c>
      <c r="M303" s="214" t="s">
        <v>11994</v>
      </c>
      <c r="P303" s="120"/>
    </row>
    <row r="304" spans="1:16">
      <c r="A304" s="215" t="s">
        <v>745</v>
      </c>
      <c r="B304" s="214" t="s">
        <v>11998</v>
      </c>
      <c r="C304" s="222" t="s">
        <v>11997</v>
      </c>
      <c r="D304" s="222" t="s">
        <v>11999</v>
      </c>
      <c r="E304" s="222" t="s">
        <v>12000</v>
      </c>
      <c r="F304" s="214" t="s">
        <v>12001</v>
      </c>
      <c r="G304" s="214" t="s">
        <v>12002</v>
      </c>
      <c r="H304" s="214" t="s">
        <v>12003</v>
      </c>
      <c r="I304" s="214" t="s">
        <v>12004</v>
      </c>
      <c r="J304" s="214" t="s">
        <v>12005</v>
      </c>
      <c r="K304" s="214" t="s">
        <v>12007</v>
      </c>
      <c r="L304" s="214" t="s">
        <v>12008</v>
      </c>
      <c r="M304" s="214" t="s">
        <v>12006</v>
      </c>
      <c r="P304" s="120"/>
    </row>
    <row r="305" spans="1:16">
      <c r="A305" s="214" t="s">
        <v>746</v>
      </c>
      <c r="B305" s="214" t="s">
        <v>2605</v>
      </c>
      <c r="C305" s="222" t="s">
        <v>747</v>
      </c>
      <c r="D305" s="222" t="s">
        <v>748</v>
      </c>
      <c r="E305" s="222" t="s">
        <v>4367</v>
      </c>
      <c r="F305" s="214" t="s">
        <v>4368</v>
      </c>
      <c r="G305" s="214" t="s">
        <v>4369</v>
      </c>
      <c r="H305" s="214" t="s">
        <v>4370</v>
      </c>
      <c r="I305" s="214" t="s">
        <v>4371</v>
      </c>
      <c r="J305" s="214" t="s">
        <v>4372</v>
      </c>
      <c r="K305" s="214" t="s">
        <v>9260</v>
      </c>
      <c r="L305" s="214" t="s">
        <v>10509</v>
      </c>
      <c r="M305" s="214" t="s">
        <v>9862</v>
      </c>
      <c r="P305" s="120"/>
    </row>
    <row r="306" spans="1:16">
      <c r="A306" s="214" t="s">
        <v>749</v>
      </c>
      <c r="B306" s="214" t="s">
        <v>751</v>
      </c>
      <c r="C306" s="222" t="s">
        <v>750</v>
      </c>
      <c r="D306" s="222" t="s">
        <v>752</v>
      </c>
      <c r="E306" s="222" t="s">
        <v>4373</v>
      </c>
      <c r="F306" s="214" t="s">
        <v>4374</v>
      </c>
      <c r="G306" s="214" t="s">
        <v>4375</v>
      </c>
      <c r="H306" s="214" t="s">
        <v>4376</v>
      </c>
      <c r="I306" s="214" t="s">
        <v>4377</v>
      </c>
      <c r="J306" s="214" t="s">
        <v>4378</v>
      </c>
      <c r="K306" s="223" t="s">
        <v>9261</v>
      </c>
      <c r="L306" s="214" t="s">
        <v>10510</v>
      </c>
      <c r="M306" s="214" t="s">
        <v>9863</v>
      </c>
      <c r="P306" s="120"/>
    </row>
    <row r="307" spans="1:16">
      <c r="A307" s="214" t="s">
        <v>753</v>
      </c>
      <c r="B307" s="214" t="s">
        <v>755</v>
      </c>
      <c r="C307" s="222" t="s">
        <v>754</v>
      </c>
      <c r="D307" s="222" t="s">
        <v>756</v>
      </c>
      <c r="E307" s="222" t="s">
        <v>4379</v>
      </c>
      <c r="F307" s="214" t="s">
        <v>4380</v>
      </c>
      <c r="G307" s="214" t="s">
        <v>4381</v>
      </c>
      <c r="H307" s="214" t="s">
        <v>4382</v>
      </c>
      <c r="I307" s="214" t="s">
        <v>4383</v>
      </c>
      <c r="J307" s="214" t="s">
        <v>4384</v>
      </c>
      <c r="K307" s="223" t="s">
        <v>9262</v>
      </c>
      <c r="L307" s="214" t="s">
        <v>10511</v>
      </c>
      <c r="M307" s="214" t="s">
        <v>9864</v>
      </c>
      <c r="P307" s="120"/>
    </row>
    <row r="308" spans="1:16">
      <c r="A308" s="214" t="s">
        <v>757</v>
      </c>
      <c r="B308" s="214" t="s">
        <v>760</v>
      </c>
      <c r="C308" s="222" t="s">
        <v>759</v>
      </c>
      <c r="D308" s="222" t="s">
        <v>761</v>
      </c>
      <c r="E308" s="222" t="s">
        <v>4385</v>
      </c>
      <c r="F308" s="214" t="s">
        <v>4386</v>
      </c>
      <c r="G308" s="214" t="s">
        <v>4387</v>
      </c>
      <c r="H308" s="214" t="s">
        <v>4388</v>
      </c>
      <c r="I308" s="214" t="s">
        <v>4389</v>
      </c>
      <c r="J308" s="214" t="s">
        <v>4390</v>
      </c>
      <c r="K308" s="223" t="s">
        <v>9263</v>
      </c>
      <c r="L308" s="214" t="s">
        <v>10512</v>
      </c>
      <c r="M308" s="214" t="s">
        <v>9865</v>
      </c>
      <c r="P308" s="120"/>
    </row>
    <row r="309" spans="1:16">
      <c r="A309" s="215" t="s">
        <v>766</v>
      </c>
      <c r="B309" s="214" t="s">
        <v>764</v>
      </c>
      <c r="C309" s="222" t="s">
        <v>763</v>
      </c>
      <c r="D309" s="222" t="s">
        <v>765</v>
      </c>
      <c r="E309" s="222" t="s">
        <v>4391</v>
      </c>
      <c r="F309" s="214" t="s">
        <v>4392</v>
      </c>
      <c r="G309" s="214" t="s">
        <v>4393</v>
      </c>
      <c r="H309" s="214" t="s">
        <v>4394</v>
      </c>
      <c r="I309" s="214" t="s">
        <v>4395</v>
      </c>
      <c r="J309" s="214" t="s">
        <v>4396</v>
      </c>
      <c r="K309" s="223" t="s">
        <v>9264</v>
      </c>
      <c r="L309" s="214" t="s">
        <v>10513</v>
      </c>
      <c r="M309" s="214" t="s">
        <v>9866</v>
      </c>
      <c r="P309" s="120"/>
    </row>
    <row r="310" spans="1:16">
      <c r="A310" s="215" t="s">
        <v>767</v>
      </c>
      <c r="B310" s="214" t="s">
        <v>769</v>
      </c>
      <c r="C310" s="222" t="s">
        <v>768</v>
      </c>
      <c r="D310" s="222" t="s">
        <v>770</v>
      </c>
      <c r="E310" s="222" t="s">
        <v>4397</v>
      </c>
      <c r="F310" s="214" t="s">
        <v>4398</v>
      </c>
      <c r="G310" s="214" t="s">
        <v>4399</v>
      </c>
      <c r="H310" s="214" t="s">
        <v>4400</v>
      </c>
      <c r="I310" s="214" t="s">
        <v>4401</v>
      </c>
      <c r="J310" s="214" t="s">
        <v>4402</v>
      </c>
      <c r="K310" s="223" t="s">
        <v>9265</v>
      </c>
      <c r="L310" s="214" t="s">
        <v>10514</v>
      </c>
      <c r="M310" s="214" t="s">
        <v>9867</v>
      </c>
      <c r="P310" s="120"/>
    </row>
    <row r="311" spans="1:16">
      <c r="A311" s="214" t="s">
        <v>11752</v>
      </c>
      <c r="B311" s="214" t="s">
        <v>11753</v>
      </c>
      <c r="C311" s="222" t="s">
        <v>12009</v>
      </c>
      <c r="D311" s="222" t="s">
        <v>12010</v>
      </c>
      <c r="E311" s="222" t="s">
        <v>12011</v>
      </c>
      <c r="F311" s="214" t="s">
        <v>12012</v>
      </c>
      <c r="G311" s="214" t="s">
        <v>12013</v>
      </c>
      <c r="H311" s="214" t="s">
        <v>12014</v>
      </c>
      <c r="I311" s="214" t="s">
        <v>12015</v>
      </c>
      <c r="J311" s="214" t="s">
        <v>12016</v>
      </c>
      <c r="K311" s="223" t="s">
        <v>12018</v>
      </c>
      <c r="L311" s="214" t="s">
        <v>12019</v>
      </c>
      <c r="M311" s="214" t="s">
        <v>12017</v>
      </c>
      <c r="P311" s="120"/>
    </row>
    <row r="312" spans="1:16">
      <c r="A312" s="214" t="s">
        <v>4403</v>
      </c>
      <c r="B312" s="214" t="s">
        <v>12020</v>
      </c>
      <c r="C312" s="222" t="s">
        <v>4404</v>
      </c>
      <c r="D312" s="222" t="s">
        <v>4405</v>
      </c>
      <c r="E312" s="222" t="s">
        <v>4406</v>
      </c>
      <c r="F312" s="214" t="s">
        <v>4407</v>
      </c>
      <c r="G312" s="214"/>
      <c r="H312" s="214" t="s">
        <v>4408</v>
      </c>
      <c r="I312" s="214" t="s">
        <v>4409</v>
      </c>
      <c r="J312" s="214" t="s">
        <v>4410</v>
      </c>
      <c r="K312" s="214" t="s">
        <v>9266</v>
      </c>
      <c r="L312" s="214" t="s">
        <v>10515</v>
      </c>
      <c r="M312" s="214" t="s">
        <v>9868</v>
      </c>
      <c r="P312" s="120"/>
    </row>
    <row r="313" spans="1:16">
      <c r="A313" s="214" t="s">
        <v>774</v>
      </c>
      <c r="B313" s="214" t="s">
        <v>777</v>
      </c>
      <c r="C313" s="222" t="s">
        <v>776</v>
      </c>
      <c r="D313" s="222" t="s">
        <v>778</v>
      </c>
      <c r="E313" s="222" t="s">
        <v>4411</v>
      </c>
      <c r="F313" s="214" t="s">
        <v>4412</v>
      </c>
      <c r="G313" s="214" t="s">
        <v>4413</v>
      </c>
      <c r="H313" s="214" t="s">
        <v>4414</v>
      </c>
      <c r="I313" s="214" t="s">
        <v>4415</v>
      </c>
      <c r="J313" s="214" t="s">
        <v>4416</v>
      </c>
      <c r="K313" s="214" t="s">
        <v>9267</v>
      </c>
      <c r="L313" s="214" t="s">
        <v>10516</v>
      </c>
      <c r="M313" s="214" t="s">
        <v>9869</v>
      </c>
      <c r="P313" s="120"/>
    </row>
    <row r="314" spans="1:16">
      <c r="A314" s="214" t="s">
        <v>779</v>
      </c>
      <c r="B314" s="214" t="s">
        <v>2606</v>
      </c>
      <c r="C314" s="222" t="s">
        <v>781</v>
      </c>
      <c r="D314" s="222" t="s">
        <v>782</v>
      </c>
      <c r="E314" s="222" t="s">
        <v>4417</v>
      </c>
      <c r="F314" s="214" t="s">
        <v>4418</v>
      </c>
      <c r="G314" s="214" t="s">
        <v>4419</v>
      </c>
      <c r="H314" s="214" t="s">
        <v>4417</v>
      </c>
      <c r="I314" s="214" t="s">
        <v>4420</v>
      </c>
      <c r="J314" s="214" t="s">
        <v>4421</v>
      </c>
      <c r="K314" s="223" t="s">
        <v>9268</v>
      </c>
      <c r="L314" s="214" t="s">
        <v>10517</v>
      </c>
      <c r="M314" s="214" t="s">
        <v>9870</v>
      </c>
      <c r="P314" s="120"/>
    </row>
    <row r="315" spans="1:16">
      <c r="A315" s="214" t="s">
        <v>783</v>
      </c>
      <c r="B315" s="214" t="s">
        <v>785</v>
      </c>
      <c r="C315" s="222" t="s">
        <v>784</v>
      </c>
      <c r="D315" s="222" t="s">
        <v>786</v>
      </c>
      <c r="E315" s="222" t="s">
        <v>4422</v>
      </c>
      <c r="F315" s="214" t="s">
        <v>4423</v>
      </c>
      <c r="G315" s="214" t="s">
        <v>4424</v>
      </c>
      <c r="H315" s="214" t="s">
        <v>4425</v>
      </c>
      <c r="I315" s="214" t="s">
        <v>4426</v>
      </c>
      <c r="J315" s="214" t="s">
        <v>4427</v>
      </c>
      <c r="K315" s="214" t="s">
        <v>9269</v>
      </c>
      <c r="L315" s="214" t="s">
        <v>10518</v>
      </c>
      <c r="M315" s="214" t="s">
        <v>9871</v>
      </c>
      <c r="P315" s="120"/>
    </row>
    <row r="316" spans="1:16">
      <c r="A316" s="215" t="s">
        <v>787</v>
      </c>
      <c r="B316" s="214" t="s">
        <v>790</v>
      </c>
      <c r="C316" s="222" t="s">
        <v>789</v>
      </c>
      <c r="D316" s="222" t="s">
        <v>791</v>
      </c>
      <c r="E316" s="222" t="s">
        <v>4428</v>
      </c>
      <c r="F316" s="214" t="s">
        <v>4429</v>
      </c>
      <c r="G316" s="214" t="s">
        <v>4430</v>
      </c>
      <c r="H316" s="214" t="s">
        <v>4431</v>
      </c>
      <c r="I316" s="214" t="s">
        <v>4432</v>
      </c>
      <c r="J316" s="214" t="s">
        <v>4433</v>
      </c>
      <c r="K316" s="214" t="s">
        <v>9270</v>
      </c>
      <c r="L316" s="214" t="s">
        <v>10519</v>
      </c>
      <c r="M316" s="214" t="s">
        <v>9872</v>
      </c>
      <c r="P316" s="120"/>
    </row>
    <row r="317" spans="1:16">
      <c r="A317" s="215" t="s">
        <v>792</v>
      </c>
      <c r="B317" s="214" t="s">
        <v>795</v>
      </c>
      <c r="C317" s="222" t="s">
        <v>794</v>
      </c>
      <c r="D317" s="222" t="s">
        <v>796</v>
      </c>
      <c r="E317" s="222" t="s">
        <v>4434</v>
      </c>
      <c r="F317" s="214" t="s">
        <v>4435</v>
      </c>
      <c r="G317" s="214" t="s">
        <v>4436</v>
      </c>
      <c r="H317" s="214" t="s">
        <v>4437</v>
      </c>
      <c r="I317" s="214" t="s">
        <v>4438</v>
      </c>
      <c r="J317" s="214" t="s">
        <v>4439</v>
      </c>
      <c r="K317" s="214" t="s">
        <v>9271</v>
      </c>
      <c r="L317" s="214" t="s">
        <v>10520</v>
      </c>
      <c r="M317" s="214" t="s">
        <v>9873</v>
      </c>
      <c r="P317" s="120"/>
    </row>
    <row r="318" spans="1:16">
      <c r="A318" s="214" t="s">
        <v>2321</v>
      </c>
      <c r="B318" s="214" t="s">
        <v>2607</v>
      </c>
      <c r="C318" s="222" t="s">
        <v>2706</v>
      </c>
      <c r="D318" s="222" t="s">
        <v>2781</v>
      </c>
      <c r="E318" s="222" t="s">
        <v>4440</v>
      </c>
      <c r="F318" s="214" t="s">
        <v>4441</v>
      </c>
      <c r="G318" s="214" t="s">
        <v>4442</v>
      </c>
      <c r="H318" s="214" t="s">
        <v>4443</v>
      </c>
      <c r="I318" s="214" t="s">
        <v>4444</v>
      </c>
      <c r="J318" s="214" t="s">
        <v>4445</v>
      </c>
      <c r="K318" s="214" t="s">
        <v>9272</v>
      </c>
      <c r="L318" s="214" t="s">
        <v>10521</v>
      </c>
      <c r="M318" s="214" t="s">
        <v>9874</v>
      </c>
      <c r="P318" s="120"/>
    </row>
    <row r="319" spans="1:16">
      <c r="A319" s="214" t="s">
        <v>11654</v>
      </c>
      <c r="B319" s="214" t="s">
        <v>11655</v>
      </c>
      <c r="C319" s="222" t="s">
        <v>11656</v>
      </c>
      <c r="D319" s="222" t="s">
        <v>11657</v>
      </c>
      <c r="E319" s="222" t="s">
        <v>11656</v>
      </c>
      <c r="F319" s="214" t="s">
        <v>11656</v>
      </c>
      <c r="G319" s="214" t="s">
        <v>11656</v>
      </c>
      <c r="H319" s="214" t="s">
        <v>11656</v>
      </c>
      <c r="I319" s="214" t="s">
        <v>11656</v>
      </c>
      <c r="J319" s="214" t="s">
        <v>11656</v>
      </c>
      <c r="K319" s="214" t="s">
        <v>11656</v>
      </c>
      <c r="L319" s="214" t="s">
        <v>11656</v>
      </c>
      <c r="M319" s="214" t="s">
        <v>11656</v>
      </c>
      <c r="P319" s="120"/>
    </row>
    <row r="320" spans="1:16">
      <c r="A320" s="214" t="s">
        <v>797</v>
      </c>
      <c r="B320" s="214" t="s">
        <v>800</v>
      </c>
      <c r="C320" s="222" t="s">
        <v>799</v>
      </c>
      <c r="D320" s="222" t="s">
        <v>801</v>
      </c>
      <c r="E320" s="222" t="s">
        <v>4446</v>
      </c>
      <c r="F320" s="214" t="s">
        <v>4447</v>
      </c>
      <c r="G320" s="214" t="s">
        <v>4448</v>
      </c>
      <c r="H320" s="214" t="s">
        <v>4449</v>
      </c>
      <c r="I320" s="214" t="s">
        <v>4450</v>
      </c>
      <c r="J320" s="214" t="s">
        <v>4451</v>
      </c>
      <c r="K320" s="214" t="s">
        <v>9273</v>
      </c>
      <c r="L320" s="214" t="s">
        <v>10522</v>
      </c>
      <c r="M320" s="214" t="s">
        <v>9875</v>
      </c>
      <c r="P320" s="120"/>
    </row>
    <row r="321" spans="1:16">
      <c r="A321" s="214" t="s">
        <v>802</v>
      </c>
      <c r="B321" s="214" t="s">
        <v>805</v>
      </c>
      <c r="C321" s="222" t="s">
        <v>804</v>
      </c>
      <c r="D321" s="222" t="s">
        <v>806</v>
      </c>
      <c r="E321" s="222" t="s">
        <v>4452</v>
      </c>
      <c r="F321" s="214" t="s">
        <v>4453</v>
      </c>
      <c r="G321" s="214" t="s">
        <v>4454</v>
      </c>
      <c r="H321" s="214" t="s">
        <v>4455</v>
      </c>
      <c r="I321" s="214" t="s">
        <v>4456</v>
      </c>
      <c r="J321" s="214" t="s">
        <v>4457</v>
      </c>
      <c r="K321" s="214" t="s">
        <v>9274</v>
      </c>
      <c r="L321" s="214" t="s">
        <v>10523</v>
      </c>
      <c r="M321" s="214" t="s">
        <v>9876</v>
      </c>
      <c r="P321" s="120"/>
    </row>
    <row r="322" spans="1:16">
      <c r="A322" s="214" t="s">
        <v>2322</v>
      </c>
      <c r="B322" s="214" t="s">
        <v>2608</v>
      </c>
      <c r="C322" s="222" t="s">
        <v>2707</v>
      </c>
      <c r="D322" s="222" t="s">
        <v>2782</v>
      </c>
      <c r="E322" s="222" t="s">
        <v>4458</v>
      </c>
      <c r="F322" s="214" t="s">
        <v>4459</v>
      </c>
      <c r="G322" s="214" t="s">
        <v>4460</v>
      </c>
      <c r="H322" s="214" t="s">
        <v>4461</v>
      </c>
      <c r="I322" s="214" t="s">
        <v>4462</v>
      </c>
      <c r="J322" s="214" t="s">
        <v>4463</v>
      </c>
      <c r="K322" s="214" t="s">
        <v>9275</v>
      </c>
      <c r="L322" s="214" t="s">
        <v>10524</v>
      </c>
      <c r="M322" s="214" t="s">
        <v>9877</v>
      </c>
      <c r="P322" s="120"/>
    </row>
    <row r="323" spans="1:16">
      <c r="A323" s="214" t="s">
        <v>807</v>
      </c>
      <c r="B323" s="214" t="s">
        <v>405</v>
      </c>
      <c r="C323" s="222" t="s">
        <v>404</v>
      </c>
      <c r="D323" s="222" t="s">
        <v>406</v>
      </c>
      <c r="E323" s="222" t="s">
        <v>3761</v>
      </c>
      <c r="F323" s="214" t="s">
        <v>3762</v>
      </c>
      <c r="G323" s="214" t="s">
        <v>4464</v>
      </c>
      <c r="H323" s="214" t="s">
        <v>3761</v>
      </c>
      <c r="I323" s="214" t="s">
        <v>3763</v>
      </c>
      <c r="J323" s="214" t="s">
        <v>3764</v>
      </c>
      <c r="K323" s="214" t="s">
        <v>9170</v>
      </c>
      <c r="L323" s="214" t="s">
        <v>10419</v>
      </c>
      <c r="M323" s="214" t="s">
        <v>9827</v>
      </c>
      <c r="P323" s="120"/>
    </row>
    <row r="324" spans="1:16">
      <c r="A324" s="214" t="s">
        <v>808</v>
      </c>
      <c r="B324" s="214" t="s">
        <v>810</v>
      </c>
      <c r="C324" s="222" t="s">
        <v>809</v>
      </c>
      <c r="D324" s="222" t="s">
        <v>811</v>
      </c>
      <c r="E324" s="222" t="s">
        <v>4465</v>
      </c>
      <c r="F324" s="214" t="s">
        <v>4466</v>
      </c>
      <c r="G324" s="214" t="s">
        <v>4467</v>
      </c>
      <c r="H324" s="214" t="s">
        <v>4468</v>
      </c>
      <c r="I324" s="214" t="s">
        <v>4469</v>
      </c>
      <c r="J324" s="214" t="s">
        <v>4470</v>
      </c>
      <c r="K324" s="214" t="s">
        <v>9276</v>
      </c>
      <c r="L324" s="214" t="s">
        <v>10525</v>
      </c>
      <c r="M324" s="214" t="s">
        <v>9878</v>
      </c>
      <c r="P324" s="120"/>
    </row>
    <row r="325" spans="1:16">
      <c r="A325" s="214" t="s">
        <v>812</v>
      </c>
      <c r="B325" s="214" t="s">
        <v>810</v>
      </c>
      <c r="C325" s="222" t="s">
        <v>809</v>
      </c>
      <c r="D325" s="222" t="s">
        <v>811</v>
      </c>
      <c r="E325" s="222" t="s">
        <v>4465</v>
      </c>
      <c r="F325" s="214" t="s">
        <v>4466</v>
      </c>
      <c r="G325" s="214" t="s">
        <v>4467</v>
      </c>
      <c r="H325" s="214" t="s">
        <v>4468</v>
      </c>
      <c r="I325" s="214" t="s">
        <v>4469</v>
      </c>
      <c r="J325" s="214" t="s">
        <v>4470</v>
      </c>
      <c r="K325" s="214" t="s">
        <v>9276</v>
      </c>
      <c r="L325" s="214" t="s">
        <v>10525</v>
      </c>
      <c r="M325" s="214" t="s">
        <v>9878</v>
      </c>
      <c r="P325" s="120"/>
    </row>
    <row r="326" spans="1:16">
      <c r="A326" s="214" t="s">
        <v>816</v>
      </c>
      <c r="B326" s="214" t="s">
        <v>814</v>
      </c>
      <c r="C326" s="222" t="s">
        <v>813</v>
      </c>
      <c r="D326" s="222" t="s">
        <v>815</v>
      </c>
      <c r="E326" s="222" t="s">
        <v>4471</v>
      </c>
      <c r="F326" s="214" t="s">
        <v>4472</v>
      </c>
      <c r="G326" s="214" t="s">
        <v>4473</v>
      </c>
      <c r="H326" s="214" t="s">
        <v>4474</v>
      </c>
      <c r="I326" s="214" t="s">
        <v>4475</v>
      </c>
      <c r="J326" s="214" t="s">
        <v>4476</v>
      </c>
      <c r="K326" s="214" t="s">
        <v>9277</v>
      </c>
      <c r="L326" s="214" t="s">
        <v>10526</v>
      </c>
      <c r="M326" s="214" t="s">
        <v>9879</v>
      </c>
      <c r="P326" s="120"/>
    </row>
    <row r="327" spans="1:16">
      <c r="A327" s="214" t="s">
        <v>817</v>
      </c>
      <c r="B327" s="214" t="s">
        <v>814</v>
      </c>
      <c r="C327" s="222" t="s">
        <v>813</v>
      </c>
      <c r="D327" s="222" t="s">
        <v>815</v>
      </c>
      <c r="E327" s="222" t="s">
        <v>4471</v>
      </c>
      <c r="F327" s="214" t="s">
        <v>4472</v>
      </c>
      <c r="G327" s="214" t="s">
        <v>4473</v>
      </c>
      <c r="H327" s="214" t="s">
        <v>4474</v>
      </c>
      <c r="I327" s="214" t="s">
        <v>4475</v>
      </c>
      <c r="J327" s="214" t="s">
        <v>4476</v>
      </c>
      <c r="K327" s="214" t="s">
        <v>9277</v>
      </c>
      <c r="L327" s="214" t="s">
        <v>10526</v>
      </c>
      <c r="M327" s="214" t="s">
        <v>9879</v>
      </c>
      <c r="P327" s="120"/>
    </row>
    <row r="328" spans="1:16">
      <c r="A328" s="215" t="s">
        <v>2323</v>
      </c>
      <c r="B328" s="214" t="s">
        <v>814</v>
      </c>
      <c r="C328" s="222" t="s">
        <v>813</v>
      </c>
      <c r="D328" s="222" t="s">
        <v>815</v>
      </c>
      <c r="E328" s="222" t="s">
        <v>4471</v>
      </c>
      <c r="F328" s="214" t="s">
        <v>4472</v>
      </c>
      <c r="G328" s="214" t="s">
        <v>4473</v>
      </c>
      <c r="H328" s="214" t="s">
        <v>4474</v>
      </c>
      <c r="I328" s="214" t="s">
        <v>4475</v>
      </c>
      <c r="J328" s="214" t="s">
        <v>4476</v>
      </c>
      <c r="K328" s="214" t="s">
        <v>9277</v>
      </c>
      <c r="L328" s="214" t="s">
        <v>10526</v>
      </c>
      <c r="M328" s="214" t="s">
        <v>9879</v>
      </c>
      <c r="P328" s="120"/>
    </row>
    <row r="329" spans="1:16">
      <c r="A329" s="215" t="s">
        <v>2324</v>
      </c>
      <c r="B329" s="214" t="s">
        <v>1541</v>
      </c>
      <c r="C329" s="222" t="s">
        <v>1540</v>
      </c>
      <c r="D329" s="222" t="s">
        <v>2783</v>
      </c>
      <c r="E329" s="222" t="s">
        <v>4477</v>
      </c>
      <c r="F329" s="214" t="s">
        <v>4478</v>
      </c>
      <c r="G329" s="214" t="s">
        <v>4479</v>
      </c>
      <c r="H329" s="214" t="s">
        <v>4480</v>
      </c>
      <c r="I329" s="214" t="s">
        <v>4481</v>
      </c>
      <c r="J329" s="214" t="s">
        <v>4482</v>
      </c>
      <c r="K329" s="214" t="s">
        <v>9278</v>
      </c>
      <c r="L329" s="214" t="s">
        <v>10527</v>
      </c>
      <c r="M329" s="214" t="s">
        <v>9880</v>
      </c>
      <c r="P329" s="120"/>
    </row>
    <row r="330" spans="1:16">
      <c r="A330" s="214" t="s">
        <v>2325</v>
      </c>
      <c r="B330" s="214" t="s">
        <v>828</v>
      </c>
      <c r="C330" s="222" t="s">
        <v>827</v>
      </c>
      <c r="D330" s="222" t="s">
        <v>829</v>
      </c>
      <c r="E330" s="222" t="s">
        <v>4483</v>
      </c>
      <c r="F330" s="214" t="s">
        <v>4484</v>
      </c>
      <c r="G330" s="214" t="s">
        <v>4485</v>
      </c>
      <c r="H330" s="214" t="s">
        <v>4483</v>
      </c>
      <c r="I330" s="214" t="s">
        <v>4486</v>
      </c>
      <c r="J330" s="214" t="s">
        <v>4487</v>
      </c>
      <c r="K330" s="214" t="s">
        <v>9279</v>
      </c>
      <c r="L330" s="214" t="s">
        <v>10528</v>
      </c>
      <c r="M330" s="214" t="s">
        <v>9881</v>
      </c>
      <c r="P330" s="120"/>
    </row>
    <row r="331" spans="1:16">
      <c r="A331" s="214" t="s">
        <v>831</v>
      </c>
      <c r="B331" s="214" t="s">
        <v>832</v>
      </c>
      <c r="C331" s="222" t="s">
        <v>771</v>
      </c>
      <c r="D331" s="214" t="s">
        <v>773</v>
      </c>
      <c r="E331" s="214" t="s">
        <v>4488</v>
      </c>
      <c r="F331" s="214" t="s">
        <v>4489</v>
      </c>
      <c r="G331" s="214" t="s">
        <v>4490</v>
      </c>
      <c r="H331" s="214" t="s">
        <v>4491</v>
      </c>
      <c r="I331" s="214" t="s">
        <v>4492</v>
      </c>
      <c r="J331" s="214" t="s">
        <v>4493</v>
      </c>
      <c r="K331" s="214" t="s">
        <v>9280</v>
      </c>
      <c r="L331" s="214" t="s">
        <v>10529</v>
      </c>
      <c r="M331" s="214" t="s">
        <v>9882</v>
      </c>
      <c r="P331" s="120"/>
    </row>
    <row r="332" spans="1:16">
      <c r="A332" s="214" t="s">
        <v>833</v>
      </c>
      <c r="B332" s="214" t="s">
        <v>835</v>
      </c>
      <c r="C332" s="222" t="s">
        <v>834</v>
      </c>
      <c r="D332" s="214" t="s">
        <v>836</v>
      </c>
      <c r="E332" s="214" t="s">
        <v>4494</v>
      </c>
      <c r="F332" s="214" t="s">
        <v>4495</v>
      </c>
      <c r="G332" s="214" t="s">
        <v>4496</v>
      </c>
      <c r="H332" s="214" t="s">
        <v>4497</v>
      </c>
      <c r="I332" s="214" t="s">
        <v>4498</v>
      </c>
      <c r="J332" s="214" t="s">
        <v>4499</v>
      </c>
      <c r="K332" s="214" t="s">
        <v>9281</v>
      </c>
      <c r="L332" s="214" t="s">
        <v>10530</v>
      </c>
      <c r="M332" s="214" t="s">
        <v>9883</v>
      </c>
      <c r="P332" s="120"/>
    </row>
    <row r="333" spans="1:16">
      <c r="A333" s="214" t="s">
        <v>837</v>
      </c>
      <c r="B333" s="230" t="s">
        <v>822</v>
      </c>
      <c r="C333" s="222" t="s">
        <v>821</v>
      </c>
      <c r="D333" s="214" t="s">
        <v>823</v>
      </c>
      <c r="E333" s="224" t="s">
        <v>4500</v>
      </c>
      <c r="F333" s="214" t="s">
        <v>4501</v>
      </c>
      <c r="G333" s="214" t="s">
        <v>4502</v>
      </c>
      <c r="H333" s="214" t="s">
        <v>4503</v>
      </c>
      <c r="I333" s="214" t="s">
        <v>4504</v>
      </c>
      <c r="J333" s="214" t="s">
        <v>4505</v>
      </c>
      <c r="K333" s="214" t="s">
        <v>9282</v>
      </c>
      <c r="L333" s="214" t="s">
        <v>10531</v>
      </c>
      <c r="M333" s="214" t="s">
        <v>9884</v>
      </c>
      <c r="P333" s="120"/>
    </row>
    <row r="334" spans="1:16">
      <c r="A334" s="214" t="s">
        <v>838</v>
      </c>
      <c r="B334" s="214" t="s">
        <v>819</v>
      </c>
      <c r="C334" s="222" t="s">
        <v>818</v>
      </c>
      <c r="D334" s="222" t="s">
        <v>820</v>
      </c>
      <c r="E334" s="222" t="s">
        <v>4506</v>
      </c>
      <c r="F334" s="214" t="s">
        <v>4507</v>
      </c>
      <c r="G334" s="214" t="s">
        <v>4508</v>
      </c>
      <c r="H334" s="214" t="s">
        <v>4509</v>
      </c>
      <c r="I334" s="214" t="s">
        <v>4510</v>
      </c>
      <c r="J334" s="214" t="s">
        <v>4511</v>
      </c>
      <c r="K334" s="214" t="s">
        <v>9283</v>
      </c>
      <c r="L334" s="214" t="s">
        <v>10532</v>
      </c>
      <c r="M334" s="214" t="s">
        <v>9885</v>
      </c>
      <c r="P334" s="120"/>
    </row>
    <row r="335" spans="1:16">
      <c r="A335" s="214" t="s">
        <v>839</v>
      </c>
      <c r="B335" s="214" t="s">
        <v>825</v>
      </c>
      <c r="C335" s="222" t="s">
        <v>824</v>
      </c>
      <c r="D335" s="222" t="s">
        <v>826</v>
      </c>
      <c r="E335" s="222" t="s">
        <v>4512</v>
      </c>
      <c r="F335" s="214" t="s">
        <v>4513</v>
      </c>
      <c r="G335" s="214" t="s">
        <v>4514</v>
      </c>
      <c r="H335" s="214" t="s">
        <v>4515</v>
      </c>
      <c r="I335" s="214" t="s">
        <v>4516</v>
      </c>
      <c r="J335" s="214" t="s">
        <v>4517</v>
      </c>
      <c r="K335" s="214" t="s">
        <v>9284</v>
      </c>
      <c r="L335" s="214" t="s">
        <v>10533</v>
      </c>
      <c r="M335" s="214" t="s">
        <v>9886</v>
      </c>
      <c r="P335" s="120"/>
    </row>
    <row r="336" spans="1:16">
      <c r="A336" s="214" t="s">
        <v>840</v>
      </c>
      <c r="B336" s="214" t="s">
        <v>825</v>
      </c>
      <c r="C336" s="222" t="s">
        <v>824</v>
      </c>
      <c r="D336" s="222" t="s">
        <v>826</v>
      </c>
      <c r="E336" s="222" t="s">
        <v>4512</v>
      </c>
      <c r="F336" s="214" t="s">
        <v>4513</v>
      </c>
      <c r="G336" s="214" t="s">
        <v>4514</v>
      </c>
      <c r="H336" s="214" t="s">
        <v>4515</v>
      </c>
      <c r="I336" s="214" t="s">
        <v>4516</v>
      </c>
      <c r="J336" s="214" t="s">
        <v>4517</v>
      </c>
      <c r="K336" s="214" t="s">
        <v>9284</v>
      </c>
      <c r="L336" s="214" t="s">
        <v>10533</v>
      </c>
      <c r="M336" s="214" t="s">
        <v>9886</v>
      </c>
      <c r="P336" s="120"/>
    </row>
    <row r="337" spans="1:16">
      <c r="A337" s="214" t="s">
        <v>2326</v>
      </c>
      <c r="B337" s="214" t="s">
        <v>1541</v>
      </c>
      <c r="C337" s="222" t="s">
        <v>1540</v>
      </c>
      <c r="D337" s="222" t="s">
        <v>2783</v>
      </c>
      <c r="E337" s="222" t="s">
        <v>4477</v>
      </c>
      <c r="F337" s="214" t="s">
        <v>4478</v>
      </c>
      <c r="G337" s="214" t="s">
        <v>4479</v>
      </c>
      <c r="H337" s="214" t="s">
        <v>4480</v>
      </c>
      <c r="I337" s="214" t="s">
        <v>4481</v>
      </c>
      <c r="J337" s="214" t="s">
        <v>4482</v>
      </c>
      <c r="K337" s="214" t="s">
        <v>9278</v>
      </c>
      <c r="L337" s="214" t="s">
        <v>10527</v>
      </c>
      <c r="M337" s="214" t="s">
        <v>9880</v>
      </c>
      <c r="P337" s="120"/>
    </row>
    <row r="338" spans="1:16">
      <c r="A338" s="214" t="s">
        <v>841</v>
      </c>
      <c r="B338" s="214" t="s">
        <v>828</v>
      </c>
      <c r="C338" s="222" t="s">
        <v>827</v>
      </c>
      <c r="D338" s="222" t="s">
        <v>829</v>
      </c>
      <c r="E338" s="222" t="s">
        <v>4483</v>
      </c>
      <c r="F338" s="214" t="s">
        <v>4484</v>
      </c>
      <c r="G338" s="214" t="s">
        <v>4485</v>
      </c>
      <c r="H338" s="214" t="s">
        <v>4483</v>
      </c>
      <c r="I338" s="214" t="s">
        <v>4486</v>
      </c>
      <c r="J338" s="214" t="s">
        <v>4487</v>
      </c>
      <c r="K338" s="214" t="s">
        <v>9279</v>
      </c>
      <c r="L338" s="214" t="s">
        <v>10528</v>
      </c>
      <c r="M338" s="214" t="s">
        <v>9881</v>
      </c>
      <c r="P338" s="120"/>
    </row>
    <row r="339" spans="1:16">
      <c r="A339" s="214" t="s">
        <v>842</v>
      </c>
      <c r="B339" s="214" t="s">
        <v>832</v>
      </c>
      <c r="C339" s="222" t="s">
        <v>771</v>
      </c>
      <c r="D339" s="222" t="s">
        <v>773</v>
      </c>
      <c r="E339" s="222" t="s">
        <v>4488</v>
      </c>
      <c r="F339" s="214" t="s">
        <v>4489</v>
      </c>
      <c r="G339" s="214" t="s">
        <v>4490</v>
      </c>
      <c r="H339" s="214" t="s">
        <v>4491</v>
      </c>
      <c r="I339" s="214" t="s">
        <v>4492</v>
      </c>
      <c r="J339" s="214" t="s">
        <v>4493</v>
      </c>
      <c r="K339" s="214" t="s">
        <v>9280</v>
      </c>
      <c r="L339" s="214" t="s">
        <v>10529</v>
      </c>
      <c r="M339" s="214" t="s">
        <v>9882</v>
      </c>
      <c r="P339" s="120"/>
    </row>
    <row r="340" spans="1:16">
      <c r="A340" s="214" t="s">
        <v>843</v>
      </c>
      <c r="B340" s="214" t="s">
        <v>2609</v>
      </c>
      <c r="C340" s="222" t="s">
        <v>844</v>
      </c>
      <c r="D340" s="222" t="s">
        <v>845</v>
      </c>
      <c r="E340" s="222" t="s">
        <v>4518</v>
      </c>
      <c r="F340" s="214" t="s">
        <v>4519</v>
      </c>
      <c r="G340" s="214" t="s">
        <v>4520</v>
      </c>
      <c r="H340" s="214" t="s">
        <v>4521</v>
      </c>
      <c r="I340" s="214" t="s">
        <v>4522</v>
      </c>
      <c r="J340" s="214" t="s">
        <v>4523</v>
      </c>
      <c r="K340" s="214" t="s">
        <v>9285</v>
      </c>
      <c r="L340" s="214" t="s">
        <v>10534</v>
      </c>
      <c r="M340" s="214" t="s">
        <v>9887</v>
      </c>
      <c r="P340" s="120"/>
    </row>
    <row r="341" spans="1:16">
      <c r="A341" s="214" t="s">
        <v>2327</v>
      </c>
      <c r="B341" s="214" t="s">
        <v>2610</v>
      </c>
      <c r="C341" s="222" t="s">
        <v>2708</v>
      </c>
      <c r="D341" s="222" t="s">
        <v>2784</v>
      </c>
      <c r="E341" s="222" t="s">
        <v>4524</v>
      </c>
      <c r="F341" s="214" t="s">
        <v>4525</v>
      </c>
      <c r="G341" s="214" t="s">
        <v>4526</v>
      </c>
      <c r="H341" s="214" t="s">
        <v>4521</v>
      </c>
      <c r="I341" s="214" t="s">
        <v>4527</v>
      </c>
      <c r="J341" s="214" t="s">
        <v>4528</v>
      </c>
      <c r="K341" s="214" t="s">
        <v>9286</v>
      </c>
      <c r="L341" s="214" t="s">
        <v>10535</v>
      </c>
      <c r="M341" s="214" t="s">
        <v>9888</v>
      </c>
      <c r="P341" s="120"/>
    </row>
    <row r="342" spans="1:16">
      <c r="A342" s="214" t="s">
        <v>2328</v>
      </c>
      <c r="B342" s="214" t="s">
        <v>832</v>
      </c>
      <c r="C342" s="222" t="s">
        <v>771</v>
      </c>
      <c r="D342" s="222" t="s">
        <v>773</v>
      </c>
      <c r="E342" s="222" t="s">
        <v>4488</v>
      </c>
      <c r="F342" s="214" t="s">
        <v>4489</v>
      </c>
      <c r="G342" s="214" t="s">
        <v>4529</v>
      </c>
      <c r="H342" s="214" t="s">
        <v>4491</v>
      </c>
      <c r="I342" s="214" t="s">
        <v>4492</v>
      </c>
      <c r="J342" s="214" t="s">
        <v>4530</v>
      </c>
      <c r="K342" s="214" t="s">
        <v>9280</v>
      </c>
      <c r="L342" s="214" t="s">
        <v>10529</v>
      </c>
      <c r="M342" s="214" t="s">
        <v>9882</v>
      </c>
      <c r="P342" s="120"/>
    </row>
    <row r="343" spans="1:16">
      <c r="A343" s="214" t="s">
        <v>846</v>
      </c>
      <c r="B343" s="214" t="s">
        <v>832</v>
      </c>
      <c r="C343" s="222" t="s">
        <v>771</v>
      </c>
      <c r="D343" s="222" t="s">
        <v>773</v>
      </c>
      <c r="E343" s="222" t="s">
        <v>4488</v>
      </c>
      <c r="F343" s="214" t="s">
        <v>4489</v>
      </c>
      <c r="G343" s="214" t="s">
        <v>4531</v>
      </c>
      <c r="H343" s="214" t="s">
        <v>4491</v>
      </c>
      <c r="I343" s="214" t="s">
        <v>4492</v>
      </c>
      <c r="J343" s="214" t="s">
        <v>4530</v>
      </c>
      <c r="K343" s="214" t="s">
        <v>9280</v>
      </c>
      <c r="L343" s="214" t="s">
        <v>10529</v>
      </c>
      <c r="M343" s="214" t="s">
        <v>9882</v>
      </c>
      <c r="P343" s="120"/>
    </row>
    <row r="344" spans="1:16">
      <c r="A344" s="214" t="s">
        <v>880</v>
      </c>
      <c r="B344" s="214" t="s">
        <v>878</v>
      </c>
      <c r="C344" s="222" t="s">
        <v>877</v>
      </c>
      <c r="D344" s="222" t="s">
        <v>879</v>
      </c>
      <c r="E344" s="222" t="s">
        <v>4532</v>
      </c>
      <c r="F344" s="214" t="s">
        <v>877</v>
      </c>
      <c r="G344" s="214" t="s">
        <v>4533</v>
      </c>
      <c r="H344" s="214" t="s">
        <v>4534</v>
      </c>
      <c r="I344" s="214" t="s">
        <v>4535</v>
      </c>
      <c r="J344" s="214" t="s">
        <v>4536</v>
      </c>
      <c r="K344" s="214"/>
      <c r="L344" s="214" t="s">
        <v>10536</v>
      </c>
      <c r="M344" s="214" t="s">
        <v>9889</v>
      </c>
      <c r="P344" s="120"/>
    </row>
    <row r="345" spans="1:16">
      <c r="A345" s="214" t="s">
        <v>881</v>
      </c>
      <c r="B345" s="214" t="s">
        <v>878</v>
      </c>
      <c r="C345" s="222" t="s">
        <v>877</v>
      </c>
      <c r="D345" s="222" t="s">
        <v>879</v>
      </c>
      <c r="E345" s="222" t="s">
        <v>4532</v>
      </c>
      <c r="F345" s="214" t="s">
        <v>877</v>
      </c>
      <c r="G345" s="214" t="s">
        <v>4533</v>
      </c>
      <c r="H345" s="214" t="s">
        <v>4534</v>
      </c>
      <c r="I345" s="214" t="s">
        <v>4535</v>
      </c>
      <c r="J345" s="214" t="s">
        <v>4536</v>
      </c>
      <c r="K345" s="214"/>
      <c r="L345" s="214" t="s">
        <v>10536</v>
      </c>
      <c r="M345" s="214" t="s">
        <v>9889</v>
      </c>
      <c r="P345" s="120"/>
    </row>
    <row r="346" spans="1:16">
      <c r="A346" s="214" t="s">
        <v>882</v>
      </c>
      <c r="B346" s="214" t="s">
        <v>878</v>
      </c>
      <c r="C346" s="222" t="s">
        <v>877</v>
      </c>
      <c r="D346" s="222" t="s">
        <v>879</v>
      </c>
      <c r="E346" s="222" t="s">
        <v>4532</v>
      </c>
      <c r="F346" s="214" t="s">
        <v>877</v>
      </c>
      <c r="G346" s="214" t="s">
        <v>4533</v>
      </c>
      <c r="H346" s="214" t="s">
        <v>4534</v>
      </c>
      <c r="I346" s="214" t="s">
        <v>4535</v>
      </c>
      <c r="J346" s="214" t="s">
        <v>4536</v>
      </c>
      <c r="K346" s="214"/>
      <c r="L346" s="214" t="s">
        <v>10536</v>
      </c>
      <c r="M346" s="214" t="s">
        <v>9889</v>
      </c>
      <c r="P346" s="120"/>
    </row>
    <row r="347" spans="1:16">
      <c r="A347" s="214" t="s">
        <v>883</v>
      </c>
      <c r="B347" s="214" t="s">
        <v>878</v>
      </c>
      <c r="C347" s="222" t="s">
        <v>877</v>
      </c>
      <c r="D347" s="222" t="s">
        <v>879</v>
      </c>
      <c r="E347" s="222" t="s">
        <v>4532</v>
      </c>
      <c r="F347" s="214" t="s">
        <v>877</v>
      </c>
      <c r="G347" s="214" t="s">
        <v>4533</v>
      </c>
      <c r="H347" s="214" t="s">
        <v>4534</v>
      </c>
      <c r="I347" s="214" t="s">
        <v>4535</v>
      </c>
      <c r="J347" s="214" t="s">
        <v>4536</v>
      </c>
      <c r="K347" s="214"/>
      <c r="L347" s="214" t="s">
        <v>10536</v>
      </c>
      <c r="M347" s="214" t="s">
        <v>9889</v>
      </c>
      <c r="P347" s="120"/>
    </row>
    <row r="348" spans="1:16">
      <c r="A348" s="214" t="s">
        <v>884</v>
      </c>
      <c r="B348" s="214" t="s">
        <v>878</v>
      </c>
      <c r="C348" s="222" t="s">
        <v>877</v>
      </c>
      <c r="D348" s="222" t="s">
        <v>879</v>
      </c>
      <c r="E348" s="222" t="s">
        <v>4532</v>
      </c>
      <c r="F348" s="214" t="s">
        <v>877</v>
      </c>
      <c r="G348" s="214" t="s">
        <v>4533</v>
      </c>
      <c r="H348" s="214" t="s">
        <v>4534</v>
      </c>
      <c r="I348" s="214" t="s">
        <v>4535</v>
      </c>
      <c r="J348" s="214" t="s">
        <v>4536</v>
      </c>
      <c r="K348" s="214"/>
      <c r="L348" s="214" t="s">
        <v>10536</v>
      </c>
      <c r="M348" s="214" t="s">
        <v>9889</v>
      </c>
      <c r="P348" s="120"/>
    </row>
    <row r="349" spans="1:16">
      <c r="A349" s="214" t="s">
        <v>885</v>
      </c>
      <c r="B349" s="214" t="s">
        <v>878</v>
      </c>
      <c r="C349" s="222" t="s">
        <v>877</v>
      </c>
      <c r="D349" s="222" t="s">
        <v>879</v>
      </c>
      <c r="E349" s="222" t="s">
        <v>4532</v>
      </c>
      <c r="F349" s="214" t="s">
        <v>877</v>
      </c>
      <c r="G349" s="214" t="s">
        <v>4533</v>
      </c>
      <c r="H349" s="214" t="s">
        <v>4534</v>
      </c>
      <c r="I349" s="214" t="s">
        <v>4535</v>
      </c>
      <c r="J349" s="214" t="s">
        <v>4536</v>
      </c>
      <c r="K349" s="214"/>
      <c r="L349" s="214" t="s">
        <v>10536</v>
      </c>
      <c r="M349" s="214" t="s">
        <v>9889</v>
      </c>
      <c r="P349" s="120"/>
    </row>
    <row r="350" spans="1:16">
      <c r="A350" s="214" t="s">
        <v>886</v>
      </c>
      <c r="B350" s="214" t="s">
        <v>878</v>
      </c>
      <c r="C350" s="222" t="s">
        <v>877</v>
      </c>
      <c r="D350" s="222" t="s">
        <v>879</v>
      </c>
      <c r="E350" s="222" t="s">
        <v>4532</v>
      </c>
      <c r="F350" s="214" t="s">
        <v>877</v>
      </c>
      <c r="G350" s="214" t="s">
        <v>4533</v>
      </c>
      <c r="H350" s="214" t="s">
        <v>4534</v>
      </c>
      <c r="I350" s="214" t="s">
        <v>4535</v>
      </c>
      <c r="J350" s="214" t="s">
        <v>4536</v>
      </c>
      <c r="K350" s="214"/>
      <c r="L350" s="214" t="s">
        <v>10536</v>
      </c>
      <c r="M350" s="214" t="s">
        <v>9889</v>
      </c>
      <c r="P350" s="120"/>
    </row>
    <row r="351" spans="1:16">
      <c r="A351" s="214" t="s">
        <v>887</v>
      </c>
      <c r="B351" s="214" t="s">
        <v>878</v>
      </c>
      <c r="C351" s="222" t="s">
        <v>877</v>
      </c>
      <c r="D351" s="222" t="s">
        <v>879</v>
      </c>
      <c r="E351" s="222" t="s">
        <v>4532</v>
      </c>
      <c r="F351" s="214" t="s">
        <v>877</v>
      </c>
      <c r="G351" s="214" t="s">
        <v>4533</v>
      </c>
      <c r="H351" s="214" t="s">
        <v>4534</v>
      </c>
      <c r="I351" s="214" t="s">
        <v>4535</v>
      </c>
      <c r="J351" s="214" t="s">
        <v>4536</v>
      </c>
      <c r="K351" s="214"/>
      <c r="L351" s="214" t="s">
        <v>10536</v>
      </c>
      <c r="M351" s="214" t="s">
        <v>9889</v>
      </c>
      <c r="P351" s="120"/>
    </row>
    <row r="352" spans="1:16">
      <c r="A352" s="214" t="s">
        <v>888</v>
      </c>
      <c r="B352" s="214" t="s">
        <v>878</v>
      </c>
      <c r="C352" s="222" t="s">
        <v>877</v>
      </c>
      <c r="D352" s="222" t="s">
        <v>879</v>
      </c>
      <c r="E352" s="222" t="s">
        <v>4532</v>
      </c>
      <c r="F352" s="214" t="s">
        <v>877</v>
      </c>
      <c r="G352" s="214" t="s">
        <v>4533</v>
      </c>
      <c r="H352" s="214" t="s">
        <v>4534</v>
      </c>
      <c r="I352" s="214" t="s">
        <v>4535</v>
      </c>
      <c r="J352" s="214" t="s">
        <v>4536</v>
      </c>
      <c r="K352" s="214"/>
      <c r="L352" s="214" t="s">
        <v>10536</v>
      </c>
      <c r="M352" s="214" t="s">
        <v>9889</v>
      </c>
      <c r="P352" s="120"/>
    </row>
    <row r="353" spans="1:16">
      <c r="A353" s="214" t="s">
        <v>889</v>
      </c>
      <c r="B353" s="214" t="s">
        <v>891</v>
      </c>
      <c r="C353" s="222" t="s">
        <v>890</v>
      </c>
      <c r="D353" s="222" t="s">
        <v>892</v>
      </c>
      <c r="E353" s="222" t="s">
        <v>4537</v>
      </c>
      <c r="F353" s="214" t="s">
        <v>890</v>
      </c>
      <c r="G353" s="214" t="s">
        <v>4538</v>
      </c>
      <c r="H353" s="214" t="s">
        <v>4539</v>
      </c>
      <c r="I353" s="214" t="s">
        <v>4540</v>
      </c>
      <c r="J353" s="214" t="s">
        <v>4541</v>
      </c>
      <c r="K353" s="214"/>
      <c r="L353" s="214" t="s">
        <v>10537</v>
      </c>
      <c r="M353" s="214" t="s">
        <v>9890</v>
      </c>
      <c r="P353" s="120"/>
    </row>
    <row r="354" spans="1:16">
      <c r="A354" s="214" t="s">
        <v>893</v>
      </c>
      <c r="B354" s="214" t="s">
        <v>891</v>
      </c>
      <c r="C354" s="222" t="s">
        <v>890</v>
      </c>
      <c r="D354" s="222" t="s">
        <v>892</v>
      </c>
      <c r="E354" s="222" t="s">
        <v>4537</v>
      </c>
      <c r="F354" s="214" t="s">
        <v>890</v>
      </c>
      <c r="G354" s="214" t="s">
        <v>4538</v>
      </c>
      <c r="H354" s="214" t="s">
        <v>4539</v>
      </c>
      <c r="I354" s="214" t="s">
        <v>4540</v>
      </c>
      <c r="J354" s="214" t="s">
        <v>4541</v>
      </c>
      <c r="K354" s="214"/>
      <c r="L354" s="214" t="s">
        <v>10537</v>
      </c>
      <c r="M354" s="214" t="s">
        <v>9890</v>
      </c>
      <c r="P354" s="120"/>
    </row>
    <row r="355" spans="1:16">
      <c r="A355" s="214" t="s">
        <v>895</v>
      </c>
      <c r="B355" s="214" t="s">
        <v>891</v>
      </c>
      <c r="C355" s="222" t="s">
        <v>890</v>
      </c>
      <c r="D355" s="222" t="s">
        <v>892</v>
      </c>
      <c r="E355" s="222" t="s">
        <v>4537</v>
      </c>
      <c r="F355" s="214" t="s">
        <v>890</v>
      </c>
      <c r="G355" s="214" t="s">
        <v>4538</v>
      </c>
      <c r="H355" s="214" t="s">
        <v>4539</v>
      </c>
      <c r="I355" s="214" t="s">
        <v>4540</v>
      </c>
      <c r="J355" s="214" t="s">
        <v>4541</v>
      </c>
      <c r="K355" s="214"/>
      <c r="L355" s="214" t="s">
        <v>10537</v>
      </c>
      <c r="M355" s="214" t="s">
        <v>9890</v>
      </c>
      <c r="P355" s="120"/>
    </row>
    <row r="356" spans="1:16">
      <c r="A356" s="214" t="s">
        <v>897</v>
      </c>
      <c r="B356" s="214" t="s">
        <v>900</v>
      </c>
      <c r="C356" s="222" t="s">
        <v>899</v>
      </c>
      <c r="D356" s="222" t="s">
        <v>901</v>
      </c>
      <c r="E356" s="222" t="s">
        <v>4542</v>
      </c>
      <c r="F356" s="214" t="s">
        <v>4543</v>
      </c>
      <c r="G356" s="214" t="s">
        <v>4544</v>
      </c>
      <c r="H356" s="214" t="s">
        <v>4545</v>
      </c>
      <c r="I356" s="214" t="s">
        <v>4546</v>
      </c>
      <c r="J356" s="214" t="s">
        <v>4547</v>
      </c>
      <c r="K356" s="214"/>
      <c r="L356" s="214" t="s">
        <v>10538</v>
      </c>
      <c r="M356" s="214" t="s">
        <v>9891</v>
      </c>
      <c r="P356" s="120"/>
    </row>
    <row r="357" spans="1:16">
      <c r="A357" s="214" t="s">
        <v>902</v>
      </c>
      <c r="B357" s="214" t="s">
        <v>900</v>
      </c>
      <c r="C357" s="222" t="s">
        <v>899</v>
      </c>
      <c r="D357" s="222" t="s">
        <v>901</v>
      </c>
      <c r="E357" s="222" t="s">
        <v>4542</v>
      </c>
      <c r="F357" s="214" t="s">
        <v>4543</v>
      </c>
      <c r="G357" s="214" t="s">
        <v>4544</v>
      </c>
      <c r="H357" s="214" t="s">
        <v>4545</v>
      </c>
      <c r="I357" s="214" t="s">
        <v>4546</v>
      </c>
      <c r="J357" s="214" t="s">
        <v>4547</v>
      </c>
      <c r="K357" s="214"/>
      <c r="L357" s="214" t="s">
        <v>10538</v>
      </c>
      <c r="M357" s="214" t="s">
        <v>9891</v>
      </c>
      <c r="P357" s="120"/>
    </row>
    <row r="358" spans="1:16">
      <c r="A358" s="214" t="s">
        <v>903</v>
      </c>
      <c r="B358" s="214" t="s">
        <v>900</v>
      </c>
      <c r="C358" s="222" t="s">
        <v>899</v>
      </c>
      <c r="D358" s="222" t="s">
        <v>901</v>
      </c>
      <c r="E358" s="222" t="s">
        <v>4542</v>
      </c>
      <c r="F358" s="214" t="s">
        <v>4543</v>
      </c>
      <c r="G358" s="214" t="s">
        <v>4544</v>
      </c>
      <c r="H358" s="214" t="s">
        <v>4545</v>
      </c>
      <c r="I358" s="214" t="s">
        <v>4546</v>
      </c>
      <c r="J358" s="214" t="s">
        <v>4547</v>
      </c>
      <c r="K358" s="214"/>
      <c r="L358" s="214" t="s">
        <v>10538</v>
      </c>
      <c r="M358" s="214" t="s">
        <v>9891</v>
      </c>
      <c r="P358" s="120"/>
    </row>
    <row r="359" spans="1:16">
      <c r="A359" s="214" t="s">
        <v>905</v>
      </c>
      <c r="B359" s="214" t="s">
        <v>907</v>
      </c>
      <c r="C359" s="222" t="s">
        <v>906</v>
      </c>
      <c r="D359" s="222" t="s">
        <v>908</v>
      </c>
      <c r="E359" s="222" t="s">
        <v>4548</v>
      </c>
      <c r="F359" s="214" t="s">
        <v>4549</v>
      </c>
      <c r="G359" s="214" t="s">
        <v>4550</v>
      </c>
      <c r="H359" s="214" t="s">
        <v>4551</v>
      </c>
      <c r="I359" s="214" t="s">
        <v>4552</v>
      </c>
      <c r="J359" s="214" t="s">
        <v>4553</v>
      </c>
      <c r="K359" s="214"/>
      <c r="L359" s="214" t="s">
        <v>10539</v>
      </c>
      <c r="M359" s="214" t="s">
        <v>9892</v>
      </c>
      <c r="P359" s="120"/>
    </row>
    <row r="360" spans="1:16">
      <c r="A360" s="214" t="s">
        <v>909</v>
      </c>
      <c r="B360" s="214" t="s">
        <v>911</v>
      </c>
      <c r="C360" s="222" t="s">
        <v>910</v>
      </c>
      <c r="D360" s="222" t="s">
        <v>912</v>
      </c>
      <c r="E360" s="222" t="s">
        <v>4554</v>
      </c>
      <c r="F360" s="214" t="s">
        <v>4555</v>
      </c>
      <c r="G360" s="214" t="s">
        <v>4556</v>
      </c>
      <c r="H360" s="214" t="s">
        <v>4557</v>
      </c>
      <c r="I360" s="214" t="s">
        <v>4558</v>
      </c>
      <c r="J360" s="214" t="s">
        <v>4559</v>
      </c>
      <c r="K360" s="214"/>
      <c r="L360" s="214" t="s">
        <v>10540</v>
      </c>
      <c r="M360" s="214" t="s">
        <v>9893</v>
      </c>
      <c r="P360" s="120"/>
    </row>
    <row r="361" spans="1:16">
      <c r="A361" s="214" t="s">
        <v>2449</v>
      </c>
      <c r="B361" s="214" t="s">
        <v>2450</v>
      </c>
      <c r="C361" s="222" t="s">
        <v>2711</v>
      </c>
      <c r="D361" s="222" t="s">
        <v>2711</v>
      </c>
      <c r="E361" s="222" t="s">
        <v>4560</v>
      </c>
      <c r="F361" s="214" t="s">
        <v>4561</v>
      </c>
      <c r="G361" s="214" t="s">
        <v>4562</v>
      </c>
      <c r="H361" s="214" t="s">
        <v>4563</v>
      </c>
      <c r="I361" s="214" t="s">
        <v>4564</v>
      </c>
      <c r="J361" s="214" t="s">
        <v>4565</v>
      </c>
      <c r="K361" s="214"/>
      <c r="L361" s="214" t="s">
        <v>10541</v>
      </c>
      <c r="M361" s="214" t="s">
        <v>9894</v>
      </c>
      <c r="P361" s="120"/>
    </row>
    <row r="362" spans="1:16">
      <c r="A362" s="214" t="s">
        <v>2451</v>
      </c>
      <c r="B362" s="214" t="s">
        <v>2452</v>
      </c>
      <c r="C362" s="222" t="s">
        <v>2712</v>
      </c>
      <c r="D362" s="222" t="s">
        <v>2712</v>
      </c>
      <c r="E362" s="222" t="s">
        <v>4566</v>
      </c>
      <c r="F362" s="214" t="s">
        <v>4567</v>
      </c>
      <c r="G362" s="214" t="s">
        <v>4568</v>
      </c>
      <c r="H362" s="214" t="s">
        <v>4569</v>
      </c>
      <c r="I362" s="214" t="s">
        <v>4570</v>
      </c>
      <c r="J362" s="214" t="s">
        <v>4571</v>
      </c>
      <c r="K362" s="214"/>
      <c r="L362" s="214" t="s">
        <v>10542</v>
      </c>
      <c r="M362" s="214" t="s">
        <v>9895</v>
      </c>
      <c r="P362" s="120"/>
    </row>
    <row r="363" spans="1:16">
      <c r="A363" s="214" t="s">
        <v>2453</v>
      </c>
      <c r="B363" s="214" t="s">
        <v>2454</v>
      </c>
      <c r="C363" s="222" t="s">
        <v>2713</v>
      </c>
      <c r="D363" s="222" t="s">
        <v>2713</v>
      </c>
      <c r="E363" s="222" t="s">
        <v>4572</v>
      </c>
      <c r="F363" s="214" t="s">
        <v>4573</v>
      </c>
      <c r="G363" s="214" t="s">
        <v>4574</v>
      </c>
      <c r="H363" s="214" t="s">
        <v>4575</v>
      </c>
      <c r="I363" s="214" t="s">
        <v>4576</v>
      </c>
      <c r="J363" s="214" t="s">
        <v>4577</v>
      </c>
      <c r="K363" s="223"/>
      <c r="L363" s="214" t="s">
        <v>10543</v>
      </c>
      <c r="M363" s="214" t="s">
        <v>9896</v>
      </c>
      <c r="P363" s="120"/>
    </row>
    <row r="364" spans="1:16">
      <c r="A364" s="214" t="s">
        <v>2455</v>
      </c>
      <c r="B364" s="214" t="s">
        <v>2456</v>
      </c>
      <c r="C364" s="222" t="s">
        <v>2714</v>
      </c>
      <c r="D364" s="222" t="s">
        <v>2714</v>
      </c>
      <c r="E364" s="222" t="s">
        <v>4578</v>
      </c>
      <c r="F364" s="214" t="s">
        <v>4579</v>
      </c>
      <c r="G364" s="214" t="s">
        <v>4580</v>
      </c>
      <c r="H364" s="214" t="s">
        <v>4581</v>
      </c>
      <c r="I364" s="214" t="s">
        <v>4582</v>
      </c>
      <c r="J364" s="214" t="s">
        <v>4583</v>
      </c>
      <c r="K364" s="223"/>
      <c r="L364" s="214" t="s">
        <v>10544</v>
      </c>
      <c r="M364" s="214" t="s">
        <v>9897</v>
      </c>
      <c r="P364" s="120"/>
    </row>
    <row r="365" spans="1:16">
      <c r="A365" s="214" t="s">
        <v>2457</v>
      </c>
      <c r="B365" s="214" t="s">
        <v>2458</v>
      </c>
      <c r="C365" s="222" t="s">
        <v>2715</v>
      </c>
      <c r="D365" s="222" t="s">
        <v>2715</v>
      </c>
      <c r="E365" s="222" t="s">
        <v>4584</v>
      </c>
      <c r="F365" s="214" t="s">
        <v>4585</v>
      </c>
      <c r="G365" s="214" t="s">
        <v>4586</v>
      </c>
      <c r="H365" s="214" t="s">
        <v>4587</v>
      </c>
      <c r="I365" s="214" t="s">
        <v>4588</v>
      </c>
      <c r="J365" s="214" t="s">
        <v>4589</v>
      </c>
      <c r="K365" s="223"/>
      <c r="L365" s="214" t="s">
        <v>10545</v>
      </c>
      <c r="M365" s="214" t="s">
        <v>9898</v>
      </c>
      <c r="P365" s="120"/>
    </row>
    <row r="366" spans="1:16">
      <c r="A366" s="214" t="s">
        <v>2459</v>
      </c>
      <c r="B366" s="214" t="s">
        <v>2460</v>
      </c>
      <c r="C366" s="222" t="s">
        <v>2716</v>
      </c>
      <c r="D366" s="222" t="s">
        <v>2716</v>
      </c>
      <c r="E366" s="222" t="s">
        <v>4590</v>
      </c>
      <c r="F366" s="214" t="s">
        <v>4591</v>
      </c>
      <c r="G366" s="214" t="s">
        <v>4592</v>
      </c>
      <c r="H366" s="214" t="s">
        <v>4593</v>
      </c>
      <c r="I366" s="214" t="s">
        <v>4594</v>
      </c>
      <c r="J366" s="214" t="s">
        <v>4595</v>
      </c>
      <c r="K366" s="223"/>
      <c r="L366" s="214" t="s">
        <v>10546</v>
      </c>
      <c r="M366" s="214" t="s">
        <v>9899</v>
      </c>
      <c r="P366" s="120"/>
    </row>
    <row r="367" spans="1:16">
      <c r="A367" s="214" t="s">
        <v>2461</v>
      </c>
      <c r="B367" s="214" t="s">
        <v>2462</v>
      </c>
      <c r="C367" s="222" t="s">
        <v>2717</v>
      </c>
      <c r="D367" s="222" t="s">
        <v>2717</v>
      </c>
      <c r="E367" s="222" t="s">
        <v>4596</v>
      </c>
      <c r="F367" s="214" t="s">
        <v>4597</v>
      </c>
      <c r="G367" s="214" t="s">
        <v>4598</v>
      </c>
      <c r="H367" s="214" t="s">
        <v>4599</v>
      </c>
      <c r="I367" s="214" t="s">
        <v>4600</v>
      </c>
      <c r="J367" s="214" t="s">
        <v>4601</v>
      </c>
      <c r="K367" s="223"/>
      <c r="L367" s="214" t="s">
        <v>10547</v>
      </c>
      <c r="M367" s="214" t="s">
        <v>9900</v>
      </c>
      <c r="P367" s="120"/>
    </row>
    <row r="368" spans="1:16">
      <c r="A368" s="214" t="s">
        <v>2463</v>
      </c>
      <c r="B368" s="214" t="s">
        <v>2464</v>
      </c>
      <c r="C368" s="222" t="s">
        <v>2718</v>
      </c>
      <c r="D368" s="222" t="s">
        <v>2718</v>
      </c>
      <c r="E368" s="222" t="s">
        <v>4602</v>
      </c>
      <c r="F368" s="214" t="s">
        <v>4603</v>
      </c>
      <c r="G368" s="214" t="s">
        <v>4604</v>
      </c>
      <c r="H368" s="214" t="s">
        <v>4605</v>
      </c>
      <c r="I368" s="214" t="s">
        <v>4606</v>
      </c>
      <c r="J368" s="214" t="s">
        <v>4607</v>
      </c>
      <c r="K368" s="223"/>
      <c r="L368" s="214" t="s">
        <v>10548</v>
      </c>
      <c r="M368" s="214" t="s">
        <v>9901</v>
      </c>
      <c r="P368" s="120"/>
    </row>
    <row r="369" spans="1:16">
      <c r="A369" s="214" t="s">
        <v>2465</v>
      </c>
      <c r="B369" s="214" t="s">
        <v>2466</v>
      </c>
      <c r="C369" s="222" t="s">
        <v>2719</v>
      </c>
      <c r="D369" s="222" t="s">
        <v>2719</v>
      </c>
      <c r="E369" s="222" t="s">
        <v>4608</v>
      </c>
      <c r="F369" s="214" t="s">
        <v>4609</v>
      </c>
      <c r="G369" s="214" t="s">
        <v>4610</v>
      </c>
      <c r="H369" s="214" t="s">
        <v>4611</v>
      </c>
      <c r="I369" s="214" t="s">
        <v>4612</v>
      </c>
      <c r="J369" s="214" t="s">
        <v>4613</v>
      </c>
      <c r="K369" s="223"/>
      <c r="L369" s="214" t="s">
        <v>10549</v>
      </c>
      <c r="M369" s="214" t="s">
        <v>9902</v>
      </c>
      <c r="P369" s="120"/>
    </row>
    <row r="370" spans="1:16">
      <c r="A370" s="214" t="s">
        <v>2467</v>
      </c>
      <c r="B370" s="214" t="s">
        <v>2468</v>
      </c>
      <c r="C370" s="222" t="s">
        <v>2720</v>
      </c>
      <c r="D370" s="222" t="s">
        <v>2720</v>
      </c>
      <c r="E370" s="222" t="s">
        <v>4614</v>
      </c>
      <c r="F370" s="214" t="s">
        <v>4615</v>
      </c>
      <c r="G370" s="214" t="s">
        <v>4616</v>
      </c>
      <c r="H370" s="214" t="s">
        <v>4617</v>
      </c>
      <c r="I370" s="214" t="s">
        <v>4618</v>
      </c>
      <c r="J370" s="214" t="s">
        <v>4619</v>
      </c>
      <c r="K370" s="223"/>
      <c r="L370" s="214" t="s">
        <v>10550</v>
      </c>
      <c r="M370" s="214" t="s">
        <v>9903</v>
      </c>
      <c r="P370" s="120"/>
    </row>
    <row r="371" spans="1:16">
      <c r="A371" s="214" t="s">
        <v>2469</v>
      </c>
      <c r="B371" s="214" t="s">
        <v>2470</v>
      </c>
      <c r="C371" s="222" t="s">
        <v>2721</v>
      </c>
      <c r="D371" s="222" t="s">
        <v>2721</v>
      </c>
      <c r="E371" s="222" t="s">
        <v>4620</v>
      </c>
      <c r="F371" s="214" t="s">
        <v>4621</v>
      </c>
      <c r="G371" s="214" t="s">
        <v>4622</v>
      </c>
      <c r="H371" s="214" t="s">
        <v>4623</v>
      </c>
      <c r="I371" s="214" t="s">
        <v>4624</v>
      </c>
      <c r="J371" s="214" t="s">
        <v>4625</v>
      </c>
      <c r="K371" s="223"/>
      <c r="L371" s="214" t="s">
        <v>10551</v>
      </c>
      <c r="M371" s="214" t="s">
        <v>9904</v>
      </c>
      <c r="P371" s="120"/>
    </row>
    <row r="372" spans="1:16">
      <c r="A372" s="214" t="s">
        <v>2471</v>
      </c>
      <c r="B372" s="214" t="s">
        <v>2472</v>
      </c>
      <c r="C372" s="222" t="s">
        <v>2722</v>
      </c>
      <c r="D372" s="222" t="s">
        <v>2722</v>
      </c>
      <c r="E372" s="222" t="s">
        <v>4626</v>
      </c>
      <c r="F372" s="214" t="s">
        <v>4627</v>
      </c>
      <c r="G372" s="214" t="s">
        <v>4628</v>
      </c>
      <c r="H372" s="214" t="s">
        <v>4629</v>
      </c>
      <c r="I372" s="214" t="s">
        <v>4630</v>
      </c>
      <c r="J372" s="214" t="s">
        <v>4631</v>
      </c>
      <c r="K372" s="223"/>
      <c r="L372" s="214" t="s">
        <v>10552</v>
      </c>
      <c r="M372" s="214" t="s">
        <v>9905</v>
      </c>
      <c r="P372" s="120"/>
    </row>
    <row r="373" spans="1:16">
      <c r="A373" s="214" t="s">
        <v>2473</v>
      </c>
      <c r="B373" s="214" t="s">
        <v>2474</v>
      </c>
      <c r="C373" s="222" t="s">
        <v>2723</v>
      </c>
      <c r="D373" s="222" t="s">
        <v>2723</v>
      </c>
      <c r="E373" s="222" t="s">
        <v>4632</v>
      </c>
      <c r="F373" s="214" t="s">
        <v>4633</v>
      </c>
      <c r="G373" s="214" t="s">
        <v>4634</v>
      </c>
      <c r="H373" s="214" t="s">
        <v>4635</v>
      </c>
      <c r="I373" s="214" t="s">
        <v>4636</v>
      </c>
      <c r="J373" s="214" t="s">
        <v>4637</v>
      </c>
      <c r="K373" s="223"/>
      <c r="L373" s="214" t="s">
        <v>10553</v>
      </c>
      <c r="M373" s="214" t="s">
        <v>9906</v>
      </c>
      <c r="P373" s="120"/>
    </row>
    <row r="374" spans="1:16">
      <c r="A374" s="214" t="s">
        <v>2475</v>
      </c>
      <c r="B374" s="214" t="s">
        <v>2476</v>
      </c>
      <c r="C374" s="222" t="s">
        <v>2724</v>
      </c>
      <c r="D374" s="222" t="s">
        <v>2724</v>
      </c>
      <c r="E374" s="222" t="s">
        <v>4638</v>
      </c>
      <c r="F374" s="214" t="s">
        <v>4639</v>
      </c>
      <c r="G374" s="214" t="s">
        <v>4640</v>
      </c>
      <c r="H374" s="214" t="s">
        <v>4641</v>
      </c>
      <c r="I374" s="214" t="s">
        <v>4642</v>
      </c>
      <c r="J374" s="214" t="s">
        <v>4643</v>
      </c>
      <c r="K374" s="223"/>
      <c r="L374" s="214" t="s">
        <v>10554</v>
      </c>
      <c r="M374" s="214" t="s">
        <v>9907</v>
      </c>
      <c r="P374" s="120"/>
    </row>
    <row r="375" spans="1:16">
      <c r="A375" s="214" t="s">
        <v>2477</v>
      </c>
      <c r="B375" s="214" t="s">
        <v>2478</v>
      </c>
      <c r="C375" s="222" t="s">
        <v>2725</v>
      </c>
      <c r="D375" s="222" t="s">
        <v>2725</v>
      </c>
      <c r="E375" s="222" t="s">
        <v>4644</v>
      </c>
      <c r="F375" s="214" t="s">
        <v>4645</v>
      </c>
      <c r="G375" s="214" t="s">
        <v>4646</v>
      </c>
      <c r="H375" s="214" t="s">
        <v>4647</v>
      </c>
      <c r="I375" s="214" t="s">
        <v>4648</v>
      </c>
      <c r="J375" s="214" t="s">
        <v>4649</v>
      </c>
      <c r="K375" s="223"/>
      <c r="L375" s="214" t="s">
        <v>10555</v>
      </c>
      <c r="M375" s="214" t="s">
        <v>9908</v>
      </c>
      <c r="P375" s="120"/>
    </row>
    <row r="376" spans="1:16">
      <c r="A376" s="214" t="s">
        <v>2479</v>
      </c>
      <c r="B376" s="214" t="s">
        <v>2480</v>
      </c>
      <c r="C376" s="222" t="s">
        <v>2726</v>
      </c>
      <c r="D376" s="222" t="s">
        <v>2726</v>
      </c>
      <c r="E376" s="222" t="s">
        <v>4650</v>
      </c>
      <c r="F376" s="214" t="s">
        <v>4651</v>
      </c>
      <c r="G376" s="214" t="s">
        <v>4652</v>
      </c>
      <c r="H376" s="214" t="s">
        <v>4653</v>
      </c>
      <c r="I376" s="214" t="s">
        <v>4654</v>
      </c>
      <c r="J376" s="214" t="s">
        <v>4655</v>
      </c>
      <c r="K376" s="223"/>
      <c r="L376" s="214" t="s">
        <v>10556</v>
      </c>
      <c r="M376" s="214" t="s">
        <v>9909</v>
      </c>
      <c r="P376" s="120"/>
    </row>
    <row r="377" spans="1:16">
      <c r="A377" s="214" t="s">
        <v>2481</v>
      </c>
      <c r="B377" s="214" t="s">
        <v>2482</v>
      </c>
      <c r="C377" s="222" t="s">
        <v>2727</v>
      </c>
      <c r="D377" s="222" t="s">
        <v>2727</v>
      </c>
      <c r="E377" s="222" t="s">
        <v>4656</v>
      </c>
      <c r="F377" s="214" t="s">
        <v>4657</v>
      </c>
      <c r="G377" s="214" t="s">
        <v>4658</v>
      </c>
      <c r="H377" s="214" t="s">
        <v>4659</v>
      </c>
      <c r="I377" s="214" t="s">
        <v>4660</v>
      </c>
      <c r="J377" s="214" t="s">
        <v>4661</v>
      </c>
      <c r="K377" s="223"/>
      <c r="L377" s="214" t="s">
        <v>10557</v>
      </c>
      <c r="M377" s="214" t="s">
        <v>9910</v>
      </c>
      <c r="P377" s="120"/>
    </row>
    <row r="378" spans="1:16">
      <c r="A378" s="214" t="s">
        <v>2483</v>
      </c>
      <c r="B378" s="214" t="s">
        <v>2484</v>
      </c>
      <c r="C378" s="222" t="s">
        <v>2728</v>
      </c>
      <c r="D378" s="222" t="s">
        <v>2728</v>
      </c>
      <c r="E378" s="222" t="s">
        <v>4662</v>
      </c>
      <c r="F378" s="214" t="s">
        <v>4663</v>
      </c>
      <c r="G378" s="214" t="s">
        <v>4664</v>
      </c>
      <c r="H378" s="214" t="s">
        <v>4665</v>
      </c>
      <c r="I378" s="214" t="s">
        <v>4666</v>
      </c>
      <c r="J378" s="214" t="s">
        <v>4667</v>
      </c>
      <c r="K378" s="223"/>
      <c r="L378" s="214" t="s">
        <v>10558</v>
      </c>
      <c r="M378" s="214" t="s">
        <v>9911</v>
      </c>
      <c r="P378" s="120"/>
    </row>
    <row r="379" spans="1:16">
      <c r="A379" s="214" t="s">
        <v>2485</v>
      </c>
      <c r="B379" s="214" t="s">
        <v>2486</v>
      </c>
      <c r="C379" s="222" t="s">
        <v>2729</v>
      </c>
      <c r="D379" s="222" t="s">
        <v>2729</v>
      </c>
      <c r="E379" s="222" t="s">
        <v>4668</v>
      </c>
      <c r="F379" s="214" t="s">
        <v>4669</v>
      </c>
      <c r="G379" s="214" t="s">
        <v>4670</v>
      </c>
      <c r="H379" s="214" t="s">
        <v>4671</v>
      </c>
      <c r="I379" s="214" t="s">
        <v>4672</v>
      </c>
      <c r="J379" s="214" t="s">
        <v>4673</v>
      </c>
      <c r="K379" s="223"/>
      <c r="L379" s="214" t="s">
        <v>10559</v>
      </c>
      <c r="M379" s="214" t="s">
        <v>9912</v>
      </c>
      <c r="P379" s="120"/>
    </row>
    <row r="380" spans="1:16">
      <c r="A380" s="214" t="s">
        <v>2487</v>
      </c>
      <c r="B380" s="214" t="s">
        <v>2488</v>
      </c>
      <c r="C380" s="222" t="s">
        <v>2730</v>
      </c>
      <c r="D380" s="222" t="s">
        <v>2730</v>
      </c>
      <c r="E380" s="222" t="s">
        <v>4674</v>
      </c>
      <c r="F380" s="214" t="s">
        <v>4675</v>
      </c>
      <c r="G380" s="214" t="s">
        <v>4676</v>
      </c>
      <c r="H380" s="214" t="s">
        <v>4677</v>
      </c>
      <c r="I380" s="214" t="s">
        <v>4678</v>
      </c>
      <c r="J380" s="214" t="s">
        <v>4679</v>
      </c>
      <c r="K380" s="223"/>
      <c r="L380" s="214" t="s">
        <v>10560</v>
      </c>
      <c r="M380" s="214" t="s">
        <v>9913</v>
      </c>
      <c r="P380" s="120"/>
    </row>
    <row r="381" spans="1:16">
      <c r="A381" s="214" t="s">
        <v>2489</v>
      </c>
      <c r="B381" s="214" t="s">
        <v>2490</v>
      </c>
      <c r="C381" s="222" t="s">
        <v>2731</v>
      </c>
      <c r="D381" s="222" t="s">
        <v>2731</v>
      </c>
      <c r="E381" s="222" t="s">
        <v>4680</v>
      </c>
      <c r="F381" s="214" t="s">
        <v>4681</v>
      </c>
      <c r="G381" s="214" t="s">
        <v>4682</v>
      </c>
      <c r="H381" s="214" t="s">
        <v>4683</v>
      </c>
      <c r="I381" s="214" t="s">
        <v>4684</v>
      </c>
      <c r="J381" s="214" t="s">
        <v>4685</v>
      </c>
      <c r="K381" s="223"/>
      <c r="L381" s="214" t="s">
        <v>10561</v>
      </c>
      <c r="M381" s="214" t="s">
        <v>9914</v>
      </c>
      <c r="P381" s="120"/>
    </row>
    <row r="382" spans="1:16">
      <c r="A382" s="214" t="s">
        <v>2491</v>
      </c>
      <c r="B382" s="214" t="s">
        <v>2492</v>
      </c>
      <c r="C382" s="222" t="s">
        <v>2732</v>
      </c>
      <c r="D382" s="222" t="s">
        <v>2732</v>
      </c>
      <c r="E382" s="222" t="s">
        <v>4686</v>
      </c>
      <c r="F382" s="214" t="s">
        <v>4687</v>
      </c>
      <c r="G382" s="214" t="s">
        <v>4688</v>
      </c>
      <c r="H382" s="214" t="s">
        <v>4689</v>
      </c>
      <c r="I382" s="214" t="s">
        <v>4690</v>
      </c>
      <c r="J382" s="214" t="s">
        <v>4691</v>
      </c>
      <c r="K382" s="223"/>
      <c r="L382" s="214" t="s">
        <v>10562</v>
      </c>
      <c r="M382" s="214" t="s">
        <v>9915</v>
      </c>
      <c r="P382" s="120"/>
    </row>
    <row r="383" spans="1:16">
      <c r="A383" s="217" t="s">
        <v>913</v>
      </c>
      <c r="B383" s="214" t="s">
        <v>916</v>
      </c>
      <c r="C383" s="222" t="s">
        <v>915</v>
      </c>
      <c r="D383" s="222" t="s">
        <v>917</v>
      </c>
      <c r="E383" s="222" t="s">
        <v>4692</v>
      </c>
      <c r="F383" s="214" t="s">
        <v>915</v>
      </c>
      <c r="G383" s="214" t="s">
        <v>4693</v>
      </c>
      <c r="H383" s="214" t="s">
        <v>4694</v>
      </c>
      <c r="I383" s="214" t="s">
        <v>4695</v>
      </c>
      <c r="J383" s="214" t="s">
        <v>4696</v>
      </c>
      <c r="K383" s="223"/>
      <c r="L383" s="214" t="s">
        <v>10563</v>
      </c>
      <c r="M383" s="214" t="s">
        <v>9916</v>
      </c>
      <c r="P383" s="120"/>
    </row>
    <row r="384" spans="1:16">
      <c r="A384" s="217" t="s">
        <v>918</v>
      </c>
      <c r="B384" s="214" t="s">
        <v>920</v>
      </c>
      <c r="C384" s="222" t="s">
        <v>919</v>
      </c>
      <c r="D384" s="222" t="s">
        <v>921</v>
      </c>
      <c r="E384" s="222" t="s">
        <v>4697</v>
      </c>
      <c r="F384" s="214" t="s">
        <v>4698</v>
      </c>
      <c r="G384" s="214" t="s">
        <v>4699</v>
      </c>
      <c r="H384" s="214" t="s">
        <v>4700</v>
      </c>
      <c r="I384" s="214" t="s">
        <v>4701</v>
      </c>
      <c r="J384" s="214" t="s">
        <v>4702</v>
      </c>
      <c r="K384" s="223"/>
      <c r="L384" s="214" t="s">
        <v>10564</v>
      </c>
      <c r="M384" s="214" t="s">
        <v>9917</v>
      </c>
      <c r="P384" s="120"/>
    </row>
    <row r="385" spans="1:16">
      <c r="A385" s="217" t="s">
        <v>922</v>
      </c>
      <c r="B385" s="214" t="s">
        <v>924</v>
      </c>
      <c r="C385" s="222" t="s">
        <v>923</v>
      </c>
      <c r="D385" s="222" t="s">
        <v>925</v>
      </c>
      <c r="E385" s="222" t="s">
        <v>4703</v>
      </c>
      <c r="F385" s="214" t="s">
        <v>4704</v>
      </c>
      <c r="G385" s="214" t="s">
        <v>4705</v>
      </c>
      <c r="H385" s="214" t="s">
        <v>4706</v>
      </c>
      <c r="I385" s="214" t="s">
        <v>4707</v>
      </c>
      <c r="J385" s="214" t="s">
        <v>4708</v>
      </c>
      <c r="K385" s="223"/>
      <c r="L385" s="214" t="s">
        <v>10565</v>
      </c>
      <c r="M385" s="214" t="s">
        <v>9918</v>
      </c>
      <c r="P385" s="120"/>
    </row>
    <row r="386" spans="1:16">
      <c r="A386" s="217" t="s">
        <v>926</v>
      </c>
      <c r="B386" s="214" t="s">
        <v>929</v>
      </c>
      <c r="C386" s="222" t="s">
        <v>928</v>
      </c>
      <c r="D386" s="222" t="s">
        <v>930</v>
      </c>
      <c r="E386" s="222" t="s">
        <v>4709</v>
      </c>
      <c r="F386" s="214" t="s">
        <v>4710</v>
      </c>
      <c r="G386" s="214" t="s">
        <v>4711</v>
      </c>
      <c r="H386" s="214" t="s">
        <v>4712</v>
      </c>
      <c r="I386" s="214" t="s">
        <v>4713</v>
      </c>
      <c r="J386" s="214" t="s">
        <v>4714</v>
      </c>
      <c r="K386" s="223"/>
      <c r="L386" s="214" t="s">
        <v>10566</v>
      </c>
      <c r="M386" s="214" t="s">
        <v>9919</v>
      </c>
      <c r="P386" s="120"/>
    </row>
    <row r="387" spans="1:16">
      <c r="A387" s="217" t="s">
        <v>931</v>
      </c>
      <c r="B387" s="214" t="s">
        <v>933</v>
      </c>
      <c r="C387" s="222" t="s">
        <v>932</v>
      </c>
      <c r="D387" s="222" t="s">
        <v>934</v>
      </c>
      <c r="E387" s="222" t="s">
        <v>4715</v>
      </c>
      <c r="F387" s="214" t="s">
        <v>4716</v>
      </c>
      <c r="G387" s="214" t="s">
        <v>4717</v>
      </c>
      <c r="H387" s="214" t="s">
        <v>4718</v>
      </c>
      <c r="I387" s="214" t="s">
        <v>4719</v>
      </c>
      <c r="J387" s="214" t="s">
        <v>4720</v>
      </c>
      <c r="K387" s="223"/>
      <c r="L387" s="214" t="s">
        <v>10567</v>
      </c>
      <c r="M387" s="214" t="s">
        <v>9920</v>
      </c>
      <c r="P387" s="120"/>
    </row>
    <row r="388" spans="1:16">
      <c r="A388" s="217" t="s">
        <v>935</v>
      </c>
      <c r="B388" s="214" t="s">
        <v>937</v>
      </c>
      <c r="C388" s="222" t="s">
        <v>936</v>
      </c>
      <c r="D388" s="222" t="s">
        <v>938</v>
      </c>
      <c r="E388" s="222" t="s">
        <v>4721</v>
      </c>
      <c r="F388" s="214" t="s">
        <v>4722</v>
      </c>
      <c r="G388" s="214" t="s">
        <v>4723</v>
      </c>
      <c r="H388" s="214" t="s">
        <v>4724</v>
      </c>
      <c r="I388" s="214" t="s">
        <v>4725</v>
      </c>
      <c r="J388" s="214" t="s">
        <v>4726</v>
      </c>
      <c r="K388" s="223"/>
      <c r="L388" s="214" t="s">
        <v>10568</v>
      </c>
      <c r="M388" s="214" t="s">
        <v>9921</v>
      </c>
      <c r="P388" s="120"/>
    </row>
    <row r="389" spans="1:16">
      <c r="A389" s="217" t="s">
        <v>939</v>
      </c>
      <c r="B389" s="214" t="s">
        <v>937</v>
      </c>
      <c r="C389" s="222" t="s">
        <v>936</v>
      </c>
      <c r="D389" s="222" t="s">
        <v>938</v>
      </c>
      <c r="E389" s="222" t="s">
        <v>4721</v>
      </c>
      <c r="F389" s="214" t="s">
        <v>4722</v>
      </c>
      <c r="G389" s="214" t="s">
        <v>4723</v>
      </c>
      <c r="H389" s="214" t="s">
        <v>4724</v>
      </c>
      <c r="I389" s="214" t="s">
        <v>4725</v>
      </c>
      <c r="J389" s="214" t="s">
        <v>4726</v>
      </c>
      <c r="K389" s="223"/>
      <c r="L389" s="214" t="s">
        <v>10568</v>
      </c>
      <c r="M389" s="214" t="s">
        <v>9921</v>
      </c>
      <c r="P389" s="120"/>
    </row>
    <row r="390" spans="1:16">
      <c r="A390" s="217" t="s">
        <v>940</v>
      </c>
      <c r="B390" s="214" t="s">
        <v>942</v>
      </c>
      <c r="C390" s="222" t="s">
        <v>941</v>
      </c>
      <c r="D390" s="222" t="s">
        <v>943</v>
      </c>
      <c r="E390" s="222" t="s">
        <v>4727</v>
      </c>
      <c r="F390" s="214" t="s">
        <v>4728</v>
      </c>
      <c r="G390" s="214" t="s">
        <v>4729</v>
      </c>
      <c r="H390" s="214" t="s">
        <v>4730</v>
      </c>
      <c r="I390" s="214" t="s">
        <v>4731</v>
      </c>
      <c r="J390" s="214" t="s">
        <v>4732</v>
      </c>
      <c r="K390" s="223"/>
      <c r="L390" s="214" t="s">
        <v>10569</v>
      </c>
      <c r="M390" s="214" t="s">
        <v>9922</v>
      </c>
      <c r="P390" s="120"/>
    </row>
    <row r="391" spans="1:16">
      <c r="A391" s="217" t="s">
        <v>944</v>
      </c>
      <c r="B391" s="214" t="s">
        <v>946</v>
      </c>
      <c r="C391" s="222" t="s">
        <v>945</v>
      </c>
      <c r="D391" s="222" t="s">
        <v>947</v>
      </c>
      <c r="E391" s="222" t="s">
        <v>4733</v>
      </c>
      <c r="F391" s="214" t="s">
        <v>4734</v>
      </c>
      <c r="G391" s="214" t="s">
        <v>4735</v>
      </c>
      <c r="H391" s="214" t="s">
        <v>4736</v>
      </c>
      <c r="I391" s="214" t="s">
        <v>4737</v>
      </c>
      <c r="J391" s="214" t="s">
        <v>4738</v>
      </c>
      <c r="K391" s="223"/>
      <c r="L391" s="214" t="s">
        <v>10570</v>
      </c>
      <c r="M391" s="214" t="s">
        <v>9923</v>
      </c>
      <c r="P391" s="120"/>
    </row>
    <row r="392" spans="1:16">
      <c r="A392" s="217" t="s">
        <v>948</v>
      </c>
      <c r="B392" s="226" t="s">
        <v>942</v>
      </c>
      <c r="C392" s="225" t="s">
        <v>941</v>
      </c>
      <c r="D392" s="225" t="s">
        <v>943</v>
      </c>
      <c r="E392" s="225" t="s">
        <v>4727</v>
      </c>
      <c r="F392" s="214" t="s">
        <v>4728</v>
      </c>
      <c r="G392" s="214" t="s">
        <v>4729</v>
      </c>
      <c r="H392" s="214" t="s">
        <v>4730</v>
      </c>
      <c r="I392" s="214" t="s">
        <v>4731</v>
      </c>
      <c r="J392" s="214" t="s">
        <v>4732</v>
      </c>
      <c r="K392" s="223"/>
      <c r="L392" s="214" t="s">
        <v>10569</v>
      </c>
      <c r="M392" s="214" t="s">
        <v>9922</v>
      </c>
      <c r="P392" s="120"/>
    </row>
    <row r="393" spans="1:16">
      <c r="A393" s="217" t="s">
        <v>949</v>
      </c>
      <c r="B393" s="226" t="s">
        <v>946</v>
      </c>
      <c r="C393" s="225" t="s">
        <v>945</v>
      </c>
      <c r="D393" s="225" t="s">
        <v>947</v>
      </c>
      <c r="E393" s="225" t="s">
        <v>4733</v>
      </c>
      <c r="F393" s="214" t="s">
        <v>4734</v>
      </c>
      <c r="G393" s="214" t="s">
        <v>4735</v>
      </c>
      <c r="H393" s="214" t="s">
        <v>4736</v>
      </c>
      <c r="I393" s="214" t="s">
        <v>4737</v>
      </c>
      <c r="J393" s="214" t="s">
        <v>4738</v>
      </c>
      <c r="K393" s="223"/>
      <c r="L393" s="214" t="s">
        <v>10570</v>
      </c>
      <c r="M393" s="214" t="s">
        <v>9923</v>
      </c>
      <c r="P393" s="120"/>
    </row>
    <row r="394" spans="1:16">
      <c r="A394" s="217" t="s">
        <v>950</v>
      </c>
      <c r="B394" s="226" t="s">
        <v>942</v>
      </c>
      <c r="C394" s="225" t="s">
        <v>952</v>
      </c>
      <c r="D394" s="225" t="s">
        <v>943</v>
      </c>
      <c r="E394" s="225" t="s">
        <v>4739</v>
      </c>
      <c r="F394" s="214" t="s">
        <v>4740</v>
      </c>
      <c r="G394" s="214" t="s">
        <v>4741</v>
      </c>
      <c r="H394" s="214" t="s">
        <v>4742</v>
      </c>
      <c r="I394" s="214" t="s">
        <v>4731</v>
      </c>
      <c r="J394" s="214" t="s">
        <v>4743</v>
      </c>
      <c r="K394" s="223"/>
      <c r="L394" s="214" t="s">
        <v>10569</v>
      </c>
      <c r="M394" s="214" t="s">
        <v>9924</v>
      </c>
      <c r="P394" s="120"/>
    </row>
    <row r="395" spans="1:16">
      <c r="A395" s="217" t="s">
        <v>953</v>
      </c>
      <c r="B395" s="214" t="s">
        <v>957</v>
      </c>
      <c r="C395" s="222" t="s">
        <v>956</v>
      </c>
      <c r="D395" s="222" t="s">
        <v>958</v>
      </c>
      <c r="E395" s="222" t="s">
        <v>4744</v>
      </c>
      <c r="F395" s="214" t="s">
        <v>4745</v>
      </c>
      <c r="G395" s="214" t="s">
        <v>4746</v>
      </c>
      <c r="H395" s="214" t="s">
        <v>4747</v>
      </c>
      <c r="I395" s="214" t="s">
        <v>4748</v>
      </c>
      <c r="J395" s="214" t="s">
        <v>4749</v>
      </c>
      <c r="K395" s="223"/>
      <c r="L395" s="214" t="s">
        <v>10571</v>
      </c>
      <c r="M395" s="214" t="s">
        <v>9925</v>
      </c>
      <c r="P395" s="120"/>
    </row>
    <row r="396" spans="1:16">
      <c r="A396" s="217" t="s">
        <v>959</v>
      </c>
      <c r="B396" s="226" t="s">
        <v>960</v>
      </c>
      <c r="C396" s="225" t="s">
        <v>961</v>
      </c>
      <c r="D396" s="225" t="s">
        <v>962</v>
      </c>
      <c r="E396" s="225" t="s">
        <v>4750</v>
      </c>
      <c r="F396" s="214" t="s">
        <v>4751</v>
      </c>
      <c r="G396" s="214" t="s">
        <v>4752</v>
      </c>
      <c r="H396" s="214" t="s">
        <v>4750</v>
      </c>
      <c r="I396" s="214" t="s">
        <v>4753</v>
      </c>
      <c r="J396" s="214" t="s">
        <v>4754</v>
      </c>
      <c r="K396" s="223"/>
      <c r="L396" s="214" t="s">
        <v>10572</v>
      </c>
      <c r="M396" s="214" t="s">
        <v>9926</v>
      </c>
      <c r="P396" s="120"/>
    </row>
    <row r="397" spans="1:16">
      <c r="A397" s="217" t="s">
        <v>963</v>
      </c>
      <c r="B397" s="226" t="s">
        <v>966</v>
      </c>
      <c r="C397" s="225" t="s">
        <v>965</v>
      </c>
      <c r="D397" s="225" t="s">
        <v>967</v>
      </c>
      <c r="E397" s="225" t="s">
        <v>4755</v>
      </c>
      <c r="F397" s="214" t="s">
        <v>4756</v>
      </c>
      <c r="G397" s="214" t="s">
        <v>4757</v>
      </c>
      <c r="H397" s="214" t="s">
        <v>4758</v>
      </c>
      <c r="I397" s="214" t="s">
        <v>4759</v>
      </c>
      <c r="J397" s="214" t="s">
        <v>4760</v>
      </c>
      <c r="K397" s="223"/>
      <c r="L397" s="214" t="s">
        <v>10573</v>
      </c>
      <c r="M397" s="214" t="s">
        <v>9927</v>
      </c>
      <c r="P397" s="120"/>
    </row>
    <row r="398" spans="1:16">
      <c r="A398" s="217" t="s">
        <v>230</v>
      </c>
      <c r="B398" s="226" t="s">
        <v>970</v>
      </c>
      <c r="C398" s="225" t="s">
        <v>969</v>
      </c>
      <c r="D398" s="225" t="s">
        <v>971</v>
      </c>
      <c r="E398" s="225" t="s">
        <v>4761</v>
      </c>
      <c r="F398" s="214" t="s">
        <v>4762</v>
      </c>
      <c r="G398" s="214" t="s">
        <v>4763</v>
      </c>
      <c r="H398" s="214" t="s">
        <v>4764</v>
      </c>
      <c r="I398" s="214" t="s">
        <v>4765</v>
      </c>
      <c r="J398" s="214" t="s">
        <v>4766</v>
      </c>
      <c r="K398" s="223"/>
      <c r="L398" s="214" t="s">
        <v>10574</v>
      </c>
      <c r="M398" s="214" t="s">
        <v>9928</v>
      </c>
      <c r="P398" s="120"/>
    </row>
    <row r="399" spans="1:16">
      <c r="A399" s="217" t="s">
        <v>731</v>
      </c>
      <c r="B399" s="214" t="s">
        <v>974</v>
      </c>
      <c r="C399" s="222" t="s">
        <v>973</v>
      </c>
      <c r="D399" s="222" t="s">
        <v>975</v>
      </c>
      <c r="E399" s="222" t="s">
        <v>4767</v>
      </c>
      <c r="F399" s="214" t="s">
        <v>4768</v>
      </c>
      <c r="G399" s="214" t="s">
        <v>4769</v>
      </c>
      <c r="H399" s="214" t="s">
        <v>4770</v>
      </c>
      <c r="I399" s="214" t="s">
        <v>4771</v>
      </c>
      <c r="J399" s="214" t="s">
        <v>4772</v>
      </c>
      <c r="K399" s="223"/>
      <c r="L399" s="214" t="s">
        <v>10575</v>
      </c>
      <c r="M399" s="214" t="s">
        <v>9929</v>
      </c>
      <c r="P399" s="120"/>
    </row>
    <row r="400" spans="1:16">
      <c r="A400" s="217" t="s">
        <v>11670</v>
      </c>
      <c r="B400" s="214" t="s">
        <v>12022</v>
      </c>
      <c r="C400" s="222" t="s">
        <v>12021</v>
      </c>
      <c r="D400" s="222" t="s">
        <v>12023</v>
      </c>
      <c r="E400" s="222" t="s">
        <v>4773</v>
      </c>
      <c r="F400" s="214" t="s">
        <v>12024</v>
      </c>
      <c r="G400" s="214" t="s">
        <v>12025</v>
      </c>
      <c r="H400" s="214" t="s">
        <v>4774</v>
      </c>
      <c r="I400" s="214" t="s">
        <v>12026</v>
      </c>
      <c r="J400" s="214" t="s">
        <v>4775</v>
      </c>
      <c r="K400" s="223"/>
      <c r="L400" s="214" t="s">
        <v>12028</v>
      </c>
      <c r="M400" s="214" t="s">
        <v>12027</v>
      </c>
      <c r="P400" s="120"/>
    </row>
    <row r="401" spans="1:16">
      <c r="A401" s="217" t="s">
        <v>976</v>
      </c>
      <c r="B401" s="214" t="s">
        <v>979</v>
      </c>
      <c r="C401" s="222" t="s">
        <v>978</v>
      </c>
      <c r="D401" s="222" t="s">
        <v>980</v>
      </c>
      <c r="E401" s="222" t="s">
        <v>4776</v>
      </c>
      <c r="F401" s="214" t="s">
        <v>4777</v>
      </c>
      <c r="G401" s="214" t="s">
        <v>4778</v>
      </c>
      <c r="H401" s="214" t="s">
        <v>4779</v>
      </c>
      <c r="I401" s="214" t="s">
        <v>4780</v>
      </c>
      <c r="J401" s="214" t="s">
        <v>4781</v>
      </c>
      <c r="K401" s="223"/>
      <c r="L401" s="214" t="s">
        <v>10576</v>
      </c>
      <c r="M401" s="214" t="s">
        <v>9930</v>
      </c>
      <c r="P401" s="120"/>
    </row>
    <row r="402" spans="1:16">
      <c r="A402" s="217" t="s">
        <v>981</v>
      </c>
      <c r="B402" s="214" t="s">
        <v>984</v>
      </c>
      <c r="C402" s="222" t="s">
        <v>983</v>
      </c>
      <c r="D402" s="222" t="s">
        <v>985</v>
      </c>
      <c r="E402" s="222" t="s">
        <v>4782</v>
      </c>
      <c r="F402" s="214" t="s">
        <v>4783</v>
      </c>
      <c r="G402" s="214" t="s">
        <v>4784</v>
      </c>
      <c r="H402" s="214" t="s">
        <v>4785</v>
      </c>
      <c r="I402" s="214" t="s">
        <v>4786</v>
      </c>
      <c r="J402" s="214" t="s">
        <v>4787</v>
      </c>
      <c r="K402" s="223"/>
      <c r="L402" s="214" t="s">
        <v>10577</v>
      </c>
      <c r="M402" s="214" t="s">
        <v>9931</v>
      </c>
      <c r="P402" s="120"/>
    </row>
    <row r="403" spans="1:16">
      <c r="A403" s="217" t="s">
        <v>986</v>
      </c>
      <c r="B403" s="214" t="s">
        <v>989</v>
      </c>
      <c r="C403" s="222" t="s">
        <v>988</v>
      </c>
      <c r="D403" s="222" t="s">
        <v>990</v>
      </c>
      <c r="E403" s="222" t="s">
        <v>4788</v>
      </c>
      <c r="F403" s="214" t="s">
        <v>4789</v>
      </c>
      <c r="G403" s="214" t="s">
        <v>4790</v>
      </c>
      <c r="H403" s="214" t="s">
        <v>4791</v>
      </c>
      <c r="I403" s="214" t="s">
        <v>4792</v>
      </c>
      <c r="J403" s="214" t="s">
        <v>4793</v>
      </c>
      <c r="K403" s="223"/>
      <c r="L403" s="214" t="s">
        <v>10578</v>
      </c>
      <c r="M403" s="214" t="s">
        <v>9932</v>
      </c>
      <c r="P403" s="120"/>
    </row>
    <row r="404" spans="1:16">
      <c r="A404" s="214" t="s">
        <v>991</v>
      </c>
      <c r="B404" s="214" t="s">
        <v>2614</v>
      </c>
      <c r="C404" s="222" t="s">
        <v>992</v>
      </c>
      <c r="D404" s="222" t="s">
        <v>993</v>
      </c>
      <c r="E404" s="222" t="s">
        <v>4794</v>
      </c>
      <c r="F404" s="214" t="s">
        <v>4795</v>
      </c>
      <c r="G404" s="214" t="s">
        <v>4796</v>
      </c>
      <c r="H404" s="214" t="s">
        <v>4797</v>
      </c>
      <c r="I404" s="214" t="s">
        <v>4798</v>
      </c>
      <c r="J404" s="214" t="s">
        <v>4799</v>
      </c>
      <c r="K404" s="223"/>
      <c r="L404" s="214" t="s">
        <v>10579</v>
      </c>
      <c r="M404" s="214" t="s">
        <v>9933</v>
      </c>
      <c r="P404" s="120"/>
    </row>
    <row r="405" spans="1:16">
      <c r="A405" s="215" t="s">
        <v>994</v>
      </c>
      <c r="B405" s="214" t="s">
        <v>997</v>
      </c>
      <c r="C405" s="222" t="s">
        <v>996</v>
      </c>
      <c r="D405" s="222" t="s">
        <v>998</v>
      </c>
      <c r="E405" s="222" t="s">
        <v>4806</v>
      </c>
      <c r="F405" s="214" t="s">
        <v>4807</v>
      </c>
      <c r="G405" s="214" t="s">
        <v>4808</v>
      </c>
      <c r="H405" s="214" t="s">
        <v>4809</v>
      </c>
      <c r="I405" s="214" t="s">
        <v>4810</v>
      </c>
      <c r="J405" s="214" t="s">
        <v>4811</v>
      </c>
      <c r="K405" s="223"/>
      <c r="L405" s="214" t="s">
        <v>10581</v>
      </c>
      <c r="M405" s="214" t="s">
        <v>9935</v>
      </c>
      <c r="P405" s="120"/>
    </row>
    <row r="406" spans="1:16">
      <c r="A406" s="214" t="s">
        <v>999</v>
      </c>
      <c r="B406" s="214" t="s">
        <v>1001</v>
      </c>
      <c r="C406" s="222" t="s">
        <v>1000</v>
      </c>
      <c r="D406" s="222" t="s">
        <v>1002</v>
      </c>
      <c r="E406" s="222" t="s">
        <v>4812</v>
      </c>
      <c r="F406" s="214" t="s">
        <v>4813</v>
      </c>
      <c r="G406" s="214" t="s">
        <v>4814</v>
      </c>
      <c r="H406" s="214" t="s">
        <v>4815</v>
      </c>
      <c r="I406" s="214" t="s">
        <v>4816</v>
      </c>
      <c r="J406" s="214" t="s">
        <v>4817</v>
      </c>
      <c r="K406" s="223"/>
      <c r="L406" s="214" t="s">
        <v>10582</v>
      </c>
      <c r="M406" s="214" t="s">
        <v>9936</v>
      </c>
      <c r="P406" s="120"/>
    </row>
    <row r="407" spans="1:16">
      <c r="A407" s="214" t="s">
        <v>1008</v>
      </c>
      <c r="B407" s="214" t="s">
        <v>1010</v>
      </c>
      <c r="C407" s="222" t="s">
        <v>1009</v>
      </c>
      <c r="D407" s="222" t="s">
        <v>1011</v>
      </c>
      <c r="E407" s="222" t="s">
        <v>4818</v>
      </c>
      <c r="F407" s="214" t="s">
        <v>4819</v>
      </c>
      <c r="G407" s="214" t="s">
        <v>4820</v>
      </c>
      <c r="H407" s="214" t="s">
        <v>4821</v>
      </c>
      <c r="I407" s="214" t="s">
        <v>4822</v>
      </c>
      <c r="J407" s="214" t="s">
        <v>4823</v>
      </c>
      <c r="K407" s="223" t="s">
        <v>9287</v>
      </c>
      <c r="L407" s="214" t="s">
        <v>10583</v>
      </c>
      <c r="M407" s="214" t="s">
        <v>9937</v>
      </c>
      <c r="P407" s="120"/>
    </row>
    <row r="408" spans="1:16">
      <c r="A408" s="214" t="s">
        <v>1012</v>
      </c>
      <c r="B408" s="214" t="s">
        <v>1010</v>
      </c>
      <c r="C408" s="222" t="s">
        <v>1014</v>
      </c>
      <c r="D408" s="222" t="s">
        <v>1011</v>
      </c>
      <c r="E408" s="222" t="s">
        <v>4818</v>
      </c>
      <c r="F408" s="214" t="s">
        <v>4824</v>
      </c>
      <c r="G408" s="214" t="s">
        <v>4820</v>
      </c>
      <c r="H408" s="214" t="s">
        <v>4821</v>
      </c>
      <c r="I408" s="214" t="s">
        <v>4822</v>
      </c>
      <c r="J408" s="214" t="s">
        <v>4823</v>
      </c>
      <c r="K408" s="223" t="s">
        <v>9287</v>
      </c>
      <c r="L408" s="214" t="s">
        <v>10583</v>
      </c>
      <c r="M408" s="214" t="s">
        <v>9937</v>
      </c>
      <c r="P408" s="120"/>
    </row>
    <row r="409" spans="1:16">
      <c r="A409" s="214" t="s">
        <v>1015</v>
      </c>
      <c r="B409" s="214" t="s">
        <v>1010</v>
      </c>
      <c r="C409" s="222" t="s">
        <v>1014</v>
      </c>
      <c r="D409" s="222" t="s">
        <v>1011</v>
      </c>
      <c r="E409" s="222" t="s">
        <v>4818</v>
      </c>
      <c r="F409" s="214" t="s">
        <v>4824</v>
      </c>
      <c r="G409" s="214" t="s">
        <v>4820</v>
      </c>
      <c r="H409" s="214" t="s">
        <v>4821</v>
      </c>
      <c r="I409" s="214" t="s">
        <v>4822</v>
      </c>
      <c r="J409" s="214" t="s">
        <v>4823</v>
      </c>
      <c r="K409" s="223" t="s">
        <v>9287</v>
      </c>
      <c r="L409" s="214" t="s">
        <v>10583</v>
      </c>
      <c r="M409" s="214" t="s">
        <v>9937</v>
      </c>
      <c r="P409" s="120"/>
    </row>
    <row r="410" spans="1:16">
      <c r="A410" s="214" t="s">
        <v>1016</v>
      </c>
      <c r="B410" s="214" t="s">
        <v>1010</v>
      </c>
      <c r="C410" s="222" t="s">
        <v>1009</v>
      </c>
      <c r="D410" s="222" t="s">
        <v>1011</v>
      </c>
      <c r="E410" s="222" t="s">
        <v>4818</v>
      </c>
      <c r="F410" s="214" t="s">
        <v>4819</v>
      </c>
      <c r="G410" s="214" t="s">
        <v>4820</v>
      </c>
      <c r="H410" s="214" t="s">
        <v>4821</v>
      </c>
      <c r="I410" s="214" t="s">
        <v>4822</v>
      </c>
      <c r="J410" s="214" t="s">
        <v>4823</v>
      </c>
      <c r="K410" s="223" t="s">
        <v>9287</v>
      </c>
      <c r="L410" s="214" t="s">
        <v>10583</v>
      </c>
      <c r="M410" s="214" t="s">
        <v>9937</v>
      </c>
      <c r="P410" s="120"/>
    </row>
    <row r="411" spans="1:16">
      <c r="A411" s="214" t="s">
        <v>4825</v>
      </c>
      <c r="B411" s="214" t="s">
        <v>4828</v>
      </c>
      <c r="C411" s="222" t="s">
        <v>4827</v>
      </c>
      <c r="D411" s="222" t="s">
        <v>4829</v>
      </c>
      <c r="E411" s="222" t="s">
        <v>4830</v>
      </c>
      <c r="F411" s="214" t="s">
        <v>4831</v>
      </c>
      <c r="G411" s="214" t="s">
        <v>4832</v>
      </c>
      <c r="H411" s="214" t="s">
        <v>4833</v>
      </c>
      <c r="I411" s="214" t="s">
        <v>4834</v>
      </c>
      <c r="J411" s="214" t="s">
        <v>4835</v>
      </c>
      <c r="K411" s="223" t="s">
        <v>9288</v>
      </c>
      <c r="L411" s="214" t="s">
        <v>10584</v>
      </c>
      <c r="M411" s="214" t="s">
        <v>9938</v>
      </c>
      <c r="P411" s="120"/>
    </row>
    <row r="412" spans="1:16">
      <c r="A412" s="214" t="s">
        <v>1018</v>
      </c>
      <c r="B412" s="214" t="s">
        <v>405</v>
      </c>
      <c r="C412" s="222" t="s">
        <v>404</v>
      </c>
      <c r="D412" s="222" t="s">
        <v>406</v>
      </c>
      <c r="E412" s="222" t="s">
        <v>3761</v>
      </c>
      <c r="F412" s="214" t="s">
        <v>3762</v>
      </c>
      <c r="G412" s="214" t="s">
        <v>4123</v>
      </c>
      <c r="H412" s="214" t="s">
        <v>3761</v>
      </c>
      <c r="I412" s="214" t="s">
        <v>3763</v>
      </c>
      <c r="J412" s="214" t="s">
        <v>4836</v>
      </c>
      <c r="K412" s="223" t="s">
        <v>9170</v>
      </c>
      <c r="L412" s="214" t="s">
        <v>10419</v>
      </c>
      <c r="M412" s="214" t="s">
        <v>9827</v>
      </c>
      <c r="P412" s="120"/>
    </row>
    <row r="413" spans="1:16">
      <c r="A413" s="214" t="s">
        <v>1019</v>
      </c>
      <c r="B413" s="214" t="s">
        <v>1020</v>
      </c>
      <c r="C413" s="222" t="s">
        <v>1004</v>
      </c>
      <c r="D413" s="222" t="s">
        <v>1021</v>
      </c>
      <c r="E413" s="222" t="s">
        <v>4837</v>
      </c>
      <c r="F413" s="214" t="s">
        <v>4838</v>
      </c>
      <c r="G413" s="214" t="s">
        <v>4839</v>
      </c>
      <c r="H413" s="214" t="s">
        <v>4840</v>
      </c>
      <c r="I413" s="214" t="s">
        <v>4841</v>
      </c>
      <c r="J413" s="214" t="s">
        <v>4842</v>
      </c>
      <c r="K413" s="223" t="s">
        <v>9289</v>
      </c>
      <c r="L413" s="214" t="s">
        <v>10585</v>
      </c>
      <c r="M413" s="214" t="s">
        <v>9939</v>
      </c>
      <c r="P413" s="120"/>
    </row>
    <row r="414" spans="1:16">
      <c r="A414" s="214" t="s">
        <v>2334</v>
      </c>
      <c r="B414" s="214" t="s">
        <v>1158</v>
      </c>
      <c r="C414" s="222" t="s">
        <v>1157</v>
      </c>
      <c r="D414" s="222" t="s">
        <v>1159</v>
      </c>
      <c r="E414" s="222" t="s">
        <v>4843</v>
      </c>
      <c r="F414" s="214" t="s">
        <v>4844</v>
      </c>
      <c r="G414" s="214" t="s">
        <v>4845</v>
      </c>
      <c r="H414" s="214" t="s">
        <v>4846</v>
      </c>
      <c r="I414" s="214" t="s">
        <v>4847</v>
      </c>
      <c r="J414" s="214" t="s">
        <v>4848</v>
      </c>
      <c r="K414" s="223" t="s">
        <v>9290</v>
      </c>
      <c r="L414" s="214" t="s">
        <v>10586</v>
      </c>
      <c r="M414" s="214" t="s">
        <v>9940</v>
      </c>
      <c r="P414" s="120"/>
    </row>
    <row r="415" spans="1:16">
      <c r="A415" s="214" t="s">
        <v>1022</v>
      </c>
      <c r="B415" s="214" t="s">
        <v>1025</v>
      </c>
      <c r="C415" s="222" t="s">
        <v>1024</v>
      </c>
      <c r="D415" s="222" t="s">
        <v>1026</v>
      </c>
      <c r="E415" s="222" t="s">
        <v>4849</v>
      </c>
      <c r="F415" s="214" t="s">
        <v>4850</v>
      </c>
      <c r="G415" s="214" t="s">
        <v>4851</v>
      </c>
      <c r="H415" s="214" t="s">
        <v>4849</v>
      </c>
      <c r="I415" s="214" t="s">
        <v>4852</v>
      </c>
      <c r="J415" s="214" t="s">
        <v>4853</v>
      </c>
      <c r="K415" s="223" t="s">
        <v>9291</v>
      </c>
      <c r="L415" s="214" t="s">
        <v>10587</v>
      </c>
      <c r="M415" s="214" t="s">
        <v>9941</v>
      </c>
      <c r="P415" s="120"/>
    </row>
    <row r="416" spans="1:16">
      <c r="A416" s="214" t="s">
        <v>1027</v>
      </c>
      <c r="B416" s="214" t="s">
        <v>1025</v>
      </c>
      <c r="C416" s="222" t="s">
        <v>1024</v>
      </c>
      <c r="D416" s="222" t="s">
        <v>1026</v>
      </c>
      <c r="E416" s="222" t="s">
        <v>4849</v>
      </c>
      <c r="F416" s="214" t="s">
        <v>4850</v>
      </c>
      <c r="G416" s="214" t="s">
        <v>4851</v>
      </c>
      <c r="H416" s="214" t="s">
        <v>4849</v>
      </c>
      <c r="I416" s="214" t="s">
        <v>4852</v>
      </c>
      <c r="J416" s="214" t="s">
        <v>4853</v>
      </c>
      <c r="K416" s="223" t="s">
        <v>9291</v>
      </c>
      <c r="L416" s="214" t="s">
        <v>10587</v>
      </c>
      <c r="M416" s="214" t="s">
        <v>9941</v>
      </c>
      <c r="P416" s="120"/>
    </row>
    <row r="417" spans="1:16">
      <c r="A417" s="214" t="s">
        <v>1029</v>
      </c>
      <c r="B417" s="214" t="s">
        <v>1031</v>
      </c>
      <c r="C417" s="222" t="s">
        <v>652</v>
      </c>
      <c r="D417" s="222" t="s">
        <v>1032</v>
      </c>
      <c r="E417" s="222" t="s">
        <v>4854</v>
      </c>
      <c r="F417" s="214" t="s">
        <v>4107</v>
      </c>
      <c r="G417" s="214" t="s">
        <v>4108</v>
      </c>
      <c r="H417" s="214" t="s">
        <v>4855</v>
      </c>
      <c r="I417" s="214" t="s">
        <v>4131</v>
      </c>
      <c r="J417" s="214" t="s">
        <v>4111</v>
      </c>
      <c r="K417" s="223" t="s">
        <v>9292</v>
      </c>
      <c r="L417" s="214" t="s">
        <v>10588</v>
      </c>
      <c r="M417" s="214" t="s">
        <v>9829</v>
      </c>
      <c r="P417" s="120"/>
    </row>
    <row r="418" spans="1:16">
      <c r="A418" s="214" t="s">
        <v>4856</v>
      </c>
      <c r="B418" s="214" t="s">
        <v>4858</v>
      </c>
      <c r="C418" s="222" t="s">
        <v>4857</v>
      </c>
      <c r="D418" s="222" t="s">
        <v>4859</v>
      </c>
      <c r="E418" s="222" t="s">
        <v>4860</v>
      </c>
      <c r="F418" s="214" t="s">
        <v>4861</v>
      </c>
      <c r="G418" s="214" t="s">
        <v>4862</v>
      </c>
      <c r="H418" s="214" t="s">
        <v>4863</v>
      </c>
      <c r="I418" s="214" t="s">
        <v>4864</v>
      </c>
      <c r="J418" s="214" t="s">
        <v>4865</v>
      </c>
      <c r="K418" s="223" t="s">
        <v>9293</v>
      </c>
      <c r="L418" s="214" t="s">
        <v>10589</v>
      </c>
      <c r="M418" s="214" t="s">
        <v>9942</v>
      </c>
      <c r="P418" s="120"/>
    </row>
    <row r="419" spans="1:16">
      <c r="A419" s="214" t="s">
        <v>4866</v>
      </c>
      <c r="B419" s="214" t="s">
        <v>1031</v>
      </c>
      <c r="C419" s="222" t="s">
        <v>652</v>
      </c>
      <c r="D419" s="222" t="s">
        <v>1032</v>
      </c>
      <c r="E419" s="222" t="s">
        <v>4854</v>
      </c>
      <c r="F419" s="214" t="s">
        <v>4107</v>
      </c>
      <c r="G419" s="214" t="s">
        <v>4108</v>
      </c>
      <c r="H419" s="214" t="s">
        <v>4855</v>
      </c>
      <c r="I419" s="214" t="s">
        <v>4131</v>
      </c>
      <c r="J419" s="214" t="s">
        <v>4111</v>
      </c>
      <c r="K419" s="223" t="s">
        <v>9292</v>
      </c>
      <c r="L419" s="214" t="s">
        <v>10588</v>
      </c>
      <c r="M419" s="214" t="s">
        <v>9829</v>
      </c>
      <c r="P419" s="120"/>
    </row>
    <row r="420" spans="1:16">
      <c r="A420" s="214" t="s">
        <v>1033</v>
      </c>
      <c r="B420" s="214" t="s">
        <v>405</v>
      </c>
      <c r="C420" s="222" t="s">
        <v>404</v>
      </c>
      <c r="D420" s="222" t="s">
        <v>406</v>
      </c>
      <c r="E420" s="222" t="s">
        <v>3761</v>
      </c>
      <c r="F420" s="214" t="s">
        <v>3762</v>
      </c>
      <c r="G420" s="214" t="s">
        <v>4123</v>
      </c>
      <c r="H420" s="214" t="s">
        <v>3761</v>
      </c>
      <c r="I420" s="214" t="s">
        <v>3763</v>
      </c>
      <c r="J420" s="214" t="s">
        <v>4867</v>
      </c>
      <c r="K420" s="223" t="s">
        <v>9170</v>
      </c>
      <c r="L420" s="214" t="s">
        <v>10419</v>
      </c>
      <c r="M420" s="214" t="s">
        <v>9827</v>
      </c>
      <c r="P420" s="120"/>
    </row>
    <row r="421" spans="1:16">
      <c r="A421" s="214" t="s">
        <v>1034</v>
      </c>
      <c r="B421" s="214" t="s">
        <v>405</v>
      </c>
      <c r="C421" s="222" t="s">
        <v>404</v>
      </c>
      <c r="D421" s="222" t="s">
        <v>406</v>
      </c>
      <c r="E421" s="222" t="s">
        <v>3761</v>
      </c>
      <c r="F421" s="214" t="s">
        <v>3762</v>
      </c>
      <c r="G421" s="214" t="s">
        <v>4123</v>
      </c>
      <c r="H421" s="214" t="s">
        <v>3761</v>
      </c>
      <c r="I421" s="214" t="s">
        <v>3763</v>
      </c>
      <c r="J421" s="214" t="s">
        <v>4867</v>
      </c>
      <c r="K421" s="223" t="s">
        <v>9170</v>
      </c>
      <c r="L421" s="214" t="s">
        <v>10419</v>
      </c>
      <c r="M421" s="214" t="s">
        <v>9827</v>
      </c>
      <c r="P421" s="120"/>
    </row>
    <row r="422" spans="1:16">
      <c r="A422" s="214" t="s">
        <v>1036</v>
      </c>
      <c r="B422" s="214" t="s">
        <v>405</v>
      </c>
      <c r="C422" s="222" t="s">
        <v>404</v>
      </c>
      <c r="D422" s="222" t="s">
        <v>406</v>
      </c>
      <c r="E422" s="222" t="s">
        <v>3761</v>
      </c>
      <c r="F422" s="214" t="s">
        <v>3762</v>
      </c>
      <c r="G422" s="214" t="s">
        <v>4123</v>
      </c>
      <c r="H422" s="214" t="s">
        <v>3761</v>
      </c>
      <c r="I422" s="214" t="s">
        <v>3763</v>
      </c>
      <c r="J422" s="214" t="s">
        <v>4867</v>
      </c>
      <c r="K422" s="223" t="s">
        <v>9170</v>
      </c>
      <c r="L422" s="214" t="s">
        <v>10419</v>
      </c>
      <c r="M422" s="214" t="s">
        <v>9827</v>
      </c>
      <c r="P422" s="120"/>
    </row>
    <row r="423" spans="1:16">
      <c r="A423" s="214" t="s">
        <v>1039</v>
      </c>
      <c r="B423" s="214" t="s">
        <v>405</v>
      </c>
      <c r="C423" s="222" t="s">
        <v>404</v>
      </c>
      <c r="D423" s="222" t="s">
        <v>406</v>
      </c>
      <c r="E423" s="222" t="s">
        <v>3761</v>
      </c>
      <c r="F423" s="214" t="s">
        <v>3762</v>
      </c>
      <c r="G423" s="214" t="s">
        <v>4123</v>
      </c>
      <c r="H423" s="214" t="s">
        <v>3761</v>
      </c>
      <c r="I423" s="214" t="s">
        <v>3763</v>
      </c>
      <c r="J423" s="214" t="s">
        <v>4867</v>
      </c>
      <c r="K423" s="223" t="s">
        <v>9170</v>
      </c>
      <c r="L423" s="214" t="s">
        <v>10419</v>
      </c>
      <c r="M423" s="214" t="s">
        <v>9827</v>
      </c>
      <c r="P423" s="120"/>
    </row>
    <row r="424" spans="1:16">
      <c r="A424" s="214" t="s">
        <v>1041</v>
      </c>
      <c r="B424" s="214" t="s">
        <v>405</v>
      </c>
      <c r="C424" s="222" t="s">
        <v>404</v>
      </c>
      <c r="D424" s="222" t="s">
        <v>406</v>
      </c>
      <c r="E424" s="222" t="s">
        <v>3761</v>
      </c>
      <c r="F424" s="214" t="s">
        <v>3762</v>
      </c>
      <c r="G424" s="214" t="s">
        <v>4123</v>
      </c>
      <c r="H424" s="214" t="s">
        <v>3761</v>
      </c>
      <c r="I424" s="214" t="s">
        <v>3763</v>
      </c>
      <c r="J424" s="214" t="s">
        <v>4867</v>
      </c>
      <c r="K424" s="223" t="s">
        <v>9170</v>
      </c>
      <c r="L424" s="214" t="s">
        <v>10419</v>
      </c>
      <c r="M424" s="214" t="s">
        <v>9827</v>
      </c>
      <c r="P424" s="120"/>
    </row>
    <row r="425" spans="1:16">
      <c r="A425" s="214" t="s">
        <v>1043</v>
      </c>
      <c r="B425" s="214" t="s">
        <v>1031</v>
      </c>
      <c r="C425" s="222" t="s">
        <v>652</v>
      </c>
      <c r="D425" s="222" t="s">
        <v>1032</v>
      </c>
      <c r="E425" s="222" t="s">
        <v>4854</v>
      </c>
      <c r="F425" s="214" t="s">
        <v>4107</v>
      </c>
      <c r="G425" s="214" t="s">
        <v>4108</v>
      </c>
      <c r="H425" s="214" t="s">
        <v>4855</v>
      </c>
      <c r="I425" s="214" t="s">
        <v>4131</v>
      </c>
      <c r="J425" s="214" t="s">
        <v>4111</v>
      </c>
      <c r="K425" s="223" t="s">
        <v>9292</v>
      </c>
      <c r="L425" s="214" t="s">
        <v>10588</v>
      </c>
      <c r="M425" s="214" t="s">
        <v>9829</v>
      </c>
      <c r="P425" s="120"/>
    </row>
    <row r="426" spans="1:16">
      <c r="A426" s="214" t="s">
        <v>1044</v>
      </c>
      <c r="B426" s="214" t="s">
        <v>405</v>
      </c>
      <c r="C426" s="222" t="s">
        <v>404</v>
      </c>
      <c r="D426" s="222" t="s">
        <v>406</v>
      </c>
      <c r="E426" s="222" t="s">
        <v>3761</v>
      </c>
      <c r="F426" s="214" t="s">
        <v>3762</v>
      </c>
      <c r="G426" s="214" t="s">
        <v>4123</v>
      </c>
      <c r="H426" s="214" t="s">
        <v>3761</v>
      </c>
      <c r="I426" s="214" t="s">
        <v>3763</v>
      </c>
      <c r="J426" s="214" t="s">
        <v>4867</v>
      </c>
      <c r="K426" s="223" t="s">
        <v>9170</v>
      </c>
      <c r="L426" s="214" t="s">
        <v>10419</v>
      </c>
      <c r="M426" s="214" t="s">
        <v>9827</v>
      </c>
      <c r="P426" s="120"/>
    </row>
    <row r="427" spans="1:16">
      <c r="A427" s="214" t="s">
        <v>1045</v>
      </c>
      <c r="B427" s="214" t="s">
        <v>405</v>
      </c>
      <c r="C427" s="222" t="s">
        <v>404</v>
      </c>
      <c r="D427" s="222" t="s">
        <v>406</v>
      </c>
      <c r="E427" s="222" t="s">
        <v>3761</v>
      </c>
      <c r="F427" s="214" t="s">
        <v>3762</v>
      </c>
      <c r="G427" s="214" t="s">
        <v>4123</v>
      </c>
      <c r="H427" s="214" t="s">
        <v>3761</v>
      </c>
      <c r="I427" s="214" t="s">
        <v>3763</v>
      </c>
      <c r="J427" s="214" t="s">
        <v>4867</v>
      </c>
      <c r="K427" s="223" t="s">
        <v>9170</v>
      </c>
      <c r="L427" s="214" t="s">
        <v>10419</v>
      </c>
      <c r="M427" s="214" t="s">
        <v>9827</v>
      </c>
      <c r="P427" s="120"/>
    </row>
    <row r="428" spans="1:16">
      <c r="A428" s="214" t="s">
        <v>1046</v>
      </c>
      <c r="B428" s="214" t="s">
        <v>405</v>
      </c>
      <c r="C428" s="222" t="s">
        <v>404</v>
      </c>
      <c r="D428" s="222" t="s">
        <v>406</v>
      </c>
      <c r="E428" s="222" t="s">
        <v>3761</v>
      </c>
      <c r="F428" s="214" t="s">
        <v>3762</v>
      </c>
      <c r="G428" s="214" t="s">
        <v>4123</v>
      </c>
      <c r="H428" s="214" t="s">
        <v>3761</v>
      </c>
      <c r="I428" s="214" t="s">
        <v>3763</v>
      </c>
      <c r="J428" s="214" t="s">
        <v>4867</v>
      </c>
      <c r="K428" s="223" t="s">
        <v>9170</v>
      </c>
      <c r="L428" s="214" t="s">
        <v>10419</v>
      </c>
      <c r="M428" s="214" t="s">
        <v>9827</v>
      </c>
      <c r="P428" s="120"/>
    </row>
    <row r="429" spans="1:16">
      <c r="A429" s="214" t="s">
        <v>1047</v>
      </c>
      <c r="B429" s="214" t="s">
        <v>405</v>
      </c>
      <c r="C429" s="222" t="s">
        <v>404</v>
      </c>
      <c r="D429" s="222" t="s">
        <v>406</v>
      </c>
      <c r="E429" s="222" t="s">
        <v>3761</v>
      </c>
      <c r="F429" s="214" t="s">
        <v>3762</v>
      </c>
      <c r="G429" s="214" t="s">
        <v>4123</v>
      </c>
      <c r="H429" s="214" t="s">
        <v>3761</v>
      </c>
      <c r="I429" s="214" t="s">
        <v>3763</v>
      </c>
      <c r="J429" s="214" t="s">
        <v>4867</v>
      </c>
      <c r="K429" s="223" t="s">
        <v>9170</v>
      </c>
      <c r="L429" s="214" t="s">
        <v>10419</v>
      </c>
      <c r="M429" s="214" t="s">
        <v>9827</v>
      </c>
      <c r="P429" s="120"/>
    </row>
    <row r="430" spans="1:16">
      <c r="A430" s="214" t="s">
        <v>2337</v>
      </c>
      <c r="B430" s="214" t="s">
        <v>1031</v>
      </c>
      <c r="C430" s="222" t="s">
        <v>652</v>
      </c>
      <c r="D430" s="222" t="s">
        <v>1032</v>
      </c>
      <c r="E430" s="222" t="s">
        <v>4854</v>
      </c>
      <c r="F430" s="214" t="s">
        <v>4107</v>
      </c>
      <c r="G430" s="214" t="s">
        <v>4108</v>
      </c>
      <c r="H430" s="214" t="s">
        <v>4855</v>
      </c>
      <c r="I430" s="214" t="s">
        <v>4131</v>
      </c>
      <c r="J430" s="214" t="s">
        <v>4111</v>
      </c>
      <c r="K430" s="223" t="s">
        <v>9292</v>
      </c>
      <c r="L430" s="214" t="s">
        <v>10588</v>
      </c>
      <c r="M430" s="214" t="s">
        <v>9829</v>
      </c>
      <c r="P430" s="120"/>
    </row>
    <row r="431" spans="1:16">
      <c r="A431" s="214" t="s">
        <v>2338</v>
      </c>
      <c r="B431" s="214" t="s">
        <v>2615</v>
      </c>
      <c r="C431" s="222" t="s">
        <v>404</v>
      </c>
      <c r="D431" s="222" t="s">
        <v>406</v>
      </c>
      <c r="E431" s="222" t="s">
        <v>3761</v>
      </c>
      <c r="F431" s="214" t="s">
        <v>3762</v>
      </c>
      <c r="G431" s="214" t="s">
        <v>4123</v>
      </c>
      <c r="H431" s="214" t="s">
        <v>3761</v>
      </c>
      <c r="I431" s="214" t="s">
        <v>4868</v>
      </c>
      <c r="J431" s="214" t="s">
        <v>4867</v>
      </c>
      <c r="K431" s="223" t="s">
        <v>9170</v>
      </c>
      <c r="L431" s="214" t="s">
        <v>10419</v>
      </c>
      <c r="M431" s="214" t="s">
        <v>9827</v>
      </c>
      <c r="P431" s="120"/>
    </row>
    <row r="432" spans="1:16">
      <c r="A432" s="214" t="s">
        <v>1048</v>
      </c>
      <c r="B432" s="214" t="s">
        <v>772</v>
      </c>
      <c r="C432" s="222" t="s">
        <v>771</v>
      </c>
      <c r="D432" s="222" t="s">
        <v>773</v>
      </c>
      <c r="E432" s="222" t="s">
        <v>4869</v>
      </c>
      <c r="F432" s="214" t="s">
        <v>4489</v>
      </c>
      <c r="G432" s="214" t="s">
        <v>4870</v>
      </c>
      <c r="H432" s="214" t="s">
        <v>4491</v>
      </c>
      <c r="I432" s="214" t="s">
        <v>4871</v>
      </c>
      <c r="J432" s="214" t="s">
        <v>4872</v>
      </c>
      <c r="K432" s="223" t="s">
        <v>9280</v>
      </c>
      <c r="L432" s="214" t="s">
        <v>10529</v>
      </c>
      <c r="M432" s="214" t="s">
        <v>9882</v>
      </c>
      <c r="P432" s="120"/>
    </row>
    <row r="433" spans="1:16">
      <c r="A433" s="214" t="s">
        <v>1050</v>
      </c>
      <c r="B433" s="214" t="s">
        <v>772</v>
      </c>
      <c r="C433" s="222" t="s">
        <v>771</v>
      </c>
      <c r="D433" s="222" t="s">
        <v>773</v>
      </c>
      <c r="E433" s="222" t="s">
        <v>4869</v>
      </c>
      <c r="F433" s="214" t="s">
        <v>4489</v>
      </c>
      <c r="G433" s="214" t="s">
        <v>4870</v>
      </c>
      <c r="H433" s="214" t="s">
        <v>4491</v>
      </c>
      <c r="I433" s="214" t="s">
        <v>4871</v>
      </c>
      <c r="J433" s="214" t="s">
        <v>4872</v>
      </c>
      <c r="K433" s="223" t="s">
        <v>9280</v>
      </c>
      <c r="L433" s="214" t="s">
        <v>10529</v>
      </c>
      <c r="M433" s="214" t="s">
        <v>9882</v>
      </c>
      <c r="P433" s="120"/>
    </row>
    <row r="434" spans="1:16">
      <c r="A434" s="214" t="s">
        <v>1051</v>
      </c>
      <c r="B434" s="214" t="s">
        <v>772</v>
      </c>
      <c r="C434" s="222" t="s">
        <v>771</v>
      </c>
      <c r="D434" s="226" t="s">
        <v>773</v>
      </c>
      <c r="E434" s="226" t="s">
        <v>4869</v>
      </c>
      <c r="F434" s="214" t="s">
        <v>4489</v>
      </c>
      <c r="G434" s="214" t="s">
        <v>4870</v>
      </c>
      <c r="H434" s="214" t="s">
        <v>4491</v>
      </c>
      <c r="I434" s="214" t="s">
        <v>4871</v>
      </c>
      <c r="J434" s="214" t="s">
        <v>4872</v>
      </c>
      <c r="K434" s="223" t="s">
        <v>9280</v>
      </c>
      <c r="L434" s="214" t="s">
        <v>10529</v>
      </c>
      <c r="M434" s="214" t="s">
        <v>9882</v>
      </c>
      <c r="P434" s="120"/>
    </row>
    <row r="435" spans="1:16">
      <c r="A435" s="214" t="s">
        <v>1053</v>
      </c>
      <c r="B435" s="214" t="s">
        <v>772</v>
      </c>
      <c r="C435" s="222" t="s">
        <v>771</v>
      </c>
      <c r="D435" s="227" t="s">
        <v>773</v>
      </c>
      <c r="E435" s="226" t="s">
        <v>4869</v>
      </c>
      <c r="F435" s="214" t="s">
        <v>4489</v>
      </c>
      <c r="G435" s="214" t="s">
        <v>4870</v>
      </c>
      <c r="H435" s="214" t="s">
        <v>4491</v>
      </c>
      <c r="I435" s="214" t="s">
        <v>4871</v>
      </c>
      <c r="J435" s="214" t="s">
        <v>4872</v>
      </c>
      <c r="K435" s="223" t="s">
        <v>9280</v>
      </c>
      <c r="L435" s="214" t="s">
        <v>10529</v>
      </c>
      <c r="M435" s="214" t="s">
        <v>9882</v>
      </c>
      <c r="P435" s="120"/>
    </row>
    <row r="436" spans="1:16">
      <c r="A436" s="214" t="s">
        <v>1054</v>
      </c>
      <c r="B436" s="214" t="s">
        <v>772</v>
      </c>
      <c r="C436" s="222" t="s">
        <v>771</v>
      </c>
      <c r="D436" s="226" t="s">
        <v>773</v>
      </c>
      <c r="E436" s="226" t="s">
        <v>4869</v>
      </c>
      <c r="F436" s="214" t="s">
        <v>4489</v>
      </c>
      <c r="G436" s="214" t="s">
        <v>4870</v>
      </c>
      <c r="H436" s="214" t="s">
        <v>4491</v>
      </c>
      <c r="I436" s="214" t="s">
        <v>4871</v>
      </c>
      <c r="J436" s="214" t="s">
        <v>4872</v>
      </c>
      <c r="K436" s="223" t="s">
        <v>9280</v>
      </c>
      <c r="L436" s="214" t="s">
        <v>10529</v>
      </c>
      <c r="M436" s="214" t="s">
        <v>9882</v>
      </c>
      <c r="P436" s="120"/>
    </row>
    <row r="437" spans="1:16">
      <c r="A437" s="214" t="s">
        <v>1056</v>
      </c>
      <c r="B437" s="214" t="s">
        <v>772</v>
      </c>
      <c r="C437" s="222" t="s">
        <v>771</v>
      </c>
      <c r="D437" s="226" t="s">
        <v>773</v>
      </c>
      <c r="E437" s="226" t="s">
        <v>4869</v>
      </c>
      <c r="F437" s="214" t="s">
        <v>4489</v>
      </c>
      <c r="G437" s="214" t="s">
        <v>4870</v>
      </c>
      <c r="H437" s="214" t="s">
        <v>4491</v>
      </c>
      <c r="I437" s="214" t="s">
        <v>4871</v>
      </c>
      <c r="J437" s="214" t="s">
        <v>4872</v>
      </c>
      <c r="K437" s="223" t="s">
        <v>9280</v>
      </c>
      <c r="L437" s="214" t="s">
        <v>10529</v>
      </c>
      <c r="M437" s="214" t="s">
        <v>9882</v>
      </c>
      <c r="P437" s="120"/>
    </row>
    <row r="438" spans="1:16">
      <c r="A438" s="214" t="s">
        <v>1058</v>
      </c>
      <c r="B438" s="214" t="s">
        <v>772</v>
      </c>
      <c r="C438" s="222" t="s">
        <v>771</v>
      </c>
      <c r="D438" s="226" t="s">
        <v>773</v>
      </c>
      <c r="E438" s="226" t="s">
        <v>4869</v>
      </c>
      <c r="F438" s="214" t="s">
        <v>4489</v>
      </c>
      <c r="G438" s="214" t="s">
        <v>4870</v>
      </c>
      <c r="H438" s="214" t="s">
        <v>4491</v>
      </c>
      <c r="I438" s="214" t="s">
        <v>4871</v>
      </c>
      <c r="J438" s="214" t="s">
        <v>4872</v>
      </c>
      <c r="K438" s="223" t="s">
        <v>9280</v>
      </c>
      <c r="L438" s="214" t="s">
        <v>10529</v>
      </c>
      <c r="M438" s="214" t="s">
        <v>9882</v>
      </c>
      <c r="P438" s="120"/>
    </row>
    <row r="439" spans="1:16">
      <c r="A439" s="214" t="s">
        <v>1060</v>
      </c>
      <c r="B439" s="214" t="s">
        <v>772</v>
      </c>
      <c r="C439" s="222" t="s">
        <v>771</v>
      </c>
      <c r="D439" s="226" t="s">
        <v>773</v>
      </c>
      <c r="E439" s="226" t="s">
        <v>4869</v>
      </c>
      <c r="F439" s="214" t="s">
        <v>4489</v>
      </c>
      <c r="G439" s="214" t="s">
        <v>4870</v>
      </c>
      <c r="H439" s="214" t="s">
        <v>4491</v>
      </c>
      <c r="I439" s="214" t="s">
        <v>4871</v>
      </c>
      <c r="J439" s="214" t="s">
        <v>4493</v>
      </c>
      <c r="K439" s="223" t="s">
        <v>9280</v>
      </c>
      <c r="L439" s="214" t="s">
        <v>10529</v>
      </c>
      <c r="M439" s="214" t="s">
        <v>9882</v>
      </c>
      <c r="P439" s="120"/>
    </row>
    <row r="440" spans="1:16">
      <c r="A440" s="214" t="s">
        <v>1061</v>
      </c>
      <c r="B440" s="214" t="s">
        <v>772</v>
      </c>
      <c r="C440" s="222" t="s">
        <v>771</v>
      </c>
      <c r="D440" s="226" t="s">
        <v>773</v>
      </c>
      <c r="E440" s="226" t="s">
        <v>4869</v>
      </c>
      <c r="F440" s="214" t="s">
        <v>4489</v>
      </c>
      <c r="G440" s="214" t="s">
        <v>4870</v>
      </c>
      <c r="H440" s="214" t="s">
        <v>4491</v>
      </c>
      <c r="I440" s="214" t="s">
        <v>4871</v>
      </c>
      <c r="J440" s="214" t="s">
        <v>4493</v>
      </c>
      <c r="K440" s="223" t="s">
        <v>9280</v>
      </c>
      <c r="L440" s="214" t="s">
        <v>10529</v>
      </c>
      <c r="M440" s="214" t="s">
        <v>9882</v>
      </c>
      <c r="P440" s="120"/>
    </row>
    <row r="441" spans="1:16">
      <c r="A441" s="214" t="s">
        <v>1062</v>
      </c>
      <c r="B441" s="214" t="s">
        <v>772</v>
      </c>
      <c r="C441" s="222" t="s">
        <v>771</v>
      </c>
      <c r="D441" s="226" t="s">
        <v>773</v>
      </c>
      <c r="E441" s="226" t="s">
        <v>4869</v>
      </c>
      <c r="F441" s="214" t="s">
        <v>4489</v>
      </c>
      <c r="G441" s="214" t="s">
        <v>4870</v>
      </c>
      <c r="H441" s="214" t="s">
        <v>4491</v>
      </c>
      <c r="I441" s="214" t="s">
        <v>4871</v>
      </c>
      <c r="J441" s="214" t="s">
        <v>4493</v>
      </c>
      <c r="K441" s="223" t="s">
        <v>9280</v>
      </c>
      <c r="L441" s="214" t="s">
        <v>10529</v>
      </c>
      <c r="M441" s="214" t="s">
        <v>9882</v>
      </c>
      <c r="P441" s="120"/>
    </row>
    <row r="442" spans="1:16">
      <c r="A442" s="214" t="s">
        <v>1063</v>
      </c>
      <c r="B442" s="214" t="s">
        <v>1066</v>
      </c>
      <c r="C442" s="222" t="s">
        <v>1065</v>
      </c>
      <c r="D442" s="226" t="s">
        <v>1067</v>
      </c>
      <c r="E442" s="226" t="s">
        <v>4874</v>
      </c>
      <c r="F442" s="214" t="s">
        <v>4875</v>
      </c>
      <c r="G442" s="214" t="s">
        <v>4876</v>
      </c>
      <c r="H442" s="214" t="s">
        <v>4877</v>
      </c>
      <c r="I442" s="214" t="s">
        <v>4878</v>
      </c>
      <c r="J442" s="214" t="s">
        <v>4879</v>
      </c>
      <c r="K442" s="223" t="s">
        <v>9294</v>
      </c>
      <c r="L442" s="214" t="s">
        <v>10590</v>
      </c>
      <c r="M442" s="214" t="s">
        <v>9943</v>
      </c>
      <c r="P442" s="120"/>
    </row>
    <row r="443" spans="1:16">
      <c r="A443" s="214" t="s">
        <v>1068</v>
      </c>
      <c r="B443" s="214" t="s">
        <v>1071</v>
      </c>
      <c r="C443" s="222" t="s">
        <v>1070</v>
      </c>
      <c r="D443" s="226" t="s">
        <v>1072</v>
      </c>
      <c r="E443" s="226" t="s">
        <v>4880</v>
      </c>
      <c r="F443" s="214" t="s">
        <v>4881</v>
      </c>
      <c r="G443" s="214" t="s">
        <v>4882</v>
      </c>
      <c r="H443" s="214" t="s">
        <v>4883</v>
      </c>
      <c r="I443" s="214" t="s">
        <v>4884</v>
      </c>
      <c r="J443" s="214" t="s">
        <v>4885</v>
      </c>
      <c r="K443" s="223" t="s">
        <v>9295</v>
      </c>
      <c r="L443" s="214" t="s">
        <v>10591</v>
      </c>
      <c r="M443" s="214" t="s">
        <v>9944</v>
      </c>
      <c r="P443" s="120"/>
    </row>
    <row r="444" spans="1:16">
      <c r="A444" s="214" t="s">
        <v>1073</v>
      </c>
      <c r="B444" s="214" t="s">
        <v>1076</v>
      </c>
      <c r="C444" s="222" t="s">
        <v>1075</v>
      </c>
      <c r="D444" s="226" t="s">
        <v>1077</v>
      </c>
      <c r="E444" s="226" t="s">
        <v>4886</v>
      </c>
      <c r="F444" s="214" t="s">
        <v>4887</v>
      </c>
      <c r="G444" s="214" t="s">
        <v>4888</v>
      </c>
      <c r="H444" s="214" t="s">
        <v>4889</v>
      </c>
      <c r="I444" s="214" t="s">
        <v>4890</v>
      </c>
      <c r="J444" s="214" t="s">
        <v>4891</v>
      </c>
      <c r="K444" s="223" t="s">
        <v>9296</v>
      </c>
      <c r="L444" s="214" t="s">
        <v>10592</v>
      </c>
      <c r="M444" s="214" t="s">
        <v>9945</v>
      </c>
      <c r="P444" s="120"/>
    </row>
    <row r="445" spans="1:16">
      <c r="A445" s="214" t="s">
        <v>1082</v>
      </c>
      <c r="B445" s="214" t="s">
        <v>1080</v>
      </c>
      <c r="C445" s="222" t="s">
        <v>1079</v>
      </c>
      <c r="D445" s="226" t="s">
        <v>1081</v>
      </c>
      <c r="E445" s="226" t="s">
        <v>4892</v>
      </c>
      <c r="F445" s="214" t="s">
        <v>4893</v>
      </c>
      <c r="G445" s="214" t="s">
        <v>4894</v>
      </c>
      <c r="H445" s="214" t="s">
        <v>4895</v>
      </c>
      <c r="I445" s="214" t="s">
        <v>4896</v>
      </c>
      <c r="J445" s="214" t="s">
        <v>4897</v>
      </c>
      <c r="K445" s="223" t="s">
        <v>9297</v>
      </c>
      <c r="L445" s="214" t="s">
        <v>10593</v>
      </c>
      <c r="M445" s="214" t="s">
        <v>9946</v>
      </c>
      <c r="P445" s="120"/>
    </row>
    <row r="446" spans="1:16">
      <c r="A446" s="214" t="s">
        <v>1084</v>
      </c>
      <c r="B446" s="214" t="s">
        <v>810</v>
      </c>
      <c r="C446" s="222" t="s">
        <v>809</v>
      </c>
      <c r="D446" s="222" t="s">
        <v>1085</v>
      </c>
      <c r="E446" s="222" t="s">
        <v>4898</v>
      </c>
      <c r="F446" s="214" t="s">
        <v>4466</v>
      </c>
      <c r="G446" s="214" t="s">
        <v>4899</v>
      </c>
      <c r="H446" s="214" t="s">
        <v>4468</v>
      </c>
      <c r="I446" s="214" t="s">
        <v>4469</v>
      </c>
      <c r="J446" s="214" t="s">
        <v>4470</v>
      </c>
      <c r="K446" s="214" t="s">
        <v>9276</v>
      </c>
      <c r="L446" s="214" t="s">
        <v>10525</v>
      </c>
      <c r="M446" s="214" t="s">
        <v>9878</v>
      </c>
      <c r="P446" s="120"/>
    </row>
    <row r="447" spans="1:16">
      <c r="A447" s="214" t="s">
        <v>1086</v>
      </c>
      <c r="B447" s="214" t="s">
        <v>810</v>
      </c>
      <c r="C447" s="222" t="s">
        <v>809</v>
      </c>
      <c r="D447" s="222" t="s">
        <v>1085</v>
      </c>
      <c r="E447" s="222" t="s">
        <v>4898</v>
      </c>
      <c r="F447" s="214" t="s">
        <v>4466</v>
      </c>
      <c r="G447" s="214" t="s">
        <v>4899</v>
      </c>
      <c r="H447" s="214" t="s">
        <v>4468</v>
      </c>
      <c r="I447" s="214" t="s">
        <v>4469</v>
      </c>
      <c r="J447" s="214" t="s">
        <v>4470</v>
      </c>
      <c r="K447" s="214" t="s">
        <v>9276</v>
      </c>
      <c r="L447" s="214" t="s">
        <v>10525</v>
      </c>
      <c r="M447" s="214" t="s">
        <v>9878</v>
      </c>
      <c r="P447" s="120"/>
    </row>
    <row r="448" spans="1:16">
      <c r="A448" s="214" t="s">
        <v>1087</v>
      </c>
      <c r="B448" s="214" t="s">
        <v>810</v>
      </c>
      <c r="C448" s="222" t="s">
        <v>809</v>
      </c>
      <c r="D448" s="222" t="s">
        <v>1085</v>
      </c>
      <c r="E448" s="222" t="s">
        <v>4898</v>
      </c>
      <c r="F448" s="214" t="s">
        <v>4466</v>
      </c>
      <c r="G448" s="214" t="s">
        <v>4899</v>
      </c>
      <c r="H448" s="214" t="s">
        <v>4468</v>
      </c>
      <c r="I448" s="214" t="s">
        <v>4469</v>
      </c>
      <c r="J448" s="214" t="s">
        <v>4470</v>
      </c>
      <c r="K448" s="214" t="s">
        <v>9276</v>
      </c>
      <c r="L448" s="214" t="s">
        <v>10525</v>
      </c>
      <c r="M448" s="214" t="s">
        <v>9878</v>
      </c>
      <c r="P448" s="120"/>
    </row>
    <row r="449" spans="1:16">
      <c r="A449" s="214" t="s">
        <v>1088</v>
      </c>
      <c r="B449" s="214" t="s">
        <v>810</v>
      </c>
      <c r="C449" s="222" t="s">
        <v>809</v>
      </c>
      <c r="D449" s="222" t="s">
        <v>1085</v>
      </c>
      <c r="E449" s="222" t="s">
        <v>4898</v>
      </c>
      <c r="F449" s="214" t="s">
        <v>4466</v>
      </c>
      <c r="G449" s="214" t="s">
        <v>4899</v>
      </c>
      <c r="H449" s="214" t="s">
        <v>4468</v>
      </c>
      <c r="I449" s="214" t="s">
        <v>4469</v>
      </c>
      <c r="J449" s="214" t="s">
        <v>4470</v>
      </c>
      <c r="K449" s="214" t="s">
        <v>9276</v>
      </c>
      <c r="L449" s="214" t="s">
        <v>10525</v>
      </c>
      <c r="M449" s="214" t="s">
        <v>9878</v>
      </c>
      <c r="P449" s="120"/>
    </row>
    <row r="450" spans="1:16">
      <c r="A450" s="215" t="s">
        <v>1090</v>
      </c>
      <c r="B450" s="214" t="s">
        <v>810</v>
      </c>
      <c r="C450" s="222" t="s">
        <v>809</v>
      </c>
      <c r="D450" s="222" t="s">
        <v>1085</v>
      </c>
      <c r="E450" s="222" t="s">
        <v>4898</v>
      </c>
      <c r="F450" s="214" t="s">
        <v>4466</v>
      </c>
      <c r="G450" s="214" t="s">
        <v>4899</v>
      </c>
      <c r="H450" s="214" t="s">
        <v>4468</v>
      </c>
      <c r="I450" s="214" t="s">
        <v>4469</v>
      </c>
      <c r="J450" s="214" t="s">
        <v>4470</v>
      </c>
      <c r="K450" s="214" t="s">
        <v>9276</v>
      </c>
      <c r="L450" s="214" t="s">
        <v>10525</v>
      </c>
      <c r="M450" s="214" t="s">
        <v>9878</v>
      </c>
      <c r="P450" s="120"/>
    </row>
    <row r="451" spans="1:16">
      <c r="A451" s="214" t="s">
        <v>1093</v>
      </c>
      <c r="B451" s="214" t="s">
        <v>810</v>
      </c>
      <c r="C451" s="222" t="s">
        <v>809</v>
      </c>
      <c r="D451" s="222" t="s">
        <v>1085</v>
      </c>
      <c r="E451" s="222" t="s">
        <v>4898</v>
      </c>
      <c r="F451" s="214" t="s">
        <v>4466</v>
      </c>
      <c r="G451" s="214" t="s">
        <v>4899</v>
      </c>
      <c r="H451" s="214" t="s">
        <v>4468</v>
      </c>
      <c r="I451" s="214" t="s">
        <v>4469</v>
      </c>
      <c r="J451" s="214" t="s">
        <v>4470</v>
      </c>
      <c r="K451" s="214" t="s">
        <v>9276</v>
      </c>
      <c r="L451" s="214" t="s">
        <v>10525</v>
      </c>
      <c r="M451" s="214" t="s">
        <v>9878</v>
      </c>
      <c r="P451" s="120"/>
    </row>
    <row r="452" spans="1:16">
      <c r="A452" s="214" t="s">
        <v>1095</v>
      </c>
      <c r="B452" s="214" t="s">
        <v>810</v>
      </c>
      <c r="C452" s="222" t="s">
        <v>809</v>
      </c>
      <c r="D452" s="222" t="s">
        <v>1085</v>
      </c>
      <c r="E452" s="222" t="s">
        <v>4898</v>
      </c>
      <c r="F452" s="214" t="s">
        <v>4466</v>
      </c>
      <c r="G452" s="214" t="s">
        <v>4899</v>
      </c>
      <c r="H452" s="214" t="s">
        <v>4468</v>
      </c>
      <c r="I452" s="214" t="s">
        <v>4469</v>
      </c>
      <c r="J452" s="214" t="s">
        <v>4470</v>
      </c>
      <c r="K452" s="214" t="s">
        <v>9276</v>
      </c>
      <c r="L452" s="214" t="s">
        <v>10525</v>
      </c>
      <c r="M452" s="214" t="s">
        <v>9878</v>
      </c>
      <c r="P452" s="120"/>
    </row>
    <row r="453" spans="1:16">
      <c r="A453" s="214" t="s">
        <v>1096</v>
      </c>
      <c r="B453" s="214" t="s">
        <v>810</v>
      </c>
      <c r="C453" s="222" t="s">
        <v>809</v>
      </c>
      <c r="D453" s="222" t="s">
        <v>1085</v>
      </c>
      <c r="E453" s="222" t="s">
        <v>4898</v>
      </c>
      <c r="F453" s="214" t="s">
        <v>4466</v>
      </c>
      <c r="G453" s="214" t="s">
        <v>4899</v>
      </c>
      <c r="H453" s="214" t="s">
        <v>4468</v>
      </c>
      <c r="I453" s="214" t="s">
        <v>4469</v>
      </c>
      <c r="J453" s="214" t="s">
        <v>4470</v>
      </c>
      <c r="K453" s="214" t="s">
        <v>9276</v>
      </c>
      <c r="L453" s="214" t="s">
        <v>10525</v>
      </c>
      <c r="M453" s="214" t="s">
        <v>9878</v>
      </c>
      <c r="P453" s="120"/>
    </row>
    <row r="454" spans="1:16">
      <c r="A454" s="214" t="s">
        <v>1097</v>
      </c>
      <c r="B454" s="228" t="s">
        <v>810</v>
      </c>
      <c r="C454" s="222" t="s">
        <v>809</v>
      </c>
      <c r="D454" s="222" t="s">
        <v>1085</v>
      </c>
      <c r="E454" s="222" t="s">
        <v>4898</v>
      </c>
      <c r="F454" s="214" t="s">
        <v>4466</v>
      </c>
      <c r="G454" s="214" t="s">
        <v>4899</v>
      </c>
      <c r="H454" s="214" t="s">
        <v>4468</v>
      </c>
      <c r="I454" s="214" t="s">
        <v>4469</v>
      </c>
      <c r="J454" s="214" t="s">
        <v>4470</v>
      </c>
      <c r="K454" s="214" t="s">
        <v>9276</v>
      </c>
      <c r="L454" s="214" t="s">
        <v>10525</v>
      </c>
      <c r="M454" s="214" t="s">
        <v>9878</v>
      </c>
      <c r="P454" s="120"/>
    </row>
    <row r="455" spans="1:16">
      <c r="A455" s="214" t="s">
        <v>1098</v>
      </c>
      <c r="B455" s="214" t="s">
        <v>810</v>
      </c>
      <c r="C455" s="222" t="s">
        <v>809</v>
      </c>
      <c r="D455" s="222" t="s">
        <v>1085</v>
      </c>
      <c r="E455" s="222" t="s">
        <v>4898</v>
      </c>
      <c r="F455" s="214" t="s">
        <v>4466</v>
      </c>
      <c r="G455" s="214" t="s">
        <v>4899</v>
      </c>
      <c r="H455" s="214" t="s">
        <v>4468</v>
      </c>
      <c r="I455" s="214" t="s">
        <v>4469</v>
      </c>
      <c r="J455" s="214" t="s">
        <v>4470</v>
      </c>
      <c r="K455" s="214" t="s">
        <v>9276</v>
      </c>
      <c r="L455" s="214" t="s">
        <v>10525</v>
      </c>
      <c r="M455" s="214" t="s">
        <v>9878</v>
      </c>
      <c r="P455" s="120"/>
    </row>
    <row r="456" spans="1:16">
      <c r="A456" s="214" t="s">
        <v>1099</v>
      </c>
      <c r="B456" s="214" t="s">
        <v>810</v>
      </c>
      <c r="C456" s="222" t="s">
        <v>809</v>
      </c>
      <c r="D456" s="222" t="s">
        <v>1085</v>
      </c>
      <c r="E456" s="222" t="s">
        <v>4898</v>
      </c>
      <c r="F456" s="214" t="s">
        <v>4466</v>
      </c>
      <c r="G456" s="214" t="s">
        <v>4899</v>
      </c>
      <c r="H456" s="214" t="s">
        <v>4468</v>
      </c>
      <c r="I456" s="214" t="s">
        <v>4469</v>
      </c>
      <c r="J456" s="214" t="s">
        <v>4470</v>
      </c>
      <c r="K456" s="214" t="s">
        <v>9276</v>
      </c>
      <c r="L456" s="214" t="s">
        <v>10525</v>
      </c>
      <c r="M456" s="214" t="s">
        <v>9878</v>
      </c>
      <c r="P456" s="120"/>
    </row>
    <row r="457" spans="1:16">
      <c r="A457" s="215" t="s">
        <v>1101</v>
      </c>
      <c r="B457" s="214" t="s">
        <v>810</v>
      </c>
      <c r="C457" s="222" t="s">
        <v>809</v>
      </c>
      <c r="D457" s="222" t="s">
        <v>1085</v>
      </c>
      <c r="E457" s="222" t="s">
        <v>4898</v>
      </c>
      <c r="F457" s="214" t="s">
        <v>4466</v>
      </c>
      <c r="G457" s="214" t="s">
        <v>4899</v>
      </c>
      <c r="H457" s="214" t="s">
        <v>4468</v>
      </c>
      <c r="I457" s="214" t="s">
        <v>4469</v>
      </c>
      <c r="J457" s="214" t="s">
        <v>4470</v>
      </c>
      <c r="K457" s="214" t="s">
        <v>9276</v>
      </c>
      <c r="L457" s="214" t="s">
        <v>10525</v>
      </c>
      <c r="M457" s="214" t="s">
        <v>9878</v>
      </c>
      <c r="P457" s="120"/>
    </row>
    <row r="458" spans="1:16">
      <c r="A458" s="214" t="s">
        <v>1103</v>
      </c>
      <c r="B458" s="214" t="s">
        <v>810</v>
      </c>
      <c r="C458" s="222" t="s">
        <v>809</v>
      </c>
      <c r="D458" s="222" t="s">
        <v>1085</v>
      </c>
      <c r="E458" s="222" t="s">
        <v>4898</v>
      </c>
      <c r="F458" s="214" t="s">
        <v>4466</v>
      </c>
      <c r="G458" s="214" t="s">
        <v>4899</v>
      </c>
      <c r="H458" s="214" t="s">
        <v>4468</v>
      </c>
      <c r="I458" s="214" t="s">
        <v>4469</v>
      </c>
      <c r="J458" s="214" t="s">
        <v>4470</v>
      </c>
      <c r="K458" s="214" t="s">
        <v>9276</v>
      </c>
      <c r="L458" s="214" t="s">
        <v>10525</v>
      </c>
      <c r="M458" s="214" t="s">
        <v>9878</v>
      </c>
      <c r="P458" s="120"/>
    </row>
    <row r="459" spans="1:16">
      <c r="A459" s="214" t="s">
        <v>1105</v>
      </c>
      <c r="B459" s="214" t="s">
        <v>810</v>
      </c>
      <c r="C459" s="222" t="s">
        <v>809</v>
      </c>
      <c r="D459" s="222" t="s">
        <v>1085</v>
      </c>
      <c r="E459" s="222" t="s">
        <v>4898</v>
      </c>
      <c r="F459" s="214" t="s">
        <v>4466</v>
      </c>
      <c r="G459" s="214" t="s">
        <v>4899</v>
      </c>
      <c r="H459" s="214" t="s">
        <v>4468</v>
      </c>
      <c r="I459" s="214" t="s">
        <v>4469</v>
      </c>
      <c r="J459" s="214" t="s">
        <v>4470</v>
      </c>
      <c r="K459" s="214" t="s">
        <v>9276</v>
      </c>
      <c r="L459" s="214" t="s">
        <v>10525</v>
      </c>
      <c r="M459" s="214" t="s">
        <v>9878</v>
      </c>
      <c r="P459" s="120"/>
    </row>
    <row r="460" spans="1:16">
      <c r="A460" s="214" t="s">
        <v>1106</v>
      </c>
      <c r="B460" s="214" t="s">
        <v>1076</v>
      </c>
      <c r="C460" s="222" t="s">
        <v>1108</v>
      </c>
      <c r="D460" s="222" t="s">
        <v>1083</v>
      </c>
      <c r="E460" s="222" t="s">
        <v>4886</v>
      </c>
      <c r="F460" s="214" t="s">
        <v>4900</v>
      </c>
      <c r="G460" s="214" t="s">
        <v>4888</v>
      </c>
      <c r="H460" s="214" t="s">
        <v>4889</v>
      </c>
      <c r="I460" s="214" t="s">
        <v>4890</v>
      </c>
      <c r="J460" s="214" t="s">
        <v>4891</v>
      </c>
      <c r="K460" s="214" t="s">
        <v>9296</v>
      </c>
      <c r="L460" s="214" t="s">
        <v>10592</v>
      </c>
      <c r="M460" s="214" t="s">
        <v>9947</v>
      </c>
      <c r="P460" s="120"/>
    </row>
    <row r="461" spans="1:16">
      <c r="A461" s="215" t="s">
        <v>2339</v>
      </c>
      <c r="B461" s="214" t="s">
        <v>1112</v>
      </c>
      <c r="C461" s="222" t="s">
        <v>1111</v>
      </c>
      <c r="D461" s="222" t="s">
        <v>1113</v>
      </c>
      <c r="E461" s="222" t="s">
        <v>4901</v>
      </c>
      <c r="F461" s="214" t="s">
        <v>4902</v>
      </c>
      <c r="G461" s="214" t="s">
        <v>4903</v>
      </c>
      <c r="H461" s="214" t="s">
        <v>4904</v>
      </c>
      <c r="I461" s="214" t="s">
        <v>4905</v>
      </c>
      <c r="J461" s="214" t="s">
        <v>4906</v>
      </c>
      <c r="K461" s="214" t="s">
        <v>9298</v>
      </c>
      <c r="L461" s="214" t="s">
        <v>10594</v>
      </c>
      <c r="M461" s="214" t="s">
        <v>9948</v>
      </c>
      <c r="P461" s="120"/>
    </row>
    <row r="462" spans="1:16">
      <c r="A462" s="215" t="s">
        <v>1109</v>
      </c>
      <c r="B462" s="214" t="s">
        <v>1112</v>
      </c>
      <c r="C462" s="222" t="s">
        <v>1111</v>
      </c>
      <c r="D462" s="222" t="s">
        <v>1113</v>
      </c>
      <c r="E462" s="222" t="s">
        <v>4901</v>
      </c>
      <c r="F462" s="214" t="s">
        <v>4902</v>
      </c>
      <c r="G462" s="214" t="s">
        <v>4903</v>
      </c>
      <c r="H462" s="214" t="s">
        <v>4904</v>
      </c>
      <c r="I462" s="214" t="s">
        <v>4905</v>
      </c>
      <c r="J462" s="214" t="s">
        <v>4906</v>
      </c>
      <c r="K462" s="223" t="s">
        <v>9298</v>
      </c>
      <c r="L462" s="214" t="s">
        <v>10594</v>
      </c>
      <c r="M462" s="214" t="s">
        <v>9948</v>
      </c>
      <c r="P462" s="120"/>
    </row>
    <row r="463" spans="1:16">
      <c r="A463" s="214" t="s">
        <v>1114</v>
      </c>
      <c r="B463" s="214" t="s">
        <v>1112</v>
      </c>
      <c r="C463" s="222" t="s">
        <v>1111</v>
      </c>
      <c r="D463" s="222" t="s">
        <v>1113</v>
      </c>
      <c r="E463" s="222" t="s">
        <v>4901</v>
      </c>
      <c r="F463" s="214" t="s">
        <v>4902</v>
      </c>
      <c r="G463" s="214" t="s">
        <v>4903</v>
      </c>
      <c r="H463" s="214" t="s">
        <v>4904</v>
      </c>
      <c r="I463" s="214" t="s">
        <v>4905</v>
      </c>
      <c r="J463" s="214" t="s">
        <v>4906</v>
      </c>
      <c r="K463" s="223" t="s">
        <v>9298</v>
      </c>
      <c r="L463" s="214" t="s">
        <v>10594</v>
      </c>
      <c r="M463" s="214" t="s">
        <v>9948</v>
      </c>
      <c r="P463" s="120"/>
    </row>
    <row r="464" spans="1:16">
      <c r="A464" s="214" t="s">
        <v>1116</v>
      </c>
      <c r="B464" s="214" t="s">
        <v>1112</v>
      </c>
      <c r="C464" s="222" t="s">
        <v>1111</v>
      </c>
      <c r="D464" s="222" t="s">
        <v>1113</v>
      </c>
      <c r="E464" s="222" t="s">
        <v>4901</v>
      </c>
      <c r="F464" s="214" t="s">
        <v>4902</v>
      </c>
      <c r="G464" s="214" t="s">
        <v>4903</v>
      </c>
      <c r="H464" s="214" t="s">
        <v>4904</v>
      </c>
      <c r="I464" s="214" t="s">
        <v>4905</v>
      </c>
      <c r="J464" s="214" t="s">
        <v>4906</v>
      </c>
      <c r="K464" s="223" t="s">
        <v>9298</v>
      </c>
      <c r="L464" s="214" t="s">
        <v>10594</v>
      </c>
      <c r="M464" s="214" t="s">
        <v>9948</v>
      </c>
      <c r="P464" s="120"/>
    </row>
    <row r="465" spans="1:16">
      <c r="A465" s="215" t="s">
        <v>1118</v>
      </c>
      <c r="B465" s="214" t="s">
        <v>1112</v>
      </c>
      <c r="C465" s="222" t="s">
        <v>1111</v>
      </c>
      <c r="D465" s="222" t="s">
        <v>1113</v>
      </c>
      <c r="E465" s="222" t="s">
        <v>4901</v>
      </c>
      <c r="F465" s="214" t="s">
        <v>4902</v>
      </c>
      <c r="G465" s="214" t="s">
        <v>4903</v>
      </c>
      <c r="H465" s="214" t="s">
        <v>4904</v>
      </c>
      <c r="I465" s="214" t="s">
        <v>4905</v>
      </c>
      <c r="J465" s="214" t="s">
        <v>4906</v>
      </c>
      <c r="K465" s="214" t="s">
        <v>9298</v>
      </c>
      <c r="L465" s="214" t="s">
        <v>10594</v>
      </c>
      <c r="M465" s="214" t="s">
        <v>9948</v>
      </c>
      <c r="P465" s="120"/>
    </row>
    <row r="466" spans="1:16">
      <c r="A466" s="214" t="s">
        <v>1119</v>
      </c>
      <c r="B466" s="214" t="s">
        <v>1112</v>
      </c>
      <c r="C466" s="222" t="s">
        <v>1111</v>
      </c>
      <c r="D466" s="222" t="s">
        <v>1113</v>
      </c>
      <c r="E466" s="222" t="s">
        <v>4901</v>
      </c>
      <c r="F466" s="214" t="s">
        <v>4902</v>
      </c>
      <c r="G466" s="214" t="s">
        <v>4903</v>
      </c>
      <c r="H466" s="214" t="s">
        <v>4904</v>
      </c>
      <c r="I466" s="214" t="s">
        <v>4905</v>
      </c>
      <c r="J466" s="214" t="s">
        <v>4906</v>
      </c>
      <c r="K466" s="214" t="s">
        <v>9298</v>
      </c>
      <c r="L466" s="214" t="s">
        <v>10594</v>
      </c>
      <c r="M466" s="214" t="s">
        <v>9948</v>
      </c>
      <c r="P466" s="120"/>
    </row>
    <row r="467" spans="1:16">
      <c r="A467" s="214" t="s">
        <v>1120</v>
      </c>
      <c r="B467" s="214" t="s">
        <v>1122</v>
      </c>
      <c r="C467" s="222" t="s">
        <v>1121</v>
      </c>
      <c r="D467" s="222" t="s">
        <v>1123</v>
      </c>
      <c r="E467" s="222" t="s">
        <v>4907</v>
      </c>
      <c r="F467" s="214" t="s">
        <v>4908</v>
      </c>
      <c r="G467" s="214" t="s">
        <v>4909</v>
      </c>
      <c r="H467" s="214" t="s">
        <v>4910</v>
      </c>
      <c r="I467" s="214" t="s">
        <v>4911</v>
      </c>
      <c r="J467" s="214" t="s">
        <v>4912</v>
      </c>
      <c r="K467" s="214" t="s">
        <v>9299</v>
      </c>
      <c r="L467" s="214" t="s">
        <v>10595</v>
      </c>
      <c r="M467" s="214" t="s">
        <v>9949</v>
      </c>
      <c r="P467" s="120"/>
    </row>
    <row r="468" spans="1:16">
      <c r="A468" s="214" t="s">
        <v>1124</v>
      </c>
      <c r="B468" s="214" t="s">
        <v>814</v>
      </c>
      <c r="C468" s="222" t="s">
        <v>813</v>
      </c>
      <c r="D468" s="222" t="s">
        <v>1005</v>
      </c>
      <c r="E468" s="222" t="s">
        <v>4913</v>
      </c>
      <c r="F468" s="214" t="s">
        <v>4472</v>
      </c>
      <c r="G468" s="214" t="s">
        <v>4914</v>
      </c>
      <c r="H468" s="214" t="s">
        <v>4474</v>
      </c>
      <c r="I468" s="214" t="s">
        <v>4475</v>
      </c>
      <c r="J468" s="214" t="s">
        <v>4476</v>
      </c>
      <c r="K468" s="214" t="s">
        <v>9277</v>
      </c>
      <c r="L468" s="214" t="s">
        <v>10526</v>
      </c>
      <c r="M468" s="214" t="s">
        <v>9879</v>
      </c>
      <c r="P468" s="120"/>
    </row>
    <row r="469" spans="1:16">
      <c r="A469" s="214" t="s">
        <v>1126</v>
      </c>
      <c r="B469" s="214" t="s">
        <v>814</v>
      </c>
      <c r="C469" s="222" t="s">
        <v>813</v>
      </c>
      <c r="D469" s="222" t="s">
        <v>1005</v>
      </c>
      <c r="E469" s="222" t="s">
        <v>4913</v>
      </c>
      <c r="F469" s="214" t="s">
        <v>4472</v>
      </c>
      <c r="G469" s="214" t="s">
        <v>4914</v>
      </c>
      <c r="H469" s="214" t="s">
        <v>4474</v>
      </c>
      <c r="I469" s="214" t="s">
        <v>4475</v>
      </c>
      <c r="J469" s="214" t="s">
        <v>4476</v>
      </c>
      <c r="K469" s="214" t="s">
        <v>9277</v>
      </c>
      <c r="L469" s="214" t="s">
        <v>10526</v>
      </c>
      <c r="M469" s="214" t="s">
        <v>9879</v>
      </c>
      <c r="P469" s="120"/>
    </row>
    <row r="470" spans="1:16">
      <c r="A470" s="214" t="s">
        <v>1128</v>
      </c>
      <c r="B470" s="214" t="s">
        <v>814</v>
      </c>
      <c r="C470" s="222" t="s">
        <v>813</v>
      </c>
      <c r="D470" s="222" t="s">
        <v>1005</v>
      </c>
      <c r="E470" s="222" t="s">
        <v>4913</v>
      </c>
      <c r="F470" s="214" t="s">
        <v>4472</v>
      </c>
      <c r="G470" s="214" t="s">
        <v>4914</v>
      </c>
      <c r="H470" s="214" t="s">
        <v>4474</v>
      </c>
      <c r="I470" s="214" t="s">
        <v>4475</v>
      </c>
      <c r="J470" s="214" t="s">
        <v>4476</v>
      </c>
      <c r="K470" s="214" t="s">
        <v>9277</v>
      </c>
      <c r="L470" s="214" t="s">
        <v>10526</v>
      </c>
      <c r="M470" s="214" t="s">
        <v>9879</v>
      </c>
      <c r="P470" s="120"/>
    </row>
    <row r="471" spans="1:16">
      <c r="A471" s="214" t="s">
        <v>1129</v>
      </c>
      <c r="B471" s="214" t="s">
        <v>814</v>
      </c>
      <c r="C471" s="222" t="s">
        <v>813</v>
      </c>
      <c r="D471" s="222" t="s">
        <v>1005</v>
      </c>
      <c r="E471" s="222" t="s">
        <v>4913</v>
      </c>
      <c r="F471" s="214" t="s">
        <v>4472</v>
      </c>
      <c r="G471" s="214" t="s">
        <v>4914</v>
      </c>
      <c r="H471" s="214" t="s">
        <v>4474</v>
      </c>
      <c r="I471" s="214" t="s">
        <v>4475</v>
      </c>
      <c r="J471" s="214" t="s">
        <v>4476</v>
      </c>
      <c r="K471" s="214" t="s">
        <v>9277</v>
      </c>
      <c r="L471" s="214" t="s">
        <v>10526</v>
      </c>
      <c r="M471" s="214" t="s">
        <v>9879</v>
      </c>
      <c r="P471" s="120"/>
    </row>
    <row r="472" spans="1:16">
      <c r="A472" s="214" t="s">
        <v>1130</v>
      </c>
      <c r="B472" s="214" t="s">
        <v>814</v>
      </c>
      <c r="C472" s="222" t="s">
        <v>813</v>
      </c>
      <c r="D472" s="222" t="s">
        <v>1005</v>
      </c>
      <c r="E472" s="222" t="s">
        <v>4913</v>
      </c>
      <c r="F472" s="214" t="s">
        <v>4472</v>
      </c>
      <c r="G472" s="214" t="s">
        <v>4914</v>
      </c>
      <c r="H472" s="214" t="s">
        <v>4474</v>
      </c>
      <c r="I472" s="214" t="s">
        <v>4475</v>
      </c>
      <c r="J472" s="214" t="s">
        <v>4476</v>
      </c>
      <c r="K472" s="214" t="s">
        <v>9277</v>
      </c>
      <c r="L472" s="214" t="s">
        <v>10526</v>
      </c>
      <c r="M472" s="214" t="s">
        <v>9879</v>
      </c>
      <c r="P472" s="120"/>
    </row>
    <row r="473" spans="1:16">
      <c r="A473" s="214" t="s">
        <v>1131</v>
      </c>
      <c r="B473" s="214" t="s">
        <v>1020</v>
      </c>
      <c r="C473" s="222" t="s">
        <v>1004</v>
      </c>
      <c r="D473" s="222" t="s">
        <v>1021</v>
      </c>
      <c r="E473" s="222" t="s">
        <v>4837</v>
      </c>
      <c r="F473" s="214" t="s">
        <v>4838</v>
      </c>
      <c r="G473" s="214" t="s">
        <v>4839</v>
      </c>
      <c r="H473" s="214" t="s">
        <v>4840</v>
      </c>
      <c r="I473" s="214" t="s">
        <v>4841</v>
      </c>
      <c r="J473" s="214" t="s">
        <v>4915</v>
      </c>
      <c r="K473" s="214" t="s">
        <v>9289</v>
      </c>
      <c r="L473" s="214" t="s">
        <v>10585</v>
      </c>
      <c r="M473" s="214" t="s">
        <v>9939</v>
      </c>
      <c r="P473" s="120"/>
    </row>
    <row r="474" spans="1:16">
      <c r="A474" s="214" t="s">
        <v>1132</v>
      </c>
      <c r="B474" s="214" t="s">
        <v>1020</v>
      </c>
      <c r="C474" s="222" t="s">
        <v>1004</v>
      </c>
      <c r="D474" s="222" t="s">
        <v>1021</v>
      </c>
      <c r="E474" s="222" t="s">
        <v>4837</v>
      </c>
      <c r="F474" s="214" t="s">
        <v>4838</v>
      </c>
      <c r="G474" s="214" t="s">
        <v>4839</v>
      </c>
      <c r="H474" s="214" t="s">
        <v>4840</v>
      </c>
      <c r="I474" s="214" t="s">
        <v>4841</v>
      </c>
      <c r="J474" s="214" t="s">
        <v>4915</v>
      </c>
      <c r="K474" s="214" t="s">
        <v>9289</v>
      </c>
      <c r="L474" s="214" t="s">
        <v>10585</v>
      </c>
      <c r="M474" s="214" t="s">
        <v>9939</v>
      </c>
      <c r="P474" s="120"/>
    </row>
    <row r="475" spans="1:16">
      <c r="A475" s="214" t="s">
        <v>1134</v>
      </c>
      <c r="B475" s="214" t="s">
        <v>1020</v>
      </c>
      <c r="C475" s="222" t="s">
        <v>1004</v>
      </c>
      <c r="D475" s="222" t="s">
        <v>1021</v>
      </c>
      <c r="E475" s="222" t="s">
        <v>4837</v>
      </c>
      <c r="F475" s="214" t="s">
        <v>4838</v>
      </c>
      <c r="G475" s="214" t="s">
        <v>4839</v>
      </c>
      <c r="H475" s="214" t="s">
        <v>4840</v>
      </c>
      <c r="I475" s="214" t="s">
        <v>4841</v>
      </c>
      <c r="J475" s="214" t="s">
        <v>4915</v>
      </c>
      <c r="K475" s="214" t="s">
        <v>9289</v>
      </c>
      <c r="L475" s="214" t="s">
        <v>10585</v>
      </c>
      <c r="M475" s="214" t="s">
        <v>9939</v>
      </c>
      <c r="P475" s="120"/>
    </row>
    <row r="476" spans="1:16">
      <c r="A476" s="214" t="s">
        <v>1136</v>
      </c>
      <c r="B476" s="214" t="s">
        <v>1020</v>
      </c>
      <c r="C476" s="222" t="s">
        <v>1004</v>
      </c>
      <c r="D476" s="222" t="s">
        <v>1021</v>
      </c>
      <c r="E476" s="222" t="s">
        <v>4837</v>
      </c>
      <c r="F476" s="214" t="s">
        <v>4838</v>
      </c>
      <c r="G476" s="214" t="s">
        <v>4839</v>
      </c>
      <c r="H476" s="214" t="s">
        <v>4840</v>
      </c>
      <c r="I476" s="214" t="s">
        <v>4841</v>
      </c>
      <c r="J476" s="214" t="s">
        <v>4915</v>
      </c>
      <c r="K476" s="214" t="s">
        <v>9289</v>
      </c>
      <c r="L476" s="214" t="s">
        <v>10585</v>
      </c>
      <c r="M476" s="214" t="s">
        <v>9939</v>
      </c>
      <c r="P476" s="120"/>
    </row>
    <row r="477" spans="1:16">
      <c r="A477" s="214" t="s">
        <v>1138</v>
      </c>
      <c r="B477" s="214" t="s">
        <v>1020</v>
      </c>
      <c r="C477" s="222" t="s">
        <v>1004</v>
      </c>
      <c r="D477" s="222" t="s">
        <v>1021</v>
      </c>
      <c r="E477" s="222" t="s">
        <v>4837</v>
      </c>
      <c r="F477" s="214" t="s">
        <v>4838</v>
      </c>
      <c r="G477" s="214" t="s">
        <v>4839</v>
      </c>
      <c r="H477" s="214" t="s">
        <v>4840</v>
      </c>
      <c r="I477" s="214" t="s">
        <v>4841</v>
      </c>
      <c r="J477" s="214" t="s">
        <v>4915</v>
      </c>
      <c r="K477" s="214" t="s">
        <v>9289</v>
      </c>
      <c r="L477" s="214" t="s">
        <v>10585</v>
      </c>
      <c r="M477" s="214" t="s">
        <v>9939</v>
      </c>
      <c r="P477" s="120"/>
    </row>
    <row r="478" spans="1:16">
      <c r="A478" s="214" t="s">
        <v>4916</v>
      </c>
      <c r="B478" s="214" t="s">
        <v>1020</v>
      </c>
      <c r="C478" s="222" t="s">
        <v>1004</v>
      </c>
      <c r="D478" s="222" t="s">
        <v>1021</v>
      </c>
      <c r="E478" s="222" t="s">
        <v>4837</v>
      </c>
      <c r="F478" s="214" t="s">
        <v>4838</v>
      </c>
      <c r="G478" s="214" t="s">
        <v>4839</v>
      </c>
      <c r="H478" s="214" t="s">
        <v>4840</v>
      </c>
      <c r="I478" s="214" t="s">
        <v>4841</v>
      </c>
      <c r="J478" s="214" t="s">
        <v>4917</v>
      </c>
      <c r="K478" s="214" t="s">
        <v>9289</v>
      </c>
      <c r="L478" s="214" t="s">
        <v>10585</v>
      </c>
      <c r="M478" s="214" t="s">
        <v>9939</v>
      </c>
      <c r="P478" s="120"/>
    </row>
    <row r="479" spans="1:16">
      <c r="A479" s="214" t="s">
        <v>1139</v>
      </c>
      <c r="B479" s="214" t="s">
        <v>1020</v>
      </c>
      <c r="C479" s="222" t="s">
        <v>1004</v>
      </c>
      <c r="D479" s="222" t="s">
        <v>1021</v>
      </c>
      <c r="E479" s="222" t="s">
        <v>4837</v>
      </c>
      <c r="F479" s="214" t="s">
        <v>4838</v>
      </c>
      <c r="G479" s="214" t="s">
        <v>4839</v>
      </c>
      <c r="H479" s="214" t="s">
        <v>4840</v>
      </c>
      <c r="I479" s="214" t="s">
        <v>4841</v>
      </c>
      <c r="J479" s="214" t="s">
        <v>4915</v>
      </c>
      <c r="K479" s="214" t="s">
        <v>9289</v>
      </c>
      <c r="L479" s="214" t="s">
        <v>10585</v>
      </c>
      <c r="M479" s="214" t="s">
        <v>9939</v>
      </c>
      <c r="P479" s="120"/>
    </row>
    <row r="480" spans="1:16">
      <c r="A480" s="214" t="s">
        <v>2340</v>
      </c>
      <c r="B480" s="214" t="s">
        <v>1020</v>
      </c>
      <c r="C480" s="222" t="s">
        <v>1004</v>
      </c>
      <c r="D480" s="222" t="s">
        <v>1021</v>
      </c>
      <c r="E480" s="222" t="s">
        <v>4837</v>
      </c>
      <c r="F480" s="214" t="s">
        <v>4838</v>
      </c>
      <c r="G480" s="214" t="s">
        <v>4839</v>
      </c>
      <c r="H480" s="214" t="s">
        <v>4840</v>
      </c>
      <c r="I480" s="214" t="s">
        <v>4841</v>
      </c>
      <c r="J480" s="214" t="s">
        <v>4915</v>
      </c>
      <c r="K480" s="214" t="s">
        <v>9289</v>
      </c>
      <c r="L480" s="214" t="s">
        <v>10585</v>
      </c>
      <c r="M480" s="214" t="s">
        <v>9939</v>
      </c>
      <c r="P480" s="120"/>
    </row>
    <row r="481" spans="1:16">
      <c r="A481" s="214" t="s">
        <v>2341</v>
      </c>
      <c r="B481" s="214" t="s">
        <v>1020</v>
      </c>
      <c r="C481" s="222" t="s">
        <v>1004</v>
      </c>
      <c r="D481" s="222" t="s">
        <v>1021</v>
      </c>
      <c r="E481" s="222" t="s">
        <v>4837</v>
      </c>
      <c r="F481" s="214" t="s">
        <v>4838</v>
      </c>
      <c r="G481" s="214" t="s">
        <v>4839</v>
      </c>
      <c r="H481" s="214" t="s">
        <v>4840</v>
      </c>
      <c r="I481" s="214" t="s">
        <v>4841</v>
      </c>
      <c r="J481" s="214" t="s">
        <v>4915</v>
      </c>
      <c r="K481" s="214" t="s">
        <v>9289</v>
      </c>
      <c r="L481" s="214" t="s">
        <v>10585</v>
      </c>
      <c r="M481" s="214" t="s">
        <v>9939</v>
      </c>
      <c r="P481" s="120"/>
    </row>
    <row r="482" spans="1:16">
      <c r="A482" s="214" t="s">
        <v>4918</v>
      </c>
      <c r="B482" s="214" t="s">
        <v>1020</v>
      </c>
      <c r="C482" s="222" t="s">
        <v>1004</v>
      </c>
      <c r="D482" s="222" t="s">
        <v>1021</v>
      </c>
      <c r="E482" s="222" t="s">
        <v>4837</v>
      </c>
      <c r="F482" s="214" t="s">
        <v>4838</v>
      </c>
      <c r="G482" s="214" t="s">
        <v>4839</v>
      </c>
      <c r="H482" s="214" t="s">
        <v>4840</v>
      </c>
      <c r="I482" s="214" t="s">
        <v>4841</v>
      </c>
      <c r="J482" s="214" t="s">
        <v>4915</v>
      </c>
      <c r="K482" s="214" t="s">
        <v>9289</v>
      </c>
      <c r="L482" s="214" t="s">
        <v>10585</v>
      </c>
      <c r="M482" s="214" t="s">
        <v>9939</v>
      </c>
      <c r="P482" s="120"/>
    </row>
    <row r="483" spans="1:16">
      <c r="A483" s="214" t="s">
        <v>2342</v>
      </c>
      <c r="B483" s="214" t="s">
        <v>1020</v>
      </c>
      <c r="C483" s="222" t="s">
        <v>1004</v>
      </c>
      <c r="D483" s="222" t="s">
        <v>1021</v>
      </c>
      <c r="E483" s="222" t="s">
        <v>4837</v>
      </c>
      <c r="F483" s="214" t="s">
        <v>4838</v>
      </c>
      <c r="G483" s="214" t="s">
        <v>4839</v>
      </c>
      <c r="H483" s="214" t="s">
        <v>4840</v>
      </c>
      <c r="I483" s="214" t="s">
        <v>4841</v>
      </c>
      <c r="J483" s="214" t="s">
        <v>4915</v>
      </c>
      <c r="K483" s="214" t="s">
        <v>9289</v>
      </c>
      <c r="L483" s="214" t="s">
        <v>10585</v>
      </c>
      <c r="M483" s="214" t="s">
        <v>9939</v>
      </c>
      <c r="P483" s="120"/>
    </row>
    <row r="484" spans="1:16">
      <c r="A484" s="214" t="s">
        <v>1140</v>
      </c>
      <c r="B484" s="214" t="s">
        <v>1142</v>
      </c>
      <c r="C484" s="222" t="s">
        <v>1141</v>
      </c>
      <c r="D484" s="222" t="s">
        <v>1143</v>
      </c>
      <c r="E484" s="222" t="s">
        <v>4920</v>
      </c>
      <c r="F484" s="214" t="s">
        <v>4921</v>
      </c>
      <c r="G484" s="214" t="s">
        <v>4922</v>
      </c>
      <c r="H484" s="214" t="s">
        <v>4923</v>
      </c>
      <c r="I484" s="214" t="s">
        <v>4924</v>
      </c>
      <c r="J484" s="214" t="s">
        <v>4925</v>
      </c>
      <c r="K484" s="214" t="s">
        <v>9300</v>
      </c>
      <c r="L484" s="214" t="s">
        <v>10596</v>
      </c>
      <c r="M484" s="214" t="s">
        <v>9950</v>
      </c>
      <c r="P484" s="120"/>
    </row>
    <row r="485" spans="1:16">
      <c r="A485" s="214" t="s">
        <v>1144</v>
      </c>
      <c r="B485" s="214" t="s">
        <v>1020</v>
      </c>
      <c r="C485" s="222" t="s">
        <v>1004</v>
      </c>
      <c r="D485" s="222" t="s">
        <v>1021</v>
      </c>
      <c r="E485" s="222" t="s">
        <v>4837</v>
      </c>
      <c r="F485" s="214" t="s">
        <v>4838</v>
      </c>
      <c r="G485" s="214" t="s">
        <v>4839</v>
      </c>
      <c r="H485" s="214" t="s">
        <v>4840</v>
      </c>
      <c r="I485" s="214" t="s">
        <v>4841</v>
      </c>
      <c r="J485" s="214" t="s">
        <v>4915</v>
      </c>
      <c r="K485" s="214" t="s">
        <v>9289</v>
      </c>
      <c r="L485" s="214" t="s">
        <v>10585</v>
      </c>
      <c r="M485" s="214" t="s">
        <v>9939</v>
      </c>
      <c r="P485" s="120"/>
    </row>
    <row r="486" spans="1:16">
      <c r="A486" s="214" t="s">
        <v>2343</v>
      </c>
      <c r="B486" s="214" t="s">
        <v>1148</v>
      </c>
      <c r="C486" s="222" t="s">
        <v>1147</v>
      </c>
      <c r="D486" s="222" t="s">
        <v>1149</v>
      </c>
      <c r="E486" s="222" t="s">
        <v>4926</v>
      </c>
      <c r="F486" s="214" t="s">
        <v>4927</v>
      </c>
      <c r="G486" s="214" t="s">
        <v>4928</v>
      </c>
      <c r="H486" s="214" t="s">
        <v>4929</v>
      </c>
      <c r="I486" s="214" t="s">
        <v>4930</v>
      </c>
      <c r="J486" s="214" t="s">
        <v>4931</v>
      </c>
      <c r="K486" s="214" t="s">
        <v>9301</v>
      </c>
      <c r="L486" s="214" t="s">
        <v>10597</v>
      </c>
      <c r="M486" s="214" t="s">
        <v>9951</v>
      </c>
      <c r="P486" s="120"/>
    </row>
    <row r="487" spans="1:16">
      <c r="A487" s="214" t="s">
        <v>1145</v>
      </c>
      <c r="B487" s="214" t="s">
        <v>1148</v>
      </c>
      <c r="C487" s="222" t="s">
        <v>1147</v>
      </c>
      <c r="D487" s="222" t="s">
        <v>1149</v>
      </c>
      <c r="E487" s="222" t="s">
        <v>4926</v>
      </c>
      <c r="F487" s="214" t="s">
        <v>4927</v>
      </c>
      <c r="G487" s="214" t="s">
        <v>4928</v>
      </c>
      <c r="H487" s="214" t="s">
        <v>4929</v>
      </c>
      <c r="I487" s="214" t="s">
        <v>4930</v>
      </c>
      <c r="J487" s="214" t="s">
        <v>4931</v>
      </c>
      <c r="K487" s="214" t="s">
        <v>9301</v>
      </c>
      <c r="L487" s="214" t="s">
        <v>10597</v>
      </c>
      <c r="M487" s="214" t="s">
        <v>9951</v>
      </c>
      <c r="P487" s="120"/>
    </row>
    <row r="488" spans="1:16">
      <c r="A488" s="214" t="s">
        <v>1150</v>
      </c>
      <c r="B488" s="214" t="s">
        <v>1148</v>
      </c>
      <c r="C488" s="222" t="s">
        <v>1147</v>
      </c>
      <c r="D488" s="222" t="s">
        <v>1149</v>
      </c>
      <c r="E488" s="222" t="s">
        <v>4926</v>
      </c>
      <c r="F488" s="214" t="s">
        <v>4927</v>
      </c>
      <c r="G488" s="214" t="s">
        <v>4928</v>
      </c>
      <c r="H488" s="214" t="s">
        <v>4929</v>
      </c>
      <c r="I488" s="214" t="s">
        <v>4930</v>
      </c>
      <c r="J488" s="214" t="s">
        <v>4931</v>
      </c>
      <c r="K488" s="214" t="s">
        <v>9301</v>
      </c>
      <c r="L488" s="214" t="s">
        <v>10597</v>
      </c>
      <c r="M488" s="214" t="s">
        <v>9951</v>
      </c>
      <c r="P488" s="120"/>
    </row>
    <row r="489" spans="1:16">
      <c r="A489" s="214" t="s">
        <v>1151</v>
      </c>
      <c r="B489" s="214" t="s">
        <v>1153</v>
      </c>
      <c r="C489" s="222" t="s">
        <v>1152</v>
      </c>
      <c r="D489" s="222" t="s">
        <v>1154</v>
      </c>
      <c r="E489" s="222" t="s">
        <v>4932</v>
      </c>
      <c r="F489" s="214" t="s">
        <v>4933</v>
      </c>
      <c r="G489" s="214" t="s">
        <v>4934</v>
      </c>
      <c r="H489" s="214" t="s">
        <v>4935</v>
      </c>
      <c r="I489" s="214" t="s">
        <v>4936</v>
      </c>
      <c r="J489" s="214" t="s">
        <v>4937</v>
      </c>
      <c r="K489" s="223" t="s">
        <v>9302</v>
      </c>
      <c r="L489" s="214" t="s">
        <v>10598</v>
      </c>
      <c r="M489" s="214" t="s">
        <v>9952</v>
      </c>
      <c r="P489" s="120"/>
    </row>
    <row r="490" spans="1:16">
      <c r="A490" s="214" t="s">
        <v>1155</v>
      </c>
      <c r="B490" s="214" t="s">
        <v>1153</v>
      </c>
      <c r="C490" s="222" t="s">
        <v>1152</v>
      </c>
      <c r="D490" s="222" t="s">
        <v>1154</v>
      </c>
      <c r="E490" s="222" t="s">
        <v>4932</v>
      </c>
      <c r="F490" s="214" t="s">
        <v>4933</v>
      </c>
      <c r="G490" s="214" t="s">
        <v>4934</v>
      </c>
      <c r="H490" s="214" t="s">
        <v>4935</v>
      </c>
      <c r="I490" s="214" t="s">
        <v>4936</v>
      </c>
      <c r="J490" s="214" t="s">
        <v>4937</v>
      </c>
      <c r="K490" s="214" t="s">
        <v>9302</v>
      </c>
      <c r="L490" s="214" t="s">
        <v>10598</v>
      </c>
      <c r="M490" s="214" t="s">
        <v>9952</v>
      </c>
      <c r="P490" s="120"/>
    </row>
    <row r="491" spans="1:16">
      <c r="A491" s="214" t="s">
        <v>1156</v>
      </c>
      <c r="B491" s="214" t="s">
        <v>1158</v>
      </c>
      <c r="C491" s="222" t="s">
        <v>1157</v>
      </c>
      <c r="D491" s="222" t="s">
        <v>1159</v>
      </c>
      <c r="E491" s="222" t="s">
        <v>4843</v>
      </c>
      <c r="F491" s="214" t="s">
        <v>4844</v>
      </c>
      <c r="G491" s="214" t="s">
        <v>4845</v>
      </c>
      <c r="H491" s="214" t="s">
        <v>4846</v>
      </c>
      <c r="I491" s="214" t="s">
        <v>4847</v>
      </c>
      <c r="J491" s="214" t="s">
        <v>4938</v>
      </c>
      <c r="K491" s="214" t="s">
        <v>9290</v>
      </c>
      <c r="L491" s="214" t="s">
        <v>10586</v>
      </c>
      <c r="M491" s="214" t="s">
        <v>9940</v>
      </c>
      <c r="P491" s="120"/>
    </row>
    <row r="492" spans="1:16">
      <c r="A492" s="214" t="s">
        <v>1160</v>
      </c>
      <c r="B492" s="214" t="s">
        <v>1158</v>
      </c>
      <c r="C492" s="222" t="s">
        <v>1157</v>
      </c>
      <c r="D492" s="222" t="s">
        <v>1159</v>
      </c>
      <c r="E492" s="222" t="s">
        <v>4843</v>
      </c>
      <c r="F492" s="214" t="s">
        <v>4844</v>
      </c>
      <c r="G492" s="214" t="s">
        <v>4845</v>
      </c>
      <c r="H492" s="214" t="s">
        <v>4846</v>
      </c>
      <c r="I492" s="214" t="s">
        <v>4847</v>
      </c>
      <c r="J492" s="214" t="s">
        <v>4938</v>
      </c>
      <c r="K492" s="214" t="s">
        <v>9290</v>
      </c>
      <c r="L492" s="214" t="s">
        <v>10586</v>
      </c>
      <c r="M492" s="214" t="s">
        <v>9940</v>
      </c>
      <c r="P492" s="120"/>
    </row>
    <row r="493" spans="1:16">
      <c r="A493" s="218" t="s">
        <v>4939</v>
      </c>
      <c r="B493" s="214" t="s">
        <v>1158</v>
      </c>
      <c r="C493" s="222" t="s">
        <v>1157</v>
      </c>
      <c r="D493" s="222" t="s">
        <v>1159</v>
      </c>
      <c r="E493" s="222" t="s">
        <v>4843</v>
      </c>
      <c r="F493" s="214" t="s">
        <v>4844</v>
      </c>
      <c r="G493" s="214" t="s">
        <v>4845</v>
      </c>
      <c r="H493" s="214" t="s">
        <v>4846</v>
      </c>
      <c r="I493" s="214" t="s">
        <v>4847</v>
      </c>
      <c r="J493" s="214" t="s">
        <v>4940</v>
      </c>
      <c r="K493" s="214" t="s">
        <v>9290</v>
      </c>
      <c r="L493" s="214" t="s">
        <v>10586</v>
      </c>
      <c r="M493" s="214" t="s">
        <v>9940</v>
      </c>
      <c r="P493" s="120"/>
    </row>
    <row r="494" spans="1:16">
      <c r="A494" s="214" t="s">
        <v>2344</v>
      </c>
      <c r="B494" s="214" t="s">
        <v>1158</v>
      </c>
      <c r="C494" s="222" t="s">
        <v>1157</v>
      </c>
      <c r="D494" s="222" t="s">
        <v>1159</v>
      </c>
      <c r="E494" s="222" t="s">
        <v>4843</v>
      </c>
      <c r="F494" s="214" t="s">
        <v>4844</v>
      </c>
      <c r="G494" s="214" t="s">
        <v>4845</v>
      </c>
      <c r="H494" s="214" t="s">
        <v>4846</v>
      </c>
      <c r="I494" s="214" t="s">
        <v>4847</v>
      </c>
      <c r="J494" s="214" t="s">
        <v>4938</v>
      </c>
      <c r="K494" s="214" t="s">
        <v>9290</v>
      </c>
      <c r="L494" s="214" t="s">
        <v>24</v>
      </c>
      <c r="M494" s="214" t="s">
        <v>9940</v>
      </c>
      <c r="P494" s="120"/>
    </row>
    <row r="495" spans="1:16">
      <c r="A495" s="214" t="s">
        <v>2345</v>
      </c>
      <c r="B495" s="214" t="s">
        <v>1158</v>
      </c>
      <c r="C495" s="222" t="s">
        <v>1157</v>
      </c>
      <c r="D495" s="222" t="s">
        <v>1159</v>
      </c>
      <c r="E495" s="222" t="s">
        <v>4843</v>
      </c>
      <c r="F495" s="214" t="s">
        <v>4844</v>
      </c>
      <c r="G495" s="214" t="s">
        <v>4845</v>
      </c>
      <c r="H495" s="214" t="s">
        <v>4846</v>
      </c>
      <c r="I495" s="214" t="s">
        <v>4847</v>
      </c>
      <c r="J495" s="214" t="s">
        <v>4938</v>
      </c>
      <c r="K495" s="214" t="s">
        <v>9290</v>
      </c>
      <c r="L495" s="214" t="s">
        <v>10586</v>
      </c>
      <c r="M495" s="214" t="s">
        <v>9940</v>
      </c>
      <c r="P495" s="120"/>
    </row>
    <row r="496" spans="1:16">
      <c r="A496" s="214" t="s">
        <v>2346</v>
      </c>
      <c r="B496" s="214" t="s">
        <v>1158</v>
      </c>
      <c r="C496" s="222" t="s">
        <v>1157</v>
      </c>
      <c r="D496" s="222" t="s">
        <v>1159</v>
      </c>
      <c r="E496" s="222" t="s">
        <v>4843</v>
      </c>
      <c r="F496" s="214" t="s">
        <v>4844</v>
      </c>
      <c r="G496" s="214" t="s">
        <v>4845</v>
      </c>
      <c r="H496" s="214" t="s">
        <v>4846</v>
      </c>
      <c r="I496" s="214" t="s">
        <v>4847</v>
      </c>
      <c r="J496" s="214" t="s">
        <v>4938</v>
      </c>
      <c r="K496" s="214" t="s">
        <v>9290</v>
      </c>
      <c r="L496" s="214" t="s">
        <v>10586</v>
      </c>
      <c r="M496" s="214" t="s">
        <v>9940</v>
      </c>
      <c r="P496" s="120"/>
    </row>
    <row r="497" spans="1:16">
      <c r="A497" s="214" t="s">
        <v>2347</v>
      </c>
      <c r="B497" s="214" t="s">
        <v>1158</v>
      </c>
      <c r="C497" s="222" t="s">
        <v>1157</v>
      </c>
      <c r="D497" s="222" t="s">
        <v>1159</v>
      </c>
      <c r="E497" s="222" t="s">
        <v>4843</v>
      </c>
      <c r="F497" s="214" t="s">
        <v>4844</v>
      </c>
      <c r="G497" s="214" t="s">
        <v>4845</v>
      </c>
      <c r="H497" s="214" t="s">
        <v>4846</v>
      </c>
      <c r="I497" s="214" t="s">
        <v>4847</v>
      </c>
      <c r="J497" s="214" t="s">
        <v>4938</v>
      </c>
      <c r="K497" s="214" t="s">
        <v>9290</v>
      </c>
      <c r="L497" s="214" t="s">
        <v>10586</v>
      </c>
      <c r="M497" s="214" t="s">
        <v>9940</v>
      </c>
      <c r="P497" s="120"/>
    </row>
    <row r="498" spans="1:16">
      <c r="A498" s="214" t="s">
        <v>1161</v>
      </c>
      <c r="B498" s="214" t="s">
        <v>1031</v>
      </c>
      <c r="C498" s="222" t="s">
        <v>652</v>
      </c>
      <c r="D498" s="222" t="s">
        <v>1032</v>
      </c>
      <c r="E498" s="222" t="s">
        <v>4854</v>
      </c>
      <c r="F498" s="214" t="s">
        <v>4107</v>
      </c>
      <c r="G498" s="214" t="s">
        <v>4108</v>
      </c>
      <c r="H498" s="214" t="s">
        <v>4855</v>
      </c>
      <c r="I498" s="214" t="s">
        <v>4131</v>
      </c>
      <c r="J498" s="214" t="s">
        <v>4111</v>
      </c>
      <c r="K498" s="214" t="s">
        <v>9292</v>
      </c>
      <c r="L498" s="214" t="s">
        <v>10588</v>
      </c>
      <c r="M498" s="214" t="s">
        <v>9953</v>
      </c>
      <c r="P498" s="120"/>
    </row>
    <row r="499" spans="1:16">
      <c r="A499" s="214" t="s">
        <v>1162</v>
      </c>
      <c r="B499" s="214" t="s">
        <v>1164</v>
      </c>
      <c r="C499" s="222" t="s">
        <v>1163</v>
      </c>
      <c r="D499" s="222" t="s">
        <v>1165</v>
      </c>
      <c r="E499" s="222" t="s">
        <v>4941</v>
      </c>
      <c r="F499" s="214" t="s">
        <v>4942</v>
      </c>
      <c r="G499" s="214" t="s">
        <v>4943</v>
      </c>
      <c r="H499" s="214" t="s">
        <v>4944</v>
      </c>
      <c r="I499" s="214" t="s">
        <v>4945</v>
      </c>
      <c r="J499" s="214" t="s">
        <v>4946</v>
      </c>
      <c r="K499" s="214" t="s">
        <v>9303</v>
      </c>
      <c r="L499" s="214" t="s">
        <v>10599</v>
      </c>
      <c r="M499" s="214" t="s">
        <v>9954</v>
      </c>
      <c r="P499" s="120"/>
    </row>
    <row r="500" spans="1:16">
      <c r="A500" s="214" t="s">
        <v>1166</v>
      </c>
      <c r="B500" s="214" t="s">
        <v>825</v>
      </c>
      <c r="C500" s="222" t="s">
        <v>824</v>
      </c>
      <c r="D500" s="222" t="s">
        <v>1168</v>
      </c>
      <c r="E500" s="222" t="s">
        <v>4512</v>
      </c>
      <c r="F500" s="214" t="s">
        <v>4513</v>
      </c>
      <c r="G500" s="214" t="s">
        <v>4947</v>
      </c>
      <c r="H500" s="214" t="s">
        <v>4515</v>
      </c>
      <c r="I500" s="214" t="s">
        <v>4516</v>
      </c>
      <c r="J500" s="214" t="s">
        <v>4517</v>
      </c>
      <c r="K500" s="214" t="s">
        <v>9284</v>
      </c>
      <c r="L500" s="214" t="s">
        <v>10533</v>
      </c>
      <c r="M500" s="214" t="s">
        <v>9886</v>
      </c>
      <c r="P500" s="120"/>
    </row>
    <row r="501" spans="1:16">
      <c r="A501" s="214" t="s">
        <v>4948</v>
      </c>
      <c r="B501" s="214" t="s">
        <v>825</v>
      </c>
      <c r="C501" s="222" t="s">
        <v>824</v>
      </c>
      <c r="D501" s="222" t="s">
        <v>1168</v>
      </c>
      <c r="E501" s="222" t="s">
        <v>4512</v>
      </c>
      <c r="F501" s="214" t="s">
        <v>4513</v>
      </c>
      <c r="G501" s="214" t="s">
        <v>4947</v>
      </c>
      <c r="H501" s="214" t="s">
        <v>4515</v>
      </c>
      <c r="I501" s="214" t="s">
        <v>4516</v>
      </c>
      <c r="J501" s="214" t="s">
        <v>4517</v>
      </c>
      <c r="K501" s="214" t="s">
        <v>9284</v>
      </c>
      <c r="L501" s="214" t="s">
        <v>10533</v>
      </c>
      <c r="M501" s="214" t="s">
        <v>9886</v>
      </c>
      <c r="P501" s="120"/>
    </row>
    <row r="502" spans="1:16">
      <c r="A502" s="214" t="s">
        <v>2348</v>
      </c>
      <c r="B502" s="214" t="s">
        <v>1158</v>
      </c>
      <c r="C502" s="222" t="s">
        <v>1157</v>
      </c>
      <c r="D502" s="222" t="s">
        <v>1159</v>
      </c>
      <c r="E502" s="222" t="s">
        <v>4843</v>
      </c>
      <c r="F502" s="214" t="s">
        <v>4844</v>
      </c>
      <c r="G502" s="214" t="s">
        <v>4845</v>
      </c>
      <c r="H502" s="214" t="s">
        <v>4846</v>
      </c>
      <c r="I502" s="214" t="s">
        <v>4847</v>
      </c>
      <c r="J502" s="214" t="s">
        <v>4938</v>
      </c>
      <c r="K502" s="214" t="s">
        <v>9290</v>
      </c>
      <c r="L502" s="214" t="s">
        <v>10586</v>
      </c>
      <c r="M502" s="214" t="s">
        <v>9940</v>
      </c>
      <c r="P502" s="120"/>
    </row>
    <row r="503" spans="1:16">
      <c r="A503" s="214" t="s">
        <v>4949</v>
      </c>
      <c r="B503" s="214" t="s">
        <v>1158</v>
      </c>
      <c r="C503" s="222" t="s">
        <v>1157</v>
      </c>
      <c r="D503" s="222" t="s">
        <v>1159</v>
      </c>
      <c r="E503" s="222" t="s">
        <v>4843</v>
      </c>
      <c r="F503" s="214" t="s">
        <v>4844</v>
      </c>
      <c r="G503" s="214" t="s">
        <v>4845</v>
      </c>
      <c r="H503" s="214" t="s">
        <v>4846</v>
      </c>
      <c r="I503" s="214" t="s">
        <v>4847</v>
      </c>
      <c r="J503" s="214" t="s">
        <v>4938</v>
      </c>
      <c r="K503" s="214" t="s">
        <v>9290</v>
      </c>
      <c r="L503" s="214" t="s">
        <v>10586</v>
      </c>
      <c r="M503" s="214" t="s">
        <v>9955</v>
      </c>
      <c r="P503" s="120"/>
    </row>
    <row r="504" spans="1:16">
      <c r="A504" s="214" t="s">
        <v>1169</v>
      </c>
      <c r="B504" s="214" t="s">
        <v>1171</v>
      </c>
      <c r="C504" s="222" t="s">
        <v>1170</v>
      </c>
      <c r="D504" s="222" t="s">
        <v>1172</v>
      </c>
      <c r="E504" s="222" t="s">
        <v>4951</v>
      </c>
      <c r="F504" s="214" t="s">
        <v>4952</v>
      </c>
      <c r="G504" s="214" t="s">
        <v>4953</v>
      </c>
      <c r="H504" s="214" t="s">
        <v>4951</v>
      </c>
      <c r="I504" s="214" t="s">
        <v>4954</v>
      </c>
      <c r="J504" s="214" t="s">
        <v>4955</v>
      </c>
      <c r="K504" s="214" t="s">
        <v>9304</v>
      </c>
      <c r="L504" s="214" t="s">
        <v>10600</v>
      </c>
      <c r="M504" s="214" t="s">
        <v>9956</v>
      </c>
      <c r="P504" s="120"/>
    </row>
    <row r="505" spans="1:16">
      <c r="A505" s="214" t="s">
        <v>2349</v>
      </c>
      <c r="B505" s="214" t="s">
        <v>1171</v>
      </c>
      <c r="C505" s="222" t="s">
        <v>1170</v>
      </c>
      <c r="D505" s="222" t="s">
        <v>1172</v>
      </c>
      <c r="E505" s="222" t="s">
        <v>4951</v>
      </c>
      <c r="F505" s="214" t="s">
        <v>4952</v>
      </c>
      <c r="G505" s="214" t="s">
        <v>4953</v>
      </c>
      <c r="H505" s="214" t="s">
        <v>4951</v>
      </c>
      <c r="I505" s="214" t="s">
        <v>4954</v>
      </c>
      <c r="J505" s="214" t="s">
        <v>4955</v>
      </c>
      <c r="K505" s="214" t="s">
        <v>9304</v>
      </c>
      <c r="L505" s="214" t="s">
        <v>10600</v>
      </c>
      <c r="M505" s="214" t="s">
        <v>9956</v>
      </c>
      <c r="P505" s="120"/>
    </row>
    <row r="506" spans="1:16">
      <c r="A506" s="214" t="s">
        <v>1173</v>
      </c>
      <c r="B506" s="214" t="s">
        <v>1176</v>
      </c>
      <c r="C506" s="222" t="s">
        <v>1175</v>
      </c>
      <c r="D506" s="222" t="s">
        <v>1177</v>
      </c>
      <c r="E506" s="222" t="s">
        <v>4956</v>
      </c>
      <c r="F506" s="214" t="s">
        <v>4957</v>
      </c>
      <c r="G506" s="214" t="s">
        <v>4958</v>
      </c>
      <c r="H506" s="214" t="s">
        <v>4956</v>
      </c>
      <c r="I506" s="214" t="s">
        <v>4959</v>
      </c>
      <c r="J506" s="214" t="s">
        <v>4960</v>
      </c>
      <c r="K506" s="214" t="s">
        <v>9305</v>
      </c>
      <c r="L506" s="214" t="s">
        <v>10601</v>
      </c>
      <c r="M506" s="214" t="s">
        <v>9957</v>
      </c>
      <c r="P506" s="120"/>
    </row>
    <row r="507" spans="1:16">
      <c r="A507" s="214" t="s">
        <v>1178</v>
      </c>
      <c r="B507" s="214" t="s">
        <v>825</v>
      </c>
      <c r="C507" s="222" t="s">
        <v>824</v>
      </c>
      <c r="D507" s="222" t="s">
        <v>1168</v>
      </c>
      <c r="E507" s="222" t="s">
        <v>4512</v>
      </c>
      <c r="F507" s="214" t="s">
        <v>4513</v>
      </c>
      <c r="G507" s="214" t="s">
        <v>4947</v>
      </c>
      <c r="H507" s="214" t="s">
        <v>4515</v>
      </c>
      <c r="I507" s="214" t="s">
        <v>4516</v>
      </c>
      <c r="J507" s="214" t="s">
        <v>4517</v>
      </c>
      <c r="K507" s="214" t="s">
        <v>9284</v>
      </c>
      <c r="L507" s="214" t="s">
        <v>10533</v>
      </c>
      <c r="M507" s="214" t="s">
        <v>9886</v>
      </c>
      <c r="P507" s="120"/>
    </row>
    <row r="508" spans="1:16">
      <c r="A508" s="214" t="s">
        <v>2350</v>
      </c>
      <c r="B508" s="214" t="s">
        <v>1294</v>
      </c>
      <c r="C508" s="222" t="s">
        <v>1293</v>
      </c>
      <c r="D508" s="222" t="s">
        <v>1295</v>
      </c>
      <c r="E508" s="222" t="s">
        <v>4961</v>
      </c>
      <c r="F508" s="214" t="s">
        <v>4962</v>
      </c>
      <c r="G508" s="214" t="s">
        <v>4963</v>
      </c>
      <c r="H508" s="214" t="s">
        <v>4964</v>
      </c>
      <c r="I508" s="214" t="s">
        <v>4965</v>
      </c>
      <c r="J508" s="214" t="s">
        <v>4966</v>
      </c>
      <c r="K508" s="214" t="s">
        <v>9306</v>
      </c>
      <c r="L508" s="214" t="s">
        <v>10602</v>
      </c>
      <c r="M508" s="214" t="s">
        <v>9958</v>
      </c>
      <c r="P508" s="120"/>
    </row>
    <row r="509" spans="1:16">
      <c r="A509" s="214" t="s">
        <v>2493</v>
      </c>
      <c r="B509" s="214" t="s">
        <v>1164</v>
      </c>
      <c r="C509" s="222" t="s">
        <v>1163</v>
      </c>
      <c r="D509" s="222" t="s">
        <v>1165</v>
      </c>
      <c r="E509" s="222" t="s">
        <v>4941</v>
      </c>
      <c r="F509" s="214" t="s">
        <v>4942</v>
      </c>
      <c r="G509" s="214" t="s">
        <v>4943</v>
      </c>
      <c r="H509" s="214" t="s">
        <v>4944</v>
      </c>
      <c r="I509" s="214" t="s">
        <v>4945</v>
      </c>
      <c r="J509" s="214" t="s">
        <v>4946</v>
      </c>
      <c r="K509" s="214" t="s">
        <v>9303</v>
      </c>
      <c r="L509" s="214" t="s">
        <v>10599</v>
      </c>
      <c r="M509" s="214" t="s">
        <v>9954</v>
      </c>
      <c r="P509" s="120"/>
    </row>
    <row r="510" spans="1:16">
      <c r="A510" s="215" t="s">
        <v>2494</v>
      </c>
      <c r="B510" s="214" t="s">
        <v>825</v>
      </c>
      <c r="C510" s="222" t="s">
        <v>824</v>
      </c>
      <c r="D510" s="222" t="s">
        <v>1168</v>
      </c>
      <c r="E510" s="222" t="s">
        <v>4512</v>
      </c>
      <c r="F510" s="214" t="s">
        <v>4513</v>
      </c>
      <c r="G510" s="214" t="s">
        <v>4947</v>
      </c>
      <c r="H510" s="214" t="s">
        <v>4515</v>
      </c>
      <c r="I510" s="214" t="s">
        <v>4516</v>
      </c>
      <c r="J510" s="214" t="s">
        <v>4517</v>
      </c>
      <c r="K510" s="214" t="s">
        <v>9284</v>
      </c>
      <c r="L510" s="214" t="s">
        <v>10533</v>
      </c>
      <c r="M510" s="214" t="s">
        <v>9886</v>
      </c>
      <c r="P510" s="120"/>
    </row>
    <row r="511" spans="1:16">
      <c r="A511" s="214" t="s">
        <v>4967</v>
      </c>
      <c r="B511" s="214" t="s">
        <v>825</v>
      </c>
      <c r="C511" s="222" t="s">
        <v>824</v>
      </c>
      <c r="D511" s="222" t="s">
        <v>1168</v>
      </c>
      <c r="E511" s="222" t="s">
        <v>4512</v>
      </c>
      <c r="F511" s="214" t="s">
        <v>4513</v>
      </c>
      <c r="G511" s="214" t="s">
        <v>4947</v>
      </c>
      <c r="H511" s="214" t="s">
        <v>4515</v>
      </c>
      <c r="I511" s="214" t="s">
        <v>4516</v>
      </c>
      <c r="J511" s="214" t="s">
        <v>4517</v>
      </c>
      <c r="K511" s="214" t="s">
        <v>9284</v>
      </c>
      <c r="L511" s="214" t="s">
        <v>10533</v>
      </c>
      <c r="M511" s="214" t="s">
        <v>9886</v>
      </c>
      <c r="P511" s="120"/>
    </row>
    <row r="512" spans="1:16">
      <c r="A512" s="214" t="s">
        <v>2495</v>
      </c>
      <c r="B512" s="214" t="s">
        <v>1158</v>
      </c>
      <c r="C512" s="222" t="s">
        <v>1157</v>
      </c>
      <c r="D512" s="222" t="s">
        <v>1159</v>
      </c>
      <c r="E512" s="222" t="s">
        <v>4843</v>
      </c>
      <c r="F512" s="214" t="s">
        <v>4844</v>
      </c>
      <c r="G512" s="214" t="s">
        <v>4845</v>
      </c>
      <c r="H512" s="214" t="s">
        <v>4846</v>
      </c>
      <c r="I512" s="214" t="s">
        <v>4847</v>
      </c>
      <c r="J512" s="214" t="s">
        <v>4938</v>
      </c>
      <c r="K512" s="214" t="s">
        <v>9290</v>
      </c>
      <c r="L512" s="214" t="s">
        <v>10586</v>
      </c>
      <c r="M512" s="214" t="s">
        <v>9940</v>
      </c>
      <c r="P512" s="120"/>
    </row>
    <row r="513" spans="1:16">
      <c r="A513" s="214" t="s">
        <v>4968</v>
      </c>
      <c r="B513" s="214" t="s">
        <v>1158</v>
      </c>
      <c r="C513" s="222" t="s">
        <v>1157</v>
      </c>
      <c r="D513" s="222" t="s">
        <v>1159</v>
      </c>
      <c r="E513" s="222" t="s">
        <v>4843</v>
      </c>
      <c r="F513" s="214" t="s">
        <v>4844</v>
      </c>
      <c r="G513" s="214" t="s">
        <v>4845</v>
      </c>
      <c r="H513" s="214" t="s">
        <v>4846</v>
      </c>
      <c r="I513" s="214" t="s">
        <v>4847</v>
      </c>
      <c r="J513" s="214" t="s">
        <v>4938</v>
      </c>
      <c r="K513" s="214" t="s">
        <v>9290</v>
      </c>
      <c r="L513" s="214" t="s">
        <v>10586</v>
      </c>
      <c r="M513" s="214" t="s">
        <v>9940</v>
      </c>
      <c r="P513" s="120"/>
    </row>
    <row r="514" spans="1:16">
      <c r="A514" s="214" t="s">
        <v>4969</v>
      </c>
      <c r="B514" s="214" t="s">
        <v>1171</v>
      </c>
      <c r="C514" s="222" t="s">
        <v>1170</v>
      </c>
      <c r="D514" s="222" t="s">
        <v>1172</v>
      </c>
      <c r="E514" s="222" t="s">
        <v>4951</v>
      </c>
      <c r="F514" s="214" t="s">
        <v>4952</v>
      </c>
      <c r="G514" s="214" t="s">
        <v>4953</v>
      </c>
      <c r="H514" s="214" t="s">
        <v>4951</v>
      </c>
      <c r="I514" s="214" t="s">
        <v>4954</v>
      </c>
      <c r="J514" s="214" t="s">
        <v>4970</v>
      </c>
      <c r="K514" s="214" t="s">
        <v>9304</v>
      </c>
      <c r="L514" s="214" t="s">
        <v>10600</v>
      </c>
      <c r="M514" s="214" t="s">
        <v>9956</v>
      </c>
      <c r="P514" s="120"/>
    </row>
    <row r="515" spans="1:16">
      <c r="A515" s="214" t="s">
        <v>2496</v>
      </c>
      <c r="B515" s="214" t="s">
        <v>1171</v>
      </c>
      <c r="C515" s="222" t="s">
        <v>1170</v>
      </c>
      <c r="D515" s="222" t="s">
        <v>1172</v>
      </c>
      <c r="E515" s="222" t="s">
        <v>4951</v>
      </c>
      <c r="F515" s="214" t="s">
        <v>4952</v>
      </c>
      <c r="G515" s="214" t="s">
        <v>4953</v>
      </c>
      <c r="H515" s="214" t="s">
        <v>4951</v>
      </c>
      <c r="I515" s="214" t="s">
        <v>4954</v>
      </c>
      <c r="J515" s="214" t="s">
        <v>4955</v>
      </c>
      <c r="K515" s="214" t="s">
        <v>9307</v>
      </c>
      <c r="L515" s="214" t="s">
        <v>10600</v>
      </c>
      <c r="M515" s="214" t="s">
        <v>9956</v>
      </c>
      <c r="P515" s="120"/>
    </row>
    <row r="516" spans="1:16">
      <c r="A516" s="214" t="s">
        <v>4971</v>
      </c>
      <c r="B516" s="214" t="s">
        <v>1176</v>
      </c>
      <c r="C516" s="222" t="s">
        <v>1175</v>
      </c>
      <c r="D516" s="222" t="s">
        <v>1177</v>
      </c>
      <c r="E516" s="222" t="s">
        <v>4956</v>
      </c>
      <c r="F516" s="214" t="s">
        <v>4957</v>
      </c>
      <c r="G516" s="214" t="s">
        <v>4958</v>
      </c>
      <c r="H516" s="214" t="s">
        <v>4956</v>
      </c>
      <c r="I516" s="214" t="s">
        <v>4959</v>
      </c>
      <c r="J516" s="214" t="s">
        <v>4960</v>
      </c>
      <c r="K516" s="214" t="s">
        <v>9305</v>
      </c>
      <c r="L516" s="214" t="s">
        <v>10601</v>
      </c>
      <c r="M516" s="214" t="s">
        <v>9956</v>
      </c>
      <c r="P516" s="120"/>
    </row>
    <row r="517" spans="1:16">
      <c r="A517" s="214" t="s">
        <v>4972</v>
      </c>
      <c r="B517" s="214" t="s">
        <v>825</v>
      </c>
      <c r="C517" s="222" t="s">
        <v>824</v>
      </c>
      <c r="D517" s="222" t="s">
        <v>1168</v>
      </c>
      <c r="E517" s="222" t="s">
        <v>4512</v>
      </c>
      <c r="F517" s="214" t="s">
        <v>4513</v>
      </c>
      <c r="G517" s="214" t="s">
        <v>4947</v>
      </c>
      <c r="H517" s="214" t="s">
        <v>4515</v>
      </c>
      <c r="I517" s="214" t="s">
        <v>4516</v>
      </c>
      <c r="J517" s="214" t="s">
        <v>4517</v>
      </c>
      <c r="K517" s="214" t="s">
        <v>9284</v>
      </c>
      <c r="L517" s="214" t="s">
        <v>10533</v>
      </c>
      <c r="M517" s="214" t="s">
        <v>9886</v>
      </c>
      <c r="P517" s="120"/>
    </row>
    <row r="518" spans="1:16">
      <c r="A518" s="214" t="s">
        <v>2497</v>
      </c>
      <c r="B518" s="214" t="s">
        <v>1294</v>
      </c>
      <c r="C518" s="222" t="s">
        <v>1293</v>
      </c>
      <c r="D518" s="222" t="s">
        <v>1295</v>
      </c>
      <c r="E518" s="222" t="s">
        <v>4961</v>
      </c>
      <c r="F518" s="214" t="s">
        <v>4962</v>
      </c>
      <c r="G518" s="214" t="s">
        <v>4963</v>
      </c>
      <c r="H518" s="214" t="s">
        <v>4964</v>
      </c>
      <c r="I518" s="214" t="s">
        <v>4965</v>
      </c>
      <c r="J518" s="214" t="s">
        <v>4966</v>
      </c>
      <c r="K518" s="223" t="s">
        <v>9306</v>
      </c>
      <c r="L518" s="214" t="s">
        <v>10602</v>
      </c>
      <c r="M518" s="214" t="s">
        <v>9958</v>
      </c>
      <c r="P518" s="120"/>
    </row>
    <row r="519" spans="1:16">
      <c r="A519" s="214" t="s">
        <v>1180</v>
      </c>
      <c r="B519" s="214" t="s">
        <v>1031</v>
      </c>
      <c r="C519" s="222" t="s">
        <v>652</v>
      </c>
      <c r="D519" s="222" t="s">
        <v>1032</v>
      </c>
      <c r="E519" s="222" t="s">
        <v>4854</v>
      </c>
      <c r="F519" s="214" t="s">
        <v>4107</v>
      </c>
      <c r="G519" s="214" t="s">
        <v>4108</v>
      </c>
      <c r="H519" s="214" t="s">
        <v>4973</v>
      </c>
      <c r="I519" s="214" t="s">
        <v>4131</v>
      </c>
      <c r="J519" s="214" t="s">
        <v>4111</v>
      </c>
      <c r="K519" s="214" t="s">
        <v>9292</v>
      </c>
      <c r="L519" s="214" t="s">
        <v>10588</v>
      </c>
      <c r="M519" s="214" t="s">
        <v>9953</v>
      </c>
      <c r="P519" s="120"/>
    </row>
    <row r="520" spans="1:16">
      <c r="A520" s="214" t="s">
        <v>1181</v>
      </c>
      <c r="B520" s="214" t="s">
        <v>1164</v>
      </c>
      <c r="C520" s="222" t="s">
        <v>1163</v>
      </c>
      <c r="D520" s="222" t="s">
        <v>1165</v>
      </c>
      <c r="E520" s="222" t="s">
        <v>4941</v>
      </c>
      <c r="F520" s="214" t="s">
        <v>4942</v>
      </c>
      <c r="G520" s="214" t="s">
        <v>4943</v>
      </c>
      <c r="H520" s="214" t="s">
        <v>4944</v>
      </c>
      <c r="I520" s="214" t="s">
        <v>4945</v>
      </c>
      <c r="J520" s="214" t="s">
        <v>4946</v>
      </c>
      <c r="K520" s="214" t="s">
        <v>9303</v>
      </c>
      <c r="L520" s="214" t="s">
        <v>10599</v>
      </c>
      <c r="M520" s="214" t="s">
        <v>9954</v>
      </c>
      <c r="P520" s="120"/>
    </row>
    <row r="521" spans="1:16">
      <c r="A521" s="214" t="s">
        <v>1182</v>
      </c>
      <c r="B521" s="214" t="s">
        <v>1164</v>
      </c>
      <c r="C521" s="222" t="s">
        <v>1163</v>
      </c>
      <c r="D521" s="222" t="s">
        <v>1165</v>
      </c>
      <c r="E521" s="222" t="s">
        <v>4512</v>
      </c>
      <c r="F521" s="214" t="s">
        <v>4942</v>
      </c>
      <c r="G521" s="214" t="s">
        <v>4943</v>
      </c>
      <c r="H521" s="214" t="s">
        <v>4944</v>
      </c>
      <c r="I521" s="214" t="s">
        <v>4945</v>
      </c>
      <c r="J521" s="214" t="s">
        <v>4946</v>
      </c>
      <c r="K521" s="214" t="s">
        <v>9303</v>
      </c>
      <c r="L521" s="214" t="s">
        <v>10599</v>
      </c>
      <c r="M521" s="214" t="s">
        <v>9954</v>
      </c>
      <c r="P521" s="120"/>
    </row>
    <row r="522" spans="1:16">
      <c r="A522" s="214" t="s">
        <v>1183</v>
      </c>
      <c r="B522" s="214" t="s">
        <v>825</v>
      </c>
      <c r="C522" s="222" t="s">
        <v>824</v>
      </c>
      <c r="D522" s="222" t="s">
        <v>1168</v>
      </c>
      <c r="E522" s="222" t="s">
        <v>4512</v>
      </c>
      <c r="F522" s="214" t="s">
        <v>4513</v>
      </c>
      <c r="G522" s="214" t="s">
        <v>4947</v>
      </c>
      <c r="H522" s="214" t="s">
        <v>4515</v>
      </c>
      <c r="I522" s="214" t="s">
        <v>4516</v>
      </c>
      <c r="J522" s="214" t="s">
        <v>4517</v>
      </c>
      <c r="K522" s="214" t="s">
        <v>9284</v>
      </c>
      <c r="L522" s="214" t="s">
        <v>10533</v>
      </c>
      <c r="M522" s="214" t="s">
        <v>9886</v>
      </c>
      <c r="P522" s="120"/>
    </row>
    <row r="523" spans="1:16">
      <c r="A523" s="214" t="s">
        <v>1184</v>
      </c>
      <c r="B523" s="214" t="s">
        <v>1171</v>
      </c>
      <c r="C523" s="222" t="s">
        <v>1170</v>
      </c>
      <c r="D523" s="222" t="s">
        <v>1172</v>
      </c>
      <c r="E523" s="222" t="s">
        <v>4951</v>
      </c>
      <c r="F523" s="214" t="s">
        <v>4952</v>
      </c>
      <c r="G523" s="214" t="s">
        <v>4953</v>
      </c>
      <c r="H523" s="214" t="s">
        <v>4951</v>
      </c>
      <c r="I523" s="214" t="s">
        <v>4954</v>
      </c>
      <c r="J523" s="214" t="s">
        <v>4955</v>
      </c>
      <c r="K523" s="214" t="s">
        <v>9304</v>
      </c>
      <c r="L523" s="214" t="s">
        <v>10600</v>
      </c>
      <c r="M523" s="214" t="s">
        <v>9956</v>
      </c>
      <c r="P523" s="120"/>
    </row>
    <row r="524" spans="1:16">
      <c r="A524" s="214" t="s">
        <v>1185</v>
      </c>
      <c r="B524" s="214" t="s">
        <v>810</v>
      </c>
      <c r="C524" s="222" t="s">
        <v>809</v>
      </c>
      <c r="D524" s="222" t="s">
        <v>1085</v>
      </c>
      <c r="E524" s="222" t="s">
        <v>4465</v>
      </c>
      <c r="F524" s="214" t="s">
        <v>4466</v>
      </c>
      <c r="G524" s="214" t="s">
        <v>4899</v>
      </c>
      <c r="H524" s="214" t="s">
        <v>4468</v>
      </c>
      <c r="I524" s="214" t="s">
        <v>4469</v>
      </c>
      <c r="J524" s="214" t="s">
        <v>4470</v>
      </c>
      <c r="K524" s="214" t="s">
        <v>9276</v>
      </c>
      <c r="L524" s="214" t="s">
        <v>10525</v>
      </c>
      <c r="M524" s="214" t="s">
        <v>9878</v>
      </c>
      <c r="P524" s="120"/>
    </row>
    <row r="525" spans="1:16">
      <c r="A525" s="214" t="s">
        <v>2351</v>
      </c>
      <c r="B525" s="214" t="s">
        <v>1171</v>
      </c>
      <c r="C525" s="222" t="s">
        <v>1170</v>
      </c>
      <c r="D525" s="222" t="s">
        <v>1172</v>
      </c>
      <c r="E525" s="222" t="s">
        <v>4951</v>
      </c>
      <c r="F525" s="214" t="s">
        <v>4952</v>
      </c>
      <c r="G525" s="214" t="s">
        <v>4953</v>
      </c>
      <c r="H525" s="214" t="s">
        <v>4951</v>
      </c>
      <c r="I525" s="214" t="s">
        <v>4954</v>
      </c>
      <c r="J525" s="214" t="s">
        <v>4955</v>
      </c>
      <c r="K525" s="214" t="s">
        <v>9304</v>
      </c>
      <c r="L525" s="214" t="s">
        <v>10600</v>
      </c>
      <c r="M525" s="214" t="s">
        <v>9956</v>
      </c>
      <c r="P525" s="120"/>
    </row>
    <row r="526" spans="1:16">
      <c r="A526" s="214" t="s">
        <v>1186</v>
      </c>
      <c r="B526" s="214" t="s">
        <v>1176</v>
      </c>
      <c r="C526" s="222" t="s">
        <v>1175</v>
      </c>
      <c r="D526" s="222" t="s">
        <v>1177</v>
      </c>
      <c r="E526" s="222" t="s">
        <v>4956</v>
      </c>
      <c r="F526" s="214" t="s">
        <v>4957</v>
      </c>
      <c r="G526" s="214" t="s">
        <v>4958</v>
      </c>
      <c r="H526" s="214" t="s">
        <v>4956</v>
      </c>
      <c r="I526" s="214" t="s">
        <v>4959</v>
      </c>
      <c r="J526" s="214" t="s">
        <v>4960</v>
      </c>
      <c r="K526" s="214" t="s">
        <v>9305</v>
      </c>
      <c r="L526" s="214" t="s">
        <v>10601</v>
      </c>
      <c r="M526" s="214" t="s">
        <v>9957</v>
      </c>
      <c r="P526" s="120"/>
    </row>
    <row r="527" spans="1:16">
      <c r="A527" s="214" t="s">
        <v>1187</v>
      </c>
      <c r="B527" s="214" t="s">
        <v>825</v>
      </c>
      <c r="C527" s="222" t="s">
        <v>824</v>
      </c>
      <c r="D527" s="222" t="s">
        <v>1168</v>
      </c>
      <c r="E527" s="222" t="s">
        <v>4512</v>
      </c>
      <c r="F527" s="214" t="s">
        <v>4513</v>
      </c>
      <c r="G527" s="214" t="s">
        <v>4947</v>
      </c>
      <c r="H527" s="214" t="s">
        <v>4515</v>
      </c>
      <c r="I527" s="214" t="s">
        <v>4516</v>
      </c>
      <c r="J527" s="214" t="s">
        <v>4517</v>
      </c>
      <c r="K527" s="214" t="s">
        <v>9284</v>
      </c>
      <c r="L527" s="214" t="s">
        <v>10533</v>
      </c>
      <c r="M527" s="214" t="s">
        <v>9886</v>
      </c>
      <c r="P527" s="120"/>
    </row>
    <row r="528" spans="1:16">
      <c r="A528" s="214" t="s">
        <v>2498</v>
      </c>
      <c r="B528" s="214" t="s">
        <v>1164</v>
      </c>
      <c r="C528" s="222" t="s">
        <v>1163</v>
      </c>
      <c r="D528" s="222" t="s">
        <v>1165</v>
      </c>
      <c r="E528" s="222" t="s">
        <v>4941</v>
      </c>
      <c r="F528" s="214" t="s">
        <v>4942</v>
      </c>
      <c r="G528" s="214" t="s">
        <v>4943</v>
      </c>
      <c r="H528" s="214" t="s">
        <v>4944</v>
      </c>
      <c r="I528" s="214" t="s">
        <v>4945</v>
      </c>
      <c r="J528" s="214" t="s">
        <v>4946</v>
      </c>
      <c r="K528" s="214" t="s">
        <v>9303</v>
      </c>
      <c r="L528" s="214" t="s">
        <v>10599</v>
      </c>
      <c r="M528" s="214" t="s">
        <v>9954</v>
      </c>
      <c r="P528" s="120"/>
    </row>
    <row r="529" spans="1:16">
      <c r="A529" s="214" t="s">
        <v>4974</v>
      </c>
      <c r="B529" s="214" t="s">
        <v>1164</v>
      </c>
      <c r="C529" s="222" t="s">
        <v>1163</v>
      </c>
      <c r="D529" s="222" t="s">
        <v>1165</v>
      </c>
      <c r="E529" s="222" t="s">
        <v>4941</v>
      </c>
      <c r="F529" s="214" t="s">
        <v>4942</v>
      </c>
      <c r="G529" s="214" t="s">
        <v>4943</v>
      </c>
      <c r="H529" s="214" t="s">
        <v>4944</v>
      </c>
      <c r="I529" s="214" t="s">
        <v>4945</v>
      </c>
      <c r="J529" s="214" t="s">
        <v>4946</v>
      </c>
      <c r="K529" s="214" t="s">
        <v>9303</v>
      </c>
      <c r="L529" s="214" t="s">
        <v>10599</v>
      </c>
      <c r="M529" s="214" t="s">
        <v>9954</v>
      </c>
      <c r="P529" s="120"/>
    </row>
    <row r="530" spans="1:16">
      <c r="A530" s="214" t="s">
        <v>4975</v>
      </c>
      <c r="B530" s="214" t="s">
        <v>825</v>
      </c>
      <c r="C530" s="222" t="s">
        <v>824</v>
      </c>
      <c r="D530" s="222" t="s">
        <v>1168</v>
      </c>
      <c r="E530" s="222" t="s">
        <v>4512</v>
      </c>
      <c r="F530" s="214" t="s">
        <v>4513</v>
      </c>
      <c r="G530" s="214" t="s">
        <v>4947</v>
      </c>
      <c r="H530" s="214" t="s">
        <v>4515</v>
      </c>
      <c r="I530" s="214" t="s">
        <v>4516</v>
      </c>
      <c r="J530" s="214" t="s">
        <v>4976</v>
      </c>
      <c r="K530" s="214" t="s">
        <v>9284</v>
      </c>
      <c r="L530" s="214" t="s">
        <v>10533</v>
      </c>
      <c r="M530" s="214" t="s">
        <v>9886</v>
      </c>
      <c r="P530" s="120"/>
    </row>
    <row r="531" spans="1:16">
      <c r="A531" s="214" t="s">
        <v>2499</v>
      </c>
      <c r="B531" s="214" t="s">
        <v>1171</v>
      </c>
      <c r="C531" s="222" t="s">
        <v>1170</v>
      </c>
      <c r="D531" s="222" t="s">
        <v>1172</v>
      </c>
      <c r="E531" s="222" t="s">
        <v>4951</v>
      </c>
      <c r="F531" s="214" t="s">
        <v>4952</v>
      </c>
      <c r="G531" s="214" t="s">
        <v>4953</v>
      </c>
      <c r="H531" s="214" t="s">
        <v>4951</v>
      </c>
      <c r="I531" s="214" t="s">
        <v>4954</v>
      </c>
      <c r="J531" s="214" t="s">
        <v>4955</v>
      </c>
      <c r="K531" s="214" t="s">
        <v>9304</v>
      </c>
      <c r="L531" s="214" t="s">
        <v>10600</v>
      </c>
      <c r="M531" s="214" t="s">
        <v>9956</v>
      </c>
      <c r="P531" s="120"/>
    </row>
    <row r="532" spans="1:16">
      <c r="A532" s="214" t="s">
        <v>4977</v>
      </c>
      <c r="B532" s="214" t="s">
        <v>810</v>
      </c>
      <c r="C532" s="222" t="s">
        <v>809</v>
      </c>
      <c r="D532" s="222" t="s">
        <v>1085</v>
      </c>
      <c r="E532" s="222" t="s">
        <v>4465</v>
      </c>
      <c r="F532" s="214" t="s">
        <v>4466</v>
      </c>
      <c r="G532" s="214" t="s">
        <v>4899</v>
      </c>
      <c r="H532" s="214" t="s">
        <v>4468</v>
      </c>
      <c r="I532" s="214" t="s">
        <v>4469</v>
      </c>
      <c r="J532" s="214" t="s">
        <v>4978</v>
      </c>
      <c r="K532" s="214" t="s">
        <v>9276</v>
      </c>
      <c r="L532" s="214" t="s">
        <v>10525</v>
      </c>
      <c r="M532" s="214" t="s">
        <v>9878</v>
      </c>
      <c r="P532" s="120"/>
    </row>
    <row r="533" spans="1:16">
      <c r="A533" s="214" t="s">
        <v>2500</v>
      </c>
      <c r="B533" s="214" t="s">
        <v>1171</v>
      </c>
      <c r="C533" s="222" t="s">
        <v>1170</v>
      </c>
      <c r="D533" s="222" t="s">
        <v>1172</v>
      </c>
      <c r="E533" s="222" t="s">
        <v>4951</v>
      </c>
      <c r="F533" s="214" t="s">
        <v>4952</v>
      </c>
      <c r="G533" s="214" t="s">
        <v>4953</v>
      </c>
      <c r="H533" s="214" t="s">
        <v>4951</v>
      </c>
      <c r="I533" s="214" t="s">
        <v>4954</v>
      </c>
      <c r="J533" s="214" t="s">
        <v>4955</v>
      </c>
      <c r="K533" s="214" t="s">
        <v>9304</v>
      </c>
      <c r="L533" s="214" t="s">
        <v>10600</v>
      </c>
      <c r="M533" s="214" t="s">
        <v>9956</v>
      </c>
      <c r="P533" s="120"/>
    </row>
    <row r="534" spans="1:16">
      <c r="A534" s="214" t="s">
        <v>2501</v>
      </c>
      <c r="B534" s="214" t="s">
        <v>1176</v>
      </c>
      <c r="C534" s="222" t="s">
        <v>1175</v>
      </c>
      <c r="D534" s="222" t="s">
        <v>1177</v>
      </c>
      <c r="E534" s="222" t="s">
        <v>4956</v>
      </c>
      <c r="F534" s="214" t="s">
        <v>4957</v>
      </c>
      <c r="G534" s="214" t="s">
        <v>4958</v>
      </c>
      <c r="H534" s="214" t="s">
        <v>4956</v>
      </c>
      <c r="I534" s="214" t="s">
        <v>4959</v>
      </c>
      <c r="J534" s="214" t="s">
        <v>4960</v>
      </c>
      <c r="K534" s="214" t="s">
        <v>9305</v>
      </c>
      <c r="L534" s="214" t="s">
        <v>10601</v>
      </c>
      <c r="M534" s="214" t="s">
        <v>9957</v>
      </c>
      <c r="P534" s="120"/>
    </row>
    <row r="535" spans="1:16">
      <c r="A535" s="214" t="s">
        <v>2502</v>
      </c>
      <c r="B535" s="214" t="s">
        <v>825</v>
      </c>
      <c r="C535" s="222" t="s">
        <v>824</v>
      </c>
      <c r="D535" s="222" t="s">
        <v>1168</v>
      </c>
      <c r="E535" s="222" t="s">
        <v>4512</v>
      </c>
      <c r="F535" s="214" t="s">
        <v>4513</v>
      </c>
      <c r="G535" s="214" t="s">
        <v>4947</v>
      </c>
      <c r="H535" s="214" t="s">
        <v>4515</v>
      </c>
      <c r="I535" s="214" t="s">
        <v>4516</v>
      </c>
      <c r="J535" s="214" t="s">
        <v>4517</v>
      </c>
      <c r="K535" s="214" t="s">
        <v>9284</v>
      </c>
      <c r="L535" s="214" t="s">
        <v>10533</v>
      </c>
      <c r="M535" s="214" t="s">
        <v>9886</v>
      </c>
      <c r="P535" s="120"/>
    </row>
    <row r="536" spans="1:16">
      <c r="A536" s="215" t="s">
        <v>1196</v>
      </c>
      <c r="B536" s="214" t="s">
        <v>1020</v>
      </c>
      <c r="C536" s="222" t="s">
        <v>1004</v>
      </c>
      <c r="D536" s="222" t="s">
        <v>1021</v>
      </c>
      <c r="E536" s="222" t="s">
        <v>4837</v>
      </c>
      <c r="F536" s="214" t="s">
        <v>4838</v>
      </c>
      <c r="G536" s="214" t="s">
        <v>4839</v>
      </c>
      <c r="H536" s="214" t="s">
        <v>4840</v>
      </c>
      <c r="I536" s="214" t="s">
        <v>4841</v>
      </c>
      <c r="J536" s="214" t="s">
        <v>4915</v>
      </c>
      <c r="K536" s="214" t="s">
        <v>9289</v>
      </c>
      <c r="L536" s="214" t="s">
        <v>10585</v>
      </c>
      <c r="M536" s="214" t="s">
        <v>9939</v>
      </c>
      <c r="P536" s="120"/>
    </row>
    <row r="537" spans="1:16">
      <c r="A537" s="215" t="s">
        <v>1197</v>
      </c>
      <c r="B537" s="214" t="s">
        <v>1189</v>
      </c>
      <c r="C537" s="222" t="s">
        <v>1188</v>
      </c>
      <c r="D537" s="222" t="s">
        <v>1190</v>
      </c>
      <c r="E537" s="222" t="s">
        <v>4979</v>
      </c>
      <c r="F537" s="214" t="s">
        <v>4980</v>
      </c>
      <c r="G537" s="214" t="s">
        <v>4981</v>
      </c>
      <c r="H537" s="214" t="s">
        <v>4982</v>
      </c>
      <c r="I537" s="214" t="s">
        <v>4983</v>
      </c>
      <c r="J537" s="214" t="s">
        <v>4984</v>
      </c>
      <c r="K537" s="214" t="s">
        <v>9308</v>
      </c>
      <c r="L537" s="214" t="s">
        <v>10603</v>
      </c>
      <c r="M537" s="214" t="s">
        <v>9959</v>
      </c>
      <c r="P537" s="120"/>
    </row>
    <row r="538" spans="1:16">
      <c r="A538" s="214" t="s">
        <v>1199</v>
      </c>
      <c r="B538" s="214" t="s">
        <v>1189</v>
      </c>
      <c r="C538" s="222" t="s">
        <v>1188</v>
      </c>
      <c r="D538" s="222" t="s">
        <v>1190</v>
      </c>
      <c r="E538" s="222" t="s">
        <v>4979</v>
      </c>
      <c r="F538" s="214" t="s">
        <v>4980</v>
      </c>
      <c r="G538" s="214" t="s">
        <v>4981</v>
      </c>
      <c r="H538" s="214" t="s">
        <v>4982</v>
      </c>
      <c r="I538" s="214" t="s">
        <v>4983</v>
      </c>
      <c r="J538" s="214" t="s">
        <v>4984</v>
      </c>
      <c r="K538" s="214" t="s">
        <v>9308</v>
      </c>
      <c r="L538" s="214" t="s">
        <v>10603</v>
      </c>
      <c r="M538" s="214" t="s">
        <v>9959</v>
      </c>
      <c r="P538" s="120"/>
    </row>
    <row r="539" spans="1:16">
      <c r="A539" s="214" t="s">
        <v>1200</v>
      </c>
      <c r="B539" s="214" t="s">
        <v>1176</v>
      </c>
      <c r="C539" s="222" t="s">
        <v>1175</v>
      </c>
      <c r="D539" s="222" t="s">
        <v>1177</v>
      </c>
      <c r="E539" s="222" t="s">
        <v>4956</v>
      </c>
      <c r="F539" s="214" t="s">
        <v>4957</v>
      </c>
      <c r="G539" s="214" t="s">
        <v>4958</v>
      </c>
      <c r="H539" s="214" t="s">
        <v>4956</v>
      </c>
      <c r="I539" s="214" t="s">
        <v>4959</v>
      </c>
      <c r="J539" s="214" t="s">
        <v>4960</v>
      </c>
      <c r="K539" s="214" t="s">
        <v>9305</v>
      </c>
      <c r="L539" s="214" t="s">
        <v>10601</v>
      </c>
      <c r="M539" s="214" t="s">
        <v>9957</v>
      </c>
      <c r="P539" s="120"/>
    </row>
    <row r="540" spans="1:16">
      <c r="A540" s="219" t="s">
        <v>1201</v>
      </c>
      <c r="B540" s="214" t="s">
        <v>1192</v>
      </c>
      <c r="C540" s="222" t="s">
        <v>1191</v>
      </c>
      <c r="D540" s="222" t="s">
        <v>1193</v>
      </c>
      <c r="E540" s="222" t="s">
        <v>4985</v>
      </c>
      <c r="F540" s="214" t="s">
        <v>4986</v>
      </c>
      <c r="G540" s="214" t="s">
        <v>4958</v>
      </c>
      <c r="H540" s="214" t="s">
        <v>4987</v>
      </c>
      <c r="I540" s="214" t="s">
        <v>4988</v>
      </c>
      <c r="J540" s="214" t="s">
        <v>4989</v>
      </c>
      <c r="K540" s="214" t="s">
        <v>9309</v>
      </c>
      <c r="L540" s="214" t="s">
        <v>10604</v>
      </c>
      <c r="M540" s="214" t="s">
        <v>9960</v>
      </c>
      <c r="P540" s="120"/>
    </row>
    <row r="541" spans="1:16">
      <c r="A541" s="214" t="s">
        <v>1202</v>
      </c>
      <c r="B541" s="214" t="s">
        <v>2616</v>
      </c>
      <c r="C541" s="222" t="s">
        <v>1194</v>
      </c>
      <c r="D541" s="222" t="s">
        <v>1195</v>
      </c>
      <c r="E541" s="222" t="s">
        <v>4990</v>
      </c>
      <c r="F541" s="214" t="s">
        <v>4991</v>
      </c>
      <c r="G541" s="214" t="s">
        <v>4992</v>
      </c>
      <c r="H541" s="214" t="s">
        <v>4990</v>
      </c>
      <c r="I541" s="214" t="s">
        <v>4993</v>
      </c>
      <c r="J541" s="214" t="s">
        <v>4994</v>
      </c>
      <c r="K541" s="214" t="s">
        <v>9310</v>
      </c>
      <c r="L541" s="214" t="s">
        <v>10605</v>
      </c>
      <c r="M541" s="214" t="s">
        <v>9961</v>
      </c>
      <c r="P541" s="120"/>
    </row>
    <row r="542" spans="1:16">
      <c r="A542" s="214" t="s">
        <v>1203</v>
      </c>
      <c r="B542" s="214" t="s">
        <v>1176</v>
      </c>
      <c r="C542" s="222" t="s">
        <v>1175</v>
      </c>
      <c r="D542" s="222" t="s">
        <v>1177</v>
      </c>
      <c r="E542" s="222" t="s">
        <v>4956</v>
      </c>
      <c r="F542" s="214" t="s">
        <v>4957</v>
      </c>
      <c r="G542" s="214" t="s">
        <v>4958</v>
      </c>
      <c r="H542" s="214" t="s">
        <v>4956</v>
      </c>
      <c r="I542" s="214" t="s">
        <v>4959</v>
      </c>
      <c r="J542" s="214" t="s">
        <v>4960</v>
      </c>
      <c r="K542" s="214" t="s">
        <v>9305</v>
      </c>
      <c r="L542" s="214" t="s">
        <v>10601</v>
      </c>
      <c r="M542" s="214" t="s">
        <v>9957</v>
      </c>
      <c r="P542" s="120"/>
    </row>
    <row r="543" spans="1:16">
      <c r="A543" s="214" t="s">
        <v>13225</v>
      </c>
      <c r="B543" s="214" t="s">
        <v>13394</v>
      </c>
      <c r="C543" s="222" t="s">
        <v>13395</v>
      </c>
      <c r="D543" s="222" t="s">
        <v>13396</v>
      </c>
      <c r="E543" s="222" t="s">
        <v>13397</v>
      </c>
      <c r="F543" s="214" t="s">
        <v>13398</v>
      </c>
      <c r="G543" s="214" t="s">
        <v>13399</v>
      </c>
      <c r="H543" s="214" t="s">
        <v>13400</v>
      </c>
      <c r="I543" s="214" t="s">
        <v>13401</v>
      </c>
      <c r="J543" s="214" t="s">
        <v>13402</v>
      </c>
      <c r="K543" s="214" t="s">
        <v>13403</v>
      </c>
      <c r="L543" s="214" t="s">
        <v>13404</v>
      </c>
      <c r="M543" s="214" t="s">
        <v>13405</v>
      </c>
      <c r="P543" s="120"/>
    </row>
    <row r="544" spans="1:16">
      <c r="A544" s="214" t="s">
        <v>2352</v>
      </c>
      <c r="B544" s="214" t="s">
        <v>2617</v>
      </c>
      <c r="C544" s="222" t="s">
        <v>2733</v>
      </c>
      <c r="D544" s="222" t="s">
        <v>2788</v>
      </c>
      <c r="E544" s="222" t="s">
        <v>4995</v>
      </c>
      <c r="F544" s="214" t="s">
        <v>4996</v>
      </c>
      <c r="G544" s="214" t="s">
        <v>4997</v>
      </c>
      <c r="H544" s="214" t="s">
        <v>4998</v>
      </c>
      <c r="I544" s="214" t="s">
        <v>4999</v>
      </c>
      <c r="J544" s="214" t="s">
        <v>5000</v>
      </c>
      <c r="K544" s="214" t="s">
        <v>9311</v>
      </c>
      <c r="L544" s="214" t="s">
        <v>10606</v>
      </c>
      <c r="M544" s="214" t="s">
        <v>9962</v>
      </c>
      <c r="P544" s="120"/>
    </row>
    <row r="545" spans="1:16">
      <c r="A545" s="214" t="s">
        <v>2503</v>
      </c>
      <c r="B545" s="214" t="s">
        <v>1020</v>
      </c>
      <c r="C545" s="222" t="s">
        <v>1004</v>
      </c>
      <c r="D545" s="222" t="s">
        <v>1021</v>
      </c>
      <c r="E545" s="222" t="s">
        <v>4837</v>
      </c>
      <c r="F545" s="214" t="s">
        <v>4838</v>
      </c>
      <c r="G545" s="214" t="s">
        <v>4839</v>
      </c>
      <c r="H545" s="214" t="s">
        <v>4840</v>
      </c>
      <c r="I545" s="214" t="s">
        <v>4841</v>
      </c>
      <c r="J545" s="214" t="s">
        <v>4915</v>
      </c>
      <c r="K545" s="214" t="s">
        <v>9289</v>
      </c>
      <c r="L545" s="214" t="s">
        <v>10585</v>
      </c>
      <c r="M545" s="214" t="s">
        <v>9939</v>
      </c>
      <c r="P545" s="120"/>
    </row>
    <row r="546" spans="1:16">
      <c r="A546" s="214" t="s">
        <v>2504</v>
      </c>
      <c r="B546" s="214" t="s">
        <v>1189</v>
      </c>
      <c r="C546" s="222" t="s">
        <v>1188</v>
      </c>
      <c r="D546" s="222" t="s">
        <v>1190</v>
      </c>
      <c r="E546" s="222" t="s">
        <v>4979</v>
      </c>
      <c r="F546" s="214" t="s">
        <v>4980</v>
      </c>
      <c r="G546" s="214" t="s">
        <v>4981</v>
      </c>
      <c r="H546" s="214" t="s">
        <v>4982</v>
      </c>
      <c r="I546" s="214" t="s">
        <v>4983</v>
      </c>
      <c r="J546" s="214" t="s">
        <v>4984</v>
      </c>
      <c r="K546" s="214" t="s">
        <v>9308</v>
      </c>
      <c r="L546" s="214" t="s">
        <v>10603</v>
      </c>
      <c r="M546" s="214" t="s">
        <v>9959</v>
      </c>
      <c r="P546" s="120"/>
    </row>
    <row r="547" spans="1:16">
      <c r="A547" s="214" t="s">
        <v>5001</v>
      </c>
      <c r="B547" s="214" t="s">
        <v>1189</v>
      </c>
      <c r="C547" s="222" t="s">
        <v>1188</v>
      </c>
      <c r="D547" s="222" t="s">
        <v>1190</v>
      </c>
      <c r="E547" s="222" t="s">
        <v>4979</v>
      </c>
      <c r="F547" s="214" t="s">
        <v>4980</v>
      </c>
      <c r="G547" s="214" t="s">
        <v>4981</v>
      </c>
      <c r="H547" s="214" t="s">
        <v>4982</v>
      </c>
      <c r="I547" s="214" t="s">
        <v>4983</v>
      </c>
      <c r="J547" s="214" t="s">
        <v>5002</v>
      </c>
      <c r="K547" s="214" t="s">
        <v>9308</v>
      </c>
      <c r="L547" s="214" t="s">
        <v>10603</v>
      </c>
      <c r="M547" s="214" t="s">
        <v>9959</v>
      </c>
      <c r="P547" s="120"/>
    </row>
    <row r="548" spans="1:16">
      <c r="A548" s="214" t="s">
        <v>5003</v>
      </c>
      <c r="B548" s="214" t="s">
        <v>1176</v>
      </c>
      <c r="C548" s="222" t="s">
        <v>1175</v>
      </c>
      <c r="D548" s="222" t="s">
        <v>1177</v>
      </c>
      <c r="E548" s="222" t="s">
        <v>4956</v>
      </c>
      <c r="F548" s="214" t="s">
        <v>4957</v>
      </c>
      <c r="G548" s="214" t="s">
        <v>4958</v>
      </c>
      <c r="H548" s="214" t="s">
        <v>4956</v>
      </c>
      <c r="I548" s="214" t="s">
        <v>4959</v>
      </c>
      <c r="J548" s="214" t="s">
        <v>4960</v>
      </c>
      <c r="K548" s="214" t="s">
        <v>9305</v>
      </c>
      <c r="L548" s="214" t="s">
        <v>10601</v>
      </c>
      <c r="M548" s="214" t="s">
        <v>9957</v>
      </c>
      <c r="P548" s="120"/>
    </row>
    <row r="549" spans="1:16">
      <c r="A549" s="214" t="s">
        <v>2505</v>
      </c>
      <c r="B549" s="214" t="s">
        <v>1192</v>
      </c>
      <c r="C549" s="222" t="s">
        <v>1191</v>
      </c>
      <c r="D549" s="222" t="s">
        <v>1193</v>
      </c>
      <c r="E549" s="222" t="s">
        <v>4985</v>
      </c>
      <c r="F549" s="214" t="s">
        <v>4986</v>
      </c>
      <c r="G549" s="214" t="s">
        <v>5004</v>
      </c>
      <c r="H549" s="214" t="s">
        <v>4987</v>
      </c>
      <c r="I549" s="214" t="s">
        <v>4988</v>
      </c>
      <c r="J549" s="214" t="s">
        <v>4989</v>
      </c>
      <c r="K549" s="214" t="s">
        <v>9309</v>
      </c>
      <c r="L549" s="214" t="s">
        <v>10604</v>
      </c>
      <c r="M549" s="214" t="s">
        <v>9960</v>
      </c>
      <c r="P549" s="120"/>
    </row>
    <row r="550" spans="1:16">
      <c r="A550" s="214" t="s">
        <v>2506</v>
      </c>
      <c r="B550" s="214" t="s">
        <v>2616</v>
      </c>
      <c r="C550" s="222" t="s">
        <v>1194</v>
      </c>
      <c r="D550" s="222" t="s">
        <v>1195</v>
      </c>
      <c r="E550" s="222" t="s">
        <v>4990</v>
      </c>
      <c r="F550" s="214" t="s">
        <v>4991</v>
      </c>
      <c r="G550" s="214" t="s">
        <v>4992</v>
      </c>
      <c r="H550" s="214" t="s">
        <v>4990</v>
      </c>
      <c r="I550" s="214" t="s">
        <v>4993</v>
      </c>
      <c r="J550" s="214" t="s">
        <v>4994</v>
      </c>
      <c r="K550" s="223" t="s">
        <v>9310</v>
      </c>
      <c r="L550" s="214" t="s">
        <v>10605</v>
      </c>
      <c r="M550" s="214" t="s">
        <v>9961</v>
      </c>
      <c r="P550" s="120"/>
    </row>
    <row r="551" spans="1:16">
      <c r="A551" s="214" t="s">
        <v>2507</v>
      </c>
      <c r="B551" s="214" t="s">
        <v>1176</v>
      </c>
      <c r="C551" s="222" t="s">
        <v>1175</v>
      </c>
      <c r="D551" s="222" t="s">
        <v>1177</v>
      </c>
      <c r="E551" s="222" t="s">
        <v>4956</v>
      </c>
      <c r="F551" s="214" t="s">
        <v>4957</v>
      </c>
      <c r="G551" s="214" t="s">
        <v>4958</v>
      </c>
      <c r="H551" s="214" t="s">
        <v>4956</v>
      </c>
      <c r="I551" s="214" t="s">
        <v>4959</v>
      </c>
      <c r="J551" s="214" t="s">
        <v>4960</v>
      </c>
      <c r="K551" s="214" t="s">
        <v>9305</v>
      </c>
      <c r="L551" s="214" t="s">
        <v>10601</v>
      </c>
      <c r="M551" s="214" t="s">
        <v>9957</v>
      </c>
      <c r="P551" s="120"/>
    </row>
    <row r="552" spans="1:16">
      <c r="A552" s="214" t="s">
        <v>2508</v>
      </c>
      <c r="B552" s="214" t="s">
        <v>2617</v>
      </c>
      <c r="C552" s="222" t="s">
        <v>2733</v>
      </c>
      <c r="D552" s="222" t="s">
        <v>2788</v>
      </c>
      <c r="E552" s="222" t="s">
        <v>4995</v>
      </c>
      <c r="F552" s="214" t="s">
        <v>4996</v>
      </c>
      <c r="G552" s="214" t="s">
        <v>4997</v>
      </c>
      <c r="H552" s="214" t="s">
        <v>4998</v>
      </c>
      <c r="I552" s="214" t="s">
        <v>4999</v>
      </c>
      <c r="J552" s="214" t="s">
        <v>5000</v>
      </c>
      <c r="K552" s="214" t="s">
        <v>9311</v>
      </c>
      <c r="L552" s="214" t="s">
        <v>10606</v>
      </c>
      <c r="M552" s="214" t="s">
        <v>9962</v>
      </c>
      <c r="P552" s="120"/>
    </row>
    <row r="553" spans="1:16">
      <c r="A553" s="215" t="s">
        <v>1204</v>
      </c>
      <c r="B553" s="214" t="s">
        <v>405</v>
      </c>
      <c r="C553" s="222" t="s">
        <v>404</v>
      </c>
      <c r="D553" s="222" t="s">
        <v>406</v>
      </c>
      <c r="E553" s="222" t="s">
        <v>3761</v>
      </c>
      <c r="F553" s="214" t="s">
        <v>3762</v>
      </c>
      <c r="G553" s="214" t="s">
        <v>4123</v>
      </c>
      <c r="H553" s="214" t="s">
        <v>3761</v>
      </c>
      <c r="I553" s="214" t="s">
        <v>3763</v>
      </c>
      <c r="J553" s="214" t="s">
        <v>3764</v>
      </c>
      <c r="K553" s="214" t="s">
        <v>9170</v>
      </c>
      <c r="L553" s="214" t="s">
        <v>10419</v>
      </c>
      <c r="M553" s="214" t="s">
        <v>9827</v>
      </c>
      <c r="P553" s="120"/>
    </row>
    <row r="554" spans="1:16">
      <c r="A554" s="214" t="s">
        <v>1205</v>
      </c>
      <c r="B554" s="214" t="s">
        <v>405</v>
      </c>
      <c r="C554" s="222" t="s">
        <v>404</v>
      </c>
      <c r="D554" s="222" t="s">
        <v>406</v>
      </c>
      <c r="E554" s="222" t="s">
        <v>3761</v>
      </c>
      <c r="F554" s="214" t="s">
        <v>3762</v>
      </c>
      <c r="G554" s="214" t="s">
        <v>4123</v>
      </c>
      <c r="H554" s="214" t="s">
        <v>3761</v>
      </c>
      <c r="I554" s="214" t="s">
        <v>3763</v>
      </c>
      <c r="J554" s="214" t="s">
        <v>3764</v>
      </c>
      <c r="K554" s="214" t="s">
        <v>9170</v>
      </c>
      <c r="L554" s="214" t="s">
        <v>10419</v>
      </c>
      <c r="M554" s="214" t="s">
        <v>9827</v>
      </c>
      <c r="P554" s="120"/>
    </row>
    <row r="555" spans="1:16">
      <c r="A555" s="214" t="s">
        <v>1207</v>
      </c>
      <c r="B555" s="214" t="s">
        <v>405</v>
      </c>
      <c r="C555" s="222" t="s">
        <v>404</v>
      </c>
      <c r="D555" s="222" t="s">
        <v>406</v>
      </c>
      <c r="E555" s="222" t="s">
        <v>3761</v>
      </c>
      <c r="F555" s="214" t="s">
        <v>3762</v>
      </c>
      <c r="G555" s="214" t="s">
        <v>4123</v>
      </c>
      <c r="H555" s="214" t="s">
        <v>3761</v>
      </c>
      <c r="I555" s="214" t="s">
        <v>3763</v>
      </c>
      <c r="J555" s="214" t="s">
        <v>3764</v>
      </c>
      <c r="K555" s="214" t="s">
        <v>9170</v>
      </c>
      <c r="L555" s="214" t="s">
        <v>10419</v>
      </c>
      <c r="M555" s="214" t="s">
        <v>9827</v>
      </c>
      <c r="P555" s="120"/>
    </row>
    <row r="556" spans="1:16">
      <c r="A556" s="214" t="s">
        <v>1209</v>
      </c>
      <c r="B556" s="214" t="s">
        <v>405</v>
      </c>
      <c r="C556" s="222" t="s">
        <v>404</v>
      </c>
      <c r="D556" s="222" t="s">
        <v>406</v>
      </c>
      <c r="E556" s="222" t="s">
        <v>3761</v>
      </c>
      <c r="F556" s="214" t="s">
        <v>3762</v>
      </c>
      <c r="G556" s="214" t="s">
        <v>4123</v>
      </c>
      <c r="H556" s="214" t="s">
        <v>3761</v>
      </c>
      <c r="I556" s="214" t="s">
        <v>3763</v>
      </c>
      <c r="J556" s="214" t="s">
        <v>3764</v>
      </c>
      <c r="K556" s="214" t="s">
        <v>9170</v>
      </c>
      <c r="L556" s="214" t="s">
        <v>10419</v>
      </c>
      <c r="M556" s="214" t="s">
        <v>9827</v>
      </c>
      <c r="P556" s="120"/>
    </row>
    <row r="557" spans="1:16">
      <c r="A557" s="214" t="s">
        <v>1211</v>
      </c>
      <c r="B557" s="214" t="s">
        <v>405</v>
      </c>
      <c r="C557" s="222" t="s">
        <v>404</v>
      </c>
      <c r="D557" s="222" t="s">
        <v>406</v>
      </c>
      <c r="E557" s="222" t="s">
        <v>3761</v>
      </c>
      <c r="F557" s="214" t="s">
        <v>3762</v>
      </c>
      <c r="G557" s="214" t="s">
        <v>4123</v>
      </c>
      <c r="H557" s="214" t="s">
        <v>3761</v>
      </c>
      <c r="I557" s="214" t="s">
        <v>3763</v>
      </c>
      <c r="J557" s="214" t="s">
        <v>3764</v>
      </c>
      <c r="K557" s="214" t="s">
        <v>9170</v>
      </c>
      <c r="L557" s="214" t="s">
        <v>10419</v>
      </c>
      <c r="M557" s="214" t="s">
        <v>9827</v>
      </c>
      <c r="P557" s="120"/>
    </row>
    <row r="558" spans="1:16">
      <c r="A558" s="214" t="s">
        <v>1213</v>
      </c>
      <c r="B558" s="214" t="s">
        <v>405</v>
      </c>
      <c r="C558" s="222" t="s">
        <v>404</v>
      </c>
      <c r="D558" s="222" t="s">
        <v>406</v>
      </c>
      <c r="E558" s="222" t="s">
        <v>3761</v>
      </c>
      <c r="F558" s="214" t="s">
        <v>3762</v>
      </c>
      <c r="G558" s="214" t="s">
        <v>4123</v>
      </c>
      <c r="H558" s="214" t="s">
        <v>3761</v>
      </c>
      <c r="I558" s="214" t="s">
        <v>3763</v>
      </c>
      <c r="J558" s="214" t="s">
        <v>3764</v>
      </c>
      <c r="K558" s="214" t="s">
        <v>9170</v>
      </c>
      <c r="L558" s="214" t="s">
        <v>10419</v>
      </c>
      <c r="M558" s="214" t="s">
        <v>9827</v>
      </c>
      <c r="P558" s="120"/>
    </row>
    <row r="559" spans="1:16">
      <c r="A559" s="215" t="s">
        <v>1214</v>
      </c>
      <c r="B559" s="214" t="s">
        <v>405</v>
      </c>
      <c r="C559" s="222" t="s">
        <v>404</v>
      </c>
      <c r="D559" s="222" t="s">
        <v>406</v>
      </c>
      <c r="E559" s="222" t="s">
        <v>3761</v>
      </c>
      <c r="F559" s="214" t="s">
        <v>3762</v>
      </c>
      <c r="G559" s="214" t="s">
        <v>4123</v>
      </c>
      <c r="H559" s="214" t="s">
        <v>3761</v>
      </c>
      <c r="I559" s="214" t="s">
        <v>3763</v>
      </c>
      <c r="J559" s="214" t="s">
        <v>3764</v>
      </c>
      <c r="K559" s="214" t="s">
        <v>9170</v>
      </c>
      <c r="L559" s="214" t="s">
        <v>10419</v>
      </c>
      <c r="M559" s="214" t="s">
        <v>9827</v>
      </c>
      <c r="P559" s="120"/>
    </row>
    <row r="560" spans="1:16">
      <c r="A560" s="214" t="s">
        <v>1215</v>
      </c>
      <c r="B560" s="214" t="s">
        <v>405</v>
      </c>
      <c r="C560" s="222" t="s">
        <v>404</v>
      </c>
      <c r="D560" s="222" t="s">
        <v>406</v>
      </c>
      <c r="E560" s="222" t="s">
        <v>3761</v>
      </c>
      <c r="F560" s="214" t="s">
        <v>3762</v>
      </c>
      <c r="G560" s="214" t="s">
        <v>4123</v>
      </c>
      <c r="H560" s="214" t="s">
        <v>3761</v>
      </c>
      <c r="I560" s="214" t="s">
        <v>3763</v>
      </c>
      <c r="J560" s="214" t="s">
        <v>3764</v>
      </c>
      <c r="K560" s="214" t="s">
        <v>9170</v>
      </c>
      <c r="L560" s="214" t="s">
        <v>10419</v>
      </c>
      <c r="M560" s="214" t="s">
        <v>9827</v>
      </c>
      <c r="P560" s="120"/>
    </row>
    <row r="561" spans="1:16">
      <c r="A561" s="219" t="s">
        <v>2353</v>
      </c>
      <c r="B561" s="214" t="s">
        <v>772</v>
      </c>
      <c r="C561" s="222" t="s">
        <v>771</v>
      </c>
      <c r="D561" s="222" t="s">
        <v>773</v>
      </c>
      <c r="E561" s="222" t="s">
        <v>4488</v>
      </c>
      <c r="F561" s="214" t="s">
        <v>4489</v>
      </c>
      <c r="G561" s="214" t="s">
        <v>4870</v>
      </c>
      <c r="H561" s="214" t="s">
        <v>4491</v>
      </c>
      <c r="I561" s="214" t="s">
        <v>4871</v>
      </c>
      <c r="J561" s="214" t="s">
        <v>4493</v>
      </c>
      <c r="K561" s="214" t="s">
        <v>9280</v>
      </c>
      <c r="L561" s="214" t="s">
        <v>10529</v>
      </c>
      <c r="M561" s="214" t="s">
        <v>9882</v>
      </c>
      <c r="P561" s="120"/>
    </row>
    <row r="562" spans="1:16">
      <c r="A562" s="214" t="s">
        <v>1216</v>
      </c>
      <c r="B562" s="214" t="s">
        <v>1347</v>
      </c>
      <c r="C562" s="222" t="s">
        <v>771</v>
      </c>
      <c r="D562" s="222" t="s">
        <v>773</v>
      </c>
      <c r="E562" s="222" t="s">
        <v>4488</v>
      </c>
      <c r="F562" s="214" t="s">
        <v>4489</v>
      </c>
      <c r="G562" s="214" t="s">
        <v>4870</v>
      </c>
      <c r="H562" s="214" t="s">
        <v>4491</v>
      </c>
      <c r="I562" s="214" t="s">
        <v>4871</v>
      </c>
      <c r="J562" s="214" t="s">
        <v>4873</v>
      </c>
      <c r="K562" s="214" t="s">
        <v>9280</v>
      </c>
      <c r="L562" s="214" t="s">
        <v>10607</v>
      </c>
      <c r="M562" s="214" t="s">
        <v>9882</v>
      </c>
      <c r="P562" s="120"/>
    </row>
    <row r="563" spans="1:16">
      <c r="A563" s="219" t="s">
        <v>1217</v>
      </c>
      <c r="B563" s="214" t="s">
        <v>1031</v>
      </c>
      <c r="C563" s="222" t="s">
        <v>652</v>
      </c>
      <c r="D563" s="222" t="s">
        <v>1032</v>
      </c>
      <c r="E563" s="222" t="s">
        <v>5005</v>
      </c>
      <c r="F563" s="214" t="s">
        <v>4107</v>
      </c>
      <c r="G563" s="214" t="s">
        <v>4108</v>
      </c>
      <c r="H563" s="214" t="s">
        <v>4855</v>
      </c>
      <c r="I563" s="214" t="s">
        <v>4131</v>
      </c>
      <c r="J563" s="214" t="s">
        <v>4111</v>
      </c>
      <c r="K563" s="214" t="s">
        <v>9312</v>
      </c>
      <c r="L563" s="214" t="s">
        <v>10588</v>
      </c>
      <c r="M563" s="214" t="s">
        <v>9963</v>
      </c>
      <c r="P563" s="120"/>
    </row>
    <row r="564" spans="1:16">
      <c r="A564" s="214" t="s">
        <v>1218</v>
      </c>
      <c r="B564" s="214" t="s">
        <v>772</v>
      </c>
      <c r="C564" s="222" t="s">
        <v>771</v>
      </c>
      <c r="D564" s="222" t="s">
        <v>773</v>
      </c>
      <c r="E564" s="222" t="s">
        <v>4488</v>
      </c>
      <c r="F564" s="214" t="s">
        <v>4489</v>
      </c>
      <c r="G564" s="214" t="s">
        <v>4870</v>
      </c>
      <c r="H564" s="214" t="s">
        <v>4491</v>
      </c>
      <c r="I564" s="214" t="s">
        <v>4871</v>
      </c>
      <c r="J564" s="214" t="s">
        <v>4493</v>
      </c>
      <c r="K564" s="214" t="s">
        <v>9280</v>
      </c>
      <c r="L564" s="214" t="s">
        <v>10529</v>
      </c>
      <c r="M564" s="214" t="s">
        <v>9882</v>
      </c>
      <c r="P564" s="120"/>
    </row>
    <row r="565" spans="1:16">
      <c r="A565" s="214" t="s">
        <v>1220</v>
      </c>
      <c r="B565" s="214" t="s">
        <v>772</v>
      </c>
      <c r="C565" s="222" t="s">
        <v>771</v>
      </c>
      <c r="D565" s="222" t="s">
        <v>773</v>
      </c>
      <c r="E565" s="222" t="s">
        <v>4488</v>
      </c>
      <c r="F565" s="214" t="s">
        <v>4489</v>
      </c>
      <c r="G565" s="214" t="s">
        <v>4870</v>
      </c>
      <c r="H565" s="214" t="s">
        <v>4491</v>
      </c>
      <c r="I565" s="214" t="s">
        <v>4871</v>
      </c>
      <c r="J565" s="214" t="s">
        <v>4493</v>
      </c>
      <c r="K565" s="214" t="s">
        <v>9280</v>
      </c>
      <c r="L565" s="214" t="s">
        <v>10529</v>
      </c>
      <c r="M565" s="214" t="s">
        <v>9882</v>
      </c>
      <c r="P565" s="120"/>
    </row>
    <row r="566" spans="1:16">
      <c r="A566" s="215" t="s">
        <v>2354</v>
      </c>
      <c r="B566" s="214" t="s">
        <v>2618</v>
      </c>
      <c r="C566" s="222" t="s">
        <v>2734</v>
      </c>
      <c r="D566" s="222" t="s">
        <v>2789</v>
      </c>
      <c r="E566" s="222" t="s">
        <v>4118</v>
      </c>
      <c r="F566" s="214" t="s">
        <v>5006</v>
      </c>
      <c r="G566" s="214" t="s">
        <v>4120</v>
      </c>
      <c r="H566" s="214" t="s">
        <v>5007</v>
      </c>
      <c r="I566" s="214" t="s">
        <v>5008</v>
      </c>
      <c r="J566" s="214" t="s">
        <v>4122</v>
      </c>
      <c r="K566" s="214" t="s">
        <v>9229</v>
      </c>
      <c r="L566" s="214" t="s">
        <v>10608</v>
      </c>
      <c r="M566" s="214" t="s">
        <v>9964</v>
      </c>
      <c r="P566" s="120"/>
    </row>
    <row r="567" spans="1:16">
      <c r="A567" s="214" t="s">
        <v>1222</v>
      </c>
      <c r="B567" s="214" t="s">
        <v>772</v>
      </c>
      <c r="C567" s="222" t="s">
        <v>771</v>
      </c>
      <c r="D567" s="222" t="s">
        <v>773</v>
      </c>
      <c r="E567" s="222" t="s">
        <v>4488</v>
      </c>
      <c r="F567" s="214" t="s">
        <v>4489</v>
      </c>
      <c r="G567" s="214" t="s">
        <v>4870</v>
      </c>
      <c r="H567" s="214" t="s">
        <v>4491</v>
      </c>
      <c r="I567" s="214" t="s">
        <v>4871</v>
      </c>
      <c r="J567" s="214" t="s">
        <v>4493</v>
      </c>
      <c r="K567" s="214" t="s">
        <v>9280</v>
      </c>
      <c r="L567" s="214" t="s">
        <v>10529</v>
      </c>
      <c r="M567" s="214" t="s">
        <v>9882</v>
      </c>
      <c r="P567" s="120"/>
    </row>
    <row r="568" spans="1:16">
      <c r="A568" s="214" t="s">
        <v>1225</v>
      </c>
      <c r="B568" s="214" t="s">
        <v>772</v>
      </c>
      <c r="C568" s="222" t="s">
        <v>771</v>
      </c>
      <c r="D568" s="222" t="s">
        <v>773</v>
      </c>
      <c r="E568" s="222" t="s">
        <v>4488</v>
      </c>
      <c r="F568" s="214" t="s">
        <v>4489</v>
      </c>
      <c r="G568" s="214" t="s">
        <v>4870</v>
      </c>
      <c r="H568" s="214" t="s">
        <v>4491</v>
      </c>
      <c r="I568" s="214" t="s">
        <v>4871</v>
      </c>
      <c r="J568" s="214" t="s">
        <v>4493</v>
      </c>
      <c r="K568" s="214" t="s">
        <v>9280</v>
      </c>
      <c r="L568" s="214" t="s">
        <v>10529</v>
      </c>
      <c r="M568" s="214" t="s">
        <v>9882</v>
      </c>
      <c r="P568" s="120"/>
    </row>
    <row r="569" spans="1:16">
      <c r="A569" s="214" t="s">
        <v>1228</v>
      </c>
      <c r="B569" s="214" t="s">
        <v>772</v>
      </c>
      <c r="C569" s="222" t="s">
        <v>771</v>
      </c>
      <c r="D569" s="222" t="s">
        <v>773</v>
      </c>
      <c r="E569" s="222" t="s">
        <v>4488</v>
      </c>
      <c r="F569" s="214" t="s">
        <v>4489</v>
      </c>
      <c r="G569" s="214" t="s">
        <v>4870</v>
      </c>
      <c r="H569" s="214" t="s">
        <v>4491</v>
      </c>
      <c r="I569" s="214" t="s">
        <v>4871</v>
      </c>
      <c r="J569" s="214" t="s">
        <v>4493</v>
      </c>
      <c r="K569" s="214" t="s">
        <v>9280</v>
      </c>
      <c r="L569" s="214" t="s">
        <v>10529</v>
      </c>
      <c r="M569" s="214" t="s">
        <v>9882</v>
      </c>
      <c r="P569" s="120"/>
    </row>
    <row r="570" spans="1:16">
      <c r="A570" s="214" t="s">
        <v>1230</v>
      </c>
      <c r="B570" s="214" t="s">
        <v>1112</v>
      </c>
      <c r="C570" s="222" t="s">
        <v>1111</v>
      </c>
      <c r="D570" s="222" t="s">
        <v>1113</v>
      </c>
      <c r="E570" s="222" t="s">
        <v>5009</v>
      </c>
      <c r="F570" s="214" t="s">
        <v>4902</v>
      </c>
      <c r="G570" s="214" t="s">
        <v>4903</v>
      </c>
      <c r="H570" s="214" t="s">
        <v>4904</v>
      </c>
      <c r="I570" s="214" t="s">
        <v>4905</v>
      </c>
      <c r="J570" s="214" t="s">
        <v>4906</v>
      </c>
      <c r="K570" s="214" t="s">
        <v>9298</v>
      </c>
      <c r="L570" s="214" t="s">
        <v>10594</v>
      </c>
      <c r="M570" s="214" t="s">
        <v>9948</v>
      </c>
      <c r="P570" s="120"/>
    </row>
    <row r="571" spans="1:16">
      <c r="A571" s="220" t="s">
        <v>1233</v>
      </c>
      <c r="B571" s="214" t="s">
        <v>810</v>
      </c>
      <c r="C571" s="222" t="s">
        <v>809</v>
      </c>
      <c r="D571" s="222" t="s">
        <v>1085</v>
      </c>
      <c r="E571" s="222" t="s">
        <v>4465</v>
      </c>
      <c r="F571" s="214" t="s">
        <v>5010</v>
      </c>
      <c r="G571" s="214" t="s">
        <v>4899</v>
      </c>
      <c r="H571" s="214" t="s">
        <v>4468</v>
      </c>
      <c r="I571" s="214" t="s">
        <v>4469</v>
      </c>
      <c r="J571" s="214" t="s">
        <v>4470</v>
      </c>
      <c r="K571" s="214" t="s">
        <v>9276</v>
      </c>
      <c r="L571" s="214" t="s">
        <v>10525</v>
      </c>
      <c r="M571" s="214" t="s">
        <v>9878</v>
      </c>
      <c r="P571" s="120"/>
    </row>
    <row r="572" spans="1:16">
      <c r="A572" s="214" t="s">
        <v>1235</v>
      </c>
      <c r="B572" s="214" t="s">
        <v>810</v>
      </c>
      <c r="C572" s="222" t="s">
        <v>809</v>
      </c>
      <c r="D572" s="222" t="s">
        <v>1085</v>
      </c>
      <c r="E572" s="222" t="s">
        <v>4465</v>
      </c>
      <c r="F572" s="214" t="s">
        <v>5010</v>
      </c>
      <c r="G572" s="214" t="s">
        <v>4899</v>
      </c>
      <c r="H572" s="214" t="s">
        <v>4468</v>
      </c>
      <c r="I572" s="214" t="s">
        <v>4469</v>
      </c>
      <c r="J572" s="214" t="s">
        <v>4470</v>
      </c>
      <c r="K572" s="214" t="s">
        <v>9276</v>
      </c>
      <c r="L572" s="214" t="s">
        <v>10525</v>
      </c>
      <c r="M572" s="214" t="s">
        <v>9878</v>
      </c>
      <c r="P572" s="120"/>
    </row>
    <row r="573" spans="1:16">
      <c r="A573" s="220" t="s">
        <v>1236</v>
      </c>
      <c r="B573" s="214" t="s">
        <v>810</v>
      </c>
      <c r="C573" s="222" t="s">
        <v>809</v>
      </c>
      <c r="D573" s="222" t="s">
        <v>1085</v>
      </c>
      <c r="E573" s="222" t="s">
        <v>4465</v>
      </c>
      <c r="F573" s="214" t="s">
        <v>5010</v>
      </c>
      <c r="G573" s="214" t="s">
        <v>4899</v>
      </c>
      <c r="H573" s="214" t="s">
        <v>4468</v>
      </c>
      <c r="I573" s="214" t="s">
        <v>4469</v>
      </c>
      <c r="J573" s="214" t="s">
        <v>4470</v>
      </c>
      <c r="K573" s="214" t="s">
        <v>9276</v>
      </c>
      <c r="L573" s="214" t="s">
        <v>10525</v>
      </c>
      <c r="M573" s="214" t="s">
        <v>9878</v>
      </c>
      <c r="P573" s="120"/>
    </row>
    <row r="574" spans="1:16">
      <c r="A574" s="214" t="s">
        <v>1238</v>
      </c>
      <c r="B574" s="214" t="s">
        <v>810</v>
      </c>
      <c r="C574" s="222" t="s">
        <v>809</v>
      </c>
      <c r="D574" s="222" t="s">
        <v>1085</v>
      </c>
      <c r="E574" s="222" t="s">
        <v>4465</v>
      </c>
      <c r="F574" s="214" t="s">
        <v>5010</v>
      </c>
      <c r="G574" s="214" t="s">
        <v>4899</v>
      </c>
      <c r="H574" s="214" t="s">
        <v>4468</v>
      </c>
      <c r="I574" s="214" t="s">
        <v>4469</v>
      </c>
      <c r="J574" s="214" t="s">
        <v>4470</v>
      </c>
      <c r="K574" s="214" t="s">
        <v>9276</v>
      </c>
      <c r="L574" s="214" t="s">
        <v>10525</v>
      </c>
      <c r="M574" s="214" t="s">
        <v>9878</v>
      </c>
      <c r="P574" s="120"/>
    </row>
    <row r="575" spans="1:16">
      <c r="A575" s="214" t="s">
        <v>1239</v>
      </c>
      <c r="B575" s="214" t="s">
        <v>2619</v>
      </c>
      <c r="C575" s="222" t="s">
        <v>1241</v>
      </c>
      <c r="D575" s="222" t="s">
        <v>1242</v>
      </c>
      <c r="E575" s="222" t="s">
        <v>5011</v>
      </c>
      <c r="F575" s="214" t="s">
        <v>5012</v>
      </c>
      <c r="G575" s="214" t="s">
        <v>5013</v>
      </c>
      <c r="H575" s="214" t="s">
        <v>5014</v>
      </c>
      <c r="I575" s="214" t="s">
        <v>5015</v>
      </c>
      <c r="J575" s="214" t="s">
        <v>5016</v>
      </c>
      <c r="K575" s="214" t="s">
        <v>9313</v>
      </c>
      <c r="L575" s="214" t="s">
        <v>10609</v>
      </c>
      <c r="M575" s="214" t="s">
        <v>9965</v>
      </c>
      <c r="P575" s="120"/>
    </row>
    <row r="576" spans="1:16">
      <c r="A576" s="214" t="s">
        <v>1243</v>
      </c>
      <c r="B576" s="214" t="s">
        <v>810</v>
      </c>
      <c r="C576" s="222" t="s">
        <v>809</v>
      </c>
      <c r="D576" s="222" t="s">
        <v>1085</v>
      </c>
      <c r="E576" s="222" t="s">
        <v>4465</v>
      </c>
      <c r="F576" s="214" t="s">
        <v>5010</v>
      </c>
      <c r="G576" s="214" t="s">
        <v>4899</v>
      </c>
      <c r="H576" s="214" t="s">
        <v>4468</v>
      </c>
      <c r="I576" s="214" t="s">
        <v>4469</v>
      </c>
      <c r="J576" s="214" t="s">
        <v>4470</v>
      </c>
      <c r="K576" s="214" t="s">
        <v>9276</v>
      </c>
      <c r="L576" s="214" t="s">
        <v>10525</v>
      </c>
      <c r="M576" s="214" t="s">
        <v>9878</v>
      </c>
      <c r="P576" s="120"/>
    </row>
    <row r="577" spans="1:16">
      <c r="A577" s="214" t="s">
        <v>1244</v>
      </c>
      <c r="B577" s="214" t="s">
        <v>810</v>
      </c>
      <c r="C577" s="222" t="s">
        <v>809</v>
      </c>
      <c r="D577" s="222" t="s">
        <v>1085</v>
      </c>
      <c r="E577" s="222" t="s">
        <v>4465</v>
      </c>
      <c r="F577" s="214" t="s">
        <v>4466</v>
      </c>
      <c r="G577" s="214" t="s">
        <v>4899</v>
      </c>
      <c r="H577" s="214" t="s">
        <v>4468</v>
      </c>
      <c r="I577" s="214" t="s">
        <v>4469</v>
      </c>
      <c r="J577" s="214" t="s">
        <v>4978</v>
      </c>
      <c r="K577" s="214" t="s">
        <v>9276</v>
      </c>
      <c r="L577" s="214" t="s">
        <v>10610</v>
      </c>
      <c r="M577" s="214" t="s">
        <v>9878</v>
      </c>
      <c r="P577" s="120"/>
    </row>
    <row r="578" spans="1:16">
      <c r="A578" s="214" t="s">
        <v>1245</v>
      </c>
      <c r="B578" s="214" t="s">
        <v>1031</v>
      </c>
      <c r="C578" s="222" t="s">
        <v>652</v>
      </c>
      <c r="D578" s="222" t="s">
        <v>1032</v>
      </c>
      <c r="E578" s="222" t="s">
        <v>5005</v>
      </c>
      <c r="F578" s="214" t="s">
        <v>4107</v>
      </c>
      <c r="G578" s="214" t="s">
        <v>4108</v>
      </c>
      <c r="H578" s="214" t="s">
        <v>4855</v>
      </c>
      <c r="I578" s="214" t="s">
        <v>4131</v>
      </c>
      <c r="J578" s="214" t="s">
        <v>4111</v>
      </c>
      <c r="K578" s="214" t="s">
        <v>9312</v>
      </c>
      <c r="L578" s="214" t="s">
        <v>10588</v>
      </c>
      <c r="M578" s="214" t="s">
        <v>9963</v>
      </c>
      <c r="P578" s="120"/>
    </row>
    <row r="579" spans="1:16">
      <c r="A579" s="214" t="s">
        <v>1246</v>
      </c>
      <c r="B579" s="214" t="s">
        <v>1248</v>
      </c>
      <c r="C579" s="222" t="s">
        <v>1247</v>
      </c>
      <c r="D579" s="222" t="s">
        <v>1249</v>
      </c>
      <c r="E579" s="222" t="s">
        <v>5017</v>
      </c>
      <c r="F579" s="214" t="s">
        <v>5018</v>
      </c>
      <c r="G579" s="214" t="s">
        <v>5019</v>
      </c>
      <c r="H579" s="214" t="s">
        <v>5020</v>
      </c>
      <c r="I579" s="214" t="s">
        <v>5021</v>
      </c>
      <c r="J579" s="214" t="s">
        <v>5022</v>
      </c>
      <c r="K579" s="214" t="s">
        <v>9314</v>
      </c>
      <c r="L579" s="214" t="s">
        <v>10611</v>
      </c>
      <c r="M579" s="214" t="s">
        <v>9966</v>
      </c>
      <c r="P579" s="120"/>
    </row>
    <row r="580" spans="1:16">
      <c r="A580" s="215" t="s">
        <v>2355</v>
      </c>
      <c r="B580" s="214" t="s">
        <v>810</v>
      </c>
      <c r="C580" s="222" t="s">
        <v>809</v>
      </c>
      <c r="D580" s="222" t="s">
        <v>1085</v>
      </c>
      <c r="E580" s="222" t="s">
        <v>4465</v>
      </c>
      <c r="F580" s="214" t="s">
        <v>4466</v>
      </c>
      <c r="G580" s="214" t="s">
        <v>4899</v>
      </c>
      <c r="H580" s="214" t="s">
        <v>4468</v>
      </c>
      <c r="I580" s="214" t="s">
        <v>4469</v>
      </c>
      <c r="J580" s="214" t="s">
        <v>4470</v>
      </c>
      <c r="K580" s="214" t="s">
        <v>9276</v>
      </c>
      <c r="L580" s="214" t="s">
        <v>10525</v>
      </c>
      <c r="M580" s="214" t="s">
        <v>9878</v>
      </c>
      <c r="P580" s="120"/>
    </row>
    <row r="581" spans="1:16">
      <c r="A581" s="214" t="s">
        <v>1250</v>
      </c>
      <c r="B581" s="214" t="s">
        <v>1031</v>
      </c>
      <c r="C581" s="222" t="s">
        <v>652</v>
      </c>
      <c r="D581" s="222" t="s">
        <v>1032</v>
      </c>
      <c r="E581" s="222" t="s">
        <v>5005</v>
      </c>
      <c r="F581" s="214" t="s">
        <v>4107</v>
      </c>
      <c r="G581" s="214" t="s">
        <v>4108</v>
      </c>
      <c r="H581" s="214" t="s">
        <v>4855</v>
      </c>
      <c r="I581" s="214" t="s">
        <v>4131</v>
      </c>
      <c r="J581" s="214" t="s">
        <v>4111</v>
      </c>
      <c r="K581" s="214" t="s">
        <v>9312</v>
      </c>
      <c r="L581" s="214" t="s">
        <v>10588</v>
      </c>
      <c r="M581" s="214" t="s">
        <v>9963</v>
      </c>
      <c r="P581" s="120"/>
    </row>
    <row r="582" spans="1:16">
      <c r="A582" s="214" t="s">
        <v>1251</v>
      </c>
      <c r="B582" s="214" t="s">
        <v>1253</v>
      </c>
      <c r="C582" s="222" t="s">
        <v>1252</v>
      </c>
      <c r="D582" s="222" t="s">
        <v>1254</v>
      </c>
      <c r="E582" s="222" t="s">
        <v>5023</v>
      </c>
      <c r="F582" s="214" t="s">
        <v>5024</v>
      </c>
      <c r="G582" s="214" t="s">
        <v>5025</v>
      </c>
      <c r="H582" s="214" t="s">
        <v>5026</v>
      </c>
      <c r="I582" s="214" t="s">
        <v>5027</v>
      </c>
      <c r="J582" s="214" t="s">
        <v>5028</v>
      </c>
      <c r="K582" s="214" t="s">
        <v>9315</v>
      </c>
      <c r="L582" s="214" t="s">
        <v>10612</v>
      </c>
      <c r="M582" s="214" t="s">
        <v>9967</v>
      </c>
      <c r="P582" s="120"/>
    </row>
    <row r="583" spans="1:16">
      <c r="A583" s="214" t="s">
        <v>2356</v>
      </c>
      <c r="B583" s="214" t="s">
        <v>1279</v>
      </c>
      <c r="C583" s="222" t="s">
        <v>1278</v>
      </c>
      <c r="D583" s="222" t="s">
        <v>1280</v>
      </c>
      <c r="E583" s="222" t="s">
        <v>5029</v>
      </c>
      <c r="F583" s="214" t="s">
        <v>5030</v>
      </c>
      <c r="G583" s="214" t="s">
        <v>5031</v>
      </c>
      <c r="H583" s="214" t="s">
        <v>5032</v>
      </c>
      <c r="I583" s="214" t="s">
        <v>5033</v>
      </c>
      <c r="J583" s="214" t="s">
        <v>5034</v>
      </c>
      <c r="K583" s="214" t="s">
        <v>9316</v>
      </c>
      <c r="L583" s="214" t="s">
        <v>10613</v>
      </c>
      <c r="M583" s="214" t="s">
        <v>9968</v>
      </c>
      <c r="P583" s="120"/>
    </row>
    <row r="584" spans="1:16">
      <c r="A584" s="214" t="s">
        <v>1256</v>
      </c>
      <c r="B584" s="214" t="s">
        <v>822</v>
      </c>
      <c r="C584" s="222" t="s">
        <v>821</v>
      </c>
      <c r="D584" s="222" t="s">
        <v>1255</v>
      </c>
      <c r="E584" s="222" t="s">
        <v>4500</v>
      </c>
      <c r="F584" s="214" t="s">
        <v>4501</v>
      </c>
      <c r="G584" s="214" t="s">
        <v>5035</v>
      </c>
      <c r="H584" s="214" t="s">
        <v>4503</v>
      </c>
      <c r="I584" s="214" t="s">
        <v>4504</v>
      </c>
      <c r="J584" s="214" t="s">
        <v>4505</v>
      </c>
      <c r="K584" s="214" t="s">
        <v>9282</v>
      </c>
      <c r="L584" s="214" t="s">
        <v>10531</v>
      </c>
      <c r="M584" s="214" t="s">
        <v>9884</v>
      </c>
      <c r="P584" s="120"/>
    </row>
    <row r="585" spans="1:16">
      <c r="A585" s="214" t="s">
        <v>1257</v>
      </c>
      <c r="B585" s="214" t="s">
        <v>1260</v>
      </c>
      <c r="C585" s="222" t="s">
        <v>1259</v>
      </c>
      <c r="D585" s="222" t="s">
        <v>1261</v>
      </c>
      <c r="E585" s="222" t="s">
        <v>5036</v>
      </c>
      <c r="F585" s="214" t="s">
        <v>5037</v>
      </c>
      <c r="G585" s="214" t="s">
        <v>5038</v>
      </c>
      <c r="H585" s="214" t="s">
        <v>5039</v>
      </c>
      <c r="I585" s="214" t="s">
        <v>5040</v>
      </c>
      <c r="J585" s="214" t="s">
        <v>5041</v>
      </c>
      <c r="K585" s="214" t="s">
        <v>9317</v>
      </c>
      <c r="L585" s="214" t="s">
        <v>10614</v>
      </c>
      <c r="M585" s="214" t="s">
        <v>9969</v>
      </c>
      <c r="P585" s="120"/>
    </row>
    <row r="586" spans="1:16">
      <c r="A586" s="214" t="s">
        <v>1262</v>
      </c>
      <c r="B586" s="214" t="s">
        <v>822</v>
      </c>
      <c r="C586" s="222" t="s">
        <v>821</v>
      </c>
      <c r="D586" s="222" t="s">
        <v>1255</v>
      </c>
      <c r="E586" s="222" t="s">
        <v>4500</v>
      </c>
      <c r="F586" s="214" t="s">
        <v>4501</v>
      </c>
      <c r="G586" s="214" t="s">
        <v>5035</v>
      </c>
      <c r="H586" s="214" t="s">
        <v>4503</v>
      </c>
      <c r="I586" s="214" t="s">
        <v>4504</v>
      </c>
      <c r="J586" s="214" t="s">
        <v>4505</v>
      </c>
      <c r="K586" s="214" t="s">
        <v>9282</v>
      </c>
      <c r="L586" s="214" t="s">
        <v>10531</v>
      </c>
      <c r="M586" s="214" t="s">
        <v>9884</v>
      </c>
      <c r="P586" s="120"/>
    </row>
    <row r="587" spans="1:16">
      <c r="A587" s="214" t="s">
        <v>1263</v>
      </c>
      <c r="B587" s="214" t="s">
        <v>1265</v>
      </c>
      <c r="C587" s="222" t="s">
        <v>1264</v>
      </c>
      <c r="D587" s="222" t="s">
        <v>1266</v>
      </c>
      <c r="E587" s="222" t="s">
        <v>5042</v>
      </c>
      <c r="F587" s="214" t="s">
        <v>5043</v>
      </c>
      <c r="G587" s="214" t="s">
        <v>5044</v>
      </c>
      <c r="H587" s="214" t="s">
        <v>5045</v>
      </c>
      <c r="I587" s="214" t="s">
        <v>5046</v>
      </c>
      <c r="J587" s="214" t="s">
        <v>5047</v>
      </c>
      <c r="K587" s="214" t="s">
        <v>9318</v>
      </c>
      <c r="L587" s="214" t="s">
        <v>10615</v>
      </c>
      <c r="M587" s="214" t="s">
        <v>9970</v>
      </c>
      <c r="P587" s="120"/>
    </row>
    <row r="588" spans="1:16">
      <c r="A588" s="214" t="s">
        <v>1267</v>
      </c>
      <c r="B588" s="214" t="s">
        <v>1269</v>
      </c>
      <c r="C588" s="222" t="s">
        <v>1268</v>
      </c>
      <c r="D588" s="222" t="s">
        <v>1270</v>
      </c>
      <c r="E588" s="222" t="s">
        <v>5048</v>
      </c>
      <c r="F588" s="214" t="s">
        <v>5049</v>
      </c>
      <c r="G588" s="214" t="s">
        <v>5050</v>
      </c>
      <c r="H588" s="214" t="s">
        <v>5051</v>
      </c>
      <c r="I588" s="214" t="s">
        <v>5052</v>
      </c>
      <c r="J588" s="214" t="s">
        <v>5053</v>
      </c>
      <c r="K588" s="214" t="s">
        <v>9319</v>
      </c>
      <c r="L588" s="214" t="s">
        <v>10616</v>
      </c>
      <c r="M588" s="214" t="s">
        <v>9971</v>
      </c>
      <c r="P588" s="120"/>
    </row>
    <row r="589" spans="1:16">
      <c r="A589" s="214" t="s">
        <v>1271</v>
      </c>
      <c r="B589" s="214" t="s">
        <v>814</v>
      </c>
      <c r="C589" s="222" t="s">
        <v>813</v>
      </c>
      <c r="D589" s="222" t="s">
        <v>1005</v>
      </c>
      <c r="E589" s="222" t="s">
        <v>4471</v>
      </c>
      <c r="F589" s="214" t="s">
        <v>4472</v>
      </c>
      <c r="G589" s="214" t="s">
        <v>4914</v>
      </c>
      <c r="H589" s="214" t="s">
        <v>4474</v>
      </c>
      <c r="I589" s="214" t="s">
        <v>4475</v>
      </c>
      <c r="J589" s="214" t="s">
        <v>4476</v>
      </c>
      <c r="K589" s="214" t="s">
        <v>9277</v>
      </c>
      <c r="L589" s="214" t="s">
        <v>10526</v>
      </c>
      <c r="M589" s="214" t="s">
        <v>9879</v>
      </c>
      <c r="P589" s="120"/>
    </row>
    <row r="590" spans="1:16">
      <c r="A590" s="214" t="s">
        <v>1272</v>
      </c>
      <c r="B590" s="214" t="s">
        <v>1020</v>
      </c>
      <c r="C590" s="222" t="s">
        <v>1004</v>
      </c>
      <c r="D590" s="222" t="s">
        <v>1021</v>
      </c>
      <c r="E590" s="222" t="s">
        <v>4837</v>
      </c>
      <c r="F590" s="214" t="s">
        <v>4838</v>
      </c>
      <c r="G590" s="214" t="s">
        <v>4839</v>
      </c>
      <c r="H590" s="214" t="s">
        <v>4840</v>
      </c>
      <c r="I590" s="214" t="s">
        <v>4841</v>
      </c>
      <c r="J590" s="214" t="s">
        <v>4915</v>
      </c>
      <c r="K590" s="214" t="s">
        <v>9289</v>
      </c>
      <c r="L590" s="214" t="s">
        <v>10585</v>
      </c>
      <c r="M590" s="214" t="s">
        <v>9972</v>
      </c>
      <c r="P590" s="120"/>
    </row>
    <row r="591" spans="1:16">
      <c r="A591" s="214" t="s">
        <v>5054</v>
      </c>
      <c r="B591" s="214" t="s">
        <v>1020</v>
      </c>
      <c r="C591" s="222" t="s">
        <v>1004</v>
      </c>
      <c r="D591" s="222" t="s">
        <v>1021</v>
      </c>
      <c r="E591" s="222" t="s">
        <v>4837</v>
      </c>
      <c r="F591" s="214" t="s">
        <v>4838</v>
      </c>
      <c r="G591" s="214" t="s">
        <v>4839</v>
      </c>
      <c r="H591" s="214" t="s">
        <v>4840</v>
      </c>
      <c r="I591" s="214" t="s">
        <v>4841</v>
      </c>
      <c r="J591" s="214" t="s">
        <v>4917</v>
      </c>
      <c r="K591" s="214" t="s">
        <v>9289</v>
      </c>
      <c r="L591" s="214" t="s">
        <v>10585</v>
      </c>
      <c r="M591" s="214" t="s">
        <v>9972</v>
      </c>
      <c r="P591" s="120"/>
    </row>
    <row r="592" spans="1:16">
      <c r="A592" s="214" t="s">
        <v>2357</v>
      </c>
      <c r="B592" s="214" t="s">
        <v>1020</v>
      </c>
      <c r="C592" s="222" t="s">
        <v>1004</v>
      </c>
      <c r="D592" s="222" t="s">
        <v>1021</v>
      </c>
      <c r="E592" s="222" t="s">
        <v>4837</v>
      </c>
      <c r="F592" s="214" t="s">
        <v>4838</v>
      </c>
      <c r="G592" s="214" t="s">
        <v>4839</v>
      </c>
      <c r="H592" s="214" t="s">
        <v>4840</v>
      </c>
      <c r="I592" s="214" t="s">
        <v>4841</v>
      </c>
      <c r="J592" s="214" t="s">
        <v>4915</v>
      </c>
      <c r="K592" s="214" t="s">
        <v>9289</v>
      </c>
      <c r="L592" s="214" t="s">
        <v>10585</v>
      </c>
      <c r="M592" s="214" t="s">
        <v>9972</v>
      </c>
      <c r="P592" s="120"/>
    </row>
    <row r="593" spans="1:16">
      <c r="A593" s="214" t="s">
        <v>2358</v>
      </c>
      <c r="B593" s="214" t="s">
        <v>1020</v>
      </c>
      <c r="C593" s="222" t="s">
        <v>1004</v>
      </c>
      <c r="D593" s="222" t="s">
        <v>1021</v>
      </c>
      <c r="E593" s="222" t="s">
        <v>4837</v>
      </c>
      <c r="F593" s="214" t="s">
        <v>4838</v>
      </c>
      <c r="G593" s="214" t="s">
        <v>4839</v>
      </c>
      <c r="H593" s="214" t="s">
        <v>4840</v>
      </c>
      <c r="I593" s="214" t="s">
        <v>4841</v>
      </c>
      <c r="J593" s="214" t="s">
        <v>4915</v>
      </c>
      <c r="K593" s="214" t="s">
        <v>9289</v>
      </c>
      <c r="L593" s="214" t="s">
        <v>10585</v>
      </c>
      <c r="M593" s="214" t="s">
        <v>9972</v>
      </c>
      <c r="P593" s="120"/>
    </row>
    <row r="594" spans="1:16">
      <c r="A594" s="214" t="s">
        <v>1273</v>
      </c>
      <c r="B594" s="214" t="s">
        <v>1020</v>
      </c>
      <c r="C594" s="222" t="s">
        <v>1004</v>
      </c>
      <c r="D594" s="222" t="s">
        <v>1021</v>
      </c>
      <c r="E594" s="222" t="s">
        <v>4837</v>
      </c>
      <c r="F594" s="214" t="s">
        <v>4838</v>
      </c>
      <c r="G594" s="214" t="s">
        <v>4839</v>
      </c>
      <c r="H594" s="214" t="s">
        <v>4840</v>
      </c>
      <c r="I594" s="214" t="s">
        <v>4841</v>
      </c>
      <c r="J594" s="214" t="s">
        <v>4915</v>
      </c>
      <c r="K594" s="214" t="s">
        <v>9289</v>
      </c>
      <c r="L594" s="214" t="s">
        <v>10585</v>
      </c>
      <c r="M594" s="214" t="s">
        <v>9972</v>
      </c>
      <c r="P594" s="120"/>
    </row>
    <row r="595" spans="1:16">
      <c r="A595" s="214" t="s">
        <v>1274</v>
      </c>
      <c r="B595" s="214" t="s">
        <v>1020</v>
      </c>
      <c r="C595" s="222" t="s">
        <v>1004</v>
      </c>
      <c r="D595" s="222" t="s">
        <v>1021</v>
      </c>
      <c r="E595" s="222" t="s">
        <v>4837</v>
      </c>
      <c r="F595" s="214" t="s">
        <v>4838</v>
      </c>
      <c r="G595" s="214" t="s">
        <v>4839</v>
      </c>
      <c r="H595" s="214" t="s">
        <v>4840</v>
      </c>
      <c r="I595" s="214" t="s">
        <v>4841</v>
      </c>
      <c r="J595" s="214" t="s">
        <v>4915</v>
      </c>
      <c r="K595" s="214" t="s">
        <v>9289</v>
      </c>
      <c r="L595" s="214" t="s">
        <v>10585</v>
      </c>
      <c r="M595" s="214" t="s">
        <v>9972</v>
      </c>
      <c r="P595" s="120"/>
    </row>
    <row r="596" spans="1:16">
      <c r="A596" s="214" t="s">
        <v>1275</v>
      </c>
      <c r="B596" s="214" t="s">
        <v>1164</v>
      </c>
      <c r="C596" s="222" t="s">
        <v>1163</v>
      </c>
      <c r="D596" s="222" t="s">
        <v>1165</v>
      </c>
      <c r="E596" s="222" t="s">
        <v>4941</v>
      </c>
      <c r="F596" s="214" t="s">
        <v>4942</v>
      </c>
      <c r="G596" s="214" t="s">
        <v>4943</v>
      </c>
      <c r="H596" s="214" t="s">
        <v>4944</v>
      </c>
      <c r="I596" s="214" t="s">
        <v>4945</v>
      </c>
      <c r="J596" s="214" t="s">
        <v>4946</v>
      </c>
      <c r="K596" s="214" t="s">
        <v>9303</v>
      </c>
      <c r="L596" s="214" t="s">
        <v>10599</v>
      </c>
      <c r="M596" s="214" t="s">
        <v>9972</v>
      </c>
      <c r="P596" s="120"/>
    </row>
    <row r="597" spans="1:16">
      <c r="A597" s="215" t="s">
        <v>1276</v>
      </c>
      <c r="B597" s="214" t="s">
        <v>1279</v>
      </c>
      <c r="C597" s="222" t="s">
        <v>1278</v>
      </c>
      <c r="D597" s="222" t="s">
        <v>1280</v>
      </c>
      <c r="E597" s="222" t="s">
        <v>5029</v>
      </c>
      <c r="F597" s="214" t="s">
        <v>5030</v>
      </c>
      <c r="G597" s="214" t="s">
        <v>5031</v>
      </c>
      <c r="H597" s="214" t="s">
        <v>5032</v>
      </c>
      <c r="I597" s="214" t="s">
        <v>5033</v>
      </c>
      <c r="J597" s="214" t="s">
        <v>5034</v>
      </c>
      <c r="K597" s="214" t="s">
        <v>9316</v>
      </c>
      <c r="L597" s="214" t="s">
        <v>10613</v>
      </c>
      <c r="M597" s="214" t="s">
        <v>9972</v>
      </c>
      <c r="P597" s="120"/>
    </row>
    <row r="598" spans="1:16">
      <c r="A598" s="214" t="s">
        <v>5055</v>
      </c>
      <c r="B598" s="214" t="s">
        <v>810</v>
      </c>
      <c r="C598" s="222" t="s">
        <v>809</v>
      </c>
      <c r="D598" s="222" t="s">
        <v>1085</v>
      </c>
      <c r="E598" s="222" t="s">
        <v>4465</v>
      </c>
      <c r="F598" s="214" t="s">
        <v>4466</v>
      </c>
      <c r="G598" s="214" t="s">
        <v>4899</v>
      </c>
      <c r="H598" s="214" t="s">
        <v>4468</v>
      </c>
      <c r="I598" s="214" t="s">
        <v>4469</v>
      </c>
      <c r="J598" s="214" t="s">
        <v>4978</v>
      </c>
      <c r="K598" s="214" t="s">
        <v>9276</v>
      </c>
      <c r="L598" s="214" t="s">
        <v>10525</v>
      </c>
      <c r="M598" s="214" t="s">
        <v>9972</v>
      </c>
      <c r="P598" s="120"/>
    </row>
    <row r="599" spans="1:16">
      <c r="A599" s="214" t="s">
        <v>2359</v>
      </c>
      <c r="B599" s="214" t="s">
        <v>1158</v>
      </c>
      <c r="C599" s="222" t="s">
        <v>1157</v>
      </c>
      <c r="D599" s="222" t="s">
        <v>1159</v>
      </c>
      <c r="E599" s="222" t="s">
        <v>4843</v>
      </c>
      <c r="F599" s="214" t="s">
        <v>4844</v>
      </c>
      <c r="G599" s="214" t="s">
        <v>4845</v>
      </c>
      <c r="H599" s="214" t="s">
        <v>4846</v>
      </c>
      <c r="I599" s="214" t="s">
        <v>4847</v>
      </c>
      <c r="J599" s="214" t="s">
        <v>4938</v>
      </c>
      <c r="K599" s="214" t="s">
        <v>9290</v>
      </c>
      <c r="L599" s="214" t="s">
        <v>10586</v>
      </c>
      <c r="M599" s="214" t="s">
        <v>9972</v>
      </c>
      <c r="P599" s="120"/>
    </row>
    <row r="600" spans="1:16">
      <c r="A600" s="215" t="s">
        <v>2360</v>
      </c>
      <c r="B600" s="214" t="s">
        <v>1158</v>
      </c>
      <c r="C600" s="222" t="s">
        <v>1157</v>
      </c>
      <c r="D600" s="222" t="s">
        <v>1159</v>
      </c>
      <c r="E600" s="222" t="s">
        <v>4843</v>
      </c>
      <c r="F600" s="214" t="s">
        <v>4844</v>
      </c>
      <c r="G600" s="214" t="s">
        <v>4845</v>
      </c>
      <c r="H600" s="214" t="s">
        <v>4846</v>
      </c>
      <c r="I600" s="214" t="s">
        <v>4847</v>
      </c>
      <c r="J600" s="214" t="s">
        <v>4938</v>
      </c>
      <c r="K600" s="214" t="s">
        <v>9290</v>
      </c>
      <c r="L600" s="214" t="s">
        <v>10586</v>
      </c>
      <c r="M600" s="214" t="s">
        <v>9972</v>
      </c>
      <c r="P600" s="120"/>
    </row>
    <row r="601" spans="1:16">
      <c r="A601" s="214" t="s">
        <v>1281</v>
      </c>
      <c r="B601" s="214" t="s">
        <v>1176</v>
      </c>
      <c r="C601" s="222" t="s">
        <v>1175</v>
      </c>
      <c r="D601" s="222" t="s">
        <v>1177</v>
      </c>
      <c r="E601" s="222" t="s">
        <v>4956</v>
      </c>
      <c r="F601" s="214" t="s">
        <v>4957</v>
      </c>
      <c r="G601" s="214" t="s">
        <v>4958</v>
      </c>
      <c r="H601" s="214" t="s">
        <v>4956</v>
      </c>
      <c r="I601" s="214" t="s">
        <v>4959</v>
      </c>
      <c r="J601" s="214" t="s">
        <v>4960</v>
      </c>
      <c r="K601" s="214" t="s">
        <v>9305</v>
      </c>
      <c r="L601" s="214" t="s">
        <v>10601</v>
      </c>
      <c r="M601" s="214" t="s">
        <v>9972</v>
      </c>
      <c r="P601" s="120"/>
    </row>
    <row r="602" spans="1:16">
      <c r="A602" s="215" t="s">
        <v>1283</v>
      </c>
      <c r="B602" s="214" t="s">
        <v>1286</v>
      </c>
      <c r="C602" s="222" t="s">
        <v>1285</v>
      </c>
      <c r="D602" s="222" t="s">
        <v>1287</v>
      </c>
      <c r="E602" s="222" t="s">
        <v>5056</v>
      </c>
      <c r="F602" s="214" t="s">
        <v>5057</v>
      </c>
      <c r="G602" s="214" t="s">
        <v>5058</v>
      </c>
      <c r="H602" s="214" t="s">
        <v>5059</v>
      </c>
      <c r="I602" s="214" t="s">
        <v>5060</v>
      </c>
      <c r="J602" s="214" t="s">
        <v>5061</v>
      </c>
      <c r="K602" s="214" t="s">
        <v>9320</v>
      </c>
      <c r="L602" s="214" t="s">
        <v>10617</v>
      </c>
      <c r="M602" s="214" t="s">
        <v>9972</v>
      </c>
      <c r="P602" s="120"/>
    </row>
    <row r="603" spans="1:16">
      <c r="A603" s="214" t="s">
        <v>2509</v>
      </c>
      <c r="B603" s="214" t="s">
        <v>1164</v>
      </c>
      <c r="C603" s="222" t="s">
        <v>1163</v>
      </c>
      <c r="D603" s="222" t="s">
        <v>1165</v>
      </c>
      <c r="E603" s="222" t="s">
        <v>4941</v>
      </c>
      <c r="F603" s="214" t="s">
        <v>4942</v>
      </c>
      <c r="G603" s="214" t="s">
        <v>4943</v>
      </c>
      <c r="H603" s="214" t="s">
        <v>4944</v>
      </c>
      <c r="I603" s="214" t="s">
        <v>4945</v>
      </c>
      <c r="J603" s="214" t="s">
        <v>5062</v>
      </c>
      <c r="K603" s="214" t="s">
        <v>9303</v>
      </c>
      <c r="L603" s="214" t="s">
        <v>10599</v>
      </c>
      <c r="M603" s="214" t="s">
        <v>9972</v>
      </c>
      <c r="P603" s="120"/>
    </row>
    <row r="604" spans="1:16">
      <c r="A604" s="214" t="s">
        <v>2510</v>
      </c>
      <c r="B604" s="214" t="s">
        <v>1279</v>
      </c>
      <c r="C604" s="222" t="s">
        <v>1278</v>
      </c>
      <c r="D604" s="222" t="s">
        <v>1280</v>
      </c>
      <c r="E604" s="222" t="s">
        <v>5029</v>
      </c>
      <c r="F604" s="214" t="s">
        <v>5030</v>
      </c>
      <c r="G604" s="214" t="s">
        <v>5031</v>
      </c>
      <c r="H604" s="214" t="s">
        <v>5032</v>
      </c>
      <c r="I604" s="214" t="s">
        <v>5033</v>
      </c>
      <c r="J604" s="214" t="s">
        <v>5063</v>
      </c>
      <c r="K604" s="214" t="s">
        <v>9316</v>
      </c>
      <c r="L604" s="214" t="s">
        <v>10613</v>
      </c>
      <c r="M604" s="214" t="s">
        <v>9972</v>
      </c>
      <c r="P604" s="120"/>
    </row>
    <row r="605" spans="1:16">
      <c r="A605" s="214" t="s">
        <v>5064</v>
      </c>
      <c r="B605" s="214" t="s">
        <v>810</v>
      </c>
      <c r="C605" s="222" t="s">
        <v>809</v>
      </c>
      <c r="D605" s="222" t="s">
        <v>1085</v>
      </c>
      <c r="E605" s="222" t="s">
        <v>4465</v>
      </c>
      <c r="F605" s="214" t="s">
        <v>4466</v>
      </c>
      <c r="G605" s="214" t="s">
        <v>4899</v>
      </c>
      <c r="H605" s="214" t="s">
        <v>4468</v>
      </c>
      <c r="I605" s="214" t="s">
        <v>4469</v>
      </c>
      <c r="J605" s="214" t="s">
        <v>4978</v>
      </c>
      <c r="K605" s="223" t="s">
        <v>9276</v>
      </c>
      <c r="L605" s="214" t="s">
        <v>10525</v>
      </c>
      <c r="M605" s="214" t="s">
        <v>9972</v>
      </c>
      <c r="P605" s="120"/>
    </row>
    <row r="606" spans="1:16">
      <c r="A606" s="214" t="s">
        <v>2511</v>
      </c>
      <c r="B606" s="214" t="s">
        <v>1158</v>
      </c>
      <c r="C606" s="222" t="s">
        <v>1157</v>
      </c>
      <c r="D606" s="222" t="s">
        <v>1159</v>
      </c>
      <c r="E606" s="222" t="s">
        <v>4843</v>
      </c>
      <c r="F606" s="214" t="s">
        <v>4844</v>
      </c>
      <c r="G606" s="214" t="s">
        <v>4845</v>
      </c>
      <c r="H606" s="214" t="s">
        <v>4846</v>
      </c>
      <c r="I606" s="214" t="s">
        <v>4847</v>
      </c>
      <c r="J606" s="214" t="s">
        <v>4938</v>
      </c>
      <c r="K606" s="223" t="s">
        <v>9290</v>
      </c>
      <c r="L606" s="214" t="s">
        <v>10586</v>
      </c>
      <c r="M606" s="214" t="s">
        <v>9972</v>
      </c>
      <c r="P606" s="120"/>
    </row>
    <row r="607" spans="1:16">
      <c r="A607" s="214" t="s">
        <v>2512</v>
      </c>
      <c r="B607" s="214" t="s">
        <v>1176</v>
      </c>
      <c r="C607" s="222" t="s">
        <v>1175</v>
      </c>
      <c r="D607" s="222" t="s">
        <v>1177</v>
      </c>
      <c r="E607" s="222" t="s">
        <v>4956</v>
      </c>
      <c r="F607" s="214" t="s">
        <v>4957</v>
      </c>
      <c r="G607" s="214" t="s">
        <v>4958</v>
      </c>
      <c r="H607" s="214" t="s">
        <v>4956</v>
      </c>
      <c r="I607" s="214" t="s">
        <v>4959</v>
      </c>
      <c r="J607" s="214" t="s">
        <v>5065</v>
      </c>
      <c r="K607" s="214" t="s">
        <v>9305</v>
      </c>
      <c r="L607" s="214" t="s">
        <v>10601</v>
      </c>
      <c r="M607" s="214" t="s">
        <v>9972</v>
      </c>
      <c r="P607" s="120"/>
    </row>
    <row r="608" spans="1:16">
      <c r="A608" s="214" t="s">
        <v>5066</v>
      </c>
      <c r="B608" s="214" t="s">
        <v>1286</v>
      </c>
      <c r="C608" s="222" t="s">
        <v>1285</v>
      </c>
      <c r="D608" s="222" t="s">
        <v>1287</v>
      </c>
      <c r="E608" s="222" t="s">
        <v>5056</v>
      </c>
      <c r="F608" s="214" t="s">
        <v>5057</v>
      </c>
      <c r="G608" s="214" t="s">
        <v>5058</v>
      </c>
      <c r="H608" s="214" t="s">
        <v>5059</v>
      </c>
      <c r="I608" s="214" t="s">
        <v>5060</v>
      </c>
      <c r="J608" s="214" t="s">
        <v>5067</v>
      </c>
      <c r="K608" s="214" t="s">
        <v>9320</v>
      </c>
      <c r="L608" s="214" t="s">
        <v>10617</v>
      </c>
      <c r="M608" s="214" t="s">
        <v>9972</v>
      </c>
      <c r="P608" s="120"/>
    </row>
    <row r="609" spans="1:16">
      <c r="A609" s="214" t="s">
        <v>1288</v>
      </c>
      <c r="B609" s="214" t="s">
        <v>1279</v>
      </c>
      <c r="C609" s="222" t="s">
        <v>1278</v>
      </c>
      <c r="D609" s="222" t="s">
        <v>1280</v>
      </c>
      <c r="E609" s="222" t="s">
        <v>5029</v>
      </c>
      <c r="F609" s="214" t="s">
        <v>5030</v>
      </c>
      <c r="G609" s="214" t="s">
        <v>5031</v>
      </c>
      <c r="H609" s="214" t="s">
        <v>5032</v>
      </c>
      <c r="I609" s="214" t="s">
        <v>5033</v>
      </c>
      <c r="J609" s="214" t="s">
        <v>5034</v>
      </c>
      <c r="K609" s="214" t="s">
        <v>9316</v>
      </c>
      <c r="L609" s="214" t="s">
        <v>10613</v>
      </c>
      <c r="M609" s="214" t="s">
        <v>9972</v>
      </c>
      <c r="P609" s="120"/>
    </row>
    <row r="610" spans="1:16">
      <c r="A610" s="214" t="s">
        <v>2361</v>
      </c>
      <c r="B610" s="214" t="s">
        <v>1158</v>
      </c>
      <c r="C610" s="222" t="s">
        <v>1157</v>
      </c>
      <c r="D610" s="222" t="s">
        <v>1159</v>
      </c>
      <c r="E610" s="222" t="s">
        <v>4843</v>
      </c>
      <c r="F610" s="214" t="s">
        <v>4844</v>
      </c>
      <c r="G610" s="214" t="s">
        <v>4845</v>
      </c>
      <c r="H610" s="214" t="s">
        <v>4846</v>
      </c>
      <c r="I610" s="214" t="s">
        <v>4847</v>
      </c>
      <c r="J610" s="214" t="s">
        <v>4938</v>
      </c>
      <c r="K610" s="214" t="s">
        <v>9290</v>
      </c>
      <c r="L610" s="214" t="s">
        <v>10586</v>
      </c>
      <c r="M610" s="214" t="s">
        <v>9972</v>
      </c>
      <c r="P610" s="120"/>
    </row>
    <row r="611" spans="1:16">
      <c r="A611" s="214" t="s">
        <v>1289</v>
      </c>
      <c r="B611" s="214" t="s">
        <v>1286</v>
      </c>
      <c r="C611" s="222" t="s">
        <v>1285</v>
      </c>
      <c r="D611" s="222" t="s">
        <v>1287</v>
      </c>
      <c r="E611" s="222" t="s">
        <v>5056</v>
      </c>
      <c r="F611" s="214" t="s">
        <v>5057</v>
      </c>
      <c r="G611" s="214" t="s">
        <v>5058</v>
      </c>
      <c r="H611" s="214" t="s">
        <v>5059</v>
      </c>
      <c r="I611" s="214" t="s">
        <v>5060</v>
      </c>
      <c r="J611" s="214" t="s">
        <v>5061</v>
      </c>
      <c r="K611" s="214" t="s">
        <v>9320</v>
      </c>
      <c r="L611" s="214" t="s">
        <v>10617</v>
      </c>
      <c r="M611" s="214" t="s">
        <v>9972</v>
      </c>
      <c r="P611" s="120"/>
    </row>
    <row r="612" spans="1:16">
      <c r="A612" s="214" t="s">
        <v>2513</v>
      </c>
      <c r="B612" s="214" t="s">
        <v>1279</v>
      </c>
      <c r="C612" s="222" t="s">
        <v>1278</v>
      </c>
      <c r="D612" s="222" t="s">
        <v>1280</v>
      </c>
      <c r="E612" s="222" t="s">
        <v>5029</v>
      </c>
      <c r="F612" s="214" t="s">
        <v>5030</v>
      </c>
      <c r="G612" s="214" t="s">
        <v>5031</v>
      </c>
      <c r="H612" s="214" t="s">
        <v>5032</v>
      </c>
      <c r="I612" s="214" t="s">
        <v>5033</v>
      </c>
      <c r="J612" s="214" t="s">
        <v>5034</v>
      </c>
      <c r="K612" s="214" t="s">
        <v>9316</v>
      </c>
      <c r="L612" s="214" t="s">
        <v>10613</v>
      </c>
      <c r="M612" s="214" t="s">
        <v>9972</v>
      </c>
      <c r="P612" s="120"/>
    </row>
    <row r="613" spans="1:16">
      <c r="A613" s="214" t="s">
        <v>2514</v>
      </c>
      <c r="B613" s="214" t="s">
        <v>1158</v>
      </c>
      <c r="C613" s="222" t="s">
        <v>1157</v>
      </c>
      <c r="D613" s="222" t="s">
        <v>1159</v>
      </c>
      <c r="E613" s="222" t="s">
        <v>4843</v>
      </c>
      <c r="F613" s="214" t="s">
        <v>4844</v>
      </c>
      <c r="G613" s="214" t="s">
        <v>4845</v>
      </c>
      <c r="H613" s="214" t="s">
        <v>4846</v>
      </c>
      <c r="I613" s="214" t="s">
        <v>4847</v>
      </c>
      <c r="J613" s="214" t="s">
        <v>4938</v>
      </c>
      <c r="K613" s="214" t="s">
        <v>9290</v>
      </c>
      <c r="L613" s="214" t="s">
        <v>10586</v>
      </c>
      <c r="M613" s="214" t="s">
        <v>9972</v>
      </c>
      <c r="P613" s="120"/>
    </row>
    <row r="614" spans="1:16">
      <c r="A614" s="214" t="s">
        <v>5068</v>
      </c>
      <c r="B614" s="214" t="s">
        <v>1286</v>
      </c>
      <c r="C614" s="222" t="s">
        <v>1285</v>
      </c>
      <c r="D614" s="222" t="s">
        <v>1287</v>
      </c>
      <c r="E614" s="222" t="s">
        <v>5056</v>
      </c>
      <c r="F614" s="214" t="s">
        <v>5057</v>
      </c>
      <c r="G614" s="214" t="s">
        <v>5058</v>
      </c>
      <c r="H614" s="214" t="s">
        <v>5059</v>
      </c>
      <c r="I614" s="214" t="s">
        <v>5060</v>
      </c>
      <c r="J614" s="214" t="s">
        <v>5067</v>
      </c>
      <c r="K614" s="214" t="s">
        <v>9320</v>
      </c>
      <c r="L614" s="214" t="s">
        <v>10617</v>
      </c>
      <c r="M614" s="214" t="s">
        <v>9972</v>
      </c>
      <c r="P614" s="120"/>
    </row>
    <row r="615" spans="1:16">
      <c r="A615" s="214" t="s">
        <v>1296</v>
      </c>
      <c r="B615" s="214" t="s">
        <v>1279</v>
      </c>
      <c r="C615" s="222" t="s">
        <v>1278</v>
      </c>
      <c r="D615" s="222" t="s">
        <v>1280</v>
      </c>
      <c r="E615" s="222" t="s">
        <v>5029</v>
      </c>
      <c r="F615" s="214" t="s">
        <v>5030</v>
      </c>
      <c r="G615" s="214" t="s">
        <v>5031</v>
      </c>
      <c r="H615" s="214" t="s">
        <v>5032</v>
      </c>
      <c r="I615" s="214" t="s">
        <v>5033</v>
      </c>
      <c r="J615" s="214" t="s">
        <v>5034</v>
      </c>
      <c r="K615" s="214" t="s">
        <v>9316</v>
      </c>
      <c r="L615" s="214" t="s">
        <v>10613</v>
      </c>
      <c r="M615" s="214" t="s">
        <v>9968</v>
      </c>
      <c r="P615" s="120"/>
    </row>
    <row r="616" spans="1:16">
      <c r="A616" s="214" t="s">
        <v>1297</v>
      </c>
      <c r="B616" s="214" t="s">
        <v>825</v>
      </c>
      <c r="C616" s="222" t="s">
        <v>824</v>
      </c>
      <c r="D616" s="222" t="s">
        <v>1168</v>
      </c>
      <c r="E616" s="222" t="s">
        <v>4512</v>
      </c>
      <c r="F616" s="214" t="s">
        <v>4513</v>
      </c>
      <c r="G616" s="214" t="s">
        <v>4947</v>
      </c>
      <c r="H616" s="214" t="s">
        <v>4515</v>
      </c>
      <c r="I616" s="214" t="s">
        <v>4516</v>
      </c>
      <c r="J616" s="214" t="s">
        <v>4517</v>
      </c>
      <c r="K616" s="214" t="s">
        <v>9284</v>
      </c>
      <c r="L616" s="214" t="s">
        <v>10533</v>
      </c>
      <c r="M616" s="214" t="s">
        <v>9886</v>
      </c>
      <c r="P616" s="120"/>
    </row>
    <row r="617" spans="1:16">
      <c r="A617" s="214" t="s">
        <v>1298</v>
      </c>
      <c r="B617" s="214" t="s">
        <v>1158</v>
      </c>
      <c r="C617" s="222" t="s">
        <v>1157</v>
      </c>
      <c r="D617" s="222" t="s">
        <v>1159</v>
      </c>
      <c r="E617" s="222" t="s">
        <v>4843</v>
      </c>
      <c r="F617" s="214" t="s">
        <v>4844</v>
      </c>
      <c r="G617" s="214" t="s">
        <v>4845</v>
      </c>
      <c r="H617" s="214" t="s">
        <v>4846</v>
      </c>
      <c r="I617" s="214" t="s">
        <v>4847</v>
      </c>
      <c r="J617" s="214" t="s">
        <v>4938</v>
      </c>
      <c r="K617" s="214" t="s">
        <v>9290</v>
      </c>
      <c r="L617" s="214" t="s">
        <v>10586</v>
      </c>
      <c r="M617" s="214" t="s">
        <v>9940</v>
      </c>
      <c r="P617" s="120"/>
    </row>
    <row r="618" spans="1:16">
      <c r="A618" s="214" t="s">
        <v>5069</v>
      </c>
      <c r="B618" s="214" t="s">
        <v>1158</v>
      </c>
      <c r="C618" s="222" t="s">
        <v>1157</v>
      </c>
      <c r="D618" s="222" t="s">
        <v>1159</v>
      </c>
      <c r="E618" s="222" t="s">
        <v>4843</v>
      </c>
      <c r="F618" s="214" t="s">
        <v>4844</v>
      </c>
      <c r="G618" s="214" t="s">
        <v>4845</v>
      </c>
      <c r="H618" s="214" t="s">
        <v>4846</v>
      </c>
      <c r="I618" s="214" t="s">
        <v>4847</v>
      </c>
      <c r="J618" s="214" t="s">
        <v>4940</v>
      </c>
      <c r="K618" s="214" t="s">
        <v>9290</v>
      </c>
      <c r="L618" s="214" t="s">
        <v>10586</v>
      </c>
      <c r="M618" s="214" t="s">
        <v>9940</v>
      </c>
      <c r="P618" s="120"/>
    </row>
    <row r="619" spans="1:16">
      <c r="A619" s="214" t="s">
        <v>1299</v>
      </c>
      <c r="B619" s="214" t="s">
        <v>1291</v>
      </c>
      <c r="C619" s="222" t="s">
        <v>1290</v>
      </c>
      <c r="D619" s="222" t="s">
        <v>1292</v>
      </c>
      <c r="E619" s="222" t="s">
        <v>5070</v>
      </c>
      <c r="F619" s="214" t="s">
        <v>5071</v>
      </c>
      <c r="G619" s="214" t="s">
        <v>5072</v>
      </c>
      <c r="H619" s="214" t="s">
        <v>5073</v>
      </c>
      <c r="I619" s="214" t="s">
        <v>5074</v>
      </c>
      <c r="J619" s="214" t="s">
        <v>5075</v>
      </c>
      <c r="K619" s="214" t="s">
        <v>9321</v>
      </c>
      <c r="L619" s="214" t="s">
        <v>10618</v>
      </c>
      <c r="M619" s="214" t="s">
        <v>9974</v>
      </c>
      <c r="P619" s="120"/>
    </row>
    <row r="620" spans="1:16">
      <c r="A620" s="214" t="s">
        <v>2362</v>
      </c>
      <c r="B620" s="214" t="s">
        <v>1291</v>
      </c>
      <c r="C620" s="222" t="s">
        <v>1290</v>
      </c>
      <c r="D620" s="222" t="s">
        <v>1292</v>
      </c>
      <c r="E620" s="222" t="s">
        <v>5070</v>
      </c>
      <c r="F620" s="214" t="s">
        <v>5071</v>
      </c>
      <c r="G620" s="214" t="s">
        <v>5072</v>
      </c>
      <c r="H620" s="214" t="s">
        <v>5073</v>
      </c>
      <c r="I620" s="214" t="s">
        <v>5074</v>
      </c>
      <c r="J620" s="214" t="s">
        <v>5075</v>
      </c>
      <c r="K620" s="214" t="s">
        <v>9321</v>
      </c>
      <c r="L620" s="214" t="s">
        <v>10618</v>
      </c>
      <c r="M620" s="214" t="s">
        <v>9974</v>
      </c>
      <c r="P620" s="120"/>
    </row>
    <row r="621" spans="1:16">
      <c r="A621" s="214" t="s">
        <v>1300</v>
      </c>
      <c r="B621" s="214" t="s">
        <v>1294</v>
      </c>
      <c r="C621" s="222" t="s">
        <v>1293</v>
      </c>
      <c r="D621" s="222" t="s">
        <v>1295</v>
      </c>
      <c r="E621" s="222" t="s">
        <v>4961</v>
      </c>
      <c r="F621" s="214" t="s">
        <v>4962</v>
      </c>
      <c r="G621" s="214" t="s">
        <v>4963</v>
      </c>
      <c r="H621" s="214" t="s">
        <v>4964</v>
      </c>
      <c r="I621" s="214" t="s">
        <v>4965</v>
      </c>
      <c r="J621" s="214" t="s">
        <v>4966</v>
      </c>
      <c r="K621" s="214" t="s">
        <v>9306</v>
      </c>
      <c r="L621" s="214" t="s">
        <v>10602</v>
      </c>
      <c r="M621" s="214" t="s">
        <v>9958</v>
      </c>
      <c r="P621" s="120"/>
    </row>
    <row r="622" spans="1:16">
      <c r="A622" s="214" t="s">
        <v>5076</v>
      </c>
      <c r="B622" s="214" t="s">
        <v>1279</v>
      </c>
      <c r="C622" s="222" t="s">
        <v>1278</v>
      </c>
      <c r="D622" s="222" t="s">
        <v>1280</v>
      </c>
      <c r="E622" s="222" t="s">
        <v>5029</v>
      </c>
      <c r="F622" s="214" t="s">
        <v>5030</v>
      </c>
      <c r="G622" s="214" t="s">
        <v>5031</v>
      </c>
      <c r="H622" s="214" t="s">
        <v>5032</v>
      </c>
      <c r="I622" s="214" t="s">
        <v>5033</v>
      </c>
      <c r="J622" s="214" t="s">
        <v>5063</v>
      </c>
      <c r="K622" s="214" t="s">
        <v>9316</v>
      </c>
      <c r="L622" s="214" t="s">
        <v>10613</v>
      </c>
      <c r="M622" s="214" t="s">
        <v>9968</v>
      </c>
      <c r="P622" s="120"/>
    </row>
    <row r="623" spans="1:16">
      <c r="A623" s="214" t="s">
        <v>5077</v>
      </c>
      <c r="B623" s="214" t="s">
        <v>825</v>
      </c>
      <c r="C623" s="222" t="s">
        <v>824</v>
      </c>
      <c r="D623" s="222" t="s">
        <v>1168</v>
      </c>
      <c r="E623" s="222" t="s">
        <v>4512</v>
      </c>
      <c r="F623" s="214" t="s">
        <v>4513</v>
      </c>
      <c r="G623" s="214" t="s">
        <v>4947</v>
      </c>
      <c r="H623" s="214" t="s">
        <v>4515</v>
      </c>
      <c r="I623" s="214" t="s">
        <v>4516</v>
      </c>
      <c r="J623" s="214" t="s">
        <v>4976</v>
      </c>
      <c r="K623" s="214" t="s">
        <v>9284</v>
      </c>
      <c r="L623" s="214" t="s">
        <v>10533</v>
      </c>
      <c r="M623" s="214" t="s">
        <v>9886</v>
      </c>
      <c r="P623" s="120"/>
    </row>
    <row r="624" spans="1:16">
      <c r="A624" s="214" t="s">
        <v>2515</v>
      </c>
      <c r="B624" s="214" t="s">
        <v>1158</v>
      </c>
      <c r="C624" s="222" t="s">
        <v>1157</v>
      </c>
      <c r="D624" s="222" t="s">
        <v>1159</v>
      </c>
      <c r="E624" s="222" t="s">
        <v>4843</v>
      </c>
      <c r="F624" s="214" t="s">
        <v>4844</v>
      </c>
      <c r="G624" s="214" t="s">
        <v>4845</v>
      </c>
      <c r="H624" s="214" t="s">
        <v>4846</v>
      </c>
      <c r="I624" s="214" t="s">
        <v>4847</v>
      </c>
      <c r="J624" s="214" t="s">
        <v>4938</v>
      </c>
      <c r="K624" s="214" t="s">
        <v>9290</v>
      </c>
      <c r="L624" s="214" t="s">
        <v>10586</v>
      </c>
      <c r="M624" s="214" t="s">
        <v>9940</v>
      </c>
      <c r="P624" s="120"/>
    </row>
    <row r="625" spans="1:16">
      <c r="A625" s="214" t="s">
        <v>2516</v>
      </c>
      <c r="B625" s="214" t="s">
        <v>1291</v>
      </c>
      <c r="C625" s="222" t="s">
        <v>1290</v>
      </c>
      <c r="D625" s="222" t="s">
        <v>1292</v>
      </c>
      <c r="E625" s="222" t="s">
        <v>5070</v>
      </c>
      <c r="F625" s="214" t="s">
        <v>5071</v>
      </c>
      <c r="G625" s="214" t="s">
        <v>5072</v>
      </c>
      <c r="H625" s="214" t="s">
        <v>5073</v>
      </c>
      <c r="I625" s="214" t="s">
        <v>5074</v>
      </c>
      <c r="J625" s="214" t="s">
        <v>5075</v>
      </c>
      <c r="K625" s="214" t="s">
        <v>9321</v>
      </c>
      <c r="L625" s="214" t="s">
        <v>10618</v>
      </c>
      <c r="M625" s="214" t="s">
        <v>9974</v>
      </c>
      <c r="P625" s="120"/>
    </row>
    <row r="626" spans="1:16">
      <c r="A626" s="214" t="s">
        <v>2517</v>
      </c>
      <c r="B626" s="214" t="s">
        <v>1291</v>
      </c>
      <c r="C626" s="222" t="s">
        <v>1290</v>
      </c>
      <c r="D626" s="222" t="s">
        <v>1292</v>
      </c>
      <c r="E626" s="222" t="s">
        <v>5070</v>
      </c>
      <c r="F626" s="214" t="s">
        <v>5071</v>
      </c>
      <c r="G626" s="214" t="s">
        <v>5072</v>
      </c>
      <c r="H626" s="214" t="s">
        <v>5073</v>
      </c>
      <c r="I626" s="214" t="s">
        <v>5074</v>
      </c>
      <c r="J626" s="214" t="s">
        <v>5075</v>
      </c>
      <c r="K626" s="214" t="s">
        <v>9321</v>
      </c>
      <c r="L626" s="214" t="s">
        <v>10618</v>
      </c>
      <c r="M626" s="214" t="s">
        <v>9974</v>
      </c>
      <c r="P626" s="120"/>
    </row>
    <row r="627" spans="1:16">
      <c r="A627" s="214" t="s">
        <v>2518</v>
      </c>
      <c r="B627" s="214" t="s">
        <v>1294</v>
      </c>
      <c r="C627" s="222" t="s">
        <v>1293</v>
      </c>
      <c r="D627" s="222" t="s">
        <v>1295</v>
      </c>
      <c r="E627" s="222" t="s">
        <v>4961</v>
      </c>
      <c r="F627" s="214" t="s">
        <v>4962</v>
      </c>
      <c r="G627" s="214" t="s">
        <v>4963</v>
      </c>
      <c r="H627" s="214" t="s">
        <v>4964</v>
      </c>
      <c r="I627" s="214" t="s">
        <v>4965</v>
      </c>
      <c r="J627" s="214" t="s">
        <v>4966</v>
      </c>
      <c r="K627" s="214" t="s">
        <v>9306</v>
      </c>
      <c r="L627" s="214" t="s">
        <v>10602</v>
      </c>
      <c r="M627" s="214" t="s">
        <v>9958</v>
      </c>
      <c r="P627" s="120"/>
    </row>
    <row r="628" spans="1:16">
      <c r="A628" s="214" t="s">
        <v>1304</v>
      </c>
      <c r="B628" s="214" t="s">
        <v>405</v>
      </c>
      <c r="C628" s="222" t="s">
        <v>404</v>
      </c>
      <c r="D628" s="222" t="s">
        <v>406</v>
      </c>
      <c r="E628" s="222" t="s">
        <v>3761</v>
      </c>
      <c r="F628" s="214" t="s">
        <v>5078</v>
      </c>
      <c r="G628" s="214" t="s">
        <v>4123</v>
      </c>
      <c r="H628" s="214" t="s">
        <v>3761</v>
      </c>
      <c r="I628" s="214" t="s">
        <v>3763</v>
      </c>
      <c r="J628" s="214" t="s">
        <v>3764</v>
      </c>
      <c r="K628" s="214" t="s">
        <v>9170</v>
      </c>
      <c r="L628" s="214" t="s">
        <v>10419</v>
      </c>
      <c r="M628" s="214" t="s">
        <v>9827</v>
      </c>
      <c r="P628" s="120"/>
    </row>
    <row r="629" spans="1:16">
      <c r="A629" s="214" t="s">
        <v>1305</v>
      </c>
      <c r="B629" s="214" t="s">
        <v>405</v>
      </c>
      <c r="C629" s="222" t="s">
        <v>404</v>
      </c>
      <c r="D629" s="222" t="s">
        <v>406</v>
      </c>
      <c r="E629" s="222" t="s">
        <v>3761</v>
      </c>
      <c r="F629" s="214" t="s">
        <v>5078</v>
      </c>
      <c r="G629" s="214" t="s">
        <v>4123</v>
      </c>
      <c r="H629" s="214" t="s">
        <v>3761</v>
      </c>
      <c r="I629" s="214" t="s">
        <v>3763</v>
      </c>
      <c r="J629" s="214" t="s">
        <v>3764</v>
      </c>
      <c r="K629" s="214" t="s">
        <v>9170</v>
      </c>
      <c r="L629" s="214" t="s">
        <v>10419</v>
      </c>
      <c r="M629" s="214" t="s">
        <v>9827</v>
      </c>
      <c r="P629" s="120"/>
    </row>
    <row r="630" spans="1:16">
      <c r="A630" s="214" t="s">
        <v>1306</v>
      </c>
      <c r="B630" s="214" t="s">
        <v>405</v>
      </c>
      <c r="C630" s="222" t="s">
        <v>404</v>
      </c>
      <c r="D630" s="222" t="s">
        <v>406</v>
      </c>
      <c r="E630" s="222" t="s">
        <v>3761</v>
      </c>
      <c r="F630" s="214" t="s">
        <v>5078</v>
      </c>
      <c r="G630" s="214" t="s">
        <v>4123</v>
      </c>
      <c r="H630" s="214" t="s">
        <v>3761</v>
      </c>
      <c r="I630" s="214" t="s">
        <v>3763</v>
      </c>
      <c r="J630" s="214" t="s">
        <v>3764</v>
      </c>
      <c r="K630" s="214" t="s">
        <v>9170</v>
      </c>
      <c r="L630" s="214" t="s">
        <v>10419</v>
      </c>
      <c r="M630" s="214" t="s">
        <v>9827</v>
      </c>
      <c r="P630" s="120"/>
    </row>
    <row r="631" spans="1:16">
      <c r="A631" s="214" t="s">
        <v>1308</v>
      </c>
      <c r="B631" s="214" t="s">
        <v>405</v>
      </c>
      <c r="C631" s="222" t="s">
        <v>404</v>
      </c>
      <c r="D631" s="222" t="s">
        <v>406</v>
      </c>
      <c r="E631" s="222" t="s">
        <v>3761</v>
      </c>
      <c r="F631" s="214" t="s">
        <v>5078</v>
      </c>
      <c r="G631" s="214" t="s">
        <v>4123</v>
      </c>
      <c r="H631" s="214" t="s">
        <v>3761</v>
      </c>
      <c r="I631" s="214" t="s">
        <v>3763</v>
      </c>
      <c r="J631" s="214" t="s">
        <v>3764</v>
      </c>
      <c r="K631" s="214" t="s">
        <v>9170</v>
      </c>
      <c r="L631" s="214" t="s">
        <v>10419</v>
      </c>
      <c r="M631" s="214" t="s">
        <v>9827</v>
      </c>
      <c r="P631" s="120"/>
    </row>
    <row r="632" spans="1:16">
      <c r="A632" s="214" t="s">
        <v>1310</v>
      </c>
      <c r="B632" s="214" t="s">
        <v>405</v>
      </c>
      <c r="C632" s="222" t="s">
        <v>404</v>
      </c>
      <c r="D632" s="222" t="s">
        <v>406</v>
      </c>
      <c r="E632" s="222" t="s">
        <v>3761</v>
      </c>
      <c r="F632" s="214" t="s">
        <v>5078</v>
      </c>
      <c r="G632" s="214" t="s">
        <v>4123</v>
      </c>
      <c r="H632" s="214" t="s">
        <v>3761</v>
      </c>
      <c r="I632" s="214" t="s">
        <v>3763</v>
      </c>
      <c r="J632" s="214" t="s">
        <v>3764</v>
      </c>
      <c r="K632" s="214" t="s">
        <v>9170</v>
      </c>
      <c r="L632" s="214" t="s">
        <v>10419</v>
      </c>
      <c r="M632" s="214" t="s">
        <v>9827</v>
      </c>
      <c r="P632" s="120"/>
    </row>
    <row r="633" spans="1:16">
      <c r="A633" s="214" t="s">
        <v>1311</v>
      </c>
      <c r="B633" s="214" t="s">
        <v>1314</v>
      </c>
      <c r="C633" s="222" t="s">
        <v>1313</v>
      </c>
      <c r="D633" s="222" t="s">
        <v>1315</v>
      </c>
      <c r="E633" s="222" t="s">
        <v>5079</v>
      </c>
      <c r="F633" s="214" t="s">
        <v>5080</v>
      </c>
      <c r="G633" s="214" t="s">
        <v>5081</v>
      </c>
      <c r="H633" s="214" t="s">
        <v>5082</v>
      </c>
      <c r="I633" s="214" t="s">
        <v>5083</v>
      </c>
      <c r="J633" s="214" t="s">
        <v>5084</v>
      </c>
      <c r="K633" s="214" t="s">
        <v>9322</v>
      </c>
      <c r="L633" s="214" t="s">
        <v>10619</v>
      </c>
      <c r="M633" s="214" t="s">
        <v>9975</v>
      </c>
      <c r="P633" s="120"/>
    </row>
    <row r="634" spans="1:16">
      <c r="A634" s="214" t="s">
        <v>1316</v>
      </c>
      <c r="B634" s="214" t="s">
        <v>405</v>
      </c>
      <c r="C634" s="222" t="s">
        <v>404</v>
      </c>
      <c r="D634" s="222" t="s">
        <v>406</v>
      </c>
      <c r="E634" s="222" t="s">
        <v>3761</v>
      </c>
      <c r="F634" s="214" t="s">
        <v>5078</v>
      </c>
      <c r="G634" s="214" t="s">
        <v>4123</v>
      </c>
      <c r="H634" s="214" t="s">
        <v>3761</v>
      </c>
      <c r="I634" s="214" t="s">
        <v>3763</v>
      </c>
      <c r="J634" s="214" t="s">
        <v>3764</v>
      </c>
      <c r="K634" s="214" t="s">
        <v>9170</v>
      </c>
      <c r="L634" s="214" t="s">
        <v>10419</v>
      </c>
      <c r="M634" s="214" t="s">
        <v>9827</v>
      </c>
      <c r="P634" s="120"/>
    </row>
    <row r="635" spans="1:16">
      <c r="A635" s="214" t="s">
        <v>1318</v>
      </c>
      <c r="B635" s="214" t="s">
        <v>1321</v>
      </c>
      <c r="C635" s="222" t="s">
        <v>1320</v>
      </c>
      <c r="D635" s="222" t="s">
        <v>1322</v>
      </c>
      <c r="E635" s="222" t="s">
        <v>5085</v>
      </c>
      <c r="F635" s="214" t="s">
        <v>5086</v>
      </c>
      <c r="G635" s="214" t="s">
        <v>5087</v>
      </c>
      <c r="H635" s="214" t="s">
        <v>5088</v>
      </c>
      <c r="I635" s="214" t="s">
        <v>5089</v>
      </c>
      <c r="J635" s="214" t="s">
        <v>5090</v>
      </c>
      <c r="K635" s="214" t="s">
        <v>9323</v>
      </c>
      <c r="L635" s="214" t="s">
        <v>10620</v>
      </c>
      <c r="M635" s="214" t="s">
        <v>9976</v>
      </c>
      <c r="P635" s="120"/>
    </row>
    <row r="636" spans="1:16">
      <c r="A636" s="214" t="s">
        <v>1323</v>
      </c>
      <c r="B636" s="214" t="s">
        <v>1326</v>
      </c>
      <c r="C636" s="222" t="s">
        <v>1325</v>
      </c>
      <c r="D636" s="222" t="s">
        <v>1327</v>
      </c>
      <c r="E636" s="222" t="s">
        <v>5091</v>
      </c>
      <c r="F636" s="214" t="s">
        <v>5092</v>
      </c>
      <c r="G636" s="214" t="s">
        <v>5093</v>
      </c>
      <c r="H636" s="214" t="s">
        <v>5094</v>
      </c>
      <c r="I636" s="214" t="s">
        <v>5095</v>
      </c>
      <c r="J636" s="214" t="s">
        <v>5096</v>
      </c>
      <c r="K636" s="214" t="s">
        <v>9324</v>
      </c>
      <c r="L636" s="214" t="s">
        <v>10621</v>
      </c>
      <c r="M636" s="214" t="s">
        <v>9977</v>
      </c>
      <c r="P636" s="120"/>
    </row>
    <row r="637" spans="1:16">
      <c r="A637" s="214" t="s">
        <v>1328</v>
      </c>
      <c r="B637" s="214" t="s">
        <v>1321</v>
      </c>
      <c r="C637" s="222" t="s">
        <v>1320</v>
      </c>
      <c r="D637" s="222" t="s">
        <v>1322</v>
      </c>
      <c r="E637" s="222" t="s">
        <v>5085</v>
      </c>
      <c r="F637" s="214" t="s">
        <v>5086</v>
      </c>
      <c r="G637" s="214" t="s">
        <v>5087</v>
      </c>
      <c r="H637" s="214" t="s">
        <v>5088</v>
      </c>
      <c r="I637" s="214" t="s">
        <v>5089</v>
      </c>
      <c r="J637" s="214" t="s">
        <v>5090</v>
      </c>
      <c r="K637" s="214" t="s">
        <v>9323</v>
      </c>
      <c r="L637" s="214" t="s">
        <v>10620</v>
      </c>
      <c r="M637" s="214" t="s">
        <v>9976</v>
      </c>
      <c r="P637" s="120"/>
    </row>
    <row r="638" spans="1:16">
      <c r="A638" s="214" t="s">
        <v>1329</v>
      </c>
      <c r="B638" s="214" t="s">
        <v>405</v>
      </c>
      <c r="C638" s="222" t="s">
        <v>404</v>
      </c>
      <c r="D638" s="222" t="s">
        <v>406</v>
      </c>
      <c r="E638" s="222" t="s">
        <v>3761</v>
      </c>
      <c r="F638" s="214" t="s">
        <v>5078</v>
      </c>
      <c r="G638" s="214" t="s">
        <v>4123</v>
      </c>
      <c r="H638" s="214" t="s">
        <v>3761</v>
      </c>
      <c r="I638" s="214" t="s">
        <v>3763</v>
      </c>
      <c r="J638" s="214" t="s">
        <v>3764</v>
      </c>
      <c r="K638" s="214" t="s">
        <v>9170</v>
      </c>
      <c r="L638" s="214" t="s">
        <v>10419</v>
      </c>
      <c r="M638" s="214" t="s">
        <v>9827</v>
      </c>
      <c r="P638" s="120"/>
    </row>
    <row r="639" spans="1:16">
      <c r="A639" s="214" t="s">
        <v>1330</v>
      </c>
      <c r="B639" s="214" t="s">
        <v>405</v>
      </c>
      <c r="C639" s="222" t="s">
        <v>404</v>
      </c>
      <c r="D639" s="222" t="s">
        <v>406</v>
      </c>
      <c r="E639" s="222" t="s">
        <v>3761</v>
      </c>
      <c r="F639" s="214" t="s">
        <v>5078</v>
      </c>
      <c r="G639" s="214" t="s">
        <v>4123</v>
      </c>
      <c r="H639" s="214" t="s">
        <v>3761</v>
      </c>
      <c r="I639" s="214" t="s">
        <v>3763</v>
      </c>
      <c r="J639" s="214" t="s">
        <v>3764</v>
      </c>
      <c r="K639" s="214" t="s">
        <v>9170</v>
      </c>
      <c r="L639" s="214" t="s">
        <v>10419</v>
      </c>
      <c r="M639" s="214" t="s">
        <v>9827</v>
      </c>
      <c r="P639" s="120"/>
    </row>
    <row r="640" spans="1:16">
      <c r="A640" s="214" t="s">
        <v>1332</v>
      </c>
      <c r="B640" s="214" t="s">
        <v>405</v>
      </c>
      <c r="C640" s="222" t="s">
        <v>404</v>
      </c>
      <c r="D640" s="222" t="s">
        <v>406</v>
      </c>
      <c r="E640" s="222" t="s">
        <v>3761</v>
      </c>
      <c r="F640" s="214" t="s">
        <v>5078</v>
      </c>
      <c r="G640" s="214" t="s">
        <v>4123</v>
      </c>
      <c r="H640" s="214" t="s">
        <v>3761</v>
      </c>
      <c r="I640" s="214" t="s">
        <v>3763</v>
      </c>
      <c r="J640" s="214" t="s">
        <v>3764</v>
      </c>
      <c r="K640" s="214" t="s">
        <v>9170</v>
      </c>
      <c r="L640" s="214" t="s">
        <v>10419</v>
      </c>
      <c r="M640" s="214" t="s">
        <v>9827</v>
      </c>
      <c r="P640" s="120"/>
    </row>
    <row r="641" spans="1:16">
      <c r="A641" s="214" t="s">
        <v>1334</v>
      </c>
      <c r="B641" s="214" t="s">
        <v>1314</v>
      </c>
      <c r="C641" s="222" t="s">
        <v>1313</v>
      </c>
      <c r="D641" s="222" t="s">
        <v>1315</v>
      </c>
      <c r="E641" s="222" t="s">
        <v>5079</v>
      </c>
      <c r="F641" s="214" t="s">
        <v>5080</v>
      </c>
      <c r="G641" s="214" t="s">
        <v>5081</v>
      </c>
      <c r="H641" s="214" t="s">
        <v>5100</v>
      </c>
      <c r="I641" s="214" t="s">
        <v>5083</v>
      </c>
      <c r="J641" s="214" t="s">
        <v>5101</v>
      </c>
      <c r="K641" s="214" t="s">
        <v>9322</v>
      </c>
      <c r="L641" s="214" t="s">
        <v>10619</v>
      </c>
      <c r="M641" s="214" t="s">
        <v>9975</v>
      </c>
      <c r="P641" s="120"/>
    </row>
    <row r="642" spans="1:16">
      <c r="A642" s="214" t="s">
        <v>1336</v>
      </c>
      <c r="B642" s="214" t="s">
        <v>1339</v>
      </c>
      <c r="C642" s="222" t="s">
        <v>1338</v>
      </c>
      <c r="D642" s="222" t="s">
        <v>1340</v>
      </c>
      <c r="E642" s="222" t="s">
        <v>5102</v>
      </c>
      <c r="F642" s="214" t="s">
        <v>5103</v>
      </c>
      <c r="G642" s="214" t="s">
        <v>5104</v>
      </c>
      <c r="H642" s="214" t="s">
        <v>5105</v>
      </c>
      <c r="I642" s="214" t="s">
        <v>5106</v>
      </c>
      <c r="J642" s="214" t="s">
        <v>5107</v>
      </c>
      <c r="K642" s="214" t="s">
        <v>9326</v>
      </c>
      <c r="L642" s="214" t="s">
        <v>10622</v>
      </c>
      <c r="M642" s="214" t="s">
        <v>9979</v>
      </c>
      <c r="P642" s="120"/>
    </row>
    <row r="643" spans="1:16">
      <c r="A643" s="214" t="s">
        <v>1341</v>
      </c>
      <c r="B643" s="214" t="s">
        <v>1344</v>
      </c>
      <c r="C643" s="222" t="s">
        <v>1343</v>
      </c>
      <c r="D643" s="222" t="s">
        <v>1345</v>
      </c>
      <c r="E643" s="222" t="s">
        <v>5108</v>
      </c>
      <c r="F643" s="214" t="s">
        <v>5109</v>
      </c>
      <c r="G643" s="214" t="s">
        <v>5110</v>
      </c>
      <c r="H643" s="214" t="s">
        <v>5111</v>
      </c>
      <c r="I643" s="214" t="s">
        <v>5112</v>
      </c>
      <c r="J643" s="214" t="s">
        <v>5113</v>
      </c>
      <c r="K643" s="214" t="s">
        <v>9327</v>
      </c>
      <c r="L643" s="214" t="s">
        <v>10623</v>
      </c>
      <c r="M643" s="214" t="s">
        <v>9980</v>
      </c>
      <c r="P643" s="120"/>
    </row>
    <row r="644" spans="1:16">
      <c r="A644" s="214" t="s">
        <v>1346</v>
      </c>
      <c r="B644" s="214" t="s">
        <v>1344</v>
      </c>
      <c r="C644" s="222" t="s">
        <v>1343</v>
      </c>
      <c r="D644" s="222" t="s">
        <v>1345</v>
      </c>
      <c r="E644" s="222" t="s">
        <v>5108</v>
      </c>
      <c r="F644" s="214" t="s">
        <v>5109</v>
      </c>
      <c r="G644" s="214" t="s">
        <v>5110</v>
      </c>
      <c r="H644" s="214" t="s">
        <v>5111</v>
      </c>
      <c r="I644" s="214" t="s">
        <v>5112</v>
      </c>
      <c r="J644" s="214" t="s">
        <v>5113</v>
      </c>
      <c r="K644" s="214" t="s">
        <v>9327</v>
      </c>
      <c r="L644" s="214" t="s">
        <v>10623</v>
      </c>
      <c r="M644" s="214" t="s">
        <v>9980</v>
      </c>
      <c r="P644" s="120"/>
    </row>
    <row r="645" spans="1:16">
      <c r="A645" s="214" t="s">
        <v>1348</v>
      </c>
      <c r="B645" s="214" t="s">
        <v>1347</v>
      </c>
      <c r="C645" s="222" t="s">
        <v>771</v>
      </c>
      <c r="D645" s="222" t="s">
        <v>773</v>
      </c>
      <c r="E645" s="222" t="s">
        <v>4488</v>
      </c>
      <c r="F645" s="214" t="s">
        <v>4489</v>
      </c>
      <c r="G645" s="214" t="s">
        <v>4870</v>
      </c>
      <c r="H645" s="214" t="s">
        <v>4491</v>
      </c>
      <c r="I645" s="214" t="s">
        <v>4871</v>
      </c>
      <c r="J645" s="214" t="s">
        <v>5114</v>
      </c>
      <c r="K645" s="214" t="s">
        <v>9280</v>
      </c>
      <c r="L645" s="214" t="s">
        <v>10607</v>
      </c>
      <c r="M645" s="214" t="s">
        <v>9882</v>
      </c>
      <c r="P645" s="120"/>
    </row>
    <row r="646" spans="1:16">
      <c r="A646" s="214" t="s">
        <v>1357</v>
      </c>
      <c r="B646" s="214" t="s">
        <v>1347</v>
      </c>
      <c r="C646" s="222" t="s">
        <v>771</v>
      </c>
      <c r="D646" s="222" t="s">
        <v>773</v>
      </c>
      <c r="E646" s="222" t="s">
        <v>4488</v>
      </c>
      <c r="F646" s="214" t="s">
        <v>5115</v>
      </c>
      <c r="G646" s="214" t="s">
        <v>4870</v>
      </c>
      <c r="H646" s="214" t="s">
        <v>4491</v>
      </c>
      <c r="I646" s="214" t="s">
        <v>4871</v>
      </c>
      <c r="J646" s="214" t="s">
        <v>4493</v>
      </c>
      <c r="K646" s="214" t="s">
        <v>9280</v>
      </c>
      <c r="L646" s="214" t="s">
        <v>10529</v>
      </c>
      <c r="M646" s="214" t="s">
        <v>9882</v>
      </c>
      <c r="P646" s="120"/>
    </row>
    <row r="647" spans="1:16">
      <c r="A647" s="214" t="s">
        <v>1358</v>
      </c>
      <c r="B647" s="214" t="s">
        <v>1347</v>
      </c>
      <c r="C647" s="222" t="s">
        <v>771</v>
      </c>
      <c r="D647" s="222" t="s">
        <v>773</v>
      </c>
      <c r="E647" s="222" t="s">
        <v>4488</v>
      </c>
      <c r="F647" s="214" t="s">
        <v>5115</v>
      </c>
      <c r="G647" s="214" t="s">
        <v>4870</v>
      </c>
      <c r="H647" s="214" t="s">
        <v>4491</v>
      </c>
      <c r="I647" s="214" t="s">
        <v>4871</v>
      </c>
      <c r="J647" s="214" t="s">
        <v>4493</v>
      </c>
      <c r="K647" s="214" t="s">
        <v>9280</v>
      </c>
      <c r="L647" s="214" t="s">
        <v>10529</v>
      </c>
      <c r="M647" s="214" t="s">
        <v>9882</v>
      </c>
      <c r="P647" s="120"/>
    </row>
    <row r="648" spans="1:16">
      <c r="A648" s="214" t="s">
        <v>1359</v>
      </c>
      <c r="B648" s="214" t="s">
        <v>1347</v>
      </c>
      <c r="C648" s="222" t="s">
        <v>771</v>
      </c>
      <c r="D648" s="222" t="s">
        <v>773</v>
      </c>
      <c r="E648" s="222" t="s">
        <v>4488</v>
      </c>
      <c r="F648" s="214" t="s">
        <v>5115</v>
      </c>
      <c r="G648" s="214" t="s">
        <v>4870</v>
      </c>
      <c r="H648" s="214" t="s">
        <v>4491</v>
      </c>
      <c r="I648" s="214" t="s">
        <v>4871</v>
      </c>
      <c r="J648" s="214" t="s">
        <v>4493</v>
      </c>
      <c r="K648" s="214" t="s">
        <v>9280</v>
      </c>
      <c r="L648" s="214" t="s">
        <v>10529</v>
      </c>
      <c r="M648" s="214" t="s">
        <v>9882</v>
      </c>
      <c r="P648" s="120"/>
    </row>
    <row r="649" spans="1:16">
      <c r="A649" s="214" t="s">
        <v>1360</v>
      </c>
      <c r="B649" s="214" t="s">
        <v>1347</v>
      </c>
      <c r="C649" s="222" t="s">
        <v>771</v>
      </c>
      <c r="D649" s="222" t="s">
        <v>773</v>
      </c>
      <c r="E649" s="222" t="s">
        <v>4488</v>
      </c>
      <c r="F649" s="214" t="s">
        <v>5115</v>
      </c>
      <c r="G649" s="214" t="s">
        <v>4870</v>
      </c>
      <c r="H649" s="214" t="s">
        <v>4491</v>
      </c>
      <c r="I649" s="214" t="s">
        <v>4871</v>
      </c>
      <c r="J649" s="214" t="s">
        <v>4493</v>
      </c>
      <c r="K649" s="214" t="s">
        <v>9280</v>
      </c>
      <c r="L649" s="214" t="s">
        <v>10529</v>
      </c>
      <c r="M649" s="214" t="s">
        <v>9882</v>
      </c>
      <c r="P649" s="120"/>
    </row>
    <row r="650" spans="1:16">
      <c r="A650" s="214" t="s">
        <v>1361</v>
      </c>
      <c r="B650" s="214" t="s">
        <v>1363</v>
      </c>
      <c r="C650" s="222" t="s">
        <v>1362</v>
      </c>
      <c r="D650" s="222" t="s">
        <v>1364</v>
      </c>
      <c r="E650" s="222" t="s">
        <v>5116</v>
      </c>
      <c r="F650" s="214" t="s">
        <v>5117</v>
      </c>
      <c r="G650" s="214" t="s">
        <v>5118</v>
      </c>
      <c r="H650" s="214" t="s">
        <v>5119</v>
      </c>
      <c r="I650" s="214" t="s">
        <v>5120</v>
      </c>
      <c r="J650" s="214" t="s">
        <v>5121</v>
      </c>
      <c r="K650" s="214" t="s">
        <v>9328</v>
      </c>
      <c r="L650" s="214" t="s">
        <v>10624</v>
      </c>
      <c r="M650" s="214" t="s">
        <v>9981</v>
      </c>
      <c r="P650" s="120"/>
    </row>
    <row r="651" spans="1:16">
      <c r="A651" s="214" t="s">
        <v>1365</v>
      </c>
      <c r="B651" s="214" t="s">
        <v>1347</v>
      </c>
      <c r="C651" s="222" t="s">
        <v>771</v>
      </c>
      <c r="D651" s="222" t="s">
        <v>773</v>
      </c>
      <c r="E651" s="222" t="s">
        <v>4488</v>
      </c>
      <c r="F651" s="214" t="s">
        <v>5115</v>
      </c>
      <c r="G651" s="214" t="s">
        <v>4870</v>
      </c>
      <c r="H651" s="214" t="s">
        <v>4491</v>
      </c>
      <c r="I651" s="214" t="s">
        <v>4871</v>
      </c>
      <c r="J651" s="214" t="s">
        <v>4493</v>
      </c>
      <c r="K651" s="214" t="s">
        <v>9280</v>
      </c>
      <c r="L651" s="214" t="s">
        <v>10529</v>
      </c>
      <c r="M651" s="214" t="s">
        <v>9882</v>
      </c>
      <c r="P651" s="120"/>
    </row>
    <row r="652" spans="1:16">
      <c r="A652" s="214" t="s">
        <v>1366</v>
      </c>
      <c r="B652" s="214" t="s">
        <v>1351</v>
      </c>
      <c r="C652" s="222" t="s">
        <v>1350</v>
      </c>
      <c r="D652" s="222" t="s">
        <v>1352</v>
      </c>
      <c r="E652" s="222" t="s">
        <v>5122</v>
      </c>
      <c r="F652" s="214" t="s">
        <v>5123</v>
      </c>
      <c r="G652" s="214" t="s">
        <v>5124</v>
      </c>
      <c r="H652" s="214" t="s">
        <v>5125</v>
      </c>
      <c r="I652" s="214" t="s">
        <v>5126</v>
      </c>
      <c r="J652" s="214" t="s">
        <v>5127</v>
      </c>
      <c r="K652" s="214" t="s">
        <v>9329</v>
      </c>
      <c r="L652" s="214" t="s">
        <v>10625</v>
      </c>
      <c r="M652" s="214" t="s">
        <v>9982</v>
      </c>
      <c r="P652" s="120"/>
    </row>
    <row r="653" spans="1:16">
      <c r="A653" s="214" t="s">
        <v>1367</v>
      </c>
      <c r="B653" s="214" t="s">
        <v>1347</v>
      </c>
      <c r="C653" s="222" t="s">
        <v>771</v>
      </c>
      <c r="D653" s="222" t="s">
        <v>773</v>
      </c>
      <c r="E653" s="222" t="s">
        <v>4488</v>
      </c>
      <c r="F653" s="214" t="s">
        <v>5115</v>
      </c>
      <c r="G653" s="214" t="s">
        <v>4870</v>
      </c>
      <c r="H653" s="214" t="s">
        <v>4491</v>
      </c>
      <c r="I653" s="214" t="s">
        <v>4871</v>
      </c>
      <c r="J653" s="214" t="s">
        <v>4493</v>
      </c>
      <c r="K653" s="214" t="s">
        <v>9280</v>
      </c>
      <c r="L653" s="214" t="s">
        <v>10529</v>
      </c>
      <c r="M653" s="214" t="s">
        <v>9882</v>
      </c>
      <c r="P653" s="120"/>
    </row>
    <row r="654" spans="1:16">
      <c r="A654" s="214" t="s">
        <v>1368</v>
      </c>
      <c r="B654" s="214" t="s">
        <v>1347</v>
      </c>
      <c r="C654" s="222" t="s">
        <v>771</v>
      </c>
      <c r="D654" s="222" t="s">
        <v>773</v>
      </c>
      <c r="E654" s="222" t="s">
        <v>4488</v>
      </c>
      <c r="F654" s="214" t="s">
        <v>5115</v>
      </c>
      <c r="G654" s="214" t="s">
        <v>4870</v>
      </c>
      <c r="H654" s="214" t="s">
        <v>4491</v>
      </c>
      <c r="I654" s="214" t="s">
        <v>4871</v>
      </c>
      <c r="J654" s="214" t="s">
        <v>4493</v>
      </c>
      <c r="K654" s="214" t="s">
        <v>9280</v>
      </c>
      <c r="L654" s="214" t="s">
        <v>10529</v>
      </c>
      <c r="M654" s="214" t="s">
        <v>9882</v>
      </c>
      <c r="P654" s="120"/>
    </row>
    <row r="655" spans="1:16">
      <c r="A655" s="214" t="s">
        <v>1369</v>
      </c>
      <c r="B655" s="214" t="s">
        <v>1370</v>
      </c>
      <c r="C655" s="222" t="s">
        <v>652</v>
      </c>
      <c r="D655" s="222" t="s">
        <v>1371</v>
      </c>
      <c r="E655" s="222" t="s">
        <v>5005</v>
      </c>
      <c r="F655" s="214" t="s">
        <v>4107</v>
      </c>
      <c r="G655" s="214" t="s">
        <v>4108</v>
      </c>
      <c r="H655" s="214" t="s">
        <v>4855</v>
      </c>
      <c r="I655" s="214" t="s">
        <v>4131</v>
      </c>
      <c r="J655" s="214" t="s">
        <v>4111</v>
      </c>
      <c r="K655" s="214" t="s">
        <v>9312</v>
      </c>
      <c r="L655" s="214" t="s">
        <v>10626</v>
      </c>
      <c r="M655" s="214" t="s">
        <v>9963</v>
      </c>
      <c r="P655" s="120"/>
    </row>
    <row r="656" spans="1:16">
      <c r="A656" s="214" t="s">
        <v>1378</v>
      </c>
      <c r="B656" s="214" t="s">
        <v>1076</v>
      </c>
      <c r="C656" s="222" t="s">
        <v>5128</v>
      </c>
      <c r="D656" s="222" t="s">
        <v>1083</v>
      </c>
      <c r="E656" s="222" t="s">
        <v>5129</v>
      </c>
      <c r="F656" s="214" t="s">
        <v>5130</v>
      </c>
      <c r="G656" s="214" t="s">
        <v>5131</v>
      </c>
      <c r="H656" s="214" t="s">
        <v>5132</v>
      </c>
      <c r="I656" s="214" t="s">
        <v>5133</v>
      </c>
      <c r="J656" s="214" t="s">
        <v>5134</v>
      </c>
      <c r="K656" s="214" t="s">
        <v>9330</v>
      </c>
      <c r="L656" s="214" t="s">
        <v>10592</v>
      </c>
      <c r="M656" s="214" t="s">
        <v>9983</v>
      </c>
      <c r="P656" s="120"/>
    </row>
    <row r="657" spans="1:16">
      <c r="A657" s="214" t="s">
        <v>1379</v>
      </c>
      <c r="B657" s="214" t="s">
        <v>1375</v>
      </c>
      <c r="C657" s="222" t="s">
        <v>1374</v>
      </c>
      <c r="D657" s="222" t="s">
        <v>1376</v>
      </c>
      <c r="E657" s="222" t="s">
        <v>5135</v>
      </c>
      <c r="F657" s="214" t="s">
        <v>5136</v>
      </c>
      <c r="G657" s="214" t="s">
        <v>5137</v>
      </c>
      <c r="H657" s="214" t="s">
        <v>5138</v>
      </c>
      <c r="I657" s="214" t="s">
        <v>5139</v>
      </c>
      <c r="J657" s="214" t="s">
        <v>5140</v>
      </c>
      <c r="K657" s="214" t="s">
        <v>9331</v>
      </c>
      <c r="L657" s="214" t="s">
        <v>10627</v>
      </c>
      <c r="M657" s="214" t="s">
        <v>9984</v>
      </c>
      <c r="P657" s="120"/>
    </row>
    <row r="658" spans="1:16">
      <c r="A658" s="215" t="s">
        <v>1383</v>
      </c>
      <c r="B658" s="214" t="s">
        <v>1347</v>
      </c>
      <c r="C658" s="222" t="s">
        <v>771</v>
      </c>
      <c r="D658" s="222" t="s">
        <v>773</v>
      </c>
      <c r="E658" s="222" t="s">
        <v>4488</v>
      </c>
      <c r="F658" s="214" t="s">
        <v>5115</v>
      </c>
      <c r="G658" s="214" t="s">
        <v>4870</v>
      </c>
      <c r="H658" s="214" t="s">
        <v>4491</v>
      </c>
      <c r="I658" s="214" t="s">
        <v>4871</v>
      </c>
      <c r="J658" s="214" t="s">
        <v>4493</v>
      </c>
      <c r="K658" s="214" t="s">
        <v>9280</v>
      </c>
      <c r="L658" s="214" t="s">
        <v>10529</v>
      </c>
      <c r="M658" s="214" t="s">
        <v>9882</v>
      </c>
      <c r="P658" s="120"/>
    </row>
    <row r="659" spans="1:16">
      <c r="A659" s="214" t="s">
        <v>1384</v>
      </c>
      <c r="B659" s="214" t="s">
        <v>1351</v>
      </c>
      <c r="C659" s="222" t="s">
        <v>1350</v>
      </c>
      <c r="D659" s="222" t="s">
        <v>1352</v>
      </c>
      <c r="E659" s="222" t="s">
        <v>5122</v>
      </c>
      <c r="F659" s="214" t="s">
        <v>5123</v>
      </c>
      <c r="G659" s="214" t="s">
        <v>5124</v>
      </c>
      <c r="H659" s="214" t="s">
        <v>5125</v>
      </c>
      <c r="I659" s="214" t="s">
        <v>5126</v>
      </c>
      <c r="J659" s="214" t="s">
        <v>5127</v>
      </c>
      <c r="K659" s="214" t="s">
        <v>9329</v>
      </c>
      <c r="L659" s="214" t="s">
        <v>10625</v>
      </c>
      <c r="M659" s="214" t="s">
        <v>9982</v>
      </c>
      <c r="P659" s="120"/>
    </row>
    <row r="660" spans="1:16">
      <c r="A660" s="214" t="s">
        <v>1385</v>
      </c>
      <c r="B660" s="214" t="s">
        <v>1347</v>
      </c>
      <c r="C660" s="222" t="s">
        <v>771</v>
      </c>
      <c r="D660" s="222" t="s">
        <v>773</v>
      </c>
      <c r="E660" s="222" t="s">
        <v>4488</v>
      </c>
      <c r="F660" s="214" t="s">
        <v>5115</v>
      </c>
      <c r="G660" s="214" t="s">
        <v>4870</v>
      </c>
      <c r="H660" s="214" t="s">
        <v>4491</v>
      </c>
      <c r="I660" s="214" t="s">
        <v>4871</v>
      </c>
      <c r="J660" s="214" t="s">
        <v>4493</v>
      </c>
      <c r="K660" s="214" t="s">
        <v>9280</v>
      </c>
      <c r="L660" s="214" t="s">
        <v>10529</v>
      </c>
      <c r="M660" s="214" t="s">
        <v>9882</v>
      </c>
      <c r="P660" s="120"/>
    </row>
    <row r="661" spans="1:16">
      <c r="A661" s="214" t="s">
        <v>1391</v>
      </c>
      <c r="B661" s="214" t="s">
        <v>1390</v>
      </c>
      <c r="C661" s="222" t="s">
        <v>400</v>
      </c>
      <c r="D661" s="222" t="s">
        <v>402</v>
      </c>
      <c r="E661" s="222" t="s">
        <v>3715</v>
      </c>
      <c r="F661" s="214" t="s">
        <v>3716</v>
      </c>
      <c r="G661" s="214" t="s">
        <v>5144</v>
      </c>
      <c r="H661" s="214" t="s">
        <v>3718</v>
      </c>
      <c r="I661" s="214" t="s">
        <v>3719</v>
      </c>
      <c r="J661" s="214" t="s">
        <v>3720</v>
      </c>
      <c r="K661" s="214" t="s">
        <v>9164</v>
      </c>
      <c r="L661" s="214" t="s">
        <v>10413</v>
      </c>
      <c r="M661" s="214" t="s">
        <v>9985</v>
      </c>
      <c r="P661" s="120"/>
    </row>
    <row r="662" spans="1:16">
      <c r="A662" s="214" t="s">
        <v>1392</v>
      </c>
      <c r="B662" s="214" t="s">
        <v>2620</v>
      </c>
      <c r="C662" s="222" t="s">
        <v>1388</v>
      </c>
      <c r="D662" s="222" t="s">
        <v>1389</v>
      </c>
      <c r="E662" s="222" t="s">
        <v>5145</v>
      </c>
      <c r="F662" s="214" t="s">
        <v>5146</v>
      </c>
      <c r="G662" s="214" t="s">
        <v>5147</v>
      </c>
      <c r="H662" s="214" t="s">
        <v>5148</v>
      </c>
      <c r="I662" s="214" t="s">
        <v>5149</v>
      </c>
      <c r="J662" s="214" t="s">
        <v>5150</v>
      </c>
      <c r="K662" s="214" t="s">
        <v>9332</v>
      </c>
      <c r="L662" s="214" t="s">
        <v>10628</v>
      </c>
      <c r="M662" s="214" t="s">
        <v>9986</v>
      </c>
      <c r="P662" s="120"/>
    </row>
    <row r="663" spans="1:16">
      <c r="A663" s="214" t="s">
        <v>1393</v>
      </c>
      <c r="B663" s="214" t="s">
        <v>1390</v>
      </c>
      <c r="C663" s="222" t="s">
        <v>400</v>
      </c>
      <c r="D663" s="222" t="s">
        <v>402</v>
      </c>
      <c r="E663" s="222" t="s">
        <v>3715</v>
      </c>
      <c r="F663" s="214" t="s">
        <v>3716</v>
      </c>
      <c r="G663" s="214" t="s">
        <v>5144</v>
      </c>
      <c r="H663" s="214" t="s">
        <v>3718</v>
      </c>
      <c r="I663" s="214" t="s">
        <v>3719</v>
      </c>
      <c r="J663" s="214" t="s">
        <v>3720</v>
      </c>
      <c r="K663" s="214" t="s">
        <v>9164</v>
      </c>
      <c r="L663" s="214" t="s">
        <v>10413</v>
      </c>
      <c r="M663" s="214" t="s">
        <v>9985</v>
      </c>
      <c r="P663" s="120"/>
    </row>
    <row r="664" spans="1:16">
      <c r="A664" s="214" t="s">
        <v>1394</v>
      </c>
      <c r="B664" s="214" t="s">
        <v>1390</v>
      </c>
      <c r="C664" s="222" t="s">
        <v>400</v>
      </c>
      <c r="D664" s="222" t="s">
        <v>402</v>
      </c>
      <c r="E664" s="222" t="s">
        <v>3715</v>
      </c>
      <c r="F664" s="214" t="s">
        <v>3716</v>
      </c>
      <c r="G664" s="214" t="s">
        <v>5144</v>
      </c>
      <c r="H664" s="214" t="s">
        <v>3718</v>
      </c>
      <c r="I664" s="214" t="s">
        <v>3719</v>
      </c>
      <c r="J664" s="214" t="s">
        <v>3720</v>
      </c>
      <c r="K664" s="214" t="s">
        <v>9164</v>
      </c>
      <c r="L664" s="214" t="s">
        <v>10413</v>
      </c>
      <c r="M664" s="214" t="s">
        <v>9985</v>
      </c>
      <c r="P664" s="120"/>
    </row>
    <row r="665" spans="1:16">
      <c r="A665" s="214" t="s">
        <v>1395</v>
      </c>
      <c r="B665" s="214" t="s">
        <v>1390</v>
      </c>
      <c r="C665" s="222" t="s">
        <v>400</v>
      </c>
      <c r="D665" s="222" t="s">
        <v>402</v>
      </c>
      <c r="E665" s="222" t="s">
        <v>3715</v>
      </c>
      <c r="F665" s="214" t="s">
        <v>3716</v>
      </c>
      <c r="G665" s="214" t="s">
        <v>5144</v>
      </c>
      <c r="H665" s="214" t="s">
        <v>3718</v>
      </c>
      <c r="I665" s="214" t="s">
        <v>3719</v>
      </c>
      <c r="J665" s="214" t="s">
        <v>3720</v>
      </c>
      <c r="K665" s="214" t="s">
        <v>9164</v>
      </c>
      <c r="L665" s="214" t="s">
        <v>10413</v>
      </c>
      <c r="M665" s="214" t="s">
        <v>9985</v>
      </c>
      <c r="P665" s="120"/>
    </row>
    <row r="666" spans="1:16">
      <c r="A666" s="215" t="s">
        <v>1396</v>
      </c>
      <c r="B666" s="214" t="s">
        <v>1390</v>
      </c>
      <c r="C666" s="222" t="s">
        <v>400</v>
      </c>
      <c r="D666" s="222" t="s">
        <v>402</v>
      </c>
      <c r="E666" s="222" t="s">
        <v>3715</v>
      </c>
      <c r="F666" s="214" t="s">
        <v>3716</v>
      </c>
      <c r="G666" s="214" t="s">
        <v>5144</v>
      </c>
      <c r="H666" s="214" t="s">
        <v>3718</v>
      </c>
      <c r="I666" s="214" t="s">
        <v>3719</v>
      </c>
      <c r="J666" s="214" t="s">
        <v>3720</v>
      </c>
      <c r="K666" s="223" t="s">
        <v>9164</v>
      </c>
      <c r="L666" s="214" t="s">
        <v>10413</v>
      </c>
      <c r="M666" s="214" t="s">
        <v>9985</v>
      </c>
      <c r="P666" s="120"/>
    </row>
    <row r="667" spans="1:16">
      <c r="A667" s="214" t="s">
        <v>1397</v>
      </c>
      <c r="B667" s="214" t="s">
        <v>1386</v>
      </c>
      <c r="C667" s="222" t="s">
        <v>809</v>
      </c>
      <c r="D667" s="222" t="s">
        <v>1085</v>
      </c>
      <c r="E667" s="222" t="s">
        <v>4465</v>
      </c>
      <c r="F667" s="214" t="s">
        <v>4466</v>
      </c>
      <c r="G667" s="214" t="s">
        <v>4899</v>
      </c>
      <c r="H667" s="214" t="s">
        <v>4468</v>
      </c>
      <c r="I667" s="214" t="s">
        <v>5143</v>
      </c>
      <c r="J667" s="214" t="s">
        <v>4470</v>
      </c>
      <c r="K667" s="214" t="s">
        <v>9276</v>
      </c>
      <c r="L667" s="214" t="s">
        <v>10525</v>
      </c>
      <c r="M667" s="214" t="s">
        <v>9878</v>
      </c>
      <c r="P667" s="120"/>
    </row>
    <row r="668" spans="1:16">
      <c r="A668" s="214" t="s">
        <v>1398</v>
      </c>
      <c r="B668" s="214" t="s">
        <v>1386</v>
      </c>
      <c r="C668" s="222" t="s">
        <v>809</v>
      </c>
      <c r="D668" s="222" t="s">
        <v>1085</v>
      </c>
      <c r="E668" s="222" t="s">
        <v>4465</v>
      </c>
      <c r="F668" s="214" t="s">
        <v>4466</v>
      </c>
      <c r="G668" s="214" t="s">
        <v>4899</v>
      </c>
      <c r="H668" s="214" t="s">
        <v>4468</v>
      </c>
      <c r="I668" s="214" t="s">
        <v>5143</v>
      </c>
      <c r="J668" s="214" t="s">
        <v>4470</v>
      </c>
      <c r="K668" s="214" t="s">
        <v>9276</v>
      </c>
      <c r="L668" s="214" t="s">
        <v>10525</v>
      </c>
      <c r="M668" s="214" t="s">
        <v>9878</v>
      </c>
      <c r="P668" s="120"/>
    </row>
    <row r="669" spans="1:16">
      <c r="A669" s="214" t="s">
        <v>5151</v>
      </c>
      <c r="B669" s="214" t="s">
        <v>1386</v>
      </c>
      <c r="C669" s="222" t="s">
        <v>809</v>
      </c>
      <c r="D669" s="222" t="s">
        <v>1085</v>
      </c>
      <c r="E669" s="222" t="s">
        <v>4465</v>
      </c>
      <c r="F669" s="214" t="s">
        <v>4466</v>
      </c>
      <c r="G669" s="214" t="s">
        <v>4899</v>
      </c>
      <c r="H669" s="214" t="s">
        <v>4468</v>
      </c>
      <c r="I669" s="214" t="s">
        <v>5143</v>
      </c>
      <c r="J669" s="214" t="s">
        <v>4978</v>
      </c>
      <c r="K669" s="214" t="s">
        <v>9276</v>
      </c>
      <c r="L669" s="214" t="s">
        <v>10525</v>
      </c>
      <c r="M669" s="214" t="s">
        <v>9878</v>
      </c>
      <c r="P669" s="120"/>
    </row>
    <row r="670" spans="1:16">
      <c r="A670" s="214" t="s">
        <v>2364</v>
      </c>
      <c r="B670" s="214" t="s">
        <v>1386</v>
      </c>
      <c r="C670" s="222" t="s">
        <v>809</v>
      </c>
      <c r="D670" s="222" t="s">
        <v>1085</v>
      </c>
      <c r="E670" s="222" t="s">
        <v>4465</v>
      </c>
      <c r="F670" s="214" t="s">
        <v>4466</v>
      </c>
      <c r="G670" s="214" t="s">
        <v>4899</v>
      </c>
      <c r="H670" s="214" t="s">
        <v>4468</v>
      </c>
      <c r="I670" s="214" t="s">
        <v>5143</v>
      </c>
      <c r="J670" s="214" t="s">
        <v>4470</v>
      </c>
      <c r="K670" s="214" t="s">
        <v>9276</v>
      </c>
      <c r="L670" s="214" t="s">
        <v>10525</v>
      </c>
      <c r="M670" s="214" t="s">
        <v>9878</v>
      </c>
      <c r="P670" s="120"/>
    </row>
    <row r="671" spans="1:16">
      <c r="A671" s="214" t="s">
        <v>1402</v>
      </c>
      <c r="B671" s="214" t="s">
        <v>1386</v>
      </c>
      <c r="C671" s="222" t="s">
        <v>809</v>
      </c>
      <c r="D671" s="222" t="s">
        <v>1085</v>
      </c>
      <c r="E671" s="222" t="s">
        <v>4465</v>
      </c>
      <c r="F671" s="214" t="s">
        <v>4466</v>
      </c>
      <c r="G671" s="214" t="s">
        <v>4899</v>
      </c>
      <c r="H671" s="214" t="s">
        <v>4468</v>
      </c>
      <c r="I671" s="214" t="s">
        <v>5143</v>
      </c>
      <c r="J671" s="214" t="s">
        <v>4470</v>
      </c>
      <c r="K671" s="214" t="s">
        <v>9276</v>
      </c>
      <c r="L671" s="214" t="s">
        <v>10525</v>
      </c>
      <c r="M671" s="214" t="s">
        <v>9878</v>
      </c>
      <c r="P671" s="120"/>
    </row>
    <row r="672" spans="1:16">
      <c r="A672" s="214" t="s">
        <v>1403</v>
      </c>
      <c r="B672" s="214" t="s">
        <v>1386</v>
      </c>
      <c r="C672" s="222" t="s">
        <v>809</v>
      </c>
      <c r="D672" s="222" t="s">
        <v>1085</v>
      </c>
      <c r="E672" s="222" t="s">
        <v>4465</v>
      </c>
      <c r="F672" s="214" t="s">
        <v>4466</v>
      </c>
      <c r="G672" s="214" t="s">
        <v>4899</v>
      </c>
      <c r="H672" s="214" t="s">
        <v>4468</v>
      </c>
      <c r="I672" s="214" t="s">
        <v>5143</v>
      </c>
      <c r="J672" s="214" t="s">
        <v>4470</v>
      </c>
      <c r="K672" s="214" t="s">
        <v>9276</v>
      </c>
      <c r="L672" s="214" t="s">
        <v>10525</v>
      </c>
      <c r="M672" s="214" t="s">
        <v>9878</v>
      </c>
      <c r="P672" s="120"/>
    </row>
    <row r="673" spans="1:16">
      <c r="A673" s="214" t="s">
        <v>1404</v>
      </c>
      <c r="B673" s="214" t="s">
        <v>1400</v>
      </c>
      <c r="C673" s="222" t="s">
        <v>1399</v>
      </c>
      <c r="D673" s="222" t="s">
        <v>1401</v>
      </c>
      <c r="E673" s="222" t="s">
        <v>5152</v>
      </c>
      <c r="F673" s="214" t="s">
        <v>5153</v>
      </c>
      <c r="G673" s="214" t="s">
        <v>5154</v>
      </c>
      <c r="H673" s="214" t="s">
        <v>5155</v>
      </c>
      <c r="I673" s="214" t="s">
        <v>5156</v>
      </c>
      <c r="J673" s="214" t="s">
        <v>5157</v>
      </c>
      <c r="K673" s="214" t="s">
        <v>9333</v>
      </c>
      <c r="L673" s="214" t="s">
        <v>10629</v>
      </c>
      <c r="M673" s="214" t="s">
        <v>9987</v>
      </c>
      <c r="P673" s="120"/>
    </row>
    <row r="674" spans="1:16">
      <c r="A674" s="214" t="s">
        <v>2287</v>
      </c>
      <c r="B674" s="214" t="s">
        <v>1386</v>
      </c>
      <c r="C674" s="222" t="s">
        <v>809</v>
      </c>
      <c r="D674" s="222" t="s">
        <v>1085</v>
      </c>
      <c r="E674" s="222" t="s">
        <v>4465</v>
      </c>
      <c r="F674" s="214" t="s">
        <v>4466</v>
      </c>
      <c r="G674" s="214" t="s">
        <v>4899</v>
      </c>
      <c r="H674" s="214" t="s">
        <v>4468</v>
      </c>
      <c r="I674" s="214" t="s">
        <v>5143</v>
      </c>
      <c r="J674" s="214" t="s">
        <v>4470</v>
      </c>
      <c r="K674" s="214" t="s">
        <v>9276</v>
      </c>
      <c r="L674" s="214" t="s">
        <v>10525</v>
      </c>
      <c r="M674" s="214" t="s">
        <v>9878</v>
      </c>
      <c r="P674" s="120"/>
    </row>
    <row r="675" spans="1:16">
      <c r="A675" s="214" t="s">
        <v>1405</v>
      </c>
      <c r="B675" s="214" t="s">
        <v>1370</v>
      </c>
      <c r="C675" s="222" t="s">
        <v>652</v>
      </c>
      <c r="D675" s="222" t="s">
        <v>1371</v>
      </c>
      <c r="E675" s="222" t="s">
        <v>5005</v>
      </c>
      <c r="F675" s="214" t="s">
        <v>4107</v>
      </c>
      <c r="G675" s="214" t="s">
        <v>4108</v>
      </c>
      <c r="H675" s="214" t="s">
        <v>4855</v>
      </c>
      <c r="I675" s="214" t="s">
        <v>4131</v>
      </c>
      <c r="J675" s="214" t="s">
        <v>4111</v>
      </c>
      <c r="K675" s="214" t="s">
        <v>9312</v>
      </c>
      <c r="L675" s="214" t="s">
        <v>10626</v>
      </c>
      <c r="M675" s="214" t="s">
        <v>9973</v>
      </c>
      <c r="P675" s="120"/>
    </row>
    <row r="676" spans="1:16">
      <c r="A676" s="214" t="s">
        <v>1406</v>
      </c>
      <c r="B676" s="214" t="s">
        <v>1408</v>
      </c>
      <c r="C676" s="222" t="s">
        <v>1407</v>
      </c>
      <c r="D676" s="222" t="s">
        <v>1409</v>
      </c>
      <c r="E676" s="222" t="s">
        <v>5158</v>
      </c>
      <c r="F676" s="214" t="s">
        <v>5159</v>
      </c>
      <c r="G676" s="214" t="s">
        <v>5160</v>
      </c>
      <c r="H676" s="214" t="s">
        <v>5161</v>
      </c>
      <c r="I676" s="214" t="s">
        <v>5162</v>
      </c>
      <c r="J676" s="214" t="s">
        <v>5163</v>
      </c>
      <c r="K676" s="214" t="s">
        <v>9334</v>
      </c>
      <c r="L676" s="214" t="s">
        <v>10630</v>
      </c>
      <c r="M676" s="214" t="s">
        <v>9988</v>
      </c>
      <c r="P676" s="120"/>
    </row>
    <row r="677" spans="1:16">
      <c r="A677" s="214" t="s">
        <v>1410</v>
      </c>
      <c r="B677" s="214" t="s">
        <v>1412</v>
      </c>
      <c r="C677" s="222" t="s">
        <v>1411</v>
      </c>
      <c r="D677" s="222" t="s">
        <v>1413</v>
      </c>
      <c r="E677" s="222" t="s">
        <v>5164</v>
      </c>
      <c r="F677" s="214" t="s">
        <v>5165</v>
      </c>
      <c r="G677" s="214" t="s">
        <v>5166</v>
      </c>
      <c r="H677" s="214" t="s">
        <v>5167</v>
      </c>
      <c r="I677" s="214" t="s">
        <v>5168</v>
      </c>
      <c r="J677" s="214" t="s">
        <v>5169</v>
      </c>
      <c r="K677" s="214" t="s">
        <v>9335</v>
      </c>
      <c r="L677" s="214" t="s">
        <v>10631</v>
      </c>
      <c r="M677" s="214" t="s">
        <v>9989</v>
      </c>
      <c r="P677" s="120"/>
    </row>
    <row r="678" spans="1:16">
      <c r="A678" s="214" t="s">
        <v>1414</v>
      </c>
      <c r="B678" s="214" t="s">
        <v>1416</v>
      </c>
      <c r="C678" s="222" t="s">
        <v>1415</v>
      </c>
      <c r="D678" s="222" t="s">
        <v>1417</v>
      </c>
      <c r="E678" s="222" t="s">
        <v>5170</v>
      </c>
      <c r="F678" s="214" t="s">
        <v>5171</v>
      </c>
      <c r="G678" s="214" t="s">
        <v>5172</v>
      </c>
      <c r="H678" s="214" t="s">
        <v>5173</v>
      </c>
      <c r="I678" s="214" t="s">
        <v>5174</v>
      </c>
      <c r="J678" s="214" t="s">
        <v>5175</v>
      </c>
      <c r="K678" s="214" t="s">
        <v>9336</v>
      </c>
      <c r="L678" s="214" t="s">
        <v>10632</v>
      </c>
      <c r="M678" s="214" t="s">
        <v>9990</v>
      </c>
      <c r="P678" s="120"/>
    </row>
    <row r="679" spans="1:16">
      <c r="A679" s="214" t="s">
        <v>2365</v>
      </c>
      <c r="B679" s="214" t="s">
        <v>2621</v>
      </c>
      <c r="C679" s="222" t="s">
        <v>2735</v>
      </c>
      <c r="D679" s="222" t="s">
        <v>2790</v>
      </c>
      <c r="E679" s="222" t="s">
        <v>5176</v>
      </c>
      <c r="F679" s="214" t="s">
        <v>5177</v>
      </c>
      <c r="G679" s="214" t="s">
        <v>5178</v>
      </c>
      <c r="H679" s="214" t="s">
        <v>5179</v>
      </c>
      <c r="I679" s="214" t="s">
        <v>5180</v>
      </c>
      <c r="J679" s="214" t="s">
        <v>5181</v>
      </c>
      <c r="K679" s="214" t="s">
        <v>9337</v>
      </c>
      <c r="L679" s="214" t="s">
        <v>10633</v>
      </c>
      <c r="M679" s="214" t="s">
        <v>9991</v>
      </c>
      <c r="P679" s="120"/>
    </row>
    <row r="680" spans="1:16">
      <c r="A680" s="214" t="s">
        <v>1418</v>
      </c>
      <c r="B680" s="214" t="s">
        <v>1386</v>
      </c>
      <c r="C680" s="222" t="s">
        <v>809</v>
      </c>
      <c r="D680" s="222" t="s">
        <v>1085</v>
      </c>
      <c r="E680" s="222" t="s">
        <v>4465</v>
      </c>
      <c r="F680" s="214" t="s">
        <v>4466</v>
      </c>
      <c r="G680" s="214" t="s">
        <v>4899</v>
      </c>
      <c r="H680" s="214" t="s">
        <v>4468</v>
      </c>
      <c r="I680" s="214" t="s">
        <v>5143</v>
      </c>
      <c r="J680" s="214" t="s">
        <v>4470</v>
      </c>
      <c r="K680" s="214" t="s">
        <v>9276</v>
      </c>
      <c r="L680" s="214" t="s">
        <v>10525</v>
      </c>
      <c r="M680" s="214" t="s">
        <v>9878</v>
      </c>
      <c r="P680" s="120"/>
    </row>
    <row r="681" spans="1:16">
      <c r="A681" s="214" t="s">
        <v>1419</v>
      </c>
      <c r="B681" s="214" t="s">
        <v>1386</v>
      </c>
      <c r="C681" s="222" t="s">
        <v>809</v>
      </c>
      <c r="D681" s="222" t="s">
        <v>1085</v>
      </c>
      <c r="E681" s="222" t="s">
        <v>4465</v>
      </c>
      <c r="F681" s="214" t="s">
        <v>4466</v>
      </c>
      <c r="G681" s="214" t="s">
        <v>4899</v>
      </c>
      <c r="H681" s="214" t="s">
        <v>4468</v>
      </c>
      <c r="I681" s="214" t="s">
        <v>5143</v>
      </c>
      <c r="J681" s="214" t="s">
        <v>4470</v>
      </c>
      <c r="K681" s="214" t="s">
        <v>9276</v>
      </c>
      <c r="L681" s="214" t="s">
        <v>10525</v>
      </c>
      <c r="M681" s="214" t="s">
        <v>9878</v>
      </c>
      <c r="P681" s="120"/>
    </row>
    <row r="682" spans="1:16">
      <c r="A682" s="214" t="s">
        <v>1420</v>
      </c>
      <c r="B682" s="214" t="s">
        <v>1386</v>
      </c>
      <c r="C682" s="222" t="s">
        <v>809</v>
      </c>
      <c r="D682" s="222" t="s">
        <v>1085</v>
      </c>
      <c r="E682" s="222" t="s">
        <v>4465</v>
      </c>
      <c r="F682" s="214" t="s">
        <v>4466</v>
      </c>
      <c r="G682" s="214" t="s">
        <v>4899</v>
      </c>
      <c r="H682" s="214" t="s">
        <v>4468</v>
      </c>
      <c r="I682" s="214" t="s">
        <v>5143</v>
      </c>
      <c r="J682" s="214" t="s">
        <v>4470</v>
      </c>
      <c r="K682" s="214" t="s">
        <v>9276</v>
      </c>
      <c r="L682" s="214" t="s">
        <v>10525</v>
      </c>
      <c r="M682" s="214" t="s">
        <v>9878</v>
      </c>
      <c r="P682" s="120"/>
    </row>
    <row r="683" spans="1:16">
      <c r="A683" s="214" t="s">
        <v>1421</v>
      </c>
      <c r="B683" s="214" t="s">
        <v>1386</v>
      </c>
      <c r="C683" s="222" t="s">
        <v>809</v>
      </c>
      <c r="D683" s="222" t="s">
        <v>1085</v>
      </c>
      <c r="E683" s="222" t="s">
        <v>4465</v>
      </c>
      <c r="F683" s="214" t="s">
        <v>4466</v>
      </c>
      <c r="G683" s="214" t="s">
        <v>4899</v>
      </c>
      <c r="H683" s="214" t="s">
        <v>4468</v>
      </c>
      <c r="I683" s="214" t="s">
        <v>5143</v>
      </c>
      <c r="J683" s="214" t="s">
        <v>4470</v>
      </c>
      <c r="K683" s="214" t="s">
        <v>9276</v>
      </c>
      <c r="L683" s="214" t="s">
        <v>10525</v>
      </c>
      <c r="M683" s="214" t="s">
        <v>9878</v>
      </c>
      <c r="P683" s="120"/>
    </row>
    <row r="684" spans="1:16">
      <c r="A684" s="214" t="s">
        <v>1422</v>
      </c>
      <c r="B684" s="214" t="s">
        <v>1347</v>
      </c>
      <c r="C684" s="222" t="s">
        <v>771</v>
      </c>
      <c r="D684" s="222" t="s">
        <v>773</v>
      </c>
      <c r="E684" s="222" t="s">
        <v>4488</v>
      </c>
      <c r="F684" s="214" t="s">
        <v>4489</v>
      </c>
      <c r="G684" s="214" t="s">
        <v>4870</v>
      </c>
      <c r="H684" s="214" t="s">
        <v>4491</v>
      </c>
      <c r="I684" s="214" t="s">
        <v>4871</v>
      </c>
      <c r="J684" s="214" t="s">
        <v>4493</v>
      </c>
      <c r="K684" s="214" t="s">
        <v>9280</v>
      </c>
      <c r="L684" s="214" t="s">
        <v>10607</v>
      </c>
      <c r="M684" s="214" t="s">
        <v>9878</v>
      </c>
      <c r="P684" s="120"/>
    </row>
    <row r="685" spans="1:16">
      <c r="A685" s="214" t="s">
        <v>1423</v>
      </c>
      <c r="B685" s="214" t="s">
        <v>1347</v>
      </c>
      <c r="C685" s="222" t="s">
        <v>771</v>
      </c>
      <c r="D685" s="222" t="s">
        <v>773</v>
      </c>
      <c r="E685" s="222" t="s">
        <v>4488</v>
      </c>
      <c r="F685" s="214" t="s">
        <v>4489</v>
      </c>
      <c r="G685" s="214" t="s">
        <v>4870</v>
      </c>
      <c r="H685" s="214" t="s">
        <v>4491</v>
      </c>
      <c r="I685" s="214" t="s">
        <v>4871</v>
      </c>
      <c r="J685" s="214" t="s">
        <v>4493</v>
      </c>
      <c r="K685" s="214" t="s">
        <v>9280</v>
      </c>
      <c r="L685" s="214" t="s">
        <v>10529</v>
      </c>
      <c r="M685" s="214" t="s">
        <v>9878</v>
      </c>
      <c r="P685" s="120"/>
    </row>
    <row r="686" spans="1:16">
      <c r="A686" s="214" t="s">
        <v>1425</v>
      </c>
      <c r="B686" s="214" t="s">
        <v>1347</v>
      </c>
      <c r="C686" s="222" t="s">
        <v>771</v>
      </c>
      <c r="D686" s="222" t="s">
        <v>773</v>
      </c>
      <c r="E686" s="222" t="s">
        <v>4488</v>
      </c>
      <c r="F686" s="214" t="s">
        <v>4489</v>
      </c>
      <c r="G686" s="214" t="s">
        <v>4870</v>
      </c>
      <c r="H686" s="214" t="s">
        <v>4491</v>
      </c>
      <c r="I686" s="214" t="s">
        <v>4871</v>
      </c>
      <c r="J686" s="214" t="s">
        <v>4493</v>
      </c>
      <c r="K686" s="214" t="s">
        <v>9280</v>
      </c>
      <c r="L686" s="214" t="s">
        <v>10529</v>
      </c>
      <c r="M686" s="214" t="s">
        <v>9878</v>
      </c>
      <c r="P686" s="120"/>
    </row>
    <row r="687" spans="1:16">
      <c r="A687" s="214" t="s">
        <v>1426</v>
      </c>
      <c r="B687" s="214" t="s">
        <v>1347</v>
      </c>
      <c r="C687" s="222" t="s">
        <v>771</v>
      </c>
      <c r="D687" s="222" t="s">
        <v>773</v>
      </c>
      <c r="E687" s="222" t="s">
        <v>4488</v>
      </c>
      <c r="F687" s="214" t="s">
        <v>4489</v>
      </c>
      <c r="G687" s="214" t="s">
        <v>4870</v>
      </c>
      <c r="H687" s="214" t="s">
        <v>4491</v>
      </c>
      <c r="I687" s="214" t="s">
        <v>4871</v>
      </c>
      <c r="J687" s="214" t="s">
        <v>4493</v>
      </c>
      <c r="K687" s="214" t="s">
        <v>9280</v>
      </c>
      <c r="L687" s="214" t="s">
        <v>10529</v>
      </c>
      <c r="M687" s="214" t="s">
        <v>9878</v>
      </c>
      <c r="P687" s="120"/>
    </row>
    <row r="688" spans="1:16">
      <c r="A688" s="214" t="s">
        <v>1428</v>
      </c>
      <c r="B688" s="214" t="s">
        <v>1347</v>
      </c>
      <c r="C688" s="222" t="s">
        <v>771</v>
      </c>
      <c r="D688" s="222" t="s">
        <v>773</v>
      </c>
      <c r="E688" s="222" t="s">
        <v>4488</v>
      </c>
      <c r="F688" s="214" t="s">
        <v>4489</v>
      </c>
      <c r="G688" s="214" t="s">
        <v>4870</v>
      </c>
      <c r="H688" s="214" t="s">
        <v>4491</v>
      </c>
      <c r="I688" s="214" t="s">
        <v>4871</v>
      </c>
      <c r="J688" s="214" t="s">
        <v>4493</v>
      </c>
      <c r="K688" s="214" t="s">
        <v>9280</v>
      </c>
      <c r="L688" s="214" t="s">
        <v>10529</v>
      </c>
      <c r="M688" s="214" t="s">
        <v>9878</v>
      </c>
      <c r="P688" s="120"/>
    </row>
    <row r="689" spans="1:16">
      <c r="A689" s="214" t="s">
        <v>1430</v>
      </c>
      <c r="B689" s="214" t="s">
        <v>1347</v>
      </c>
      <c r="C689" s="222" t="s">
        <v>771</v>
      </c>
      <c r="D689" s="222" t="s">
        <v>773</v>
      </c>
      <c r="E689" s="222" t="s">
        <v>4488</v>
      </c>
      <c r="F689" s="214" t="s">
        <v>4489</v>
      </c>
      <c r="G689" s="214" t="s">
        <v>4870</v>
      </c>
      <c r="H689" s="214" t="s">
        <v>4491</v>
      </c>
      <c r="I689" s="214" t="s">
        <v>4871</v>
      </c>
      <c r="J689" s="214" t="s">
        <v>4493</v>
      </c>
      <c r="K689" s="214" t="s">
        <v>9280</v>
      </c>
      <c r="L689" s="214" t="s">
        <v>10529</v>
      </c>
      <c r="M689" s="214" t="s">
        <v>9878</v>
      </c>
      <c r="P689" s="120"/>
    </row>
    <row r="690" spans="1:16">
      <c r="A690" s="214" t="s">
        <v>1432</v>
      </c>
      <c r="B690" s="214" t="s">
        <v>1112</v>
      </c>
      <c r="C690" s="222" t="s">
        <v>1111</v>
      </c>
      <c r="D690" s="222" t="s">
        <v>1113</v>
      </c>
      <c r="E690" s="222" t="s">
        <v>5009</v>
      </c>
      <c r="F690" s="214" t="s">
        <v>4902</v>
      </c>
      <c r="G690" s="214" t="s">
        <v>4903</v>
      </c>
      <c r="H690" s="214" t="s">
        <v>4904</v>
      </c>
      <c r="I690" s="214" t="s">
        <v>4905</v>
      </c>
      <c r="J690" s="214" t="s">
        <v>4906</v>
      </c>
      <c r="K690" s="214" t="s">
        <v>9298</v>
      </c>
      <c r="L690" s="214" t="s">
        <v>10594</v>
      </c>
      <c r="M690" s="214" t="s">
        <v>9878</v>
      </c>
      <c r="P690" s="120"/>
    </row>
    <row r="691" spans="1:16">
      <c r="A691" s="214" t="s">
        <v>1433</v>
      </c>
      <c r="B691" s="214" t="s">
        <v>1112</v>
      </c>
      <c r="C691" s="222" t="s">
        <v>1111</v>
      </c>
      <c r="D691" s="222" t="s">
        <v>1113</v>
      </c>
      <c r="E691" s="222" t="s">
        <v>5009</v>
      </c>
      <c r="F691" s="214" t="s">
        <v>4902</v>
      </c>
      <c r="G691" s="214" t="s">
        <v>4903</v>
      </c>
      <c r="H691" s="214" t="s">
        <v>4904</v>
      </c>
      <c r="I691" s="214" t="s">
        <v>4905</v>
      </c>
      <c r="J691" s="214" t="s">
        <v>4906</v>
      </c>
      <c r="K691" s="214" t="s">
        <v>9298</v>
      </c>
      <c r="L691" s="214" t="s">
        <v>10594</v>
      </c>
      <c r="M691" s="214" t="s">
        <v>9878</v>
      </c>
      <c r="P691" s="120"/>
    </row>
    <row r="692" spans="1:16">
      <c r="A692" s="214" t="s">
        <v>1439</v>
      </c>
      <c r="B692" s="214" t="s">
        <v>1112</v>
      </c>
      <c r="C692" s="222" t="s">
        <v>1111</v>
      </c>
      <c r="D692" s="222" t="s">
        <v>1113</v>
      </c>
      <c r="E692" s="222" t="s">
        <v>5009</v>
      </c>
      <c r="F692" s="214" t="s">
        <v>4902</v>
      </c>
      <c r="G692" s="214" t="s">
        <v>4903</v>
      </c>
      <c r="H692" s="214" t="s">
        <v>4904</v>
      </c>
      <c r="I692" s="214" t="s">
        <v>4905</v>
      </c>
      <c r="J692" s="214" t="s">
        <v>4906</v>
      </c>
      <c r="K692" s="214" t="s">
        <v>9298</v>
      </c>
      <c r="L692" s="214" t="s">
        <v>10594</v>
      </c>
      <c r="M692" s="214" t="s">
        <v>9878</v>
      </c>
      <c r="P692" s="120"/>
    </row>
    <row r="693" spans="1:16">
      <c r="A693" s="215" t="s">
        <v>1440</v>
      </c>
      <c r="B693" s="214" t="s">
        <v>1437</v>
      </c>
      <c r="C693" s="222" t="s">
        <v>1436</v>
      </c>
      <c r="D693" s="222" t="s">
        <v>1438</v>
      </c>
      <c r="E693" s="222" t="s">
        <v>5182</v>
      </c>
      <c r="F693" s="214" t="s">
        <v>5183</v>
      </c>
      <c r="G693" s="214" t="s">
        <v>5184</v>
      </c>
      <c r="H693" s="214" t="s">
        <v>5185</v>
      </c>
      <c r="I693" s="214" t="s">
        <v>5186</v>
      </c>
      <c r="J693" s="214" t="s">
        <v>5187</v>
      </c>
      <c r="K693" s="214" t="s">
        <v>9338</v>
      </c>
      <c r="L693" s="214" t="s">
        <v>10634</v>
      </c>
      <c r="M693" s="214" t="s">
        <v>9878</v>
      </c>
      <c r="P693" s="120"/>
    </row>
    <row r="694" spans="1:16">
      <c r="A694" s="214" t="s">
        <v>1441</v>
      </c>
      <c r="B694" s="214" t="s">
        <v>1112</v>
      </c>
      <c r="C694" s="222" t="s">
        <v>1111</v>
      </c>
      <c r="D694" s="222" t="s">
        <v>1113</v>
      </c>
      <c r="E694" s="222" t="s">
        <v>5009</v>
      </c>
      <c r="F694" s="214" t="s">
        <v>4902</v>
      </c>
      <c r="G694" s="214" t="s">
        <v>4903</v>
      </c>
      <c r="H694" s="214" t="s">
        <v>4904</v>
      </c>
      <c r="I694" s="214" t="s">
        <v>4905</v>
      </c>
      <c r="J694" s="214" t="s">
        <v>4906</v>
      </c>
      <c r="K694" s="223" t="s">
        <v>9298</v>
      </c>
      <c r="L694" s="214" t="s">
        <v>10594</v>
      </c>
      <c r="M694" s="214" t="s">
        <v>9878</v>
      </c>
      <c r="P694" s="120"/>
    </row>
    <row r="695" spans="1:16">
      <c r="A695" s="215" t="s">
        <v>1442</v>
      </c>
      <c r="B695" s="214" t="s">
        <v>1112</v>
      </c>
      <c r="C695" s="222" t="s">
        <v>1111</v>
      </c>
      <c r="D695" s="222" t="s">
        <v>1113</v>
      </c>
      <c r="E695" s="222" t="s">
        <v>5009</v>
      </c>
      <c r="F695" s="214" t="s">
        <v>4902</v>
      </c>
      <c r="G695" s="214" t="s">
        <v>4903</v>
      </c>
      <c r="H695" s="214" t="s">
        <v>4904</v>
      </c>
      <c r="I695" s="214" t="s">
        <v>4905</v>
      </c>
      <c r="J695" s="214" t="s">
        <v>4906</v>
      </c>
      <c r="K695" s="223" t="s">
        <v>9298</v>
      </c>
      <c r="L695" s="214" t="s">
        <v>10594</v>
      </c>
      <c r="M695" s="214" t="s">
        <v>9878</v>
      </c>
      <c r="P695" s="120"/>
    </row>
    <row r="696" spans="1:16">
      <c r="A696" s="215" t="s">
        <v>1443</v>
      </c>
      <c r="B696" s="214" t="s">
        <v>1112</v>
      </c>
      <c r="C696" s="222" t="s">
        <v>1111</v>
      </c>
      <c r="D696" s="222" t="s">
        <v>1113</v>
      </c>
      <c r="E696" s="222" t="s">
        <v>5009</v>
      </c>
      <c r="F696" s="214" t="s">
        <v>4902</v>
      </c>
      <c r="G696" s="214" t="s">
        <v>4903</v>
      </c>
      <c r="H696" s="214" t="s">
        <v>4904</v>
      </c>
      <c r="I696" s="214" t="s">
        <v>4905</v>
      </c>
      <c r="J696" s="214" t="s">
        <v>4906</v>
      </c>
      <c r="K696" s="223" t="s">
        <v>9298</v>
      </c>
      <c r="L696" s="214" t="s">
        <v>10594</v>
      </c>
      <c r="M696" s="214" t="s">
        <v>9878</v>
      </c>
      <c r="P696" s="120"/>
    </row>
    <row r="697" spans="1:16">
      <c r="A697" s="214" t="s">
        <v>1444</v>
      </c>
      <c r="B697" s="214" t="s">
        <v>1437</v>
      </c>
      <c r="C697" s="222" t="s">
        <v>1436</v>
      </c>
      <c r="D697" s="222" t="s">
        <v>1438</v>
      </c>
      <c r="E697" s="222" t="s">
        <v>5182</v>
      </c>
      <c r="F697" s="214" t="s">
        <v>5183</v>
      </c>
      <c r="G697" s="214" t="s">
        <v>5184</v>
      </c>
      <c r="H697" s="214" t="s">
        <v>5188</v>
      </c>
      <c r="I697" s="214" t="s">
        <v>5186</v>
      </c>
      <c r="J697" s="214" t="s">
        <v>5189</v>
      </c>
      <c r="K697" s="223" t="s">
        <v>9338</v>
      </c>
      <c r="L697" s="214" t="s">
        <v>10634</v>
      </c>
      <c r="M697" s="214" t="s">
        <v>9992</v>
      </c>
      <c r="P697" s="120"/>
    </row>
    <row r="698" spans="1:16">
      <c r="A698" s="214" t="s">
        <v>1445</v>
      </c>
      <c r="B698" s="214" t="s">
        <v>401</v>
      </c>
      <c r="C698" s="222" t="s">
        <v>400</v>
      </c>
      <c r="D698" s="222" t="s">
        <v>402</v>
      </c>
      <c r="E698" s="222" t="s">
        <v>3715</v>
      </c>
      <c r="F698" s="214" t="s">
        <v>3716</v>
      </c>
      <c r="G698" s="214" t="s">
        <v>5144</v>
      </c>
      <c r="H698" s="214" t="s">
        <v>3718</v>
      </c>
      <c r="I698" s="214" t="s">
        <v>3719</v>
      </c>
      <c r="J698" s="214" t="s">
        <v>3720</v>
      </c>
      <c r="K698" s="214" t="s">
        <v>9164</v>
      </c>
      <c r="L698" s="214" t="s">
        <v>10413</v>
      </c>
      <c r="M698" s="214" t="s">
        <v>9985</v>
      </c>
      <c r="P698" s="120"/>
    </row>
    <row r="699" spans="1:16">
      <c r="A699" s="215" t="s">
        <v>1446</v>
      </c>
      <c r="B699" s="214" t="s">
        <v>1112</v>
      </c>
      <c r="C699" s="222" t="s">
        <v>1111</v>
      </c>
      <c r="D699" s="222" t="s">
        <v>1113</v>
      </c>
      <c r="E699" s="222" t="s">
        <v>5009</v>
      </c>
      <c r="F699" s="214" t="s">
        <v>4902</v>
      </c>
      <c r="G699" s="214" t="s">
        <v>4903</v>
      </c>
      <c r="H699" s="214" t="s">
        <v>4840</v>
      </c>
      <c r="I699" s="214" t="s">
        <v>4905</v>
      </c>
      <c r="J699" s="214" t="s">
        <v>4906</v>
      </c>
      <c r="K699" s="214" t="s">
        <v>9298</v>
      </c>
      <c r="L699" s="214" t="s">
        <v>10594</v>
      </c>
      <c r="M699" s="214" t="s">
        <v>9948</v>
      </c>
      <c r="P699" s="120"/>
    </row>
    <row r="700" spans="1:16">
      <c r="A700" s="214" t="s">
        <v>1447</v>
      </c>
      <c r="B700" s="214" t="s">
        <v>1112</v>
      </c>
      <c r="C700" s="222" t="s">
        <v>1111</v>
      </c>
      <c r="D700" s="222" t="s">
        <v>1113</v>
      </c>
      <c r="E700" s="222" t="s">
        <v>5009</v>
      </c>
      <c r="F700" s="214" t="s">
        <v>4902</v>
      </c>
      <c r="G700" s="214" t="s">
        <v>4903</v>
      </c>
      <c r="H700" s="214" t="s">
        <v>4840</v>
      </c>
      <c r="I700" s="214" t="s">
        <v>4905</v>
      </c>
      <c r="J700" s="214" t="s">
        <v>4906</v>
      </c>
      <c r="K700" s="214" t="s">
        <v>9298</v>
      </c>
      <c r="L700" s="214" t="s">
        <v>10594</v>
      </c>
      <c r="M700" s="214" t="s">
        <v>9948</v>
      </c>
      <c r="P700" s="120"/>
    </row>
    <row r="701" spans="1:16">
      <c r="A701" s="214" t="s">
        <v>2366</v>
      </c>
      <c r="B701" s="214" t="s">
        <v>2621</v>
      </c>
      <c r="C701" s="222" t="s">
        <v>2735</v>
      </c>
      <c r="D701" s="222" t="s">
        <v>2790</v>
      </c>
      <c r="E701" s="222" t="s">
        <v>5176</v>
      </c>
      <c r="F701" s="214" t="s">
        <v>5177</v>
      </c>
      <c r="G701" s="214" t="s">
        <v>5178</v>
      </c>
      <c r="H701" s="214" t="s">
        <v>5179</v>
      </c>
      <c r="I701" s="214" t="s">
        <v>5180</v>
      </c>
      <c r="J701" s="214" t="s">
        <v>5181</v>
      </c>
      <c r="K701" s="214" t="s">
        <v>9337</v>
      </c>
      <c r="L701" s="214" t="s">
        <v>10633</v>
      </c>
      <c r="M701" s="214" t="s">
        <v>9993</v>
      </c>
      <c r="P701" s="120"/>
    </row>
    <row r="702" spans="1:16">
      <c r="A702" s="214" t="s">
        <v>5190</v>
      </c>
      <c r="B702" s="214" t="s">
        <v>1020</v>
      </c>
      <c r="C702" s="222" t="s">
        <v>1004</v>
      </c>
      <c r="D702" s="222" t="s">
        <v>1021</v>
      </c>
      <c r="E702" s="222" t="s">
        <v>4837</v>
      </c>
      <c r="F702" s="214" t="s">
        <v>4838</v>
      </c>
      <c r="G702" s="214" t="s">
        <v>4839</v>
      </c>
      <c r="H702" s="214" t="s">
        <v>4840</v>
      </c>
      <c r="I702" s="214" t="s">
        <v>4841</v>
      </c>
      <c r="J702" s="214" t="s">
        <v>4915</v>
      </c>
      <c r="K702" s="214" t="s">
        <v>9289</v>
      </c>
      <c r="L702" s="214" t="s">
        <v>10585</v>
      </c>
      <c r="M702" s="214" t="s">
        <v>9939</v>
      </c>
      <c r="P702" s="120"/>
    </row>
    <row r="703" spans="1:16">
      <c r="A703" s="214" t="s">
        <v>1448</v>
      </c>
      <c r="B703" s="214" t="s">
        <v>1020</v>
      </c>
      <c r="C703" s="222" t="s">
        <v>1004</v>
      </c>
      <c r="D703" s="222" t="s">
        <v>1021</v>
      </c>
      <c r="E703" s="222" t="s">
        <v>4837</v>
      </c>
      <c r="F703" s="214" t="s">
        <v>4838</v>
      </c>
      <c r="G703" s="214" t="s">
        <v>4839</v>
      </c>
      <c r="H703" s="214" t="s">
        <v>4840</v>
      </c>
      <c r="I703" s="214" t="s">
        <v>4841</v>
      </c>
      <c r="J703" s="214" t="s">
        <v>4915</v>
      </c>
      <c r="K703" s="214" t="s">
        <v>9289</v>
      </c>
      <c r="L703" s="214" t="s">
        <v>10585</v>
      </c>
      <c r="M703" s="214" t="s">
        <v>9939</v>
      </c>
      <c r="P703" s="120"/>
    </row>
    <row r="704" spans="1:16">
      <c r="A704" s="214" t="s">
        <v>1450</v>
      </c>
      <c r="B704" s="214" t="s">
        <v>1020</v>
      </c>
      <c r="C704" s="222" t="s">
        <v>1004</v>
      </c>
      <c r="D704" s="222" t="s">
        <v>1021</v>
      </c>
      <c r="E704" s="222" t="s">
        <v>4837</v>
      </c>
      <c r="F704" s="214" t="s">
        <v>4838</v>
      </c>
      <c r="G704" s="214" t="s">
        <v>4839</v>
      </c>
      <c r="H704" s="214" t="s">
        <v>4840</v>
      </c>
      <c r="I704" s="214" t="s">
        <v>4841</v>
      </c>
      <c r="J704" s="214" t="s">
        <v>4915</v>
      </c>
      <c r="K704" s="214" t="s">
        <v>9289</v>
      </c>
      <c r="L704" s="214" t="s">
        <v>10585</v>
      </c>
      <c r="M704" s="214" t="s">
        <v>9939</v>
      </c>
      <c r="P704" s="120"/>
    </row>
    <row r="705" spans="1:16">
      <c r="A705" s="214" t="s">
        <v>1453</v>
      </c>
      <c r="B705" s="214" t="s">
        <v>1020</v>
      </c>
      <c r="C705" s="222" t="s">
        <v>1004</v>
      </c>
      <c r="D705" s="222" t="s">
        <v>1021</v>
      </c>
      <c r="E705" s="222" t="s">
        <v>4837</v>
      </c>
      <c r="F705" s="214" t="s">
        <v>4838</v>
      </c>
      <c r="G705" s="214" t="s">
        <v>4839</v>
      </c>
      <c r="H705" s="214" t="s">
        <v>4840</v>
      </c>
      <c r="I705" s="214" t="s">
        <v>4841</v>
      </c>
      <c r="J705" s="214" t="s">
        <v>4915</v>
      </c>
      <c r="K705" s="214" t="s">
        <v>9289</v>
      </c>
      <c r="L705" s="214" t="s">
        <v>10585</v>
      </c>
      <c r="M705" s="214" t="s">
        <v>9939</v>
      </c>
      <c r="P705" s="120"/>
    </row>
    <row r="706" spans="1:16">
      <c r="A706" s="214" t="s">
        <v>1452</v>
      </c>
      <c r="B706" s="214" t="s">
        <v>1020</v>
      </c>
      <c r="C706" s="222" t="s">
        <v>1004</v>
      </c>
      <c r="D706" s="222" t="s">
        <v>1021</v>
      </c>
      <c r="E706" s="222" t="s">
        <v>4837</v>
      </c>
      <c r="F706" s="214" t="s">
        <v>4838</v>
      </c>
      <c r="G706" s="214" t="s">
        <v>4839</v>
      </c>
      <c r="H706" s="214" t="s">
        <v>4840</v>
      </c>
      <c r="I706" s="214" t="s">
        <v>4841</v>
      </c>
      <c r="J706" s="214" t="s">
        <v>4915</v>
      </c>
      <c r="K706" s="214" t="s">
        <v>9289</v>
      </c>
      <c r="L706" s="214" t="s">
        <v>10585</v>
      </c>
      <c r="M706" s="214" t="s">
        <v>9939</v>
      </c>
      <c r="P706" s="120"/>
    </row>
    <row r="707" spans="1:16">
      <c r="A707" s="214" t="s">
        <v>1454</v>
      </c>
      <c r="B707" s="214" t="s">
        <v>1279</v>
      </c>
      <c r="C707" s="222" t="s">
        <v>1278</v>
      </c>
      <c r="D707" s="222" t="s">
        <v>1280</v>
      </c>
      <c r="E707" s="222" t="s">
        <v>5029</v>
      </c>
      <c r="F707" s="214" t="s">
        <v>5030</v>
      </c>
      <c r="G707" s="214" t="s">
        <v>5031</v>
      </c>
      <c r="H707" s="214" t="s">
        <v>5032</v>
      </c>
      <c r="I707" s="214" t="s">
        <v>5033</v>
      </c>
      <c r="J707" s="214" t="s">
        <v>5034</v>
      </c>
      <c r="K707" s="214" t="s">
        <v>9316</v>
      </c>
      <c r="L707" s="214" t="s">
        <v>10613</v>
      </c>
      <c r="M707" s="214" t="s">
        <v>9968</v>
      </c>
      <c r="P707" s="120"/>
    </row>
    <row r="708" spans="1:16">
      <c r="A708" s="214" t="s">
        <v>1455</v>
      </c>
      <c r="B708" s="214" t="s">
        <v>1158</v>
      </c>
      <c r="C708" s="222" t="s">
        <v>1157</v>
      </c>
      <c r="D708" s="222" t="s">
        <v>1159</v>
      </c>
      <c r="E708" s="222" t="s">
        <v>4843</v>
      </c>
      <c r="F708" s="214" t="s">
        <v>4844</v>
      </c>
      <c r="G708" s="214" t="s">
        <v>4845</v>
      </c>
      <c r="H708" s="214" t="s">
        <v>4846</v>
      </c>
      <c r="I708" s="214" t="s">
        <v>4847</v>
      </c>
      <c r="J708" s="214" t="s">
        <v>4938</v>
      </c>
      <c r="K708" s="214" t="s">
        <v>9290</v>
      </c>
      <c r="L708" s="214" t="s">
        <v>10586</v>
      </c>
      <c r="M708" s="214" t="s">
        <v>9940</v>
      </c>
      <c r="P708" s="120"/>
    </row>
    <row r="709" spans="1:16">
      <c r="A709" s="214" t="s">
        <v>2368</v>
      </c>
      <c r="B709" s="214" t="s">
        <v>1158</v>
      </c>
      <c r="C709" s="222" t="s">
        <v>1157</v>
      </c>
      <c r="D709" s="222" t="s">
        <v>1159</v>
      </c>
      <c r="E709" s="222" t="s">
        <v>4843</v>
      </c>
      <c r="F709" s="214" t="s">
        <v>4844</v>
      </c>
      <c r="G709" s="214" t="s">
        <v>4845</v>
      </c>
      <c r="H709" s="214" t="s">
        <v>4846</v>
      </c>
      <c r="I709" s="214" t="s">
        <v>4847</v>
      </c>
      <c r="J709" s="214" t="s">
        <v>4938</v>
      </c>
      <c r="K709" s="214" t="s">
        <v>9290</v>
      </c>
      <c r="L709" s="214" t="s">
        <v>10586</v>
      </c>
      <c r="M709" s="214" t="s">
        <v>9940</v>
      </c>
      <c r="P709" s="120"/>
    </row>
    <row r="710" spans="1:16">
      <c r="A710" s="214" t="s">
        <v>1456</v>
      </c>
      <c r="B710" s="214" t="s">
        <v>1363</v>
      </c>
      <c r="C710" s="222" t="s">
        <v>1362</v>
      </c>
      <c r="D710" s="222" t="s">
        <v>1364</v>
      </c>
      <c r="E710" s="222" t="s">
        <v>5116</v>
      </c>
      <c r="F710" s="214" t="s">
        <v>5117</v>
      </c>
      <c r="G710" s="214" t="s">
        <v>4870</v>
      </c>
      <c r="H710" s="214" t="s">
        <v>5192</v>
      </c>
      <c r="I710" s="214" t="s">
        <v>5120</v>
      </c>
      <c r="J710" s="214" t="s">
        <v>5193</v>
      </c>
      <c r="K710" s="214" t="s">
        <v>9328</v>
      </c>
      <c r="L710" s="214" t="s">
        <v>10624</v>
      </c>
      <c r="M710" s="214" t="s">
        <v>9994</v>
      </c>
      <c r="P710" s="120"/>
    </row>
    <row r="711" spans="1:16">
      <c r="A711" s="214" t="s">
        <v>2369</v>
      </c>
      <c r="B711" s="214" t="s">
        <v>1158</v>
      </c>
      <c r="C711" s="222" t="s">
        <v>1157</v>
      </c>
      <c r="D711" s="222" t="s">
        <v>1159</v>
      </c>
      <c r="E711" s="222" t="s">
        <v>4843</v>
      </c>
      <c r="F711" s="214" t="s">
        <v>4844</v>
      </c>
      <c r="G711" s="214" t="s">
        <v>4845</v>
      </c>
      <c r="H711" s="214" t="s">
        <v>4846</v>
      </c>
      <c r="I711" s="214" t="s">
        <v>4847</v>
      </c>
      <c r="J711" s="214" t="s">
        <v>4938</v>
      </c>
      <c r="K711" s="214" t="s">
        <v>9290</v>
      </c>
      <c r="L711" s="214" t="s">
        <v>10586</v>
      </c>
      <c r="M711" s="214" t="s">
        <v>9940</v>
      </c>
      <c r="P711" s="120"/>
    </row>
    <row r="712" spans="1:16">
      <c r="A712" s="214" t="s">
        <v>1457</v>
      </c>
      <c r="B712" s="214" t="s">
        <v>1279</v>
      </c>
      <c r="C712" s="222" t="s">
        <v>1278</v>
      </c>
      <c r="D712" s="222" t="s">
        <v>1280</v>
      </c>
      <c r="E712" s="222" t="s">
        <v>5029</v>
      </c>
      <c r="F712" s="214" t="s">
        <v>5030</v>
      </c>
      <c r="G712" s="214" t="s">
        <v>5031</v>
      </c>
      <c r="H712" s="214" t="s">
        <v>5032</v>
      </c>
      <c r="I712" s="214" t="s">
        <v>5033</v>
      </c>
      <c r="J712" s="214" t="s">
        <v>5034</v>
      </c>
      <c r="K712" s="214" t="s">
        <v>9316</v>
      </c>
      <c r="L712" s="214" t="s">
        <v>10613</v>
      </c>
      <c r="M712" s="214" t="s">
        <v>9968</v>
      </c>
      <c r="P712" s="120"/>
    </row>
    <row r="713" spans="1:16">
      <c r="A713" s="214" t="s">
        <v>2371</v>
      </c>
      <c r="B713" s="214" t="s">
        <v>1460</v>
      </c>
      <c r="C713" s="222" t="s">
        <v>1459</v>
      </c>
      <c r="D713" s="222" t="s">
        <v>1461</v>
      </c>
      <c r="E713" s="222" t="s">
        <v>5194</v>
      </c>
      <c r="F713" s="214" t="s">
        <v>5195</v>
      </c>
      <c r="G713" s="214" t="s">
        <v>5196</v>
      </c>
      <c r="H713" s="214" t="s">
        <v>5197</v>
      </c>
      <c r="I713" s="214" t="s">
        <v>5198</v>
      </c>
      <c r="J713" s="214" t="s">
        <v>5199</v>
      </c>
      <c r="K713" s="214" t="s">
        <v>9339</v>
      </c>
      <c r="L713" s="214" t="s">
        <v>10635</v>
      </c>
      <c r="M713" s="214" t="s">
        <v>9995</v>
      </c>
      <c r="P713" s="120"/>
    </row>
    <row r="714" spans="1:16">
      <c r="A714" s="214" t="s">
        <v>2519</v>
      </c>
      <c r="B714" s="214" t="s">
        <v>2621</v>
      </c>
      <c r="C714" s="222" t="s">
        <v>2735</v>
      </c>
      <c r="D714" s="222" t="s">
        <v>2790</v>
      </c>
      <c r="E714" s="222" t="s">
        <v>5176</v>
      </c>
      <c r="F714" s="214" t="s">
        <v>5177</v>
      </c>
      <c r="G714" s="214" t="s">
        <v>5178</v>
      </c>
      <c r="H714" s="214" t="s">
        <v>5200</v>
      </c>
      <c r="I714" s="214" t="s">
        <v>5180</v>
      </c>
      <c r="J714" s="214" t="s">
        <v>5181</v>
      </c>
      <c r="K714" s="214" t="s">
        <v>9340</v>
      </c>
      <c r="L714" s="214" t="s">
        <v>10633</v>
      </c>
      <c r="M714" s="214" t="s">
        <v>9993</v>
      </c>
      <c r="P714" s="120"/>
    </row>
    <row r="715" spans="1:16">
      <c r="A715" s="214" t="s">
        <v>5201</v>
      </c>
      <c r="B715" s="214" t="s">
        <v>1020</v>
      </c>
      <c r="C715" s="222" t="s">
        <v>1004</v>
      </c>
      <c r="D715" s="222" t="s">
        <v>1021</v>
      </c>
      <c r="E715" s="222" t="s">
        <v>4837</v>
      </c>
      <c r="F715" s="214" t="s">
        <v>4838</v>
      </c>
      <c r="G715" s="214" t="s">
        <v>4839</v>
      </c>
      <c r="H715" s="214" t="s">
        <v>4840</v>
      </c>
      <c r="I715" s="214" t="s">
        <v>4841</v>
      </c>
      <c r="J715" s="214" t="s">
        <v>4917</v>
      </c>
      <c r="K715" s="214" t="s">
        <v>9289</v>
      </c>
      <c r="L715" s="214" t="s">
        <v>10585</v>
      </c>
      <c r="M715" s="214" t="s">
        <v>9939</v>
      </c>
      <c r="P715" s="120"/>
    </row>
    <row r="716" spans="1:16">
      <c r="A716" s="214" t="s">
        <v>2520</v>
      </c>
      <c r="B716" s="214" t="s">
        <v>1020</v>
      </c>
      <c r="C716" s="222" t="s">
        <v>1004</v>
      </c>
      <c r="D716" s="222" t="s">
        <v>1021</v>
      </c>
      <c r="E716" s="222" t="s">
        <v>4837</v>
      </c>
      <c r="F716" s="214" t="s">
        <v>4838</v>
      </c>
      <c r="G716" s="214" t="s">
        <v>4839</v>
      </c>
      <c r="H716" s="214" t="s">
        <v>4840</v>
      </c>
      <c r="I716" s="214" t="s">
        <v>4841</v>
      </c>
      <c r="J716" s="214" t="s">
        <v>4915</v>
      </c>
      <c r="K716" s="214" t="s">
        <v>9289</v>
      </c>
      <c r="L716" s="214" t="s">
        <v>10585</v>
      </c>
      <c r="M716" s="214" t="s">
        <v>9939</v>
      </c>
      <c r="P716" s="120"/>
    </row>
    <row r="717" spans="1:16">
      <c r="A717" s="214" t="s">
        <v>2521</v>
      </c>
      <c r="B717" s="214" t="s">
        <v>1020</v>
      </c>
      <c r="C717" s="222" t="s">
        <v>1004</v>
      </c>
      <c r="D717" s="222" t="s">
        <v>1021</v>
      </c>
      <c r="E717" s="222" t="s">
        <v>4837</v>
      </c>
      <c r="F717" s="214" t="s">
        <v>4838</v>
      </c>
      <c r="G717" s="214" t="s">
        <v>4839</v>
      </c>
      <c r="H717" s="214" t="s">
        <v>4840</v>
      </c>
      <c r="I717" s="214" t="s">
        <v>4841</v>
      </c>
      <c r="J717" s="214" t="s">
        <v>4915</v>
      </c>
      <c r="K717" s="214" t="s">
        <v>9289</v>
      </c>
      <c r="L717" s="214" t="s">
        <v>10585</v>
      </c>
      <c r="M717" s="214" t="s">
        <v>9939</v>
      </c>
      <c r="P717" s="120"/>
    </row>
    <row r="718" spans="1:16">
      <c r="A718" s="214" t="s">
        <v>2522</v>
      </c>
      <c r="B718" s="214" t="s">
        <v>1020</v>
      </c>
      <c r="C718" s="222" t="s">
        <v>1004</v>
      </c>
      <c r="D718" s="222" t="s">
        <v>1021</v>
      </c>
      <c r="E718" s="222" t="s">
        <v>4837</v>
      </c>
      <c r="F718" s="214" t="s">
        <v>4838</v>
      </c>
      <c r="G718" s="214" t="s">
        <v>4839</v>
      </c>
      <c r="H718" s="214" t="s">
        <v>4840</v>
      </c>
      <c r="I718" s="214" t="s">
        <v>4841</v>
      </c>
      <c r="J718" s="214" t="s">
        <v>4915</v>
      </c>
      <c r="K718" s="214" t="s">
        <v>9289</v>
      </c>
      <c r="L718" s="214" t="s">
        <v>10585</v>
      </c>
      <c r="M718" s="214" t="s">
        <v>9939</v>
      </c>
      <c r="P718" s="120"/>
    </row>
    <row r="719" spans="1:16">
      <c r="A719" s="214" t="s">
        <v>2523</v>
      </c>
      <c r="B719" s="214" t="s">
        <v>1020</v>
      </c>
      <c r="C719" s="222" t="s">
        <v>1004</v>
      </c>
      <c r="D719" s="222" t="s">
        <v>1021</v>
      </c>
      <c r="E719" s="222" t="s">
        <v>4837</v>
      </c>
      <c r="F719" s="214" t="s">
        <v>4838</v>
      </c>
      <c r="G719" s="214" t="s">
        <v>4839</v>
      </c>
      <c r="H719" s="214" t="s">
        <v>4840</v>
      </c>
      <c r="I719" s="214" t="s">
        <v>4841</v>
      </c>
      <c r="J719" s="214" t="s">
        <v>4917</v>
      </c>
      <c r="K719" s="214" t="s">
        <v>9289</v>
      </c>
      <c r="L719" s="214" t="s">
        <v>10585</v>
      </c>
      <c r="M719" s="214" t="s">
        <v>9939</v>
      </c>
      <c r="P719" s="120"/>
    </row>
    <row r="720" spans="1:16">
      <c r="A720" s="214" t="s">
        <v>2524</v>
      </c>
      <c r="B720" s="214" t="s">
        <v>1279</v>
      </c>
      <c r="C720" s="222" t="s">
        <v>1278</v>
      </c>
      <c r="D720" s="222" t="s">
        <v>1280</v>
      </c>
      <c r="E720" s="222" t="s">
        <v>5029</v>
      </c>
      <c r="F720" s="214" t="s">
        <v>5030</v>
      </c>
      <c r="G720" s="214" t="s">
        <v>5031</v>
      </c>
      <c r="H720" s="214" t="s">
        <v>5032</v>
      </c>
      <c r="I720" s="214" t="s">
        <v>5033</v>
      </c>
      <c r="J720" s="214" t="s">
        <v>5063</v>
      </c>
      <c r="K720" s="214" t="s">
        <v>9316</v>
      </c>
      <c r="L720" s="214" t="s">
        <v>10613</v>
      </c>
      <c r="M720" s="214" t="s">
        <v>9968</v>
      </c>
      <c r="P720" s="120"/>
    </row>
    <row r="721" spans="1:16">
      <c r="A721" s="214" t="s">
        <v>2525</v>
      </c>
      <c r="B721" s="214" t="s">
        <v>1158</v>
      </c>
      <c r="C721" s="222" t="s">
        <v>1157</v>
      </c>
      <c r="D721" s="222" t="s">
        <v>1159</v>
      </c>
      <c r="E721" s="222" t="s">
        <v>4843</v>
      </c>
      <c r="F721" s="214" t="s">
        <v>4844</v>
      </c>
      <c r="G721" s="214" t="s">
        <v>4845</v>
      </c>
      <c r="H721" s="214" t="s">
        <v>4846</v>
      </c>
      <c r="I721" s="214" t="s">
        <v>4847</v>
      </c>
      <c r="J721" s="214" t="s">
        <v>4940</v>
      </c>
      <c r="K721" s="214" t="s">
        <v>9290</v>
      </c>
      <c r="L721" s="214" t="s">
        <v>10586</v>
      </c>
      <c r="M721" s="214" t="s">
        <v>9940</v>
      </c>
      <c r="P721" s="120"/>
    </row>
    <row r="722" spans="1:16">
      <c r="A722" s="214" t="s">
        <v>2526</v>
      </c>
      <c r="B722" s="214" t="s">
        <v>1363</v>
      </c>
      <c r="C722" s="222" t="s">
        <v>1362</v>
      </c>
      <c r="D722" s="222" t="s">
        <v>1364</v>
      </c>
      <c r="E722" s="222" t="s">
        <v>5116</v>
      </c>
      <c r="F722" s="214" t="s">
        <v>5117</v>
      </c>
      <c r="G722" s="214" t="s">
        <v>5013</v>
      </c>
      <c r="H722" s="214" t="s">
        <v>5192</v>
      </c>
      <c r="I722" s="214" t="s">
        <v>5120</v>
      </c>
      <c r="J722" s="214" t="s">
        <v>5202</v>
      </c>
      <c r="K722" s="214" t="s">
        <v>9341</v>
      </c>
      <c r="L722" s="214" t="s">
        <v>10624</v>
      </c>
      <c r="M722" s="214" t="s">
        <v>9994</v>
      </c>
      <c r="P722" s="120"/>
    </row>
    <row r="723" spans="1:16">
      <c r="A723" s="214" t="s">
        <v>2527</v>
      </c>
      <c r="B723" s="214" t="s">
        <v>1158</v>
      </c>
      <c r="C723" s="222" t="s">
        <v>1157</v>
      </c>
      <c r="D723" s="222" t="s">
        <v>1159</v>
      </c>
      <c r="E723" s="222" t="s">
        <v>4843</v>
      </c>
      <c r="F723" s="214" t="s">
        <v>4844</v>
      </c>
      <c r="G723" s="214" t="s">
        <v>4845</v>
      </c>
      <c r="H723" s="214" t="s">
        <v>4846</v>
      </c>
      <c r="I723" s="214" t="s">
        <v>4847</v>
      </c>
      <c r="J723" s="214" t="s">
        <v>4938</v>
      </c>
      <c r="K723" s="214" t="s">
        <v>9290</v>
      </c>
      <c r="L723" s="214" t="s">
        <v>10586</v>
      </c>
      <c r="M723" s="214" t="s">
        <v>9940</v>
      </c>
      <c r="P723" s="120"/>
    </row>
    <row r="724" spans="1:16">
      <c r="A724" s="214" t="s">
        <v>2528</v>
      </c>
      <c r="B724" s="214" t="s">
        <v>1279</v>
      </c>
      <c r="C724" s="222" t="s">
        <v>1278</v>
      </c>
      <c r="D724" s="222" t="s">
        <v>1280</v>
      </c>
      <c r="E724" s="222" t="s">
        <v>5029</v>
      </c>
      <c r="F724" s="214" t="s">
        <v>5030</v>
      </c>
      <c r="G724" s="214" t="s">
        <v>5031</v>
      </c>
      <c r="H724" s="214" t="s">
        <v>5032</v>
      </c>
      <c r="I724" s="214" t="s">
        <v>5033</v>
      </c>
      <c r="J724" s="214" t="s">
        <v>5063</v>
      </c>
      <c r="K724" s="214" t="s">
        <v>9316</v>
      </c>
      <c r="L724" s="214" t="s">
        <v>10613</v>
      </c>
      <c r="M724" s="214" t="s">
        <v>9968</v>
      </c>
      <c r="P724" s="120"/>
    </row>
    <row r="725" spans="1:16">
      <c r="A725" s="214" t="s">
        <v>2529</v>
      </c>
      <c r="B725" s="214" t="s">
        <v>1460</v>
      </c>
      <c r="C725" s="222" t="s">
        <v>1459</v>
      </c>
      <c r="D725" s="222" t="s">
        <v>1461</v>
      </c>
      <c r="E725" s="222" t="s">
        <v>5194</v>
      </c>
      <c r="F725" s="214" t="s">
        <v>5195</v>
      </c>
      <c r="G725" s="214" t="s">
        <v>5196</v>
      </c>
      <c r="H725" s="214" t="s">
        <v>5197</v>
      </c>
      <c r="I725" s="214" t="s">
        <v>5198</v>
      </c>
      <c r="J725" s="214" t="s">
        <v>5199</v>
      </c>
      <c r="K725" s="223" t="s">
        <v>9339</v>
      </c>
      <c r="L725" s="214" t="s">
        <v>10635</v>
      </c>
      <c r="M725" s="214" t="s">
        <v>9995</v>
      </c>
      <c r="P725" s="120"/>
    </row>
    <row r="726" spans="1:16">
      <c r="A726" s="214" t="s">
        <v>1462</v>
      </c>
      <c r="B726" s="214" t="s">
        <v>1020</v>
      </c>
      <c r="C726" s="222" t="s">
        <v>1004</v>
      </c>
      <c r="D726" s="222" t="s">
        <v>1021</v>
      </c>
      <c r="E726" s="222" t="s">
        <v>4837</v>
      </c>
      <c r="F726" s="214" t="s">
        <v>4838</v>
      </c>
      <c r="G726" s="214" t="s">
        <v>4839</v>
      </c>
      <c r="H726" s="214" t="s">
        <v>4840</v>
      </c>
      <c r="I726" s="214" t="s">
        <v>4841</v>
      </c>
      <c r="J726" s="214" t="s">
        <v>4915</v>
      </c>
      <c r="K726" s="214" t="s">
        <v>9289</v>
      </c>
      <c r="L726" s="214" t="s">
        <v>10585</v>
      </c>
      <c r="M726" s="214" t="s">
        <v>9939</v>
      </c>
      <c r="P726" s="120"/>
    </row>
    <row r="727" spans="1:16">
      <c r="A727" s="214" t="s">
        <v>1463</v>
      </c>
      <c r="B727" s="214" t="s">
        <v>1020</v>
      </c>
      <c r="C727" s="222" t="s">
        <v>1004</v>
      </c>
      <c r="D727" s="222" t="s">
        <v>1021</v>
      </c>
      <c r="E727" s="222" t="s">
        <v>4837</v>
      </c>
      <c r="F727" s="214" t="s">
        <v>4838</v>
      </c>
      <c r="G727" s="214" t="s">
        <v>4839</v>
      </c>
      <c r="H727" s="214" t="s">
        <v>4840</v>
      </c>
      <c r="I727" s="214" t="s">
        <v>4841</v>
      </c>
      <c r="J727" s="214" t="s">
        <v>4915</v>
      </c>
      <c r="K727" s="214" t="s">
        <v>9289</v>
      </c>
      <c r="L727" s="214" t="s">
        <v>10585</v>
      </c>
      <c r="M727" s="214" t="s">
        <v>9939</v>
      </c>
      <c r="P727" s="120"/>
    </row>
    <row r="728" spans="1:16">
      <c r="A728" s="214" t="s">
        <v>5203</v>
      </c>
      <c r="B728" s="214" t="s">
        <v>1020</v>
      </c>
      <c r="C728" s="222" t="s">
        <v>1004</v>
      </c>
      <c r="D728" s="222" t="s">
        <v>1021</v>
      </c>
      <c r="E728" s="222" t="s">
        <v>4837</v>
      </c>
      <c r="F728" s="214" t="s">
        <v>4838</v>
      </c>
      <c r="G728" s="214" t="s">
        <v>4839</v>
      </c>
      <c r="H728" s="214" t="s">
        <v>4840</v>
      </c>
      <c r="I728" s="214" t="s">
        <v>4841</v>
      </c>
      <c r="J728" s="214" t="s">
        <v>4917</v>
      </c>
      <c r="K728" s="214" t="s">
        <v>9289</v>
      </c>
      <c r="L728" s="214" t="s">
        <v>10585</v>
      </c>
      <c r="M728" s="214" t="s">
        <v>9939</v>
      </c>
      <c r="P728" s="120"/>
    </row>
    <row r="729" spans="1:16">
      <c r="A729" s="214" t="s">
        <v>1464</v>
      </c>
      <c r="B729" s="214" t="s">
        <v>1020</v>
      </c>
      <c r="C729" s="222" t="s">
        <v>1004</v>
      </c>
      <c r="D729" s="222" t="s">
        <v>1021</v>
      </c>
      <c r="E729" s="222" t="s">
        <v>4837</v>
      </c>
      <c r="F729" s="214" t="s">
        <v>4838</v>
      </c>
      <c r="G729" s="214" t="s">
        <v>4839</v>
      </c>
      <c r="H729" s="214" t="s">
        <v>4840</v>
      </c>
      <c r="I729" s="214" t="s">
        <v>4841</v>
      </c>
      <c r="J729" s="214" t="s">
        <v>4915</v>
      </c>
      <c r="K729" s="214" t="s">
        <v>9289</v>
      </c>
      <c r="L729" s="214" t="s">
        <v>10585</v>
      </c>
      <c r="M729" s="214" t="s">
        <v>9939</v>
      </c>
      <c r="P729" s="120"/>
    </row>
    <row r="730" spans="1:16">
      <c r="A730" s="214" t="s">
        <v>1465</v>
      </c>
      <c r="B730" s="214" t="s">
        <v>1020</v>
      </c>
      <c r="C730" s="222" t="s">
        <v>1004</v>
      </c>
      <c r="D730" s="222" t="s">
        <v>1021</v>
      </c>
      <c r="E730" s="222" t="s">
        <v>4837</v>
      </c>
      <c r="F730" s="214" t="s">
        <v>4838</v>
      </c>
      <c r="G730" s="214" t="s">
        <v>5204</v>
      </c>
      <c r="H730" s="214" t="s">
        <v>4840</v>
      </c>
      <c r="I730" s="214" t="s">
        <v>4841</v>
      </c>
      <c r="J730" s="214" t="s">
        <v>4915</v>
      </c>
      <c r="K730" s="214" t="s">
        <v>9289</v>
      </c>
      <c r="L730" s="214" t="s">
        <v>10585</v>
      </c>
      <c r="M730" s="214" t="s">
        <v>9939</v>
      </c>
      <c r="P730" s="120"/>
    </row>
    <row r="731" spans="1:16">
      <c r="A731" s="214" t="s">
        <v>5205</v>
      </c>
      <c r="B731" s="214" t="s">
        <v>1020</v>
      </c>
      <c r="C731" s="222" t="s">
        <v>1004</v>
      </c>
      <c r="D731" s="222" t="s">
        <v>1021</v>
      </c>
      <c r="E731" s="222" t="s">
        <v>4837</v>
      </c>
      <c r="F731" s="214" t="s">
        <v>4838</v>
      </c>
      <c r="G731" s="214" t="s">
        <v>4839</v>
      </c>
      <c r="H731" s="214" t="s">
        <v>4840</v>
      </c>
      <c r="I731" s="214" t="s">
        <v>4841</v>
      </c>
      <c r="J731" s="214" t="s">
        <v>4917</v>
      </c>
      <c r="K731" s="214" t="s">
        <v>9289</v>
      </c>
      <c r="L731" s="214" t="s">
        <v>10585</v>
      </c>
      <c r="M731" s="214" t="s">
        <v>9939</v>
      </c>
      <c r="P731" s="120"/>
    </row>
    <row r="732" spans="1:16">
      <c r="A732" s="214" t="s">
        <v>1466</v>
      </c>
      <c r="B732" s="214" t="s">
        <v>1020</v>
      </c>
      <c r="C732" s="222" t="s">
        <v>1004</v>
      </c>
      <c r="D732" s="222" t="s">
        <v>1021</v>
      </c>
      <c r="E732" s="222" t="s">
        <v>4837</v>
      </c>
      <c r="F732" s="214" t="s">
        <v>4838</v>
      </c>
      <c r="G732" s="214" t="s">
        <v>4839</v>
      </c>
      <c r="H732" s="214" t="s">
        <v>4840</v>
      </c>
      <c r="I732" s="214" t="s">
        <v>4841</v>
      </c>
      <c r="J732" s="214" t="s">
        <v>4917</v>
      </c>
      <c r="K732" s="223" t="s">
        <v>9289</v>
      </c>
      <c r="L732" s="214" t="s">
        <v>10636</v>
      </c>
      <c r="M732" s="214" t="s">
        <v>9939</v>
      </c>
      <c r="P732" s="120"/>
    </row>
    <row r="733" spans="1:16">
      <c r="A733" s="214" t="s">
        <v>1467</v>
      </c>
      <c r="B733" s="214" t="s">
        <v>1370</v>
      </c>
      <c r="C733" s="222" t="s">
        <v>652</v>
      </c>
      <c r="D733" s="222" t="s">
        <v>1371</v>
      </c>
      <c r="E733" s="222" t="s">
        <v>5005</v>
      </c>
      <c r="F733" s="214" t="s">
        <v>4107</v>
      </c>
      <c r="G733" s="214" t="s">
        <v>4108</v>
      </c>
      <c r="H733" s="214" t="s">
        <v>4855</v>
      </c>
      <c r="I733" s="214" t="s">
        <v>4131</v>
      </c>
      <c r="J733" s="214" t="s">
        <v>4111</v>
      </c>
      <c r="K733" s="214" t="s">
        <v>9312</v>
      </c>
      <c r="L733" s="214" t="s">
        <v>10626</v>
      </c>
      <c r="M733" s="214" t="s">
        <v>9963</v>
      </c>
      <c r="P733" s="120"/>
    </row>
    <row r="734" spans="1:16">
      <c r="A734" s="214" t="s">
        <v>1468</v>
      </c>
      <c r="B734" s="214" t="s">
        <v>2622</v>
      </c>
      <c r="C734" s="222" t="s">
        <v>1469</v>
      </c>
      <c r="D734" s="222" t="s">
        <v>1470</v>
      </c>
      <c r="E734" s="222" t="s">
        <v>5206</v>
      </c>
      <c r="F734" s="214" t="s">
        <v>5207</v>
      </c>
      <c r="G734" s="214" t="s">
        <v>5208</v>
      </c>
      <c r="H734" s="214" t="s">
        <v>5209</v>
      </c>
      <c r="I734" s="214" t="s">
        <v>5210</v>
      </c>
      <c r="J734" s="214" t="s">
        <v>5211</v>
      </c>
      <c r="K734" s="214" t="s">
        <v>9342</v>
      </c>
      <c r="L734" s="214" t="s">
        <v>10637</v>
      </c>
      <c r="M734" s="214" t="s">
        <v>9996</v>
      </c>
      <c r="P734" s="120"/>
    </row>
    <row r="735" spans="1:16">
      <c r="A735" s="214" t="s">
        <v>1471</v>
      </c>
      <c r="B735" s="214" t="s">
        <v>1020</v>
      </c>
      <c r="C735" s="222" t="s">
        <v>1004</v>
      </c>
      <c r="D735" s="222" t="s">
        <v>1021</v>
      </c>
      <c r="E735" s="222" t="s">
        <v>4837</v>
      </c>
      <c r="F735" s="214" t="s">
        <v>4838</v>
      </c>
      <c r="G735" s="214" t="s">
        <v>4839</v>
      </c>
      <c r="H735" s="214" t="s">
        <v>4840</v>
      </c>
      <c r="I735" s="214" t="s">
        <v>4841</v>
      </c>
      <c r="J735" s="214" t="s">
        <v>4915</v>
      </c>
      <c r="K735" s="214" t="s">
        <v>9289</v>
      </c>
      <c r="L735" s="214" t="s">
        <v>10585</v>
      </c>
      <c r="M735" s="214" t="s">
        <v>9939</v>
      </c>
      <c r="P735" s="120"/>
    </row>
    <row r="736" spans="1:16">
      <c r="A736" s="214" t="s">
        <v>2373</v>
      </c>
      <c r="B736" s="214" t="s">
        <v>1164</v>
      </c>
      <c r="C736" s="222" t="s">
        <v>1163</v>
      </c>
      <c r="D736" s="222" t="s">
        <v>1165</v>
      </c>
      <c r="E736" s="222" t="s">
        <v>4941</v>
      </c>
      <c r="F736" s="214" t="s">
        <v>4942</v>
      </c>
      <c r="G736" s="214" t="s">
        <v>4943</v>
      </c>
      <c r="H736" s="214" t="s">
        <v>4944</v>
      </c>
      <c r="I736" s="214" t="s">
        <v>4945</v>
      </c>
      <c r="J736" s="214" t="s">
        <v>4946</v>
      </c>
      <c r="K736" s="214" t="s">
        <v>9303</v>
      </c>
      <c r="L736" s="214" t="s">
        <v>10599</v>
      </c>
      <c r="M736" s="214" t="s">
        <v>9954</v>
      </c>
      <c r="P736" s="120"/>
    </row>
    <row r="737" spans="1:16">
      <c r="A737" s="214" t="s">
        <v>1472</v>
      </c>
      <c r="B737" s="214" t="s">
        <v>1164</v>
      </c>
      <c r="C737" s="222" t="s">
        <v>1163</v>
      </c>
      <c r="D737" s="222" t="s">
        <v>1165</v>
      </c>
      <c r="E737" s="222" t="s">
        <v>4941</v>
      </c>
      <c r="F737" s="214" t="s">
        <v>4942</v>
      </c>
      <c r="G737" s="214" t="s">
        <v>4943</v>
      </c>
      <c r="H737" s="214" t="s">
        <v>4944</v>
      </c>
      <c r="I737" s="214" t="s">
        <v>4945</v>
      </c>
      <c r="J737" s="214" t="s">
        <v>4946</v>
      </c>
      <c r="K737" s="214" t="s">
        <v>9303</v>
      </c>
      <c r="L737" s="214" t="s">
        <v>10599</v>
      </c>
      <c r="M737" s="214" t="s">
        <v>9954</v>
      </c>
      <c r="P737" s="120"/>
    </row>
    <row r="738" spans="1:16">
      <c r="A738" s="214" t="s">
        <v>1473</v>
      </c>
      <c r="B738" s="214" t="s">
        <v>1460</v>
      </c>
      <c r="C738" s="222" t="s">
        <v>1459</v>
      </c>
      <c r="D738" s="222" t="s">
        <v>1461</v>
      </c>
      <c r="E738" s="222" t="s">
        <v>5194</v>
      </c>
      <c r="F738" s="214" t="s">
        <v>5195</v>
      </c>
      <c r="G738" s="214" t="s">
        <v>5196</v>
      </c>
      <c r="H738" s="214" t="s">
        <v>5197</v>
      </c>
      <c r="I738" s="214" t="s">
        <v>5198</v>
      </c>
      <c r="J738" s="214" t="s">
        <v>5199</v>
      </c>
      <c r="K738" s="214" t="s">
        <v>9339</v>
      </c>
      <c r="L738" s="214" t="s">
        <v>10635</v>
      </c>
      <c r="M738" s="214" t="s">
        <v>9995</v>
      </c>
      <c r="P738" s="120"/>
    </row>
    <row r="739" spans="1:16">
      <c r="A739" s="214" t="s">
        <v>1474</v>
      </c>
      <c r="B739" s="214" t="s">
        <v>1460</v>
      </c>
      <c r="C739" s="222" t="s">
        <v>1459</v>
      </c>
      <c r="D739" s="222" t="s">
        <v>1461</v>
      </c>
      <c r="E739" s="222" t="s">
        <v>5194</v>
      </c>
      <c r="F739" s="214" t="s">
        <v>5195</v>
      </c>
      <c r="G739" s="214" t="s">
        <v>5196</v>
      </c>
      <c r="H739" s="214" t="s">
        <v>5197</v>
      </c>
      <c r="I739" s="214" t="s">
        <v>5198</v>
      </c>
      <c r="J739" s="214" t="s">
        <v>5199</v>
      </c>
      <c r="K739" s="214" t="s">
        <v>9339</v>
      </c>
      <c r="L739" s="214" t="s">
        <v>10635</v>
      </c>
      <c r="M739" s="214" t="s">
        <v>9995</v>
      </c>
      <c r="P739" s="120"/>
    </row>
    <row r="740" spans="1:16">
      <c r="A740" s="214" t="s">
        <v>11772</v>
      </c>
      <c r="B740" s="214" t="s">
        <v>1171</v>
      </c>
      <c r="C740" s="222" t="s">
        <v>1170</v>
      </c>
      <c r="D740" s="222" t="s">
        <v>1172</v>
      </c>
      <c r="E740" s="222" t="s">
        <v>12029</v>
      </c>
      <c r="F740" s="214" t="s">
        <v>4952</v>
      </c>
      <c r="G740" s="214" t="s">
        <v>12030</v>
      </c>
      <c r="H740" s="214" t="s">
        <v>4951</v>
      </c>
      <c r="I740" s="214" t="s">
        <v>4954</v>
      </c>
      <c r="J740" s="214" t="s">
        <v>4955</v>
      </c>
      <c r="K740" s="214" t="s">
        <v>9304</v>
      </c>
      <c r="L740" s="214" t="s">
        <v>10600</v>
      </c>
      <c r="M740" s="214" t="s">
        <v>9956</v>
      </c>
      <c r="P740" s="120"/>
    </row>
    <row r="741" spans="1:16">
      <c r="A741" s="214" t="s">
        <v>1475</v>
      </c>
      <c r="B741" s="214" t="s">
        <v>1158</v>
      </c>
      <c r="C741" s="222" t="s">
        <v>1157</v>
      </c>
      <c r="D741" s="222" t="s">
        <v>1159</v>
      </c>
      <c r="E741" s="222" t="s">
        <v>4843</v>
      </c>
      <c r="F741" s="214" t="s">
        <v>4844</v>
      </c>
      <c r="G741" s="214" t="s">
        <v>4845</v>
      </c>
      <c r="H741" s="214" t="s">
        <v>4846</v>
      </c>
      <c r="I741" s="214" t="s">
        <v>4847</v>
      </c>
      <c r="J741" s="214" t="s">
        <v>4938</v>
      </c>
      <c r="K741" s="214" t="s">
        <v>9290</v>
      </c>
      <c r="L741" s="214" t="s">
        <v>10586</v>
      </c>
      <c r="M741" s="214" t="s">
        <v>9940</v>
      </c>
      <c r="P741" s="120"/>
    </row>
    <row r="742" spans="1:16">
      <c r="A742" s="214" t="s">
        <v>1476</v>
      </c>
      <c r="B742" s="214" t="s">
        <v>1158</v>
      </c>
      <c r="C742" s="222" t="s">
        <v>1157</v>
      </c>
      <c r="D742" s="222" t="s">
        <v>1159</v>
      </c>
      <c r="E742" s="222" t="s">
        <v>4843</v>
      </c>
      <c r="F742" s="214" t="s">
        <v>4844</v>
      </c>
      <c r="G742" s="214" t="s">
        <v>4845</v>
      </c>
      <c r="H742" s="214" t="s">
        <v>4846</v>
      </c>
      <c r="I742" s="214" t="s">
        <v>4847</v>
      </c>
      <c r="J742" s="214" t="s">
        <v>4938</v>
      </c>
      <c r="K742" s="214" t="s">
        <v>9290</v>
      </c>
      <c r="L742" s="214" t="s">
        <v>10586</v>
      </c>
      <c r="M742" s="214" t="s">
        <v>9940</v>
      </c>
      <c r="P742" s="120"/>
    </row>
    <row r="743" spans="1:16">
      <c r="A743" s="214" t="s">
        <v>1477</v>
      </c>
      <c r="B743" s="214" t="s">
        <v>1158</v>
      </c>
      <c r="C743" s="222" t="s">
        <v>1157</v>
      </c>
      <c r="D743" s="222" t="s">
        <v>1159</v>
      </c>
      <c r="E743" s="222" t="s">
        <v>4843</v>
      </c>
      <c r="F743" s="214" t="s">
        <v>4844</v>
      </c>
      <c r="G743" s="214" t="s">
        <v>4845</v>
      </c>
      <c r="H743" s="214" t="s">
        <v>4846</v>
      </c>
      <c r="I743" s="214" t="s">
        <v>4847</v>
      </c>
      <c r="J743" s="214" t="s">
        <v>4938</v>
      </c>
      <c r="K743" s="214" t="s">
        <v>9290</v>
      </c>
      <c r="L743" s="214" t="s">
        <v>10586</v>
      </c>
      <c r="M743" s="214" t="s">
        <v>9940</v>
      </c>
      <c r="P743" s="120"/>
    </row>
    <row r="744" spans="1:16">
      <c r="A744" s="214" t="s">
        <v>1478</v>
      </c>
      <c r="B744" s="214" t="s">
        <v>1020</v>
      </c>
      <c r="C744" s="222" t="s">
        <v>1004</v>
      </c>
      <c r="D744" s="222" t="s">
        <v>1021</v>
      </c>
      <c r="E744" s="222" t="s">
        <v>4837</v>
      </c>
      <c r="F744" s="214" t="s">
        <v>4838</v>
      </c>
      <c r="G744" s="214" t="s">
        <v>4839</v>
      </c>
      <c r="H744" s="214" t="s">
        <v>4840</v>
      </c>
      <c r="I744" s="214" t="s">
        <v>4841</v>
      </c>
      <c r="J744" s="214" t="s">
        <v>4917</v>
      </c>
      <c r="K744" s="214" t="s">
        <v>9289</v>
      </c>
      <c r="L744" s="214" t="s">
        <v>10636</v>
      </c>
      <c r="M744" s="214" t="s">
        <v>9939</v>
      </c>
      <c r="P744" s="120"/>
    </row>
    <row r="745" spans="1:16">
      <c r="A745" s="214" t="s">
        <v>2374</v>
      </c>
      <c r="B745" s="214" t="s">
        <v>1176</v>
      </c>
      <c r="C745" s="222" t="s">
        <v>1175</v>
      </c>
      <c r="D745" s="222" t="s">
        <v>1177</v>
      </c>
      <c r="E745" s="222" t="s">
        <v>4956</v>
      </c>
      <c r="F745" s="214" t="s">
        <v>4957</v>
      </c>
      <c r="G745" s="214" t="s">
        <v>4958</v>
      </c>
      <c r="H745" s="214" t="s">
        <v>4956</v>
      </c>
      <c r="I745" s="214" t="s">
        <v>4959</v>
      </c>
      <c r="J745" s="214" t="s">
        <v>4960</v>
      </c>
      <c r="K745" s="214" t="s">
        <v>9305</v>
      </c>
      <c r="L745" s="214" t="s">
        <v>10601</v>
      </c>
      <c r="M745" s="214" t="s">
        <v>9957</v>
      </c>
      <c r="P745" s="120"/>
    </row>
    <row r="746" spans="1:16">
      <c r="A746" s="214" t="s">
        <v>1479</v>
      </c>
      <c r="B746" s="214" t="s">
        <v>1176</v>
      </c>
      <c r="C746" s="222" t="s">
        <v>1175</v>
      </c>
      <c r="D746" s="222" t="s">
        <v>1177</v>
      </c>
      <c r="E746" s="222" t="s">
        <v>4956</v>
      </c>
      <c r="F746" s="214" t="s">
        <v>4957</v>
      </c>
      <c r="G746" s="214" t="s">
        <v>4958</v>
      </c>
      <c r="H746" s="214" t="s">
        <v>4956</v>
      </c>
      <c r="I746" s="214" t="s">
        <v>4959</v>
      </c>
      <c r="J746" s="214" t="s">
        <v>4960</v>
      </c>
      <c r="K746" s="214" t="s">
        <v>9305</v>
      </c>
      <c r="L746" s="214" t="s">
        <v>10601</v>
      </c>
      <c r="M746" s="214" t="s">
        <v>9957</v>
      </c>
      <c r="P746" s="120"/>
    </row>
    <row r="747" spans="1:16">
      <c r="A747" s="214" t="s">
        <v>2530</v>
      </c>
      <c r="B747" s="214" t="s">
        <v>1020</v>
      </c>
      <c r="C747" s="222" t="s">
        <v>1004</v>
      </c>
      <c r="D747" s="222" t="s">
        <v>1021</v>
      </c>
      <c r="E747" s="222" t="s">
        <v>4837</v>
      </c>
      <c r="F747" s="214" t="s">
        <v>4838</v>
      </c>
      <c r="G747" s="214" t="s">
        <v>4839</v>
      </c>
      <c r="H747" s="214" t="s">
        <v>4840</v>
      </c>
      <c r="I747" s="214" t="s">
        <v>4841</v>
      </c>
      <c r="J747" s="214" t="s">
        <v>4915</v>
      </c>
      <c r="K747" s="214" t="s">
        <v>9289</v>
      </c>
      <c r="L747" s="214" t="s">
        <v>10585</v>
      </c>
      <c r="M747" s="214" t="s">
        <v>9939</v>
      </c>
      <c r="P747" s="120"/>
    </row>
    <row r="748" spans="1:16">
      <c r="A748" s="214" t="s">
        <v>2531</v>
      </c>
      <c r="B748" s="214" t="s">
        <v>1020</v>
      </c>
      <c r="C748" s="222" t="s">
        <v>1004</v>
      </c>
      <c r="D748" s="222" t="s">
        <v>1021</v>
      </c>
      <c r="E748" s="222" t="s">
        <v>4837</v>
      </c>
      <c r="F748" s="214" t="s">
        <v>4838</v>
      </c>
      <c r="G748" s="214" t="s">
        <v>4839</v>
      </c>
      <c r="H748" s="214" t="s">
        <v>4840</v>
      </c>
      <c r="I748" s="214" t="s">
        <v>4841</v>
      </c>
      <c r="J748" s="214" t="s">
        <v>4915</v>
      </c>
      <c r="K748" s="214" t="s">
        <v>9289</v>
      </c>
      <c r="L748" s="214" t="s">
        <v>10585</v>
      </c>
      <c r="M748" s="214" t="s">
        <v>9939</v>
      </c>
      <c r="P748" s="120"/>
    </row>
    <row r="749" spans="1:16">
      <c r="A749" s="214" t="s">
        <v>5212</v>
      </c>
      <c r="B749" s="214" t="s">
        <v>1020</v>
      </c>
      <c r="C749" s="222" t="s">
        <v>1004</v>
      </c>
      <c r="D749" s="222" t="s">
        <v>1021</v>
      </c>
      <c r="E749" s="222" t="s">
        <v>4837</v>
      </c>
      <c r="F749" s="214" t="s">
        <v>4838</v>
      </c>
      <c r="G749" s="214" t="s">
        <v>4839</v>
      </c>
      <c r="H749" s="214" t="s">
        <v>4840</v>
      </c>
      <c r="I749" s="214" t="s">
        <v>4841</v>
      </c>
      <c r="J749" s="214" t="s">
        <v>4917</v>
      </c>
      <c r="K749" s="214" t="s">
        <v>9289</v>
      </c>
      <c r="L749" s="214" t="s">
        <v>10585</v>
      </c>
      <c r="M749" s="214" t="s">
        <v>9939</v>
      </c>
      <c r="P749" s="120"/>
    </row>
    <row r="750" spans="1:16">
      <c r="A750" s="214" t="s">
        <v>2532</v>
      </c>
      <c r="B750" s="214" t="s">
        <v>1020</v>
      </c>
      <c r="C750" s="222" t="s">
        <v>1004</v>
      </c>
      <c r="D750" s="222" t="s">
        <v>1021</v>
      </c>
      <c r="E750" s="222" t="s">
        <v>4837</v>
      </c>
      <c r="F750" s="214" t="s">
        <v>4838</v>
      </c>
      <c r="G750" s="214" t="s">
        <v>4839</v>
      </c>
      <c r="H750" s="214" t="s">
        <v>4840</v>
      </c>
      <c r="I750" s="214" t="s">
        <v>4841</v>
      </c>
      <c r="J750" s="214" t="s">
        <v>4915</v>
      </c>
      <c r="K750" s="214" t="s">
        <v>9289</v>
      </c>
      <c r="L750" s="214" t="s">
        <v>10585</v>
      </c>
      <c r="M750" s="214" t="s">
        <v>9939</v>
      </c>
      <c r="P750" s="120"/>
    </row>
    <row r="751" spans="1:16">
      <c r="A751" s="214" t="s">
        <v>2533</v>
      </c>
      <c r="B751" s="214" t="s">
        <v>1020</v>
      </c>
      <c r="C751" s="222" t="s">
        <v>1004</v>
      </c>
      <c r="D751" s="222" t="s">
        <v>1021</v>
      </c>
      <c r="E751" s="222" t="s">
        <v>4837</v>
      </c>
      <c r="F751" s="214" t="s">
        <v>4838</v>
      </c>
      <c r="G751" s="214" t="s">
        <v>4839</v>
      </c>
      <c r="H751" s="214" t="s">
        <v>4840</v>
      </c>
      <c r="I751" s="214" t="s">
        <v>4841</v>
      </c>
      <c r="J751" s="214" t="s">
        <v>4917</v>
      </c>
      <c r="K751" s="223" t="s">
        <v>9289</v>
      </c>
      <c r="L751" s="214" t="s">
        <v>10636</v>
      </c>
      <c r="M751" s="214" t="s">
        <v>9939</v>
      </c>
      <c r="P751" s="120"/>
    </row>
    <row r="752" spans="1:16">
      <c r="A752" s="214" t="s">
        <v>2534</v>
      </c>
      <c r="B752" s="214" t="s">
        <v>2622</v>
      </c>
      <c r="C752" s="222" t="s">
        <v>1469</v>
      </c>
      <c r="D752" s="222" t="s">
        <v>1470</v>
      </c>
      <c r="E752" s="222" t="s">
        <v>5213</v>
      </c>
      <c r="F752" s="214" t="s">
        <v>5207</v>
      </c>
      <c r="G752" s="214" t="s">
        <v>4839</v>
      </c>
      <c r="H752" s="214" t="s">
        <v>5214</v>
      </c>
      <c r="I752" s="214" t="s">
        <v>5210</v>
      </c>
      <c r="J752" s="214" t="s">
        <v>5215</v>
      </c>
      <c r="K752" s="214"/>
      <c r="L752" s="214" t="s">
        <v>10637</v>
      </c>
      <c r="M752" s="214" t="s">
        <v>9997</v>
      </c>
      <c r="P752" s="120"/>
    </row>
    <row r="753" spans="1:16">
      <c r="A753" s="214" t="s">
        <v>5216</v>
      </c>
      <c r="B753" s="214" t="s">
        <v>1020</v>
      </c>
      <c r="C753" s="222" t="s">
        <v>1004</v>
      </c>
      <c r="D753" s="222" t="s">
        <v>1021</v>
      </c>
      <c r="E753" s="222" t="s">
        <v>4837</v>
      </c>
      <c r="F753" s="214" t="s">
        <v>4838</v>
      </c>
      <c r="G753" s="214" t="s">
        <v>4839</v>
      </c>
      <c r="H753" s="214" t="s">
        <v>4840</v>
      </c>
      <c r="I753" s="214" t="s">
        <v>4841</v>
      </c>
      <c r="J753" s="214" t="s">
        <v>4915</v>
      </c>
      <c r="K753" s="214" t="s">
        <v>9289</v>
      </c>
      <c r="L753" s="214" t="s">
        <v>24</v>
      </c>
      <c r="M753" s="214" t="s">
        <v>9939</v>
      </c>
      <c r="P753" s="120"/>
    </row>
    <row r="754" spans="1:16">
      <c r="A754" s="214" t="s">
        <v>2535</v>
      </c>
      <c r="B754" s="214" t="s">
        <v>1164</v>
      </c>
      <c r="C754" s="222" t="s">
        <v>1163</v>
      </c>
      <c r="D754" s="222" t="s">
        <v>1165</v>
      </c>
      <c r="E754" s="222" t="s">
        <v>4941</v>
      </c>
      <c r="F754" s="214" t="s">
        <v>4942</v>
      </c>
      <c r="G754" s="214" t="s">
        <v>4943</v>
      </c>
      <c r="H754" s="214" t="s">
        <v>4944</v>
      </c>
      <c r="I754" s="214" t="s">
        <v>4945</v>
      </c>
      <c r="J754" s="214" t="s">
        <v>4946</v>
      </c>
      <c r="K754" s="214" t="s">
        <v>9303</v>
      </c>
      <c r="L754" s="214" t="s">
        <v>10599</v>
      </c>
      <c r="M754" s="214" t="s">
        <v>9954</v>
      </c>
      <c r="P754" s="120"/>
    </row>
    <row r="755" spans="1:16">
      <c r="A755" s="214" t="s">
        <v>2438</v>
      </c>
      <c r="B755" s="214" t="s">
        <v>1164</v>
      </c>
      <c r="C755" s="222" t="s">
        <v>1163</v>
      </c>
      <c r="D755" s="222" t="s">
        <v>1165</v>
      </c>
      <c r="E755" s="222" t="s">
        <v>4941</v>
      </c>
      <c r="F755" s="214" t="s">
        <v>4942</v>
      </c>
      <c r="G755" s="214" t="s">
        <v>4943</v>
      </c>
      <c r="H755" s="214" t="s">
        <v>4944</v>
      </c>
      <c r="I755" s="214" t="s">
        <v>4945</v>
      </c>
      <c r="J755" s="214" t="s">
        <v>4946</v>
      </c>
      <c r="K755" s="214" t="s">
        <v>9303</v>
      </c>
      <c r="L755" s="214" t="s">
        <v>10599</v>
      </c>
      <c r="M755" s="214" t="s">
        <v>9954</v>
      </c>
      <c r="P755" s="120"/>
    </row>
    <row r="756" spans="1:16">
      <c r="A756" s="214" t="s">
        <v>2536</v>
      </c>
      <c r="B756" s="214" t="s">
        <v>1460</v>
      </c>
      <c r="C756" s="222" t="s">
        <v>1459</v>
      </c>
      <c r="D756" s="222" t="s">
        <v>1461</v>
      </c>
      <c r="E756" s="222" t="s">
        <v>5194</v>
      </c>
      <c r="F756" s="214" t="s">
        <v>5195</v>
      </c>
      <c r="G756" s="214" t="s">
        <v>5196</v>
      </c>
      <c r="H756" s="214" t="s">
        <v>5197</v>
      </c>
      <c r="I756" s="214" t="s">
        <v>5198</v>
      </c>
      <c r="J756" s="214" t="s">
        <v>5199</v>
      </c>
      <c r="K756" s="214" t="s">
        <v>9339</v>
      </c>
      <c r="L756" s="214" t="s">
        <v>10635</v>
      </c>
      <c r="M756" s="214" t="s">
        <v>9995</v>
      </c>
      <c r="P756" s="120"/>
    </row>
    <row r="757" spans="1:16">
      <c r="A757" s="214" t="s">
        <v>2537</v>
      </c>
      <c r="B757" s="214" t="s">
        <v>1460</v>
      </c>
      <c r="C757" s="222" t="s">
        <v>1459</v>
      </c>
      <c r="D757" s="222" t="s">
        <v>1461</v>
      </c>
      <c r="E757" s="222" t="s">
        <v>5194</v>
      </c>
      <c r="F757" s="214" t="s">
        <v>5195</v>
      </c>
      <c r="G757" s="214" t="s">
        <v>5196</v>
      </c>
      <c r="H757" s="214" t="s">
        <v>5197</v>
      </c>
      <c r="I757" s="214" t="s">
        <v>5198</v>
      </c>
      <c r="J757" s="214" t="s">
        <v>5199</v>
      </c>
      <c r="K757" s="214" t="s">
        <v>9339</v>
      </c>
      <c r="L757" s="214" t="s">
        <v>10635</v>
      </c>
      <c r="M757" s="214" t="s">
        <v>9995</v>
      </c>
      <c r="P757" s="120"/>
    </row>
    <row r="758" spans="1:16">
      <c r="A758" s="214" t="s">
        <v>2538</v>
      </c>
      <c r="B758" s="214" t="s">
        <v>1158</v>
      </c>
      <c r="C758" s="222" t="s">
        <v>1157</v>
      </c>
      <c r="D758" s="222" t="s">
        <v>1159</v>
      </c>
      <c r="E758" s="222" t="s">
        <v>4843</v>
      </c>
      <c r="F758" s="214" t="s">
        <v>4844</v>
      </c>
      <c r="G758" s="214" t="s">
        <v>4845</v>
      </c>
      <c r="H758" s="214" t="s">
        <v>4846</v>
      </c>
      <c r="I758" s="214" t="s">
        <v>4847</v>
      </c>
      <c r="J758" s="214" t="s">
        <v>4938</v>
      </c>
      <c r="K758" s="223" t="s">
        <v>9290</v>
      </c>
      <c r="L758" s="214" t="s">
        <v>10586</v>
      </c>
      <c r="M758" s="214" t="s">
        <v>9940</v>
      </c>
      <c r="P758" s="120"/>
    </row>
    <row r="759" spans="1:16">
      <c r="A759" s="214" t="s">
        <v>2539</v>
      </c>
      <c r="B759" s="214" t="s">
        <v>1158</v>
      </c>
      <c r="C759" s="222" t="s">
        <v>1157</v>
      </c>
      <c r="D759" s="222" t="s">
        <v>1159</v>
      </c>
      <c r="E759" s="222" t="s">
        <v>4843</v>
      </c>
      <c r="F759" s="214" t="s">
        <v>4844</v>
      </c>
      <c r="G759" s="214" t="s">
        <v>4845</v>
      </c>
      <c r="H759" s="214" t="s">
        <v>4846</v>
      </c>
      <c r="I759" s="214" t="s">
        <v>4847</v>
      </c>
      <c r="J759" s="214" t="s">
        <v>4938</v>
      </c>
      <c r="K759" s="214" t="s">
        <v>9290</v>
      </c>
      <c r="L759" s="214" t="s">
        <v>10586</v>
      </c>
      <c r="M759" s="214" t="s">
        <v>9940</v>
      </c>
      <c r="P759" s="120"/>
    </row>
    <row r="760" spans="1:16">
      <c r="A760" s="214" t="s">
        <v>5217</v>
      </c>
      <c r="B760" s="214" t="s">
        <v>1020</v>
      </c>
      <c r="C760" s="222" t="s">
        <v>1004</v>
      </c>
      <c r="D760" s="222" t="s">
        <v>1021</v>
      </c>
      <c r="E760" s="222" t="s">
        <v>4837</v>
      </c>
      <c r="F760" s="214" t="s">
        <v>4838</v>
      </c>
      <c r="G760" s="214" t="s">
        <v>4839</v>
      </c>
      <c r="H760" s="214" t="s">
        <v>4840</v>
      </c>
      <c r="I760" s="214" t="s">
        <v>5218</v>
      </c>
      <c r="J760" s="214" t="s">
        <v>4917</v>
      </c>
      <c r="K760" s="214" t="s">
        <v>9289</v>
      </c>
      <c r="L760" s="214" t="s">
        <v>10636</v>
      </c>
      <c r="M760" s="214" t="s">
        <v>9939</v>
      </c>
      <c r="P760" s="120"/>
    </row>
    <row r="761" spans="1:16">
      <c r="A761" s="214" t="s">
        <v>2540</v>
      </c>
      <c r="B761" s="214" t="s">
        <v>1176</v>
      </c>
      <c r="C761" s="222" t="s">
        <v>1175</v>
      </c>
      <c r="D761" s="222" t="s">
        <v>1177</v>
      </c>
      <c r="E761" s="222" t="s">
        <v>4956</v>
      </c>
      <c r="F761" s="214" t="s">
        <v>4957</v>
      </c>
      <c r="G761" s="214" t="s">
        <v>4958</v>
      </c>
      <c r="H761" s="214" t="s">
        <v>4956</v>
      </c>
      <c r="I761" s="214" t="s">
        <v>4959</v>
      </c>
      <c r="J761" s="214" t="s">
        <v>4960</v>
      </c>
      <c r="K761" s="214" t="s">
        <v>9305</v>
      </c>
      <c r="L761" s="214" t="s">
        <v>10601</v>
      </c>
      <c r="M761" s="214" t="s">
        <v>9957</v>
      </c>
      <c r="P761" s="120"/>
    </row>
    <row r="762" spans="1:16">
      <c r="A762" s="214" t="s">
        <v>2439</v>
      </c>
      <c r="B762" s="214" t="s">
        <v>1176</v>
      </c>
      <c r="C762" s="222" t="s">
        <v>1175</v>
      </c>
      <c r="D762" s="222" t="s">
        <v>1177</v>
      </c>
      <c r="E762" s="222" t="s">
        <v>4956</v>
      </c>
      <c r="F762" s="214" t="s">
        <v>4957</v>
      </c>
      <c r="G762" s="214" t="s">
        <v>4958</v>
      </c>
      <c r="H762" s="214" t="s">
        <v>4956</v>
      </c>
      <c r="I762" s="214" t="s">
        <v>4959</v>
      </c>
      <c r="J762" s="214" t="s">
        <v>4960</v>
      </c>
      <c r="K762" s="223" t="s">
        <v>9305</v>
      </c>
      <c r="L762" s="214" t="s">
        <v>10601</v>
      </c>
      <c r="M762" s="214" t="s">
        <v>9957</v>
      </c>
      <c r="P762" s="120"/>
    </row>
    <row r="763" spans="1:16">
      <c r="A763" s="214" t="s">
        <v>1481</v>
      </c>
      <c r="B763" s="214" t="s">
        <v>1480</v>
      </c>
      <c r="C763" s="222" t="s">
        <v>771</v>
      </c>
      <c r="D763" s="222" t="s">
        <v>1352</v>
      </c>
      <c r="E763" s="222" t="s">
        <v>4488</v>
      </c>
      <c r="F763" s="214" t="s">
        <v>4489</v>
      </c>
      <c r="G763" s="214" t="s">
        <v>4870</v>
      </c>
      <c r="H763" s="214" t="s">
        <v>4491</v>
      </c>
      <c r="I763" s="214" t="s">
        <v>5126</v>
      </c>
      <c r="J763" s="214" t="s">
        <v>4493</v>
      </c>
      <c r="K763" s="223" t="s">
        <v>9280</v>
      </c>
      <c r="L763" s="214" t="s">
        <v>10625</v>
      </c>
      <c r="M763" s="214" t="s">
        <v>9882</v>
      </c>
      <c r="P763" s="120"/>
    </row>
    <row r="764" spans="1:16">
      <c r="A764" s="214" t="s">
        <v>1482</v>
      </c>
      <c r="B764" s="214" t="s">
        <v>1480</v>
      </c>
      <c r="C764" s="222" t="s">
        <v>1350</v>
      </c>
      <c r="D764" s="222" t="s">
        <v>1352</v>
      </c>
      <c r="E764" s="222" t="s">
        <v>5219</v>
      </c>
      <c r="F764" s="214" t="s">
        <v>5123</v>
      </c>
      <c r="G764" s="214" t="s">
        <v>5124</v>
      </c>
      <c r="H764" s="214" t="s">
        <v>5220</v>
      </c>
      <c r="I764" s="214" t="s">
        <v>5126</v>
      </c>
      <c r="J764" s="214" t="s">
        <v>5114</v>
      </c>
      <c r="K764" s="214" t="s">
        <v>9329</v>
      </c>
      <c r="L764" s="214" t="s">
        <v>10625</v>
      </c>
      <c r="M764" s="214" t="s">
        <v>9982</v>
      </c>
      <c r="P764" s="120"/>
    </row>
    <row r="765" spans="1:16">
      <c r="A765" s="214" t="s">
        <v>2375</v>
      </c>
      <c r="B765" s="214" t="s">
        <v>772</v>
      </c>
      <c r="C765" s="222" t="s">
        <v>771</v>
      </c>
      <c r="D765" s="222" t="s">
        <v>773</v>
      </c>
      <c r="E765" s="222" t="s">
        <v>4488</v>
      </c>
      <c r="F765" s="214" t="s">
        <v>4489</v>
      </c>
      <c r="G765" s="214" t="s">
        <v>4870</v>
      </c>
      <c r="H765" s="214" t="s">
        <v>4491</v>
      </c>
      <c r="I765" s="214" t="s">
        <v>4871</v>
      </c>
      <c r="J765" s="214" t="s">
        <v>4493</v>
      </c>
      <c r="K765" s="214" t="s">
        <v>9280</v>
      </c>
      <c r="L765" s="214" t="s">
        <v>10529</v>
      </c>
      <c r="M765" s="214" t="s">
        <v>9882</v>
      </c>
      <c r="P765" s="120"/>
    </row>
    <row r="766" spans="1:16">
      <c r="A766" s="214" t="s">
        <v>2376</v>
      </c>
      <c r="B766" s="214" t="s">
        <v>772</v>
      </c>
      <c r="C766" s="222" t="s">
        <v>771</v>
      </c>
      <c r="D766" s="222" t="s">
        <v>773</v>
      </c>
      <c r="E766" s="222" t="s">
        <v>4488</v>
      </c>
      <c r="F766" s="214" t="s">
        <v>4489</v>
      </c>
      <c r="G766" s="214" t="s">
        <v>4870</v>
      </c>
      <c r="H766" s="214" t="s">
        <v>4491</v>
      </c>
      <c r="I766" s="214" t="s">
        <v>4871</v>
      </c>
      <c r="J766" s="214" t="s">
        <v>4493</v>
      </c>
      <c r="K766" s="214" t="s">
        <v>9280</v>
      </c>
      <c r="L766" s="214" t="s">
        <v>10529</v>
      </c>
      <c r="M766" s="214" t="s">
        <v>9882</v>
      </c>
      <c r="P766" s="120"/>
    </row>
    <row r="767" spans="1:16">
      <c r="A767" s="214" t="s">
        <v>2377</v>
      </c>
      <c r="B767" s="214" t="s">
        <v>772</v>
      </c>
      <c r="C767" s="222" t="s">
        <v>771</v>
      </c>
      <c r="D767" s="222" t="s">
        <v>773</v>
      </c>
      <c r="E767" s="222" t="s">
        <v>4488</v>
      </c>
      <c r="F767" s="214" t="s">
        <v>4489</v>
      </c>
      <c r="G767" s="214" t="s">
        <v>4870</v>
      </c>
      <c r="H767" s="214" t="s">
        <v>4491</v>
      </c>
      <c r="I767" s="214" t="s">
        <v>4871</v>
      </c>
      <c r="J767" s="214" t="s">
        <v>4493</v>
      </c>
      <c r="K767" s="214" t="s">
        <v>9280</v>
      </c>
      <c r="L767" s="214" t="s">
        <v>10529</v>
      </c>
      <c r="M767" s="214" t="s">
        <v>9882</v>
      </c>
      <c r="P767" s="120"/>
    </row>
    <row r="768" spans="1:16">
      <c r="A768" s="214" t="s">
        <v>1483</v>
      </c>
      <c r="B768" s="214" t="s">
        <v>1480</v>
      </c>
      <c r="C768" s="222" t="s">
        <v>1350</v>
      </c>
      <c r="D768" s="222" t="s">
        <v>1352</v>
      </c>
      <c r="E768" s="222" t="s">
        <v>5219</v>
      </c>
      <c r="F768" s="214" t="s">
        <v>5123</v>
      </c>
      <c r="G768" s="214" t="s">
        <v>5124</v>
      </c>
      <c r="H768" s="214" t="s">
        <v>5220</v>
      </c>
      <c r="I768" s="214" t="s">
        <v>5126</v>
      </c>
      <c r="J768" s="214" t="s">
        <v>5114</v>
      </c>
      <c r="K768" s="214" t="s">
        <v>9329</v>
      </c>
      <c r="L768" s="214" t="s">
        <v>10625</v>
      </c>
      <c r="M768" s="214" t="s">
        <v>9982</v>
      </c>
      <c r="P768" s="120"/>
    </row>
    <row r="769" spans="1:16">
      <c r="A769" s="214" t="s">
        <v>2378</v>
      </c>
      <c r="B769" s="214" t="s">
        <v>810</v>
      </c>
      <c r="C769" s="222" t="s">
        <v>809</v>
      </c>
      <c r="D769" s="222" t="s">
        <v>1085</v>
      </c>
      <c r="E769" s="222" t="s">
        <v>4465</v>
      </c>
      <c r="F769" s="214" t="s">
        <v>4466</v>
      </c>
      <c r="G769" s="214" t="s">
        <v>4899</v>
      </c>
      <c r="H769" s="214" t="s">
        <v>4468</v>
      </c>
      <c r="I769" s="214" t="s">
        <v>4469</v>
      </c>
      <c r="J769" s="214" t="s">
        <v>4470</v>
      </c>
      <c r="K769" s="214" t="s">
        <v>9276</v>
      </c>
      <c r="L769" s="214" t="s">
        <v>10525</v>
      </c>
      <c r="M769" s="214" t="s">
        <v>9878</v>
      </c>
      <c r="P769" s="120"/>
    </row>
    <row r="770" spans="1:16">
      <c r="A770" s="214" t="s">
        <v>2379</v>
      </c>
      <c r="B770" s="214" t="s">
        <v>810</v>
      </c>
      <c r="C770" s="222" t="s">
        <v>809</v>
      </c>
      <c r="D770" s="222" t="s">
        <v>1085</v>
      </c>
      <c r="E770" s="222" t="s">
        <v>4465</v>
      </c>
      <c r="F770" s="214" t="s">
        <v>4466</v>
      </c>
      <c r="G770" s="214" t="s">
        <v>4899</v>
      </c>
      <c r="H770" s="214" t="s">
        <v>4468</v>
      </c>
      <c r="I770" s="214" t="s">
        <v>4469</v>
      </c>
      <c r="J770" s="214" t="s">
        <v>4470</v>
      </c>
      <c r="K770" s="214" t="s">
        <v>9276</v>
      </c>
      <c r="L770" s="214" t="s">
        <v>10525</v>
      </c>
      <c r="M770" s="214" t="s">
        <v>9878</v>
      </c>
      <c r="P770" s="120"/>
    </row>
    <row r="771" spans="1:16">
      <c r="A771" s="214" t="s">
        <v>2380</v>
      </c>
      <c r="B771" s="214" t="s">
        <v>401</v>
      </c>
      <c r="C771" s="222" t="s">
        <v>400</v>
      </c>
      <c r="D771" s="222" t="s">
        <v>402</v>
      </c>
      <c r="E771" s="222" t="s">
        <v>3715</v>
      </c>
      <c r="F771" s="214" t="s">
        <v>3716</v>
      </c>
      <c r="G771" s="214" t="s">
        <v>5144</v>
      </c>
      <c r="H771" s="214" t="s">
        <v>3718</v>
      </c>
      <c r="I771" s="214" t="s">
        <v>3719</v>
      </c>
      <c r="J771" s="214" t="s">
        <v>3720</v>
      </c>
      <c r="K771" s="214" t="s">
        <v>9164</v>
      </c>
      <c r="L771" s="214" t="s">
        <v>10413</v>
      </c>
      <c r="M771" s="214" t="s">
        <v>9985</v>
      </c>
      <c r="P771" s="120"/>
    </row>
    <row r="772" spans="1:16">
      <c r="A772" s="215" t="s">
        <v>2381</v>
      </c>
      <c r="B772" s="214" t="s">
        <v>401</v>
      </c>
      <c r="C772" s="222" t="s">
        <v>400</v>
      </c>
      <c r="D772" s="222" t="s">
        <v>402</v>
      </c>
      <c r="E772" s="222" t="s">
        <v>3715</v>
      </c>
      <c r="F772" s="214" t="s">
        <v>3716</v>
      </c>
      <c r="G772" s="214" t="s">
        <v>5144</v>
      </c>
      <c r="H772" s="214" t="s">
        <v>3718</v>
      </c>
      <c r="I772" s="214" t="s">
        <v>3719</v>
      </c>
      <c r="J772" s="214" t="s">
        <v>5221</v>
      </c>
      <c r="K772" s="214" t="s">
        <v>9164</v>
      </c>
      <c r="L772" s="214" t="s">
        <v>10413</v>
      </c>
      <c r="M772" s="214" t="s">
        <v>9985</v>
      </c>
      <c r="P772" s="120"/>
    </row>
    <row r="773" spans="1:16">
      <c r="A773" s="214" t="s">
        <v>1484</v>
      </c>
      <c r="B773" s="214" t="s">
        <v>1485</v>
      </c>
      <c r="C773" s="222" t="s">
        <v>1372</v>
      </c>
      <c r="D773" s="222" t="s">
        <v>1486</v>
      </c>
      <c r="E773" s="222" t="s">
        <v>5005</v>
      </c>
      <c r="F773" s="214" t="s">
        <v>5222</v>
      </c>
      <c r="G773" s="214" t="s">
        <v>4108</v>
      </c>
      <c r="H773" s="214" t="s">
        <v>5223</v>
      </c>
      <c r="I773" s="214" t="s">
        <v>5224</v>
      </c>
      <c r="J773" s="214" t="s">
        <v>5225</v>
      </c>
      <c r="K773" s="214" t="s">
        <v>9343</v>
      </c>
      <c r="L773" s="214" t="s">
        <v>10638</v>
      </c>
      <c r="M773" s="214" t="s">
        <v>9998</v>
      </c>
      <c r="P773" s="120"/>
    </row>
    <row r="774" spans="1:16">
      <c r="A774" s="214" t="s">
        <v>1487</v>
      </c>
      <c r="B774" s="214" t="s">
        <v>1020</v>
      </c>
      <c r="C774" s="222" t="s">
        <v>1004</v>
      </c>
      <c r="D774" s="222" t="s">
        <v>1021</v>
      </c>
      <c r="E774" s="222" t="s">
        <v>4837</v>
      </c>
      <c r="F774" s="214" t="s">
        <v>4838</v>
      </c>
      <c r="G774" s="214" t="s">
        <v>4839</v>
      </c>
      <c r="H774" s="214" t="s">
        <v>4840</v>
      </c>
      <c r="I774" s="214" t="s">
        <v>4841</v>
      </c>
      <c r="J774" s="214" t="s">
        <v>4915</v>
      </c>
      <c r="K774" s="214" t="s">
        <v>9289</v>
      </c>
      <c r="L774" s="214" t="s">
        <v>10585</v>
      </c>
      <c r="M774" s="214" t="s">
        <v>9939</v>
      </c>
      <c r="P774" s="120"/>
    </row>
    <row r="775" spans="1:16">
      <c r="A775" s="214" t="s">
        <v>1488</v>
      </c>
      <c r="B775" s="214" t="s">
        <v>1020</v>
      </c>
      <c r="C775" s="222" t="s">
        <v>1004</v>
      </c>
      <c r="D775" s="222" t="s">
        <v>1021</v>
      </c>
      <c r="E775" s="222" t="s">
        <v>4837</v>
      </c>
      <c r="F775" s="214" t="s">
        <v>4838</v>
      </c>
      <c r="G775" s="214" t="s">
        <v>4839</v>
      </c>
      <c r="H775" s="214" t="s">
        <v>4840</v>
      </c>
      <c r="I775" s="214" t="s">
        <v>4841</v>
      </c>
      <c r="J775" s="214" t="s">
        <v>4915</v>
      </c>
      <c r="K775" s="214" t="s">
        <v>9289</v>
      </c>
      <c r="L775" s="214" t="s">
        <v>10585</v>
      </c>
      <c r="M775" s="214" t="s">
        <v>9939</v>
      </c>
      <c r="P775" s="120"/>
    </row>
    <row r="776" spans="1:16">
      <c r="A776" s="214" t="s">
        <v>1489</v>
      </c>
      <c r="B776" s="214" t="s">
        <v>1460</v>
      </c>
      <c r="C776" s="222" t="s">
        <v>1459</v>
      </c>
      <c r="D776" s="222" t="s">
        <v>1461</v>
      </c>
      <c r="E776" s="222" t="s">
        <v>5194</v>
      </c>
      <c r="F776" s="214" t="s">
        <v>5226</v>
      </c>
      <c r="G776" s="214" t="s">
        <v>5196</v>
      </c>
      <c r="H776" s="214" t="s">
        <v>5197</v>
      </c>
      <c r="I776" s="214" t="s">
        <v>5198</v>
      </c>
      <c r="J776" s="214" t="s">
        <v>5199</v>
      </c>
      <c r="K776" s="214" t="s">
        <v>9339</v>
      </c>
      <c r="L776" s="214" t="s">
        <v>10635</v>
      </c>
      <c r="M776" s="214" t="s">
        <v>9995</v>
      </c>
      <c r="P776" s="120"/>
    </row>
    <row r="777" spans="1:16">
      <c r="A777" s="214" t="s">
        <v>2382</v>
      </c>
      <c r="B777" s="214" t="s">
        <v>1541</v>
      </c>
      <c r="C777" s="222" t="s">
        <v>1540</v>
      </c>
      <c r="D777" s="222" t="s">
        <v>1542</v>
      </c>
      <c r="E777" s="222" t="s">
        <v>4477</v>
      </c>
      <c r="F777" s="214" t="s">
        <v>4478</v>
      </c>
      <c r="G777" s="214" t="s">
        <v>5227</v>
      </c>
      <c r="H777" s="214" t="s">
        <v>4480</v>
      </c>
      <c r="I777" s="214" t="s">
        <v>4481</v>
      </c>
      <c r="J777" s="214" t="s">
        <v>4482</v>
      </c>
      <c r="K777" s="214" t="s">
        <v>9278</v>
      </c>
      <c r="L777" s="214" t="s">
        <v>10527</v>
      </c>
      <c r="M777" s="214" t="s">
        <v>9880</v>
      </c>
      <c r="P777" s="120"/>
    </row>
    <row r="778" spans="1:16">
      <c r="A778" s="214" t="s">
        <v>2541</v>
      </c>
      <c r="B778" s="214" t="s">
        <v>1020</v>
      </c>
      <c r="C778" s="222" t="s">
        <v>1004</v>
      </c>
      <c r="D778" s="222" t="s">
        <v>1021</v>
      </c>
      <c r="E778" s="222" t="s">
        <v>4837</v>
      </c>
      <c r="F778" s="214" t="s">
        <v>4838</v>
      </c>
      <c r="G778" s="214" t="s">
        <v>4839</v>
      </c>
      <c r="H778" s="214" t="s">
        <v>4840</v>
      </c>
      <c r="I778" s="214" t="s">
        <v>4841</v>
      </c>
      <c r="J778" s="214" t="s">
        <v>4915</v>
      </c>
      <c r="K778" s="214" t="s">
        <v>9289</v>
      </c>
      <c r="L778" s="214" t="s">
        <v>10585</v>
      </c>
      <c r="M778" s="214" t="s">
        <v>9939</v>
      </c>
      <c r="P778" s="120"/>
    </row>
    <row r="779" spans="1:16">
      <c r="A779" s="214" t="s">
        <v>2542</v>
      </c>
      <c r="B779" s="214" t="s">
        <v>1020</v>
      </c>
      <c r="C779" s="222" t="s">
        <v>1004</v>
      </c>
      <c r="D779" s="222" t="s">
        <v>1021</v>
      </c>
      <c r="E779" s="222" t="s">
        <v>4837</v>
      </c>
      <c r="F779" s="214" t="s">
        <v>4838</v>
      </c>
      <c r="G779" s="214" t="s">
        <v>4839</v>
      </c>
      <c r="H779" s="214" t="s">
        <v>4840</v>
      </c>
      <c r="I779" s="214" t="s">
        <v>4841</v>
      </c>
      <c r="J779" s="214" t="s">
        <v>4915</v>
      </c>
      <c r="K779" s="214" t="s">
        <v>9289</v>
      </c>
      <c r="L779" s="214" t="s">
        <v>10585</v>
      </c>
      <c r="M779" s="214" t="s">
        <v>9939</v>
      </c>
      <c r="P779" s="120"/>
    </row>
    <row r="780" spans="1:16">
      <c r="A780" s="214" t="s">
        <v>2543</v>
      </c>
      <c r="B780" s="214" t="s">
        <v>1460</v>
      </c>
      <c r="C780" s="222" t="s">
        <v>1459</v>
      </c>
      <c r="D780" s="222" t="s">
        <v>1461</v>
      </c>
      <c r="E780" s="222" t="s">
        <v>5194</v>
      </c>
      <c r="F780" s="214" t="s">
        <v>5195</v>
      </c>
      <c r="G780" s="214" t="s">
        <v>5196</v>
      </c>
      <c r="H780" s="214" t="s">
        <v>5197</v>
      </c>
      <c r="I780" s="214" t="s">
        <v>5198</v>
      </c>
      <c r="J780" s="214" t="s">
        <v>5199</v>
      </c>
      <c r="K780" s="214" t="s">
        <v>9339</v>
      </c>
      <c r="L780" s="214" t="s">
        <v>10635</v>
      </c>
      <c r="M780" s="214" t="s">
        <v>9995</v>
      </c>
      <c r="P780" s="120"/>
    </row>
    <row r="781" spans="1:16">
      <c r="A781" s="214" t="s">
        <v>2544</v>
      </c>
      <c r="B781" s="214" t="s">
        <v>1541</v>
      </c>
      <c r="C781" s="222" t="s">
        <v>1540</v>
      </c>
      <c r="D781" s="222" t="s">
        <v>1542</v>
      </c>
      <c r="E781" s="222" t="s">
        <v>4477</v>
      </c>
      <c r="F781" s="214" t="s">
        <v>4478</v>
      </c>
      <c r="G781" s="214" t="s">
        <v>5227</v>
      </c>
      <c r="H781" s="214" t="s">
        <v>4480</v>
      </c>
      <c r="I781" s="214" t="s">
        <v>4481</v>
      </c>
      <c r="J781" s="214" t="s">
        <v>4482</v>
      </c>
      <c r="K781" s="214" t="s">
        <v>9278</v>
      </c>
      <c r="L781" s="214" t="s">
        <v>10527</v>
      </c>
      <c r="M781" s="214" t="s">
        <v>9880</v>
      </c>
      <c r="P781" s="120"/>
    </row>
    <row r="782" spans="1:16">
      <c r="A782" s="214" t="s">
        <v>1490</v>
      </c>
      <c r="B782" s="214" t="s">
        <v>1492</v>
      </c>
      <c r="C782" s="222" t="s">
        <v>1491</v>
      </c>
      <c r="D782" s="222" t="s">
        <v>1493</v>
      </c>
      <c r="E782" s="222" t="s">
        <v>5228</v>
      </c>
      <c r="F782" s="214" t="s">
        <v>5229</v>
      </c>
      <c r="G782" s="214" t="s">
        <v>5230</v>
      </c>
      <c r="H782" s="214" t="s">
        <v>5231</v>
      </c>
      <c r="I782" s="214" t="s">
        <v>5232</v>
      </c>
      <c r="J782" s="214" t="s">
        <v>5233</v>
      </c>
      <c r="K782" s="214" t="s">
        <v>9344</v>
      </c>
      <c r="L782" s="214" t="s">
        <v>10639</v>
      </c>
      <c r="M782" s="214" t="s">
        <v>9999</v>
      </c>
      <c r="P782" s="120"/>
    </row>
    <row r="783" spans="1:16">
      <c r="A783" s="214" t="s">
        <v>1494</v>
      </c>
      <c r="B783" s="214" t="s">
        <v>401</v>
      </c>
      <c r="C783" s="222" t="s">
        <v>400</v>
      </c>
      <c r="D783" s="222" t="s">
        <v>402</v>
      </c>
      <c r="E783" s="222" t="s">
        <v>3715</v>
      </c>
      <c r="F783" s="214" t="s">
        <v>3716</v>
      </c>
      <c r="G783" s="214" t="s">
        <v>5144</v>
      </c>
      <c r="H783" s="214" t="s">
        <v>3718</v>
      </c>
      <c r="I783" s="214" t="s">
        <v>3719</v>
      </c>
      <c r="J783" s="214" t="s">
        <v>3720</v>
      </c>
      <c r="K783" s="214" t="s">
        <v>9164</v>
      </c>
      <c r="L783" s="214" t="s">
        <v>10413</v>
      </c>
      <c r="M783" s="214" t="s">
        <v>9985</v>
      </c>
      <c r="P783" s="120"/>
    </row>
    <row r="784" spans="1:16">
      <c r="A784" s="214" t="s">
        <v>1495</v>
      </c>
      <c r="B784" s="214" t="s">
        <v>401</v>
      </c>
      <c r="C784" s="222" t="s">
        <v>400</v>
      </c>
      <c r="D784" s="222" t="s">
        <v>402</v>
      </c>
      <c r="E784" s="222" t="s">
        <v>3715</v>
      </c>
      <c r="F784" s="214" t="s">
        <v>3716</v>
      </c>
      <c r="G784" s="214" t="s">
        <v>5144</v>
      </c>
      <c r="H784" s="214" t="s">
        <v>3718</v>
      </c>
      <c r="I784" s="214" t="s">
        <v>3719</v>
      </c>
      <c r="J784" s="214" t="s">
        <v>3720</v>
      </c>
      <c r="K784" s="214" t="s">
        <v>9164</v>
      </c>
      <c r="L784" s="214" t="s">
        <v>10413</v>
      </c>
      <c r="M784" s="214" t="s">
        <v>9985</v>
      </c>
      <c r="P784" s="120"/>
    </row>
    <row r="785" spans="1:16">
      <c r="A785" s="214" t="s">
        <v>1496</v>
      </c>
      <c r="B785" s="214" t="s">
        <v>810</v>
      </c>
      <c r="C785" s="222" t="s">
        <v>809</v>
      </c>
      <c r="D785" s="222" t="s">
        <v>1085</v>
      </c>
      <c r="E785" s="222" t="s">
        <v>4465</v>
      </c>
      <c r="F785" s="214" t="s">
        <v>4466</v>
      </c>
      <c r="G785" s="214" t="s">
        <v>4899</v>
      </c>
      <c r="H785" s="214" t="s">
        <v>4468</v>
      </c>
      <c r="I785" s="214" t="s">
        <v>4469</v>
      </c>
      <c r="J785" s="214" t="s">
        <v>4470</v>
      </c>
      <c r="K785" s="214" t="s">
        <v>9276</v>
      </c>
      <c r="L785" s="214" t="s">
        <v>10525</v>
      </c>
      <c r="M785" s="214" t="s">
        <v>9878</v>
      </c>
      <c r="P785" s="120"/>
    </row>
    <row r="786" spans="1:16">
      <c r="A786" s="214" t="s">
        <v>1497</v>
      </c>
      <c r="B786" s="214" t="s">
        <v>1485</v>
      </c>
      <c r="C786" s="222" t="s">
        <v>1372</v>
      </c>
      <c r="D786" s="222" t="s">
        <v>1486</v>
      </c>
      <c r="E786" s="222" t="s">
        <v>5234</v>
      </c>
      <c r="F786" s="214" t="s">
        <v>5222</v>
      </c>
      <c r="G786" s="214" t="s">
        <v>4108</v>
      </c>
      <c r="H786" s="214" t="s">
        <v>5223</v>
      </c>
      <c r="I786" s="214" t="s">
        <v>5235</v>
      </c>
      <c r="J786" s="214" t="s">
        <v>5225</v>
      </c>
      <c r="K786" s="214" t="s">
        <v>9345</v>
      </c>
      <c r="L786" s="214" t="s">
        <v>10638</v>
      </c>
      <c r="M786" s="214" t="s">
        <v>9998</v>
      </c>
      <c r="P786" s="120"/>
    </row>
    <row r="787" spans="1:16">
      <c r="A787" s="214" t="s">
        <v>1498</v>
      </c>
      <c r="B787" s="214" t="s">
        <v>1480</v>
      </c>
      <c r="C787" s="222" t="s">
        <v>1350</v>
      </c>
      <c r="D787" s="222" t="s">
        <v>1352</v>
      </c>
      <c r="E787" s="222" t="s">
        <v>5219</v>
      </c>
      <c r="F787" s="214" t="s">
        <v>5123</v>
      </c>
      <c r="G787" s="214" t="s">
        <v>5124</v>
      </c>
      <c r="H787" s="214" t="s">
        <v>5220</v>
      </c>
      <c r="I787" s="214" t="s">
        <v>5126</v>
      </c>
      <c r="J787" s="214" t="s">
        <v>5114</v>
      </c>
      <c r="K787" s="214" t="s">
        <v>9329</v>
      </c>
      <c r="L787" s="214" t="s">
        <v>10625</v>
      </c>
      <c r="M787" s="214" t="s">
        <v>9982</v>
      </c>
      <c r="P787" s="120"/>
    </row>
    <row r="788" spans="1:16">
      <c r="A788" s="214" t="s">
        <v>2383</v>
      </c>
      <c r="B788" s="214" t="s">
        <v>401</v>
      </c>
      <c r="C788" s="222" t="s">
        <v>400</v>
      </c>
      <c r="D788" s="222" t="s">
        <v>402</v>
      </c>
      <c r="E788" s="222" t="s">
        <v>3715</v>
      </c>
      <c r="F788" s="214" t="s">
        <v>3716</v>
      </c>
      <c r="G788" s="214" t="s">
        <v>5144</v>
      </c>
      <c r="H788" s="214" t="s">
        <v>3718</v>
      </c>
      <c r="I788" s="214" t="s">
        <v>3719</v>
      </c>
      <c r="J788" s="214" t="s">
        <v>3720</v>
      </c>
      <c r="K788" s="214" t="s">
        <v>9164</v>
      </c>
      <c r="L788" s="214" t="s">
        <v>10413</v>
      </c>
      <c r="M788" s="214" t="s">
        <v>9985</v>
      </c>
      <c r="P788" s="120"/>
    </row>
    <row r="789" spans="1:16">
      <c r="A789" s="214" t="s">
        <v>2384</v>
      </c>
      <c r="B789" s="214" t="s">
        <v>401</v>
      </c>
      <c r="C789" s="222" t="s">
        <v>400</v>
      </c>
      <c r="D789" s="222" t="s">
        <v>402</v>
      </c>
      <c r="E789" s="222" t="s">
        <v>3715</v>
      </c>
      <c r="F789" s="214" t="s">
        <v>3716</v>
      </c>
      <c r="G789" s="214" t="s">
        <v>5144</v>
      </c>
      <c r="H789" s="214" t="s">
        <v>3718</v>
      </c>
      <c r="I789" s="214" t="s">
        <v>3719</v>
      </c>
      <c r="J789" s="214" t="s">
        <v>3720</v>
      </c>
      <c r="K789" s="214" t="s">
        <v>9164</v>
      </c>
      <c r="L789" s="214" t="s">
        <v>10413</v>
      </c>
      <c r="M789" s="214" t="s">
        <v>9985</v>
      </c>
      <c r="P789" s="120"/>
    </row>
    <row r="790" spans="1:16">
      <c r="A790" s="214" t="s">
        <v>1505</v>
      </c>
      <c r="B790" s="214" t="s">
        <v>1503</v>
      </c>
      <c r="C790" s="222" t="s">
        <v>1502</v>
      </c>
      <c r="D790" s="222" t="s">
        <v>1504</v>
      </c>
      <c r="E790" s="222" t="s">
        <v>5236</v>
      </c>
      <c r="F790" s="214" t="s">
        <v>5237</v>
      </c>
      <c r="G790" s="214" t="s">
        <v>5238</v>
      </c>
      <c r="H790" s="214" t="s">
        <v>5239</v>
      </c>
      <c r="I790" s="214" t="s">
        <v>5240</v>
      </c>
      <c r="J790" s="214" t="s">
        <v>5241</v>
      </c>
      <c r="K790" s="214" t="s">
        <v>9346</v>
      </c>
      <c r="L790" s="214" t="s">
        <v>10640</v>
      </c>
      <c r="M790" s="214" t="s">
        <v>10000</v>
      </c>
      <c r="P790" s="120"/>
    </row>
    <row r="791" spans="1:16">
      <c r="A791" s="214" t="s">
        <v>1506</v>
      </c>
      <c r="B791" s="214" t="s">
        <v>1508</v>
      </c>
      <c r="C791" s="222" t="s">
        <v>1507</v>
      </c>
      <c r="D791" s="222" t="s">
        <v>1509</v>
      </c>
      <c r="E791" s="222" t="s">
        <v>5242</v>
      </c>
      <c r="F791" s="214" t="s">
        <v>5243</v>
      </c>
      <c r="G791" s="214" t="s">
        <v>5244</v>
      </c>
      <c r="H791" s="214" t="s">
        <v>5245</v>
      </c>
      <c r="I791" s="214" t="s">
        <v>5246</v>
      </c>
      <c r="J791" s="214" t="s">
        <v>5247</v>
      </c>
      <c r="K791" s="214" t="s">
        <v>9347</v>
      </c>
      <c r="L791" s="214" t="s">
        <v>10641</v>
      </c>
      <c r="M791" s="214" t="s">
        <v>10001</v>
      </c>
      <c r="P791" s="120"/>
    </row>
    <row r="792" spans="1:16">
      <c r="A792" s="214" t="s">
        <v>1510</v>
      </c>
      <c r="B792" s="214" t="s">
        <v>1508</v>
      </c>
      <c r="C792" s="222" t="s">
        <v>1507</v>
      </c>
      <c r="D792" s="222" t="s">
        <v>1509</v>
      </c>
      <c r="E792" s="222" t="s">
        <v>5242</v>
      </c>
      <c r="F792" s="214" t="s">
        <v>5243</v>
      </c>
      <c r="G792" s="214" t="s">
        <v>5244</v>
      </c>
      <c r="H792" s="214" t="s">
        <v>5245</v>
      </c>
      <c r="I792" s="214" t="s">
        <v>5246</v>
      </c>
      <c r="J792" s="214" t="s">
        <v>5247</v>
      </c>
      <c r="K792" s="214" t="s">
        <v>9347</v>
      </c>
      <c r="L792" s="214" t="s">
        <v>10641</v>
      </c>
      <c r="M792" s="214" t="s">
        <v>10001</v>
      </c>
      <c r="P792" s="120"/>
    </row>
    <row r="793" spans="1:16">
      <c r="A793" s="214" t="s">
        <v>1516</v>
      </c>
      <c r="B793" s="214" t="s">
        <v>810</v>
      </c>
      <c r="C793" s="222" t="s">
        <v>809</v>
      </c>
      <c r="D793" s="222" t="s">
        <v>1085</v>
      </c>
      <c r="E793" s="222" t="s">
        <v>4465</v>
      </c>
      <c r="F793" s="214" t="s">
        <v>4466</v>
      </c>
      <c r="G793" s="214" t="s">
        <v>4899</v>
      </c>
      <c r="H793" s="214" t="s">
        <v>4468</v>
      </c>
      <c r="I793" s="214" t="s">
        <v>4469</v>
      </c>
      <c r="J793" s="214" t="s">
        <v>4470</v>
      </c>
      <c r="K793" s="214" t="s">
        <v>9276</v>
      </c>
      <c r="L793" s="214" t="s">
        <v>10525</v>
      </c>
      <c r="M793" s="214" t="s">
        <v>9878</v>
      </c>
      <c r="P793" s="120"/>
    </row>
    <row r="794" spans="1:16">
      <c r="A794" s="214" t="s">
        <v>1518</v>
      </c>
      <c r="B794" s="214" t="s">
        <v>810</v>
      </c>
      <c r="C794" s="222" t="s">
        <v>809</v>
      </c>
      <c r="D794" s="222" t="s">
        <v>1085</v>
      </c>
      <c r="E794" s="222" t="s">
        <v>4465</v>
      </c>
      <c r="F794" s="214" t="s">
        <v>4466</v>
      </c>
      <c r="G794" s="214" t="s">
        <v>4899</v>
      </c>
      <c r="H794" s="214" t="s">
        <v>4468</v>
      </c>
      <c r="I794" s="214" t="s">
        <v>4469</v>
      </c>
      <c r="J794" s="214" t="s">
        <v>4470</v>
      </c>
      <c r="K794" s="214" t="s">
        <v>9276</v>
      </c>
      <c r="L794" s="214" t="s">
        <v>10525</v>
      </c>
      <c r="M794" s="214" t="s">
        <v>9878</v>
      </c>
      <c r="P794" s="120"/>
    </row>
    <row r="795" spans="1:16">
      <c r="A795" s="214" t="s">
        <v>1519</v>
      </c>
      <c r="B795" s="214" t="s">
        <v>810</v>
      </c>
      <c r="C795" s="222" t="s">
        <v>809</v>
      </c>
      <c r="D795" s="222" t="s">
        <v>1085</v>
      </c>
      <c r="E795" s="222" t="s">
        <v>4465</v>
      </c>
      <c r="F795" s="214" t="s">
        <v>4466</v>
      </c>
      <c r="G795" s="214" t="s">
        <v>4899</v>
      </c>
      <c r="H795" s="214" t="s">
        <v>4468</v>
      </c>
      <c r="I795" s="214" t="s">
        <v>4469</v>
      </c>
      <c r="J795" s="214" t="s">
        <v>4470</v>
      </c>
      <c r="K795" s="214" t="s">
        <v>9276</v>
      </c>
      <c r="L795" s="214" t="s">
        <v>10525</v>
      </c>
      <c r="M795" s="214" t="s">
        <v>9878</v>
      </c>
      <c r="P795" s="120"/>
    </row>
    <row r="796" spans="1:16">
      <c r="A796" s="214" t="s">
        <v>1523</v>
      </c>
      <c r="B796" s="214" t="s">
        <v>814</v>
      </c>
      <c r="C796" s="222" t="s">
        <v>813</v>
      </c>
      <c r="D796" s="222" t="s">
        <v>1005</v>
      </c>
      <c r="E796" s="222" t="s">
        <v>4471</v>
      </c>
      <c r="F796" s="214" t="s">
        <v>4472</v>
      </c>
      <c r="G796" s="214" t="s">
        <v>4914</v>
      </c>
      <c r="H796" s="214" t="s">
        <v>4474</v>
      </c>
      <c r="I796" s="214" t="s">
        <v>4475</v>
      </c>
      <c r="J796" s="214" t="s">
        <v>4476</v>
      </c>
      <c r="K796" s="214" t="s">
        <v>9277</v>
      </c>
      <c r="L796" s="214" t="s">
        <v>10526</v>
      </c>
      <c r="M796" s="214" t="s">
        <v>9879</v>
      </c>
      <c r="P796" s="120"/>
    </row>
    <row r="797" spans="1:16">
      <c r="A797" s="215" t="s">
        <v>1524</v>
      </c>
      <c r="B797" s="214" t="s">
        <v>814</v>
      </c>
      <c r="C797" s="222" t="s">
        <v>813</v>
      </c>
      <c r="D797" s="222" t="s">
        <v>1005</v>
      </c>
      <c r="E797" s="222" t="s">
        <v>4471</v>
      </c>
      <c r="F797" s="214" t="s">
        <v>4472</v>
      </c>
      <c r="G797" s="214" t="s">
        <v>4914</v>
      </c>
      <c r="H797" s="214" t="s">
        <v>4474</v>
      </c>
      <c r="I797" s="214" t="s">
        <v>4475</v>
      </c>
      <c r="J797" s="214" t="s">
        <v>4476</v>
      </c>
      <c r="K797" s="214" t="s">
        <v>9277</v>
      </c>
      <c r="L797" s="214" t="s">
        <v>10526</v>
      </c>
      <c r="M797" s="214" t="s">
        <v>9879</v>
      </c>
      <c r="P797" s="120"/>
    </row>
    <row r="798" spans="1:16">
      <c r="A798" s="214" t="s">
        <v>1525</v>
      </c>
      <c r="B798" s="214" t="s">
        <v>814</v>
      </c>
      <c r="C798" s="222" t="s">
        <v>813</v>
      </c>
      <c r="D798" s="222" t="s">
        <v>1005</v>
      </c>
      <c r="E798" s="222" t="s">
        <v>4471</v>
      </c>
      <c r="F798" s="214" t="s">
        <v>4472</v>
      </c>
      <c r="G798" s="214" t="s">
        <v>4914</v>
      </c>
      <c r="H798" s="214" t="s">
        <v>4474</v>
      </c>
      <c r="I798" s="214" t="s">
        <v>4475</v>
      </c>
      <c r="J798" s="214" t="s">
        <v>4476</v>
      </c>
      <c r="K798" s="214" t="s">
        <v>9277</v>
      </c>
      <c r="L798" s="214" t="s">
        <v>10526</v>
      </c>
      <c r="M798" s="214" t="s">
        <v>9879</v>
      </c>
      <c r="P798" s="120"/>
    </row>
    <row r="799" spans="1:16">
      <c r="A799" s="214" t="s">
        <v>2385</v>
      </c>
      <c r="B799" s="214" t="s">
        <v>1279</v>
      </c>
      <c r="C799" s="222" t="s">
        <v>1278</v>
      </c>
      <c r="D799" s="222" t="s">
        <v>1280</v>
      </c>
      <c r="E799" s="222" t="s">
        <v>5029</v>
      </c>
      <c r="F799" s="214" t="s">
        <v>5030</v>
      </c>
      <c r="G799" s="214" t="s">
        <v>5031</v>
      </c>
      <c r="H799" s="214" t="s">
        <v>5032</v>
      </c>
      <c r="I799" s="214" t="s">
        <v>5033</v>
      </c>
      <c r="J799" s="214" t="s">
        <v>5034</v>
      </c>
      <c r="K799" s="214" t="s">
        <v>9316</v>
      </c>
      <c r="L799" s="214" t="s">
        <v>10613</v>
      </c>
      <c r="M799" s="214" t="s">
        <v>9968</v>
      </c>
      <c r="P799" s="120"/>
    </row>
    <row r="800" spans="1:16">
      <c r="A800" s="214" t="s">
        <v>2386</v>
      </c>
      <c r="B800" s="214" t="s">
        <v>1279</v>
      </c>
      <c r="C800" s="222" t="s">
        <v>1278</v>
      </c>
      <c r="D800" s="222" t="s">
        <v>1280</v>
      </c>
      <c r="E800" s="222" t="s">
        <v>5029</v>
      </c>
      <c r="F800" s="214" t="s">
        <v>5030</v>
      </c>
      <c r="G800" s="214" t="s">
        <v>5031</v>
      </c>
      <c r="H800" s="214" t="s">
        <v>5032</v>
      </c>
      <c r="I800" s="214" t="s">
        <v>5033</v>
      </c>
      <c r="J800" s="214" t="s">
        <v>5034</v>
      </c>
      <c r="K800" s="214" t="s">
        <v>9316</v>
      </c>
      <c r="L800" s="214" t="s">
        <v>10613</v>
      </c>
      <c r="M800" s="214" t="s">
        <v>9968</v>
      </c>
      <c r="P800" s="120"/>
    </row>
    <row r="801" spans="1:16">
      <c r="A801" s="214" t="s">
        <v>2388</v>
      </c>
      <c r="B801" s="214" t="s">
        <v>1279</v>
      </c>
      <c r="C801" s="222" t="s">
        <v>1278</v>
      </c>
      <c r="D801" s="222" t="s">
        <v>1280</v>
      </c>
      <c r="E801" s="222" t="s">
        <v>5029</v>
      </c>
      <c r="F801" s="214" t="s">
        <v>5030</v>
      </c>
      <c r="G801" s="214" t="s">
        <v>5031</v>
      </c>
      <c r="H801" s="214" t="s">
        <v>5032</v>
      </c>
      <c r="I801" s="214" t="s">
        <v>5033</v>
      </c>
      <c r="J801" s="214" t="s">
        <v>5034</v>
      </c>
      <c r="K801" s="214" t="s">
        <v>9316</v>
      </c>
      <c r="L801" s="214" t="s">
        <v>10613</v>
      </c>
      <c r="M801" s="214" t="s">
        <v>9968</v>
      </c>
      <c r="P801" s="120"/>
    </row>
    <row r="802" spans="1:16">
      <c r="A802" s="214" t="s">
        <v>2389</v>
      </c>
      <c r="B802" s="214" t="s">
        <v>1279</v>
      </c>
      <c r="C802" s="222" t="s">
        <v>1278</v>
      </c>
      <c r="D802" s="222" t="s">
        <v>1280</v>
      </c>
      <c r="E802" s="222" t="s">
        <v>5029</v>
      </c>
      <c r="F802" s="214" t="s">
        <v>5030</v>
      </c>
      <c r="G802" s="214" t="s">
        <v>5031</v>
      </c>
      <c r="H802" s="214" t="s">
        <v>5032</v>
      </c>
      <c r="I802" s="214" t="s">
        <v>5033</v>
      </c>
      <c r="J802" s="214" t="s">
        <v>5034</v>
      </c>
      <c r="K802" s="214" t="s">
        <v>9316</v>
      </c>
      <c r="L802" s="214" t="s">
        <v>10613</v>
      </c>
      <c r="M802" s="214" t="s">
        <v>9968</v>
      </c>
      <c r="P802" s="120"/>
    </row>
    <row r="803" spans="1:16">
      <c r="A803" s="214" t="s">
        <v>2390</v>
      </c>
      <c r="B803" s="214" t="s">
        <v>1279</v>
      </c>
      <c r="C803" s="222" t="s">
        <v>1278</v>
      </c>
      <c r="D803" s="222" t="s">
        <v>1280</v>
      </c>
      <c r="E803" s="222" t="s">
        <v>5029</v>
      </c>
      <c r="F803" s="214" t="s">
        <v>5030</v>
      </c>
      <c r="G803" s="214" t="s">
        <v>5031</v>
      </c>
      <c r="H803" s="214" t="s">
        <v>5032</v>
      </c>
      <c r="I803" s="214" t="s">
        <v>5033</v>
      </c>
      <c r="J803" s="214" t="s">
        <v>5034</v>
      </c>
      <c r="K803" s="214" t="s">
        <v>9316</v>
      </c>
      <c r="L803" s="214" t="s">
        <v>10613</v>
      </c>
      <c r="M803" s="214" t="s">
        <v>9968</v>
      </c>
      <c r="P803" s="120"/>
    </row>
    <row r="804" spans="1:16">
      <c r="A804" s="214" t="s">
        <v>1531</v>
      </c>
      <c r="B804" s="214" t="s">
        <v>1279</v>
      </c>
      <c r="C804" s="222" t="s">
        <v>1278</v>
      </c>
      <c r="D804" s="222" t="s">
        <v>1280</v>
      </c>
      <c r="E804" s="222" t="s">
        <v>5029</v>
      </c>
      <c r="F804" s="214" t="s">
        <v>5030</v>
      </c>
      <c r="G804" s="214" t="s">
        <v>5031</v>
      </c>
      <c r="H804" s="214" t="s">
        <v>5032</v>
      </c>
      <c r="I804" s="214" t="s">
        <v>5033</v>
      </c>
      <c r="J804" s="214" t="s">
        <v>5034</v>
      </c>
      <c r="K804" s="223" t="s">
        <v>9316</v>
      </c>
      <c r="L804" s="214" t="s">
        <v>10613</v>
      </c>
      <c r="M804" s="214" t="s">
        <v>9968</v>
      </c>
      <c r="P804" s="120"/>
    </row>
    <row r="805" spans="1:16">
      <c r="A805" s="214" t="s">
        <v>1532</v>
      </c>
      <c r="B805" s="214" t="s">
        <v>1279</v>
      </c>
      <c r="C805" s="222" t="s">
        <v>1278</v>
      </c>
      <c r="D805" s="222" t="s">
        <v>1280</v>
      </c>
      <c r="E805" s="222" t="s">
        <v>5029</v>
      </c>
      <c r="F805" s="214" t="s">
        <v>5030</v>
      </c>
      <c r="G805" s="214" t="s">
        <v>5031</v>
      </c>
      <c r="H805" s="214" t="s">
        <v>5032</v>
      </c>
      <c r="I805" s="214" t="s">
        <v>5033</v>
      </c>
      <c r="J805" s="214" t="s">
        <v>5034</v>
      </c>
      <c r="K805" s="223" t="s">
        <v>9316</v>
      </c>
      <c r="L805" s="214" t="s">
        <v>10613</v>
      </c>
      <c r="M805" s="214" t="s">
        <v>9968</v>
      </c>
      <c r="P805" s="120"/>
    </row>
    <row r="806" spans="1:16">
      <c r="A806" s="214" t="s">
        <v>1533</v>
      </c>
      <c r="B806" s="214" t="s">
        <v>1148</v>
      </c>
      <c r="C806" s="222" t="s">
        <v>1147</v>
      </c>
      <c r="D806" s="222" t="s">
        <v>1149</v>
      </c>
      <c r="E806" s="222" t="s">
        <v>4926</v>
      </c>
      <c r="F806" s="214" t="s">
        <v>4927</v>
      </c>
      <c r="G806" s="214" t="s">
        <v>4928</v>
      </c>
      <c r="H806" s="214" t="s">
        <v>4929</v>
      </c>
      <c r="I806" s="214" t="s">
        <v>4930</v>
      </c>
      <c r="J806" s="214" t="s">
        <v>4931</v>
      </c>
      <c r="K806" s="214" t="s">
        <v>9301</v>
      </c>
      <c r="L806" s="214" t="s">
        <v>10597</v>
      </c>
      <c r="M806" s="214" t="s">
        <v>9968</v>
      </c>
      <c r="P806" s="120"/>
    </row>
    <row r="807" spans="1:16">
      <c r="A807" s="214" t="s">
        <v>1534</v>
      </c>
      <c r="B807" s="214" t="s">
        <v>1148</v>
      </c>
      <c r="C807" s="222" t="s">
        <v>1147</v>
      </c>
      <c r="D807" s="222" t="s">
        <v>1149</v>
      </c>
      <c r="E807" s="222" t="s">
        <v>4926</v>
      </c>
      <c r="F807" s="214" t="s">
        <v>4927</v>
      </c>
      <c r="G807" s="214" t="s">
        <v>4928</v>
      </c>
      <c r="H807" s="214" t="s">
        <v>4929</v>
      </c>
      <c r="I807" s="214" t="s">
        <v>4930</v>
      </c>
      <c r="J807" s="214" t="s">
        <v>4931</v>
      </c>
      <c r="K807" s="214" t="s">
        <v>9301</v>
      </c>
      <c r="L807" s="214" t="s">
        <v>10597</v>
      </c>
      <c r="M807" s="214" t="s">
        <v>9968</v>
      </c>
      <c r="P807" s="120"/>
    </row>
    <row r="808" spans="1:16">
      <c r="A808" s="214" t="s">
        <v>1535</v>
      </c>
      <c r="B808" s="214" t="s">
        <v>1164</v>
      </c>
      <c r="C808" s="222" t="s">
        <v>1163</v>
      </c>
      <c r="D808" s="222" t="s">
        <v>1165</v>
      </c>
      <c r="E808" s="222" t="s">
        <v>4941</v>
      </c>
      <c r="F808" s="214" t="s">
        <v>4942</v>
      </c>
      <c r="G808" s="214" t="s">
        <v>4943</v>
      </c>
      <c r="H808" s="214" t="s">
        <v>4944</v>
      </c>
      <c r="I808" s="214" t="s">
        <v>4945</v>
      </c>
      <c r="J808" s="214" t="s">
        <v>4946</v>
      </c>
      <c r="K808" s="214" t="s">
        <v>9303</v>
      </c>
      <c r="L808" s="214" t="s">
        <v>10599</v>
      </c>
      <c r="M808" s="214" t="s">
        <v>9954</v>
      </c>
      <c r="P808" s="120"/>
    </row>
    <row r="809" spans="1:16">
      <c r="A809" s="219" t="s">
        <v>1536</v>
      </c>
      <c r="B809" s="214" t="s">
        <v>1164</v>
      </c>
      <c r="C809" s="222" t="s">
        <v>1163</v>
      </c>
      <c r="D809" s="222" t="s">
        <v>1165</v>
      </c>
      <c r="E809" s="222" t="s">
        <v>4941</v>
      </c>
      <c r="F809" s="214" t="s">
        <v>4942</v>
      </c>
      <c r="G809" s="214" t="s">
        <v>4943</v>
      </c>
      <c r="H809" s="214" t="s">
        <v>4944</v>
      </c>
      <c r="I809" s="214" t="s">
        <v>4945</v>
      </c>
      <c r="J809" s="214" t="s">
        <v>4946</v>
      </c>
      <c r="K809" s="214" t="s">
        <v>9303</v>
      </c>
      <c r="L809" s="214" t="s">
        <v>10599</v>
      </c>
      <c r="M809" s="214" t="s">
        <v>9954</v>
      </c>
      <c r="P809" s="120"/>
    </row>
    <row r="810" spans="1:16">
      <c r="A810" s="214" t="s">
        <v>5248</v>
      </c>
      <c r="B810" s="214" t="s">
        <v>1279</v>
      </c>
      <c r="C810" s="222" t="s">
        <v>1278</v>
      </c>
      <c r="D810" s="222" t="s">
        <v>1280</v>
      </c>
      <c r="E810" s="222" t="s">
        <v>5029</v>
      </c>
      <c r="F810" s="214" t="s">
        <v>5030</v>
      </c>
      <c r="G810" s="214" t="s">
        <v>5031</v>
      </c>
      <c r="H810" s="214" t="s">
        <v>5032</v>
      </c>
      <c r="I810" s="214" t="s">
        <v>5033</v>
      </c>
      <c r="J810" s="214" t="s">
        <v>5034</v>
      </c>
      <c r="K810" s="214" t="s">
        <v>9316</v>
      </c>
      <c r="L810" s="214" t="s">
        <v>10613</v>
      </c>
      <c r="M810" s="214" t="s">
        <v>9968</v>
      </c>
      <c r="P810" s="120"/>
    </row>
    <row r="811" spans="1:16">
      <c r="A811" s="214" t="s">
        <v>5250</v>
      </c>
      <c r="B811" s="214" t="s">
        <v>1279</v>
      </c>
      <c r="C811" s="222" t="s">
        <v>1278</v>
      </c>
      <c r="D811" s="222" t="s">
        <v>1280</v>
      </c>
      <c r="E811" s="222" t="s">
        <v>5029</v>
      </c>
      <c r="F811" s="214" t="s">
        <v>5030</v>
      </c>
      <c r="G811" s="214" t="s">
        <v>5031</v>
      </c>
      <c r="H811" s="214" t="s">
        <v>5032</v>
      </c>
      <c r="I811" s="214" t="s">
        <v>5033</v>
      </c>
      <c r="J811" s="214" t="s">
        <v>5034</v>
      </c>
      <c r="K811" s="214" t="s">
        <v>9316</v>
      </c>
      <c r="L811" s="214" t="s">
        <v>10613</v>
      </c>
      <c r="M811" s="214" t="s">
        <v>9968</v>
      </c>
      <c r="P811" s="120"/>
    </row>
    <row r="812" spans="1:16">
      <c r="A812" s="215" t="s">
        <v>1537</v>
      </c>
      <c r="B812" s="214" t="s">
        <v>825</v>
      </c>
      <c r="C812" s="222" t="s">
        <v>824</v>
      </c>
      <c r="D812" s="222" t="s">
        <v>1168</v>
      </c>
      <c r="E812" s="222" t="s">
        <v>4512</v>
      </c>
      <c r="F812" s="214" t="s">
        <v>4513</v>
      </c>
      <c r="G812" s="214" t="s">
        <v>4947</v>
      </c>
      <c r="H812" s="214" t="s">
        <v>4515</v>
      </c>
      <c r="I812" s="214" t="s">
        <v>4516</v>
      </c>
      <c r="J812" s="214" t="s">
        <v>4517</v>
      </c>
      <c r="K812" s="214" t="s">
        <v>9284</v>
      </c>
      <c r="L812" s="214" t="s">
        <v>10533</v>
      </c>
      <c r="M812" s="214" t="s">
        <v>9886</v>
      </c>
      <c r="P812" s="120"/>
    </row>
    <row r="813" spans="1:16">
      <c r="A813" s="214" t="s">
        <v>2391</v>
      </c>
      <c r="B813" s="214" t="s">
        <v>1171</v>
      </c>
      <c r="C813" s="222" t="s">
        <v>1170</v>
      </c>
      <c r="D813" s="222" t="s">
        <v>1172</v>
      </c>
      <c r="E813" s="222" t="s">
        <v>4951</v>
      </c>
      <c r="F813" s="214" t="s">
        <v>4952</v>
      </c>
      <c r="G813" s="214" t="s">
        <v>4953</v>
      </c>
      <c r="H813" s="214" t="s">
        <v>4951</v>
      </c>
      <c r="I813" s="214" t="s">
        <v>4954</v>
      </c>
      <c r="J813" s="214" t="s">
        <v>4955</v>
      </c>
      <c r="K813" s="214" t="s">
        <v>9304</v>
      </c>
      <c r="L813" s="214" t="s">
        <v>10600</v>
      </c>
      <c r="M813" s="214" t="s">
        <v>9956</v>
      </c>
      <c r="P813" s="120"/>
    </row>
    <row r="814" spans="1:16">
      <c r="A814" s="214" t="s">
        <v>5251</v>
      </c>
      <c r="B814" s="214" t="s">
        <v>1286</v>
      </c>
      <c r="C814" s="222" t="s">
        <v>1285</v>
      </c>
      <c r="D814" s="222" t="s">
        <v>1287</v>
      </c>
      <c r="E814" s="222" t="s">
        <v>5056</v>
      </c>
      <c r="F814" s="214" t="s">
        <v>5057</v>
      </c>
      <c r="G814" s="214" t="s">
        <v>5058</v>
      </c>
      <c r="H814" s="214" t="s">
        <v>5059</v>
      </c>
      <c r="I814" s="214" t="s">
        <v>5060</v>
      </c>
      <c r="J814" s="214" t="s">
        <v>5061</v>
      </c>
      <c r="K814" s="214" t="s">
        <v>9320</v>
      </c>
      <c r="L814" s="214" t="s">
        <v>10617</v>
      </c>
      <c r="M814" s="214" t="s">
        <v>10002</v>
      </c>
      <c r="P814" s="120"/>
    </row>
    <row r="815" spans="1:16">
      <c r="A815" s="214" t="s">
        <v>5253</v>
      </c>
      <c r="B815" s="214" t="s">
        <v>1286</v>
      </c>
      <c r="C815" s="222" t="s">
        <v>1285</v>
      </c>
      <c r="D815" s="222" t="s">
        <v>1287</v>
      </c>
      <c r="E815" s="222" t="s">
        <v>5056</v>
      </c>
      <c r="F815" s="214" t="s">
        <v>5057</v>
      </c>
      <c r="G815" s="214" t="s">
        <v>5058</v>
      </c>
      <c r="H815" s="214" t="s">
        <v>5059</v>
      </c>
      <c r="I815" s="214" t="s">
        <v>5060</v>
      </c>
      <c r="J815" s="214" t="s">
        <v>5067</v>
      </c>
      <c r="K815" s="214" t="s">
        <v>9320</v>
      </c>
      <c r="L815" s="214" t="s">
        <v>10617</v>
      </c>
      <c r="M815" s="214" t="s">
        <v>10002</v>
      </c>
      <c r="P815" s="120"/>
    </row>
    <row r="816" spans="1:16">
      <c r="A816" s="214" t="s">
        <v>1539</v>
      </c>
      <c r="B816" s="214" t="s">
        <v>1541</v>
      </c>
      <c r="C816" s="222" t="s">
        <v>1540</v>
      </c>
      <c r="D816" s="222" t="s">
        <v>1542</v>
      </c>
      <c r="E816" s="222" t="s">
        <v>4477</v>
      </c>
      <c r="F816" s="214" t="s">
        <v>4478</v>
      </c>
      <c r="G816" s="214" t="s">
        <v>5227</v>
      </c>
      <c r="H816" s="214" t="s">
        <v>4480</v>
      </c>
      <c r="I816" s="214" t="s">
        <v>4481</v>
      </c>
      <c r="J816" s="214" t="s">
        <v>4482</v>
      </c>
      <c r="K816" s="214" t="s">
        <v>9278</v>
      </c>
      <c r="L816" s="214" t="s">
        <v>10527</v>
      </c>
      <c r="M816" s="214" t="s">
        <v>9880</v>
      </c>
      <c r="P816" s="120"/>
    </row>
    <row r="817" spans="1:16">
      <c r="A817" s="214" t="s">
        <v>1543</v>
      </c>
      <c r="B817" s="214" t="s">
        <v>1279</v>
      </c>
      <c r="C817" s="222" t="s">
        <v>1278</v>
      </c>
      <c r="D817" s="222" t="s">
        <v>1280</v>
      </c>
      <c r="E817" s="222" t="s">
        <v>5029</v>
      </c>
      <c r="F817" s="214" t="s">
        <v>5030</v>
      </c>
      <c r="G817" s="214" t="s">
        <v>5031</v>
      </c>
      <c r="H817" s="214" t="s">
        <v>5032</v>
      </c>
      <c r="I817" s="214" t="s">
        <v>5033</v>
      </c>
      <c r="J817" s="214" t="s">
        <v>5034</v>
      </c>
      <c r="K817" s="214" t="s">
        <v>9316</v>
      </c>
      <c r="L817" s="214" t="s">
        <v>10613</v>
      </c>
      <c r="M817" s="214" t="s">
        <v>9968</v>
      </c>
      <c r="P817" s="120"/>
    </row>
    <row r="818" spans="1:16">
      <c r="A818" s="214" t="s">
        <v>2393</v>
      </c>
      <c r="B818" s="214" t="s">
        <v>2623</v>
      </c>
      <c r="C818" s="222" t="s">
        <v>2736</v>
      </c>
      <c r="D818" s="222" t="s">
        <v>2791</v>
      </c>
      <c r="E818" s="222" t="s">
        <v>5255</v>
      </c>
      <c r="F818" s="214" t="s">
        <v>5256</v>
      </c>
      <c r="G818" s="214" t="s">
        <v>5257</v>
      </c>
      <c r="H818" s="214" t="s">
        <v>5255</v>
      </c>
      <c r="I818" s="214" t="s">
        <v>5258</v>
      </c>
      <c r="J818" s="214" t="s">
        <v>5259</v>
      </c>
      <c r="K818" s="214" t="s">
        <v>9348</v>
      </c>
      <c r="L818" s="214" t="s">
        <v>10642</v>
      </c>
      <c r="M818" s="214" t="s">
        <v>10003</v>
      </c>
      <c r="P818" s="120"/>
    </row>
    <row r="819" spans="1:16">
      <c r="A819" s="214" t="s">
        <v>2395</v>
      </c>
      <c r="B819" s="214" t="s">
        <v>2624</v>
      </c>
      <c r="C819" s="222" t="s">
        <v>2737</v>
      </c>
      <c r="D819" s="222" t="s">
        <v>2792</v>
      </c>
      <c r="E819" s="222" t="s">
        <v>5260</v>
      </c>
      <c r="F819" s="214" t="s">
        <v>5261</v>
      </c>
      <c r="G819" s="214" t="s">
        <v>5262</v>
      </c>
      <c r="H819" s="214" t="s">
        <v>5263</v>
      </c>
      <c r="I819" s="214" t="s">
        <v>5264</v>
      </c>
      <c r="J819" s="214" t="s">
        <v>5265</v>
      </c>
      <c r="K819" s="214" t="s">
        <v>9349</v>
      </c>
      <c r="L819" s="214" t="s">
        <v>10643</v>
      </c>
      <c r="M819" s="214" t="s">
        <v>10004</v>
      </c>
      <c r="P819" s="120"/>
    </row>
    <row r="820" spans="1:16">
      <c r="A820" s="214" t="s">
        <v>2396</v>
      </c>
      <c r="B820" s="214" t="s">
        <v>2653</v>
      </c>
      <c r="C820" s="222" t="s">
        <v>2738</v>
      </c>
      <c r="D820" s="222" t="s">
        <v>2793</v>
      </c>
      <c r="E820" s="222" t="s">
        <v>5266</v>
      </c>
      <c r="F820" s="214" t="s">
        <v>5267</v>
      </c>
      <c r="G820" s="214" t="s">
        <v>5268</v>
      </c>
      <c r="H820" s="214" t="s">
        <v>5266</v>
      </c>
      <c r="I820" s="214" t="s">
        <v>5269</v>
      </c>
      <c r="J820" s="214" t="s">
        <v>5270</v>
      </c>
      <c r="K820" s="214" t="s">
        <v>9350</v>
      </c>
      <c r="L820" s="214" t="s">
        <v>10644</v>
      </c>
      <c r="M820" s="214" t="s">
        <v>10005</v>
      </c>
      <c r="P820" s="120"/>
    </row>
    <row r="821" spans="1:16">
      <c r="A821" s="214" t="s">
        <v>5271</v>
      </c>
      <c r="B821" s="214" t="s">
        <v>1279</v>
      </c>
      <c r="C821" s="222" t="s">
        <v>1278</v>
      </c>
      <c r="D821" s="222" t="s">
        <v>1280</v>
      </c>
      <c r="E821" s="222" t="s">
        <v>5029</v>
      </c>
      <c r="F821" s="214" t="s">
        <v>5030</v>
      </c>
      <c r="G821" s="214" t="s">
        <v>5031</v>
      </c>
      <c r="H821" s="214" t="s">
        <v>5032</v>
      </c>
      <c r="I821" s="214" t="s">
        <v>5033</v>
      </c>
      <c r="J821" s="214" t="s">
        <v>5063</v>
      </c>
      <c r="K821" s="214" t="s">
        <v>9316</v>
      </c>
      <c r="L821" s="214" t="s">
        <v>10613</v>
      </c>
      <c r="M821" s="214" t="s">
        <v>9968</v>
      </c>
      <c r="P821" s="120"/>
    </row>
    <row r="822" spans="1:16">
      <c r="A822" s="214" t="s">
        <v>5272</v>
      </c>
      <c r="B822" s="214" t="s">
        <v>1279</v>
      </c>
      <c r="C822" s="222" t="s">
        <v>1278</v>
      </c>
      <c r="D822" s="222" t="s">
        <v>1280</v>
      </c>
      <c r="E822" s="222" t="s">
        <v>5029</v>
      </c>
      <c r="F822" s="214" t="s">
        <v>5030</v>
      </c>
      <c r="G822" s="214" t="s">
        <v>5031</v>
      </c>
      <c r="H822" s="214" t="s">
        <v>5032</v>
      </c>
      <c r="I822" s="214" t="s">
        <v>5033</v>
      </c>
      <c r="J822" s="214" t="s">
        <v>5063</v>
      </c>
      <c r="K822" s="214" t="s">
        <v>9316</v>
      </c>
      <c r="L822" s="214" t="s">
        <v>10613</v>
      </c>
      <c r="M822" s="214" t="s">
        <v>9968</v>
      </c>
      <c r="P822" s="120"/>
    </row>
    <row r="823" spans="1:16">
      <c r="A823" s="214" t="s">
        <v>5273</v>
      </c>
      <c r="B823" s="214" t="s">
        <v>825</v>
      </c>
      <c r="C823" s="222" t="s">
        <v>824</v>
      </c>
      <c r="D823" s="222" t="s">
        <v>1168</v>
      </c>
      <c r="E823" s="222" t="s">
        <v>4512</v>
      </c>
      <c r="F823" s="214" t="s">
        <v>4513</v>
      </c>
      <c r="G823" s="214" t="s">
        <v>4947</v>
      </c>
      <c r="H823" s="214" t="s">
        <v>4515</v>
      </c>
      <c r="I823" s="214" t="s">
        <v>4516</v>
      </c>
      <c r="J823" s="214" t="s">
        <v>4976</v>
      </c>
      <c r="K823" s="214" t="s">
        <v>9284</v>
      </c>
      <c r="L823" s="214" t="s">
        <v>10533</v>
      </c>
      <c r="M823" s="214" t="s">
        <v>9886</v>
      </c>
      <c r="P823" s="120"/>
    </row>
    <row r="824" spans="1:16">
      <c r="A824" s="214" t="s">
        <v>2545</v>
      </c>
      <c r="B824" s="214" t="s">
        <v>1171</v>
      </c>
      <c r="C824" s="222" t="s">
        <v>1170</v>
      </c>
      <c r="D824" s="222" t="s">
        <v>1172</v>
      </c>
      <c r="E824" s="222" t="s">
        <v>4951</v>
      </c>
      <c r="F824" s="214" t="s">
        <v>4952</v>
      </c>
      <c r="G824" s="214" t="s">
        <v>4953</v>
      </c>
      <c r="H824" s="214" t="s">
        <v>4951</v>
      </c>
      <c r="I824" s="214" t="s">
        <v>4954</v>
      </c>
      <c r="J824" s="214" t="s">
        <v>4955</v>
      </c>
      <c r="K824" s="223" t="s">
        <v>9304</v>
      </c>
      <c r="L824" s="214" t="s">
        <v>10600</v>
      </c>
      <c r="M824" s="214" t="s">
        <v>9956</v>
      </c>
      <c r="P824" s="120"/>
    </row>
    <row r="825" spans="1:16">
      <c r="A825" s="214" t="s">
        <v>5274</v>
      </c>
      <c r="B825" s="214" t="s">
        <v>1286</v>
      </c>
      <c r="C825" s="222" t="s">
        <v>1285</v>
      </c>
      <c r="D825" s="222" t="s">
        <v>1287</v>
      </c>
      <c r="E825" s="222" t="s">
        <v>5056</v>
      </c>
      <c r="F825" s="214" t="s">
        <v>5057</v>
      </c>
      <c r="G825" s="214" t="s">
        <v>5058</v>
      </c>
      <c r="H825" s="214" t="s">
        <v>5059</v>
      </c>
      <c r="I825" s="214" t="s">
        <v>5060</v>
      </c>
      <c r="J825" s="214" t="s">
        <v>5067</v>
      </c>
      <c r="K825" s="214" t="s">
        <v>9320</v>
      </c>
      <c r="L825" s="214" t="s">
        <v>10617</v>
      </c>
      <c r="M825" s="214" t="s">
        <v>10002</v>
      </c>
      <c r="P825" s="120"/>
    </row>
    <row r="826" spans="1:16">
      <c r="A826" s="220" t="s">
        <v>5275</v>
      </c>
      <c r="B826" s="214" t="s">
        <v>1286</v>
      </c>
      <c r="C826" s="222" t="s">
        <v>1285</v>
      </c>
      <c r="D826" s="222" t="s">
        <v>1287</v>
      </c>
      <c r="E826" s="222" t="s">
        <v>5056</v>
      </c>
      <c r="F826" s="214" t="s">
        <v>5057</v>
      </c>
      <c r="G826" s="214" t="s">
        <v>5058</v>
      </c>
      <c r="H826" s="214" t="s">
        <v>5059</v>
      </c>
      <c r="I826" s="214" t="s">
        <v>5060</v>
      </c>
      <c r="J826" s="214" t="s">
        <v>5067</v>
      </c>
      <c r="K826" s="214" t="s">
        <v>9320</v>
      </c>
      <c r="L826" s="214" t="s">
        <v>10617</v>
      </c>
      <c r="M826" s="214" t="s">
        <v>10002</v>
      </c>
      <c r="P826" s="120"/>
    </row>
    <row r="827" spans="1:16">
      <c r="A827" s="214" t="s">
        <v>5276</v>
      </c>
      <c r="B827" s="214" t="s">
        <v>1541</v>
      </c>
      <c r="C827" s="222" t="s">
        <v>1540</v>
      </c>
      <c r="D827" s="222" t="s">
        <v>1542</v>
      </c>
      <c r="E827" s="222" t="s">
        <v>4477</v>
      </c>
      <c r="F827" s="214" t="s">
        <v>4478</v>
      </c>
      <c r="G827" s="214" t="s">
        <v>5227</v>
      </c>
      <c r="H827" s="214" t="s">
        <v>4480</v>
      </c>
      <c r="I827" s="214" t="s">
        <v>4481</v>
      </c>
      <c r="J827" s="214" t="s">
        <v>5277</v>
      </c>
      <c r="K827" s="214" t="s">
        <v>9278</v>
      </c>
      <c r="L827" s="214" t="s">
        <v>10527</v>
      </c>
      <c r="M827" s="214" t="s">
        <v>9880</v>
      </c>
      <c r="P827" s="120"/>
    </row>
    <row r="828" spans="1:16">
      <c r="A828" s="214" t="s">
        <v>2546</v>
      </c>
      <c r="B828" s="214" t="s">
        <v>1279</v>
      </c>
      <c r="C828" s="222" t="s">
        <v>1278</v>
      </c>
      <c r="D828" s="222" t="s">
        <v>1280</v>
      </c>
      <c r="E828" s="222" t="s">
        <v>5029</v>
      </c>
      <c r="F828" s="214" t="s">
        <v>5030</v>
      </c>
      <c r="G828" s="214" t="s">
        <v>5031</v>
      </c>
      <c r="H828" s="214" t="s">
        <v>5032</v>
      </c>
      <c r="I828" s="214" t="s">
        <v>5033</v>
      </c>
      <c r="J828" s="214" t="s">
        <v>5063</v>
      </c>
      <c r="K828" s="214" t="s">
        <v>9316</v>
      </c>
      <c r="L828" s="214" t="s">
        <v>10613</v>
      </c>
      <c r="M828" s="214" t="s">
        <v>9968</v>
      </c>
      <c r="P828" s="120"/>
    </row>
    <row r="829" spans="1:16">
      <c r="A829" s="214" t="s">
        <v>2547</v>
      </c>
      <c r="B829" s="214" t="s">
        <v>2623</v>
      </c>
      <c r="C829" s="222" t="s">
        <v>2736</v>
      </c>
      <c r="D829" s="222" t="s">
        <v>2791</v>
      </c>
      <c r="E829" s="222" t="s">
        <v>5255</v>
      </c>
      <c r="F829" s="214" t="s">
        <v>5256</v>
      </c>
      <c r="G829" s="214" t="s">
        <v>5257</v>
      </c>
      <c r="H829" s="214" t="s">
        <v>5255</v>
      </c>
      <c r="I829" s="214" t="s">
        <v>5258</v>
      </c>
      <c r="J829" s="214" t="s">
        <v>5259</v>
      </c>
      <c r="K829" s="214" t="s">
        <v>9348</v>
      </c>
      <c r="L829" s="214" t="s">
        <v>10642</v>
      </c>
      <c r="M829" s="214" t="s">
        <v>10003</v>
      </c>
      <c r="P829" s="120"/>
    </row>
    <row r="830" spans="1:16">
      <c r="A830" s="214" t="s">
        <v>2548</v>
      </c>
      <c r="B830" s="214" t="s">
        <v>2624</v>
      </c>
      <c r="C830" s="222" t="s">
        <v>2737</v>
      </c>
      <c r="D830" s="222" t="s">
        <v>2792</v>
      </c>
      <c r="E830" s="222" t="s">
        <v>5260</v>
      </c>
      <c r="F830" s="214" t="s">
        <v>5261</v>
      </c>
      <c r="G830" s="214" t="s">
        <v>5262</v>
      </c>
      <c r="H830" s="214" t="s">
        <v>5263</v>
      </c>
      <c r="I830" s="214" t="s">
        <v>5264</v>
      </c>
      <c r="J830" s="214" t="s">
        <v>5265</v>
      </c>
      <c r="K830" s="214" t="s">
        <v>9349</v>
      </c>
      <c r="L830" s="214" t="s">
        <v>10643</v>
      </c>
      <c r="M830" s="214" t="s">
        <v>10004</v>
      </c>
      <c r="P830" s="120"/>
    </row>
    <row r="831" spans="1:16">
      <c r="A831" s="214" t="s">
        <v>2549</v>
      </c>
      <c r="B831" s="214" t="s">
        <v>2653</v>
      </c>
      <c r="C831" s="222" t="s">
        <v>2738</v>
      </c>
      <c r="D831" s="222" t="s">
        <v>2793</v>
      </c>
      <c r="E831" s="222" t="s">
        <v>5266</v>
      </c>
      <c r="F831" s="214" t="s">
        <v>5267</v>
      </c>
      <c r="G831" s="214" t="s">
        <v>5268</v>
      </c>
      <c r="H831" s="214" t="s">
        <v>5266</v>
      </c>
      <c r="I831" s="214" t="s">
        <v>5269</v>
      </c>
      <c r="J831" s="214" t="s">
        <v>5270</v>
      </c>
      <c r="K831" s="214" t="s">
        <v>9350</v>
      </c>
      <c r="L831" s="214" t="s">
        <v>10644</v>
      </c>
      <c r="M831" s="214" t="s">
        <v>10005</v>
      </c>
      <c r="P831" s="120"/>
    </row>
    <row r="832" spans="1:16">
      <c r="A832" s="214" t="s">
        <v>2398</v>
      </c>
      <c r="B832" s="214" t="s">
        <v>1158</v>
      </c>
      <c r="C832" s="222" t="s">
        <v>1157</v>
      </c>
      <c r="D832" s="222" t="s">
        <v>1159</v>
      </c>
      <c r="E832" s="222" t="s">
        <v>4843</v>
      </c>
      <c r="F832" s="214" t="s">
        <v>4844</v>
      </c>
      <c r="G832" s="214" t="s">
        <v>4845</v>
      </c>
      <c r="H832" s="214" t="s">
        <v>4846</v>
      </c>
      <c r="I832" s="214" t="s">
        <v>4847</v>
      </c>
      <c r="J832" s="214" t="s">
        <v>4938</v>
      </c>
      <c r="K832" s="214" t="s">
        <v>9290</v>
      </c>
      <c r="L832" s="214" t="s">
        <v>10586</v>
      </c>
      <c r="M832" s="214" t="s">
        <v>9940</v>
      </c>
      <c r="P832" s="120"/>
    </row>
    <row r="833" spans="1:16">
      <c r="A833" s="214" t="s">
        <v>2399</v>
      </c>
      <c r="B833" s="214" t="s">
        <v>1279</v>
      </c>
      <c r="C833" s="222" t="s">
        <v>1278</v>
      </c>
      <c r="D833" s="222" t="s">
        <v>1280</v>
      </c>
      <c r="E833" s="222" t="s">
        <v>5029</v>
      </c>
      <c r="F833" s="214" t="s">
        <v>5030</v>
      </c>
      <c r="G833" s="214" t="s">
        <v>5031</v>
      </c>
      <c r="H833" s="214" t="s">
        <v>5032</v>
      </c>
      <c r="I833" s="214" t="s">
        <v>5033</v>
      </c>
      <c r="J833" s="214" t="s">
        <v>5034</v>
      </c>
      <c r="K833" s="214" t="s">
        <v>9316</v>
      </c>
      <c r="L833" s="214" t="s">
        <v>10613</v>
      </c>
      <c r="M833" s="214" t="s">
        <v>9968</v>
      </c>
      <c r="P833" s="120"/>
    </row>
    <row r="834" spans="1:16">
      <c r="A834" s="214" t="s">
        <v>1544</v>
      </c>
      <c r="B834" s="214" t="s">
        <v>1279</v>
      </c>
      <c r="C834" s="222" t="s">
        <v>1278</v>
      </c>
      <c r="D834" s="222" t="s">
        <v>1280</v>
      </c>
      <c r="E834" s="222" t="s">
        <v>5029</v>
      </c>
      <c r="F834" s="214" t="s">
        <v>5030</v>
      </c>
      <c r="G834" s="214" t="s">
        <v>5031</v>
      </c>
      <c r="H834" s="214" t="s">
        <v>5032</v>
      </c>
      <c r="I834" s="214" t="s">
        <v>5033</v>
      </c>
      <c r="J834" s="214" t="s">
        <v>5034</v>
      </c>
      <c r="K834" s="214" t="s">
        <v>9316</v>
      </c>
      <c r="L834" s="214" t="s">
        <v>10613</v>
      </c>
      <c r="M834" s="214" t="s">
        <v>9968</v>
      </c>
      <c r="P834" s="120"/>
    </row>
    <row r="835" spans="1:16">
      <c r="A835" s="214" t="s">
        <v>1545</v>
      </c>
      <c r="B835" s="214" t="s">
        <v>1279</v>
      </c>
      <c r="C835" s="222" t="s">
        <v>1278</v>
      </c>
      <c r="D835" s="222" t="s">
        <v>1280</v>
      </c>
      <c r="E835" s="222" t="s">
        <v>5029</v>
      </c>
      <c r="F835" s="214" t="s">
        <v>5030</v>
      </c>
      <c r="G835" s="214" t="s">
        <v>5031</v>
      </c>
      <c r="H835" s="214" t="s">
        <v>5032</v>
      </c>
      <c r="I835" s="214" t="s">
        <v>5033</v>
      </c>
      <c r="J835" s="214" t="s">
        <v>5034</v>
      </c>
      <c r="K835" s="214" t="s">
        <v>9316</v>
      </c>
      <c r="L835" s="214" t="s">
        <v>10613</v>
      </c>
      <c r="M835" s="214" t="s">
        <v>9968</v>
      </c>
      <c r="P835" s="120"/>
    </row>
    <row r="836" spans="1:16">
      <c r="A836" s="214" t="s">
        <v>2400</v>
      </c>
      <c r="B836" s="214" t="s">
        <v>2623</v>
      </c>
      <c r="C836" s="222" t="s">
        <v>2736</v>
      </c>
      <c r="D836" s="222" t="s">
        <v>2791</v>
      </c>
      <c r="E836" s="222" t="s">
        <v>5255</v>
      </c>
      <c r="F836" s="214" t="s">
        <v>5256</v>
      </c>
      <c r="G836" s="214" t="s">
        <v>5257</v>
      </c>
      <c r="H836" s="214" t="s">
        <v>5255</v>
      </c>
      <c r="I836" s="214" t="s">
        <v>5258</v>
      </c>
      <c r="J836" s="214" t="s">
        <v>5259</v>
      </c>
      <c r="K836" s="214" t="s">
        <v>9348</v>
      </c>
      <c r="L836" s="214" t="s">
        <v>10642</v>
      </c>
      <c r="M836" s="214" t="s">
        <v>10003</v>
      </c>
      <c r="P836" s="120"/>
    </row>
    <row r="837" spans="1:16">
      <c r="A837" s="214" t="s">
        <v>2401</v>
      </c>
      <c r="B837" s="214" t="s">
        <v>2624</v>
      </c>
      <c r="C837" s="222" t="s">
        <v>2737</v>
      </c>
      <c r="D837" s="222" t="s">
        <v>2792</v>
      </c>
      <c r="E837" s="222" t="s">
        <v>5260</v>
      </c>
      <c r="F837" s="214" t="s">
        <v>5261</v>
      </c>
      <c r="G837" s="214" t="s">
        <v>5262</v>
      </c>
      <c r="H837" s="214" t="s">
        <v>5263</v>
      </c>
      <c r="I837" s="214" t="s">
        <v>5264</v>
      </c>
      <c r="J837" s="214" t="s">
        <v>5265</v>
      </c>
      <c r="K837" s="214" t="s">
        <v>9349</v>
      </c>
      <c r="L837" s="214" t="s">
        <v>10643</v>
      </c>
      <c r="M837" s="214" t="s">
        <v>10004</v>
      </c>
      <c r="P837" s="120"/>
    </row>
    <row r="838" spans="1:16">
      <c r="A838" s="214" t="s">
        <v>2402</v>
      </c>
      <c r="B838" s="214" t="s">
        <v>2653</v>
      </c>
      <c r="C838" s="222" t="s">
        <v>2738</v>
      </c>
      <c r="D838" s="222" t="s">
        <v>2793</v>
      </c>
      <c r="E838" s="222" t="s">
        <v>5266</v>
      </c>
      <c r="F838" s="214" t="s">
        <v>5267</v>
      </c>
      <c r="G838" s="214" t="s">
        <v>5268</v>
      </c>
      <c r="H838" s="214" t="s">
        <v>5266</v>
      </c>
      <c r="I838" s="214" t="s">
        <v>5269</v>
      </c>
      <c r="J838" s="214" t="s">
        <v>5270</v>
      </c>
      <c r="K838" s="214" t="s">
        <v>9350</v>
      </c>
      <c r="L838" s="214" t="s">
        <v>10644</v>
      </c>
      <c r="M838" s="214" t="s">
        <v>10005</v>
      </c>
      <c r="P838" s="120"/>
    </row>
    <row r="839" spans="1:16">
      <c r="A839" s="214" t="s">
        <v>2550</v>
      </c>
      <c r="B839" s="214" t="s">
        <v>1158</v>
      </c>
      <c r="C839" s="222" t="s">
        <v>1157</v>
      </c>
      <c r="D839" s="222" t="s">
        <v>1159</v>
      </c>
      <c r="E839" s="222" t="s">
        <v>4843</v>
      </c>
      <c r="F839" s="214" t="s">
        <v>4844</v>
      </c>
      <c r="G839" s="214" t="s">
        <v>4845</v>
      </c>
      <c r="H839" s="214" t="s">
        <v>4846</v>
      </c>
      <c r="I839" s="214" t="s">
        <v>4847</v>
      </c>
      <c r="J839" s="214" t="s">
        <v>4938</v>
      </c>
      <c r="K839" s="214" t="s">
        <v>9290</v>
      </c>
      <c r="L839" s="214" t="s">
        <v>10586</v>
      </c>
      <c r="M839" s="214" t="s">
        <v>9940</v>
      </c>
      <c r="P839" s="120"/>
    </row>
    <row r="840" spans="1:16">
      <c r="A840" s="214" t="s">
        <v>2551</v>
      </c>
      <c r="B840" s="214" t="s">
        <v>1279</v>
      </c>
      <c r="C840" s="222" t="s">
        <v>1278</v>
      </c>
      <c r="D840" s="222" t="s">
        <v>1280</v>
      </c>
      <c r="E840" s="222" t="s">
        <v>5029</v>
      </c>
      <c r="F840" s="214" t="s">
        <v>5030</v>
      </c>
      <c r="G840" s="214" t="s">
        <v>5031</v>
      </c>
      <c r="H840" s="214" t="s">
        <v>5032</v>
      </c>
      <c r="I840" s="214" t="s">
        <v>5033</v>
      </c>
      <c r="J840" s="214" t="s">
        <v>5034</v>
      </c>
      <c r="K840" s="214" t="s">
        <v>9316</v>
      </c>
      <c r="L840" s="214" t="s">
        <v>10613</v>
      </c>
      <c r="M840" s="214" t="s">
        <v>9968</v>
      </c>
      <c r="P840" s="120"/>
    </row>
    <row r="841" spans="1:16">
      <c r="A841" s="214" t="s">
        <v>2440</v>
      </c>
      <c r="B841" s="214" t="s">
        <v>1279</v>
      </c>
      <c r="C841" s="222" t="s">
        <v>1278</v>
      </c>
      <c r="D841" s="222" t="s">
        <v>1280</v>
      </c>
      <c r="E841" s="222" t="s">
        <v>5029</v>
      </c>
      <c r="F841" s="214" t="s">
        <v>5030</v>
      </c>
      <c r="G841" s="214" t="s">
        <v>5031</v>
      </c>
      <c r="H841" s="214" t="s">
        <v>5032</v>
      </c>
      <c r="I841" s="214" t="s">
        <v>5033</v>
      </c>
      <c r="J841" s="214" t="s">
        <v>5034</v>
      </c>
      <c r="K841" s="214" t="s">
        <v>9316</v>
      </c>
      <c r="L841" s="214" t="s">
        <v>10613</v>
      </c>
      <c r="M841" s="214" t="s">
        <v>9968</v>
      </c>
      <c r="P841" s="120"/>
    </row>
    <row r="842" spans="1:16">
      <c r="A842" s="215" t="s">
        <v>2552</v>
      </c>
      <c r="B842" s="214" t="s">
        <v>1279</v>
      </c>
      <c r="C842" s="222" t="s">
        <v>1278</v>
      </c>
      <c r="D842" s="222" t="s">
        <v>1280</v>
      </c>
      <c r="E842" s="222" t="s">
        <v>5029</v>
      </c>
      <c r="F842" s="214" t="s">
        <v>5030</v>
      </c>
      <c r="G842" s="214" t="s">
        <v>5031</v>
      </c>
      <c r="H842" s="214" t="s">
        <v>5032</v>
      </c>
      <c r="I842" s="214" t="s">
        <v>5033</v>
      </c>
      <c r="J842" s="214" t="s">
        <v>5034</v>
      </c>
      <c r="K842" s="214" t="s">
        <v>9316</v>
      </c>
      <c r="L842" s="214" t="s">
        <v>10613</v>
      </c>
      <c r="M842" s="214" t="s">
        <v>9968</v>
      </c>
      <c r="P842" s="120"/>
    </row>
    <row r="843" spans="1:16">
      <c r="A843" s="214" t="s">
        <v>2553</v>
      </c>
      <c r="B843" s="214" t="s">
        <v>2623</v>
      </c>
      <c r="C843" s="222" t="s">
        <v>2736</v>
      </c>
      <c r="D843" s="222" t="s">
        <v>2791</v>
      </c>
      <c r="E843" s="222" t="s">
        <v>5255</v>
      </c>
      <c r="F843" s="214" t="s">
        <v>5256</v>
      </c>
      <c r="G843" s="214" t="s">
        <v>5257</v>
      </c>
      <c r="H843" s="214" t="s">
        <v>5255</v>
      </c>
      <c r="I843" s="214" t="s">
        <v>5258</v>
      </c>
      <c r="J843" s="214" t="s">
        <v>5259</v>
      </c>
      <c r="K843" s="214" t="s">
        <v>9348</v>
      </c>
      <c r="L843" s="214" t="s">
        <v>10642</v>
      </c>
      <c r="M843" s="214" t="s">
        <v>10003</v>
      </c>
      <c r="P843" s="120"/>
    </row>
    <row r="844" spans="1:16">
      <c r="A844" s="214" t="s">
        <v>2554</v>
      </c>
      <c r="B844" s="214" t="s">
        <v>2624</v>
      </c>
      <c r="C844" s="222" t="s">
        <v>2737</v>
      </c>
      <c r="D844" s="222" t="s">
        <v>2792</v>
      </c>
      <c r="E844" s="222" t="s">
        <v>5260</v>
      </c>
      <c r="F844" s="214" t="s">
        <v>5261</v>
      </c>
      <c r="G844" s="214" t="s">
        <v>5262</v>
      </c>
      <c r="H844" s="214" t="s">
        <v>5263</v>
      </c>
      <c r="I844" s="214" t="s">
        <v>5264</v>
      </c>
      <c r="J844" s="214" t="s">
        <v>5265</v>
      </c>
      <c r="K844" s="214" t="s">
        <v>9349</v>
      </c>
      <c r="L844" s="214" t="s">
        <v>10643</v>
      </c>
      <c r="M844" s="214" t="s">
        <v>10004</v>
      </c>
      <c r="P844" s="120"/>
    </row>
    <row r="845" spans="1:16">
      <c r="A845" s="214" t="s">
        <v>2555</v>
      </c>
      <c r="B845" s="214" t="s">
        <v>2653</v>
      </c>
      <c r="C845" s="222" t="s">
        <v>2738</v>
      </c>
      <c r="D845" s="222" t="s">
        <v>2793</v>
      </c>
      <c r="E845" s="222" t="s">
        <v>5266</v>
      </c>
      <c r="F845" s="214" t="s">
        <v>5267</v>
      </c>
      <c r="G845" s="214" t="s">
        <v>5268</v>
      </c>
      <c r="H845" s="214" t="s">
        <v>5266</v>
      </c>
      <c r="I845" s="214" t="s">
        <v>5269</v>
      </c>
      <c r="J845" s="214" t="s">
        <v>5270</v>
      </c>
      <c r="K845" s="214" t="s">
        <v>9350</v>
      </c>
      <c r="L845" s="214" t="s">
        <v>10644</v>
      </c>
      <c r="M845" s="214" t="s">
        <v>10005</v>
      </c>
      <c r="P845" s="120"/>
    </row>
    <row r="846" spans="1:16">
      <c r="A846" s="214" t="s">
        <v>1546</v>
      </c>
      <c r="B846" s="214" t="s">
        <v>1171</v>
      </c>
      <c r="C846" s="222" t="s">
        <v>1170</v>
      </c>
      <c r="D846" s="222" t="s">
        <v>1172</v>
      </c>
      <c r="E846" s="222" t="s">
        <v>4951</v>
      </c>
      <c r="F846" s="214" t="s">
        <v>4952</v>
      </c>
      <c r="G846" s="214" t="s">
        <v>4953</v>
      </c>
      <c r="H846" s="214" t="s">
        <v>4951</v>
      </c>
      <c r="I846" s="214" t="s">
        <v>4954</v>
      </c>
      <c r="J846" s="214" t="s">
        <v>4955</v>
      </c>
      <c r="K846" s="214" t="s">
        <v>9304</v>
      </c>
      <c r="L846" s="214" t="s">
        <v>10600</v>
      </c>
      <c r="M846" s="214" t="s">
        <v>9956</v>
      </c>
      <c r="P846" s="120"/>
    </row>
    <row r="847" spans="1:16">
      <c r="A847" s="215" t="s">
        <v>2403</v>
      </c>
      <c r="B847" s="214" t="s">
        <v>1171</v>
      </c>
      <c r="C847" s="222" t="s">
        <v>1170</v>
      </c>
      <c r="D847" s="222" t="s">
        <v>1172</v>
      </c>
      <c r="E847" s="222" t="s">
        <v>4951</v>
      </c>
      <c r="F847" s="214" t="s">
        <v>4952</v>
      </c>
      <c r="G847" s="214" t="s">
        <v>4953</v>
      </c>
      <c r="H847" s="214" t="s">
        <v>4951</v>
      </c>
      <c r="I847" s="214" t="s">
        <v>4954</v>
      </c>
      <c r="J847" s="214" t="s">
        <v>4955</v>
      </c>
      <c r="K847" s="214" t="s">
        <v>9304</v>
      </c>
      <c r="L847" s="214" t="s">
        <v>10600</v>
      </c>
      <c r="M847" s="214" t="s">
        <v>9956</v>
      </c>
      <c r="P847" s="120"/>
    </row>
    <row r="848" spans="1:16">
      <c r="A848" s="214" t="s">
        <v>1547</v>
      </c>
      <c r="B848" s="214" t="s">
        <v>1302</v>
      </c>
      <c r="C848" s="222" t="s">
        <v>1301</v>
      </c>
      <c r="D848" s="222" t="s">
        <v>1303</v>
      </c>
      <c r="E848" s="222" t="s">
        <v>5278</v>
      </c>
      <c r="F848" s="214" t="s">
        <v>5279</v>
      </c>
      <c r="G848" s="214" t="s">
        <v>5280</v>
      </c>
      <c r="H848" s="214" t="s">
        <v>5278</v>
      </c>
      <c r="I848" s="214" t="s">
        <v>5281</v>
      </c>
      <c r="J848" s="214" t="s">
        <v>5282</v>
      </c>
      <c r="K848" s="214" t="s">
        <v>9351</v>
      </c>
      <c r="L848" s="214" t="s">
        <v>10645</v>
      </c>
      <c r="M848" s="214" t="s">
        <v>10006</v>
      </c>
      <c r="P848" s="120"/>
    </row>
    <row r="849" spans="1:16">
      <c r="A849" s="214" t="s">
        <v>1548</v>
      </c>
      <c r="B849" s="214" t="s">
        <v>1291</v>
      </c>
      <c r="C849" s="222" t="s">
        <v>1290</v>
      </c>
      <c r="D849" s="222" t="s">
        <v>1292</v>
      </c>
      <c r="E849" s="222" t="s">
        <v>5070</v>
      </c>
      <c r="F849" s="214" t="s">
        <v>5071</v>
      </c>
      <c r="G849" s="214" t="s">
        <v>5072</v>
      </c>
      <c r="H849" s="214" t="s">
        <v>5073</v>
      </c>
      <c r="I849" s="214" t="s">
        <v>5074</v>
      </c>
      <c r="J849" s="214" t="s">
        <v>5075</v>
      </c>
      <c r="K849" s="214" t="s">
        <v>9321</v>
      </c>
      <c r="L849" s="214" t="s">
        <v>10618</v>
      </c>
      <c r="M849" s="214" t="s">
        <v>9974</v>
      </c>
      <c r="P849" s="120"/>
    </row>
    <row r="850" spans="1:16">
      <c r="A850" s="214" t="s">
        <v>2404</v>
      </c>
      <c r="B850" s="214" t="s">
        <v>1189</v>
      </c>
      <c r="C850" s="222" t="s">
        <v>1188</v>
      </c>
      <c r="D850" s="222" t="s">
        <v>1190</v>
      </c>
      <c r="E850" s="222" t="s">
        <v>4979</v>
      </c>
      <c r="F850" s="214" t="s">
        <v>4980</v>
      </c>
      <c r="G850" s="214" t="s">
        <v>4981</v>
      </c>
      <c r="H850" s="214" t="s">
        <v>4982</v>
      </c>
      <c r="I850" s="214" t="s">
        <v>4983</v>
      </c>
      <c r="J850" s="214" t="s">
        <v>4984</v>
      </c>
      <c r="K850" s="223" t="s">
        <v>9308</v>
      </c>
      <c r="L850" s="214" t="s">
        <v>10603</v>
      </c>
      <c r="M850" s="214" t="s">
        <v>9959</v>
      </c>
      <c r="P850" s="120"/>
    </row>
    <row r="851" spans="1:16">
      <c r="A851" s="215" t="s">
        <v>2405</v>
      </c>
      <c r="B851" s="214" t="s">
        <v>828</v>
      </c>
      <c r="C851" s="222" t="s">
        <v>827</v>
      </c>
      <c r="D851" s="222" t="s">
        <v>2794</v>
      </c>
      <c r="E851" s="222" t="s">
        <v>4483</v>
      </c>
      <c r="F851" s="214" t="s">
        <v>4484</v>
      </c>
      <c r="G851" s="214" t="s">
        <v>5283</v>
      </c>
      <c r="H851" s="214" t="s">
        <v>4483</v>
      </c>
      <c r="I851" s="214" t="s">
        <v>4486</v>
      </c>
      <c r="J851" s="214" t="s">
        <v>4487</v>
      </c>
      <c r="K851" s="223" t="s">
        <v>9279</v>
      </c>
      <c r="L851" s="214" t="s">
        <v>10528</v>
      </c>
      <c r="M851" s="214" t="s">
        <v>9881</v>
      </c>
      <c r="P851" s="120"/>
    </row>
    <row r="852" spans="1:16">
      <c r="A852" s="214" t="s">
        <v>1549</v>
      </c>
      <c r="B852" s="214" t="s">
        <v>1302</v>
      </c>
      <c r="C852" s="222" t="s">
        <v>1301</v>
      </c>
      <c r="D852" s="222" t="s">
        <v>1303</v>
      </c>
      <c r="E852" s="222" t="s">
        <v>5278</v>
      </c>
      <c r="F852" s="214" t="s">
        <v>5279</v>
      </c>
      <c r="G852" s="214" t="s">
        <v>5280</v>
      </c>
      <c r="H852" s="214" t="s">
        <v>5278</v>
      </c>
      <c r="I852" s="214" t="s">
        <v>5281</v>
      </c>
      <c r="J852" s="214" t="s">
        <v>5282</v>
      </c>
      <c r="K852" s="214" t="s">
        <v>9351</v>
      </c>
      <c r="L852" s="214" t="s">
        <v>10645</v>
      </c>
      <c r="M852" s="214" t="s">
        <v>10006</v>
      </c>
      <c r="P852" s="120"/>
    </row>
    <row r="853" spans="1:16">
      <c r="A853" s="214" t="s">
        <v>2556</v>
      </c>
      <c r="B853" s="214" t="s">
        <v>1171</v>
      </c>
      <c r="C853" s="222" t="s">
        <v>1170</v>
      </c>
      <c r="D853" s="222" t="s">
        <v>1172</v>
      </c>
      <c r="E853" s="222" t="s">
        <v>4951</v>
      </c>
      <c r="F853" s="214" t="s">
        <v>4952</v>
      </c>
      <c r="G853" s="214" t="s">
        <v>4953</v>
      </c>
      <c r="H853" s="214" t="s">
        <v>4951</v>
      </c>
      <c r="I853" s="214" t="s">
        <v>4954</v>
      </c>
      <c r="J853" s="214" t="s">
        <v>4955</v>
      </c>
      <c r="K853" s="214" t="s">
        <v>9304</v>
      </c>
      <c r="L853" s="214" t="s">
        <v>10600</v>
      </c>
      <c r="M853" s="214" t="s">
        <v>9956</v>
      </c>
      <c r="P853" s="120"/>
    </row>
    <row r="854" spans="1:16">
      <c r="A854" s="214" t="s">
        <v>2557</v>
      </c>
      <c r="B854" s="214" t="s">
        <v>1171</v>
      </c>
      <c r="C854" s="222" t="s">
        <v>1170</v>
      </c>
      <c r="D854" s="222" t="s">
        <v>1172</v>
      </c>
      <c r="E854" s="222" t="s">
        <v>4951</v>
      </c>
      <c r="F854" s="214" t="s">
        <v>4952</v>
      </c>
      <c r="G854" s="214" t="s">
        <v>4953</v>
      </c>
      <c r="H854" s="214" t="s">
        <v>4951</v>
      </c>
      <c r="I854" s="214" t="s">
        <v>4954</v>
      </c>
      <c r="J854" s="214" t="s">
        <v>4955</v>
      </c>
      <c r="K854" s="214" t="s">
        <v>9304</v>
      </c>
      <c r="L854" s="214" t="s">
        <v>10600</v>
      </c>
      <c r="M854" s="214" t="s">
        <v>9956</v>
      </c>
      <c r="P854" s="120"/>
    </row>
    <row r="855" spans="1:16">
      <c r="A855" s="214" t="s">
        <v>5284</v>
      </c>
      <c r="B855" s="214" t="s">
        <v>1302</v>
      </c>
      <c r="C855" s="222" t="s">
        <v>1301</v>
      </c>
      <c r="D855" s="222" t="s">
        <v>1303</v>
      </c>
      <c r="E855" s="222" t="s">
        <v>5278</v>
      </c>
      <c r="F855" s="214" t="s">
        <v>5279</v>
      </c>
      <c r="G855" s="214" t="s">
        <v>5280</v>
      </c>
      <c r="H855" s="214" t="s">
        <v>5278</v>
      </c>
      <c r="I855" s="214" t="s">
        <v>5281</v>
      </c>
      <c r="J855" s="214" t="s">
        <v>5285</v>
      </c>
      <c r="K855" s="214" t="s">
        <v>9351</v>
      </c>
      <c r="L855" s="214" t="s">
        <v>10645</v>
      </c>
      <c r="M855" s="214" t="s">
        <v>10006</v>
      </c>
      <c r="P855" s="120"/>
    </row>
    <row r="856" spans="1:16">
      <c r="A856" s="214" t="s">
        <v>5286</v>
      </c>
      <c r="B856" s="214" t="s">
        <v>1291</v>
      </c>
      <c r="C856" s="222" t="s">
        <v>1290</v>
      </c>
      <c r="D856" s="222" t="s">
        <v>1292</v>
      </c>
      <c r="E856" s="222" t="s">
        <v>5070</v>
      </c>
      <c r="F856" s="214" t="s">
        <v>5071</v>
      </c>
      <c r="G856" s="214" t="s">
        <v>5072</v>
      </c>
      <c r="H856" s="214" t="s">
        <v>5073</v>
      </c>
      <c r="I856" s="214" t="s">
        <v>5074</v>
      </c>
      <c r="J856" s="214" t="s">
        <v>5287</v>
      </c>
      <c r="K856" s="214" t="s">
        <v>9321</v>
      </c>
      <c r="L856" s="214" t="s">
        <v>10618</v>
      </c>
      <c r="M856" s="214" t="s">
        <v>9974</v>
      </c>
      <c r="P856" s="120"/>
    </row>
    <row r="857" spans="1:16">
      <c r="A857" s="214" t="s">
        <v>2558</v>
      </c>
      <c r="B857" s="214" t="s">
        <v>1189</v>
      </c>
      <c r="C857" s="222" t="s">
        <v>1188</v>
      </c>
      <c r="D857" s="222" t="s">
        <v>1190</v>
      </c>
      <c r="E857" s="222" t="s">
        <v>4979</v>
      </c>
      <c r="F857" s="214" t="s">
        <v>4980</v>
      </c>
      <c r="G857" s="214" t="s">
        <v>4981</v>
      </c>
      <c r="H857" s="214" t="s">
        <v>4982</v>
      </c>
      <c r="I857" s="214" t="s">
        <v>4983</v>
      </c>
      <c r="J857" s="214" t="s">
        <v>4984</v>
      </c>
      <c r="K857" s="214" t="s">
        <v>9308</v>
      </c>
      <c r="L857" s="214" t="s">
        <v>10603</v>
      </c>
      <c r="M857" s="214" t="s">
        <v>9959</v>
      </c>
      <c r="P857" s="120"/>
    </row>
    <row r="858" spans="1:16">
      <c r="A858" s="214" t="s">
        <v>2559</v>
      </c>
      <c r="B858" s="214" t="s">
        <v>828</v>
      </c>
      <c r="C858" s="222" t="s">
        <v>827</v>
      </c>
      <c r="D858" s="222" t="s">
        <v>2794</v>
      </c>
      <c r="E858" s="222" t="s">
        <v>4483</v>
      </c>
      <c r="F858" s="214" t="s">
        <v>4484</v>
      </c>
      <c r="G858" s="214" t="s">
        <v>5283</v>
      </c>
      <c r="H858" s="214" t="s">
        <v>4483</v>
      </c>
      <c r="I858" s="214" t="s">
        <v>4486</v>
      </c>
      <c r="J858" s="214" t="s">
        <v>4487</v>
      </c>
      <c r="K858" s="214" t="s">
        <v>9279</v>
      </c>
      <c r="L858" s="214" t="s">
        <v>10528</v>
      </c>
      <c r="M858" s="214" t="s">
        <v>9881</v>
      </c>
      <c r="P858" s="120"/>
    </row>
    <row r="859" spans="1:16">
      <c r="A859" s="214" t="s">
        <v>5288</v>
      </c>
      <c r="B859" s="214" t="s">
        <v>1302</v>
      </c>
      <c r="C859" s="222" t="s">
        <v>1301</v>
      </c>
      <c r="D859" s="222" t="s">
        <v>1303</v>
      </c>
      <c r="E859" s="222" t="s">
        <v>5278</v>
      </c>
      <c r="F859" s="214" t="s">
        <v>5279</v>
      </c>
      <c r="G859" s="214" t="s">
        <v>5280</v>
      </c>
      <c r="H859" s="214" t="s">
        <v>5278</v>
      </c>
      <c r="I859" s="214" t="s">
        <v>5281</v>
      </c>
      <c r="J859" s="214" t="s">
        <v>5285</v>
      </c>
      <c r="K859" s="214" t="s">
        <v>9351</v>
      </c>
      <c r="L859" s="214" t="s">
        <v>10645</v>
      </c>
      <c r="M859" s="214" t="s">
        <v>10006</v>
      </c>
      <c r="P859" s="120"/>
    </row>
    <row r="860" spans="1:16">
      <c r="A860" s="214" t="s">
        <v>1499</v>
      </c>
      <c r="B860" s="214" t="s">
        <v>810</v>
      </c>
      <c r="C860" s="222" t="s">
        <v>809</v>
      </c>
      <c r="D860" s="222" t="s">
        <v>1085</v>
      </c>
      <c r="E860" s="222" t="s">
        <v>4465</v>
      </c>
      <c r="F860" s="214" t="s">
        <v>4466</v>
      </c>
      <c r="G860" s="214" t="s">
        <v>4899</v>
      </c>
      <c r="H860" s="214" t="s">
        <v>4468</v>
      </c>
      <c r="I860" s="214" t="s">
        <v>4469</v>
      </c>
      <c r="J860" s="214" t="s">
        <v>4470</v>
      </c>
      <c r="K860" s="214" t="s">
        <v>9276</v>
      </c>
      <c r="L860" s="214" t="s">
        <v>10525</v>
      </c>
      <c r="M860" s="214" t="s">
        <v>9878</v>
      </c>
      <c r="P860" s="120"/>
    </row>
    <row r="861" spans="1:16">
      <c r="A861" s="214" t="s">
        <v>1500</v>
      </c>
      <c r="B861" s="214" t="s">
        <v>822</v>
      </c>
      <c r="C861" s="222" t="s">
        <v>821</v>
      </c>
      <c r="D861" s="222" t="s">
        <v>1255</v>
      </c>
      <c r="E861" s="222" t="s">
        <v>4500</v>
      </c>
      <c r="F861" s="214" t="s">
        <v>4501</v>
      </c>
      <c r="G861" s="214" t="s">
        <v>5035</v>
      </c>
      <c r="H861" s="214" t="s">
        <v>4503</v>
      </c>
      <c r="I861" s="214" t="s">
        <v>4504</v>
      </c>
      <c r="J861" s="214" t="s">
        <v>4505</v>
      </c>
      <c r="K861" s="214" t="s">
        <v>9282</v>
      </c>
      <c r="L861" s="214" t="s">
        <v>10531</v>
      </c>
      <c r="M861" s="214" t="s">
        <v>9884</v>
      </c>
      <c r="P861" s="120"/>
    </row>
    <row r="862" spans="1:16">
      <c r="A862" s="214" t="s">
        <v>1501</v>
      </c>
      <c r="B862" s="214" t="s">
        <v>1112</v>
      </c>
      <c r="C862" s="222" t="s">
        <v>1111</v>
      </c>
      <c r="D862" s="222" t="s">
        <v>1113</v>
      </c>
      <c r="E862" s="222" t="s">
        <v>5009</v>
      </c>
      <c r="F862" s="214" t="s">
        <v>4902</v>
      </c>
      <c r="G862" s="214" t="s">
        <v>4899</v>
      </c>
      <c r="H862" s="214" t="s">
        <v>4904</v>
      </c>
      <c r="I862" s="214" t="s">
        <v>4905</v>
      </c>
      <c r="J862" s="214" t="s">
        <v>4906</v>
      </c>
      <c r="K862" s="214" t="s">
        <v>9298</v>
      </c>
      <c r="L862" s="214" t="s">
        <v>10594</v>
      </c>
      <c r="M862" s="214" t="s">
        <v>9948</v>
      </c>
      <c r="P862" s="120"/>
    </row>
    <row r="863" spans="1:16">
      <c r="A863" s="215" t="s">
        <v>1511</v>
      </c>
      <c r="B863" s="214" t="s">
        <v>1460</v>
      </c>
      <c r="C863" s="222" t="s">
        <v>1459</v>
      </c>
      <c r="D863" s="222" t="s">
        <v>1461</v>
      </c>
      <c r="E863" s="222" t="s">
        <v>5194</v>
      </c>
      <c r="F863" s="214" t="s">
        <v>5195</v>
      </c>
      <c r="G863" s="214" t="s">
        <v>5196</v>
      </c>
      <c r="H863" s="214" t="s">
        <v>5197</v>
      </c>
      <c r="I863" s="214" t="s">
        <v>5198</v>
      </c>
      <c r="J863" s="214" t="s">
        <v>5199</v>
      </c>
      <c r="K863" s="214" t="s">
        <v>9339</v>
      </c>
      <c r="L863" s="214" t="s">
        <v>10635</v>
      </c>
      <c r="M863" s="214" t="s">
        <v>9995</v>
      </c>
      <c r="P863" s="120"/>
    </row>
    <row r="864" spans="1:16">
      <c r="A864" s="214" t="s">
        <v>1512</v>
      </c>
      <c r="B864" s="214" t="s">
        <v>822</v>
      </c>
      <c r="C864" s="222" t="s">
        <v>821</v>
      </c>
      <c r="D864" s="222" t="s">
        <v>1255</v>
      </c>
      <c r="E864" s="222" t="s">
        <v>4500</v>
      </c>
      <c r="F864" s="214" t="s">
        <v>4501</v>
      </c>
      <c r="G864" s="214" t="s">
        <v>5035</v>
      </c>
      <c r="H864" s="214" t="s">
        <v>4503</v>
      </c>
      <c r="I864" s="214" t="s">
        <v>4504</v>
      </c>
      <c r="J864" s="214" t="s">
        <v>4505</v>
      </c>
      <c r="K864" s="214" t="s">
        <v>9282</v>
      </c>
      <c r="L864" s="214" t="s">
        <v>10531</v>
      </c>
      <c r="M864" s="214" t="s">
        <v>9884</v>
      </c>
      <c r="P864" s="120"/>
    </row>
    <row r="865" spans="1:16">
      <c r="A865" s="214" t="s">
        <v>1513</v>
      </c>
      <c r="B865" s="214" t="s">
        <v>822</v>
      </c>
      <c r="C865" s="222" t="s">
        <v>821</v>
      </c>
      <c r="D865" s="222" t="s">
        <v>1255</v>
      </c>
      <c r="E865" s="222" t="s">
        <v>4500</v>
      </c>
      <c r="F865" s="214" t="s">
        <v>4501</v>
      </c>
      <c r="G865" s="214" t="s">
        <v>5035</v>
      </c>
      <c r="H865" s="214" t="s">
        <v>4503</v>
      </c>
      <c r="I865" s="214" t="s">
        <v>4504</v>
      </c>
      <c r="J865" s="214" t="s">
        <v>4505</v>
      </c>
      <c r="K865" s="214" t="s">
        <v>9282</v>
      </c>
      <c r="L865" s="214" t="s">
        <v>10531</v>
      </c>
      <c r="M865" s="214" t="s">
        <v>9884</v>
      </c>
      <c r="P865" s="120"/>
    </row>
    <row r="866" spans="1:16">
      <c r="A866" s="214" t="s">
        <v>1514</v>
      </c>
      <c r="B866" s="214" t="s">
        <v>772</v>
      </c>
      <c r="C866" s="222" t="s">
        <v>771</v>
      </c>
      <c r="D866" s="222" t="s">
        <v>773</v>
      </c>
      <c r="E866" s="222" t="s">
        <v>4488</v>
      </c>
      <c r="F866" s="214" t="s">
        <v>4489</v>
      </c>
      <c r="G866" s="214" t="s">
        <v>4870</v>
      </c>
      <c r="H866" s="214" t="s">
        <v>4491</v>
      </c>
      <c r="I866" s="214" t="s">
        <v>4871</v>
      </c>
      <c r="J866" s="214" t="s">
        <v>4493</v>
      </c>
      <c r="K866" s="214" t="s">
        <v>9280</v>
      </c>
      <c r="L866" s="214" t="s">
        <v>10529</v>
      </c>
      <c r="M866" s="214" t="s">
        <v>9882</v>
      </c>
      <c r="P866" s="120"/>
    </row>
    <row r="867" spans="1:16">
      <c r="A867" s="214" t="s">
        <v>1515</v>
      </c>
      <c r="B867" s="214" t="s">
        <v>772</v>
      </c>
      <c r="C867" s="222" t="s">
        <v>771</v>
      </c>
      <c r="D867" s="222" t="s">
        <v>773</v>
      </c>
      <c r="E867" s="222" t="s">
        <v>4488</v>
      </c>
      <c r="F867" s="214" t="s">
        <v>4489</v>
      </c>
      <c r="G867" s="214" t="s">
        <v>4870</v>
      </c>
      <c r="H867" s="214" t="s">
        <v>4491</v>
      </c>
      <c r="I867" s="214" t="s">
        <v>4871</v>
      </c>
      <c r="J867" s="214" t="s">
        <v>4493</v>
      </c>
      <c r="K867" s="214" t="s">
        <v>9280</v>
      </c>
      <c r="L867" s="214" t="s">
        <v>10529</v>
      </c>
      <c r="M867" s="214" t="s">
        <v>9882</v>
      </c>
      <c r="P867" s="120"/>
    </row>
    <row r="868" spans="1:16">
      <c r="A868" s="214" t="s">
        <v>1520</v>
      </c>
      <c r="B868" s="214" t="s">
        <v>822</v>
      </c>
      <c r="C868" s="222" t="s">
        <v>821</v>
      </c>
      <c r="D868" s="222" t="s">
        <v>1255</v>
      </c>
      <c r="E868" s="222" t="s">
        <v>4500</v>
      </c>
      <c r="F868" s="214" t="s">
        <v>4501</v>
      </c>
      <c r="G868" s="214" t="s">
        <v>5035</v>
      </c>
      <c r="H868" s="214" t="s">
        <v>4503</v>
      </c>
      <c r="I868" s="214" t="s">
        <v>4504</v>
      </c>
      <c r="J868" s="214" t="s">
        <v>4505</v>
      </c>
      <c r="K868" s="214" t="s">
        <v>9282</v>
      </c>
      <c r="L868" s="214" t="s">
        <v>10531</v>
      </c>
      <c r="M868" s="214" t="s">
        <v>9884</v>
      </c>
      <c r="P868" s="120"/>
    </row>
    <row r="869" spans="1:16">
      <c r="A869" s="214" t="s">
        <v>1521</v>
      </c>
      <c r="B869" s="214" t="s">
        <v>1148</v>
      </c>
      <c r="C869" s="222" t="s">
        <v>1147</v>
      </c>
      <c r="D869" s="222" t="s">
        <v>1149</v>
      </c>
      <c r="E869" s="222" t="s">
        <v>4926</v>
      </c>
      <c r="F869" s="214" t="s">
        <v>4927</v>
      </c>
      <c r="G869" s="214" t="s">
        <v>4928</v>
      </c>
      <c r="H869" s="214" t="s">
        <v>4929</v>
      </c>
      <c r="I869" s="214" t="s">
        <v>4930</v>
      </c>
      <c r="J869" s="214" t="s">
        <v>4931</v>
      </c>
      <c r="K869" s="214" t="s">
        <v>9301</v>
      </c>
      <c r="L869" s="214" t="s">
        <v>10597</v>
      </c>
      <c r="M869" s="214" t="s">
        <v>9951</v>
      </c>
      <c r="P869" s="120"/>
    </row>
    <row r="870" spans="1:16">
      <c r="A870" s="214" t="s">
        <v>2406</v>
      </c>
      <c r="B870" s="214" t="s">
        <v>1148</v>
      </c>
      <c r="C870" s="222" t="s">
        <v>1147</v>
      </c>
      <c r="D870" s="222" t="s">
        <v>1149</v>
      </c>
      <c r="E870" s="222" t="s">
        <v>4926</v>
      </c>
      <c r="F870" s="214" t="s">
        <v>4927</v>
      </c>
      <c r="G870" s="214" t="s">
        <v>4928</v>
      </c>
      <c r="H870" s="214" t="s">
        <v>4929</v>
      </c>
      <c r="I870" s="214" t="s">
        <v>4930</v>
      </c>
      <c r="J870" s="214" t="s">
        <v>4931</v>
      </c>
      <c r="K870" s="214" t="s">
        <v>9301</v>
      </c>
      <c r="L870" s="214" t="s">
        <v>10597</v>
      </c>
      <c r="M870" s="214" t="s">
        <v>9951</v>
      </c>
      <c r="P870" s="120"/>
    </row>
    <row r="871" spans="1:16">
      <c r="A871" s="214" t="s">
        <v>1526</v>
      </c>
      <c r="B871" s="214" t="s">
        <v>1020</v>
      </c>
      <c r="C871" s="222" t="s">
        <v>1004</v>
      </c>
      <c r="D871" s="222" t="s">
        <v>1021</v>
      </c>
      <c r="E871" s="222" t="s">
        <v>4837</v>
      </c>
      <c r="F871" s="214" t="s">
        <v>4838</v>
      </c>
      <c r="G871" s="214" t="s">
        <v>4839</v>
      </c>
      <c r="H871" s="214" t="s">
        <v>4840</v>
      </c>
      <c r="I871" s="214" t="s">
        <v>4841</v>
      </c>
      <c r="J871" s="214" t="s">
        <v>4915</v>
      </c>
      <c r="K871" s="214" t="s">
        <v>9289</v>
      </c>
      <c r="L871" s="214" t="s">
        <v>10585</v>
      </c>
      <c r="M871" s="214" t="s">
        <v>9939</v>
      </c>
      <c r="P871" s="120"/>
    </row>
    <row r="872" spans="1:16">
      <c r="A872" s="214" t="s">
        <v>1527</v>
      </c>
      <c r="B872" s="214" t="s">
        <v>1529</v>
      </c>
      <c r="C872" s="222" t="s">
        <v>1528</v>
      </c>
      <c r="D872" s="222" t="s">
        <v>1530</v>
      </c>
      <c r="E872" s="222" t="s">
        <v>5289</v>
      </c>
      <c r="F872" s="214" t="s">
        <v>5290</v>
      </c>
      <c r="G872" s="214" t="s">
        <v>5291</v>
      </c>
      <c r="H872" s="214" t="s">
        <v>5292</v>
      </c>
      <c r="I872" s="214" t="s">
        <v>5293</v>
      </c>
      <c r="J872" s="214" t="s">
        <v>5294</v>
      </c>
      <c r="K872" s="223" t="s">
        <v>9352</v>
      </c>
      <c r="L872" s="214" t="s">
        <v>10646</v>
      </c>
      <c r="M872" s="214" t="s">
        <v>10007</v>
      </c>
      <c r="P872" s="120"/>
    </row>
    <row r="873" spans="1:16">
      <c r="A873" s="214" t="s">
        <v>2407</v>
      </c>
      <c r="B873" s="214" t="s">
        <v>1164</v>
      </c>
      <c r="C873" s="222" t="s">
        <v>1163</v>
      </c>
      <c r="D873" s="222" t="s">
        <v>1165</v>
      </c>
      <c r="E873" s="222" t="s">
        <v>4941</v>
      </c>
      <c r="F873" s="214" t="s">
        <v>4942</v>
      </c>
      <c r="G873" s="214" t="s">
        <v>4943</v>
      </c>
      <c r="H873" s="214" t="s">
        <v>4944</v>
      </c>
      <c r="I873" s="214" t="s">
        <v>4945</v>
      </c>
      <c r="J873" s="214" t="s">
        <v>4946</v>
      </c>
      <c r="K873" s="214" t="s">
        <v>9303</v>
      </c>
      <c r="L873" s="214" t="s">
        <v>10599</v>
      </c>
      <c r="M873" s="214" t="s">
        <v>9954</v>
      </c>
      <c r="P873" s="120"/>
    </row>
    <row r="874" spans="1:16">
      <c r="A874" s="214" t="s">
        <v>2408</v>
      </c>
      <c r="B874" s="214" t="s">
        <v>1164</v>
      </c>
      <c r="C874" s="222" t="s">
        <v>1163</v>
      </c>
      <c r="D874" s="222" t="s">
        <v>1165</v>
      </c>
      <c r="E874" s="222" t="s">
        <v>4941</v>
      </c>
      <c r="F874" s="214" t="s">
        <v>4942</v>
      </c>
      <c r="G874" s="214" t="s">
        <v>4943</v>
      </c>
      <c r="H874" s="214" t="s">
        <v>4944</v>
      </c>
      <c r="I874" s="214" t="s">
        <v>4945</v>
      </c>
      <c r="J874" s="214" t="s">
        <v>4946</v>
      </c>
      <c r="K874" s="214" t="s">
        <v>9303</v>
      </c>
      <c r="L874" s="214" t="s">
        <v>10599</v>
      </c>
      <c r="M874" s="214" t="s">
        <v>9954</v>
      </c>
      <c r="P874" s="120"/>
    </row>
    <row r="875" spans="1:16">
      <c r="A875" s="214" t="s">
        <v>1550</v>
      </c>
      <c r="B875" s="214" t="s">
        <v>1164</v>
      </c>
      <c r="C875" s="222" t="s">
        <v>1163</v>
      </c>
      <c r="D875" s="222" t="s">
        <v>1165</v>
      </c>
      <c r="E875" s="222" t="s">
        <v>4941</v>
      </c>
      <c r="F875" s="214" t="s">
        <v>4942</v>
      </c>
      <c r="G875" s="214" t="s">
        <v>4943</v>
      </c>
      <c r="H875" s="214" t="s">
        <v>4944</v>
      </c>
      <c r="I875" s="214" t="s">
        <v>4945</v>
      </c>
      <c r="J875" s="214" t="s">
        <v>4946</v>
      </c>
      <c r="K875" s="214" t="s">
        <v>9303</v>
      </c>
      <c r="L875" s="214" t="s">
        <v>10599</v>
      </c>
      <c r="M875" s="214" t="s">
        <v>9954</v>
      </c>
      <c r="P875" s="120"/>
    </row>
    <row r="876" spans="1:16">
      <c r="A876" s="214" t="s">
        <v>1551</v>
      </c>
      <c r="B876" s="214" t="s">
        <v>1164</v>
      </c>
      <c r="C876" s="222" t="s">
        <v>1163</v>
      </c>
      <c r="D876" s="222" t="s">
        <v>1165</v>
      </c>
      <c r="E876" s="222" t="s">
        <v>4941</v>
      </c>
      <c r="F876" s="214" t="s">
        <v>4942</v>
      </c>
      <c r="G876" s="214" t="s">
        <v>4943</v>
      </c>
      <c r="H876" s="214" t="s">
        <v>4944</v>
      </c>
      <c r="I876" s="214" t="s">
        <v>4945</v>
      </c>
      <c r="J876" s="214" t="s">
        <v>4946</v>
      </c>
      <c r="K876" s="214" t="s">
        <v>9303</v>
      </c>
      <c r="L876" s="214" t="s">
        <v>10599</v>
      </c>
      <c r="M876" s="214" t="s">
        <v>9954</v>
      </c>
      <c r="P876" s="120"/>
    </row>
    <row r="877" spans="1:16">
      <c r="A877" s="214" t="s">
        <v>1552</v>
      </c>
      <c r="B877" s="214" t="s">
        <v>1176</v>
      </c>
      <c r="C877" s="222" t="s">
        <v>1175</v>
      </c>
      <c r="D877" s="222" t="s">
        <v>1177</v>
      </c>
      <c r="E877" s="222" t="s">
        <v>4956</v>
      </c>
      <c r="F877" s="214" t="s">
        <v>4957</v>
      </c>
      <c r="G877" s="214" t="s">
        <v>4958</v>
      </c>
      <c r="H877" s="214" t="s">
        <v>4956</v>
      </c>
      <c r="I877" s="214" t="s">
        <v>4959</v>
      </c>
      <c r="J877" s="214" t="s">
        <v>4960</v>
      </c>
      <c r="K877" s="214" t="s">
        <v>9305</v>
      </c>
      <c r="L877" s="214" t="s">
        <v>10601</v>
      </c>
      <c r="M877" s="214" t="s">
        <v>9957</v>
      </c>
      <c r="P877" s="120"/>
    </row>
    <row r="878" spans="1:16">
      <c r="A878" s="214" t="s">
        <v>1553</v>
      </c>
      <c r="B878" s="214" t="s">
        <v>1541</v>
      </c>
      <c r="C878" s="222" t="s">
        <v>1540</v>
      </c>
      <c r="D878" s="222" t="s">
        <v>1542</v>
      </c>
      <c r="E878" s="222" t="s">
        <v>4477</v>
      </c>
      <c r="F878" s="214" t="s">
        <v>4478</v>
      </c>
      <c r="G878" s="214" t="s">
        <v>5227</v>
      </c>
      <c r="H878" s="214" t="s">
        <v>4480</v>
      </c>
      <c r="I878" s="214" t="s">
        <v>4481</v>
      </c>
      <c r="J878" s="214" t="s">
        <v>4482</v>
      </c>
      <c r="K878" s="214" t="s">
        <v>9278</v>
      </c>
      <c r="L878" s="214" t="s">
        <v>10527</v>
      </c>
      <c r="M878" s="214" t="s">
        <v>9880</v>
      </c>
      <c r="P878" s="120"/>
    </row>
    <row r="879" spans="1:16">
      <c r="A879" s="214" t="s">
        <v>1554</v>
      </c>
      <c r="B879" s="214" t="s">
        <v>1541</v>
      </c>
      <c r="C879" s="222" t="s">
        <v>1540</v>
      </c>
      <c r="D879" s="222" t="s">
        <v>1542</v>
      </c>
      <c r="E879" s="222" t="s">
        <v>4477</v>
      </c>
      <c r="F879" s="214" t="s">
        <v>4478</v>
      </c>
      <c r="G879" s="214" t="s">
        <v>5227</v>
      </c>
      <c r="H879" s="214" t="s">
        <v>4480</v>
      </c>
      <c r="I879" s="214" t="s">
        <v>4481</v>
      </c>
      <c r="J879" s="214" t="s">
        <v>4482</v>
      </c>
      <c r="K879" s="214" t="s">
        <v>9278</v>
      </c>
      <c r="L879" s="214" t="s">
        <v>10527</v>
      </c>
      <c r="M879" s="214" t="s">
        <v>9880</v>
      </c>
      <c r="P879" s="120"/>
    </row>
    <row r="880" spans="1:16">
      <c r="A880" s="214" t="s">
        <v>2409</v>
      </c>
      <c r="B880" s="214" t="s">
        <v>1189</v>
      </c>
      <c r="C880" s="222" t="s">
        <v>1188</v>
      </c>
      <c r="D880" s="222" t="s">
        <v>1190</v>
      </c>
      <c r="E880" s="222" t="s">
        <v>4979</v>
      </c>
      <c r="F880" s="214" t="s">
        <v>4980</v>
      </c>
      <c r="G880" s="214" t="s">
        <v>4981</v>
      </c>
      <c r="H880" s="214" t="s">
        <v>4982</v>
      </c>
      <c r="I880" s="214" t="s">
        <v>4983</v>
      </c>
      <c r="J880" s="214" t="s">
        <v>4984</v>
      </c>
      <c r="K880" s="214" t="s">
        <v>9308</v>
      </c>
      <c r="L880" s="214" t="s">
        <v>10603</v>
      </c>
      <c r="M880" s="214" t="s">
        <v>9959</v>
      </c>
      <c r="P880" s="120"/>
    </row>
    <row r="881" spans="1:16">
      <c r="A881" s="214" t="s">
        <v>1556</v>
      </c>
      <c r="B881" s="214" t="s">
        <v>1189</v>
      </c>
      <c r="C881" s="222" t="s">
        <v>1188</v>
      </c>
      <c r="D881" s="222" t="s">
        <v>1190</v>
      </c>
      <c r="E881" s="222" t="s">
        <v>4979</v>
      </c>
      <c r="F881" s="214" t="s">
        <v>4980</v>
      </c>
      <c r="G881" s="214" t="s">
        <v>4981</v>
      </c>
      <c r="H881" s="214" t="s">
        <v>4982</v>
      </c>
      <c r="I881" s="214" t="s">
        <v>4983</v>
      </c>
      <c r="J881" s="214" t="s">
        <v>4984</v>
      </c>
      <c r="K881" s="214" t="s">
        <v>9308</v>
      </c>
      <c r="L881" s="214" t="s">
        <v>10603</v>
      </c>
      <c r="M881" s="214" t="s">
        <v>9959</v>
      </c>
      <c r="P881" s="120"/>
    </row>
    <row r="882" spans="1:16">
      <c r="A882" s="214" t="s">
        <v>2560</v>
      </c>
      <c r="B882" s="214" t="s">
        <v>1164</v>
      </c>
      <c r="C882" s="222" t="s">
        <v>1163</v>
      </c>
      <c r="D882" s="222" t="s">
        <v>1165</v>
      </c>
      <c r="E882" s="222" t="s">
        <v>4941</v>
      </c>
      <c r="F882" s="214" t="s">
        <v>4942</v>
      </c>
      <c r="G882" s="214" t="s">
        <v>4943</v>
      </c>
      <c r="H882" s="214" t="s">
        <v>4944</v>
      </c>
      <c r="I882" s="214" t="s">
        <v>4945</v>
      </c>
      <c r="J882" s="214" t="s">
        <v>4946</v>
      </c>
      <c r="K882" s="214" t="s">
        <v>9303</v>
      </c>
      <c r="L882" s="214" t="s">
        <v>10599</v>
      </c>
      <c r="M882" s="214" t="s">
        <v>9954</v>
      </c>
      <c r="P882" s="120"/>
    </row>
    <row r="883" spans="1:16">
      <c r="A883" s="214" t="s">
        <v>2561</v>
      </c>
      <c r="B883" s="214" t="s">
        <v>1164</v>
      </c>
      <c r="C883" s="222" t="s">
        <v>1163</v>
      </c>
      <c r="D883" s="222" t="s">
        <v>1165</v>
      </c>
      <c r="E883" s="222" t="s">
        <v>4941</v>
      </c>
      <c r="F883" s="214" t="s">
        <v>4942</v>
      </c>
      <c r="G883" s="214" t="s">
        <v>4943</v>
      </c>
      <c r="H883" s="214" t="s">
        <v>4944</v>
      </c>
      <c r="I883" s="214" t="s">
        <v>4945</v>
      </c>
      <c r="J883" s="214" t="s">
        <v>4946</v>
      </c>
      <c r="K883" s="214" t="s">
        <v>9303</v>
      </c>
      <c r="L883" s="214" t="s">
        <v>10599</v>
      </c>
      <c r="M883" s="214" t="s">
        <v>9954</v>
      </c>
      <c r="P883" s="120"/>
    </row>
    <row r="884" spans="1:16">
      <c r="A884" s="214" t="s">
        <v>2562</v>
      </c>
      <c r="B884" s="214" t="s">
        <v>1164</v>
      </c>
      <c r="C884" s="222" t="s">
        <v>1163</v>
      </c>
      <c r="D884" s="222" t="s">
        <v>1165</v>
      </c>
      <c r="E884" s="222" t="s">
        <v>4941</v>
      </c>
      <c r="F884" s="214" t="s">
        <v>4942</v>
      </c>
      <c r="G884" s="214" t="s">
        <v>4943</v>
      </c>
      <c r="H884" s="214" t="s">
        <v>4944</v>
      </c>
      <c r="I884" s="214" t="s">
        <v>4945</v>
      </c>
      <c r="J884" s="214" t="s">
        <v>4946</v>
      </c>
      <c r="K884" s="214" t="s">
        <v>9303</v>
      </c>
      <c r="L884" s="214" t="s">
        <v>10599</v>
      </c>
      <c r="M884" s="214" t="s">
        <v>9954</v>
      </c>
      <c r="P884" s="120"/>
    </row>
    <row r="885" spans="1:16">
      <c r="A885" s="214" t="s">
        <v>5295</v>
      </c>
      <c r="B885" s="214" t="s">
        <v>1164</v>
      </c>
      <c r="C885" s="222" t="s">
        <v>1163</v>
      </c>
      <c r="D885" s="222" t="s">
        <v>1165</v>
      </c>
      <c r="E885" s="222" t="s">
        <v>4941</v>
      </c>
      <c r="F885" s="214" t="s">
        <v>4942</v>
      </c>
      <c r="G885" s="214" t="s">
        <v>4943</v>
      </c>
      <c r="H885" s="214" t="s">
        <v>4944</v>
      </c>
      <c r="I885" s="214" t="s">
        <v>4945</v>
      </c>
      <c r="J885" s="214" t="s">
        <v>5062</v>
      </c>
      <c r="K885" s="214" t="s">
        <v>9303</v>
      </c>
      <c r="L885" s="214" t="s">
        <v>10599</v>
      </c>
      <c r="M885" s="214" t="s">
        <v>9954</v>
      </c>
      <c r="P885" s="120"/>
    </row>
    <row r="886" spans="1:16">
      <c r="A886" s="214" t="s">
        <v>5296</v>
      </c>
      <c r="B886" s="214" t="s">
        <v>1176</v>
      </c>
      <c r="C886" s="222" t="s">
        <v>1175</v>
      </c>
      <c r="D886" s="222" t="s">
        <v>1177</v>
      </c>
      <c r="E886" s="222" t="s">
        <v>4956</v>
      </c>
      <c r="F886" s="214" t="s">
        <v>4957</v>
      </c>
      <c r="G886" s="214" t="s">
        <v>4958</v>
      </c>
      <c r="H886" s="214" t="s">
        <v>4956</v>
      </c>
      <c r="I886" s="214" t="s">
        <v>4959</v>
      </c>
      <c r="J886" s="214" t="s">
        <v>5065</v>
      </c>
      <c r="K886" s="214" t="s">
        <v>9305</v>
      </c>
      <c r="L886" s="214" t="s">
        <v>10601</v>
      </c>
      <c r="M886" s="214" t="s">
        <v>9957</v>
      </c>
      <c r="P886" s="120"/>
    </row>
    <row r="887" spans="1:16">
      <c r="A887" s="214" t="s">
        <v>5297</v>
      </c>
      <c r="B887" s="214" t="s">
        <v>1541</v>
      </c>
      <c r="C887" s="222" t="s">
        <v>1540</v>
      </c>
      <c r="D887" s="222" t="s">
        <v>1542</v>
      </c>
      <c r="E887" s="222" t="s">
        <v>4477</v>
      </c>
      <c r="F887" s="214" t="s">
        <v>4478</v>
      </c>
      <c r="G887" s="214" t="s">
        <v>5227</v>
      </c>
      <c r="H887" s="214" t="s">
        <v>4480</v>
      </c>
      <c r="I887" s="214" t="s">
        <v>4481</v>
      </c>
      <c r="J887" s="214" t="s">
        <v>5277</v>
      </c>
      <c r="K887" s="214" t="s">
        <v>9278</v>
      </c>
      <c r="L887" s="214" t="s">
        <v>10527</v>
      </c>
      <c r="M887" s="214" t="s">
        <v>9880</v>
      </c>
      <c r="P887" s="120"/>
    </row>
    <row r="888" spans="1:16">
      <c r="A888" s="214" t="s">
        <v>2441</v>
      </c>
      <c r="B888" s="214" t="s">
        <v>1541</v>
      </c>
      <c r="C888" s="222" t="s">
        <v>1540</v>
      </c>
      <c r="D888" s="222" t="s">
        <v>1542</v>
      </c>
      <c r="E888" s="222" t="s">
        <v>4477</v>
      </c>
      <c r="F888" s="214" t="s">
        <v>4478</v>
      </c>
      <c r="G888" s="214" t="s">
        <v>5227</v>
      </c>
      <c r="H888" s="214" t="s">
        <v>4480</v>
      </c>
      <c r="I888" s="214" t="s">
        <v>4481</v>
      </c>
      <c r="J888" s="214" t="s">
        <v>4482</v>
      </c>
      <c r="K888" s="214" t="s">
        <v>9278</v>
      </c>
      <c r="L888" s="214" t="s">
        <v>10527</v>
      </c>
      <c r="M888" s="214" t="s">
        <v>9880</v>
      </c>
      <c r="P888" s="120"/>
    </row>
    <row r="889" spans="1:16">
      <c r="A889" s="214" t="s">
        <v>2563</v>
      </c>
      <c r="B889" s="214" t="s">
        <v>1189</v>
      </c>
      <c r="C889" s="222" t="s">
        <v>1188</v>
      </c>
      <c r="D889" s="222" t="s">
        <v>1190</v>
      </c>
      <c r="E889" s="222" t="s">
        <v>4979</v>
      </c>
      <c r="F889" s="214" t="s">
        <v>4980</v>
      </c>
      <c r="G889" s="214" t="s">
        <v>4981</v>
      </c>
      <c r="H889" s="214" t="s">
        <v>4982</v>
      </c>
      <c r="I889" s="214" t="s">
        <v>4983</v>
      </c>
      <c r="J889" s="214" t="s">
        <v>4984</v>
      </c>
      <c r="K889" s="214" t="s">
        <v>9308</v>
      </c>
      <c r="L889" s="214" t="s">
        <v>10586</v>
      </c>
      <c r="M889" s="214" t="s">
        <v>9959</v>
      </c>
      <c r="P889" s="120"/>
    </row>
    <row r="890" spans="1:16">
      <c r="A890" s="214" t="s">
        <v>2564</v>
      </c>
      <c r="B890" s="214" t="s">
        <v>1189</v>
      </c>
      <c r="C890" s="222" t="s">
        <v>1188</v>
      </c>
      <c r="D890" s="222" t="s">
        <v>1190</v>
      </c>
      <c r="E890" s="222" t="s">
        <v>4979</v>
      </c>
      <c r="F890" s="214" t="s">
        <v>4980</v>
      </c>
      <c r="G890" s="214" t="s">
        <v>4981</v>
      </c>
      <c r="H890" s="214" t="s">
        <v>4982</v>
      </c>
      <c r="I890" s="214" t="s">
        <v>4983</v>
      </c>
      <c r="J890" s="214" t="s">
        <v>4984</v>
      </c>
      <c r="K890" s="214" t="s">
        <v>9308</v>
      </c>
      <c r="L890" s="214" t="s">
        <v>10603</v>
      </c>
      <c r="M890" s="214" t="s">
        <v>9959</v>
      </c>
      <c r="P890" s="120"/>
    </row>
    <row r="891" spans="1:16">
      <c r="A891" s="214" t="s">
        <v>1558</v>
      </c>
      <c r="B891" s="214" t="s">
        <v>1557</v>
      </c>
      <c r="C891" s="222" t="s">
        <v>821</v>
      </c>
      <c r="D891" s="222" t="s">
        <v>1255</v>
      </c>
      <c r="E891" s="222" t="s">
        <v>4500</v>
      </c>
      <c r="F891" s="214" t="s">
        <v>4501</v>
      </c>
      <c r="G891" s="214" t="s">
        <v>5035</v>
      </c>
      <c r="H891" s="214" t="s">
        <v>4503</v>
      </c>
      <c r="I891" s="214" t="s">
        <v>4504</v>
      </c>
      <c r="J891" s="214" t="s">
        <v>4505</v>
      </c>
      <c r="K891" s="214" t="s">
        <v>9282</v>
      </c>
      <c r="L891" s="214" t="s">
        <v>10531</v>
      </c>
      <c r="M891" s="214" t="s">
        <v>9884</v>
      </c>
      <c r="P891" s="120"/>
    </row>
    <row r="892" spans="1:16">
      <c r="A892" s="214" t="s">
        <v>1562</v>
      </c>
      <c r="B892" s="214" t="s">
        <v>1560</v>
      </c>
      <c r="C892" s="222" t="s">
        <v>1559</v>
      </c>
      <c r="D892" s="222" t="s">
        <v>1561</v>
      </c>
      <c r="E892" s="222" t="s">
        <v>5298</v>
      </c>
      <c r="F892" s="214" t="s">
        <v>5299</v>
      </c>
      <c r="G892" s="214" t="s">
        <v>5300</v>
      </c>
      <c r="H892" s="214" t="s">
        <v>5301</v>
      </c>
      <c r="I892" s="214" t="s">
        <v>5302</v>
      </c>
      <c r="J892" s="214" t="s">
        <v>5303</v>
      </c>
      <c r="K892" s="214" t="s">
        <v>9353</v>
      </c>
      <c r="L892" s="214" t="s">
        <v>10647</v>
      </c>
      <c r="M892" s="214" t="s">
        <v>10008</v>
      </c>
      <c r="P892" s="120"/>
    </row>
    <row r="893" spans="1:16">
      <c r="A893" s="214" t="s">
        <v>1563</v>
      </c>
      <c r="B893" s="214" t="s">
        <v>1565</v>
      </c>
      <c r="C893" s="222" t="s">
        <v>1564</v>
      </c>
      <c r="D893" s="222" t="s">
        <v>1566</v>
      </c>
      <c r="E893" s="222" t="s">
        <v>5304</v>
      </c>
      <c r="F893" s="214" t="s">
        <v>5305</v>
      </c>
      <c r="G893" s="214" t="s">
        <v>5306</v>
      </c>
      <c r="H893" s="214" t="s">
        <v>5307</v>
      </c>
      <c r="I893" s="214" t="s">
        <v>5308</v>
      </c>
      <c r="J893" s="214" t="s">
        <v>5309</v>
      </c>
      <c r="K893" s="214" t="s">
        <v>9354</v>
      </c>
      <c r="L893" s="214" t="s">
        <v>10648</v>
      </c>
      <c r="M893" s="214" t="s">
        <v>10002</v>
      </c>
      <c r="P893" s="120"/>
    </row>
    <row r="894" spans="1:16">
      <c r="A894" s="214" t="s">
        <v>1567</v>
      </c>
      <c r="B894" s="214" t="s">
        <v>1568</v>
      </c>
      <c r="C894" s="222" t="s">
        <v>1293</v>
      </c>
      <c r="D894" s="222" t="s">
        <v>1295</v>
      </c>
      <c r="E894" s="222" t="s">
        <v>4961</v>
      </c>
      <c r="F894" s="214" t="s">
        <v>4962</v>
      </c>
      <c r="G894" s="214" t="s">
        <v>4963</v>
      </c>
      <c r="H894" s="214" t="s">
        <v>4964</v>
      </c>
      <c r="I894" s="214" t="s">
        <v>5310</v>
      </c>
      <c r="J894" s="214" t="s">
        <v>4966</v>
      </c>
      <c r="K894" s="214" t="s">
        <v>9306</v>
      </c>
      <c r="L894" s="214" t="s">
        <v>10602</v>
      </c>
      <c r="M894" s="214" t="s">
        <v>9958</v>
      </c>
      <c r="P894" s="120"/>
    </row>
    <row r="895" spans="1:16">
      <c r="A895" s="214" t="s">
        <v>1569</v>
      </c>
      <c r="B895" s="214" t="s">
        <v>1570</v>
      </c>
      <c r="C895" s="222" t="s">
        <v>1570</v>
      </c>
      <c r="D895" s="222" t="s">
        <v>1570</v>
      </c>
      <c r="E895" s="222" t="s">
        <v>5311</v>
      </c>
      <c r="F895" s="214" t="s">
        <v>5312</v>
      </c>
      <c r="G895" s="214" t="s">
        <v>1570</v>
      </c>
      <c r="H895" s="214" t="s">
        <v>5313</v>
      </c>
      <c r="I895" s="214" t="s">
        <v>5314</v>
      </c>
      <c r="J895" s="214" t="s">
        <v>5315</v>
      </c>
      <c r="K895" s="214" t="s">
        <v>9355</v>
      </c>
      <c r="L895" s="214" t="s">
        <v>10649</v>
      </c>
      <c r="M895" s="214" t="s">
        <v>10009</v>
      </c>
      <c r="P895" s="120"/>
    </row>
    <row r="896" spans="1:16">
      <c r="A896" s="214" t="s">
        <v>1571</v>
      </c>
      <c r="B896" s="214" t="s">
        <v>1572</v>
      </c>
      <c r="C896" s="222" t="s">
        <v>1572</v>
      </c>
      <c r="D896" s="222" t="s">
        <v>1572</v>
      </c>
      <c r="E896" s="222" t="s">
        <v>5316</v>
      </c>
      <c r="F896" s="214" t="s">
        <v>5317</v>
      </c>
      <c r="G896" s="214" t="s">
        <v>1572</v>
      </c>
      <c r="H896" s="214" t="s">
        <v>5318</v>
      </c>
      <c r="I896" s="214" t="s">
        <v>5319</v>
      </c>
      <c r="J896" s="214" t="s">
        <v>5320</v>
      </c>
      <c r="K896" s="223" t="s">
        <v>9356</v>
      </c>
      <c r="L896" s="214" t="s">
        <v>10650</v>
      </c>
      <c r="M896" s="214" t="s">
        <v>10010</v>
      </c>
      <c r="P896" s="120"/>
    </row>
    <row r="897" spans="1:16">
      <c r="A897" s="214" t="s">
        <v>1573</v>
      </c>
      <c r="B897" s="214" t="s">
        <v>1574</v>
      </c>
      <c r="C897" s="222" t="s">
        <v>1574</v>
      </c>
      <c r="D897" s="222" t="s">
        <v>1574</v>
      </c>
      <c r="E897" s="222" t="s">
        <v>5321</v>
      </c>
      <c r="F897" s="214" t="s">
        <v>5322</v>
      </c>
      <c r="G897" s="214" t="s">
        <v>1574</v>
      </c>
      <c r="H897" s="214" t="s">
        <v>5323</v>
      </c>
      <c r="I897" s="214" t="s">
        <v>5324</v>
      </c>
      <c r="J897" s="214" t="s">
        <v>5325</v>
      </c>
      <c r="K897" s="223" t="s">
        <v>9357</v>
      </c>
      <c r="L897" s="214" t="s">
        <v>10651</v>
      </c>
      <c r="M897" s="214" t="s">
        <v>10011</v>
      </c>
      <c r="P897" s="120"/>
    </row>
    <row r="898" spans="1:16">
      <c r="A898" s="214" t="s">
        <v>1575</v>
      </c>
      <c r="B898" s="214" t="s">
        <v>1576</v>
      </c>
      <c r="C898" s="222" t="s">
        <v>1576</v>
      </c>
      <c r="D898" s="222" t="s">
        <v>1576</v>
      </c>
      <c r="E898" s="222" t="s">
        <v>5326</v>
      </c>
      <c r="F898" s="214" t="s">
        <v>5327</v>
      </c>
      <c r="G898" s="214" t="s">
        <v>1576</v>
      </c>
      <c r="H898" s="214" t="s">
        <v>5328</v>
      </c>
      <c r="I898" s="214" t="s">
        <v>5329</v>
      </c>
      <c r="J898" s="214" t="s">
        <v>5330</v>
      </c>
      <c r="K898" s="214" t="s">
        <v>9358</v>
      </c>
      <c r="L898" s="214" t="s">
        <v>10652</v>
      </c>
      <c r="M898" s="214" t="s">
        <v>10012</v>
      </c>
      <c r="P898" s="120"/>
    </row>
    <row r="899" spans="1:16">
      <c r="A899" s="214" t="s">
        <v>1577</v>
      </c>
      <c r="B899" s="214" t="s">
        <v>1578</v>
      </c>
      <c r="C899" s="222" t="s">
        <v>1578</v>
      </c>
      <c r="D899" s="222" t="s">
        <v>1578</v>
      </c>
      <c r="E899" s="222" t="s">
        <v>5331</v>
      </c>
      <c r="F899" s="214" t="s">
        <v>5332</v>
      </c>
      <c r="G899" s="214" t="s">
        <v>1578</v>
      </c>
      <c r="H899" s="214" t="s">
        <v>5333</v>
      </c>
      <c r="I899" s="214" t="s">
        <v>5334</v>
      </c>
      <c r="J899" s="214" t="s">
        <v>5335</v>
      </c>
      <c r="K899" s="214" t="s">
        <v>9359</v>
      </c>
      <c r="L899" s="214" t="s">
        <v>10653</v>
      </c>
      <c r="M899" s="214" t="s">
        <v>10013</v>
      </c>
      <c r="P899" s="120"/>
    </row>
    <row r="900" spans="1:16">
      <c r="A900" s="214" t="s">
        <v>1579</v>
      </c>
      <c r="B900" s="214" t="s">
        <v>1580</v>
      </c>
      <c r="C900" s="222" t="s">
        <v>1580</v>
      </c>
      <c r="D900" s="222" t="s">
        <v>1580</v>
      </c>
      <c r="E900" s="222" t="s">
        <v>5336</v>
      </c>
      <c r="F900" s="214" t="s">
        <v>5337</v>
      </c>
      <c r="G900" s="214" t="s">
        <v>1580</v>
      </c>
      <c r="H900" s="214" t="s">
        <v>5338</v>
      </c>
      <c r="I900" s="214" t="s">
        <v>5339</v>
      </c>
      <c r="J900" s="214" t="s">
        <v>5340</v>
      </c>
      <c r="K900" s="214" t="s">
        <v>9360</v>
      </c>
      <c r="L900" s="214" t="s">
        <v>10654</v>
      </c>
      <c r="M900" s="214" t="s">
        <v>10014</v>
      </c>
      <c r="P900" s="120"/>
    </row>
    <row r="901" spans="1:16">
      <c r="A901" s="214" t="s">
        <v>1581</v>
      </c>
      <c r="B901" s="214" t="s">
        <v>1582</v>
      </c>
      <c r="C901" s="222" t="s">
        <v>1582</v>
      </c>
      <c r="D901" s="222" t="s">
        <v>1582</v>
      </c>
      <c r="E901" s="222" t="s">
        <v>5341</v>
      </c>
      <c r="F901" s="214" t="s">
        <v>5342</v>
      </c>
      <c r="G901" s="214" t="s">
        <v>1582</v>
      </c>
      <c r="H901" s="214" t="s">
        <v>5343</v>
      </c>
      <c r="I901" s="214" t="s">
        <v>5344</v>
      </c>
      <c r="J901" s="214" t="s">
        <v>5345</v>
      </c>
      <c r="K901" s="214" t="s">
        <v>9361</v>
      </c>
      <c r="L901" s="214" t="s">
        <v>10655</v>
      </c>
      <c r="M901" s="214" t="s">
        <v>10015</v>
      </c>
      <c r="P901" s="120"/>
    </row>
    <row r="902" spans="1:16">
      <c r="A902" s="214" t="s">
        <v>1583</v>
      </c>
      <c r="B902" s="214" t="s">
        <v>1584</v>
      </c>
      <c r="C902" s="222" t="s">
        <v>1584</v>
      </c>
      <c r="D902" s="222" t="s">
        <v>1584</v>
      </c>
      <c r="E902" s="222" t="s">
        <v>5346</v>
      </c>
      <c r="F902" s="214" t="s">
        <v>5347</v>
      </c>
      <c r="G902" s="214" t="s">
        <v>1584</v>
      </c>
      <c r="H902" s="214" t="s">
        <v>5348</v>
      </c>
      <c r="I902" s="214" t="s">
        <v>5349</v>
      </c>
      <c r="J902" s="214" t="s">
        <v>5350</v>
      </c>
      <c r="K902" s="214" t="s">
        <v>9362</v>
      </c>
      <c r="L902" s="214" t="s">
        <v>10656</v>
      </c>
      <c r="M902" s="214" t="s">
        <v>10016</v>
      </c>
      <c r="P902" s="120"/>
    </row>
    <row r="903" spans="1:16">
      <c r="A903" s="214" t="s">
        <v>2410</v>
      </c>
      <c r="B903" s="214" t="s">
        <v>1578</v>
      </c>
      <c r="C903" s="222" t="s">
        <v>1578</v>
      </c>
      <c r="D903" s="222" t="s">
        <v>1578</v>
      </c>
      <c r="E903" s="222" t="s">
        <v>5331</v>
      </c>
      <c r="F903" s="214" t="s">
        <v>5332</v>
      </c>
      <c r="G903" s="214" t="s">
        <v>1578</v>
      </c>
      <c r="H903" s="214" t="s">
        <v>5333</v>
      </c>
      <c r="I903" s="214" t="s">
        <v>5334</v>
      </c>
      <c r="J903" s="214" t="s">
        <v>5335</v>
      </c>
      <c r="K903" s="214" t="s">
        <v>9359</v>
      </c>
      <c r="L903" s="214" t="s">
        <v>10653</v>
      </c>
      <c r="M903" s="214" t="s">
        <v>10017</v>
      </c>
      <c r="P903" s="120"/>
    </row>
    <row r="904" spans="1:16">
      <c r="A904" s="214" t="s">
        <v>1585</v>
      </c>
      <c r="B904" s="214" t="s">
        <v>1580</v>
      </c>
      <c r="C904" s="222" t="s">
        <v>1580</v>
      </c>
      <c r="D904" s="222" t="s">
        <v>1580</v>
      </c>
      <c r="E904" s="222" t="s">
        <v>5336</v>
      </c>
      <c r="F904" s="214" t="s">
        <v>5337</v>
      </c>
      <c r="G904" s="214" t="s">
        <v>1580</v>
      </c>
      <c r="H904" s="214" t="s">
        <v>5338</v>
      </c>
      <c r="I904" s="214" t="s">
        <v>5339</v>
      </c>
      <c r="J904" s="214" t="s">
        <v>5340</v>
      </c>
      <c r="K904" s="214" t="s">
        <v>9360</v>
      </c>
      <c r="L904" s="214" t="s">
        <v>10654</v>
      </c>
      <c r="M904" s="214" t="s">
        <v>10018</v>
      </c>
      <c r="P904" s="120"/>
    </row>
    <row r="905" spans="1:16">
      <c r="A905" s="214" t="s">
        <v>2411</v>
      </c>
      <c r="B905" s="214" t="s">
        <v>1582</v>
      </c>
      <c r="C905" s="222" t="s">
        <v>1582</v>
      </c>
      <c r="D905" s="222" t="s">
        <v>1582</v>
      </c>
      <c r="E905" s="222" t="s">
        <v>5341</v>
      </c>
      <c r="F905" s="214" t="s">
        <v>5342</v>
      </c>
      <c r="G905" s="214" t="s">
        <v>1582</v>
      </c>
      <c r="H905" s="214" t="s">
        <v>5343</v>
      </c>
      <c r="I905" s="214" t="s">
        <v>5344</v>
      </c>
      <c r="J905" s="214" t="s">
        <v>5345</v>
      </c>
      <c r="K905" s="214" t="s">
        <v>9361</v>
      </c>
      <c r="L905" s="214" t="s">
        <v>10655</v>
      </c>
      <c r="M905" s="214" t="s">
        <v>10015</v>
      </c>
      <c r="P905" s="120"/>
    </row>
    <row r="906" spans="1:16">
      <c r="A906" s="214" t="s">
        <v>1586</v>
      </c>
      <c r="B906" s="214" t="s">
        <v>1584</v>
      </c>
      <c r="C906" s="222" t="s">
        <v>1584</v>
      </c>
      <c r="D906" s="222" t="s">
        <v>1584</v>
      </c>
      <c r="E906" s="222" t="s">
        <v>5346</v>
      </c>
      <c r="F906" s="214" t="s">
        <v>5347</v>
      </c>
      <c r="G906" s="214" t="s">
        <v>1584</v>
      </c>
      <c r="H906" s="214" t="s">
        <v>5351</v>
      </c>
      <c r="I906" s="214" t="s">
        <v>5349</v>
      </c>
      <c r="J906" s="214" t="s">
        <v>5350</v>
      </c>
      <c r="K906" s="214" t="s">
        <v>9362</v>
      </c>
      <c r="L906" s="214" t="s">
        <v>10656</v>
      </c>
      <c r="M906" s="214" t="s">
        <v>10016</v>
      </c>
      <c r="P906" s="120"/>
    </row>
    <row r="907" spans="1:16">
      <c r="A907" s="214" t="s">
        <v>2412</v>
      </c>
      <c r="B907" s="214" t="s">
        <v>2625</v>
      </c>
      <c r="C907" s="222" t="s">
        <v>2625</v>
      </c>
      <c r="D907" s="222" t="s">
        <v>2625</v>
      </c>
      <c r="E907" s="222" t="s">
        <v>5352</v>
      </c>
      <c r="F907" s="214" t="s">
        <v>5353</v>
      </c>
      <c r="G907" s="214" t="s">
        <v>2625</v>
      </c>
      <c r="H907" s="214" t="s">
        <v>5354</v>
      </c>
      <c r="I907" s="214" t="s">
        <v>5355</v>
      </c>
      <c r="J907" s="214" t="s">
        <v>5356</v>
      </c>
      <c r="K907" s="214" t="s">
        <v>9363</v>
      </c>
      <c r="L907" s="214" t="s">
        <v>24</v>
      </c>
      <c r="M907" s="214" t="s">
        <v>10019</v>
      </c>
      <c r="P907" s="120"/>
    </row>
    <row r="908" spans="1:16">
      <c r="A908" s="214" t="s">
        <v>2413</v>
      </c>
      <c r="B908" s="214" t="s">
        <v>2626</v>
      </c>
      <c r="C908" s="222" t="s">
        <v>2626</v>
      </c>
      <c r="D908" s="222" t="s">
        <v>2626</v>
      </c>
      <c r="E908" s="222" t="s">
        <v>5357</v>
      </c>
      <c r="F908" s="214" t="s">
        <v>5358</v>
      </c>
      <c r="G908" s="214" t="s">
        <v>2626</v>
      </c>
      <c r="H908" s="214" t="s">
        <v>5359</v>
      </c>
      <c r="I908" s="214" t="s">
        <v>5360</v>
      </c>
      <c r="J908" s="214" t="s">
        <v>5361</v>
      </c>
      <c r="K908" s="214" t="s">
        <v>9364</v>
      </c>
      <c r="L908" s="214" t="s">
        <v>24</v>
      </c>
      <c r="M908" s="214" t="s">
        <v>10020</v>
      </c>
      <c r="P908" s="120"/>
    </row>
    <row r="909" spans="1:16">
      <c r="A909" s="214" t="s">
        <v>1587</v>
      </c>
      <c r="B909" s="214" t="s">
        <v>1588</v>
      </c>
      <c r="C909" s="222" t="s">
        <v>1588</v>
      </c>
      <c r="D909" s="222" t="s">
        <v>1588</v>
      </c>
      <c r="E909" s="222" t="s">
        <v>5362</v>
      </c>
      <c r="F909" s="214" t="s">
        <v>5363</v>
      </c>
      <c r="G909" s="214" t="s">
        <v>1588</v>
      </c>
      <c r="H909" s="214" t="s">
        <v>5364</v>
      </c>
      <c r="I909" s="214" t="s">
        <v>5365</v>
      </c>
      <c r="J909" s="214" t="s">
        <v>5366</v>
      </c>
      <c r="K909" s="214" t="s">
        <v>9365</v>
      </c>
      <c r="L909" s="214" t="s">
        <v>24</v>
      </c>
      <c r="M909" s="214" t="s">
        <v>10021</v>
      </c>
      <c r="P909" s="120"/>
    </row>
    <row r="910" spans="1:16">
      <c r="A910" s="214" t="s">
        <v>2414</v>
      </c>
      <c r="B910" s="214" t="s">
        <v>2627</v>
      </c>
      <c r="C910" s="222" t="s">
        <v>2627</v>
      </c>
      <c r="D910" s="222" t="s">
        <v>2627</v>
      </c>
      <c r="E910" s="222" t="s">
        <v>5367</v>
      </c>
      <c r="F910" s="214" t="s">
        <v>5368</v>
      </c>
      <c r="G910" s="214" t="s">
        <v>2627</v>
      </c>
      <c r="H910" s="214" t="s">
        <v>5369</v>
      </c>
      <c r="I910" s="214" t="s">
        <v>5370</v>
      </c>
      <c r="J910" s="214" t="s">
        <v>5371</v>
      </c>
      <c r="K910" s="214" t="s">
        <v>9366</v>
      </c>
      <c r="L910" s="214" t="s">
        <v>24</v>
      </c>
      <c r="M910" s="214" t="s">
        <v>10022</v>
      </c>
      <c r="P910" s="120"/>
    </row>
    <row r="911" spans="1:16">
      <c r="A911" s="215" t="s">
        <v>2415</v>
      </c>
      <c r="B911" s="214" t="s">
        <v>2628</v>
      </c>
      <c r="C911" s="222" t="s">
        <v>2628</v>
      </c>
      <c r="D911" s="222" t="s">
        <v>2628</v>
      </c>
      <c r="E911" s="222" t="s">
        <v>5372</v>
      </c>
      <c r="F911" s="214" t="s">
        <v>5373</v>
      </c>
      <c r="G911" s="214" t="s">
        <v>2628</v>
      </c>
      <c r="H911" s="214" t="s">
        <v>5374</v>
      </c>
      <c r="I911" s="214" t="s">
        <v>5375</v>
      </c>
      <c r="J911" s="214" t="s">
        <v>5376</v>
      </c>
      <c r="K911" s="214" t="s">
        <v>9367</v>
      </c>
      <c r="L911" s="214" t="s">
        <v>24</v>
      </c>
      <c r="M911" s="214" t="s">
        <v>10023</v>
      </c>
      <c r="P911" s="120"/>
    </row>
    <row r="912" spans="1:16">
      <c r="A912" s="214" t="s">
        <v>1589</v>
      </c>
      <c r="B912" s="214" t="s">
        <v>1590</v>
      </c>
      <c r="C912" s="222" t="s">
        <v>1590</v>
      </c>
      <c r="D912" s="222" t="s">
        <v>1590</v>
      </c>
      <c r="E912" s="222" t="s">
        <v>5377</v>
      </c>
      <c r="F912" s="214" t="s">
        <v>5378</v>
      </c>
      <c r="G912" s="214" t="s">
        <v>1590</v>
      </c>
      <c r="H912" s="214" t="s">
        <v>5379</v>
      </c>
      <c r="I912" s="214" t="s">
        <v>5380</v>
      </c>
      <c r="J912" s="214" t="s">
        <v>5381</v>
      </c>
      <c r="K912" s="214" t="s">
        <v>9368</v>
      </c>
      <c r="L912" s="214" t="s">
        <v>24</v>
      </c>
      <c r="M912" s="214" t="s">
        <v>10024</v>
      </c>
      <c r="P912" s="120"/>
    </row>
    <row r="913" spans="1:16">
      <c r="A913" s="214" t="s">
        <v>1591</v>
      </c>
      <c r="B913" s="214" t="s">
        <v>1592</v>
      </c>
      <c r="C913" s="222" t="s">
        <v>1592</v>
      </c>
      <c r="D913" s="222" t="s">
        <v>1592</v>
      </c>
      <c r="E913" s="222" t="s">
        <v>5382</v>
      </c>
      <c r="F913" s="214" t="s">
        <v>5383</v>
      </c>
      <c r="G913" s="214" t="s">
        <v>1592</v>
      </c>
      <c r="H913" s="214" t="s">
        <v>5384</v>
      </c>
      <c r="I913" s="214" t="s">
        <v>5385</v>
      </c>
      <c r="J913" s="214" t="s">
        <v>5386</v>
      </c>
      <c r="K913" s="214" t="s">
        <v>9369</v>
      </c>
      <c r="L913" s="214" t="s">
        <v>24</v>
      </c>
      <c r="M913" s="214" t="s">
        <v>10025</v>
      </c>
      <c r="P913" s="120"/>
    </row>
    <row r="914" spans="1:16">
      <c r="A914" s="214" t="s">
        <v>2849</v>
      </c>
      <c r="B914" s="214" t="s">
        <v>2850</v>
      </c>
      <c r="C914" s="222" t="s">
        <v>2850</v>
      </c>
      <c r="D914" s="222" t="s">
        <v>2850</v>
      </c>
      <c r="E914" s="222" t="s">
        <v>5387</v>
      </c>
      <c r="F914" s="214" t="s">
        <v>5388</v>
      </c>
      <c r="G914" s="214" t="s">
        <v>2850</v>
      </c>
      <c r="H914" s="214" t="s">
        <v>5389</v>
      </c>
      <c r="I914" s="214" t="s">
        <v>5390</v>
      </c>
      <c r="J914" s="214"/>
      <c r="K914" s="214" t="s">
        <v>9370</v>
      </c>
      <c r="L914" s="214" t="s">
        <v>24</v>
      </c>
      <c r="M914" s="214" t="s">
        <v>10026</v>
      </c>
      <c r="P914" s="120"/>
    </row>
    <row r="915" spans="1:16">
      <c r="A915" s="214" t="s">
        <v>1593</v>
      </c>
      <c r="B915" s="214" t="s">
        <v>1594</v>
      </c>
      <c r="C915" s="222" t="s">
        <v>1594</v>
      </c>
      <c r="D915" s="222" t="s">
        <v>1594</v>
      </c>
      <c r="E915" s="222" t="s">
        <v>5391</v>
      </c>
      <c r="F915" s="214" t="s">
        <v>5392</v>
      </c>
      <c r="G915" s="214" t="s">
        <v>1594</v>
      </c>
      <c r="H915" s="214" t="s">
        <v>5393</v>
      </c>
      <c r="I915" s="214" t="s">
        <v>5394</v>
      </c>
      <c r="J915" s="214" t="s">
        <v>5395</v>
      </c>
      <c r="K915" s="223" t="s">
        <v>9371</v>
      </c>
      <c r="L915" s="214" t="s">
        <v>24</v>
      </c>
      <c r="M915" s="214" t="s">
        <v>10027</v>
      </c>
      <c r="P915" s="120"/>
    </row>
    <row r="916" spans="1:16">
      <c r="A916" s="214" t="s">
        <v>1595</v>
      </c>
      <c r="B916" s="214" t="s">
        <v>1596</v>
      </c>
      <c r="C916" s="222" t="s">
        <v>1596</v>
      </c>
      <c r="D916" s="222" t="s">
        <v>1596</v>
      </c>
      <c r="E916" s="222" t="s">
        <v>5396</v>
      </c>
      <c r="F916" s="214" t="s">
        <v>5397</v>
      </c>
      <c r="G916" s="214" t="s">
        <v>1596</v>
      </c>
      <c r="H916" s="214" t="s">
        <v>5398</v>
      </c>
      <c r="I916" s="214" t="s">
        <v>5399</v>
      </c>
      <c r="J916" s="214" t="s">
        <v>5400</v>
      </c>
      <c r="K916" s="214" t="s">
        <v>9372</v>
      </c>
      <c r="L916" s="214" t="s">
        <v>24</v>
      </c>
      <c r="M916" s="214" t="s">
        <v>10028</v>
      </c>
      <c r="P916" s="120"/>
    </row>
    <row r="917" spans="1:16">
      <c r="A917" s="214" t="s">
        <v>1597</v>
      </c>
      <c r="B917" s="214" t="s">
        <v>1598</v>
      </c>
      <c r="C917" s="222" t="s">
        <v>1598</v>
      </c>
      <c r="D917" s="222" t="s">
        <v>1598</v>
      </c>
      <c r="E917" s="222" t="s">
        <v>5401</v>
      </c>
      <c r="F917" s="214" t="s">
        <v>5402</v>
      </c>
      <c r="G917" s="214" t="s">
        <v>1598</v>
      </c>
      <c r="H917" s="214" t="s">
        <v>5403</v>
      </c>
      <c r="I917" s="214" t="s">
        <v>5404</v>
      </c>
      <c r="J917" s="214" t="s">
        <v>5405</v>
      </c>
      <c r="K917" s="214" t="s">
        <v>9373</v>
      </c>
      <c r="L917" s="214" t="s">
        <v>24</v>
      </c>
      <c r="M917" s="214" t="s">
        <v>10029</v>
      </c>
      <c r="P917" s="120"/>
    </row>
    <row r="918" spans="1:16">
      <c r="A918" s="214" t="s">
        <v>1599</v>
      </c>
      <c r="B918" s="214" t="s">
        <v>1600</v>
      </c>
      <c r="C918" s="222" t="s">
        <v>1600</v>
      </c>
      <c r="D918" s="222" t="s">
        <v>1600</v>
      </c>
      <c r="E918" s="222" t="s">
        <v>5406</v>
      </c>
      <c r="F918" s="214" t="s">
        <v>5407</v>
      </c>
      <c r="G918" s="214" t="s">
        <v>1600</v>
      </c>
      <c r="H918" s="214" t="s">
        <v>5408</v>
      </c>
      <c r="I918" s="214" t="s">
        <v>5409</v>
      </c>
      <c r="J918" s="214" t="s">
        <v>5410</v>
      </c>
      <c r="K918" s="214" t="s">
        <v>9374</v>
      </c>
      <c r="L918" s="214" t="s">
        <v>24</v>
      </c>
      <c r="M918" s="214" t="s">
        <v>10030</v>
      </c>
      <c r="P918" s="120"/>
    </row>
    <row r="919" spans="1:16">
      <c r="A919" s="214" t="s">
        <v>1601</v>
      </c>
      <c r="B919" s="214" t="s">
        <v>1602</v>
      </c>
      <c r="C919" s="222" t="s">
        <v>1602</v>
      </c>
      <c r="D919" s="222" t="s">
        <v>1602</v>
      </c>
      <c r="E919" s="222" t="s">
        <v>5411</v>
      </c>
      <c r="F919" s="214" t="s">
        <v>5412</v>
      </c>
      <c r="G919" s="214" t="s">
        <v>1602</v>
      </c>
      <c r="H919" s="214" t="s">
        <v>5413</v>
      </c>
      <c r="I919" s="214" t="s">
        <v>5414</v>
      </c>
      <c r="J919" s="214" t="s">
        <v>5415</v>
      </c>
      <c r="K919" s="214" t="s">
        <v>9375</v>
      </c>
      <c r="L919" s="214" t="s">
        <v>24</v>
      </c>
      <c r="M919" s="214" t="s">
        <v>10031</v>
      </c>
      <c r="P919" s="120"/>
    </row>
    <row r="920" spans="1:16">
      <c r="A920" s="214" t="s">
        <v>1603</v>
      </c>
      <c r="B920" s="214" t="s">
        <v>1604</v>
      </c>
      <c r="C920" s="222" t="s">
        <v>1604</v>
      </c>
      <c r="D920" s="222" t="s">
        <v>1604</v>
      </c>
      <c r="E920" s="222" t="s">
        <v>5416</v>
      </c>
      <c r="F920" s="214" t="s">
        <v>5417</v>
      </c>
      <c r="G920" s="214" t="s">
        <v>1604</v>
      </c>
      <c r="H920" s="214" t="s">
        <v>5418</v>
      </c>
      <c r="I920" s="214" t="s">
        <v>5419</v>
      </c>
      <c r="J920" s="214" t="s">
        <v>5420</v>
      </c>
      <c r="K920" s="214" t="s">
        <v>9376</v>
      </c>
      <c r="L920" s="214" t="s">
        <v>24</v>
      </c>
      <c r="M920" s="214" t="s">
        <v>10032</v>
      </c>
      <c r="P920" s="120"/>
    </row>
    <row r="921" spans="1:16">
      <c r="A921" s="214" t="s">
        <v>1605</v>
      </c>
      <c r="B921" s="214" t="s">
        <v>1606</v>
      </c>
      <c r="C921" s="222" t="s">
        <v>1606</v>
      </c>
      <c r="D921" s="222" t="s">
        <v>1606</v>
      </c>
      <c r="E921" s="222" t="s">
        <v>5421</v>
      </c>
      <c r="F921" s="214" t="s">
        <v>5422</v>
      </c>
      <c r="G921" s="214" t="s">
        <v>1606</v>
      </c>
      <c r="H921" s="214" t="s">
        <v>5423</v>
      </c>
      <c r="I921" s="214" t="s">
        <v>5424</v>
      </c>
      <c r="J921" s="214" t="s">
        <v>5425</v>
      </c>
      <c r="K921" s="214" t="s">
        <v>9377</v>
      </c>
      <c r="L921" s="214" t="s">
        <v>24</v>
      </c>
      <c r="M921" s="214" t="s">
        <v>10033</v>
      </c>
      <c r="P921" s="120"/>
    </row>
    <row r="922" spans="1:16">
      <c r="A922" s="214" t="s">
        <v>1607</v>
      </c>
      <c r="B922" s="214" t="s">
        <v>1608</v>
      </c>
      <c r="C922" s="222" t="s">
        <v>1608</v>
      </c>
      <c r="D922" s="222" t="s">
        <v>1608</v>
      </c>
      <c r="E922" s="222" t="s">
        <v>5426</v>
      </c>
      <c r="F922" s="214" t="s">
        <v>5427</v>
      </c>
      <c r="G922" s="214" t="s">
        <v>1608</v>
      </c>
      <c r="H922" s="214" t="s">
        <v>5428</v>
      </c>
      <c r="I922" s="214" t="s">
        <v>5429</v>
      </c>
      <c r="J922" s="214" t="s">
        <v>5430</v>
      </c>
      <c r="K922" s="214" t="s">
        <v>9378</v>
      </c>
      <c r="L922" s="214" t="s">
        <v>24</v>
      </c>
      <c r="M922" s="214" t="s">
        <v>10034</v>
      </c>
      <c r="P922" s="120"/>
    </row>
    <row r="923" spans="1:16">
      <c r="A923" s="214" t="s">
        <v>1609</v>
      </c>
      <c r="B923" s="214" t="s">
        <v>1610</v>
      </c>
      <c r="C923" s="222" t="s">
        <v>1610</v>
      </c>
      <c r="D923" s="222" t="s">
        <v>1610</v>
      </c>
      <c r="E923" s="222" t="s">
        <v>5431</v>
      </c>
      <c r="F923" s="214" t="s">
        <v>5432</v>
      </c>
      <c r="G923" s="214" t="s">
        <v>1610</v>
      </c>
      <c r="H923" s="214" t="s">
        <v>5433</v>
      </c>
      <c r="I923" s="214" t="s">
        <v>5434</v>
      </c>
      <c r="J923" s="214" t="s">
        <v>5435</v>
      </c>
      <c r="K923" s="214" t="s">
        <v>9379</v>
      </c>
      <c r="L923" s="214" t="s">
        <v>24</v>
      </c>
      <c r="M923" s="214" t="s">
        <v>10035</v>
      </c>
      <c r="P923" s="120"/>
    </row>
    <row r="924" spans="1:16">
      <c r="A924" s="214" t="s">
        <v>1611</v>
      </c>
      <c r="B924" s="214" t="s">
        <v>1612</v>
      </c>
      <c r="C924" s="222" t="s">
        <v>1612</v>
      </c>
      <c r="D924" s="222" t="s">
        <v>1612</v>
      </c>
      <c r="E924" s="222" t="s">
        <v>5436</v>
      </c>
      <c r="F924" s="214" t="s">
        <v>5437</v>
      </c>
      <c r="G924" s="214" t="s">
        <v>1612</v>
      </c>
      <c r="H924" s="214" t="s">
        <v>5438</v>
      </c>
      <c r="I924" s="214" t="s">
        <v>5439</v>
      </c>
      <c r="J924" s="214" t="s">
        <v>5440</v>
      </c>
      <c r="K924" s="214" t="s">
        <v>9380</v>
      </c>
      <c r="L924" s="214" t="s">
        <v>24</v>
      </c>
      <c r="M924" s="214" t="s">
        <v>10036</v>
      </c>
      <c r="P924" s="120"/>
    </row>
    <row r="925" spans="1:16">
      <c r="A925" s="214" t="s">
        <v>1615</v>
      </c>
      <c r="B925" s="214" t="s">
        <v>1616</v>
      </c>
      <c r="C925" s="222" t="s">
        <v>1616</v>
      </c>
      <c r="D925" s="222" t="s">
        <v>1616</v>
      </c>
      <c r="E925" s="222" t="s">
        <v>5448</v>
      </c>
      <c r="F925" s="214" t="s">
        <v>5449</v>
      </c>
      <c r="G925" s="214" t="s">
        <v>1616</v>
      </c>
      <c r="H925" s="214" t="s">
        <v>5450</v>
      </c>
      <c r="I925" s="214" t="s">
        <v>5451</v>
      </c>
      <c r="J925" s="214" t="s">
        <v>5452</v>
      </c>
      <c r="K925" s="214" t="s">
        <v>9382</v>
      </c>
      <c r="L925" s="214" t="s">
        <v>24</v>
      </c>
      <c r="M925" s="214" t="s">
        <v>10037</v>
      </c>
      <c r="P925" s="120"/>
    </row>
    <row r="926" spans="1:16">
      <c r="A926" s="214" t="s">
        <v>1617</v>
      </c>
      <c r="B926" s="214" t="s">
        <v>1618</v>
      </c>
      <c r="C926" s="222" t="s">
        <v>1618</v>
      </c>
      <c r="D926" s="222" t="s">
        <v>1618</v>
      </c>
      <c r="E926" s="222" t="s">
        <v>5453</v>
      </c>
      <c r="F926" s="214" t="s">
        <v>5454</v>
      </c>
      <c r="G926" s="214" t="s">
        <v>1618</v>
      </c>
      <c r="H926" s="214" t="s">
        <v>5455</v>
      </c>
      <c r="I926" s="214" t="s">
        <v>5456</v>
      </c>
      <c r="J926" s="214" t="s">
        <v>5457</v>
      </c>
      <c r="K926" s="214" t="s">
        <v>9383</v>
      </c>
      <c r="L926" s="214" t="s">
        <v>24</v>
      </c>
      <c r="M926" s="214" t="s">
        <v>10038</v>
      </c>
      <c r="P926" s="120"/>
    </row>
    <row r="927" spans="1:16">
      <c r="A927" s="214" t="s">
        <v>1619</v>
      </c>
      <c r="B927" s="214" t="s">
        <v>1620</v>
      </c>
      <c r="C927" s="222" t="s">
        <v>1620</v>
      </c>
      <c r="D927" s="222" t="s">
        <v>1620</v>
      </c>
      <c r="E927" s="222" t="s">
        <v>5141</v>
      </c>
      <c r="F927" s="214" t="s">
        <v>5458</v>
      </c>
      <c r="G927" s="214" t="s">
        <v>1620</v>
      </c>
      <c r="H927" s="214" t="s">
        <v>5142</v>
      </c>
      <c r="I927" s="214" t="s">
        <v>5459</v>
      </c>
      <c r="J927" s="214" t="s">
        <v>5460</v>
      </c>
      <c r="K927" s="214" t="s">
        <v>9384</v>
      </c>
      <c r="L927" s="214" t="s">
        <v>24</v>
      </c>
      <c r="M927" s="214" t="s">
        <v>10039</v>
      </c>
      <c r="P927" s="120"/>
    </row>
    <row r="928" spans="1:16">
      <c r="A928" s="214" t="s">
        <v>1621</v>
      </c>
      <c r="B928" s="214" t="s">
        <v>1622</v>
      </c>
      <c r="C928" s="222" t="s">
        <v>1622</v>
      </c>
      <c r="D928" s="222" t="s">
        <v>1622</v>
      </c>
      <c r="E928" s="222" t="s">
        <v>5461</v>
      </c>
      <c r="F928" s="214" t="s">
        <v>5462</v>
      </c>
      <c r="G928" s="214" t="s">
        <v>1622</v>
      </c>
      <c r="H928" s="214" t="s">
        <v>5463</v>
      </c>
      <c r="I928" s="214" t="s">
        <v>5464</v>
      </c>
      <c r="J928" s="214" t="s">
        <v>5465</v>
      </c>
      <c r="K928" s="214" t="s">
        <v>9385</v>
      </c>
      <c r="L928" s="214" t="s">
        <v>24</v>
      </c>
      <c r="M928" s="214" t="s">
        <v>10040</v>
      </c>
      <c r="P928" s="120"/>
    </row>
    <row r="929" spans="1:16">
      <c r="A929" s="214" t="s">
        <v>1623</v>
      </c>
      <c r="B929" s="214" t="s">
        <v>1377</v>
      </c>
      <c r="C929" s="222" t="s">
        <v>1377</v>
      </c>
      <c r="D929" s="222" t="s">
        <v>1377</v>
      </c>
      <c r="E929" s="222" t="s">
        <v>5466</v>
      </c>
      <c r="F929" s="214" t="s">
        <v>5467</v>
      </c>
      <c r="G929" s="214" t="s">
        <v>1377</v>
      </c>
      <c r="H929" s="214" t="s">
        <v>5468</v>
      </c>
      <c r="I929" s="214" t="s">
        <v>5469</v>
      </c>
      <c r="J929" s="214" t="s">
        <v>5470</v>
      </c>
      <c r="K929" s="214" t="s">
        <v>9386</v>
      </c>
      <c r="L929" s="214" t="s">
        <v>24</v>
      </c>
      <c r="M929" s="214" t="s">
        <v>10041</v>
      </c>
      <c r="P929" s="120"/>
    </row>
    <row r="930" spans="1:16">
      <c r="A930" s="214" t="s">
        <v>1624</v>
      </c>
      <c r="B930" s="214" t="s">
        <v>1625</v>
      </c>
      <c r="C930" s="222" t="s">
        <v>1625</v>
      </c>
      <c r="D930" s="222" t="s">
        <v>1625</v>
      </c>
      <c r="E930" s="222" t="s">
        <v>5471</v>
      </c>
      <c r="F930" s="214" t="s">
        <v>5472</v>
      </c>
      <c r="G930" s="214" t="s">
        <v>1625</v>
      </c>
      <c r="H930" s="214" t="s">
        <v>5473</v>
      </c>
      <c r="I930" s="214" t="s">
        <v>5474</v>
      </c>
      <c r="J930" s="214" t="s">
        <v>5475</v>
      </c>
      <c r="K930" s="214" t="s">
        <v>9387</v>
      </c>
      <c r="L930" s="214" t="s">
        <v>24</v>
      </c>
      <c r="M930" s="214" t="s">
        <v>10042</v>
      </c>
      <c r="P930" s="120"/>
    </row>
    <row r="931" spans="1:16">
      <c r="A931" s="214" t="s">
        <v>1626</v>
      </c>
      <c r="B931" s="214" t="s">
        <v>1614</v>
      </c>
      <c r="C931" s="222" t="s">
        <v>1614</v>
      </c>
      <c r="D931" s="222" t="s">
        <v>1614</v>
      </c>
      <c r="E931" s="222" t="s">
        <v>5443</v>
      </c>
      <c r="F931" s="214" t="s">
        <v>5444</v>
      </c>
      <c r="G931" s="214" t="s">
        <v>1614</v>
      </c>
      <c r="H931" s="214" t="s">
        <v>5445</v>
      </c>
      <c r="I931" s="214" t="s">
        <v>5446</v>
      </c>
      <c r="J931" s="214" t="s">
        <v>5447</v>
      </c>
      <c r="K931" s="223" t="s">
        <v>9381</v>
      </c>
      <c r="L931" s="214" t="s">
        <v>24</v>
      </c>
      <c r="M931" s="214" t="s">
        <v>10043</v>
      </c>
      <c r="P931" s="120"/>
    </row>
    <row r="932" spans="1:16">
      <c r="A932" s="214" t="s">
        <v>1627</v>
      </c>
      <c r="B932" s="214" t="s">
        <v>1628</v>
      </c>
      <c r="C932" s="222" t="s">
        <v>1628</v>
      </c>
      <c r="D932" s="222" t="s">
        <v>1628</v>
      </c>
      <c r="E932" s="222" t="s">
        <v>5476</v>
      </c>
      <c r="F932" s="214" t="s">
        <v>5477</v>
      </c>
      <c r="G932" s="214" t="s">
        <v>1628</v>
      </c>
      <c r="H932" s="214" t="s">
        <v>5478</v>
      </c>
      <c r="I932" s="214" t="s">
        <v>5479</v>
      </c>
      <c r="J932" s="214" t="s">
        <v>5480</v>
      </c>
      <c r="K932" s="223" t="s">
        <v>9388</v>
      </c>
      <c r="L932" s="214" t="s">
        <v>24</v>
      </c>
      <c r="M932" s="214" t="s">
        <v>10044</v>
      </c>
      <c r="P932" s="120"/>
    </row>
    <row r="933" spans="1:16">
      <c r="A933" s="214" t="s">
        <v>1629</v>
      </c>
      <c r="B933" s="214" t="s">
        <v>1630</v>
      </c>
      <c r="C933" s="222" t="s">
        <v>1630</v>
      </c>
      <c r="D933" s="222" t="s">
        <v>1630</v>
      </c>
      <c r="E933" s="222" t="s">
        <v>5481</v>
      </c>
      <c r="F933" s="214" t="s">
        <v>5482</v>
      </c>
      <c r="G933" s="214" t="s">
        <v>1630</v>
      </c>
      <c r="H933" s="214" t="s">
        <v>5483</v>
      </c>
      <c r="I933" s="214" t="s">
        <v>5484</v>
      </c>
      <c r="J933" s="214" t="s">
        <v>5485</v>
      </c>
      <c r="K933" s="223" t="s">
        <v>9389</v>
      </c>
      <c r="L933" s="214" t="s">
        <v>24</v>
      </c>
      <c r="M933" s="214" t="s">
        <v>10045</v>
      </c>
      <c r="P933" s="120"/>
    </row>
    <row r="934" spans="1:16">
      <c r="A934" s="214" t="s">
        <v>1631</v>
      </c>
      <c r="B934" s="214" t="s">
        <v>1632</v>
      </c>
      <c r="C934" s="222" t="s">
        <v>1632</v>
      </c>
      <c r="D934" s="222" t="s">
        <v>1632</v>
      </c>
      <c r="E934" s="222" t="s">
        <v>5486</v>
      </c>
      <c r="F934" s="214" t="s">
        <v>5487</v>
      </c>
      <c r="G934" s="214" t="s">
        <v>1632</v>
      </c>
      <c r="H934" s="214" t="s">
        <v>5488</v>
      </c>
      <c r="I934" s="214" t="s">
        <v>5489</v>
      </c>
      <c r="J934" s="214" t="s">
        <v>5490</v>
      </c>
      <c r="K934" s="223" t="s">
        <v>9390</v>
      </c>
      <c r="L934" s="214" t="s">
        <v>24</v>
      </c>
      <c r="M934" s="214" t="s">
        <v>10046</v>
      </c>
      <c r="P934" s="120"/>
    </row>
    <row r="935" spans="1:16">
      <c r="A935" s="214" t="s">
        <v>1633</v>
      </c>
      <c r="B935" s="214" t="s">
        <v>2629</v>
      </c>
      <c r="C935" s="222" t="s">
        <v>2629</v>
      </c>
      <c r="D935" s="222" t="s">
        <v>2629</v>
      </c>
      <c r="E935" s="222" t="s">
        <v>5491</v>
      </c>
      <c r="F935" s="214" t="s">
        <v>5492</v>
      </c>
      <c r="G935" s="214" t="s">
        <v>2629</v>
      </c>
      <c r="H935" s="214" t="s">
        <v>5493</v>
      </c>
      <c r="I935" s="214" t="s">
        <v>5494</v>
      </c>
      <c r="J935" s="214" t="s">
        <v>5495</v>
      </c>
      <c r="K935" s="214" t="s">
        <v>9391</v>
      </c>
      <c r="L935" s="214" t="s">
        <v>24</v>
      </c>
      <c r="M935" s="214" t="s">
        <v>10047</v>
      </c>
      <c r="P935" s="120"/>
    </row>
    <row r="936" spans="1:16">
      <c r="A936" s="214" t="s">
        <v>1634</v>
      </c>
      <c r="B936" s="214" t="s">
        <v>1635</v>
      </c>
      <c r="C936" s="222" t="s">
        <v>1635</v>
      </c>
      <c r="D936" s="222" t="s">
        <v>1635</v>
      </c>
      <c r="E936" s="222" t="s">
        <v>5496</v>
      </c>
      <c r="F936" s="214" t="s">
        <v>5497</v>
      </c>
      <c r="G936" s="214" t="s">
        <v>1635</v>
      </c>
      <c r="H936" s="214" t="s">
        <v>5498</v>
      </c>
      <c r="I936" s="214" t="s">
        <v>5499</v>
      </c>
      <c r="J936" s="214" t="s">
        <v>5500</v>
      </c>
      <c r="K936" s="214" t="s">
        <v>9392</v>
      </c>
      <c r="L936" s="214" t="s">
        <v>24</v>
      </c>
      <c r="M936" s="214" t="s">
        <v>10048</v>
      </c>
      <c r="P936" s="120"/>
    </row>
    <row r="937" spans="1:16">
      <c r="A937" s="214" t="s">
        <v>1636</v>
      </c>
      <c r="B937" s="214" t="s">
        <v>1637</v>
      </c>
      <c r="C937" s="222" t="s">
        <v>1637</v>
      </c>
      <c r="D937" s="222" t="s">
        <v>1637</v>
      </c>
      <c r="E937" s="222" t="s">
        <v>5501</v>
      </c>
      <c r="F937" s="214" t="s">
        <v>5502</v>
      </c>
      <c r="G937" s="214" t="s">
        <v>1637</v>
      </c>
      <c r="H937" s="214" t="s">
        <v>5503</v>
      </c>
      <c r="I937" s="214" t="s">
        <v>5504</v>
      </c>
      <c r="J937" s="214" t="s">
        <v>5505</v>
      </c>
      <c r="K937" s="214" t="s">
        <v>9393</v>
      </c>
      <c r="L937" s="214" t="s">
        <v>24</v>
      </c>
      <c r="M937" s="214" t="s">
        <v>10049</v>
      </c>
      <c r="P937" s="120"/>
    </row>
    <row r="938" spans="1:16">
      <c r="A938" s="214" t="s">
        <v>1638</v>
      </c>
      <c r="B938" s="214" t="s">
        <v>1639</v>
      </c>
      <c r="C938" s="222" t="s">
        <v>1639</v>
      </c>
      <c r="D938" s="222" t="s">
        <v>1639</v>
      </c>
      <c r="E938" s="222" t="s">
        <v>5506</v>
      </c>
      <c r="F938" s="214" t="s">
        <v>5507</v>
      </c>
      <c r="G938" s="214" t="s">
        <v>1639</v>
      </c>
      <c r="H938" s="214" t="s">
        <v>5508</v>
      </c>
      <c r="I938" s="214" t="s">
        <v>5509</v>
      </c>
      <c r="J938" s="214" t="s">
        <v>5510</v>
      </c>
      <c r="K938" s="214" t="s">
        <v>9394</v>
      </c>
      <c r="L938" s="214" t="s">
        <v>24</v>
      </c>
      <c r="M938" s="214" t="s">
        <v>10050</v>
      </c>
      <c r="P938" s="120"/>
    </row>
    <row r="939" spans="1:16">
      <c r="A939" s="214" t="s">
        <v>1640</v>
      </c>
      <c r="B939" s="214" t="s">
        <v>1641</v>
      </c>
      <c r="C939" s="222" t="s">
        <v>1641</v>
      </c>
      <c r="D939" s="222" t="s">
        <v>1641</v>
      </c>
      <c r="E939" s="222" t="s">
        <v>5511</v>
      </c>
      <c r="F939" s="214" t="s">
        <v>5512</v>
      </c>
      <c r="G939" s="214" t="s">
        <v>1641</v>
      </c>
      <c r="H939" s="214" t="s">
        <v>5513</v>
      </c>
      <c r="I939" s="214" t="s">
        <v>5514</v>
      </c>
      <c r="J939" s="214" t="s">
        <v>5515</v>
      </c>
      <c r="K939" s="214" t="s">
        <v>9395</v>
      </c>
      <c r="L939" s="214" t="s">
        <v>24</v>
      </c>
      <c r="M939" s="214" t="s">
        <v>10051</v>
      </c>
      <c r="P939" s="120"/>
    </row>
    <row r="940" spans="1:16">
      <c r="A940" s="214" t="s">
        <v>1642</v>
      </c>
      <c r="B940" s="214" t="s">
        <v>1643</v>
      </c>
      <c r="C940" s="222" t="s">
        <v>1643</v>
      </c>
      <c r="D940" s="222" t="s">
        <v>1643</v>
      </c>
      <c r="E940" s="222" t="s">
        <v>5516</v>
      </c>
      <c r="F940" s="214" t="s">
        <v>5517</v>
      </c>
      <c r="G940" s="214" t="s">
        <v>1643</v>
      </c>
      <c r="H940" s="214" t="s">
        <v>5518</v>
      </c>
      <c r="I940" s="214" t="s">
        <v>5519</v>
      </c>
      <c r="J940" s="214" t="s">
        <v>5520</v>
      </c>
      <c r="K940" s="214" t="s">
        <v>9396</v>
      </c>
      <c r="L940" s="214" t="s">
        <v>24</v>
      </c>
      <c r="M940" s="214" t="s">
        <v>10052</v>
      </c>
      <c r="P940" s="120"/>
    </row>
    <row r="941" spans="1:16">
      <c r="A941" s="215" t="s">
        <v>1646</v>
      </c>
      <c r="B941" s="214" t="s">
        <v>1647</v>
      </c>
      <c r="C941" s="222" t="s">
        <v>1647</v>
      </c>
      <c r="D941" s="222" t="s">
        <v>1647</v>
      </c>
      <c r="E941" s="222" t="s">
        <v>5526</v>
      </c>
      <c r="F941" s="214" t="s">
        <v>5527</v>
      </c>
      <c r="G941" s="214" t="s">
        <v>1647</v>
      </c>
      <c r="H941" s="214" t="s">
        <v>5528</v>
      </c>
      <c r="I941" s="214" t="s">
        <v>5529</v>
      </c>
      <c r="J941" s="214" t="s">
        <v>5530</v>
      </c>
      <c r="K941" s="214" t="s">
        <v>9398</v>
      </c>
      <c r="L941" s="214" t="s">
        <v>24</v>
      </c>
      <c r="M941" s="214" t="s">
        <v>10054</v>
      </c>
      <c r="P941" s="120"/>
    </row>
    <row r="942" spans="1:16">
      <c r="A942" s="214" t="s">
        <v>1648</v>
      </c>
      <c r="B942" s="214" t="s">
        <v>1649</v>
      </c>
      <c r="C942" s="222" t="s">
        <v>1649</v>
      </c>
      <c r="D942" s="222" t="s">
        <v>1649</v>
      </c>
      <c r="E942" s="222" t="s">
        <v>5531</v>
      </c>
      <c r="F942" s="214" t="s">
        <v>5532</v>
      </c>
      <c r="G942" s="214" t="s">
        <v>1649</v>
      </c>
      <c r="H942" s="214" t="s">
        <v>5533</v>
      </c>
      <c r="I942" s="214" t="s">
        <v>5534</v>
      </c>
      <c r="J942" s="214" t="s">
        <v>5535</v>
      </c>
      <c r="K942" s="214" t="s">
        <v>9399</v>
      </c>
      <c r="L942" s="214" t="s">
        <v>24</v>
      </c>
      <c r="M942" s="214" t="s">
        <v>10055</v>
      </c>
      <c r="P942" s="120"/>
    </row>
    <row r="943" spans="1:16">
      <c r="A943" s="214" t="s">
        <v>1650</v>
      </c>
      <c r="B943" s="214" t="s">
        <v>1652</v>
      </c>
      <c r="C943" s="222" t="s">
        <v>1651</v>
      </c>
      <c r="D943" s="222" t="s">
        <v>1652</v>
      </c>
      <c r="E943" s="222" t="s">
        <v>5536</v>
      </c>
      <c r="F943" s="214" t="s">
        <v>5537</v>
      </c>
      <c r="G943" s="214" t="s">
        <v>1651</v>
      </c>
      <c r="H943" s="214" t="s">
        <v>5538</v>
      </c>
      <c r="I943" s="214" t="s">
        <v>5539</v>
      </c>
      <c r="J943" s="214" t="s">
        <v>5540</v>
      </c>
      <c r="K943" s="214" t="s">
        <v>9400</v>
      </c>
      <c r="L943" s="214" t="s">
        <v>24</v>
      </c>
      <c r="M943" s="214" t="s">
        <v>10056</v>
      </c>
      <c r="P943" s="120"/>
    </row>
    <row r="944" spans="1:16">
      <c r="A944" s="214" t="s">
        <v>1653</v>
      </c>
      <c r="B944" s="214" t="s">
        <v>1654</v>
      </c>
      <c r="C944" s="222" t="s">
        <v>1654</v>
      </c>
      <c r="D944" s="222" t="s">
        <v>1654</v>
      </c>
      <c r="E944" s="222" t="s">
        <v>5541</v>
      </c>
      <c r="F944" s="214" t="s">
        <v>5542</v>
      </c>
      <c r="G944" s="214" t="s">
        <v>1654</v>
      </c>
      <c r="H944" s="214" t="s">
        <v>5543</v>
      </c>
      <c r="I944" s="214" t="s">
        <v>5544</v>
      </c>
      <c r="J944" s="214" t="s">
        <v>5545</v>
      </c>
      <c r="K944" s="214" t="s">
        <v>9401</v>
      </c>
      <c r="L944" s="214" t="s">
        <v>24</v>
      </c>
      <c r="M944" s="214" t="s">
        <v>10057</v>
      </c>
      <c r="P944" s="120"/>
    </row>
    <row r="945" spans="1:16">
      <c r="A945" s="214" t="s">
        <v>1671</v>
      </c>
      <c r="B945" s="214" t="s">
        <v>1673</v>
      </c>
      <c r="C945" s="222" t="s">
        <v>1672</v>
      </c>
      <c r="D945" s="222" t="s">
        <v>1673</v>
      </c>
      <c r="E945" s="222" t="s">
        <v>5581</v>
      </c>
      <c r="F945" s="214" t="s">
        <v>5582</v>
      </c>
      <c r="G945" s="214" t="s">
        <v>1672</v>
      </c>
      <c r="H945" s="214" t="s">
        <v>5583</v>
      </c>
      <c r="I945" s="214" t="s">
        <v>5584</v>
      </c>
      <c r="J945" s="214" t="s">
        <v>5585</v>
      </c>
      <c r="K945" s="214" t="s">
        <v>9409</v>
      </c>
      <c r="L945" s="214" t="s">
        <v>24</v>
      </c>
      <c r="M945" s="214" t="s">
        <v>10065</v>
      </c>
      <c r="P945" s="120"/>
    </row>
    <row r="946" spans="1:16">
      <c r="A946" s="214" t="s">
        <v>1677</v>
      </c>
      <c r="B946" s="214" t="s">
        <v>1678</v>
      </c>
      <c r="C946" s="222" t="s">
        <v>1678</v>
      </c>
      <c r="D946" s="222" t="s">
        <v>1678</v>
      </c>
      <c r="E946" s="222" t="s">
        <v>5591</v>
      </c>
      <c r="F946" s="214" t="s">
        <v>5592</v>
      </c>
      <c r="G946" s="214" t="s">
        <v>1678</v>
      </c>
      <c r="H946" s="214" t="s">
        <v>5593</v>
      </c>
      <c r="I946" s="214" t="s">
        <v>5594</v>
      </c>
      <c r="J946" s="214" t="s">
        <v>5595</v>
      </c>
      <c r="K946" s="214" t="s">
        <v>9411</v>
      </c>
      <c r="L946" s="214" t="s">
        <v>24</v>
      </c>
      <c r="M946" s="214" t="s">
        <v>10067</v>
      </c>
      <c r="P946" s="120"/>
    </row>
    <row r="947" spans="1:16">
      <c r="A947" s="215" t="s">
        <v>1679</v>
      </c>
      <c r="B947" s="214" t="s">
        <v>1680</v>
      </c>
      <c r="C947" s="222" t="s">
        <v>1680</v>
      </c>
      <c r="D947" s="222" t="s">
        <v>1680</v>
      </c>
      <c r="E947" s="222" t="s">
        <v>5596</v>
      </c>
      <c r="F947" s="214" t="s">
        <v>5597</v>
      </c>
      <c r="G947" s="214" t="s">
        <v>1680</v>
      </c>
      <c r="H947" s="214" t="s">
        <v>5598</v>
      </c>
      <c r="I947" s="214" t="s">
        <v>5599</v>
      </c>
      <c r="J947" s="214" t="s">
        <v>5600</v>
      </c>
      <c r="K947" s="214" t="s">
        <v>9412</v>
      </c>
      <c r="L947" s="214" t="s">
        <v>24</v>
      </c>
      <c r="M947" s="214" t="s">
        <v>10068</v>
      </c>
      <c r="P947" s="120"/>
    </row>
    <row r="948" spans="1:16">
      <c r="A948" s="215" t="s">
        <v>1681</v>
      </c>
      <c r="B948" s="214" t="s">
        <v>1682</v>
      </c>
      <c r="C948" s="222" t="s">
        <v>1682</v>
      </c>
      <c r="D948" s="222" t="s">
        <v>1682</v>
      </c>
      <c r="E948" s="222" t="s">
        <v>5601</v>
      </c>
      <c r="F948" s="214" t="s">
        <v>5602</v>
      </c>
      <c r="G948" s="214" t="s">
        <v>1682</v>
      </c>
      <c r="H948" s="214" t="s">
        <v>5603</v>
      </c>
      <c r="I948" s="214" t="s">
        <v>5604</v>
      </c>
      <c r="J948" s="214" t="s">
        <v>5605</v>
      </c>
      <c r="K948" s="214" t="s">
        <v>9413</v>
      </c>
      <c r="L948" s="214" t="s">
        <v>24</v>
      </c>
      <c r="M948" s="214" t="s">
        <v>10069</v>
      </c>
      <c r="P948" s="120"/>
    </row>
    <row r="949" spans="1:16">
      <c r="A949" s="214" t="s">
        <v>1685</v>
      </c>
      <c r="B949" s="214" t="s">
        <v>1686</v>
      </c>
      <c r="C949" s="222" t="s">
        <v>1686</v>
      </c>
      <c r="D949" s="222" t="s">
        <v>1686</v>
      </c>
      <c r="E949" s="222" t="s">
        <v>5611</v>
      </c>
      <c r="F949" s="214" t="s">
        <v>5612</v>
      </c>
      <c r="G949" s="214" t="s">
        <v>1686</v>
      </c>
      <c r="H949" s="214" t="s">
        <v>5613</v>
      </c>
      <c r="I949" s="214" t="s">
        <v>5614</v>
      </c>
      <c r="J949" s="214" t="s">
        <v>5615</v>
      </c>
      <c r="K949" s="214" t="s">
        <v>9415</v>
      </c>
      <c r="L949" s="214" t="s">
        <v>24</v>
      </c>
      <c r="M949" s="214" t="s">
        <v>10071</v>
      </c>
      <c r="P949" s="120"/>
    </row>
    <row r="950" spans="1:16">
      <c r="A950" s="214" t="s">
        <v>1687</v>
      </c>
      <c r="B950" s="214" t="s">
        <v>1688</v>
      </c>
      <c r="C950" s="222" t="s">
        <v>1688</v>
      </c>
      <c r="D950" s="222" t="s">
        <v>1688</v>
      </c>
      <c r="E950" s="222" t="s">
        <v>5616</v>
      </c>
      <c r="F950" s="214" t="s">
        <v>5617</v>
      </c>
      <c r="G950" s="214" t="s">
        <v>1688</v>
      </c>
      <c r="H950" s="214" t="s">
        <v>5618</v>
      </c>
      <c r="I950" s="214" t="s">
        <v>5619</v>
      </c>
      <c r="J950" s="214" t="s">
        <v>5620</v>
      </c>
      <c r="K950" s="214" t="s">
        <v>9416</v>
      </c>
      <c r="L950" s="214" t="s">
        <v>24</v>
      </c>
      <c r="M950" s="214" t="s">
        <v>10072</v>
      </c>
      <c r="P950" s="120"/>
    </row>
    <row r="951" spans="1:16">
      <c r="A951" s="214" t="s">
        <v>1689</v>
      </c>
      <c r="B951" s="214" t="s">
        <v>1690</v>
      </c>
      <c r="C951" s="222" t="s">
        <v>1690</v>
      </c>
      <c r="D951" s="222" t="s">
        <v>1690</v>
      </c>
      <c r="E951" s="222" t="s">
        <v>5621</v>
      </c>
      <c r="F951" s="214" t="s">
        <v>5622</v>
      </c>
      <c r="G951" s="214" t="s">
        <v>1690</v>
      </c>
      <c r="H951" s="214" t="s">
        <v>5623</v>
      </c>
      <c r="I951" s="214" t="s">
        <v>5624</v>
      </c>
      <c r="J951" s="214" t="s">
        <v>5625</v>
      </c>
      <c r="K951" s="214" t="s">
        <v>9417</v>
      </c>
      <c r="L951" s="214" t="s">
        <v>24</v>
      </c>
      <c r="M951" s="214" t="s">
        <v>10073</v>
      </c>
      <c r="P951" s="120"/>
    </row>
    <row r="952" spans="1:16">
      <c r="A952" s="219" t="s">
        <v>1691</v>
      </c>
      <c r="B952" s="214" t="s">
        <v>1693</v>
      </c>
      <c r="C952" s="222" t="s">
        <v>1692</v>
      </c>
      <c r="D952" s="222" t="s">
        <v>1693</v>
      </c>
      <c r="E952" s="222" t="s">
        <v>5626</v>
      </c>
      <c r="F952" s="214" t="s">
        <v>5627</v>
      </c>
      <c r="G952" s="214" t="s">
        <v>1692</v>
      </c>
      <c r="H952" s="214" t="s">
        <v>5628</v>
      </c>
      <c r="I952" s="214" t="s">
        <v>5629</v>
      </c>
      <c r="J952" s="214" t="s">
        <v>5630</v>
      </c>
      <c r="K952" s="214" t="s">
        <v>9418</v>
      </c>
      <c r="L952" s="214" t="s">
        <v>24</v>
      </c>
      <c r="M952" s="214" t="s">
        <v>10074</v>
      </c>
      <c r="P952" s="120"/>
    </row>
    <row r="953" spans="1:16">
      <c r="A953" s="219" t="s">
        <v>1694</v>
      </c>
      <c r="B953" s="214" t="s">
        <v>1695</v>
      </c>
      <c r="C953" s="222" t="s">
        <v>1695</v>
      </c>
      <c r="D953" s="222" t="s">
        <v>1695</v>
      </c>
      <c r="E953" s="222" t="s">
        <v>5631</v>
      </c>
      <c r="F953" s="214" t="s">
        <v>5632</v>
      </c>
      <c r="G953" s="214" t="s">
        <v>1695</v>
      </c>
      <c r="H953" s="214" t="s">
        <v>5633</v>
      </c>
      <c r="I953" s="214" t="s">
        <v>5634</v>
      </c>
      <c r="J953" s="214" t="s">
        <v>5635</v>
      </c>
      <c r="K953" s="214" t="s">
        <v>9419</v>
      </c>
      <c r="L953" s="214" t="s">
        <v>24</v>
      </c>
      <c r="M953" s="214" t="s">
        <v>10075</v>
      </c>
      <c r="P953" s="120"/>
    </row>
    <row r="954" spans="1:16">
      <c r="A954" s="214" t="s">
        <v>1696</v>
      </c>
      <c r="B954" s="214" t="s">
        <v>1697</v>
      </c>
      <c r="C954" s="222" t="s">
        <v>1697</v>
      </c>
      <c r="D954" s="222" t="s">
        <v>1697</v>
      </c>
      <c r="E954" s="222" t="s">
        <v>5636</v>
      </c>
      <c r="F954" s="214" t="s">
        <v>5637</v>
      </c>
      <c r="G954" s="214" t="s">
        <v>1697</v>
      </c>
      <c r="H954" s="214" t="s">
        <v>5638</v>
      </c>
      <c r="I954" s="214" t="s">
        <v>5639</v>
      </c>
      <c r="J954" s="214" t="s">
        <v>5640</v>
      </c>
      <c r="K954" s="214" t="s">
        <v>9420</v>
      </c>
      <c r="L954" s="214" t="s">
        <v>24</v>
      </c>
      <c r="M954" s="214" t="s">
        <v>10076</v>
      </c>
      <c r="P954" s="120"/>
    </row>
    <row r="955" spans="1:16">
      <c r="A955" s="214" t="s">
        <v>1698</v>
      </c>
      <c r="B955" s="214" t="s">
        <v>1699</v>
      </c>
      <c r="C955" s="222" t="s">
        <v>1699</v>
      </c>
      <c r="D955" s="222" t="s">
        <v>1699</v>
      </c>
      <c r="E955" s="222" t="s">
        <v>5641</v>
      </c>
      <c r="F955" s="214" t="s">
        <v>5642</v>
      </c>
      <c r="G955" s="214" t="s">
        <v>1699</v>
      </c>
      <c r="H955" s="214" t="s">
        <v>5643</v>
      </c>
      <c r="I955" s="214" t="s">
        <v>5644</v>
      </c>
      <c r="J955" s="214" t="s">
        <v>5645</v>
      </c>
      <c r="K955" s="214" t="s">
        <v>9421</v>
      </c>
      <c r="L955" s="214" t="s">
        <v>24</v>
      </c>
      <c r="M955" s="214" t="s">
        <v>10077</v>
      </c>
      <c r="P955" s="120"/>
    </row>
    <row r="956" spans="1:16">
      <c r="A956" s="214" t="s">
        <v>1700</v>
      </c>
      <c r="B956" s="214" t="s">
        <v>1701</v>
      </c>
      <c r="C956" s="222" t="s">
        <v>1701</v>
      </c>
      <c r="D956" s="222" t="s">
        <v>1701</v>
      </c>
      <c r="E956" s="222" t="s">
        <v>5646</v>
      </c>
      <c r="F956" s="214" t="s">
        <v>5647</v>
      </c>
      <c r="G956" s="214" t="s">
        <v>1701</v>
      </c>
      <c r="H956" s="214" t="s">
        <v>5648</v>
      </c>
      <c r="I956" s="214" t="s">
        <v>5649</v>
      </c>
      <c r="J956" s="214" t="s">
        <v>5650</v>
      </c>
      <c r="K956" s="214" t="s">
        <v>9422</v>
      </c>
      <c r="L956" s="214" t="s">
        <v>24</v>
      </c>
      <c r="M956" s="214" t="s">
        <v>10078</v>
      </c>
      <c r="P956" s="120"/>
    </row>
    <row r="957" spans="1:16">
      <c r="A957" s="214" t="s">
        <v>1702</v>
      </c>
      <c r="B957" s="214" t="s">
        <v>1703</v>
      </c>
      <c r="C957" s="222" t="s">
        <v>1703</v>
      </c>
      <c r="D957" s="222" t="s">
        <v>1703</v>
      </c>
      <c r="E957" s="222" t="s">
        <v>5651</v>
      </c>
      <c r="F957" s="214" t="s">
        <v>5652</v>
      </c>
      <c r="G957" s="214" t="s">
        <v>1703</v>
      </c>
      <c r="H957" s="214" t="s">
        <v>5653</v>
      </c>
      <c r="I957" s="214" t="s">
        <v>5654</v>
      </c>
      <c r="J957" s="214" t="s">
        <v>5655</v>
      </c>
      <c r="K957" s="214" t="s">
        <v>9423</v>
      </c>
      <c r="L957" s="214" t="s">
        <v>24</v>
      </c>
      <c r="M957" s="214" t="s">
        <v>10079</v>
      </c>
      <c r="P957" s="120"/>
    </row>
    <row r="958" spans="1:16">
      <c r="A958" s="214" t="s">
        <v>1704</v>
      </c>
      <c r="B958" s="214" t="s">
        <v>1705</v>
      </c>
      <c r="C958" s="222" t="s">
        <v>1705</v>
      </c>
      <c r="D958" s="222" t="s">
        <v>1705</v>
      </c>
      <c r="E958" s="222" t="s">
        <v>5656</v>
      </c>
      <c r="F958" s="214" t="s">
        <v>5657</v>
      </c>
      <c r="G958" s="214" t="s">
        <v>1705</v>
      </c>
      <c r="H958" s="214" t="s">
        <v>5658</v>
      </c>
      <c r="I958" s="214" t="s">
        <v>5659</v>
      </c>
      <c r="J958" s="214" t="s">
        <v>5660</v>
      </c>
      <c r="K958" s="214" t="s">
        <v>9424</v>
      </c>
      <c r="L958" s="214" t="s">
        <v>24</v>
      </c>
      <c r="M958" s="214" t="s">
        <v>10080</v>
      </c>
      <c r="P958" s="120"/>
    </row>
    <row r="959" spans="1:16">
      <c r="A959" s="214" t="s">
        <v>1706</v>
      </c>
      <c r="B959" s="214" t="s">
        <v>1708</v>
      </c>
      <c r="C959" s="222" t="s">
        <v>1707</v>
      </c>
      <c r="D959" s="222" t="s">
        <v>1708</v>
      </c>
      <c r="E959" s="222" t="s">
        <v>5661</v>
      </c>
      <c r="F959" s="214" t="s">
        <v>5662</v>
      </c>
      <c r="G959" s="214" t="s">
        <v>1707</v>
      </c>
      <c r="H959" s="214" t="s">
        <v>5663</v>
      </c>
      <c r="I959" s="214" t="s">
        <v>5664</v>
      </c>
      <c r="J959" s="214" t="s">
        <v>5665</v>
      </c>
      <c r="K959" s="214" t="s">
        <v>9425</v>
      </c>
      <c r="L959" s="214" t="s">
        <v>24</v>
      </c>
      <c r="M959" s="214" t="s">
        <v>10081</v>
      </c>
      <c r="P959" s="120"/>
    </row>
    <row r="960" spans="1:16">
      <c r="A960" s="214" t="s">
        <v>1709</v>
      </c>
      <c r="B960" s="214" t="s">
        <v>1710</v>
      </c>
      <c r="C960" s="222" t="s">
        <v>1710</v>
      </c>
      <c r="D960" s="222" t="s">
        <v>1710</v>
      </c>
      <c r="E960" s="222" t="s">
        <v>5666</v>
      </c>
      <c r="F960" s="214" t="s">
        <v>5667</v>
      </c>
      <c r="G960" s="214" t="s">
        <v>1710</v>
      </c>
      <c r="H960" s="214" t="s">
        <v>5668</v>
      </c>
      <c r="I960" s="214" t="s">
        <v>5669</v>
      </c>
      <c r="J960" s="214" t="s">
        <v>5670</v>
      </c>
      <c r="K960" s="214" t="s">
        <v>9426</v>
      </c>
      <c r="L960" s="214" t="s">
        <v>24</v>
      </c>
      <c r="M960" s="214" t="s">
        <v>10082</v>
      </c>
      <c r="P960" s="120"/>
    </row>
    <row r="961" spans="1:16">
      <c r="A961" s="214" t="s">
        <v>1711</v>
      </c>
      <c r="B961" s="214" t="s">
        <v>1713</v>
      </c>
      <c r="C961" s="222" t="s">
        <v>1712</v>
      </c>
      <c r="D961" s="222" t="s">
        <v>1713</v>
      </c>
      <c r="E961" s="222" t="s">
        <v>5671</v>
      </c>
      <c r="F961" s="214" t="s">
        <v>5672</v>
      </c>
      <c r="G961" s="214" t="s">
        <v>1712</v>
      </c>
      <c r="H961" s="214" t="s">
        <v>5673</v>
      </c>
      <c r="I961" s="214" t="s">
        <v>5674</v>
      </c>
      <c r="J961" s="214" t="s">
        <v>5675</v>
      </c>
      <c r="K961" s="214" t="s">
        <v>9427</v>
      </c>
      <c r="L961" s="214" t="s">
        <v>24</v>
      </c>
      <c r="M961" s="214" t="s">
        <v>10083</v>
      </c>
      <c r="P961" s="120"/>
    </row>
    <row r="962" spans="1:16">
      <c r="A962" s="214" t="s">
        <v>1714</v>
      </c>
      <c r="B962" s="214" t="s">
        <v>1716</v>
      </c>
      <c r="C962" s="222" t="s">
        <v>1715</v>
      </c>
      <c r="D962" s="222" t="s">
        <v>1716</v>
      </c>
      <c r="E962" s="222" t="s">
        <v>5676</v>
      </c>
      <c r="F962" s="214" t="s">
        <v>5677</v>
      </c>
      <c r="G962" s="214" t="s">
        <v>1715</v>
      </c>
      <c r="H962" s="214" t="s">
        <v>5678</v>
      </c>
      <c r="I962" s="214" t="s">
        <v>5679</v>
      </c>
      <c r="J962" s="214" t="s">
        <v>5680</v>
      </c>
      <c r="K962" s="214" t="s">
        <v>9428</v>
      </c>
      <c r="L962" s="214" t="s">
        <v>24</v>
      </c>
      <c r="M962" s="214" t="s">
        <v>10084</v>
      </c>
      <c r="P962" s="120"/>
    </row>
    <row r="963" spans="1:16">
      <c r="A963" s="214" t="s">
        <v>1717</v>
      </c>
      <c r="B963" s="214" t="s">
        <v>1718</v>
      </c>
      <c r="C963" s="222" t="s">
        <v>1718</v>
      </c>
      <c r="D963" s="222" t="s">
        <v>1718</v>
      </c>
      <c r="E963" s="222" t="s">
        <v>5681</v>
      </c>
      <c r="F963" s="214" t="s">
        <v>5682</v>
      </c>
      <c r="G963" s="214" t="s">
        <v>1718</v>
      </c>
      <c r="H963" s="214" t="s">
        <v>5683</v>
      </c>
      <c r="I963" s="214" t="s">
        <v>5684</v>
      </c>
      <c r="J963" s="214" t="s">
        <v>5685</v>
      </c>
      <c r="K963" s="214" t="s">
        <v>9429</v>
      </c>
      <c r="L963" s="214" t="s">
        <v>24</v>
      </c>
      <c r="M963" s="214" t="s">
        <v>10085</v>
      </c>
      <c r="P963" s="120"/>
    </row>
    <row r="964" spans="1:16">
      <c r="A964" s="220" t="s">
        <v>1719</v>
      </c>
      <c r="B964" s="214" t="s">
        <v>1721</v>
      </c>
      <c r="C964" s="222" t="s">
        <v>1720</v>
      </c>
      <c r="D964" s="222" t="s">
        <v>1721</v>
      </c>
      <c r="E964" s="222" t="s">
        <v>5686</v>
      </c>
      <c r="F964" s="214" t="s">
        <v>5687</v>
      </c>
      <c r="G964" s="214" t="s">
        <v>1720</v>
      </c>
      <c r="H964" s="214" t="s">
        <v>5688</v>
      </c>
      <c r="I964" s="214" t="s">
        <v>5689</v>
      </c>
      <c r="J964" s="214" t="s">
        <v>5690</v>
      </c>
      <c r="K964" s="214" t="s">
        <v>9430</v>
      </c>
      <c r="L964" s="214" t="s">
        <v>24</v>
      </c>
      <c r="M964" s="214" t="s">
        <v>10086</v>
      </c>
      <c r="P964" s="120"/>
    </row>
    <row r="965" spans="1:16">
      <c r="A965" s="220" t="s">
        <v>1722</v>
      </c>
      <c r="B965" s="214" t="s">
        <v>1724</v>
      </c>
      <c r="C965" s="222" t="s">
        <v>1723</v>
      </c>
      <c r="D965" s="222" t="s">
        <v>1724</v>
      </c>
      <c r="E965" s="222" t="s">
        <v>5691</v>
      </c>
      <c r="F965" s="214" t="s">
        <v>5692</v>
      </c>
      <c r="G965" s="214" t="s">
        <v>1723</v>
      </c>
      <c r="H965" s="214" t="s">
        <v>5693</v>
      </c>
      <c r="I965" s="214" t="s">
        <v>5694</v>
      </c>
      <c r="J965" s="214" t="s">
        <v>5695</v>
      </c>
      <c r="K965" s="214" t="s">
        <v>9431</v>
      </c>
      <c r="L965" s="214" t="s">
        <v>24</v>
      </c>
      <c r="M965" s="214" t="s">
        <v>10087</v>
      </c>
      <c r="P965" s="120"/>
    </row>
    <row r="966" spans="1:16">
      <c r="A966" s="214" t="s">
        <v>1725</v>
      </c>
      <c r="B966" s="214" t="s">
        <v>1726</v>
      </c>
      <c r="C966" s="222" t="s">
        <v>1726</v>
      </c>
      <c r="D966" s="222" t="s">
        <v>1726</v>
      </c>
      <c r="E966" s="222" t="s">
        <v>5696</v>
      </c>
      <c r="F966" s="214" t="s">
        <v>5697</v>
      </c>
      <c r="G966" s="214" t="s">
        <v>1726</v>
      </c>
      <c r="H966" s="214" t="s">
        <v>5698</v>
      </c>
      <c r="I966" s="214" t="s">
        <v>5699</v>
      </c>
      <c r="J966" s="214" t="s">
        <v>5700</v>
      </c>
      <c r="K966" s="214" t="s">
        <v>9432</v>
      </c>
      <c r="L966" s="214" t="s">
        <v>24</v>
      </c>
      <c r="M966" s="214" t="s">
        <v>10088</v>
      </c>
      <c r="P966" s="120"/>
    </row>
    <row r="967" spans="1:16">
      <c r="A967" s="214" t="s">
        <v>1730</v>
      </c>
      <c r="B967" s="214" t="s">
        <v>1731</v>
      </c>
      <c r="C967" s="222" t="s">
        <v>1731</v>
      </c>
      <c r="D967" s="222" t="s">
        <v>1731</v>
      </c>
      <c r="E967" s="222" t="s">
        <v>5706</v>
      </c>
      <c r="F967" s="214" t="s">
        <v>5707</v>
      </c>
      <c r="G967" s="214" t="s">
        <v>1731</v>
      </c>
      <c r="H967" s="214" t="s">
        <v>5708</v>
      </c>
      <c r="I967" s="214" t="s">
        <v>5709</v>
      </c>
      <c r="J967" s="214" t="s">
        <v>5710</v>
      </c>
      <c r="K967" s="214" t="s">
        <v>9433</v>
      </c>
      <c r="L967" s="214" t="s">
        <v>24</v>
      </c>
      <c r="M967" s="214" t="s">
        <v>10090</v>
      </c>
      <c r="P967" s="120"/>
    </row>
    <row r="968" spans="1:16">
      <c r="A968" s="214" t="s">
        <v>1735</v>
      </c>
      <c r="B968" s="214" t="s">
        <v>1737</v>
      </c>
      <c r="C968" s="222" t="s">
        <v>1736</v>
      </c>
      <c r="D968" s="222" t="s">
        <v>1737</v>
      </c>
      <c r="E968" s="222" t="s">
        <v>5716</v>
      </c>
      <c r="F968" s="214" t="s">
        <v>5717</v>
      </c>
      <c r="G968" s="214" t="s">
        <v>1736</v>
      </c>
      <c r="H968" s="214" t="s">
        <v>5718</v>
      </c>
      <c r="I968" s="214" t="s">
        <v>5719</v>
      </c>
      <c r="J968" s="214" t="s">
        <v>5720</v>
      </c>
      <c r="K968" s="214" t="s">
        <v>9435</v>
      </c>
      <c r="L968" s="214" t="s">
        <v>24</v>
      </c>
      <c r="M968" s="214" t="s">
        <v>10092</v>
      </c>
      <c r="P968" s="120"/>
    </row>
    <row r="969" spans="1:16">
      <c r="A969" s="214" t="s">
        <v>1738</v>
      </c>
      <c r="B969" s="214" t="s">
        <v>1739</v>
      </c>
      <c r="C969" s="222" t="s">
        <v>1739</v>
      </c>
      <c r="D969" s="222" t="s">
        <v>1739</v>
      </c>
      <c r="E969" s="222" t="s">
        <v>5721</v>
      </c>
      <c r="F969" s="214" t="s">
        <v>5722</v>
      </c>
      <c r="G969" s="214" t="s">
        <v>1739</v>
      </c>
      <c r="H969" s="214" t="s">
        <v>5723</v>
      </c>
      <c r="I969" s="214" t="s">
        <v>5724</v>
      </c>
      <c r="J969" s="214" t="s">
        <v>5725</v>
      </c>
      <c r="K969" s="214" t="s">
        <v>9436</v>
      </c>
      <c r="L969" s="214" t="s">
        <v>24</v>
      </c>
      <c r="M969" s="214" t="s">
        <v>10093</v>
      </c>
      <c r="P969" s="120"/>
    </row>
    <row r="970" spans="1:16">
      <c r="A970" s="214" t="s">
        <v>1740</v>
      </c>
      <c r="B970" s="214" t="s">
        <v>1741</v>
      </c>
      <c r="C970" s="222" t="s">
        <v>1741</v>
      </c>
      <c r="D970" s="222" t="s">
        <v>1741</v>
      </c>
      <c r="E970" s="222" t="s">
        <v>5726</v>
      </c>
      <c r="F970" s="214" t="s">
        <v>5727</v>
      </c>
      <c r="G970" s="214" t="s">
        <v>1741</v>
      </c>
      <c r="H970" s="214" t="s">
        <v>5728</v>
      </c>
      <c r="I970" s="214" t="s">
        <v>5729</v>
      </c>
      <c r="J970" s="214" t="s">
        <v>5730</v>
      </c>
      <c r="K970" s="214" t="s">
        <v>9437</v>
      </c>
      <c r="L970" s="214" t="s">
        <v>24</v>
      </c>
      <c r="M970" s="214" t="s">
        <v>10094</v>
      </c>
      <c r="P970" s="120"/>
    </row>
    <row r="971" spans="1:16">
      <c r="A971" s="214" t="s">
        <v>1742</v>
      </c>
      <c r="B971" s="214" t="s">
        <v>1743</v>
      </c>
      <c r="C971" s="222" t="s">
        <v>1743</v>
      </c>
      <c r="D971" s="222" t="s">
        <v>1743</v>
      </c>
      <c r="E971" s="222" t="s">
        <v>5731</v>
      </c>
      <c r="F971" s="214" t="s">
        <v>5732</v>
      </c>
      <c r="G971" s="214" t="s">
        <v>1743</v>
      </c>
      <c r="H971" s="214" t="s">
        <v>5733</v>
      </c>
      <c r="I971" s="214" t="s">
        <v>5734</v>
      </c>
      <c r="J971" s="214" t="s">
        <v>5735</v>
      </c>
      <c r="K971" s="214" t="s">
        <v>9438</v>
      </c>
      <c r="L971" s="214" t="s">
        <v>24</v>
      </c>
      <c r="M971" s="214" t="s">
        <v>10095</v>
      </c>
      <c r="P971" s="120"/>
    </row>
    <row r="972" spans="1:16">
      <c r="A972" s="214" t="s">
        <v>1744</v>
      </c>
      <c r="B972" s="214" t="s">
        <v>1745</v>
      </c>
      <c r="C972" s="222" t="s">
        <v>1745</v>
      </c>
      <c r="D972" s="222" t="s">
        <v>1745</v>
      </c>
      <c r="E972" s="222" t="s">
        <v>5736</v>
      </c>
      <c r="F972" s="214" t="s">
        <v>5737</v>
      </c>
      <c r="G972" s="214" t="s">
        <v>1745</v>
      </c>
      <c r="H972" s="214" t="s">
        <v>5738</v>
      </c>
      <c r="I972" s="214" t="s">
        <v>5739</v>
      </c>
      <c r="J972" s="214" t="s">
        <v>5740</v>
      </c>
      <c r="K972" s="214" t="s">
        <v>9439</v>
      </c>
      <c r="L972" s="214" t="s">
        <v>24</v>
      </c>
      <c r="M972" s="214" t="s">
        <v>10096</v>
      </c>
      <c r="P972" s="120"/>
    </row>
    <row r="973" spans="1:16">
      <c r="A973" s="214" t="s">
        <v>1748</v>
      </c>
      <c r="B973" s="214" t="s">
        <v>1749</v>
      </c>
      <c r="C973" s="222" t="s">
        <v>1749</v>
      </c>
      <c r="D973" s="222" t="s">
        <v>1749</v>
      </c>
      <c r="E973" s="222" t="s">
        <v>5746</v>
      </c>
      <c r="F973" s="214" t="s">
        <v>5747</v>
      </c>
      <c r="G973" s="214" t="s">
        <v>1749</v>
      </c>
      <c r="H973" s="214" t="s">
        <v>5748</v>
      </c>
      <c r="I973" s="214" t="s">
        <v>5749</v>
      </c>
      <c r="J973" s="214" t="s">
        <v>5750</v>
      </c>
      <c r="K973" s="214" t="s">
        <v>9441</v>
      </c>
      <c r="L973" s="214" t="s">
        <v>24</v>
      </c>
      <c r="M973" s="214" t="s">
        <v>10098</v>
      </c>
      <c r="P973" s="120"/>
    </row>
    <row r="974" spans="1:16">
      <c r="A974" s="214" t="s">
        <v>1750</v>
      </c>
      <c r="B974" s="214" t="s">
        <v>1751</v>
      </c>
      <c r="C974" s="222" t="s">
        <v>1751</v>
      </c>
      <c r="D974" s="222" t="s">
        <v>1751</v>
      </c>
      <c r="E974" s="222" t="s">
        <v>5751</v>
      </c>
      <c r="F974" s="214" t="s">
        <v>5752</v>
      </c>
      <c r="G974" s="214" t="s">
        <v>1751</v>
      </c>
      <c r="H974" s="214" t="s">
        <v>5753</v>
      </c>
      <c r="I974" s="214" t="s">
        <v>5754</v>
      </c>
      <c r="J974" s="214" t="s">
        <v>5755</v>
      </c>
      <c r="K974" s="214" t="s">
        <v>9442</v>
      </c>
      <c r="L974" s="214" t="s">
        <v>24</v>
      </c>
      <c r="M974" s="214" t="s">
        <v>10099</v>
      </c>
      <c r="P974" s="120"/>
    </row>
    <row r="975" spans="1:16">
      <c r="A975" s="214" t="s">
        <v>1752</v>
      </c>
      <c r="B975" s="214" t="s">
        <v>1753</v>
      </c>
      <c r="C975" s="222" t="s">
        <v>1753</v>
      </c>
      <c r="D975" s="222" t="s">
        <v>1753</v>
      </c>
      <c r="E975" s="222" t="s">
        <v>5756</v>
      </c>
      <c r="F975" s="214" t="s">
        <v>5757</v>
      </c>
      <c r="G975" s="214" t="s">
        <v>1753</v>
      </c>
      <c r="H975" s="214" t="s">
        <v>5758</v>
      </c>
      <c r="I975" s="214" t="s">
        <v>5759</v>
      </c>
      <c r="J975" s="214" t="s">
        <v>5760</v>
      </c>
      <c r="K975" s="214" t="s">
        <v>9443</v>
      </c>
      <c r="L975" s="214" t="s">
        <v>10657</v>
      </c>
      <c r="M975" s="214" t="s">
        <v>10100</v>
      </c>
      <c r="P975" s="120"/>
    </row>
    <row r="976" spans="1:16">
      <c r="A976" s="214" t="s">
        <v>1756</v>
      </c>
      <c r="B976" s="214" t="s">
        <v>1757</v>
      </c>
      <c r="C976" s="222" t="s">
        <v>1757</v>
      </c>
      <c r="D976" s="222" t="s">
        <v>1757</v>
      </c>
      <c r="E976" s="222" t="s">
        <v>5766</v>
      </c>
      <c r="F976" s="214" t="s">
        <v>5767</v>
      </c>
      <c r="G976" s="214" t="s">
        <v>1757</v>
      </c>
      <c r="H976" s="214" t="s">
        <v>5768</v>
      </c>
      <c r="I976" s="214" t="s">
        <v>5769</v>
      </c>
      <c r="J976" s="214" t="s">
        <v>5770</v>
      </c>
      <c r="K976" s="214" t="s">
        <v>9445</v>
      </c>
      <c r="L976" s="214" t="s">
        <v>24</v>
      </c>
      <c r="M976" s="214" t="s">
        <v>10102</v>
      </c>
      <c r="P976" s="120"/>
    </row>
    <row r="977" spans="1:16">
      <c r="A977" s="214" t="s">
        <v>1758</v>
      </c>
      <c r="B977" s="214" t="s">
        <v>1759</v>
      </c>
      <c r="C977" s="222" t="s">
        <v>1759</v>
      </c>
      <c r="D977" s="222" t="s">
        <v>1759</v>
      </c>
      <c r="E977" s="222" t="s">
        <v>5771</v>
      </c>
      <c r="F977" s="214" t="s">
        <v>5772</v>
      </c>
      <c r="G977" s="214" t="s">
        <v>1759</v>
      </c>
      <c r="H977" s="214" t="s">
        <v>5773</v>
      </c>
      <c r="I977" s="214" t="s">
        <v>5774</v>
      </c>
      <c r="J977" s="214" t="s">
        <v>5775</v>
      </c>
      <c r="K977" s="214" t="s">
        <v>9446</v>
      </c>
      <c r="L977" s="214" t="s">
        <v>24</v>
      </c>
      <c r="M977" s="214" t="s">
        <v>10103</v>
      </c>
      <c r="P977" s="120"/>
    </row>
    <row r="978" spans="1:16">
      <c r="A978" s="214" t="s">
        <v>1762</v>
      </c>
      <c r="B978" s="214" t="s">
        <v>1763</v>
      </c>
      <c r="C978" s="222" t="s">
        <v>1763</v>
      </c>
      <c r="D978" s="222" t="s">
        <v>1763</v>
      </c>
      <c r="E978" s="222" t="s">
        <v>5781</v>
      </c>
      <c r="F978" s="214" t="s">
        <v>5782</v>
      </c>
      <c r="G978" s="214" t="s">
        <v>1763</v>
      </c>
      <c r="H978" s="214" t="s">
        <v>5783</v>
      </c>
      <c r="I978" s="214" t="s">
        <v>5784</v>
      </c>
      <c r="J978" s="214" t="s">
        <v>5785</v>
      </c>
      <c r="K978" s="214" t="s">
        <v>9448</v>
      </c>
      <c r="L978" s="214" t="s">
        <v>24</v>
      </c>
      <c r="M978" s="214" t="s">
        <v>10105</v>
      </c>
      <c r="P978" s="120"/>
    </row>
    <row r="979" spans="1:16">
      <c r="A979" s="214" t="s">
        <v>1764</v>
      </c>
      <c r="B979" s="214" t="s">
        <v>1766</v>
      </c>
      <c r="C979" s="222" t="s">
        <v>1765</v>
      </c>
      <c r="D979" s="222" t="s">
        <v>1766</v>
      </c>
      <c r="E979" s="222" t="s">
        <v>5786</v>
      </c>
      <c r="F979" s="214" t="s">
        <v>5787</v>
      </c>
      <c r="G979" s="214" t="s">
        <v>1765</v>
      </c>
      <c r="H979" s="214" t="s">
        <v>5788</v>
      </c>
      <c r="I979" s="214" t="s">
        <v>5789</v>
      </c>
      <c r="J979" s="214" t="s">
        <v>5790</v>
      </c>
      <c r="K979" s="214" t="s">
        <v>9449</v>
      </c>
      <c r="L979" s="214" t="s">
        <v>24</v>
      </c>
      <c r="M979" s="214" t="s">
        <v>10106</v>
      </c>
      <c r="P979" s="120"/>
    </row>
    <row r="980" spans="1:16">
      <c r="A980" s="214" t="s">
        <v>1767</v>
      </c>
      <c r="B980" s="214" t="s">
        <v>1703</v>
      </c>
      <c r="C980" s="222" t="s">
        <v>1703</v>
      </c>
      <c r="D980" s="222" t="s">
        <v>1703</v>
      </c>
      <c r="E980" s="222" t="s">
        <v>5791</v>
      </c>
      <c r="F980" s="214" t="s">
        <v>5792</v>
      </c>
      <c r="G980" s="214" t="s">
        <v>1703</v>
      </c>
      <c r="H980" s="214" t="s">
        <v>5653</v>
      </c>
      <c r="I980" s="214" t="s">
        <v>5654</v>
      </c>
      <c r="J980" s="214" t="s">
        <v>5793</v>
      </c>
      <c r="K980" s="214" t="s">
        <v>9450</v>
      </c>
      <c r="L980" s="214" t="s">
        <v>24</v>
      </c>
      <c r="M980" s="214" t="s">
        <v>10107</v>
      </c>
      <c r="P980" s="120"/>
    </row>
    <row r="981" spans="1:16">
      <c r="A981" s="214" t="s">
        <v>1768</v>
      </c>
      <c r="B981" s="214" t="s">
        <v>1769</v>
      </c>
      <c r="C981" s="222" t="s">
        <v>1769</v>
      </c>
      <c r="D981" s="222" t="s">
        <v>1769</v>
      </c>
      <c r="E981" s="222" t="s">
        <v>5794</v>
      </c>
      <c r="F981" s="214" t="s">
        <v>5795</v>
      </c>
      <c r="G981" s="214" t="s">
        <v>1769</v>
      </c>
      <c r="H981" s="214" t="s">
        <v>5796</v>
      </c>
      <c r="I981" s="214" t="s">
        <v>5797</v>
      </c>
      <c r="J981" s="214" t="s">
        <v>5798</v>
      </c>
      <c r="K981" s="214" t="s">
        <v>9451</v>
      </c>
      <c r="L981" s="214" t="s">
        <v>24</v>
      </c>
      <c r="M981" s="214" t="s">
        <v>10108</v>
      </c>
      <c r="P981" s="120"/>
    </row>
    <row r="982" spans="1:16">
      <c r="A982" s="214" t="s">
        <v>1772</v>
      </c>
      <c r="B982" s="214" t="s">
        <v>1773</v>
      </c>
      <c r="C982" s="222" t="s">
        <v>1773</v>
      </c>
      <c r="D982" s="222" t="s">
        <v>1773</v>
      </c>
      <c r="E982" s="222" t="s">
        <v>5804</v>
      </c>
      <c r="F982" s="214" t="s">
        <v>5805</v>
      </c>
      <c r="G982" s="214" t="s">
        <v>1773</v>
      </c>
      <c r="H982" s="214" t="s">
        <v>5806</v>
      </c>
      <c r="I982" s="214" t="s">
        <v>5807</v>
      </c>
      <c r="J982" s="214" t="s">
        <v>5808</v>
      </c>
      <c r="K982" s="214" t="s">
        <v>9453</v>
      </c>
      <c r="L982" s="214" t="s">
        <v>10658</v>
      </c>
      <c r="M982" s="214" t="s">
        <v>10110</v>
      </c>
      <c r="P982" s="120"/>
    </row>
    <row r="983" spans="1:16">
      <c r="A983" s="214" t="s">
        <v>1775</v>
      </c>
      <c r="B983" s="214" t="s">
        <v>1776</v>
      </c>
      <c r="C983" s="222" t="s">
        <v>1776</v>
      </c>
      <c r="D983" s="222" t="s">
        <v>1776</v>
      </c>
      <c r="E983" s="222" t="s">
        <v>5809</v>
      </c>
      <c r="F983" s="214" t="s">
        <v>5810</v>
      </c>
      <c r="G983" s="214" t="s">
        <v>1776</v>
      </c>
      <c r="H983" s="214" t="s">
        <v>5811</v>
      </c>
      <c r="I983" s="214" t="s">
        <v>5812</v>
      </c>
      <c r="J983" s="214" t="s">
        <v>5813</v>
      </c>
      <c r="K983" s="214" t="s">
        <v>9454</v>
      </c>
      <c r="L983" s="214" t="s">
        <v>24</v>
      </c>
      <c r="M983" s="214" t="s">
        <v>10111</v>
      </c>
      <c r="P983" s="120"/>
    </row>
    <row r="984" spans="1:16">
      <c r="A984" s="214" t="s">
        <v>1777</v>
      </c>
      <c r="B984" s="214" t="s">
        <v>1778</v>
      </c>
      <c r="C984" s="222" t="s">
        <v>1778</v>
      </c>
      <c r="D984" s="222" t="s">
        <v>1778</v>
      </c>
      <c r="E984" s="222" t="s">
        <v>5814</v>
      </c>
      <c r="F984" s="214" t="s">
        <v>5815</v>
      </c>
      <c r="G984" s="214" t="s">
        <v>1778</v>
      </c>
      <c r="H984" s="214" t="s">
        <v>5816</v>
      </c>
      <c r="I984" s="214" t="s">
        <v>5817</v>
      </c>
      <c r="J984" s="214" t="s">
        <v>5818</v>
      </c>
      <c r="K984" s="214" t="s">
        <v>9455</v>
      </c>
      <c r="L984" s="214" t="s">
        <v>24</v>
      </c>
      <c r="M984" s="214" t="s">
        <v>10112</v>
      </c>
      <c r="P984" s="120"/>
    </row>
    <row r="985" spans="1:16">
      <c r="A985" s="214" t="s">
        <v>1779</v>
      </c>
      <c r="B985" s="214" t="s">
        <v>1780</v>
      </c>
      <c r="C985" s="222" t="s">
        <v>1780</v>
      </c>
      <c r="D985" s="222" t="s">
        <v>1780</v>
      </c>
      <c r="E985" s="222" t="s">
        <v>5819</v>
      </c>
      <c r="F985" s="214" t="s">
        <v>5820</v>
      </c>
      <c r="G985" s="214" t="s">
        <v>1780</v>
      </c>
      <c r="H985" s="214" t="s">
        <v>5821</v>
      </c>
      <c r="I985" s="214" t="s">
        <v>5822</v>
      </c>
      <c r="J985" s="214" t="s">
        <v>5823</v>
      </c>
      <c r="K985" s="214" t="s">
        <v>9456</v>
      </c>
      <c r="L985" s="214" t="s">
        <v>24</v>
      </c>
      <c r="M985" s="214" t="s">
        <v>10113</v>
      </c>
      <c r="P985" s="120"/>
    </row>
    <row r="986" spans="1:16">
      <c r="A986" s="214" t="s">
        <v>1781</v>
      </c>
      <c r="B986" s="214" t="s">
        <v>1782</v>
      </c>
      <c r="C986" s="222" t="s">
        <v>1782</v>
      </c>
      <c r="D986" s="222" t="s">
        <v>1782</v>
      </c>
      <c r="E986" s="222" t="s">
        <v>5824</v>
      </c>
      <c r="F986" s="214" t="s">
        <v>5825</v>
      </c>
      <c r="G986" s="214" t="s">
        <v>1782</v>
      </c>
      <c r="H986" s="214" t="s">
        <v>5826</v>
      </c>
      <c r="I986" s="214" t="s">
        <v>5827</v>
      </c>
      <c r="J986" s="214" t="s">
        <v>5828</v>
      </c>
      <c r="K986" s="214" t="s">
        <v>9457</v>
      </c>
      <c r="L986" s="214" t="s">
        <v>24</v>
      </c>
      <c r="M986" s="214" t="s">
        <v>10114</v>
      </c>
      <c r="P986" s="120"/>
    </row>
    <row r="987" spans="1:16">
      <c r="A987" s="214" t="s">
        <v>1783</v>
      </c>
      <c r="B987" s="214" t="s">
        <v>1784</v>
      </c>
      <c r="C987" s="222" t="s">
        <v>1784</v>
      </c>
      <c r="D987" s="222" t="s">
        <v>1784</v>
      </c>
      <c r="E987" s="222" t="s">
        <v>5829</v>
      </c>
      <c r="F987" s="214" t="s">
        <v>5830</v>
      </c>
      <c r="G987" s="214" t="s">
        <v>1784</v>
      </c>
      <c r="H987" s="214" t="s">
        <v>5831</v>
      </c>
      <c r="I987" s="214" t="s">
        <v>5832</v>
      </c>
      <c r="J987" s="214" t="s">
        <v>5833</v>
      </c>
      <c r="K987" s="214" t="s">
        <v>9458</v>
      </c>
      <c r="L987" s="214" t="s">
        <v>24</v>
      </c>
      <c r="M987" s="214" t="s">
        <v>10115</v>
      </c>
      <c r="P987" s="120"/>
    </row>
    <row r="988" spans="1:16">
      <c r="A988" s="214" t="s">
        <v>1785</v>
      </c>
      <c r="B988" s="214" t="s">
        <v>1786</v>
      </c>
      <c r="C988" s="222" t="s">
        <v>1786</v>
      </c>
      <c r="D988" s="222" t="s">
        <v>1786</v>
      </c>
      <c r="E988" s="222" t="s">
        <v>5834</v>
      </c>
      <c r="F988" s="214" t="s">
        <v>5835</v>
      </c>
      <c r="G988" s="214" t="s">
        <v>1786</v>
      </c>
      <c r="H988" s="214" t="s">
        <v>5836</v>
      </c>
      <c r="I988" s="214" t="s">
        <v>5837</v>
      </c>
      <c r="J988" s="214" t="s">
        <v>5838</v>
      </c>
      <c r="K988" s="214" t="s">
        <v>9459</v>
      </c>
      <c r="L988" s="214" t="s">
        <v>24</v>
      </c>
      <c r="M988" s="214" t="s">
        <v>10116</v>
      </c>
      <c r="P988" s="120"/>
    </row>
    <row r="989" spans="1:16">
      <c r="A989" s="214" t="s">
        <v>1789</v>
      </c>
      <c r="B989" s="214" t="s">
        <v>1790</v>
      </c>
      <c r="C989" s="222" t="s">
        <v>1790</v>
      </c>
      <c r="D989" s="222" t="s">
        <v>1790</v>
      </c>
      <c r="E989" s="222" t="s">
        <v>5844</v>
      </c>
      <c r="F989" s="214" t="s">
        <v>5845</v>
      </c>
      <c r="G989" s="214" t="s">
        <v>1790</v>
      </c>
      <c r="H989" s="214" t="s">
        <v>5846</v>
      </c>
      <c r="I989" s="214" t="s">
        <v>5847</v>
      </c>
      <c r="J989" s="214" t="s">
        <v>5848</v>
      </c>
      <c r="K989" s="214" t="s">
        <v>9461</v>
      </c>
      <c r="L989" s="214" t="s">
        <v>24</v>
      </c>
      <c r="M989" s="214" t="s">
        <v>10118</v>
      </c>
      <c r="P989" s="120"/>
    </row>
    <row r="990" spans="1:16">
      <c r="A990" s="214" t="s">
        <v>1791</v>
      </c>
      <c r="B990" s="214" t="s">
        <v>1792</v>
      </c>
      <c r="C990" s="222" t="s">
        <v>1792</v>
      </c>
      <c r="D990" s="222" t="s">
        <v>1792</v>
      </c>
      <c r="E990" s="222" t="s">
        <v>5849</v>
      </c>
      <c r="F990" s="214" t="s">
        <v>5850</v>
      </c>
      <c r="G990" s="214" t="s">
        <v>1792</v>
      </c>
      <c r="H990" s="214" t="s">
        <v>5851</v>
      </c>
      <c r="I990" s="214" t="s">
        <v>5852</v>
      </c>
      <c r="J990" s="214" t="s">
        <v>5853</v>
      </c>
      <c r="K990" s="214" t="s">
        <v>9462</v>
      </c>
      <c r="L990" s="214" t="s">
        <v>24</v>
      </c>
      <c r="M990" s="214" t="s">
        <v>10119</v>
      </c>
      <c r="P990" s="120"/>
    </row>
    <row r="991" spans="1:16">
      <c r="A991" s="214" t="s">
        <v>1793</v>
      </c>
      <c r="B991" s="214" t="s">
        <v>1794</v>
      </c>
      <c r="C991" s="222" t="s">
        <v>1794</v>
      </c>
      <c r="D991" s="222" t="s">
        <v>1794</v>
      </c>
      <c r="E991" s="222" t="s">
        <v>5854</v>
      </c>
      <c r="F991" s="214" t="s">
        <v>5855</v>
      </c>
      <c r="G991" s="214" t="s">
        <v>1794</v>
      </c>
      <c r="H991" s="214" t="s">
        <v>5856</v>
      </c>
      <c r="I991" s="214" t="s">
        <v>5857</v>
      </c>
      <c r="J991" s="214" t="s">
        <v>5858</v>
      </c>
      <c r="K991" s="214" t="s">
        <v>9463</v>
      </c>
      <c r="L991" s="214" t="s">
        <v>24</v>
      </c>
      <c r="M991" s="214" t="s">
        <v>10120</v>
      </c>
      <c r="P991" s="120"/>
    </row>
    <row r="992" spans="1:16">
      <c r="A992" s="214" t="s">
        <v>1795</v>
      </c>
      <c r="B992" s="214" t="s">
        <v>1796</v>
      </c>
      <c r="C992" s="222" t="s">
        <v>1796</v>
      </c>
      <c r="D992" s="222" t="s">
        <v>1796</v>
      </c>
      <c r="E992" s="222" t="s">
        <v>5859</v>
      </c>
      <c r="F992" s="214" t="s">
        <v>5860</v>
      </c>
      <c r="G992" s="214" t="s">
        <v>1796</v>
      </c>
      <c r="H992" s="214" t="s">
        <v>5861</v>
      </c>
      <c r="I992" s="214" t="s">
        <v>5862</v>
      </c>
      <c r="J992" s="214" t="s">
        <v>5863</v>
      </c>
      <c r="K992" s="214" t="s">
        <v>9464</v>
      </c>
      <c r="L992" s="214" t="s">
        <v>24</v>
      </c>
      <c r="M992" s="214" t="s">
        <v>10121</v>
      </c>
      <c r="P992" s="120"/>
    </row>
    <row r="993" spans="1:16">
      <c r="A993" s="214" t="s">
        <v>1797</v>
      </c>
      <c r="B993" s="214" t="s">
        <v>1798</v>
      </c>
      <c r="C993" s="222" t="s">
        <v>1798</v>
      </c>
      <c r="D993" s="222" t="s">
        <v>1798</v>
      </c>
      <c r="E993" s="222" t="s">
        <v>5864</v>
      </c>
      <c r="F993" s="214" t="s">
        <v>5865</v>
      </c>
      <c r="G993" s="214" t="s">
        <v>1798</v>
      </c>
      <c r="H993" s="214" t="s">
        <v>5866</v>
      </c>
      <c r="I993" s="214" t="s">
        <v>5867</v>
      </c>
      <c r="J993" s="214" t="s">
        <v>5868</v>
      </c>
      <c r="K993" s="214" t="s">
        <v>9465</v>
      </c>
      <c r="L993" s="214" t="s">
        <v>24</v>
      </c>
      <c r="M993" s="214" t="s">
        <v>10122</v>
      </c>
      <c r="P993" s="120"/>
    </row>
    <row r="994" spans="1:16">
      <c r="A994" s="214" t="s">
        <v>1799</v>
      </c>
      <c r="B994" s="214" t="s">
        <v>1800</v>
      </c>
      <c r="C994" s="222" t="s">
        <v>1800</v>
      </c>
      <c r="D994" s="222" t="s">
        <v>1800</v>
      </c>
      <c r="E994" s="222" t="s">
        <v>5869</v>
      </c>
      <c r="F994" s="214" t="s">
        <v>5870</v>
      </c>
      <c r="G994" s="214" t="s">
        <v>1800</v>
      </c>
      <c r="H994" s="214" t="s">
        <v>5871</v>
      </c>
      <c r="I994" s="214" t="s">
        <v>5872</v>
      </c>
      <c r="J994" s="214" t="s">
        <v>5873</v>
      </c>
      <c r="K994" s="214" t="s">
        <v>9466</v>
      </c>
      <c r="L994" s="214" t="s">
        <v>24</v>
      </c>
      <c r="M994" s="214" t="s">
        <v>10122</v>
      </c>
      <c r="P994" s="120"/>
    </row>
    <row r="995" spans="1:16">
      <c r="A995" s="215" t="s">
        <v>1801</v>
      </c>
      <c r="B995" s="214" t="s">
        <v>1802</v>
      </c>
      <c r="C995" s="222" t="s">
        <v>1802</v>
      </c>
      <c r="D995" s="222" t="s">
        <v>1802</v>
      </c>
      <c r="E995" s="222" t="s">
        <v>5874</v>
      </c>
      <c r="F995" s="214" t="s">
        <v>5875</v>
      </c>
      <c r="G995" s="214" t="s">
        <v>1802</v>
      </c>
      <c r="H995" s="214" t="s">
        <v>5876</v>
      </c>
      <c r="I995" s="214" t="s">
        <v>5877</v>
      </c>
      <c r="J995" s="214" t="s">
        <v>5878</v>
      </c>
      <c r="K995" s="214" t="s">
        <v>9467</v>
      </c>
      <c r="L995" s="214" t="s">
        <v>24</v>
      </c>
      <c r="M995" s="214" t="s">
        <v>10123</v>
      </c>
      <c r="P995" s="120"/>
    </row>
    <row r="996" spans="1:16">
      <c r="A996" s="215" t="s">
        <v>1803</v>
      </c>
      <c r="B996" s="214" t="s">
        <v>1804</v>
      </c>
      <c r="C996" s="222" t="s">
        <v>1804</v>
      </c>
      <c r="D996" s="222" t="s">
        <v>1804</v>
      </c>
      <c r="E996" s="222" t="s">
        <v>5879</v>
      </c>
      <c r="F996" s="214" t="s">
        <v>5880</v>
      </c>
      <c r="G996" s="214" t="s">
        <v>1804</v>
      </c>
      <c r="H996" s="214" t="s">
        <v>5881</v>
      </c>
      <c r="I996" s="214" t="s">
        <v>5882</v>
      </c>
      <c r="J996" s="214" t="s">
        <v>5883</v>
      </c>
      <c r="K996" s="214" t="s">
        <v>9468</v>
      </c>
      <c r="L996" s="214" t="s">
        <v>24</v>
      </c>
      <c r="M996" s="214" t="s">
        <v>10124</v>
      </c>
      <c r="P996" s="120"/>
    </row>
    <row r="997" spans="1:16">
      <c r="A997" s="214" t="s">
        <v>1805</v>
      </c>
      <c r="B997" s="214" t="s">
        <v>1806</v>
      </c>
      <c r="C997" s="222" t="s">
        <v>1806</v>
      </c>
      <c r="D997" s="222" t="s">
        <v>1806</v>
      </c>
      <c r="E997" s="222" t="s">
        <v>5884</v>
      </c>
      <c r="F997" s="214" t="s">
        <v>5885</v>
      </c>
      <c r="G997" s="214" t="s">
        <v>1806</v>
      </c>
      <c r="H997" s="214" t="s">
        <v>5886</v>
      </c>
      <c r="I997" s="214" t="s">
        <v>5887</v>
      </c>
      <c r="J997" s="214" t="s">
        <v>5888</v>
      </c>
      <c r="K997" s="214" t="s">
        <v>9469</v>
      </c>
      <c r="L997" s="214" t="s">
        <v>24</v>
      </c>
      <c r="M997" s="214" t="s">
        <v>10125</v>
      </c>
      <c r="P997" s="120"/>
    </row>
    <row r="998" spans="1:16">
      <c r="A998" s="214" t="s">
        <v>1807</v>
      </c>
      <c r="B998" s="214" t="s">
        <v>1808</v>
      </c>
      <c r="C998" s="222" t="s">
        <v>1808</v>
      </c>
      <c r="D998" s="222" t="s">
        <v>1808</v>
      </c>
      <c r="E998" s="222" t="s">
        <v>5889</v>
      </c>
      <c r="F998" s="214" t="s">
        <v>5890</v>
      </c>
      <c r="G998" s="214" t="s">
        <v>1808</v>
      </c>
      <c r="H998" s="214" t="s">
        <v>5891</v>
      </c>
      <c r="I998" s="214" t="s">
        <v>5892</v>
      </c>
      <c r="J998" s="214" t="s">
        <v>5893</v>
      </c>
      <c r="K998" s="214" t="s">
        <v>9470</v>
      </c>
      <c r="L998" s="214" t="s">
        <v>24</v>
      </c>
      <c r="M998" s="214" t="s">
        <v>10126</v>
      </c>
      <c r="P998" s="120"/>
    </row>
    <row r="999" spans="1:16">
      <c r="A999" s="214" t="s">
        <v>1809</v>
      </c>
      <c r="B999" s="214" t="s">
        <v>1810</v>
      </c>
      <c r="C999" s="222" t="s">
        <v>1810</v>
      </c>
      <c r="D999" s="222" t="s">
        <v>1810</v>
      </c>
      <c r="E999" s="222" t="s">
        <v>5894</v>
      </c>
      <c r="F999" s="214" t="s">
        <v>5895</v>
      </c>
      <c r="G999" s="214" t="s">
        <v>1810</v>
      </c>
      <c r="H999" s="214" t="s">
        <v>5896</v>
      </c>
      <c r="I999" s="214" t="s">
        <v>5897</v>
      </c>
      <c r="J999" s="214" t="s">
        <v>5898</v>
      </c>
      <c r="K999" s="214" t="s">
        <v>9471</v>
      </c>
      <c r="L999" s="214" t="s">
        <v>24</v>
      </c>
      <c r="M999" s="214" t="s">
        <v>10127</v>
      </c>
      <c r="P999" s="120"/>
    </row>
    <row r="1000" spans="1:16">
      <c r="A1000" s="214" t="s">
        <v>1811</v>
      </c>
      <c r="B1000" s="214" t="s">
        <v>1812</v>
      </c>
      <c r="C1000" s="222" t="s">
        <v>1812</v>
      </c>
      <c r="D1000" s="222" t="s">
        <v>1812</v>
      </c>
      <c r="E1000" s="222" t="s">
        <v>5899</v>
      </c>
      <c r="F1000" s="214" t="s">
        <v>5900</v>
      </c>
      <c r="G1000" s="214" t="s">
        <v>1812</v>
      </c>
      <c r="H1000" s="214" t="s">
        <v>5901</v>
      </c>
      <c r="I1000" s="214" t="s">
        <v>5902</v>
      </c>
      <c r="J1000" s="214" t="s">
        <v>5903</v>
      </c>
      <c r="K1000" s="223" t="s">
        <v>9472</v>
      </c>
      <c r="L1000" s="214" t="s">
        <v>24</v>
      </c>
      <c r="M1000" s="214" t="s">
        <v>10128</v>
      </c>
      <c r="P1000" s="120"/>
    </row>
    <row r="1001" spans="1:16">
      <c r="A1001" s="214" t="s">
        <v>1813</v>
      </c>
      <c r="B1001" s="214" t="s">
        <v>1814</v>
      </c>
      <c r="C1001" s="222" t="s">
        <v>1814</v>
      </c>
      <c r="D1001" s="222" t="s">
        <v>1814</v>
      </c>
      <c r="E1001" s="222" t="s">
        <v>5904</v>
      </c>
      <c r="F1001" s="214" t="s">
        <v>5905</v>
      </c>
      <c r="G1001" s="214" t="s">
        <v>1814</v>
      </c>
      <c r="H1001" s="214" t="s">
        <v>5906</v>
      </c>
      <c r="I1001" s="214" t="s">
        <v>5907</v>
      </c>
      <c r="J1001" s="214" t="s">
        <v>5908</v>
      </c>
      <c r="K1001" s="214" t="s">
        <v>9473</v>
      </c>
      <c r="L1001" s="214" t="s">
        <v>24</v>
      </c>
      <c r="M1001" s="214" t="s">
        <v>10129</v>
      </c>
      <c r="P1001" s="120"/>
    </row>
    <row r="1002" spans="1:16">
      <c r="A1002" s="214" t="s">
        <v>1815</v>
      </c>
      <c r="B1002" s="214" t="s">
        <v>1816</v>
      </c>
      <c r="C1002" s="222" t="s">
        <v>1816</v>
      </c>
      <c r="D1002" s="222" t="s">
        <v>1816</v>
      </c>
      <c r="E1002" s="222" t="s">
        <v>5909</v>
      </c>
      <c r="F1002" s="214" t="s">
        <v>5910</v>
      </c>
      <c r="G1002" s="214" t="s">
        <v>1816</v>
      </c>
      <c r="H1002" s="214" t="s">
        <v>5911</v>
      </c>
      <c r="I1002" s="214" t="s">
        <v>5912</v>
      </c>
      <c r="J1002" s="214" t="s">
        <v>5913</v>
      </c>
      <c r="K1002" s="214" t="s">
        <v>9474</v>
      </c>
      <c r="L1002" s="214" t="s">
        <v>24</v>
      </c>
      <c r="M1002" s="214" t="s">
        <v>10130</v>
      </c>
      <c r="P1002" s="120"/>
    </row>
    <row r="1003" spans="1:16">
      <c r="A1003" s="214" t="s">
        <v>1819</v>
      </c>
      <c r="B1003" s="214" t="s">
        <v>1820</v>
      </c>
      <c r="C1003" s="222" t="s">
        <v>1820</v>
      </c>
      <c r="D1003" s="222" t="s">
        <v>1820</v>
      </c>
      <c r="E1003" s="222" t="s">
        <v>5919</v>
      </c>
      <c r="F1003" s="214" t="s">
        <v>5920</v>
      </c>
      <c r="G1003" s="214" t="s">
        <v>1820</v>
      </c>
      <c r="H1003" s="214" t="s">
        <v>5921</v>
      </c>
      <c r="I1003" s="214" t="s">
        <v>5922</v>
      </c>
      <c r="J1003" s="214" t="s">
        <v>5923</v>
      </c>
      <c r="K1003" s="214" t="s">
        <v>9476</v>
      </c>
      <c r="L1003" s="214" t="s">
        <v>24</v>
      </c>
      <c r="M1003" s="214" t="s">
        <v>10132</v>
      </c>
      <c r="P1003" s="120"/>
    </row>
    <row r="1004" spans="1:16">
      <c r="A1004" s="214" t="s">
        <v>1821</v>
      </c>
      <c r="B1004" s="214" t="s">
        <v>1822</v>
      </c>
      <c r="C1004" s="222" t="s">
        <v>1822</v>
      </c>
      <c r="D1004" s="222" t="s">
        <v>1822</v>
      </c>
      <c r="E1004" s="222" t="s">
        <v>5924</v>
      </c>
      <c r="F1004" s="214" t="s">
        <v>5925</v>
      </c>
      <c r="G1004" s="214" t="s">
        <v>1822</v>
      </c>
      <c r="H1004" s="214" t="s">
        <v>5926</v>
      </c>
      <c r="I1004" s="214" t="s">
        <v>5927</v>
      </c>
      <c r="J1004" s="214" t="s">
        <v>5928</v>
      </c>
      <c r="K1004" s="223" t="s">
        <v>9477</v>
      </c>
      <c r="L1004" s="214" t="s">
        <v>24</v>
      </c>
      <c r="M1004" s="214" t="s">
        <v>10133</v>
      </c>
      <c r="P1004" s="120"/>
    </row>
    <row r="1005" spans="1:16">
      <c r="A1005" s="214" t="s">
        <v>1823</v>
      </c>
      <c r="B1005" s="214" t="s">
        <v>1824</v>
      </c>
      <c r="C1005" s="222" t="s">
        <v>1824</v>
      </c>
      <c r="D1005" s="222" t="s">
        <v>1824</v>
      </c>
      <c r="E1005" s="222" t="s">
        <v>5929</v>
      </c>
      <c r="F1005" s="214" t="s">
        <v>5930</v>
      </c>
      <c r="G1005" s="214" t="s">
        <v>1824</v>
      </c>
      <c r="H1005" s="214" t="s">
        <v>5931</v>
      </c>
      <c r="I1005" s="214" t="s">
        <v>5932</v>
      </c>
      <c r="J1005" s="214" t="s">
        <v>5933</v>
      </c>
      <c r="K1005" s="214" t="s">
        <v>9478</v>
      </c>
      <c r="L1005" s="214" t="s">
        <v>24</v>
      </c>
      <c r="M1005" s="214" t="s">
        <v>10134</v>
      </c>
      <c r="P1005" s="120"/>
    </row>
    <row r="1006" spans="1:16">
      <c r="A1006" s="214" t="s">
        <v>1825</v>
      </c>
      <c r="B1006" s="214" t="s">
        <v>1826</v>
      </c>
      <c r="C1006" s="222" t="s">
        <v>1826</v>
      </c>
      <c r="D1006" s="222" t="s">
        <v>1826</v>
      </c>
      <c r="E1006" s="222" t="s">
        <v>5934</v>
      </c>
      <c r="F1006" s="214" t="s">
        <v>5935</v>
      </c>
      <c r="G1006" s="214" t="s">
        <v>1826</v>
      </c>
      <c r="H1006" s="214" t="s">
        <v>5936</v>
      </c>
      <c r="I1006" s="214" t="s">
        <v>5937</v>
      </c>
      <c r="J1006" s="214" t="s">
        <v>5938</v>
      </c>
      <c r="K1006" s="214" t="s">
        <v>9479</v>
      </c>
      <c r="L1006" s="214" t="s">
        <v>24</v>
      </c>
      <c r="M1006" s="214" t="s">
        <v>10135</v>
      </c>
      <c r="P1006" s="120"/>
    </row>
    <row r="1007" spans="1:16">
      <c r="A1007" s="214" t="s">
        <v>1827</v>
      </c>
      <c r="B1007" s="214" t="s">
        <v>1828</v>
      </c>
      <c r="C1007" s="222" t="s">
        <v>1828</v>
      </c>
      <c r="D1007" s="222" t="s">
        <v>1828</v>
      </c>
      <c r="E1007" s="222" t="s">
        <v>5939</v>
      </c>
      <c r="F1007" s="214" t="s">
        <v>5940</v>
      </c>
      <c r="G1007" s="214" t="s">
        <v>1828</v>
      </c>
      <c r="H1007" s="214" t="s">
        <v>5941</v>
      </c>
      <c r="I1007" s="214" t="s">
        <v>5942</v>
      </c>
      <c r="J1007" s="214" t="s">
        <v>5943</v>
      </c>
      <c r="K1007" s="214" t="s">
        <v>9480</v>
      </c>
      <c r="L1007" s="214" t="s">
        <v>24</v>
      </c>
      <c r="M1007" s="214" t="s">
        <v>10136</v>
      </c>
      <c r="P1007" s="120"/>
    </row>
    <row r="1008" spans="1:16">
      <c r="A1008" s="214" t="s">
        <v>1833</v>
      </c>
      <c r="B1008" s="214" t="s">
        <v>1834</v>
      </c>
      <c r="C1008" s="222" t="s">
        <v>1834</v>
      </c>
      <c r="D1008" s="222" t="s">
        <v>1834</v>
      </c>
      <c r="E1008" s="222" t="s">
        <v>5954</v>
      </c>
      <c r="F1008" s="214" t="s">
        <v>5955</v>
      </c>
      <c r="G1008" s="214" t="s">
        <v>1834</v>
      </c>
      <c r="H1008" s="214" t="s">
        <v>5956</v>
      </c>
      <c r="I1008" s="214" t="s">
        <v>5957</v>
      </c>
      <c r="J1008" s="214" t="s">
        <v>5958</v>
      </c>
      <c r="K1008" s="214" t="s">
        <v>9483</v>
      </c>
      <c r="L1008" s="214" t="s">
        <v>24</v>
      </c>
      <c r="M1008" s="214" t="s">
        <v>10139</v>
      </c>
      <c r="P1008" s="120"/>
    </row>
    <row r="1009" spans="1:16">
      <c r="A1009" s="214" t="s">
        <v>1835</v>
      </c>
      <c r="B1009" s="214" t="s">
        <v>1613</v>
      </c>
      <c r="C1009" s="222" t="s">
        <v>1613</v>
      </c>
      <c r="D1009" s="222" t="s">
        <v>1613</v>
      </c>
      <c r="E1009" s="222" t="s">
        <v>5959</v>
      </c>
      <c r="F1009" s="214" t="s">
        <v>5960</v>
      </c>
      <c r="G1009" s="214" t="s">
        <v>1613</v>
      </c>
      <c r="H1009" s="214" t="s">
        <v>5961</v>
      </c>
      <c r="I1009" s="214" t="s">
        <v>5962</v>
      </c>
      <c r="J1009" s="214" t="s">
        <v>5963</v>
      </c>
      <c r="K1009" s="214" t="s">
        <v>9484</v>
      </c>
      <c r="L1009" s="214" t="s">
        <v>24</v>
      </c>
      <c r="M1009" s="214" t="s">
        <v>10140</v>
      </c>
      <c r="P1009" s="120"/>
    </row>
    <row r="1010" spans="1:16">
      <c r="A1010" s="214" t="s">
        <v>1836</v>
      </c>
      <c r="B1010" s="214" t="s">
        <v>1837</v>
      </c>
      <c r="C1010" s="222" t="s">
        <v>1837</v>
      </c>
      <c r="D1010" s="222" t="s">
        <v>1837</v>
      </c>
      <c r="E1010" s="222" t="s">
        <v>5964</v>
      </c>
      <c r="F1010" s="214" t="s">
        <v>5965</v>
      </c>
      <c r="G1010" s="214" t="s">
        <v>1837</v>
      </c>
      <c r="H1010" s="214" t="s">
        <v>5966</v>
      </c>
      <c r="I1010" s="214" t="s">
        <v>5967</v>
      </c>
      <c r="J1010" s="214" t="s">
        <v>5968</v>
      </c>
      <c r="K1010" s="214" t="s">
        <v>9485</v>
      </c>
      <c r="L1010" s="214" t="s">
        <v>24</v>
      </c>
      <c r="M1010" s="214" t="s">
        <v>10141</v>
      </c>
      <c r="P1010" s="120"/>
    </row>
    <row r="1011" spans="1:16">
      <c r="A1011" s="214" t="s">
        <v>1838</v>
      </c>
      <c r="B1011" s="214" t="s">
        <v>1317</v>
      </c>
      <c r="C1011" s="222" t="s">
        <v>1317</v>
      </c>
      <c r="D1011" s="222" t="s">
        <v>1317</v>
      </c>
      <c r="E1011" s="222" t="s">
        <v>5969</v>
      </c>
      <c r="F1011" s="214" t="s">
        <v>5098</v>
      </c>
      <c r="G1011" s="214" t="s">
        <v>1317</v>
      </c>
      <c r="H1011" s="214" t="s">
        <v>5099</v>
      </c>
      <c r="I1011" s="214" t="s">
        <v>5441</v>
      </c>
      <c r="J1011" s="214" t="s">
        <v>5442</v>
      </c>
      <c r="K1011" s="214" t="s">
        <v>9325</v>
      </c>
      <c r="L1011" s="214" t="s">
        <v>24</v>
      </c>
      <c r="M1011" s="214" t="s">
        <v>10142</v>
      </c>
      <c r="P1011" s="120"/>
    </row>
    <row r="1012" spans="1:16">
      <c r="A1012" s="214" t="s">
        <v>1841</v>
      </c>
      <c r="B1012" s="214" t="s">
        <v>1842</v>
      </c>
      <c r="C1012" s="222" t="s">
        <v>1842</v>
      </c>
      <c r="D1012" s="222" t="s">
        <v>1842</v>
      </c>
      <c r="E1012" s="222" t="s">
        <v>5176</v>
      </c>
      <c r="F1012" s="214" t="s">
        <v>5975</v>
      </c>
      <c r="G1012" s="214" t="s">
        <v>1842</v>
      </c>
      <c r="H1012" s="214" t="s">
        <v>5200</v>
      </c>
      <c r="I1012" s="214" t="s">
        <v>5976</v>
      </c>
      <c r="J1012" s="214" t="s">
        <v>5977</v>
      </c>
      <c r="K1012" s="214" t="s">
        <v>9337</v>
      </c>
      <c r="L1012" s="214" t="s">
        <v>24</v>
      </c>
      <c r="M1012" s="214" t="s">
        <v>10144</v>
      </c>
      <c r="P1012" s="120"/>
    </row>
    <row r="1013" spans="1:16">
      <c r="A1013" s="214" t="s">
        <v>1846</v>
      </c>
      <c r="B1013" s="214" t="s">
        <v>1848</v>
      </c>
      <c r="C1013" s="222" t="s">
        <v>1848</v>
      </c>
      <c r="D1013" s="222" t="s">
        <v>1848</v>
      </c>
      <c r="E1013" s="222" t="s">
        <v>5986</v>
      </c>
      <c r="F1013" s="214" t="s">
        <v>5987</v>
      </c>
      <c r="G1013" s="214" t="s">
        <v>1848</v>
      </c>
      <c r="H1013" s="214" t="s">
        <v>5988</v>
      </c>
      <c r="I1013" s="214" t="s">
        <v>5989</v>
      </c>
      <c r="J1013" s="214" t="s">
        <v>5990</v>
      </c>
      <c r="K1013" s="214" t="s">
        <v>9489</v>
      </c>
      <c r="L1013" s="214" t="s">
        <v>24</v>
      </c>
      <c r="M1013" s="214" t="s">
        <v>10147</v>
      </c>
      <c r="P1013" s="120"/>
    </row>
    <row r="1014" spans="1:16">
      <c r="A1014" s="214" t="s">
        <v>1870</v>
      </c>
      <c r="B1014" s="214" t="s">
        <v>1774</v>
      </c>
      <c r="C1014" s="222" t="s">
        <v>1774</v>
      </c>
      <c r="D1014" s="222" t="s">
        <v>1774</v>
      </c>
      <c r="E1014" s="222" t="s">
        <v>5996</v>
      </c>
      <c r="F1014" s="214" t="s">
        <v>5997</v>
      </c>
      <c r="G1014" s="214" t="s">
        <v>1774</v>
      </c>
      <c r="H1014" s="214" t="s">
        <v>5998</v>
      </c>
      <c r="I1014" s="214" t="s">
        <v>5999</v>
      </c>
      <c r="J1014" s="214" t="s">
        <v>6000</v>
      </c>
      <c r="K1014" s="214" t="s">
        <v>9491</v>
      </c>
      <c r="L1014" s="214" t="s">
        <v>24</v>
      </c>
      <c r="M1014" s="214" t="s">
        <v>10149</v>
      </c>
      <c r="P1014" s="120"/>
    </row>
    <row r="1015" spans="1:16">
      <c r="A1015" s="214" t="s">
        <v>1871</v>
      </c>
      <c r="B1015" s="214" t="s">
        <v>1849</v>
      </c>
      <c r="C1015" s="222" t="s">
        <v>1849</v>
      </c>
      <c r="D1015" s="222" t="s">
        <v>1849</v>
      </c>
      <c r="E1015" s="222" t="s">
        <v>5631</v>
      </c>
      <c r="F1015" s="214" t="s">
        <v>6001</v>
      </c>
      <c r="G1015" s="214" t="s">
        <v>1849</v>
      </c>
      <c r="H1015" s="214" t="s">
        <v>6002</v>
      </c>
      <c r="I1015" s="214" t="s">
        <v>6003</v>
      </c>
      <c r="J1015" s="214" t="s">
        <v>5635</v>
      </c>
      <c r="K1015" s="214" t="s">
        <v>9492</v>
      </c>
      <c r="L1015" s="214" t="s">
        <v>24</v>
      </c>
      <c r="M1015" s="214" t="s">
        <v>10150</v>
      </c>
      <c r="P1015" s="120"/>
    </row>
    <row r="1016" spans="1:16">
      <c r="A1016" s="214" t="s">
        <v>1872</v>
      </c>
      <c r="B1016" s="214" t="s">
        <v>1873</v>
      </c>
      <c r="C1016" s="222" t="s">
        <v>1873</v>
      </c>
      <c r="D1016" s="222" t="s">
        <v>1873</v>
      </c>
      <c r="E1016" s="222" t="s">
        <v>6004</v>
      </c>
      <c r="F1016" s="214" t="s">
        <v>6005</v>
      </c>
      <c r="G1016" s="214" t="s">
        <v>1873</v>
      </c>
      <c r="H1016" s="214" t="s">
        <v>6006</v>
      </c>
      <c r="I1016" s="214" t="s">
        <v>6007</v>
      </c>
      <c r="J1016" s="214" t="s">
        <v>6008</v>
      </c>
      <c r="K1016" s="214" t="s">
        <v>9493</v>
      </c>
      <c r="L1016" s="214" t="s">
        <v>24</v>
      </c>
      <c r="M1016" s="214" t="s">
        <v>10151</v>
      </c>
      <c r="P1016" s="120"/>
    </row>
    <row r="1017" spans="1:16">
      <c r="A1017" s="214" t="s">
        <v>1874</v>
      </c>
      <c r="B1017" s="214" t="s">
        <v>1844</v>
      </c>
      <c r="C1017" s="222" t="s">
        <v>1844</v>
      </c>
      <c r="D1017" s="222" t="s">
        <v>1844</v>
      </c>
      <c r="E1017" s="222" t="s">
        <v>5978</v>
      </c>
      <c r="F1017" s="214" t="s">
        <v>5979</v>
      </c>
      <c r="G1017" s="214" t="s">
        <v>1844</v>
      </c>
      <c r="H1017" s="214" t="s">
        <v>5980</v>
      </c>
      <c r="I1017" s="214" t="s">
        <v>5981</v>
      </c>
      <c r="J1017" s="214" t="s">
        <v>5982</v>
      </c>
      <c r="K1017" s="223" t="s">
        <v>9487</v>
      </c>
      <c r="L1017" s="214" t="s">
        <v>24</v>
      </c>
      <c r="M1017" s="214" t="s">
        <v>10145</v>
      </c>
      <c r="P1017" s="120"/>
    </row>
    <row r="1018" spans="1:16">
      <c r="A1018" s="214" t="s">
        <v>1875</v>
      </c>
      <c r="B1018" s="214" t="s">
        <v>1850</v>
      </c>
      <c r="C1018" s="222" t="s">
        <v>1850</v>
      </c>
      <c r="D1018" s="222" t="s">
        <v>1850</v>
      </c>
      <c r="E1018" s="222" t="s">
        <v>6009</v>
      </c>
      <c r="F1018" s="214" t="s">
        <v>6010</v>
      </c>
      <c r="G1018" s="214" t="s">
        <v>1850</v>
      </c>
      <c r="H1018" s="214" t="s">
        <v>6011</v>
      </c>
      <c r="I1018" s="214" t="s">
        <v>6012</v>
      </c>
      <c r="J1018" s="214" t="s">
        <v>6013</v>
      </c>
      <c r="K1018" s="223" t="s">
        <v>9494</v>
      </c>
      <c r="L1018" s="214" t="s">
        <v>24</v>
      </c>
      <c r="M1018" s="214" t="s">
        <v>10152</v>
      </c>
      <c r="P1018" s="120"/>
    </row>
    <row r="1019" spans="1:16">
      <c r="A1019" s="214" t="s">
        <v>1876</v>
      </c>
      <c r="B1019" s="214" t="s">
        <v>1830</v>
      </c>
      <c r="C1019" s="222" t="s">
        <v>1830</v>
      </c>
      <c r="D1019" s="222" t="s">
        <v>1830</v>
      </c>
      <c r="E1019" s="222" t="s">
        <v>5944</v>
      </c>
      <c r="F1019" s="214" t="s">
        <v>5945</v>
      </c>
      <c r="G1019" s="214" t="s">
        <v>1830</v>
      </c>
      <c r="H1019" s="214" t="s">
        <v>5946</v>
      </c>
      <c r="I1019" s="214" t="s">
        <v>5947</v>
      </c>
      <c r="J1019" s="214" t="s">
        <v>5948</v>
      </c>
      <c r="K1019" s="214" t="s">
        <v>9495</v>
      </c>
      <c r="L1019" s="214" t="s">
        <v>24</v>
      </c>
      <c r="M1019" s="214" t="s">
        <v>10153</v>
      </c>
      <c r="P1019" s="120"/>
    </row>
    <row r="1020" spans="1:16">
      <c r="A1020" s="214" t="s">
        <v>1877</v>
      </c>
      <c r="B1020" s="214" t="s">
        <v>1852</v>
      </c>
      <c r="C1020" s="222" t="s">
        <v>1852</v>
      </c>
      <c r="D1020" s="222" t="s">
        <v>1852</v>
      </c>
      <c r="E1020" s="222" t="s">
        <v>6014</v>
      </c>
      <c r="F1020" s="214" t="s">
        <v>6015</v>
      </c>
      <c r="G1020" s="214" t="s">
        <v>1852</v>
      </c>
      <c r="H1020" s="214" t="s">
        <v>6016</v>
      </c>
      <c r="I1020" s="214" t="s">
        <v>6017</v>
      </c>
      <c r="J1020" s="214" t="s">
        <v>6018</v>
      </c>
      <c r="K1020" s="223" t="s">
        <v>9496</v>
      </c>
      <c r="L1020" s="214" t="s">
        <v>24</v>
      </c>
      <c r="M1020" s="214" t="s">
        <v>10154</v>
      </c>
      <c r="P1020" s="120"/>
    </row>
    <row r="1021" spans="1:16">
      <c r="A1021" s="214" t="s">
        <v>1878</v>
      </c>
      <c r="B1021" s="214" t="s">
        <v>1853</v>
      </c>
      <c r="C1021" s="222" t="s">
        <v>1853</v>
      </c>
      <c r="D1021" s="222" t="s">
        <v>1853</v>
      </c>
      <c r="E1021" s="222" t="s">
        <v>6019</v>
      </c>
      <c r="F1021" s="214" t="s">
        <v>6020</v>
      </c>
      <c r="G1021" s="214" t="s">
        <v>1853</v>
      </c>
      <c r="H1021" s="214" t="s">
        <v>6021</v>
      </c>
      <c r="I1021" s="214" t="s">
        <v>6022</v>
      </c>
      <c r="J1021" s="214" t="s">
        <v>6023</v>
      </c>
      <c r="K1021" s="214" t="s">
        <v>9497</v>
      </c>
      <c r="L1021" s="214" t="s">
        <v>24</v>
      </c>
      <c r="M1021" s="214" t="s">
        <v>10155</v>
      </c>
      <c r="P1021" s="120"/>
    </row>
    <row r="1022" spans="1:16">
      <c r="A1022" s="214" t="s">
        <v>1879</v>
      </c>
      <c r="B1022" s="214" t="s">
        <v>1842</v>
      </c>
      <c r="C1022" s="222" t="s">
        <v>1842</v>
      </c>
      <c r="D1022" s="222" t="s">
        <v>1842</v>
      </c>
      <c r="E1022" s="222" t="s">
        <v>5176</v>
      </c>
      <c r="F1022" s="214" t="s">
        <v>5975</v>
      </c>
      <c r="G1022" s="214" t="s">
        <v>1842</v>
      </c>
      <c r="H1022" s="214" t="s">
        <v>5200</v>
      </c>
      <c r="I1022" s="214" t="s">
        <v>5976</v>
      </c>
      <c r="J1022" s="214" t="s">
        <v>5977</v>
      </c>
      <c r="K1022" s="214" t="s">
        <v>9498</v>
      </c>
      <c r="L1022" s="214" t="s">
        <v>24</v>
      </c>
      <c r="M1022" s="214" t="s">
        <v>10156</v>
      </c>
      <c r="P1022" s="120"/>
    </row>
    <row r="1023" spans="1:16">
      <c r="A1023" s="214" t="s">
        <v>1880</v>
      </c>
      <c r="B1023" s="214" t="s">
        <v>1856</v>
      </c>
      <c r="C1023" s="222" t="s">
        <v>1856</v>
      </c>
      <c r="D1023" s="222" t="s">
        <v>1856</v>
      </c>
      <c r="E1023" s="222" t="s">
        <v>6024</v>
      </c>
      <c r="F1023" s="214" t="s">
        <v>6025</v>
      </c>
      <c r="G1023" s="214" t="s">
        <v>1856</v>
      </c>
      <c r="H1023" s="214" t="s">
        <v>6026</v>
      </c>
      <c r="I1023" s="214" t="s">
        <v>6027</v>
      </c>
      <c r="J1023" s="214" t="s">
        <v>6028</v>
      </c>
      <c r="K1023" s="214" t="s">
        <v>9499</v>
      </c>
      <c r="L1023" s="214" t="s">
        <v>24</v>
      </c>
      <c r="M1023" s="214" t="s">
        <v>10157</v>
      </c>
      <c r="P1023" s="120"/>
    </row>
    <row r="1024" spans="1:16">
      <c r="A1024" s="214" t="s">
        <v>1881</v>
      </c>
      <c r="B1024" s="214" t="s">
        <v>1858</v>
      </c>
      <c r="C1024" s="222" t="s">
        <v>1858</v>
      </c>
      <c r="D1024" s="222" t="s">
        <v>1858</v>
      </c>
      <c r="E1024" s="222" t="s">
        <v>6029</v>
      </c>
      <c r="F1024" s="214" t="s">
        <v>6030</v>
      </c>
      <c r="G1024" s="214" t="s">
        <v>1858</v>
      </c>
      <c r="H1024" s="214" t="s">
        <v>6031</v>
      </c>
      <c r="I1024" s="214" t="s">
        <v>6032</v>
      </c>
      <c r="J1024" s="214" t="s">
        <v>6033</v>
      </c>
      <c r="K1024" s="214" t="s">
        <v>9500</v>
      </c>
      <c r="L1024" s="214" t="s">
        <v>24</v>
      </c>
      <c r="M1024" s="214" t="s">
        <v>10158</v>
      </c>
      <c r="P1024" s="120"/>
    </row>
    <row r="1025" spans="1:16">
      <c r="A1025" s="214" t="s">
        <v>1882</v>
      </c>
      <c r="B1025" s="214" t="s">
        <v>1840</v>
      </c>
      <c r="C1025" s="222" t="s">
        <v>1840</v>
      </c>
      <c r="D1025" s="222" t="s">
        <v>1840</v>
      </c>
      <c r="E1025" s="222" t="s">
        <v>5970</v>
      </c>
      <c r="F1025" s="214" t="s">
        <v>5971</v>
      </c>
      <c r="G1025" s="214" t="s">
        <v>1840</v>
      </c>
      <c r="H1025" s="214" t="s">
        <v>5972</v>
      </c>
      <c r="I1025" s="214" t="s">
        <v>5973</v>
      </c>
      <c r="J1025" s="214" t="s">
        <v>5974</v>
      </c>
      <c r="K1025" s="223" t="s">
        <v>9486</v>
      </c>
      <c r="L1025" s="214" t="s">
        <v>24</v>
      </c>
      <c r="M1025" s="214" t="s">
        <v>10159</v>
      </c>
      <c r="P1025" s="120"/>
    </row>
    <row r="1026" spans="1:16">
      <c r="A1026" s="214" t="s">
        <v>1883</v>
      </c>
      <c r="B1026" s="214" t="s">
        <v>1860</v>
      </c>
      <c r="C1026" s="222" t="s">
        <v>1860</v>
      </c>
      <c r="D1026" s="222" t="s">
        <v>1860</v>
      </c>
      <c r="E1026" s="222" t="s">
        <v>6034</v>
      </c>
      <c r="F1026" s="214" t="s">
        <v>6035</v>
      </c>
      <c r="G1026" s="214" t="s">
        <v>1860</v>
      </c>
      <c r="H1026" s="214" t="s">
        <v>6036</v>
      </c>
      <c r="I1026" s="214" t="s">
        <v>6037</v>
      </c>
      <c r="J1026" s="214" t="s">
        <v>6038</v>
      </c>
      <c r="K1026" s="214" t="s">
        <v>9501</v>
      </c>
      <c r="L1026" s="214" t="s">
        <v>24</v>
      </c>
      <c r="M1026" s="214" t="s">
        <v>10160</v>
      </c>
      <c r="P1026" s="120"/>
    </row>
    <row r="1027" spans="1:16">
      <c r="A1027" s="214" t="s">
        <v>1884</v>
      </c>
      <c r="B1027" s="214" t="s">
        <v>1857</v>
      </c>
      <c r="C1027" s="222" t="s">
        <v>1857</v>
      </c>
      <c r="D1027" s="222" t="s">
        <v>1857</v>
      </c>
      <c r="E1027" s="222" t="s">
        <v>6039</v>
      </c>
      <c r="F1027" s="214" t="s">
        <v>6040</v>
      </c>
      <c r="G1027" s="214" t="s">
        <v>1857</v>
      </c>
      <c r="H1027" s="214" t="s">
        <v>6041</v>
      </c>
      <c r="I1027" s="214" t="s">
        <v>6042</v>
      </c>
      <c r="J1027" s="214" t="s">
        <v>6043</v>
      </c>
      <c r="K1027" s="214" t="s">
        <v>9502</v>
      </c>
      <c r="L1027" s="214" t="s">
        <v>24</v>
      </c>
      <c r="M1027" s="214" t="s">
        <v>10161</v>
      </c>
      <c r="P1027" s="120"/>
    </row>
    <row r="1028" spans="1:16">
      <c r="A1028" s="214" t="s">
        <v>1885</v>
      </c>
      <c r="B1028" s="214" t="s">
        <v>1861</v>
      </c>
      <c r="C1028" s="222" t="s">
        <v>1861</v>
      </c>
      <c r="D1028" s="222" t="s">
        <v>1861</v>
      </c>
      <c r="E1028" s="222" t="s">
        <v>6044</v>
      </c>
      <c r="F1028" s="214" t="s">
        <v>6045</v>
      </c>
      <c r="G1028" s="214" t="s">
        <v>1861</v>
      </c>
      <c r="H1028" s="214" t="s">
        <v>6046</v>
      </c>
      <c r="I1028" s="214" t="s">
        <v>6047</v>
      </c>
      <c r="J1028" s="214" t="s">
        <v>6048</v>
      </c>
      <c r="K1028" s="214" t="s">
        <v>9503</v>
      </c>
      <c r="L1028" s="214" t="s">
        <v>24</v>
      </c>
      <c r="M1028" s="214" t="s">
        <v>10162</v>
      </c>
      <c r="P1028" s="120"/>
    </row>
    <row r="1029" spans="1:16">
      <c r="A1029" s="214" t="s">
        <v>1886</v>
      </c>
      <c r="B1029" s="214" t="s">
        <v>1863</v>
      </c>
      <c r="C1029" s="222" t="s">
        <v>1863</v>
      </c>
      <c r="D1029" s="222" t="s">
        <v>1863</v>
      </c>
      <c r="E1029" s="222" t="s">
        <v>6049</v>
      </c>
      <c r="F1029" s="214" t="s">
        <v>6050</v>
      </c>
      <c r="G1029" s="214" t="s">
        <v>1863</v>
      </c>
      <c r="H1029" s="214" t="s">
        <v>6051</v>
      </c>
      <c r="I1029" s="214" t="s">
        <v>6052</v>
      </c>
      <c r="J1029" s="214" t="s">
        <v>6053</v>
      </c>
      <c r="K1029" s="214" t="s">
        <v>9504</v>
      </c>
      <c r="L1029" s="214" t="s">
        <v>24</v>
      </c>
      <c r="M1029" s="214" t="s">
        <v>10163</v>
      </c>
      <c r="P1029" s="120"/>
    </row>
    <row r="1030" spans="1:16">
      <c r="A1030" s="214" t="s">
        <v>1887</v>
      </c>
      <c r="B1030" s="214" t="s">
        <v>1867</v>
      </c>
      <c r="C1030" s="222" t="s">
        <v>1867</v>
      </c>
      <c r="D1030" s="222" t="s">
        <v>1867</v>
      </c>
      <c r="E1030" s="222" t="s">
        <v>6054</v>
      </c>
      <c r="F1030" s="214" t="s">
        <v>6055</v>
      </c>
      <c r="G1030" s="214" t="s">
        <v>1867</v>
      </c>
      <c r="H1030" s="214" t="s">
        <v>6056</v>
      </c>
      <c r="I1030" s="214" t="s">
        <v>6057</v>
      </c>
      <c r="J1030" s="214" t="s">
        <v>6058</v>
      </c>
      <c r="K1030" s="214" t="s">
        <v>9505</v>
      </c>
      <c r="L1030" s="214" t="s">
        <v>24</v>
      </c>
      <c r="M1030" s="214" t="s">
        <v>10164</v>
      </c>
      <c r="P1030" s="120"/>
    </row>
    <row r="1031" spans="1:16">
      <c r="A1031" s="215" t="s">
        <v>1888</v>
      </c>
      <c r="B1031" s="214" t="s">
        <v>1889</v>
      </c>
      <c r="C1031" s="222" t="s">
        <v>1889</v>
      </c>
      <c r="D1031" s="222" t="s">
        <v>1889</v>
      </c>
      <c r="E1031" s="222" t="s">
        <v>6059</v>
      </c>
      <c r="F1031" s="214" t="s">
        <v>6060</v>
      </c>
      <c r="G1031" s="214" t="s">
        <v>1889</v>
      </c>
      <c r="H1031" s="214" t="s">
        <v>6061</v>
      </c>
      <c r="I1031" s="214" t="s">
        <v>6062</v>
      </c>
      <c r="J1031" s="214" t="s">
        <v>6063</v>
      </c>
      <c r="K1031" s="214" t="s">
        <v>9506</v>
      </c>
      <c r="L1031" s="214" t="s">
        <v>24</v>
      </c>
      <c r="M1031" s="214" t="s">
        <v>10165</v>
      </c>
      <c r="P1031" s="120"/>
    </row>
    <row r="1032" spans="1:16">
      <c r="A1032" s="214" t="s">
        <v>1890</v>
      </c>
      <c r="B1032" s="214" t="s">
        <v>1868</v>
      </c>
      <c r="C1032" s="222" t="s">
        <v>1868</v>
      </c>
      <c r="D1032" s="222" t="s">
        <v>1868</v>
      </c>
      <c r="E1032" s="222" t="s">
        <v>6064</v>
      </c>
      <c r="F1032" s="214" t="s">
        <v>6065</v>
      </c>
      <c r="G1032" s="214" t="s">
        <v>1868</v>
      </c>
      <c r="H1032" s="214" t="s">
        <v>6066</v>
      </c>
      <c r="I1032" s="214" t="s">
        <v>6067</v>
      </c>
      <c r="J1032" s="214" t="s">
        <v>6068</v>
      </c>
      <c r="K1032" s="214" t="s">
        <v>9507</v>
      </c>
      <c r="L1032" s="214" t="s">
        <v>24</v>
      </c>
      <c r="M1032" s="214" t="s">
        <v>10166</v>
      </c>
      <c r="P1032" s="120"/>
    </row>
    <row r="1033" spans="1:16">
      <c r="A1033" s="214" t="s">
        <v>1891</v>
      </c>
      <c r="B1033" s="214" t="s">
        <v>1893</v>
      </c>
      <c r="C1033" s="222" t="s">
        <v>1893</v>
      </c>
      <c r="D1033" s="222" t="s">
        <v>1893</v>
      </c>
      <c r="E1033" s="222" t="s">
        <v>6069</v>
      </c>
      <c r="F1033" s="214" t="s">
        <v>6070</v>
      </c>
      <c r="G1033" s="214" t="s">
        <v>1893</v>
      </c>
      <c r="H1033" s="214" t="s">
        <v>6071</v>
      </c>
      <c r="I1033" s="214" t="s">
        <v>6072</v>
      </c>
      <c r="J1033" s="214" t="s">
        <v>6073</v>
      </c>
      <c r="K1033" s="214" t="s">
        <v>9508</v>
      </c>
      <c r="L1033" s="214" t="s">
        <v>24</v>
      </c>
      <c r="M1033" s="214"/>
      <c r="P1033" s="120"/>
    </row>
    <row r="1034" spans="1:16">
      <c r="A1034" s="214" t="s">
        <v>1932</v>
      </c>
      <c r="B1034" s="214" t="s">
        <v>1372</v>
      </c>
      <c r="C1034" s="222" t="s">
        <v>1372</v>
      </c>
      <c r="D1034" s="222" t="s">
        <v>1372</v>
      </c>
      <c r="E1034" s="222" t="s">
        <v>5983</v>
      </c>
      <c r="F1034" s="214" t="s">
        <v>5222</v>
      </c>
      <c r="G1034" s="214" t="s">
        <v>1372</v>
      </c>
      <c r="H1034" s="214" t="s">
        <v>5984</v>
      </c>
      <c r="I1034" s="214" t="s">
        <v>5985</v>
      </c>
      <c r="J1034" s="214" t="s">
        <v>5225</v>
      </c>
      <c r="K1034" s="214" t="s">
        <v>9488</v>
      </c>
      <c r="L1034" s="214" t="s">
        <v>24</v>
      </c>
      <c r="M1034" s="214" t="s">
        <v>10146</v>
      </c>
      <c r="P1034" s="120"/>
    </row>
    <row r="1035" spans="1:16">
      <c r="A1035" s="214" t="s">
        <v>1938</v>
      </c>
      <c r="B1035" s="214" t="s">
        <v>1897</v>
      </c>
      <c r="C1035" s="222" t="s">
        <v>1897</v>
      </c>
      <c r="D1035" s="222" t="s">
        <v>1897</v>
      </c>
      <c r="E1035" s="222" t="s">
        <v>6089</v>
      </c>
      <c r="F1035" s="214" t="s">
        <v>6090</v>
      </c>
      <c r="G1035" s="214" t="s">
        <v>1897</v>
      </c>
      <c r="H1035" s="214" t="s">
        <v>6091</v>
      </c>
      <c r="I1035" s="214" t="s">
        <v>6092</v>
      </c>
      <c r="J1035" s="214" t="s">
        <v>6093</v>
      </c>
      <c r="K1035" s="214" t="s">
        <v>9512</v>
      </c>
      <c r="L1035" s="214" t="s">
        <v>24</v>
      </c>
      <c r="M1035" s="214" t="s">
        <v>10169</v>
      </c>
      <c r="P1035" s="120"/>
    </row>
    <row r="1036" spans="1:16">
      <c r="A1036" s="214" t="s">
        <v>1939</v>
      </c>
      <c r="B1036" s="214" t="s">
        <v>1317</v>
      </c>
      <c r="C1036" s="222" t="s">
        <v>1317</v>
      </c>
      <c r="D1036" s="222" t="s">
        <v>1317</v>
      </c>
      <c r="E1036" s="222" t="s">
        <v>5097</v>
      </c>
      <c r="F1036" s="214" t="s">
        <v>5098</v>
      </c>
      <c r="G1036" s="214" t="s">
        <v>1317</v>
      </c>
      <c r="H1036" s="214" t="s">
        <v>5099</v>
      </c>
      <c r="I1036" s="214" t="s">
        <v>5441</v>
      </c>
      <c r="J1036" s="214" t="s">
        <v>5442</v>
      </c>
      <c r="K1036" s="214" t="s">
        <v>9325</v>
      </c>
      <c r="L1036" s="214" t="s">
        <v>24</v>
      </c>
      <c r="M1036" s="214" t="s">
        <v>10142</v>
      </c>
      <c r="P1036" s="120"/>
    </row>
    <row r="1037" spans="1:16">
      <c r="A1037" s="214" t="s">
        <v>1940</v>
      </c>
      <c r="B1037" s="214" t="s">
        <v>1898</v>
      </c>
      <c r="C1037" s="222" t="s">
        <v>1898</v>
      </c>
      <c r="D1037" s="222" t="s">
        <v>1898</v>
      </c>
      <c r="E1037" s="222" t="s">
        <v>6094</v>
      </c>
      <c r="F1037" s="214" t="s">
        <v>6095</v>
      </c>
      <c r="G1037" s="214" t="s">
        <v>1898</v>
      </c>
      <c r="H1037" s="214" t="s">
        <v>6096</v>
      </c>
      <c r="I1037" s="214" t="s">
        <v>6097</v>
      </c>
      <c r="J1037" s="214" t="s">
        <v>6098</v>
      </c>
      <c r="K1037" s="214" t="s">
        <v>9513</v>
      </c>
      <c r="L1037" s="214" t="s">
        <v>24</v>
      </c>
      <c r="M1037" s="214" t="s">
        <v>10170</v>
      </c>
      <c r="P1037" s="120"/>
    </row>
    <row r="1038" spans="1:16">
      <c r="A1038" s="214" t="s">
        <v>1941</v>
      </c>
      <c r="B1038" s="214" t="s">
        <v>1899</v>
      </c>
      <c r="C1038" s="222" t="s">
        <v>1899</v>
      </c>
      <c r="D1038" s="222" t="s">
        <v>1899</v>
      </c>
      <c r="E1038" s="222" t="s">
        <v>6099</v>
      </c>
      <c r="F1038" s="214" t="s">
        <v>6100</v>
      </c>
      <c r="G1038" s="214" t="s">
        <v>1899</v>
      </c>
      <c r="H1038" s="214" t="s">
        <v>6101</v>
      </c>
      <c r="I1038" s="214" t="s">
        <v>6102</v>
      </c>
      <c r="J1038" s="214" t="s">
        <v>6103</v>
      </c>
      <c r="K1038" s="214" t="s">
        <v>9514</v>
      </c>
      <c r="L1038" s="214" t="s">
        <v>24</v>
      </c>
      <c r="M1038" s="214" t="s">
        <v>10171</v>
      </c>
      <c r="P1038" s="120"/>
    </row>
    <row r="1039" spans="1:16">
      <c r="A1039" s="214" t="s">
        <v>1942</v>
      </c>
      <c r="B1039" s="214" t="s">
        <v>1774</v>
      </c>
      <c r="C1039" s="222" t="s">
        <v>1774</v>
      </c>
      <c r="D1039" s="222" t="s">
        <v>1774</v>
      </c>
      <c r="E1039" s="222" t="s">
        <v>6104</v>
      </c>
      <c r="F1039" s="214" t="s">
        <v>5997</v>
      </c>
      <c r="G1039" s="214" t="s">
        <v>1774</v>
      </c>
      <c r="H1039" s="214" t="s">
        <v>6105</v>
      </c>
      <c r="I1039" s="214" t="s">
        <v>5999</v>
      </c>
      <c r="J1039" s="214" t="s">
        <v>6000</v>
      </c>
      <c r="K1039" s="214" t="s">
        <v>9491</v>
      </c>
      <c r="L1039" s="214" t="s">
        <v>24</v>
      </c>
      <c r="M1039" s="214" t="s">
        <v>10172</v>
      </c>
      <c r="P1039" s="120"/>
    </row>
    <row r="1040" spans="1:16">
      <c r="A1040" s="214" t="s">
        <v>1945</v>
      </c>
      <c r="B1040" s="214" t="s">
        <v>1903</v>
      </c>
      <c r="C1040" s="222" t="s">
        <v>1903</v>
      </c>
      <c r="D1040" s="222" t="s">
        <v>1903</v>
      </c>
      <c r="E1040" s="222" t="s">
        <v>6116</v>
      </c>
      <c r="F1040" s="214" t="s">
        <v>6117</v>
      </c>
      <c r="G1040" s="214" t="s">
        <v>1903</v>
      </c>
      <c r="H1040" s="214" t="s">
        <v>6118</v>
      </c>
      <c r="I1040" s="214" t="s">
        <v>6119</v>
      </c>
      <c r="J1040" s="214" t="s">
        <v>6120</v>
      </c>
      <c r="K1040" s="214" t="s">
        <v>9517</v>
      </c>
      <c r="L1040" s="214" t="s">
        <v>24</v>
      </c>
      <c r="M1040" s="214" t="s">
        <v>10175</v>
      </c>
      <c r="P1040" s="120"/>
    </row>
    <row r="1041" spans="1:16">
      <c r="A1041" s="214" t="s">
        <v>1946</v>
      </c>
      <c r="B1041" s="214" t="s">
        <v>1905</v>
      </c>
      <c r="C1041" s="222" t="s">
        <v>1905</v>
      </c>
      <c r="D1041" s="222" t="s">
        <v>1905</v>
      </c>
      <c r="E1041" s="222" t="s">
        <v>6121</v>
      </c>
      <c r="F1041" s="214" t="s">
        <v>6122</v>
      </c>
      <c r="G1041" s="214" t="s">
        <v>1905</v>
      </c>
      <c r="H1041" s="214" t="s">
        <v>6123</v>
      </c>
      <c r="I1041" s="214" t="s">
        <v>6124</v>
      </c>
      <c r="J1041" s="214" t="s">
        <v>6125</v>
      </c>
      <c r="K1041" s="214" t="s">
        <v>9518</v>
      </c>
      <c r="L1041" s="214" t="s">
        <v>24</v>
      </c>
      <c r="M1041" s="214" t="s">
        <v>10176</v>
      </c>
      <c r="P1041" s="120"/>
    </row>
    <row r="1042" spans="1:16">
      <c r="A1042" s="214" t="s">
        <v>1947</v>
      </c>
      <c r="B1042" s="214" t="s">
        <v>1864</v>
      </c>
      <c r="C1042" s="222" t="s">
        <v>1864</v>
      </c>
      <c r="D1042" s="222" t="s">
        <v>1864</v>
      </c>
      <c r="E1042" s="222" t="s">
        <v>6126</v>
      </c>
      <c r="F1042" s="214" t="s">
        <v>6127</v>
      </c>
      <c r="G1042" s="214" t="s">
        <v>1864</v>
      </c>
      <c r="H1042" s="214" t="s">
        <v>6051</v>
      </c>
      <c r="I1042" s="214" t="s">
        <v>6052</v>
      </c>
      <c r="J1042" s="214" t="s">
        <v>6053</v>
      </c>
      <c r="K1042" s="214" t="s">
        <v>9504</v>
      </c>
      <c r="L1042" s="214" t="s">
        <v>24</v>
      </c>
      <c r="M1042" s="214" t="s">
        <v>10177</v>
      </c>
      <c r="P1042" s="120"/>
    </row>
    <row r="1043" spans="1:16">
      <c r="A1043" s="214" t="s">
        <v>1948</v>
      </c>
      <c r="B1043" s="214" t="s">
        <v>1842</v>
      </c>
      <c r="C1043" s="222" t="s">
        <v>1842</v>
      </c>
      <c r="D1043" s="222" t="s">
        <v>1842</v>
      </c>
      <c r="E1043" s="222" t="s">
        <v>5176</v>
      </c>
      <c r="F1043" s="214" t="s">
        <v>5975</v>
      </c>
      <c r="G1043" s="214" t="s">
        <v>1842</v>
      </c>
      <c r="H1043" s="214" t="s">
        <v>5200</v>
      </c>
      <c r="I1043" s="214" t="s">
        <v>5976</v>
      </c>
      <c r="J1043" s="214" t="s">
        <v>5977</v>
      </c>
      <c r="K1043" s="214" t="s">
        <v>9337</v>
      </c>
      <c r="L1043" s="214" t="s">
        <v>24</v>
      </c>
      <c r="M1043" s="214" t="s">
        <v>10144</v>
      </c>
      <c r="P1043" s="120"/>
    </row>
    <row r="1044" spans="1:16">
      <c r="A1044" s="214" t="s">
        <v>1949</v>
      </c>
      <c r="B1044" s="214" t="s">
        <v>1909</v>
      </c>
      <c r="C1044" s="222" t="s">
        <v>1909</v>
      </c>
      <c r="D1044" s="222" t="s">
        <v>1909</v>
      </c>
      <c r="E1044" s="222" t="s">
        <v>6128</v>
      </c>
      <c r="F1044" s="214" t="s">
        <v>6129</v>
      </c>
      <c r="G1044" s="214" t="s">
        <v>1909</v>
      </c>
      <c r="H1044" s="214" t="s">
        <v>6130</v>
      </c>
      <c r="I1044" s="214" t="s">
        <v>6131</v>
      </c>
      <c r="J1044" s="214" t="s">
        <v>6132</v>
      </c>
      <c r="K1044" s="214" t="s">
        <v>9519</v>
      </c>
      <c r="L1044" s="214" t="s">
        <v>24</v>
      </c>
      <c r="M1044" s="214" t="s">
        <v>10178</v>
      </c>
      <c r="P1044" s="120"/>
    </row>
    <row r="1045" spans="1:16">
      <c r="A1045" s="214" t="s">
        <v>1950</v>
      </c>
      <c r="B1045" s="214" t="s">
        <v>1840</v>
      </c>
      <c r="C1045" s="222" t="s">
        <v>1840</v>
      </c>
      <c r="D1045" s="222" t="s">
        <v>1840</v>
      </c>
      <c r="E1045" s="222" t="s">
        <v>5970</v>
      </c>
      <c r="F1045" s="214" t="s">
        <v>5971</v>
      </c>
      <c r="G1045" s="214" t="s">
        <v>1840</v>
      </c>
      <c r="H1045" s="214" t="s">
        <v>5972</v>
      </c>
      <c r="I1045" s="214" t="s">
        <v>5973</v>
      </c>
      <c r="J1045" s="214" t="s">
        <v>5974</v>
      </c>
      <c r="K1045" s="214" t="s">
        <v>9486</v>
      </c>
      <c r="L1045" s="214" t="s">
        <v>24</v>
      </c>
      <c r="M1045" s="214" t="s">
        <v>10159</v>
      </c>
      <c r="P1045" s="120"/>
    </row>
    <row r="1046" spans="1:16">
      <c r="A1046" s="214" t="s">
        <v>1951</v>
      </c>
      <c r="B1046" s="214" t="s">
        <v>1912</v>
      </c>
      <c r="C1046" s="222" t="s">
        <v>1912</v>
      </c>
      <c r="D1046" s="222" t="s">
        <v>1912</v>
      </c>
      <c r="E1046" s="222" t="s">
        <v>6133</v>
      </c>
      <c r="F1046" s="214" t="s">
        <v>6134</v>
      </c>
      <c r="G1046" s="214" t="s">
        <v>1912</v>
      </c>
      <c r="H1046" s="214" t="s">
        <v>6135</v>
      </c>
      <c r="I1046" s="214" t="s">
        <v>6136</v>
      </c>
      <c r="J1046" s="214" t="s">
        <v>6137</v>
      </c>
      <c r="K1046" s="214" t="s">
        <v>9520</v>
      </c>
      <c r="L1046" s="214" t="s">
        <v>24</v>
      </c>
      <c r="M1046" s="214" t="s">
        <v>10179</v>
      </c>
      <c r="P1046" s="120"/>
    </row>
    <row r="1047" spans="1:16">
      <c r="A1047" s="214" t="s">
        <v>1952</v>
      </c>
      <c r="B1047" s="214" t="s">
        <v>1913</v>
      </c>
      <c r="C1047" s="222" t="s">
        <v>1913</v>
      </c>
      <c r="D1047" s="222" t="s">
        <v>1913</v>
      </c>
      <c r="E1047" s="222" t="s">
        <v>6138</v>
      </c>
      <c r="F1047" s="214" t="s">
        <v>6139</v>
      </c>
      <c r="G1047" s="214" t="s">
        <v>1913</v>
      </c>
      <c r="H1047" s="214" t="s">
        <v>6140</v>
      </c>
      <c r="I1047" s="214" t="s">
        <v>6141</v>
      </c>
      <c r="J1047" s="214" t="s">
        <v>6142</v>
      </c>
      <c r="K1047" s="214" t="s">
        <v>9521</v>
      </c>
      <c r="L1047" s="214" t="s">
        <v>24</v>
      </c>
      <c r="M1047" s="214" t="s">
        <v>10180</v>
      </c>
      <c r="P1047" s="120"/>
    </row>
    <row r="1048" spans="1:16">
      <c r="A1048" s="214" t="s">
        <v>1953</v>
      </c>
      <c r="B1048" s="214" t="s">
        <v>1915</v>
      </c>
      <c r="C1048" s="222" t="s">
        <v>1915</v>
      </c>
      <c r="D1048" s="222" t="s">
        <v>1915</v>
      </c>
      <c r="E1048" s="222" t="s">
        <v>6143</v>
      </c>
      <c r="F1048" s="214" t="s">
        <v>6144</v>
      </c>
      <c r="G1048" s="214" t="s">
        <v>1915</v>
      </c>
      <c r="H1048" s="214" t="s">
        <v>6145</v>
      </c>
      <c r="I1048" s="214" t="s">
        <v>6146</v>
      </c>
      <c r="J1048" s="214" t="s">
        <v>6147</v>
      </c>
      <c r="K1048" s="214" t="s">
        <v>9522</v>
      </c>
      <c r="L1048" s="214" t="s">
        <v>24</v>
      </c>
      <c r="M1048" s="214" t="s">
        <v>10181</v>
      </c>
      <c r="P1048" s="120"/>
    </row>
    <row r="1049" spans="1:16">
      <c r="A1049" s="214" t="s">
        <v>1954</v>
      </c>
      <c r="B1049" s="214" t="s">
        <v>1916</v>
      </c>
      <c r="C1049" s="222" t="s">
        <v>1916</v>
      </c>
      <c r="D1049" s="222" t="s">
        <v>1916</v>
      </c>
      <c r="E1049" s="222" t="s">
        <v>6148</v>
      </c>
      <c r="F1049" s="214" t="s">
        <v>6149</v>
      </c>
      <c r="G1049" s="214" t="s">
        <v>1916</v>
      </c>
      <c r="H1049" s="214" t="s">
        <v>6150</v>
      </c>
      <c r="I1049" s="214" t="s">
        <v>6151</v>
      </c>
      <c r="J1049" s="214" t="s">
        <v>6152</v>
      </c>
      <c r="K1049" s="214" t="s">
        <v>9523</v>
      </c>
      <c r="L1049" s="214" t="s">
        <v>24</v>
      </c>
      <c r="M1049" s="214" t="s">
        <v>10182</v>
      </c>
      <c r="P1049" s="120"/>
    </row>
    <row r="1050" spans="1:16">
      <c r="A1050" s="214" t="s">
        <v>1955</v>
      </c>
      <c r="B1050" s="214" t="s">
        <v>1856</v>
      </c>
      <c r="C1050" s="222" t="s">
        <v>1856</v>
      </c>
      <c r="D1050" s="222" t="s">
        <v>1856</v>
      </c>
      <c r="E1050" s="222" t="s">
        <v>6153</v>
      </c>
      <c r="F1050" s="214" t="s">
        <v>6154</v>
      </c>
      <c r="G1050" s="214" t="s">
        <v>1856</v>
      </c>
      <c r="H1050" s="214" t="s">
        <v>6155</v>
      </c>
      <c r="I1050" s="214" t="s">
        <v>6027</v>
      </c>
      <c r="J1050" s="214" t="s">
        <v>6156</v>
      </c>
      <c r="K1050" s="214" t="s">
        <v>9524</v>
      </c>
      <c r="L1050" s="214" t="s">
        <v>24</v>
      </c>
      <c r="M1050" s="214" t="s">
        <v>10183</v>
      </c>
      <c r="P1050" s="120"/>
    </row>
    <row r="1051" spans="1:16">
      <c r="A1051" s="214" t="s">
        <v>1956</v>
      </c>
      <c r="B1051" s="214" t="s">
        <v>1918</v>
      </c>
      <c r="C1051" s="222" t="s">
        <v>1918</v>
      </c>
      <c r="D1051" s="222" t="s">
        <v>1918</v>
      </c>
      <c r="E1051" s="222" t="s">
        <v>6157</v>
      </c>
      <c r="F1051" s="214" t="s">
        <v>6158</v>
      </c>
      <c r="G1051" s="214" t="s">
        <v>1918</v>
      </c>
      <c r="H1051" s="214" t="s">
        <v>6159</v>
      </c>
      <c r="I1051" s="214" t="s">
        <v>6160</v>
      </c>
      <c r="J1051" s="214" t="s">
        <v>6161</v>
      </c>
      <c r="K1051" s="214" t="s">
        <v>9525</v>
      </c>
      <c r="L1051" s="214" t="s">
        <v>24</v>
      </c>
      <c r="M1051" s="214" t="s">
        <v>10184</v>
      </c>
      <c r="P1051" s="120"/>
    </row>
    <row r="1052" spans="1:16">
      <c r="A1052" s="214" t="s">
        <v>1957</v>
      </c>
      <c r="B1052" s="214" t="s">
        <v>1866</v>
      </c>
      <c r="C1052" s="222" t="s">
        <v>1866</v>
      </c>
      <c r="D1052" s="222" t="s">
        <v>1866</v>
      </c>
      <c r="E1052" s="222" t="s">
        <v>5991</v>
      </c>
      <c r="F1052" s="214" t="s">
        <v>6162</v>
      </c>
      <c r="G1052" s="214" t="s">
        <v>1866</v>
      </c>
      <c r="H1052" s="214" t="s">
        <v>6163</v>
      </c>
      <c r="I1052" s="214" t="s">
        <v>5994</v>
      </c>
      <c r="J1052" s="214" t="s">
        <v>5995</v>
      </c>
      <c r="K1052" s="214" t="s">
        <v>9490</v>
      </c>
      <c r="L1052" s="214" t="s">
        <v>24</v>
      </c>
      <c r="M1052" s="214" t="s">
        <v>10148</v>
      </c>
      <c r="P1052" s="120"/>
    </row>
    <row r="1053" spans="1:16">
      <c r="A1053" s="214" t="s">
        <v>1958</v>
      </c>
      <c r="B1053" s="214" t="s">
        <v>1919</v>
      </c>
      <c r="C1053" s="222" t="s">
        <v>1919</v>
      </c>
      <c r="D1053" s="222" t="s">
        <v>1919</v>
      </c>
      <c r="E1053" s="222" t="s">
        <v>6164</v>
      </c>
      <c r="F1053" s="214" t="s">
        <v>6165</v>
      </c>
      <c r="G1053" s="214" t="s">
        <v>1919</v>
      </c>
      <c r="H1053" s="214" t="s">
        <v>6166</v>
      </c>
      <c r="I1053" s="214" t="s">
        <v>6167</v>
      </c>
      <c r="J1053" s="214" t="s">
        <v>6168</v>
      </c>
      <c r="K1053" s="214" t="s">
        <v>9526</v>
      </c>
      <c r="L1053" s="214" t="s">
        <v>24</v>
      </c>
      <c r="M1053" s="214" t="s">
        <v>10185</v>
      </c>
      <c r="P1053" s="120"/>
    </row>
    <row r="1054" spans="1:16">
      <c r="A1054" s="214" t="s">
        <v>1959</v>
      </c>
      <c r="B1054" s="214" t="s">
        <v>1920</v>
      </c>
      <c r="C1054" s="222" t="s">
        <v>1920</v>
      </c>
      <c r="D1054" s="222" t="s">
        <v>1920</v>
      </c>
      <c r="E1054" s="222" t="s">
        <v>6169</v>
      </c>
      <c r="F1054" s="214" t="s">
        <v>6170</v>
      </c>
      <c r="G1054" s="214" t="s">
        <v>1920</v>
      </c>
      <c r="H1054" s="214" t="s">
        <v>6171</v>
      </c>
      <c r="I1054" s="214" t="s">
        <v>6172</v>
      </c>
      <c r="J1054" s="214" t="s">
        <v>6173</v>
      </c>
      <c r="K1054" s="214" t="s">
        <v>9527</v>
      </c>
      <c r="L1054" s="214" t="s">
        <v>24</v>
      </c>
      <c r="M1054" s="214" t="s">
        <v>10186</v>
      </c>
      <c r="P1054" s="120"/>
    </row>
    <row r="1055" spans="1:16">
      <c r="A1055" s="215" t="s">
        <v>1960</v>
      </c>
      <c r="B1055" s="214" t="s">
        <v>1921</v>
      </c>
      <c r="C1055" s="222" t="s">
        <v>1921</v>
      </c>
      <c r="D1055" s="222" t="s">
        <v>1921</v>
      </c>
      <c r="E1055" s="222" t="s">
        <v>6174</v>
      </c>
      <c r="F1055" s="214" t="s">
        <v>6175</v>
      </c>
      <c r="G1055" s="214" t="s">
        <v>1921</v>
      </c>
      <c r="H1055" s="214" t="s">
        <v>6176</v>
      </c>
      <c r="I1055" s="214" t="s">
        <v>6177</v>
      </c>
      <c r="J1055" s="214" t="s">
        <v>6178</v>
      </c>
      <c r="K1055" s="214" t="s">
        <v>9528</v>
      </c>
      <c r="L1055" s="214" t="s">
        <v>24</v>
      </c>
      <c r="M1055" s="214" t="s">
        <v>10187</v>
      </c>
      <c r="P1055" s="120"/>
    </row>
    <row r="1056" spans="1:16">
      <c r="A1056" s="215" t="s">
        <v>1961</v>
      </c>
      <c r="B1056" s="214" t="s">
        <v>1922</v>
      </c>
      <c r="C1056" s="222" t="s">
        <v>1922</v>
      </c>
      <c r="D1056" s="222" t="s">
        <v>1922</v>
      </c>
      <c r="E1056" s="222" t="s">
        <v>6179</v>
      </c>
      <c r="F1056" s="214" t="s">
        <v>6180</v>
      </c>
      <c r="G1056" s="214" t="s">
        <v>1922</v>
      </c>
      <c r="H1056" s="214" t="s">
        <v>6181</v>
      </c>
      <c r="I1056" s="214" t="s">
        <v>6182</v>
      </c>
      <c r="J1056" s="214" t="s">
        <v>6183</v>
      </c>
      <c r="K1056" s="214" t="s">
        <v>9529</v>
      </c>
      <c r="L1056" s="214" t="s">
        <v>24</v>
      </c>
      <c r="M1056" s="214" t="s">
        <v>10188</v>
      </c>
      <c r="P1056" s="120"/>
    </row>
    <row r="1057" spans="1:16">
      <c r="A1057" s="214" t="s">
        <v>1962</v>
      </c>
      <c r="B1057" s="214" t="s">
        <v>1923</v>
      </c>
      <c r="C1057" s="222" t="s">
        <v>1923</v>
      </c>
      <c r="D1057" s="222" t="s">
        <v>1923</v>
      </c>
      <c r="E1057" s="222" t="s">
        <v>6184</v>
      </c>
      <c r="F1057" s="214" t="s">
        <v>6185</v>
      </c>
      <c r="G1057" s="214" t="s">
        <v>1923</v>
      </c>
      <c r="H1057" s="214" t="s">
        <v>6186</v>
      </c>
      <c r="I1057" s="214" t="s">
        <v>6187</v>
      </c>
      <c r="J1057" s="214" t="s">
        <v>6188</v>
      </c>
      <c r="K1057" s="214" t="s">
        <v>9530</v>
      </c>
      <c r="L1057" s="214" t="s">
        <v>24</v>
      </c>
      <c r="M1057" s="214" t="s">
        <v>10189</v>
      </c>
      <c r="P1057" s="120"/>
    </row>
    <row r="1058" spans="1:16">
      <c r="A1058" s="214" t="s">
        <v>1963</v>
      </c>
      <c r="B1058" s="214" t="s">
        <v>1924</v>
      </c>
      <c r="C1058" s="222" t="s">
        <v>1924</v>
      </c>
      <c r="D1058" s="222" t="s">
        <v>1924</v>
      </c>
      <c r="E1058" s="222" t="s">
        <v>6189</v>
      </c>
      <c r="F1058" s="214" t="s">
        <v>6190</v>
      </c>
      <c r="G1058" s="214" t="s">
        <v>1924</v>
      </c>
      <c r="H1058" s="214" t="s">
        <v>6191</v>
      </c>
      <c r="I1058" s="214" t="s">
        <v>6192</v>
      </c>
      <c r="J1058" s="214" t="s">
        <v>6193</v>
      </c>
      <c r="K1058" s="214" t="s">
        <v>9531</v>
      </c>
      <c r="L1058" s="214" t="s">
        <v>24</v>
      </c>
      <c r="M1058" s="214" t="s">
        <v>10190</v>
      </c>
      <c r="P1058" s="120"/>
    </row>
    <row r="1059" spans="1:16">
      <c r="A1059" s="214" t="s">
        <v>1964</v>
      </c>
      <c r="B1059" s="214" t="s">
        <v>1926</v>
      </c>
      <c r="C1059" s="222" t="s">
        <v>1926</v>
      </c>
      <c r="D1059" s="222" t="s">
        <v>1926</v>
      </c>
      <c r="E1059" s="222" t="s">
        <v>5170</v>
      </c>
      <c r="F1059" s="214" t="s">
        <v>6194</v>
      </c>
      <c r="G1059" s="214" t="s">
        <v>1926</v>
      </c>
      <c r="H1059" s="214" t="s">
        <v>6195</v>
      </c>
      <c r="I1059" s="214" t="s">
        <v>6196</v>
      </c>
      <c r="J1059" s="214" t="s">
        <v>6197</v>
      </c>
      <c r="K1059" s="214" t="s">
        <v>9532</v>
      </c>
      <c r="L1059" s="214" t="s">
        <v>24</v>
      </c>
      <c r="M1059" s="214" t="s">
        <v>10191</v>
      </c>
      <c r="P1059" s="120"/>
    </row>
    <row r="1060" spans="1:16">
      <c r="A1060" s="214" t="s">
        <v>1965</v>
      </c>
      <c r="B1060" s="214" t="s">
        <v>1928</v>
      </c>
      <c r="C1060" s="222" t="s">
        <v>1928</v>
      </c>
      <c r="D1060" s="222" t="s">
        <v>1928</v>
      </c>
      <c r="E1060" s="222" t="s">
        <v>6198</v>
      </c>
      <c r="F1060" s="214" t="s">
        <v>6199</v>
      </c>
      <c r="G1060" s="214" t="s">
        <v>1928</v>
      </c>
      <c r="H1060" s="214" t="s">
        <v>6200</v>
      </c>
      <c r="I1060" s="214" t="s">
        <v>6201</v>
      </c>
      <c r="J1060" s="214" t="s">
        <v>6202</v>
      </c>
      <c r="K1060" s="214" t="s">
        <v>9533</v>
      </c>
      <c r="L1060" s="214" t="s">
        <v>24</v>
      </c>
      <c r="M1060" s="214" t="s">
        <v>10192</v>
      </c>
      <c r="P1060" s="120"/>
    </row>
    <row r="1061" spans="1:16">
      <c r="A1061" s="214" t="s">
        <v>1966</v>
      </c>
      <c r="B1061" s="221" t="s">
        <v>1929</v>
      </c>
      <c r="C1061" s="229" t="s">
        <v>1929</v>
      </c>
      <c r="D1061" s="229" t="s">
        <v>1929</v>
      </c>
      <c r="E1061" s="229" t="s">
        <v>6203</v>
      </c>
      <c r="F1061" s="221" t="s">
        <v>6204</v>
      </c>
      <c r="G1061" s="221" t="s">
        <v>1929</v>
      </c>
      <c r="H1061" s="214" t="s">
        <v>6205</v>
      </c>
      <c r="I1061" s="221" t="s">
        <v>6206</v>
      </c>
      <c r="J1061" s="214" t="s">
        <v>6207</v>
      </c>
      <c r="K1061" s="214" t="s">
        <v>9534</v>
      </c>
      <c r="L1061" s="214" t="s">
        <v>24</v>
      </c>
      <c r="M1061" s="214" t="s">
        <v>10193</v>
      </c>
      <c r="P1061" s="120"/>
    </row>
    <row r="1062" spans="1:16">
      <c r="A1062" s="214" t="s">
        <v>1967</v>
      </c>
      <c r="B1062" s="214" t="s">
        <v>1931</v>
      </c>
      <c r="C1062" s="222" t="s">
        <v>1931</v>
      </c>
      <c r="D1062" s="222" t="s">
        <v>1931</v>
      </c>
      <c r="E1062" s="222" t="s">
        <v>6208</v>
      </c>
      <c r="F1062" s="214" t="s">
        <v>6209</v>
      </c>
      <c r="G1062" s="214" t="s">
        <v>1931</v>
      </c>
      <c r="H1062" s="214" t="s">
        <v>6210</v>
      </c>
      <c r="I1062" s="214" t="s">
        <v>6211</v>
      </c>
      <c r="J1062" s="214" t="s">
        <v>6212</v>
      </c>
      <c r="K1062" s="214" t="s">
        <v>9535</v>
      </c>
      <c r="L1062" s="214" t="s">
        <v>24</v>
      </c>
      <c r="M1062" s="214" t="s">
        <v>10194</v>
      </c>
      <c r="P1062" s="120"/>
    </row>
    <row r="1063" spans="1:16">
      <c r="A1063" s="214" t="s">
        <v>2416</v>
      </c>
      <c r="B1063" s="214" t="s">
        <v>2630</v>
      </c>
      <c r="C1063" s="222" t="s">
        <v>2630</v>
      </c>
      <c r="D1063" s="222" t="s">
        <v>2630</v>
      </c>
      <c r="E1063" s="222" t="s">
        <v>6213</v>
      </c>
      <c r="F1063" s="214" t="s">
        <v>6214</v>
      </c>
      <c r="G1063" s="214" t="s">
        <v>2630</v>
      </c>
      <c r="H1063" s="222" t="s">
        <v>6215</v>
      </c>
      <c r="I1063" s="214" t="s">
        <v>6216</v>
      </c>
      <c r="J1063" s="214" t="s">
        <v>6217</v>
      </c>
      <c r="K1063" s="214" t="s">
        <v>9536</v>
      </c>
      <c r="L1063" s="214" t="s">
        <v>24</v>
      </c>
      <c r="M1063" s="214" t="s">
        <v>10195</v>
      </c>
      <c r="P1063" s="120"/>
    </row>
    <row r="1064" spans="1:16">
      <c r="A1064" s="214" t="s">
        <v>2417</v>
      </c>
      <c r="B1064" s="214" t="s">
        <v>2631</v>
      </c>
      <c r="C1064" s="222" t="s">
        <v>2631</v>
      </c>
      <c r="D1064" s="222" t="s">
        <v>2631</v>
      </c>
      <c r="E1064" s="222" t="s">
        <v>6218</v>
      </c>
      <c r="F1064" s="214" t="s">
        <v>6219</v>
      </c>
      <c r="G1064" s="214" t="s">
        <v>2631</v>
      </c>
      <c r="H1064" s="222" t="s">
        <v>6220</v>
      </c>
      <c r="I1064" s="214" t="s">
        <v>6221</v>
      </c>
      <c r="J1064" s="214" t="s">
        <v>6222</v>
      </c>
      <c r="K1064" s="223" t="s">
        <v>9537</v>
      </c>
      <c r="L1064" s="214" t="s">
        <v>24</v>
      </c>
      <c r="M1064" s="214" t="s">
        <v>10196</v>
      </c>
      <c r="P1064" s="120"/>
    </row>
    <row r="1065" spans="1:16">
      <c r="A1065" s="214" t="s">
        <v>2418</v>
      </c>
      <c r="B1065" s="214" t="s">
        <v>2632</v>
      </c>
      <c r="C1065" s="222" t="s">
        <v>2632</v>
      </c>
      <c r="D1065" s="222" t="s">
        <v>2632</v>
      </c>
      <c r="E1065" s="222" t="s">
        <v>6223</v>
      </c>
      <c r="F1065" s="214" t="s">
        <v>6224</v>
      </c>
      <c r="G1065" s="214" t="s">
        <v>2632</v>
      </c>
      <c r="H1065" s="222" t="s">
        <v>6223</v>
      </c>
      <c r="I1065" s="214" t="s">
        <v>6225</v>
      </c>
      <c r="J1065" s="214" t="s">
        <v>6226</v>
      </c>
      <c r="K1065" s="214" t="s">
        <v>9538</v>
      </c>
      <c r="L1065" s="214"/>
      <c r="M1065" s="214" t="s">
        <v>10197</v>
      </c>
      <c r="P1065" s="120"/>
    </row>
    <row r="1066" spans="1:16">
      <c r="A1066" s="214" t="s">
        <v>2419</v>
      </c>
      <c r="B1066" s="214" t="s">
        <v>2633</v>
      </c>
      <c r="C1066" s="222" t="s">
        <v>2633</v>
      </c>
      <c r="D1066" s="222" t="s">
        <v>2633</v>
      </c>
      <c r="E1066" s="222" t="s">
        <v>6227</v>
      </c>
      <c r="F1066" s="214" t="s">
        <v>6228</v>
      </c>
      <c r="G1066" s="214" t="s">
        <v>2633</v>
      </c>
      <c r="H1066" s="222" t="s">
        <v>6229</v>
      </c>
      <c r="I1066" s="214" t="s">
        <v>6230</v>
      </c>
      <c r="J1066" s="214" t="s">
        <v>6231</v>
      </c>
      <c r="K1066" s="214" t="s">
        <v>9539</v>
      </c>
      <c r="L1066" s="214"/>
      <c r="M1066" s="214" t="s">
        <v>10198</v>
      </c>
      <c r="P1066" s="120"/>
    </row>
    <row r="1067" spans="1:16">
      <c r="A1067" s="214" t="s">
        <v>2420</v>
      </c>
      <c r="B1067" s="214" t="s">
        <v>2634</v>
      </c>
      <c r="C1067" s="222" t="s">
        <v>2634</v>
      </c>
      <c r="D1067" s="222" t="s">
        <v>2634</v>
      </c>
      <c r="E1067" s="222" t="s">
        <v>6232</v>
      </c>
      <c r="F1067" s="214" t="s">
        <v>6233</v>
      </c>
      <c r="G1067" s="214" t="s">
        <v>2634</v>
      </c>
      <c r="H1067" s="222" t="s">
        <v>6234</v>
      </c>
      <c r="I1067" s="214" t="s">
        <v>6235</v>
      </c>
      <c r="J1067" s="214" t="s">
        <v>6236</v>
      </c>
      <c r="K1067" s="214" t="s">
        <v>9540</v>
      </c>
      <c r="L1067" s="214"/>
      <c r="M1067" s="214" t="s">
        <v>10199</v>
      </c>
      <c r="P1067" s="120"/>
    </row>
    <row r="1068" spans="1:16">
      <c r="A1068" s="214" t="s">
        <v>2421</v>
      </c>
      <c r="B1068" s="214" t="s">
        <v>2635</v>
      </c>
      <c r="C1068" s="222" t="s">
        <v>2635</v>
      </c>
      <c r="D1068" s="222" t="s">
        <v>2635</v>
      </c>
      <c r="E1068" s="222" t="s">
        <v>6237</v>
      </c>
      <c r="F1068" s="214" t="s">
        <v>6238</v>
      </c>
      <c r="G1068" s="214" t="s">
        <v>2635</v>
      </c>
      <c r="H1068" s="222" t="s">
        <v>6239</v>
      </c>
      <c r="I1068" s="214" t="s">
        <v>6240</v>
      </c>
      <c r="J1068" s="214" t="s">
        <v>6241</v>
      </c>
      <c r="K1068" s="214" t="s">
        <v>9541</v>
      </c>
      <c r="L1068" s="214"/>
      <c r="M1068" s="214" t="s">
        <v>10200</v>
      </c>
      <c r="P1068" s="120"/>
    </row>
    <row r="1069" spans="1:16">
      <c r="A1069" s="214" t="s">
        <v>1968</v>
      </c>
      <c r="B1069" s="214" t="s">
        <v>1970</v>
      </c>
      <c r="C1069" s="222" t="s">
        <v>1970</v>
      </c>
      <c r="D1069" s="222" t="s">
        <v>1970</v>
      </c>
      <c r="E1069" s="222" t="s">
        <v>6242</v>
      </c>
      <c r="F1069" s="214" t="s">
        <v>6243</v>
      </c>
      <c r="G1069" s="214" t="s">
        <v>1970</v>
      </c>
      <c r="H1069" s="222" t="s">
        <v>6244</v>
      </c>
      <c r="I1069" s="214" t="s">
        <v>6245</v>
      </c>
      <c r="J1069" s="214" t="s">
        <v>6246</v>
      </c>
      <c r="K1069" s="214" t="s">
        <v>9542</v>
      </c>
      <c r="L1069" s="214"/>
      <c r="M1069" s="214"/>
      <c r="P1069" s="120"/>
    </row>
    <row r="1070" spans="1:16">
      <c r="A1070" s="214" t="s">
        <v>1980</v>
      </c>
      <c r="B1070" s="214" t="s">
        <v>1981</v>
      </c>
      <c r="C1070" s="222" t="s">
        <v>1981</v>
      </c>
      <c r="D1070" s="222" t="s">
        <v>1981</v>
      </c>
      <c r="E1070" s="222" t="s">
        <v>6252</v>
      </c>
      <c r="F1070" s="214" t="s">
        <v>6253</v>
      </c>
      <c r="G1070" s="214" t="s">
        <v>1981</v>
      </c>
      <c r="H1070" s="222" t="s">
        <v>6254</v>
      </c>
      <c r="I1070" s="214" t="s">
        <v>6255</v>
      </c>
      <c r="J1070" s="214" t="s">
        <v>6256</v>
      </c>
      <c r="K1070" s="214" t="s">
        <v>9544</v>
      </c>
      <c r="L1070" s="214"/>
      <c r="M1070" s="214" t="s">
        <v>10202</v>
      </c>
      <c r="P1070" s="120"/>
    </row>
    <row r="1071" spans="1:16">
      <c r="A1071" s="214" t="s">
        <v>1982</v>
      </c>
      <c r="B1071" s="214" t="s">
        <v>1984</v>
      </c>
      <c r="C1071" s="222" t="s">
        <v>1984</v>
      </c>
      <c r="D1071" s="222" t="s">
        <v>1984</v>
      </c>
      <c r="E1071" s="222" t="s">
        <v>6257</v>
      </c>
      <c r="F1071" s="214" t="s">
        <v>6258</v>
      </c>
      <c r="G1071" s="214" t="s">
        <v>1984</v>
      </c>
      <c r="H1071" s="222" t="s">
        <v>6259</v>
      </c>
      <c r="I1071" s="214" t="s">
        <v>6260</v>
      </c>
      <c r="J1071" s="214" t="s">
        <v>6261</v>
      </c>
      <c r="K1071" s="214" t="s">
        <v>9545</v>
      </c>
      <c r="L1071" s="214"/>
      <c r="M1071" s="214" t="s">
        <v>10203</v>
      </c>
      <c r="P1071" s="120"/>
    </row>
    <row r="1072" spans="1:16">
      <c r="A1072" s="214" t="s">
        <v>1985</v>
      </c>
      <c r="B1072" s="214" t="s">
        <v>1973</v>
      </c>
      <c r="C1072" s="222" t="s">
        <v>1973</v>
      </c>
      <c r="D1072" s="222" t="s">
        <v>1973</v>
      </c>
      <c r="E1072" s="222" t="s">
        <v>5176</v>
      </c>
      <c r="F1072" s="214" t="s">
        <v>6262</v>
      </c>
      <c r="G1072" s="214" t="s">
        <v>1973</v>
      </c>
      <c r="H1072" s="222" t="s">
        <v>5200</v>
      </c>
      <c r="I1072" s="214" t="s">
        <v>6263</v>
      </c>
      <c r="J1072" s="214" t="s">
        <v>5977</v>
      </c>
      <c r="K1072" s="214" t="s">
        <v>9337</v>
      </c>
      <c r="L1072" s="214"/>
      <c r="M1072" s="214" t="s">
        <v>10144</v>
      </c>
      <c r="P1072" s="120"/>
    </row>
    <row r="1073" spans="1:16">
      <c r="A1073" s="214" t="s">
        <v>1986</v>
      </c>
      <c r="B1073" s="214" t="s">
        <v>1840</v>
      </c>
      <c r="C1073" s="222" t="s">
        <v>1840</v>
      </c>
      <c r="D1073" s="222" t="s">
        <v>1840</v>
      </c>
      <c r="E1073" s="222" t="s">
        <v>5970</v>
      </c>
      <c r="F1073" s="214" t="s">
        <v>5971</v>
      </c>
      <c r="G1073" s="214" t="s">
        <v>1840</v>
      </c>
      <c r="H1073" s="222" t="s">
        <v>5972</v>
      </c>
      <c r="I1073" s="214" t="s">
        <v>5973</v>
      </c>
      <c r="J1073" s="214" t="s">
        <v>5974</v>
      </c>
      <c r="K1073" s="214" t="s">
        <v>9486</v>
      </c>
      <c r="L1073" s="214"/>
      <c r="M1073" s="214" t="s">
        <v>10159</v>
      </c>
      <c r="P1073" s="120"/>
    </row>
    <row r="1074" spans="1:16">
      <c r="A1074" s="214" t="s">
        <v>1987</v>
      </c>
      <c r="B1074" s="214" t="s">
        <v>1903</v>
      </c>
      <c r="C1074" s="222" t="s">
        <v>1903</v>
      </c>
      <c r="D1074" s="222" t="s">
        <v>1903</v>
      </c>
      <c r="E1074" s="222" t="s">
        <v>6116</v>
      </c>
      <c r="F1074" s="214" t="s">
        <v>6117</v>
      </c>
      <c r="G1074" s="214" t="s">
        <v>1903</v>
      </c>
      <c r="H1074" s="222" t="s">
        <v>6264</v>
      </c>
      <c r="I1074" s="214" t="s">
        <v>6119</v>
      </c>
      <c r="J1074" s="214" t="s">
        <v>6120</v>
      </c>
      <c r="K1074" s="214" t="s">
        <v>9517</v>
      </c>
      <c r="L1074" s="214"/>
      <c r="M1074" s="214" t="s">
        <v>10204</v>
      </c>
      <c r="P1074" s="120"/>
    </row>
    <row r="1075" spans="1:16">
      <c r="A1075" s="214" t="s">
        <v>1988</v>
      </c>
      <c r="B1075" s="214" t="s">
        <v>1356</v>
      </c>
      <c r="C1075" s="222" t="s">
        <v>1356</v>
      </c>
      <c r="D1075" s="222" t="s">
        <v>1356</v>
      </c>
      <c r="E1075" s="222" t="s">
        <v>6265</v>
      </c>
      <c r="F1075" s="214" t="s">
        <v>6266</v>
      </c>
      <c r="G1075" s="214" t="s">
        <v>1356</v>
      </c>
      <c r="H1075" s="222" t="s">
        <v>6267</v>
      </c>
      <c r="I1075" s="214" t="s">
        <v>6268</v>
      </c>
      <c r="J1075" s="214" t="s">
        <v>6269</v>
      </c>
      <c r="K1075" s="214" t="s">
        <v>9546</v>
      </c>
      <c r="L1075" s="214"/>
      <c r="M1075" s="214" t="s">
        <v>10205</v>
      </c>
      <c r="P1075" s="120"/>
    </row>
    <row r="1076" spans="1:16">
      <c r="A1076" s="214" t="s">
        <v>1989</v>
      </c>
      <c r="B1076" s="214" t="s">
        <v>1976</v>
      </c>
      <c r="C1076" s="222" t="s">
        <v>1976</v>
      </c>
      <c r="D1076" s="222" t="s">
        <v>1976</v>
      </c>
      <c r="E1076" s="222" t="s">
        <v>6270</v>
      </c>
      <c r="F1076" s="214" t="s">
        <v>6271</v>
      </c>
      <c r="G1076" s="214" t="s">
        <v>1976</v>
      </c>
      <c r="H1076" s="222" t="s">
        <v>6272</v>
      </c>
      <c r="I1076" s="214" t="s">
        <v>6273</v>
      </c>
      <c r="J1076" s="214" t="s">
        <v>6274</v>
      </c>
      <c r="K1076" s="214" t="s">
        <v>9547</v>
      </c>
      <c r="L1076" s="214"/>
      <c r="M1076" s="214" t="s">
        <v>10206</v>
      </c>
      <c r="P1076" s="120"/>
    </row>
    <row r="1077" spans="1:16">
      <c r="A1077" s="214" t="s">
        <v>1990</v>
      </c>
      <c r="B1077" s="214" t="s">
        <v>1977</v>
      </c>
      <c r="C1077" s="222" t="s">
        <v>1977</v>
      </c>
      <c r="D1077" s="222" t="s">
        <v>1977</v>
      </c>
      <c r="E1077" s="222" t="s">
        <v>6275</v>
      </c>
      <c r="F1077" s="214" t="s">
        <v>6276</v>
      </c>
      <c r="G1077" s="214" t="s">
        <v>1977</v>
      </c>
      <c r="H1077" s="222" t="s">
        <v>6277</v>
      </c>
      <c r="I1077" s="214" t="s">
        <v>6278</v>
      </c>
      <c r="J1077" s="214" t="s">
        <v>6279</v>
      </c>
      <c r="K1077" s="214" t="s">
        <v>9548</v>
      </c>
      <c r="L1077" s="214"/>
      <c r="M1077" s="214" t="s">
        <v>10207</v>
      </c>
      <c r="P1077" s="120"/>
    </row>
    <row r="1078" spans="1:16">
      <c r="A1078" s="214" t="s">
        <v>2422</v>
      </c>
      <c r="B1078" s="214" t="s">
        <v>2636</v>
      </c>
      <c r="C1078" s="222" t="s">
        <v>2636</v>
      </c>
      <c r="D1078" s="222" t="s">
        <v>2636</v>
      </c>
      <c r="E1078" s="222" t="s">
        <v>6280</v>
      </c>
      <c r="F1078" s="214" t="s">
        <v>6281</v>
      </c>
      <c r="G1078" s="214" t="s">
        <v>2636</v>
      </c>
      <c r="H1078" s="222" t="s">
        <v>6282</v>
      </c>
      <c r="I1078" s="214" t="s">
        <v>6283</v>
      </c>
      <c r="J1078" s="214" t="s">
        <v>6284</v>
      </c>
      <c r="K1078" s="214" t="s">
        <v>9549</v>
      </c>
      <c r="L1078" s="214"/>
      <c r="M1078" s="214" t="s">
        <v>10208</v>
      </c>
      <c r="P1078" s="120"/>
    </row>
    <row r="1079" spans="1:16">
      <c r="A1079" s="214" t="s">
        <v>1991</v>
      </c>
      <c r="B1079" s="214" t="s">
        <v>1978</v>
      </c>
      <c r="C1079" s="222" t="s">
        <v>1978</v>
      </c>
      <c r="D1079" s="222"/>
      <c r="E1079" s="222" t="s">
        <v>6285</v>
      </c>
      <c r="F1079" s="214" t="s">
        <v>6286</v>
      </c>
      <c r="G1079" s="214" t="s">
        <v>1978</v>
      </c>
      <c r="H1079" s="222" t="s">
        <v>6287</v>
      </c>
      <c r="I1079" s="214" t="s">
        <v>6288</v>
      </c>
      <c r="J1079" s="214" t="s">
        <v>6289</v>
      </c>
      <c r="K1079" s="214" t="s">
        <v>9550</v>
      </c>
      <c r="L1079" s="214"/>
      <c r="M1079" s="214"/>
      <c r="P1079" s="120"/>
    </row>
    <row r="1080" spans="1:16">
      <c r="A1080" s="214" t="s">
        <v>2423</v>
      </c>
      <c r="B1080" s="214" t="s">
        <v>2637</v>
      </c>
      <c r="C1080" s="222" t="s">
        <v>2637</v>
      </c>
      <c r="D1080" s="222" t="s">
        <v>2637</v>
      </c>
      <c r="E1080" s="222" t="s">
        <v>6290</v>
      </c>
      <c r="F1080" s="214" t="s">
        <v>6291</v>
      </c>
      <c r="G1080" s="214" t="s">
        <v>2637</v>
      </c>
      <c r="H1080" s="222" t="s">
        <v>6292</v>
      </c>
      <c r="I1080" s="214" t="s">
        <v>6293</v>
      </c>
      <c r="J1080" s="214" t="s">
        <v>6294</v>
      </c>
      <c r="K1080" s="214" t="s">
        <v>9551</v>
      </c>
      <c r="L1080" s="214"/>
      <c r="M1080" s="214"/>
      <c r="P1080" s="120"/>
    </row>
    <row r="1081" spans="1:16">
      <c r="A1081" s="214" t="s">
        <v>2009</v>
      </c>
      <c r="B1081" s="214" t="s">
        <v>1995</v>
      </c>
      <c r="C1081" s="222" t="s">
        <v>1995</v>
      </c>
      <c r="D1081" s="222" t="s">
        <v>1995</v>
      </c>
      <c r="E1081" s="222" t="s">
        <v>6295</v>
      </c>
      <c r="F1081" s="214" t="s">
        <v>6296</v>
      </c>
      <c r="G1081" s="214" t="s">
        <v>1995</v>
      </c>
      <c r="H1081" s="222" t="s">
        <v>6297</v>
      </c>
      <c r="I1081" s="214" t="s">
        <v>6298</v>
      </c>
      <c r="J1081" s="214" t="s">
        <v>6299</v>
      </c>
      <c r="K1081" s="214" t="s">
        <v>9552</v>
      </c>
      <c r="L1081" s="214"/>
      <c r="M1081" s="214" t="s">
        <v>10209</v>
      </c>
      <c r="P1081" s="120"/>
    </row>
    <row r="1082" spans="1:16">
      <c r="A1082" s="214" t="s">
        <v>2010</v>
      </c>
      <c r="B1082" s="214" t="s">
        <v>1997</v>
      </c>
      <c r="C1082" s="222" t="s">
        <v>1997</v>
      </c>
      <c r="D1082" s="222"/>
      <c r="E1082" s="222" t="s">
        <v>6300</v>
      </c>
      <c r="F1082" s="214" t="s">
        <v>6301</v>
      </c>
      <c r="G1082" s="214" t="s">
        <v>1997</v>
      </c>
      <c r="H1082" s="222" t="s">
        <v>6302</v>
      </c>
      <c r="I1082" s="214" t="s">
        <v>6303</v>
      </c>
      <c r="J1082" s="214" t="s">
        <v>6304</v>
      </c>
      <c r="K1082" s="214" t="s">
        <v>9553</v>
      </c>
      <c r="L1082" s="214"/>
      <c r="M1082" s="214" t="s">
        <v>10210</v>
      </c>
      <c r="P1082" s="120"/>
    </row>
    <row r="1083" spans="1:16">
      <c r="A1083" s="214" t="s">
        <v>2013</v>
      </c>
      <c r="B1083" s="214" t="s">
        <v>2000</v>
      </c>
      <c r="C1083" s="222" t="s">
        <v>2000</v>
      </c>
      <c r="D1083" s="222" t="s">
        <v>2000</v>
      </c>
      <c r="E1083" s="222" t="s">
        <v>5991</v>
      </c>
      <c r="F1083" s="214" t="s">
        <v>6310</v>
      </c>
      <c r="G1083" s="214" t="s">
        <v>2000</v>
      </c>
      <c r="H1083" s="222" t="s">
        <v>6311</v>
      </c>
      <c r="I1083" s="214" t="s">
        <v>6312</v>
      </c>
      <c r="J1083" s="214" t="s">
        <v>5995</v>
      </c>
      <c r="K1083" s="214" t="s">
        <v>9490</v>
      </c>
      <c r="L1083" s="214"/>
      <c r="M1083" s="214" t="s">
        <v>10148</v>
      </c>
      <c r="P1083" s="120"/>
    </row>
    <row r="1084" spans="1:16">
      <c r="A1084" s="214" t="s">
        <v>2015</v>
      </c>
      <c r="B1084" s="214" t="s">
        <v>2002</v>
      </c>
      <c r="C1084" s="222" t="s">
        <v>2002</v>
      </c>
      <c r="D1084" s="222" t="s">
        <v>2002</v>
      </c>
      <c r="E1084" s="222" t="s">
        <v>6313</v>
      </c>
      <c r="F1084" s="214" t="s">
        <v>6314</v>
      </c>
      <c r="G1084" s="214" t="s">
        <v>2002</v>
      </c>
      <c r="H1084" s="222" t="s">
        <v>6315</v>
      </c>
      <c r="I1084" s="214" t="s">
        <v>6316</v>
      </c>
      <c r="J1084" s="214" t="s">
        <v>6317</v>
      </c>
      <c r="K1084" s="214" t="s">
        <v>9555</v>
      </c>
      <c r="L1084" s="214"/>
      <c r="M1084" s="214" t="s">
        <v>10212</v>
      </c>
      <c r="P1084" s="120"/>
    </row>
    <row r="1085" spans="1:16">
      <c r="A1085" s="214" t="s">
        <v>2017</v>
      </c>
      <c r="B1085" s="214" t="s">
        <v>2007</v>
      </c>
      <c r="C1085" s="222" t="s">
        <v>2007</v>
      </c>
      <c r="D1085" s="222" t="s">
        <v>2007</v>
      </c>
      <c r="E1085" s="222" t="s">
        <v>6320</v>
      </c>
      <c r="F1085" s="214" t="s">
        <v>6321</v>
      </c>
      <c r="G1085" s="214" t="s">
        <v>2007</v>
      </c>
      <c r="H1085" s="222" t="s">
        <v>6322</v>
      </c>
      <c r="I1085" s="214" t="s">
        <v>6323</v>
      </c>
      <c r="J1085" s="214" t="s">
        <v>6324</v>
      </c>
      <c r="K1085" s="214" t="s">
        <v>9556</v>
      </c>
      <c r="L1085" s="214"/>
      <c r="M1085" s="214" t="s">
        <v>10214</v>
      </c>
      <c r="P1085" s="120"/>
    </row>
    <row r="1086" spans="1:16">
      <c r="A1086" s="214" t="s">
        <v>2018</v>
      </c>
      <c r="B1086" s="214" t="s">
        <v>1974</v>
      </c>
      <c r="C1086" s="222" t="s">
        <v>1974</v>
      </c>
      <c r="D1086" s="222"/>
      <c r="E1086" s="222" t="s">
        <v>6325</v>
      </c>
      <c r="F1086" s="214" t="s">
        <v>6326</v>
      </c>
      <c r="G1086" s="214" t="s">
        <v>1974</v>
      </c>
      <c r="H1086" s="222" t="s">
        <v>6327</v>
      </c>
      <c r="I1086" s="214" t="s">
        <v>6328</v>
      </c>
      <c r="J1086" s="214" t="s">
        <v>6329</v>
      </c>
      <c r="K1086" s="214" t="s">
        <v>9557</v>
      </c>
      <c r="L1086" s="214"/>
      <c r="M1086" s="214" t="s">
        <v>10215</v>
      </c>
      <c r="P1086" s="120"/>
    </row>
    <row r="1087" spans="1:16">
      <c r="A1087" s="214" t="s">
        <v>6330</v>
      </c>
      <c r="B1087" s="214" t="s">
        <v>1993</v>
      </c>
      <c r="C1087" s="222" t="s">
        <v>1993</v>
      </c>
      <c r="D1087" s="222" t="s">
        <v>1993</v>
      </c>
      <c r="E1087" s="222" t="s">
        <v>6331</v>
      </c>
      <c r="F1087" s="214" t="s">
        <v>6332</v>
      </c>
      <c r="G1087" s="214" t="s">
        <v>1993</v>
      </c>
      <c r="H1087" s="222" t="s">
        <v>6333</v>
      </c>
      <c r="I1087" s="214" t="s">
        <v>6334</v>
      </c>
      <c r="J1087" s="214" t="s">
        <v>6335</v>
      </c>
      <c r="K1087" s="214" t="s">
        <v>9558</v>
      </c>
      <c r="L1087" s="214"/>
      <c r="M1087" s="214" t="s">
        <v>10216</v>
      </c>
      <c r="P1087" s="120"/>
    </row>
    <row r="1088" spans="1:16">
      <c r="A1088" s="214" t="s">
        <v>2020</v>
      </c>
      <c r="B1088" s="214" t="s">
        <v>1994</v>
      </c>
      <c r="C1088" s="222" t="s">
        <v>1994</v>
      </c>
      <c r="D1088" s="222" t="s">
        <v>1994</v>
      </c>
      <c r="E1088" s="222" t="s">
        <v>6336</v>
      </c>
      <c r="F1088" s="214" t="s">
        <v>6337</v>
      </c>
      <c r="G1088" s="214" t="s">
        <v>1994</v>
      </c>
      <c r="H1088" s="222" t="s">
        <v>6336</v>
      </c>
      <c r="I1088" s="214" t="s">
        <v>6338</v>
      </c>
      <c r="J1088" s="214" t="s">
        <v>6339</v>
      </c>
      <c r="K1088" s="214" t="s">
        <v>9559</v>
      </c>
      <c r="L1088" s="214"/>
      <c r="M1088" s="214" t="s">
        <v>10217</v>
      </c>
      <c r="P1088" s="120"/>
    </row>
    <row r="1089" spans="1:16">
      <c r="A1089" s="214" t="s">
        <v>2424</v>
      </c>
      <c r="B1089" s="214" t="s">
        <v>1996</v>
      </c>
      <c r="C1089" s="222" t="s">
        <v>1996</v>
      </c>
      <c r="D1089" s="222"/>
      <c r="E1089" s="222" t="s">
        <v>6340</v>
      </c>
      <c r="F1089" s="214" t="s">
        <v>6341</v>
      </c>
      <c r="G1089" s="214" t="s">
        <v>1996</v>
      </c>
      <c r="H1089" s="222" t="s">
        <v>6342</v>
      </c>
      <c r="I1089" s="214" t="s">
        <v>6343</v>
      </c>
      <c r="J1089" s="214" t="s">
        <v>6344</v>
      </c>
      <c r="K1089" s="214" t="s">
        <v>9560</v>
      </c>
      <c r="L1089" s="214"/>
      <c r="M1089" s="214" t="s">
        <v>10218</v>
      </c>
      <c r="P1089" s="120"/>
    </row>
    <row r="1090" spans="1:16">
      <c r="A1090" s="214" t="s">
        <v>2425</v>
      </c>
      <c r="B1090" s="214" t="s">
        <v>1999</v>
      </c>
      <c r="C1090" s="222" t="s">
        <v>1999</v>
      </c>
      <c r="D1090" s="222" t="s">
        <v>1999</v>
      </c>
      <c r="E1090" s="222" t="s">
        <v>6305</v>
      </c>
      <c r="F1090" s="214" t="s">
        <v>6306</v>
      </c>
      <c r="G1090" s="214" t="s">
        <v>1999</v>
      </c>
      <c r="H1090" s="222" t="s">
        <v>6307</v>
      </c>
      <c r="I1090" s="214" t="s">
        <v>6308</v>
      </c>
      <c r="J1090" s="214" t="s">
        <v>6309</v>
      </c>
      <c r="K1090" s="214" t="s">
        <v>9554</v>
      </c>
      <c r="L1090" s="214"/>
      <c r="M1090" s="214" t="s">
        <v>10211</v>
      </c>
      <c r="P1090" s="120"/>
    </row>
    <row r="1091" spans="1:16">
      <c r="A1091" s="214" t="s">
        <v>2021</v>
      </c>
      <c r="B1091" s="214" t="s">
        <v>2012</v>
      </c>
      <c r="C1091" s="222" t="s">
        <v>2012</v>
      </c>
      <c r="D1091" s="222" t="s">
        <v>2012</v>
      </c>
      <c r="E1091" s="222" t="s">
        <v>6345</v>
      </c>
      <c r="F1091" s="214" t="s">
        <v>6346</v>
      </c>
      <c r="G1091" s="214" t="s">
        <v>2012</v>
      </c>
      <c r="H1091" s="222" t="s">
        <v>6347</v>
      </c>
      <c r="I1091" s="214" t="s">
        <v>6348</v>
      </c>
      <c r="J1091" s="214" t="s">
        <v>6349</v>
      </c>
      <c r="K1091" s="214" t="s">
        <v>9561</v>
      </c>
      <c r="L1091" s="214"/>
      <c r="M1091" s="214" t="s">
        <v>10219</v>
      </c>
      <c r="P1091" s="120"/>
    </row>
    <row r="1092" spans="1:16">
      <c r="A1092" s="214" t="s">
        <v>2426</v>
      </c>
      <c r="B1092" s="214" t="s">
        <v>2014</v>
      </c>
      <c r="C1092" s="222" t="s">
        <v>2014</v>
      </c>
      <c r="D1092" s="222" t="s">
        <v>2014</v>
      </c>
      <c r="E1092" s="222" t="s">
        <v>6350</v>
      </c>
      <c r="F1092" s="214" t="s">
        <v>6351</v>
      </c>
      <c r="G1092" s="214" t="s">
        <v>2014</v>
      </c>
      <c r="H1092" s="222" t="s">
        <v>6352</v>
      </c>
      <c r="I1092" s="214" t="s">
        <v>6353</v>
      </c>
      <c r="J1092" s="214" t="s">
        <v>6354</v>
      </c>
      <c r="K1092" s="214" t="s">
        <v>9562</v>
      </c>
      <c r="L1092" s="214"/>
      <c r="M1092" s="214" t="s">
        <v>10220</v>
      </c>
      <c r="P1092" s="120"/>
    </row>
    <row r="1093" spans="1:16">
      <c r="A1093" s="214" t="s">
        <v>2022</v>
      </c>
      <c r="B1093" s="214" t="s">
        <v>1842</v>
      </c>
      <c r="C1093" s="222" t="s">
        <v>1842</v>
      </c>
      <c r="D1093" s="222" t="s">
        <v>1842</v>
      </c>
      <c r="E1093" s="222" t="s">
        <v>5176</v>
      </c>
      <c r="F1093" s="214" t="s">
        <v>5975</v>
      </c>
      <c r="G1093" s="214" t="s">
        <v>1842</v>
      </c>
      <c r="H1093" s="222" t="s">
        <v>5200</v>
      </c>
      <c r="I1093" s="214" t="s">
        <v>5976</v>
      </c>
      <c r="J1093" s="214" t="s">
        <v>5977</v>
      </c>
      <c r="K1093" s="223" t="s">
        <v>9337</v>
      </c>
      <c r="L1093" s="214"/>
      <c r="M1093" s="214" t="s">
        <v>10144</v>
      </c>
      <c r="P1093" s="120"/>
    </row>
    <row r="1094" spans="1:16">
      <c r="A1094" s="214" t="s">
        <v>2427</v>
      </c>
      <c r="B1094" s="214" t="s">
        <v>2003</v>
      </c>
      <c r="C1094" s="222" t="s">
        <v>2003</v>
      </c>
      <c r="D1094" s="222" t="s">
        <v>2003</v>
      </c>
      <c r="E1094" s="222" t="s">
        <v>6355</v>
      </c>
      <c r="F1094" s="214" t="s">
        <v>6356</v>
      </c>
      <c r="G1094" s="214" t="s">
        <v>2003</v>
      </c>
      <c r="H1094" s="222" t="s">
        <v>6357</v>
      </c>
      <c r="I1094" s="214" t="s">
        <v>6358</v>
      </c>
      <c r="J1094" s="214" t="s">
        <v>6359</v>
      </c>
      <c r="K1094" s="214" t="s">
        <v>9563</v>
      </c>
      <c r="L1094" s="214"/>
      <c r="M1094" s="214" t="s">
        <v>10221</v>
      </c>
      <c r="P1094" s="120"/>
    </row>
    <row r="1095" spans="1:16">
      <c r="A1095" s="214" t="s">
        <v>2023</v>
      </c>
      <c r="B1095" s="214" t="s">
        <v>2005</v>
      </c>
      <c r="C1095" s="222" t="s">
        <v>2005</v>
      </c>
      <c r="D1095" s="222" t="s">
        <v>2005</v>
      </c>
      <c r="E1095" s="222" t="s">
        <v>6360</v>
      </c>
      <c r="F1095" s="214" t="s">
        <v>6361</v>
      </c>
      <c r="G1095" s="214" t="s">
        <v>2005</v>
      </c>
      <c r="H1095" s="222" t="s">
        <v>6362</v>
      </c>
      <c r="I1095" s="214" t="s">
        <v>6363</v>
      </c>
      <c r="J1095" s="214" t="s">
        <v>6364</v>
      </c>
      <c r="K1095" s="223" t="s">
        <v>9545</v>
      </c>
      <c r="L1095" s="214"/>
      <c r="M1095" s="214" t="s">
        <v>10222</v>
      </c>
      <c r="P1095" s="120"/>
    </row>
    <row r="1096" spans="1:16">
      <c r="A1096" s="214" t="s">
        <v>2428</v>
      </c>
      <c r="B1096" s="214" t="s">
        <v>2006</v>
      </c>
      <c r="C1096" s="222" t="s">
        <v>2006</v>
      </c>
      <c r="D1096" s="222" t="s">
        <v>2006</v>
      </c>
      <c r="E1096" s="222" t="s">
        <v>5970</v>
      </c>
      <c r="F1096" s="214" t="s">
        <v>6318</v>
      </c>
      <c r="G1096" s="214" t="s">
        <v>2006</v>
      </c>
      <c r="H1096" s="222" t="s">
        <v>5972</v>
      </c>
      <c r="I1096" s="214" t="s">
        <v>6319</v>
      </c>
      <c r="J1096" s="214" t="s">
        <v>5974</v>
      </c>
      <c r="K1096" s="214" t="s">
        <v>9486</v>
      </c>
      <c r="L1096" s="214"/>
      <c r="M1096" s="214" t="s">
        <v>10213</v>
      </c>
      <c r="P1096" s="120"/>
    </row>
    <row r="1097" spans="1:16">
      <c r="A1097" s="214" t="s">
        <v>2429</v>
      </c>
      <c r="B1097" s="214" t="s">
        <v>2638</v>
      </c>
      <c r="C1097" s="222" t="s">
        <v>2638</v>
      </c>
      <c r="D1097" s="222" t="s">
        <v>2638</v>
      </c>
      <c r="E1097" s="222" t="s">
        <v>6365</v>
      </c>
      <c r="F1097" s="214" t="s">
        <v>6366</v>
      </c>
      <c r="G1097" s="214" t="s">
        <v>2638</v>
      </c>
      <c r="H1097" s="222" t="s">
        <v>6367</v>
      </c>
      <c r="I1097" s="214" t="s">
        <v>6368</v>
      </c>
      <c r="J1097" s="214" t="s">
        <v>6369</v>
      </c>
      <c r="K1097" s="214" t="s">
        <v>9564</v>
      </c>
      <c r="L1097" s="214"/>
      <c r="M1097" s="214" t="s">
        <v>10223</v>
      </c>
      <c r="P1097" s="120"/>
    </row>
    <row r="1098" spans="1:16">
      <c r="A1098" s="214" t="s">
        <v>2430</v>
      </c>
      <c r="B1098" s="214" t="s">
        <v>2639</v>
      </c>
      <c r="C1098" s="222" t="s">
        <v>2639</v>
      </c>
      <c r="D1098" s="222" t="s">
        <v>2639</v>
      </c>
      <c r="E1098" s="222" t="s">
        <v>6370</v>
      </c>
      <c r="F1098" s="214" t="s">
        <v>6371</v>
      </c>
      <c r="G1098" s="214" t="s">
        <v>2639</v>
      </c>
      <c r="H1098" s="222" t="s">
        <v>6372</v>
      </c>
      <c r="I1098" s="214" t="s">
        <v>6373</v>
      </c>
      <c r="J1098" s="214" t="s">
        <v>6374</v>
      </c>
      <c r="K1098" s="214" t="s">
        <v>9565</v>
      </c>
      <c r="L1098" s="214"/>
      <c r="M1098" s="214" t="s">
        <v>10224</v>
      </c>
      <c r="P1098" s="120"/>
    </row>
    <row r="1099" spans="1:16">
      <c r="A1099" s="214" t="s">
        <v>2431</v>
      </c>
      <c r="B1099" s="214" t="s">
        <v>2640</v>
      </c>
      <c r="C1099" s="222" t="s">
        <v>2640</v>
      </c>
      <c r="D1099" s="222" t="s">
        <v>2640</v>
      </c>
      <c r="E1099" s="222" t="s">
        <v>6375</v>
      </c>
      <c r="F1099" s="214" t="s">
        <v>6376</v>
      </c>
      <c r="G1099" s="214" t="s">
        <v>2640</v>
      </c>
      <c r="H1099" s="222" t="s">
        <v>6377</v>
      </c>
      <c r="I1099" s="214" t="s">
        <v>6378</v>
      </c>
      <c r="J1099" s="214" t="s">
        <v>6379</v>
      </c>
      <c r="K1099" s="214" t="s">
        <v>9566</v>
      </c>
      <c r="L1099" s="214"/>
      <c r="M1099" s="214" t="s">
        <v>10225</v>
      </c>
      <c r="P1099" s="120"/>
    </row>
    <row r="1100" spans="1:16">
      <c r="A1100" s="214" t="s">
        <v>2024</v>
      </c>
      <c r="B1100" s="214" t="s">
        <v>2027</v>
      </c>
      <c r="C1100" s="222" t="s">
        <v>2026</v>
      </c>
      <c r="D1100" s="222" t="s">
        <v>2028</v>
      </c>
      <c r="E1100" s="222" t="s">
        <v>6380</v>
      </c>
      <c r="F1100" s="214" t="s">
        <v>6381</v>
      </c>
      <c r="G1100" s="214" t="s">
        <v>2026</v>
      </c>
      <c r="H1100" s="222" t="s">
        <v>6382</v>
      </c>
      <c r="I1100" s="214" t="s">
        <v>6383</v>
      </c>
      <c r="J1100" s="214" t="s">
        <v>6384</v>
      </c>
      <c r="K1100" s="223" t="s">
        <v>9567</v>
      </c>
      <c r="L1100" s="214"/>
      <c r="M1100" s="214" t="s">
        <v>10226</v>
      </c>
      <c r="P1100" s="120"/>
    </row>
    <row r="1101" spans="1:16">
      <c r="A1101" s="214" t="s">
        <v>2029</v>
      </c>
      <c r="B1101" s="214" t="s">
        <v>2031</v>
      </c>
      <c r="C1101" s="222" t="s">
        <v>2030</v>
      </c>
      <c r="D1101" s="222" t="s">
        <v>2032</v>
      </c>
      <c r="E1101" s="222" t="s">
        <v>6385</v>
      </c>
      <c r="F1101" s="214" t="s">
        <v>6386</v>
      </c>
      <c r="G1101" s="214" t="s">
        <v>2030</v>
      </c>
      <c r="H1101" s="222" t="s">
        <v>6387</v>
      </c>
      <c r="I1101" s="214" t="s">
        <v>6388</v>
      </c>
      <c r="J1101" s="214" t="s">
        <v>6389</v>
      </c>
      <c r="K1101" s="223" t="s">
        <v>9568</v>
      </c>
      <c r="L1101" s="214"/>
      <c r="M1101" s="214" t="s">
        <v>10227</v>
      </c>
      <c r="P1101" s="120"/>
    </row>
    <row r="1102" spans="1:16">
      <c r="A1102" s="214" t="s">
        <v>2033</v>
      </c>
      <c r="B1102" s="214" t="s">
        <v>2036</v>
      </c>
      <c r="C1102" s="222" t="s">
        <v>2035</v>
      </c>
      <c r="D1102" s="222" t="s">
        <v>2037</v>
      </c>
      <c r="E1102" s="222" t="s">
        <v>6390</v>
      </c>
      <c r="F1102" s="214" t="s">
        <v>6391</v>
      </c>
      <c r="G1102" s="214" t="s">
        <v>2035</v>
      </c>
      <c r="H1102" s="222" t="s">
        <v>6392</v>
      </c>
      <c r="I1102" s="214" t="s">
        <v>6393</v>
      </c>
      <c r="J1102" s="214" t="s">
        <v>6394</v>
      </c>
      <c r="K1102" s="223" t="s">
        <v>9569</v>
      </c>
      <c r="L1102" s="214"/>
      <c r="M1102" s="214" t="s">
        <v>10228</v>
      </c>
      <c r="P1102" s="120"/>
    </row>
    <row r="1103" spans="1:16">
      <c r="A1103" s="214" t="s">
        <v>2038</v>
      </c>
      <c r="B1103" s="214" t="s">
        <v>2641</v>
      </c>
      <c r="C1103" s="222" t="s">
        <v>2040</v>
      </c>
      <c r="D1103" s="222" t="s">
        <v>2041</v>
      </c>
      <c r="E1103" s="222" t="s">
        <v>6395</v>
      </c>
      <c r="F1103" s="214" t="s">
        <v>6396</v>
      </c>
      <c r="G1103" s="214" t="s">
        <v>2040</v>
      </c>
      <c r="H1103" s="222" t="s">
        <v>6397</v>
      </c>
      <c r="I1103" s="214" t="s">
        <v>6398</v>
      </c>
      <c r="J1103" s="214" t="s">
        <v>6399</v>
      </c>
      <c r="K1103" s="223" t="s">
        <v>9570</v>
      </c>
      <c r="L1103" s="214"/>
      <c r="M1103" s="214" t="s">
        <v>10229</v>
      </c>
      <c r="P1103" s="120"/>
    </row>
    <row r="1104" spans="1:16">
      <c r="A1104" s="214" t="s">
        <v>2042</v>
      </c>
      <c r="B1104" s="214" t="s">
        <v>2045</v>
      </c>
      <c r="C1104" s="222" t="s">
        <v>2044</v>
      </c>
      <c r="D1104" s="222" t="s">
        <v>2046</v>
      </c>
      <c r="E1104" s="222" t="s">
        <v>6400</v>
      </c>
      <c r="F1104" s="214" t="s">
        <v>6401</v>
      </c>
      <c r="G1104" s="214" t="s">
        <v>2044</v>
      </c>
      <c r="H1104" s="222" t="s">
        <v>6402</v>
      </c>
      <c r="I1104" s="214" t="s">
        <v>6403</v>
      </c>
      <c r="J1104" s="214" t="s">
        <v>6404</v>
      </c>
      <c r="K1104" s="223" t="s">
        <v>9571</v>
      </c>
      <c r="L1104" s="214"/>
      <c r="M1104" s="214" t="s">
        <v>10230</v>
      </c>
      <c r="P1104" s="120"/>
    </row>
    <row r="1105" spans="1:16">
      <c r="A1105" s="214" t="s">
        <v>2047</v>
      </c>
      <c r="B1105" s="214" t="s">
        <v>2050</v>
      </c>
      <c r="C1105" s="222" t="s">
        <v>2049</v>
      </c>
      <c r="D1105" s="222" t="s">
        <v>2051</v>
      </c>
      <c r="E1105" s="222" t="s">
        <v>6405</v>
      </c>
      <c r="F1105" s="214" t="s">
        <v>6406</v>
      </c>
      <c r="G1105" s="214" t="s">
        <v>2049</v>
      </c>
      <c r="H1105" s="222" t="s">
        <v>6407</v>
      </c>
      <c r="I1105" s="214" t="s">
        <v>6408</v>
      </c>
      <c r="J1105" s="214" t="s">
        <v>6409</v>
      </c>
      <c r="K1105" s="223" t="s">
        <v>9572</v>
      </c>
      <c r="L1105" s="214"/>
      <c r="M1105" s="214" t="s">
        <v>10231</v>
      </c>
      <c r="P1105" s="120"/>
    </row>
    <row r="1106" spans="1:16">
      <c r="A1106" s="214" t="s">
        <v>2052</v>
      </c>
      <c r="B1106" s="214" t="s">
        <v>2054</v>
      </c>
      <c r="C1106" s="222" t="s">
        <v>2053</v>
      </c>
      <c r="D1106" s="222" t="s">
        <v>2055</v>
      </c>
      <c r="E1106" s="222" t="s">
        <v>6410</v>
      </c>
      <c r="F1106" s="214" t="s">
        <v>6411</v>
      </c>
      <c r="G1106" s="214" t="s">
        <v>2053</v>
      </c>
      <c r="H1106" s="222" t="s">
        <v>6412</v>
      </c>
      <c r="I1106" s="214" t="s">
        <v>6413</v>
      </c>
      <c r="J1106" s="214" t="s">
        <v>6414</v>
      </c>
      <c r="K1106" s="223" t="s">
        <v>9573</v>
      </c>
      <c r="L1106" s="214"/>
      <c r="M1106" s="214" t="s">
        <v>10232</v>
      </c>
      <c r="P1106" s="120"/>
    </row>
    <row r="1107" spans="1:16">
      <c r="A1107" s="214" t="s">
        <v>2056</v>
      </c>
      <c r="B1107" s="214" t="s">
        <v>2059</v>
      </c>
      <c r="C1107" s="222" t="s">
        <v>2058</v>
      </c>
      <c r="D1107" s="222" t="s">
        <v>2060</v>
      </c>
      <c r="E1107" s="222" t="s">
        <v>6415</v>
      </c>
      <c r="F1107" s="214" t="s">
        <v>6416</v>
      </c>
      <c r="G1107" s="214" t="s">
        <v>2058</v>
      </c>
      <c r="H1107" s="222" t="s">
        <v>6417</v>
      </c>
      <c r="I1107" s="214" t="s">
        <v>6418</v>
      </c>
      <c r="J1107" s="214" t="s">
        <v>6419</v>
      </c>
      <c r="K1107" s="223" t="s">
        <v>9574</v>
      </c>
      <c r="L1107" s="214"/>
      <c r="M1107" s="214" t="s">
        <v>10233</v>
      </c>
      <c r="P1107" s="120"/>
    </row>
    <row r="1108" spans="1:16">
      <c r="A1108" s="214" t="s">
        <v>2061</v>
      </c>
      <c r="B1108" s="214" t="s">
        <v>2064</v>
      </c>
      <c r="C1108" s="222" t="s">
        <v>2063</v>
      </c>
      <c r="D1108" s="222" t="s">
        <v>2065</v>
      </c>
      <c r="E1108" s="222" t="s">
        <v>6420</v>
      </c>
      <c r="F1108" s="214" t="s">
        <v>6421</v>
      </c>
      <c r="G1108" s="214" t="s">
        <v>2063</v>
      </c>
      <c r="H1108" s="222" t="s">
        <v>6422</v>
      </c>
      <c r="I1108" s="214" t="s">
        <v>6423</v>
      </c>
      <c r="J1108" s="214" t="s">
        <v>6424</v>
      </c>
      <c r="K1108" s="223" t="s">
        <v>9575</v>
      </c>
      <c r="L1108" s="214"/>
      <c r="M1108" s="214" t="s">
        <v>10234</v>
      </c>
      <c r="P1108" s="120"/>
    </row>
    <row r="1109" spans="1:16">
      <c r="A1109" s="214" t="s">
        <v>2066</v>
      </c>
      <c r="B1109" s="214" t="s">
        <v>2069</v>
      </c>
      <c r="C1109" s="222" t="s">
        <v>2068</v>
      </c>
      <c r="D1109" s="222" t="s">
        <v>2070</v>
      </c>
      <c r="E1109" s="222" t="s">
        <v>6425</v>
      </c>
      <c r="F1109" s="214" t="s">
        <v>6426</v>
      </c>
      <c r="G1109" s="214" t="s">
        <v>2068</v>
      </c>
      <c r="H1109" s="222" t="s">
        <v>6427</v>
      </c>
      <c r="I1109" s="214" t="s">
        <v>6428</v>
      </c>
      <c r="J1109" s="214" t="s">
        <v>6429</v>
      </c>
      <c r="K1109" s="223" t="s">
        <v>9576</v>
      </c>
      <c r="L1109" s="214"/>
      <c r="M1109" s="214" t="s">
        <v>10235</v>
      </c>
      <c r="P1109" s="120"/>
    </row>
    <row r="1110" spans="1:16">
      <c r="A1110" s="214" t="s">
        <v>2075</v>
      </c>
      <c r="B1110" s="214" t="s">
        <v>2073</v>
      </c>
      <c r="C1110" s="222" t="s">
        <v>2072</v>
      </c>
      <c r="D1110" s="222" t="s">
        <v>2074</v>
      </c>
      <c r="E1110" s="222" t="s">
        <v>6430</v>
      </c>
      <c r="F1110" s="214" t="s">
        <v>6431</v>
      </c>
      <c r="G1110" s="214" t="s">
        <v>2072</v>
      </c>
      <c r="H1110" s="222" t="s">
        <v>6432</v>
      </c>
      <c r="I1110" s="214" t="s">
        <v>6433</v>
      </c>
      <c r="J1110" s="214" t="s">
        <v>6434</v>
      </c>
      <c r="K1110" s="223" t="s">
        <v>9577</v>
      </c>
      <c r="L1110" s="214"/>
      <c r="M1110" s="214" t="s">
        <v>10236</v>
      </c>
      <c r="P1110" s="120"/>
    </row>
    <row r="1111" spans="1:16">
      <c r="A1111" s="214" t="s">
        <v>2644</v>
      </c>
      <c r="B1111" s="214" t="s">
        <v>2642</v>
      </c>
      <c r="C1111" s="222" t="s">
        <v>2739</v>
      </c>
      <c r="D1111" s="222" t="s">
        <v>2795</v>
      </c>
      <c r="E1111" s="222" t="s">
        <v>6435</v>
      </c>
      <c r="F1111" s="214" t="s">
        <v>6436</v>
      </c>
      <c r="G1111" s="214" t="s">
        <v>2739</v>
      </c>
      <c r="H1111" s="222" t="s">
        <v>6437</v>
      </c>
      <c r="I1111" s="214" t="s">
        <v>6438</v>
      </c>
      <c r="J1111" s="214" t="s">
        <v>6439</v>
      </c>
      <c r="K1111" s="223" t="s">
        <v>9578</v>
      </c>
      <c r="L1111" s="214"/>
      <c r="M1111" s="214" t="s">
        <v>10237</v>
      </c>
      <c r="P1111" s="120"/>
    </row>
    <row r="1112" spans="1:16">
      <c r="A1112" s="214" t="s">
        <v>2077</v>
      </c>
      <c r="B1112" s="214" t="s">
        <v>2079</v>
      </c>
      <c r="C1112" s="222" t="s">
        <v>2078</v>
      </c>
      <c r="D1112" s="222" t="s">
        <v>2080</v>
      </c>
      <c r="E1112" s="222" t="s">
        <v>6440</v>
      </c>
      <c r="F1112" s="214" t="s">
        <v>6441</v>
      </c>
      <c r="G1112" s="214" t="s">
        <v>2078</v>
      </c>
      <c r="H1112" s="222" t="s">
        <v>6442</v>
      </c>
      <c r="I1112" s="214" t="s">
        <v>6443</v>
      </c>
      <c r="J1112" s="214" t="s">
        <v>6444</v>
      </c>
      <c r="K1112" s="223" t="s">
        <v>9579</v>
      </c>
      <c r="L1112" s="214"/>
      <c r="M1112" s="214" t="s">
        <v>10238</v>
      </c>
      <c r="P1112" s="120"/>
    </row>
    <row r="1113" spans="1:16">
      <c r="A1113" s="214" t="s">
        <v>2085</v>
      </c>
      <c r="B1113" s="214" t="s">
        <v>2089</v>
      </c>
      <c r="C1113" s="222" t="s">
        <v>2088</v>
      </c>
      <c r="D1113" s="222" t="s">
        <v>2090</v>
      </c>
      <c r="E1113" s="222" t="s">
        <v>6450</v>
      </c>
      <c r="F1113" s="214" t="s">
        <v>6451</v>
      </c>
      <c r="G1113" s="214" t="s">
        <v>2088</v>
      </c>
      <c r="H1113" s="222" t="s">
        <v>6452</v>
      </c>
      <c r="I1113" s="214" t="s">
        <v>6453</v>
      </c>
      <c r="J1113" s="214" t="s">
        <v>6454</v>
      </c>
      <c r="K1113" s="223" t="s">
        <v>9581</v>
      </c>
      <c r="L1113" s="214"/>
      <c r="M1113" s="214" t="s">
        <v>10240</v>
      </c>
      <c r="P1113" s="120"/>
    </row>
    <row r="1114" spans="1:16">
      <c r="A1114" s="214" t="s">
        <v>2091</v>
      </c>
      <c r="B1114" s="214" t="s">
        <v>2095</v>
      </c>
      <c r="C1114" s="222" t="s">
        <v>2094</v>
      </c>
      <c r="D1114" s="222" t="s">
        <v>2096</v>
      </c>
      <c r="E1114" s="222" t="s">
        <v>6455</v>
      </c>
      <c r="F1114" s="214" t="s">
        <v>6456</v>
      </c>
      <c r="G1114" s="214" t="s">
        <v>2094</v>
      </c>
      <c r="H1114" s="222" t="s">
        <v>6457</v>
      </c>
      <c r="I1114" s="214" t="s">
        <v>6458</v>
      </c>
      <c r="J1114" s="214" t="s">
        <v>6459</v>
      </c>
      <c r="K1114" s="223" t="s">
        <v>9582</v>
      </c>
      <c r="L1114" s="214"/>
      <c r="M1114" s="214" t="s">
        <v>10241</v>
      </c>
      <c r="P1114" s="120"/>
    </row>
    <row r="1115" spans="1:16">
      <c r="A1115" s="214" t="s">
        <v>2097</v>
      </c>
      <c r="B1115" s="214" t="s">
        <v>2100</v>
      </c>
      <c r="C1115" s="222" t="s">
        <v>2099</v>
      </c>
      <c r="D1115" s="222" t="s">
        <v>2101</v>
      </c>
      <c r="E1115" s="222" t="s">
        <v>6460</v>
      </c>
      <c r="F1115" s="214" t="s">
        <v>6461</v>
      </c>
      <c r="G1115" s="214" t="s">
        <v>2099</v>
      </c>
      <c r="H1115" s="222" t="s">
        <v>6462</v>
      </c>
      <c r="I1115" s="214" t="s">
        <v>6463</v>
      </c>
      <c r="J1115" s="214" t="s">
        <v>6464</v>
      </c>
      <c r="K1115" s="223" t="s">
        <v>9583</v>
      </c>
      <c r="L1115" s="214"/>
      <c r="M1115" s="214" t="s">
        <v>10242</v>
      </c>
      <c r="P1115" s="120"/>
    </row>
    <row r="1116" spans="1:16">
      <c r="A1116" s="214" t="s">
        <v>2102</v>
      </c>
      <c r="B1116" s="214" t="s">
        <v>2106</v>
      </c>
      <c r="C1116" s="222" t="s">
        <v>2105</v>
      </c>
      <c r="D1116" s="222" t="s">
        <v>2107</v>
      </c>
      <c r="E1116" s="222" t="s">
        <v>6465</v>
      </c>
      <c r="F1116" s="214" t="s">
        <v>6466</v>
      </c>
      <c r="G1116" s="214" t="s">
        <v>2105</v>
      </c>
      <c r="H1116" s="222" t="s">
        <v>6467</v>
      </c>
      <c r="I1116" s="214" t="s">
        <v>6468</v>
      </c>
      <c r="J1116" s="214" t="s">
        <v>6469</v>
      </c>
      <c r="K1116" s="214" t="s">
        <v>9584</v>
      </c>
      <c r="L1116" s="214"/>
      <c r="M1116" s="214" t="s">
        <v>10243</v>
      </c>
      <c r="P1116" s="120"/>
    </row>
    <row r="1117" spans="1:16">
      <c r="A1117" s="214" t="s">
        <v>2108</v>
      </c>
      <c r="B1117" s="214" t="s">
        <v>2111</v>
      </c>
      <c r="C1117" s="222" t="s">
        <v>2110</v>
      </c>
      <c r="D1117" s="222" t="s">
        <v>2112</v>
      </c>
      <c r="E1117" s="222" t="s">
        <v>6470</v>
      </c>
      <c r="F1117" s="214" t="s">
        <v>6471</v>
      </c>
      <c r="G1117" s="214" t="s">
        <v>2110</v>
      </c>
      <c r="H1117" s="222" t="s">
        <v>6472</v>
      </c>
      <c r="I1117" s="214" t="s">
        <v>6473</v>
      </c>
      <c r="J1117" s="214" t="s">
        <v>6474</v>
      </c>
      <c r="K1117" s="223" t="s">
        <v>9585</v>
      </c>
      <c r="L1117" s="214"/>
      <c r="M1117" s="214" t="s">
        <v>10244</v>
      </c>
      <c r="P1117" s="120"/>
    </row>
    <row r="1118" spans="1:16">
      <c r="A1118" s="214" t="s">
        <v>2113</v>
      </c>
      <c r="B1118" s="214" t="s">
        <v>2115</v>
      </c>
      <c r="C1118" s="222" t="s">
        <v>2114</v>
      </c>
      <c r="D1118" s="222" t="s">
        <v>2116</v>
      </c>
      <c r="E1118" s="222" t="s">
        <v>6475</v>
      </c>
      <c r="F1118" s="214" t="s">
        <v>6476</v>
      </c>
      <c r="G1118" s="214" t="s">
        <v>2114</v>
      </c>
      <c r="H1118" s="222" t="s">
        <v>6477</v>
      </c>
      <c r="I1118" s="214" t="s">
        <v>6478</v>
      </c>
      <c r="J1118" s="214" t="s">
        <v>6479</v>
      </c>
      <c r="K1118" s="214" t="s">
        <v>9586</v>
      </c>
      <c r="L1118" s="214"/>
      <c r="M1118" s="214" t="s">
        <v>10245</v>
      </c>
      <c r="P1118" s="120"/>
    </row>
    <row r="1119" spans="1:16">
      <c r="A1119" s="214" t="s">
        <v>2117</v>
      </c>
      <c r="B1119" s="214" t="s">
        <v>2119</v>
      </c>
      <c r="C1119" s="222" t="s">
        <v>2118</v>
      </c>
      <c r="D1119" s="222" t="s">
        <v>2120</v>
      </c>
      <c r="E1119" s="222" t="s">
        <v>6475</v>
      </c>
      <c r="F1119" s="214" t="s">
        <v>6480</v>
      </c>
      <c r="G1119" s="214" t="s">
        <v>2118</v>
      </c>
      <c r="H1119" s="222" t="s">
        <v>6481</v>
      </c>
      <c r="I1119" s="214" t="s">
        <v>6482</v>
      </c>
      <c r="J1119" s="214" t="s">
        <v>6483</v>
      </c>
      <c r="K1119" s="214" t="s">
        <v>9587</v>
      </c>
      <c r="L1119" s="214"/>
      <c r="M1119" s="214" t="s">
        <v>10246</v>
      </c>
      <c r="P1119" s="120"/>
    </row>
    <row r="1120" spans="1:16">
      <c r="A1120" s="214" t="s">
        <v>2121</v>
      </c>
      <c r="B1120" s="214" t="s">
        <v>2123</v>
      </c>
      <c r="C1120" s="222" t="s">
        <v>2122</v>
      </c>
      <c r="D1120" s="222" t="s">
        <v>2124</v>
      </c>
      <c r="E1120" s="222" t="s">
        <v>6484</v>
      </c>
      <c r="F1120" s="214" t="s">
        <v>6485</v>
      </c>
      <c r="G1120" s="214" t="s">
        <v>2122</v>
      </c>
      <c r="H1120" s="222" t="s">
        <v>6486</v>
      </c>
      <c r="I1120" s="214" t="s">
        <v>6487</v>
      </c>
      <c r="J1120" s="214" t="s">
        <v>6488</v>
      </c>
      <c r="K1120" s="214" t="s">
        <v>9588</v>
      </c>
      <c r="L1120" s="214"/>
      <c r="M1120" s="214"/>
      <c r="P1120" s="120"/>
    </row>
    <row r="1121" spans="1:16">
      <c r="A1121" s="214" t="s">
        <v>1640</v>
      </c>
      <c r="B1121" s="214" t="s">
        <v>1641</v>
      </c>
      <c r="C1121" s="222" t="s">
        <v>1641</v>
      </c>
      <c r="D1121" s="222" t="s">
        <v>1641</v>
      </c>
      <c r="E1121" s="222" t="s">
        <v>5511</v>
      </c>
      <c r="F1121" s="214" t="s">
        <v>5512</v>
      </c>
      <c r="G1121" s="214" t="s">
        <v>1641</v>
      </c>
      <c r="H1121" s="222" t="s">
        <v>5513</v>
      </c>
      <c r="I1121" s="214" t="s">
        <v>5514</v>
      </c>
      <c r="J1121" s="214" t="s">
        <v>5515</v>
      </c>
      <c r="K1121" s="214" t="s">
        <v>9395</v>
      </c>
      <c r="L1121" s="214" t="s">
        <v>1641</v>
      </c>
      <c r="M1121" s="214" t="s">
        <v>10051</v>
      </c>
      <c r="P1121" s="120"/>
    </row>
    <row r="1122" spans="1:16">
      <c r="A1122" s="214" t="s">
        <v>1642</v>
      </c>
      <c r="B1122" s="214" t="s">
        <v>1643</v>
      </c>
      <c r="C1122" s="222" t="s">
        <v>1643</v>
      </c>
      <c r="D1122" s="222" t="s">
        <v>1643</v>
      </c>
      <c r="E1122" s="222" t="s">
        <v>5516</v>
      </c>
      <c r="F1122" s="214" t="s">
        <v>5517</v>
      </c>
      <c r="G1122" s="214" t="s">
        <v>1643</v>
      </c>
      <c r="H1122" s="222" t="s">
        <v>5518</v>
      </c>
      <c r="I1122" s="214" t="s">
        <v>5519</v>
      </c>
      <c r="J1122" s="214" t="s">
        <v>5520</v>
      </c>
      <c r="K1122" s="214" t="s">
        <v>9396</v>
      </c>
      <c r="L1122" s="214" t="s">
        <v>1643</v>
      </c>
      <c r="M1122" s="214" t="s">
        <v>10052</v>
      </c>
      <c r="P1122" s="120"/>
    </row>
    <row r="1123" spans="1:16">
      <c r="A1123" s="214" t="s">
        <v>1644</v>
      </c>
      <c r="B1123" s="214" t="s">
        <v>1645</v>
      </c>
      <c r="C1123" s="222" t="s">
        <v>1645</v>
      </c>
      <c r="D1123" s="222" t="s">
        <v>1645</v>
      </c>
      <c r="E1123" s="222" t="s">
        <v>5521</v>
      </c>
      <c r="F1123" s="214" t="s">
        <v>5522</v>
      </c>
      <c r="G1123" s="214" t="s">
        <v>1645</v>
      </c>
      <c r="H1123" s="222" t="s">
        <v>5523</v>
      </c>
      <c r="I1123" s="214" t="s">
        <v>5524</v>
      </c>
      <c r="J1123" s="214" t="s">
        <v>5525</v>
      </c>
      <c r="K1123" s="214" t="s">
        <v>9397</v>
      </c>
      <c r="L1123" s="214" t="s">
        <v>1645</v>
      </c>
      <c r="M1123" s="214" t="s">
        <v>10053</v>
      </c>
      <c r="P1123" s="120"/>
    </row>
    <row r="1124" spans="1:16">
      <c r="A1124" s="214" t="s">
        <v>1646</v>
      </c>
      <c r="B1124" s="214" t="s">
        <v>1647</v>
      </c>
      <c r="C1124" s="222" t="s">
        <v>1647</v>
      </c>
      <c r="D1124" s="222" t="s">
        <v>1647</v>
      </c>
      <c r="E1124" s="222" t="s">
        <v>5526</v>
      </c>
      <c r="F1124" s="214" t="s">
        <v>5527</v>
      </c>
      <c r="G1124" s="214" t="s">
        <v>1647</v>
      </c>
      <c r="H1124" s="222" t="s">
        <v>5528</v>
      </c>
      <c r="I1124" s="214" t="s">
        <v>5529</v>
      </c>
      <c r="J1124" s="214" t="s">
        <v>5530</v>
      </c>
      <c r="K1124" s="214" t="s">
        <v>9398</v>
      </c>
      <c r="L1124" s="214" t="s">
        <v>1647</v>
      </c>
      <c r="M1124" s="214" t="s">
        <v>10054</v>
      </c>
      <c r="P1124" s="120"/>
    </row>
    <row r="1125" spans="1:16">
      <c r="A1125" s="214" t="s">
        <v>1648</v>
      </c>
      <c r="B1125" s="214" t="s">
        <v>1649</v>
      </c>
      <c r="C1125" s="222" t="s">
        <v>1649</v>
      </c>
      <c r="D1125" s="222" t="s">
        <v>1649</v>
      </c>
      <c r="E1125" s="222" t="s">
        <v>5531</v>
      </c>
      <c r="F1125" s="214" t="s">
        <v>5532</v>
      </c>
      <c r="G1125" s="214" t="s">
        <v>1649</v>
      </c>
      <c r="H1125" s="222" t="s">
        <v>5533</v>
      </c>
      <c r="I1125" s="214" t="s">
        <v>5534</v>
      </c>
      <c r="J1125" s="214" t="s">
        <v>5535</v>
      </c>
      <c r="K1125" s="214" t="s">
        <v>9399</v>
      </c>
      <c r="L1125" s="214" t="s">
        <v>1649</v>
      </c>
      <c r="M1125" s="214" t="s">
        <v>10055</v>
      </c>
      <c r="P1125" s="120"/>
    </row>
    <row r="1126" spans="1:16">
      <c r="A1126" s="214" t="s">
        <v>1650</v>
      </c>
      <c r="B1126" s="214" t="s">
        <v>1652</v>
      </c>
      <c r="C1126" s="222" t="s">
        <v>1651</v>
      </c>
      <c r="D1126" s="222" t="s">
        <v>1652</v>
      </c>
      <c r="E1126" s="222" t="s">
        <v>5536</v>
      </c>
      <c r="F1126" s="214" t="s">
        <v>5537</v>
      </c>
      <c r="G1126" s="214" t="s">
        <v>1651</v>
      </c>
      <c r="H1126" s="222" t="s">
        <v>5538</v>
      </c>
      <c r="I1126" s="214" t="s">
        <v>5539</v>
      </c>
      <c r="J1126" s="214" t="s">
        <v>5540</v>
      </c>
      <c r="K1126" s="214" t="s">
        <v>9400</v>
      </c>
      <c r="L1126" s="214" t="s">
        <v>1651</v>
      </c>
      <c r="M1126" s="214" t="s">
        <v>10056</v>
      </c>
      <c r="P1126" s="120"/>
    </row>
    <row r="1127" spans="1:16">
      <c r="A1127" s="214" t="s">
        <v>1653</v>
      </c>
      <c r="B1127" s="214" t="s">
        <v>1654</v>
      </c>
      <c r="C1127" s="222" t="s">
        <v>1654</v>
      </c>
      <c r="D1127" s="222" t="s">
        <v>1654</v>
      </c>
      <c r="E1127" s="222" t="s">
        <v>5541</v>
      </c>
      <c r="F1127" s="214" t="s">
        <v>5542</v>
      </c>
      <c r="G1127" s="214" t="s">
        <v>1654</v>
      </c>
      <c r="H1127" s="222" t="s">
        <v>5543</v>
      </c>
      <c r="I1127" s="214" t="s">
        <v>5544</v>
      </c>
      <c r="J1127" s="214" t="s">
        <v>5545</v>
      </c>
      <c r="K1127" s="214" t="s">
        <v>9401</v>
      </c>
      <c r="L1127" s="214" t="s">
        <v>1654</v>
      </c>
      <c r="M1127" s="214" t="s">
        <v>10057</v>
      </c>
      <c r="P1127" s="120"/>
    </row>
    <row r="1128" spans="1:16">
      <c r="A1128" s="214" t="s">
        <v>1655</v>
      </c>
      <c r="B1128" s="214" t="s">
        <v>1657</v>
      </c>
      <c r="C1128" s="222" t="s">
        <v>1656</v>
      </c>
      <c r="D1128" s="222" t="s">
        <v>1657</v>
      </c>
      <c r="E1128" s="222" t="s">
        <v>5546</v>
      </c>
      <c r="F1128" s="214" t="s">
        <v>5547</v>
      </c>
      <c r="G1128" s="214" t="s">
        <v>1656</v>
      </c>
      <c r="H1128" s="222" t="s">
        <v>5548</v>
      </c>
      <c r="I1128" s="214" t="s">
        <v>5549</v>
      </c>
      <c r="J1128" s="214" t="s">
        <v>5550</v>
      </c>
      <c r="K1128" s="214" t="s">
        <v>9402</v>
      </c>
      <c r="L1128" s="214" t="s">
        <v>1656</v>
      </c>
      <c r="M1128" s="214" t="s">
        <v>10058</v>
      </c>
      <c r="P1128" s="120"/>
    </row>
    <row r="1129" spans="1:16">
      <c r="A1129" s="214" t="s">
        <v>1658</v>
      </c>
      <c r="B1129" s="214" t="s">
        <v>1660</v>
      </c>
      <c r="C1129" s="222" t="s">
        <v>1659</v>
      </c>
      <c r="D1129" s="222" t="s">
        <v>1660</v>
      </c>
      <c r="E1129" s="222" t="s">
        <v>5551</v>
      </c>
      <c r="F1129" s="214" t="s">
        <v>5552</v>
      </c>
      <c r="G1129" s="214" t="s">
        <v>1659</v>
      </c>
      <c r="H1129" s="222" t="s">
        <v>5553</v>
      </c>
      <c r="I1129" s="214" t="s">
        <v>5554</v>
      </c>
      <c r="J1129" s="214" t="s">
        <v>5555</v>
      </c>
      <c r="K1129" s="214" t="s">
        <v>9403</v>
      </c>
      <c r="L1129" s="214" t="s">
        <v>1659</v>
      </c>
      <c r="M1129" s="214" t="s">
        <v>10059</v>
      </c>
      <c r="P1129" s="120"/>
    </row>
    <row r="1130" spans="1:16">
      <c r="A1130" s="214" t="s">
        <v>1661</v>
      </c>
      <c r="B1130" s="214" t="s">
        <v>1662</v>
      </c>
      <c r="C1130" s="222" t="s">
        <v>1662</v>
      </c>
      <c r="D1130" s="222" t="s">
        <v>1662</v>
      </c>
      <c r="E1130" s="222" t="s">
        <v>5556</v>
      </c>
      <c r="F1130" s="214" t="s">
        <v>5557</v>
      </c>
      <c r="G1130" s="214" t="s">
        <v>1662</v>
      </c>
      <c r="H1130" s="222" t="s">
        <v>5558</v>
      </c>
      <c r="I1130" s="214" t="s">
        <v>5559</v>
      </c>
      <c r="J1130" s="214" t="s">
        <v>5560</v>
      </c>
      <c r="K1130" s="214" t="s">
        <v>9404</v>
      </c>
      <c r="L1130" s="214" t="s">
        <v>1662</v>
      </c>
      <c r="M1130" s="214" t="s">
        <v>10060</v>
      </c>
      <c r="P1130" s="120"/>
    </row>
    <row r="1131" spans="1:16">
      <c r="A1131" s="214" t="s">
        <v>1663</v>
      </c>
      <c r="B1131" s="214" t="s">
        <v>1664</v>
      </c>
      <c r="C1131" s="222" t="s">
        <v>1664</v>
      </c>
      <c r="D1131" s="222" t="s">
        <v>1664</v>
      </c>
      <c r="E1131" s="222" t="s">
        <v>5561</v>
      </c>
      <c r="F1131" s="214" t="s">
        <v>5562</v>
      </c>
      <c r="G1131" s="214" t="s">
        <v>1664</v>
      </c>
      <c r="H1131" s="222" t="s">
        <v>5563</v>
      </c>
      <c r="I1131" s="214" t="s">
        <v>5564</v>
      </c>
      <c r="J1131" s="214" t="s">
        <v>5565</v>
      </c>
      <c r="K1131" s="223" t="s">
        <v>9405</v>
      </c>
      <c r="L1131" s="214" t="s">
        <v>1664</v>
      </c>
      <c r="M1131" s="214" t="s">
        <v>10061</v>
      </c>
      <c r="P1131" s="120"/>
    </row>
    <row r="1132" spans="1:16">
      <c r="A1132" s="214" t="s">
        <v>1665</v>
      </c>
      <c r="B1132" s="214" t="s">
        <v>1666</v>
      </c>
      <c r="C1132" s="222" t="s">
        <v>1666</v>
      </c>
      <c r="D1132" s="222" t="s">
        <v>1666</v>
      </c>
      <c r="E1132" s="222" t="s">
        <v>5566</v>
      </c>
      <c r="F1132" s="214" t="s">
        <v>5567</v>
      </c>
      <c r="G1132" s="214" t="s">
        <v>1666</v>
      </c>
      <c r="H1132" s="222" t="s">
        <v>5568</v>
      </c>
      <c r="I1132" s="214" t="s">
        <v>5569</v>
      </c>
      <c r="J1132" s="214" t="s">
        <v>5570</v>
      </c>
      <c r="K1132" s="223" t="s">
        <v>9406</v>
      </c>
      <c r="L1132" s="214" t="s">
        <v>1666</v>
      </c>
      <c r="M1132" s="214" t="s">
        <v>10062</v>
      </c>
      <c r="P1132" s="120"/>
    </row>
    <row r="1133" spans="1:16">
      <c r="A1133" s="214" t="s">
        <v>1667</v>
      </c>
      <c r="B1133" s="214" t="s">
        <v>1668</v>
      </c>
      <c r="C1133" s="222" t="s">
        <v>1668</v>
      </c>
      <c r="D1133" s="222" t="s">
        <v>1668</v>
      </c>
      <c r="E1133" s="222" t="s">
        <v>5571</v>
      </c>
      <c r="F1133" s="214" t="s">
        <v>5572</v>
      </c>
      <c r="G1133" s="214" t="s">
        <v>1668</v>
      </c>
      <c r="H1133" s="222" t="s">
        <v>5573</v>
      </c>
      <c r="I1133" s="214" t="s">
        <v>5574</v>
      </c>
      <c r="J1133" s="214" t="s">
        <v>5575</v>
      </c>
      <c r="K1133" s="223" t="s">
        <v>9407</v>
      </c>
      <c r="L1133" s="214" t="s">
        <v>1668</v>
      </c>
      <c r="M1133" s="214" t="s">
        <v>10063</v>
      </c>
      <c r="P1133" s="120"/>
    </row>
    <row r="1134" spans="1:16">
      <c r="A1134" s="214" t="s">
        <v>1669</v>
      </c>
      <c r="B1134" s="214" t="s">
        <v>1670</v>
      </c>
      <c r="C1134" s="222" t="s">
        <v>1670</v>
      </c>
      <c r="D1134" s="222" t="s">
        <v>1670</v>
      </c>
      <c r="E1134" s="222" t="s">
        <v>5576</v>
      </c>
      <c r="F1134" s="214" t="s">
        <v>5577</v>
      </c>
      <c r="G1134" s="214" t="s">
        <v>1670</v>
      </c>
      <c r="H1134" s="222" t="s">
        <v>5578</v>
      </c>
      <c r="I1134" s="214" t="s">
        <v>5579</v>
      </c>
      <c r="J1134" s="214" t="s">
        <v>5580</v>
      </c>
      <c r="K1134" s="223" t="s">
        <v>9408</v>
      </c>
      <c r="L1134" s="214" t="s">
        <v>1670</v>
      </c>
      <c r="M1134" s="214" t="s">
        <v>10064</v>
      </c>
      <c r="P1134" s="120"/>
    </row>
    <row r="1135" spans="1:16">
      <c r="A1135" s="214" t="s">
        <v>1671</v>
      </c>
      <c r="B1135" s="214" t="s">
        <v>1673</v>
      </c>
      <c r="C1135" s="222" t="s">
        <v>1672</v>
      </c>
      <c r="D1135" s="222" t="s">
        <v>1673</v>
      </c>
      <c r="E1135" s="222" t="s">
        <v>5581</v>
      </c>
      <c r="F1135" s="214" t="s">
        <v>5582</v>
      </c>
      <c r="G1135" s="214" t="s">
        <v>1672</v>
      </c>
      <c r="H1135" s="222" t="s">
        <v>5583</v>
      </c>
      <c r="I1135" s="214" t="s">
        <v>5584</v>
      </c>
      <c r="J1135" s="214" t="s">
        <v>5585</v>
      </c>
      <c r="K1135" s="223" t="s">
        <v>9409</v>
      </c>
      <c r="L1135" s="214" t="s">
        <v>1672</v>
      </c>
      <c r="M1135" s="214" t="s">
        <v>10065</v>
      </c>
      <c r="P1135" s="120"/>
    </row>
    <row r="1136" spans="1:16">
      <c r="A1136" s="214" t="s">
        <v>1674</v>
      </c>
      <c r="B1136" s="214" t="s">
        <v>1676</v>
      </c>
      <c r="C1136" s="222" t="s">
        <v>1675</v>
      </c>
      <c r="D1136" s="222" t="s">
        <v>1676</v>
      </c>
      <c r="E1136" s="222" t="s">
        <v>5586</v>
      </c>
      <c r="F1136" s="214" t="s">
        <v>5587</v>
      </c>
      <c r="G1136" s="214" t="s">
        <v>1675</v>
      </c>
      <c r="H1136" s="222" t="s">
        <v>5588</v>
      </c>
      <c r="I1136" s="214" t="s">
        <v>5589</v>
      </c>
      <c r="J1136" s="214" t="s">
        <v>5590</v>
      </c>
      <c r="K1136" s="214" t="s">
        <v>9410</v>
      </c>
      <c r="L1136" s="214" t="s">
        <v>1675</v>
      </c>
      <c r="M1136" s="214" t="s">
        <v>10066</v>
      </c>
      <c r="P1136" s="120"/>
    </row>
    <row r="1137" spans="1:16">
      <c r="A1137" s="214" t="s">
        <v>1677</v>
      </c>
      <c r="B1137" s="214" t="s">
        <v>1678</v>
      </c>
      <c r="C1137" s="222" t="s">
        <v>1678</v>
      </c>
      <c r="D1137" s="222" t="s">
        <v>1678</v>
      </c>
      <c r="E1137" s="222" t="s">
        <v>5591</v>
      </c>
      <c r="F1137" s="214" t="s">
        <v>5592</v>
      </c>
      <c r="G1137" s="214" t="s">
        <v>1678</v>
      </c>
      <c r="H1137" s="222" t="s">
        <v>5593</v>
      </c>
      <c r="I1137" s="214" t="s">
        <v>5594</v>
      </c>
      <c r="J1137" s="214" t="s">
        <v>5595</v>
      </c>
      <c r="K1137" s="223" t="s">
        <v>9411</v>
      </c>
      <c r="L1137" s="214" t="s">
        <v>1678</v>
      </c>
      <c r="M1137" s="214" t="s">
        <v>10067</v>
      </c>
      <c r="P1137" s="120"/>
    </row>
    <row r="1138" spans="1:16">
      <c r="A1138" s="214" t="s">
        <v>1679</v>
      </c>
      <c r="B1138" s="214" t="s">
        <v>1680</v>
      </c>
      <c r="C1138" s="222" t="s">
        <v>1680</v>
      </c>
      <c r="D1138" s="222" t="s">
        <v>1680</v>
      </c>
      <c r="E1138" s="222" t="s">
        <v>5596</v>
      </c>
      <c r="F1138" s="214" t="s">
        <v>5597</v>
      </c>
      <c r="G1138" s="214" t="s">
        <v>1680</v>
      </c>
      <c r="H1138" s="222" t="s">
        <v>5598</v>
      </c>
      <c r="I1138" s="214" t="s">
        <v>5599</v>
      </c>
      <c r="J1138" s="214" t="s">
        <v>5600</v>
      </c>
      <c r="K1138" s="223" t="s">
        <v>9412</v>
      </c>
      <c r="L1138" s="214" t="s">
        <v>1680</v>
      </c>
      <c r="M1138" s="214" t="s">
        <v>10068</v>
      </c>
      <c r="P1138" s="120"/>
    </row>
    <row r="1139" spans="1:16">
      <c r="A1139" s="214" t="s">
        <v>1681</v>
      </c>
      <c r="B1139" s="214" t="s">
        <v>1682</v>
      </c>
      <c r="C1139" s="222" t="s">
        <v>1682</v>
      </c>
      <c r="D1139" s="222" t="s">
        <v>1682</v>
      </c>
      <c r="E1139" s="222" t="s">
        <v>5601</v>
      </c>
      <c r="F1139" s="214" t="s">
        <v>5602</v>
      </c>
      <c r="G1139" s="214" t="s">
        <v>1682</v>
      </c>
      <c r="H1139" s="222" t="s">
        <v>5603</v>
      </c>
      <c r="I1139" s="214" t="s">
        <v>5604</v>
      </c>
      <c r="J1139" s="214" t="s">
        <v>5605</v>
      </c>
      <c r="K1139" s="223" t="s">
        <v>9413</v>
      </c>
      <c r="L1139" s="214" t="s">
        <v>1682</v>
      </c>
      <c r="M1139" s="214" t="s">
        <v>10069</v>
      </c>
      <c r="P1139" s="120"/>
    </row>
    <row r="1140" spans="1:16">
      <c r="A1140" s="214" t="s">
        <v>1683</v>
      </c>
      <c r="B1140" s="214" t="s">
        <v>1684</v>
      </c>
      <c r="C1140" s="222" t="s">
        <v>1684</v>
      </c>
      <c r="D1140" s="222" t="s">
        <v>1684</v>
      </c>
      <c r="E1140" s="222" t="s">
        <v>5606</v>
      </c>
      <c r="F1140" s="214" t="s">
        <v>5607</v>
      </c>
      <c r="G1140" s="214" t="s">
        <v>1684</v>
      </c>
      <c r="H1140" s="222" t="s">
        <v>5608</v>
      </c>
      <c r="I1140" s="214" t="s">
        <v>5609</v>
      </c>
      <c r="J1140" s="214" t="s">
        <v>5610</v>
      </c>
      <c r="K1140" s="223" t="s">
        <v>9414</v>
      </c>
      <c r="L1140" s="214" t="s">
        <v>1684</v>
      </c>
      <c r="M1140" s="214" t="s">
        <v>10070</v>
      </c>
      <c r="P1140" s="120"/>
    </row>
    <row r="1141" spans="1:16">
      <c r="A1141" s="214" t="s">
        <v>1685</v>
      </c>
      <c r="B1141" s="214" t="s">
        <v>1686</v>
      </c>
      <c r="C1141" s="222" t="s">
        <v>1686</v>
      </c>
      <c r="D1141" s="222" t="s">
        <v>1686</v>
      </c>
      <c r="E1141" s="222" t="s">
        <v>5611</v>
      </c>
      <c r="F1141" s="214" t="s">
        <v>5612</v>
      </c>
      <c r="G1141" s="214" t="s">
        <v>1686</v>
      </c>
      <c r="H1141" s="222" t="s">
        <v>5613</v>
      </c>
      <c r="I1141" s="214" t="s">
        <v>5614</v>
      </c>
      <c r="J1141" s="214" t="s">
        <v>5615</v>
      </c>
      <c r="K1141" s="214" t="s">
        <v>9415</v>
      </c>
      <c r="L1141" s="214" t="s">
        <v>1686</v>
      </c>
      <c r="M1141" s="214" t="s">
        <v>10071</v>
      </c>
      <c r="P1141" s="120"/>
    </row>
    <row r="1142" spans="1:16">
      <c r="A1142" s="214" t="s">
        <v>1687</v>
      </c>
      <c r="B1142" s="214" t="s">
        <v>1688</v>
      </c>
      <c r="C1142" s="222" t="s">
        <v>1688</v>
      </c>
      <c r="D1142" s="222" t="s">
        <v>1688</v>
      </c>
      <c r="E1142" s="222" t="s">
        <v>5616</v>
      </c>
      <c r="F1142" s="214" t="s">
        <v>5617</v>
      </c>
      <c r="G1142" s="214" t="s">
        <v>1688</v>
      </c>
      <c r="H1142" s="222" t="s">
        <v>5618</v>
      </c>
      <c r="I1142" s="214" t="s">
        <v>5619</v>
      </c>
      <c r="J1142" s="214" t="s">
        <v>5620</v>
      </c>
      <c r="K1142" s="214" t="s">
        <v>9416</v>
      </c>
      <c r="L1142" s="214" t="s">
        <v>1688</v>
      </c>
      <c r="M1142" s="214" t="s">
        <v>10072</v>
      </c>
      <c r="P1142" s="120"/>
    </row>
    <row r="1143" spans="1:16">
      <c r="A1143" s="214" t="s">
        <v>1689</v>
      </c>
      <c r="B1143" s="214" t="s">
        <v>1690</v>
      </c>
      <c r="C1143" s="222" t="s">
        <v>1690</v>
      </c>
      <c r="D1143" s="222" t="s">
        <v>1690</v>
      </c>
      <c r="E1143" s="222" t="s">
        <v>5621</v>
      </c>
      <c r="F1143" s="214" t="s">
        <v>5622</v>
      </c>
      <c r="G1143" s="214" t="s">
        <v>1690</v>
      </c>
      <c r="H1143" s="222" t="s">
        <v>5623</v>
      </c>
      <c r="I1143" s="214" t="s">
        <v>5624</v>
      </c>
      <c r="J1143" s="214" t="s">
        <v>5625</v>
      </c>
      <c r="K1143" s="223" t="s">
        <v>9417</v>
      </c>
      <c r="L1143" s="214" t="s">
        <v>1690</v>
      </c>
      <c r="M1143" s="214" t="s">
        <v>10073</v>
      </c>
      <c r="P1143" s="120"/>
    </row>
    <row r="1144" spans="1:16">
      <c r="A1144" s="214" t="s">
        <v>1691</v>
      </c>
      <c r="B1144" s="214" t="s">
        <v>1693</v>
      </c>
      <c r="C1144" s="222" t="s">
        <v>1692</v>
      </c>
      <c r="D1144" s="222" t="s">
        <v>1693</v>
      </c>
      <c r="E1144" s="222" t="s">
        <v>5626</v>
      </c>
      <c r="F1144" s="214" t="s">
        <v>5627</v>
      </c>
      <c r="G1144" s="214" t="s">
        <v>1692</v>
      </c>
      <c r="H1144" s="222" t="s">
        <v>5628</v>
      </c>
      <c r="I1144" s="214" t="s">
        <v>5629</v>
      </c>
      <c r="J1144" s="214" t="s">
        <v>5630</v>
      </c>
      <c r="K1144" s="214" t="s">
        <v>9418</v>
      </c>
      <c r="L1144" s="214" t="s">
        <v>1692</v>
      </c>
      <c r="M1144" s="214" t="s">
        <v>10074</v>
      </c>
      <c r="P1144" s="120"/>
    </row>
    <row r="1145" spans="1:16">
      <c r="A1145" s="214" t="s">
        <v>1694</v>
      </c>
      <c r="B1145" s="214" t="s">
        <v>1695</v>
      </c>
      <c r="C1145" s="222" t="s">
        <v>1695</v>
      </c>
      <c r="D1145" s="222" t="s">
        <v>1695</v>
      </c>
      <c r="E1145" s="222" t="s">
        <v>5631</v>
      </c>
      <c r="F1145" s="214" t="s">
        <v>5632</v>
      </c>
      <c r="G1145" s="214" t="s">
        <v>1695</v>
      </c>
      <c r="H1145" s="222" t="s">
        <v>5633</v>
      </c>
      <c r="I1145" s="214" t="s">
        <v>5634</v>
      </c>
      <c r="J1145" s="214" t="s">
        <v>5635</v>
      </c>
      <c r="K1145" s="214" t="s">
        <v>9419</v>
      </c>
      <c r="L1145" s="214" t="s">
        <v>1695</v>
      </c>
      <c r="M1145" s="214" t="s">
        <v>10075</v>
      </c>
      <c r="P1145" s="120"/>
    </row>
    <row r="1146" spans="1:16">
      <c r="A1146" s="214" t="s">
        <v>1696</v>
      </c>
      <c r="B1146" s="214" t="s">
        <v>1697</v>
      </c>
      <c r="C1146" s="222" t="s">
        <v>1697</v>
      </c>
      <c r="D1146" s="222" t="s">
        <v>1697</v>
      </c>
      <c r="E1146" s="222" t="s">
        <v>5636</v>
      </c>
      <c r="F1146" s="214" t="s">
        <v>5637</v>
      </c>
      <c r="G1146" s="214" t="s">
        <v>1697</v>
      </c>
      <c r="H1146" s="222" t="s">
        <v>5638</v>
      </c>
      <c r="I1146" s="214" t="s">
        <v>5639</v>
      </c>
      <c r="J1146" s="214" t="s">
        <v>5640</v>
      </c>
      <c r="K1146" s="214" t="s">
        <v>9420</v>
      </c>
      <c r="L1146" s="214" t="s">
        <v>1697</v>
      </c>
      <c r="M1146" s="214" t="s">
        <v>10076</v>
      </c>
      <c r="P1146" s="120"/>
    </row>
    <row r="1147" spans="1:16">
      <c r="A1147" s="214" t="s">
        <v>1698</v>
      </c>
      <c r="B1147" s="214" t="s">
        <v>1699</v>
      </c>
      <c r="C1147" s="222" t="s">
        <v>1699</v>
      </c>
      <c r="D1147" s="222" t="s">
        <v>1699</v>
      </c>
      <c r="E1147" s="222" t="s">
        <v>5641</v>
      </c>
      <c r="F1147" s="214" t="s">
        <v>5642</v>
      </c>
      <c r="G1147" s="214" t="s">
        <v>1699</v>
      </c>
      <c r="H1147" s="222" t="s">
        <v>5643</v>
      </c>
      <c r="I1147" s="214" t="s">
        <v>5644</v>
      </c>
      <c r="J1147" s="214" t="s">
        <v>5645</v>
      </c>
      <c r="K1147" s="214" t="s">
        <v>9421</v>
      </c>
      <c r="L1147" s="214" t="s">
        <v>1699</v>
      </c>
      <c r="M1147" s="214" t="s">
        <v>10077</v>
      </c>
      <c r="P1147" s="120"/>
    </row>
    <row r="1148" spans="1:16">
      <c r="A1148" s="214" t="s">
        <v>1700</v>
      </c>
      <c r="B1148" s="214" t="s">
        <v>1701</v>
      </c>
      <c r="C1148" s="222" t="s">
        <v>1701</v>
      </c>
      <c r="D1148" s="222" t="s">
        <v>1701</v>
      </c>
      <c r="E1148" s="222" t="s">
        <v>5646</v>
      </c>
      <c r="F1148" s="214" t="s">
        <v>5647</v>
      </c>
      <c r="G1148" s="214" t="s">
        <v>1701</v>
      </c>
      <c r="H1148" s="222" t="s">
        <v>5648</v>
      </c>
      <c r="I1148" s="214" t="s">
        <v>5649</v>
      </c>
      <c r="J1148" s="214" t="s">
        <v>5650</v>
      </c>
      <c r="K1148" s="214" t="s">
        <v>9422</v>
      </c>
      <c r="L1148" s="214" t="s">
        <v>1701</v>
      </c>
      <c r="M1148" s="214" t="s">
        <v>10078</v>
      </c>
      <c r="P1148" s="120"/>
    </row>
    <row r="1149" spans="1:16">
      <c r="A1149" s="214" t="s">
        <v>1702</v>
      </c>
      <c r="B1149" s="214" t="s">
        <v>1703</v>
      </c>
      <c r="C1149" s="222" t="s">
        <v>1703</v>
      </c>
      <c r="D1149" s="222" t="s">
        <v>1703</v>
      </c>
      <c r="E1149" s="222" t="s">
        <v>5651</v>
      </c>
      <c r="F1149" s="214" t="s">
        <v>5652</v>
      </c>
      <c r="G1149" s="214" t="s">
        <v>1703</v>
      </c>
      <c r="H1149" s="222" t="s">
        <v>5653</v>
      </c>
      <c r="I1149" s="214" t="s">
        <v>5654</v>
      </c>
      <c r="J1149" s="214" t="s">
        <v>5655</v>
      </c>
      <c r="K1149" s="223" t="s">
        <v>9423</v>
      </c>
      <c r="L1149" s="214" t="s">
        <v>1703</v>
      </c>
      <c r="M1149" s="214" t="s">
        <v>10079</v>
      </c>
      <c r="P1149" s="120"/>
    </row>
    <row r="1150" spans="1:16">
      <c r="A1150" s="214" t="s">
        <v>1704</v>
      </c>
      <c r="B1150" s="214" t="s">
        <v>1705</v>
      </c>
      <c r="C1150" s="222" t="s">
        <v>1705</v>
      </c>
      <c r="D1150" s="222" t="s">
        <v>1705</v>
      </c>
      <c r="E1150" s="222" t="s">
        <v>5656</v>
      </c>
      <c r="F1150" s="214" t="s">
        <v>5657</v>
      </c>
      <c r="G1150" s="214" t="s">
        <v>1705</v>
      </c>
      <c r="H1150" s="222" t="s">
        <v>5658</v>
      </c>
      <c r="I1150" s="214" t="s">
        <v>5659</v>
      </c>
      <c r="J1150" s="214" t="s">
        <v>5660</v>
      </c>
      <c r="K1150" s="214" t="s">
        <v>9424</v>
      </c>
      <c r="L1150" s="214" t="s">
        <v>1705</v>
      </c>
      <c r="M1150" s="214" t="s">
        <v>10080</v>
      </c>
      <c r="P1150" s="120"/>
    </row>
    <row r="1151" spans="1:16">
      <c r="A1151" s="214" t="s">
        <v>1706</v>
      </c>
      <c r="B1151" s="214" t="s">
        <v>1708</v>
      </c>
      <c r="C1151" s="222" t="s">
        <v>1707</v>
      </c>
      <c r="D1151" s="222" t="s">
        <v>1708</v>
      </c>
      <c r="E1151" s="222" t="s">
        <v>5661</v>
      </c>
      <c r="F1151" s="214" t="s">
        <v>5662</v>
      </c>
      <c r="G1151" s="214" t="s">
        <v>1707</v>
      </c>
      <c r="H1151" s="222" t="s">
        <v>5663</v>
      </c>
      <c r="I1151" s="214" t="s">
        <v>5664</v>
      </c>
      <c r="J1151" s="214" t="s">
        <v>5665</v>
      </c>
      <c r="K1151" s="214" t="s">
        <v>9425</v>
      </c>
      <c r="L1151" s="214" t="s">
        <v>1707</v>
      </c>
      <c r="M1151" s="214" t="s">
        <v>10081</v>
      </c>
      <c r="P1151" s="120"/>
    </row>
    <row r="1152" spans="1:16">
      <c r="A1152" s="214" t="s">
        <v>1709</v>
      </c>
      <c r="B1152" s="214" t="s">
        <v>1710</v>
      </c>
      <c r="C1152" s="222" t="s">
        <v>1710</v>
      </c>
      <c r="D1152" s="222" t="s">
        <v>1710</v>
      </c>
      <c r="E1152" s="222" t="s">
        <v>5666</v>
      </c>
      <c r="F1152" s="214" t="s">
        <v>5667</v>
      </c>
      <c r="G1152" s="214" t="s">
        <v>1710</v>
      </c>
      <c r="H1152" s="222" t="s">
        <v>5668</v>
      </c>
      <c r="I1152" s="214" t="s">
        <v>5669</v>
      </c>
      <c r="J1152" s="214" t="s">
        <v>5670</v>
      </c>
      <c r="K1152" s="214" t="s">
        <v>9426</v>
      </c>
      <c r="L1152" s="214" t="s">
        <v>1710</v>
      </c>
      <c r="M1152" s="214" t="s">
        <v>10082</v>
      </c>
      <c r="P1152" s="120"/>
    </row>
    <row r="1153" spans="1:16">
      <c r="A1153" s="214" t="s">
        <v>1711</v>
      </c>
      <c r="B1153" s="214" t="s">
        <v>1713</v>
      </c>
      <c r="C1153" s="222" t="s">
        <v>1712</v>
      </c>
      <c r="D1153" s="222" t="s">
        <v>1713</v>
      </c>
      <c r="E1153" s="222" t="s">
        <v>5671</v>
      </c>
      <c r="F1153" s="214" t="s">
        <v>5672</v>
      </c>
      <c r="G1153" s="214" t="s">
        <v>1712</v>
      </c>
      <c r="H1153" s="222" t="s">
        <v>5673</v>
      </c>
      <c r="I1153" s="214" t="s">
        <v>5674</v>
      </c>
      <c r="J1153" s="214" t="s">
        <v>5675</v>
      </c>
      <c r="K1153" s="214" t="s">
        <v>9427</v>
      </c>
      <c r="L1153" s="214" t="s">
        <v>1712</v>
      </c>
      <c r="M1153" s="214" t="s">
        <v>10083</v>
      </c>
      <c r="P1153" s="120"/>
    </row>
    <row r="1154" spans="1:16">
      <c r="A1154" s="214" t="s">
        <v>1714</v>
      </c>
      <c r="B1154" s="214" t="s">
        <v>1716</v>
      </c>
      <c r="C1154" s="222" t="s">
        <v>1715</v>
      </c>
      <c r="D1154" s="222" t="s">
        <v>1716</v>
      </c>
      <c r="E1154" s="222" t="s">
        <v>5676</v>
      </c>
      <c r="F1154" s="214" t="s">
        <v>5677</v>
      </c>
      <c r="G1154" s="214" t="s">
        <v>1715</v>
      </c>
      <c r="H1154" s="222" t="s">
        <v>5678</v>
      </c>
      <c r="I1154" s="214" t="s">
        <v>5679</v>
      </c>
      <c r="J1154" s="214" t="s">
        <v>5680</v>
      </c>
      <c r="K1154" s="214" t="s">
        <v>9428</v>
      </c>
      <c r="L1154" s="214" t="s">
        <v>1715</v>
      </c>
      <c r="M1154" s="214" t="s">
        <v>10084</v>
      </c>
      <c r="P1154" s="120"/>
    </row>
    <row r="1155" spans="1:16">
      <c r="A1155" s="214" t="s">
        <v>1717</v>
      </c>
      <c r="B1155" s="214" t="s">
        <v>1718</v>
      </c>
      <c r="C1155" s="222" t="s">
        <v>1718</v>
      </c>
      <c r="D1155" s="222" t="s">
        <v>1718</v>
      </c>
      <c r="E1155" s="222" t="s">
        <v>5681</v>
      </c>
      <c r="F1155" s="214" t="s">
        <v>5682</v>
      </c>
      <c r="G1155" s="214" t="s">
        <v>1718</v>
      </c>
      <c r="H1155" s="222" t="s">
        <v>5683</v>
      </c>
      <c r="I1155" s="214" t="s">
        <v>5684</v>
      </c>
      <c r="J1155" s="214" t="s">
        <v>5685</v>
      </c>
      <c r="K1155" s="223" t="s">
        <v>9429</v>
      </c>
      <c r="L1155" s="214" t="s">
        <v>1718</v>
      </c>
      <c r="M1155" s="214" t="s">
        <v>10085</v>
      </c>
      <c r="P1155" s="120"/>
    </row>
    <row r="1156" spans="1:16">
      <c r="A1156" s="214" t="s">
        <v>1719</v>
      </c>
      <c r="B1156" s="214" t="s">
        <v>1721</v>
      </c>
      <c r="C1156" s="222" t="s">
        <v>1720</v>
      </c>
      <c r="D1156" s="222" t="s">
        <v>1721</v>
      </c>
      <c r="E1156" s="222" t="s">
        <v>5686</v>
      </c>
      <c r="F1156" s="214" t="s">
        <v>5687</v>
      </c>
      <c r="G1156" s="214" t="s">
        <v>1720</v>
      </c>
      <c r="H1156" s="222" t="s">
        <v>5688</v>
      </c>
      <c r="I1156" s="214" t="s">
        <v>5689</v>
      </c>
      <c r="J1156" s="214" t="s">
        <v>5690</v>
      </c>
      <c r="K1156" s="223" t="s">
        <v>9430</v>
      </c>
      <c r="L1156" s="214" t="s">
        <v>1720</v>
      </c>
      <c r="M1156" s="214" t="s">
        <v>10086</v>
      </c>
      <c r="P1156" s="120"/>
    </row>
    <row r="1157" spans="1:16">
      <c r="A1157" s="214" t="s">
        <v>1722</v>
      </c>
      <c r="B1157" s="214" t="s">
        <v>1724</v>
      </c>
      <c r="C1157" s="222" t="s">
        <v>1723</v>
      </c>
      <c r="D1157" s="222" t="s">
        <v>1724</v>
      </c>
      <c r="E1157" s="222" t="s">
        <v>5691</v>
      </c>
      <c r="F1157" s="214" t="s">
        <v>5692</v>
      </c>
      <c r="G1157" s="214" t="s">
        <v>1723</v>
      </c>
      <c r="H1157" s="222" t="s">
        <v>5693</v>
      </c>
      <c r="I1157" s="214" t="s">
        <v>5694</v>
      </c>
      <c r="J1157" s="214" t="s">
        <v>5695</v>
      </c>
      <c r="K1157" s="223" t="s">
        <v>9431</v>
      </c>
      <c r="L1157" s="214" t="s">
        <v>1723</v>
      </c>
      <c r="M1157" s="214" t="s">
        <v>10087</v>
      </c>
      <c r="P1157" s="120"/>
    </row>
    <row r="1158" spans="1:16">
      <c r="A1158" s="214" t="s">
        <v>1725</v>
      </c>
      <c r="B1158" s="214" t="s">
        <v>1726</v>
      </c>
      <c r="C1158" s="222" t="s">
        <v>1726</v>
      </c>
      <c r="D1158" s="222" t="s">
        <v>1726</v>
      </c>
      <c r="E1158" s="222" t="s">
        <v>5696</v>
      </c>
      <c r="F1158" s="214" t="s">
        <v>5697</v>
      </c>
      <c r="G1158" s="214" t="s">
        <v>1726</v>
      </c>
      <c r="H1158" s="222" t="s">
        <v>5698</v>
      </c>
      <c r="I1158" s="214" t="s">
        <v>5699</v>
      </c>
      <c r="J1158" s="214" t="s">
        <v>5700</v>
      </c>
      <c r="K1158" s="223" t="s">
        <v>9432</v>
      </c>
      <c r="L1158" s="214" t="s">
        <v>1726</v>
      </c>
      <c r="M1158" s="214" t="s">
        <v>10088</v>
      </c>
      <c r="P1158" s="120"/>
    </row>
    <row r="1159" spans="1:16">
      <c r="A1159" s="214" t="s">
        <v>1727</v>
      </c>
      <c r="B1159" s="214" t="s">
        <v>1729</v>
      </c>
      <c r="C1159" s="222" t="s">
        <v>1728</v>
      </c>
      <c r="D1159" s="222" t="s">
        <v>1729</v>
      </c>
      <c r="E1159" s="222" t="s">
        <v>5701</v>
      </c>
      <c r="F1159" s="214" t="s">
        <v>5702</v>
      </c>
      <c r="G1159" s="214" t="s">
        <v>1728</v>
      </c>
      <c r="H1159" s="222" t="s">
        <v>5703</v>
      </c>
      <c r="I1159" s="214" t="s">
        <v>5704</v>
      </c>
      <c r="J1159" s="214" t="s">
        <v>5705</v>
      </c>
      <c r="K1159" s="214" t="s">
        <v>9330</v>
      </c>
      <c r="L1159" s="214" t="s">
        <v>1728</v>
      </c>
      <c r="M1159" s="214" t="s">
        <v>10089</v>
      </c>
      <c r="P1159" s="120"/>
    </row>
    <row r="1160" spans="1:16">
      <c r="A1160" s="214" t="s">
        <v>1730</v>
      </c>
      <c r="B1160" s="214" t="s">
        <v>1731</v>
      </c>
      <c r="C1160" s="222" t="s">
        <v>1731</v>
      </c>
      <c r="D1160" s="222" t="s">
        <v>1731</v>
      </c>
      <c r="E1160" s="222" t="s">
        <v>5706</v>
      </c>
      <c r="F1160" s="214" t="s">
        <v>5707</v>
      </c>
      <c r="G1160" s="214" t="s">
        <v>1731</v>
      </c>
      <c r="H1160" s="222" t="s">
        <v>5708</v>
      </c>
      <c r="I1160" s="214" t="s">
        <v>5709</v>
      </c>
      <c r="J1160" s="214" t="s">
        <v>5710</v>
      </c>
      <c r="K1160" s="223" t="s">
        <v>9433</v>
      </c>
      <c r="L1160" s="214" t="s">
        <v>1731</v>
      </c>
      <c r="M1160" s="214" t="s">
        <v>10090</v>
      </c>
      <c r="P1160" s="120"/>
    </row>
    <row r="1161" spans="1:16">
      <c r="A1161" s="214" t="s">
        <v>1732</v>
      </c>
      <c r="B1161" s="214" t="s">
        <v>1734</v>
      </c>
      <c r="C1161" s="222" t="s">
        <v>1733</v>
      </c>
      <c r="D1161" s="222" t="s">
        <v>1734</v>
      </c>
      <c r="E1161" s="222" t="s">
        <v>5711</v>
      </c>
      <c r="F1161" s="214" t="s">
        <v>5712</v>
      </c>
      <c r="G1161" s="214" t="s">
        <v>1733</v>
      </c>
      <c r="H1161" s="222" t="s">
        <v>5713</v>
      </c>
      <c r="I1161" s="214" t="s">
        <v>5714</v>
      </c>
      <c r="J1161" s="214" t="s">
        <v>5715</v>
      </c>
      <c r="K1161" s="223" t="s">
        <v>9434</v>
      </c>
      <c r="L1161" s="214" t="s">
        <v>1733</v>
      </c>
      <c r="M1161" s="214" t="s">
        <v>10091</v>
      </c>
      <c r="P1161" s="120"/>
    </row>
    <row r="1162" spans="1:16">
      <c r="A1162" s="214" t="s">
        <v>1735</v>
      </c>
      <c r="B1162" s="214" t="s">
        <v>1737</v>
      </c>
      <c r="C1162" s="222" t="s">
        <v>1736</v>
      </c>
      <c r="D1162" s="222" t="s">
        <v>1737</v>
      </c>
      <c r="E1162" s="222" t="s">
        <v>5716</v>
      </c>
      <c r="F1162" s="214" t="s">
        <v>5717</v>
      </c>
      <c r="G1162" s="214" t="s">
        <v>1736</v>
      </c>
      <c r="H1162" s="222" t="s">
        <v>5718</v>
      </c>
      <c r="I1162" s="214" t="s">
        <v>5719</v>
      </c>
      <c r="J1162" s="214" t="s">
        <v>5720</v>
      </c>
      <c r="K1162" s="223" t="s">
        <v>9435</v>
      </c>
      <c r="L1162" s="214" t="s">
        <v>1736</v>
      </c>
      <c r="M1162" s="214" t="s">
        <v>10092</v>
      </c>
      <c r="P1162" s="120"/>
    </row>
    <row r="1163" spans="1:16">
      <c r="A1163" s="214" t="s">
        <v>1738</v>
      </c>
      <c r="B1163" s="214" t="s">
        <v>1739</v>
      </c>
      <c r="C1163" s="222" t="s">
        <v>1739</v>
      </c>
      <c r="D1163" s="222" t="s">
        <v>1739</v>
      </c>
      <c r="E1163" s="222" t="s">
        <v>5721</v>
      </c>
      <c r="F1163" s="214" t="s">
        <v>5722</v>
      </c>
      <c r="G1163" s="214" t="s">
        <v>1739</v>
      </c>
      <c r="H1163" s="222" t="s">
        <v>5723</v>
      </c>
      <c r="I1163" s="214" t="s">
        <v>5724</v>
      </c>
      <c r="J1163" s="214" t="s">
        <v>5725</v>
      </c>
      <c r="K1163" s="223" t="s">
        <v>9436</v>
      </c>
      <c r="L1163" s="214" t="s">
        <v>1739</v>
      </c>
      <c r="M1163" s="214" t="s">
        <v>10093</v>
      </c>
      <c r="P1163" s="120"/>
    </row>
    <row r="1164" spans="1:16">
      <c r="A1164" s="214" t="s">
        <v>1740</v>
      </c>
      <c r="B1164" s="214" t="s">
        <v>1741</v>
      </c>
      <c r="C1164" s="222" t="s">
        <v>1741</v>
      </c>
      <c r="D1164" s="222" t="s">
        <v>1741</v>
      </c>
      <c r="E1164" s="222" t="s">
        <v>5726</v>
      </c>
      <c r="F1164" s="214" t="s">
        <v>5727</v>
      </c>
      <c r="G1164" s="214" t="s">
        <v>1741</v>
      </c>
      <c r="H1164" s="222" t="s">
        <v>5728</v>
      </c>
      <c r="I1164" s="214" t="s">
        <v>5729</v>
      </c>
      <c r="J1164" s="214" t="s">
        <v>5730</v>
      </c>
      <c r="K1164" s="223" t="s">
        <v>9437</v>
      </c>
      <c r="L1164" s="214" t="s">
        <v>1741</v>
      </c>
      <c r="M1164" s="214" t="s">
        <v>10094</v>
      </c>
      <c r="P1164" s="120"/>
    </row>
    <row r="1165" spans="1:16">
      <c r="A1165" s="214" t="s">
        <v>1742</v>
      </c>
      <c r="B1165" s="214" t="s">
        <v>1743</v>
      </c>
      <c r="C1165" s="222" t="s">
        <v>1743</v>
      </c>
      <c r="D1165" s="222" t="s">
        <v>1743</v>
      </c>
      <c r="E1165" s="222" t="s">
        <v>5731</v>
      </c>
      <c r="F1165" s="214" t="s">
        <v>5732</v>
      </c>
      <c r="G1165" s="214" t="s">
        <v>1743</v>
      </c>
      <c r="H1165" s="222" t="s">
        <v>5733</v>
      </c>
      <c r="I1165" s="214" t="s">
        <v>5734</v>
      </c>
      <c r="J1165" s="214" t="s">
        <v>5735</v>
      </c>
      <c r="K1165" s="214" t="s">
        <v>9438</v>
      </c>
      <c r="L1165" s="214" t="s">
        <v>1743</v>
      </c>
      <c r="M1165" s="214" t="s">
        <v>10095</v>
      </c>
      <c r="P1165" s="120"/>
    </row>
    <row r="1166" spans="1:16">
      <c r="A1166" s="214" t="s">
        <v>1744</v>
      </c>
      <c r="B1166" s="214" t="s">
        <v>1745</v>
      </c>
      <c r="C1166" s="222" t="s">
        <v>1745</v>
      </c>
      <c r="D1166" s="222" t="s">
        <v>1745</v>
      </c>
      <c r="E1166" s="222" t="s">
        <v>5736</v>
      </c>
      <c r="F1166" s="214" t="s">
        <v>5737</v>
      </c>
      <c r="G1166" s="214" t="s">
        <v>1745</v>
      </c>
      <c r="H1166" s="222" t="s">
        <v>5738</v>
      </c>
      <c r="I1166" s="214" t="s">
        <v>5739</v>
      </c>
      <c r="J1166" s="214" t="s">
        <v>5740</v>
      </c>
      <c r="K1166" s="223" t="s">
        <v>9439</v>
      </c>
      <c r="L1166" s="214" t="s">
        <v>1745</v>
      </c>
      <c r="M1166" s="214" t="s">
        <v>10096</v>
      </c>
      <c r="P1166" s="120"/>
    </row>
    <row r="1167" spans="1:16">
      <c r="A1167" s="214" t="s">
        <v>1746</v>
      </c>
      <c r="B1167" s="214" t="s">
        <v>1747</v>
      </c>
      <c r="C1167" s="222" t="s">
        <v>1747</v>
      </c>
      <c r="D1167" s="222" t="s">
        <v>1747</v>
      </c>
      <c r="E1167" s="222" t="s">
        <v>5741</v>
      </c>
      <c r="F1167" s="214" t="s">
        <v>5742</v>
      </c>
      <c r="G1167" s="214" t="s">
        <v>1747</v>
      </c>
      <c r="H1167" s="222" t="s">
        <v>5743</v>
      </c>
      <c r="I1167" s="214" t="s">
        <v>5744</v>
      </c>
      <c r="J1167" s="214" t="s">
        <v>5745</v>
      </c>
      <c r="K1167" s="223" t="s">
        <v>9440</v>
      </c>
      <c r="L1167" s="214" t="s">
        <v>1747</v>
      </c>
      <c r="M1167" s="214" t="s">
        <v>10097</v>
      </c>
      <c r="P1167" s="120"/>
    </row>
    <row r="1168" spans="1:16">
      <c r="A1168" s="214" t="s">
        <v>1748</v>
      </c>
      <c r="B1168" s="214" t="s">
        <v>1749</v>
      </c>
      <c r="C1168" s="222" t="s">
        <v>1749</v>
      </c>
      <c r="D1168" s="222" t="s">
        <v>1749</v>
      </c>
      <c r="E1168" s="222" t="s">
        <v>5746</v>
      </c>
      <c r="F1168" s="214" t="s">
        <v>5747</v>
      </c>
      <c r="G1168" s="214" t="s">
        <v>1749</v>
      </c>
      <c r="H1168" s="222" t="s">
        <v>5748</v>
      </c>
      <c r="I1168" s="214" t="s">
        <v>5749</v>
      </c>
      <c r="J1168" s="214" t="s">
        <v>5750</v>
      </c>
      <c r="K1168" s="223" t="s">
        <v>9441</v>
      </c>
      <c r="L1168" s="214" t="s">
        <v>1749</v>
      </c>
      <c r="M1168" s="214" t="s">
        <v>10098</v>
      </c>
      <c r="P1168" s="120"/>
    </row>
    <row r="1169" spans="1:16">
      <c r="A1169" s="214" t="s">
        <v>1750</v>
      </c>
      <c r="B1169" s="214" t="s">
        <v>1751</v>
      </c>
      <c r="C1169" s="222" t="s">
        <v>1751</v>
      </c>
      <c r="D1169" s="222" t="s">
        <v>1751</v>
      </c>
      <c r="E1169" s="222" t="s">
        <v>5751</v>
      </c>
      <c r="F1169" s="214" t="s">
        <v>5752</v>
      </c>
      <c r="G1169" s="214" t="s">
        <v>1751</v>
      </c>
      <c r="H1169" s="222" t="s">
        <v>5753</v>
      </c>
      <c r="I1169" s="214" t="s">
        <v>5754</v>
      </c>
      <c r="J1169" s="214" t="s">
        <v>5755</v>
      </c>
      <c r="K1169" s="214" t="s">
        <v>9442</v>
      </c>
      <c r="L1169" s="214" t="s">
        <v>1751</v>
      </c>
      <c r="M1169" s="214" t="s">
        <v>10099</v>
      </c>
      <c r="P1169" s="120"/>
    </row>
    <row r="1170" spans="1:16">
      <c r="A1170" s="214" t="s">
        <v>1752</v>
      </c>
      <c r="B1170" s="214" t="s">
        <v>1753</v>
      </c>
      <c r="C1170" s="222" t="s">
        <v>1753</v>
      </c>
      <c r="D1170" s="222" t="s">
        <v>1753</v>
      </c>
      <c r="E1170" s="222" t="s">
        <v>5756</v>
      </c>
      <c r="F1170" s="214" t="s">
        <v>5757</v>
      </c>
      <c r="G1170" s="214" t="s">
        <v>1753</v>
      </c>
      <c r="H1170" s="222" t="s">
        <v>5758</v>
      </c>
      <c r="I1170" s="214" t="s">
        <v>5759</v>
      </c>
      <c r="J1170" s="214" t="s">
        <v>5760</v>
      </c>
      <c r="K1170" s="223" t="s">
        <v>9443</v>
      </c>
      <c r="L1170" s="214" t="s">
        <v>10657</v>
      </c>
      <c r="M1170" s="214" t="s">
        <v>10100</v>
      </c>
      <c r="P1170" s="120"/>
    </row>
    <row r="1171" spans="1:16">
      <c r="A1171" s="214" t="s">
        <v>1754</v>
      </c>
      <c r="B1171" s="214" t="s">
        <v>1755</v>
      </c>
      <c r="C1171" s="222" t="s">
        <v>1755</v>
      </c>
      <c r="D1171" s="222" t="s">
        <v>1755</v>
      </c>
      <c r="E1171" s="222" t="s">
        <v>5761</v>
      </c>
      <c r="F1171" s="214" t="s">
        <v>5762</v>
      </c>
      <c r="G1171" s="214" t="s">
        <v>1755</v>
      </c>
      <c r="H1171" s="222" t="s">
        <v>5763</v>
      </c>
      <c r="I1171" s="214" t="s">
        <v>5764</v>
      </c>
      <c r="J1171" s="214" t="s">
        <v>5765</v>
      </c>
      <c r="K1171" s="214" t="s">
        <v>9444</v>
      </c>
      <c r="L1171" s="214" t="s">
        <v>1755</v>
      </c>
      <c r="M1171" s="214" t="s">
        <v>10101</v>
      </c>
      <c r="P1171" s="120"/>
    </row>
    <row r="1172" spans="1:16">
      <c r="A1172" s="214" t="s">
        <v>1756</v>
      </c>
      <c r="B1172" s="214" t="s">
        <v>1757</v>
      </c>
      <c r="C1172" s="222" t="s">
        <v>1757</v>
      </c>
      <c r="D1172" s="222" t="s">
        <v>1757</v>
      </c>
      <c r="E1172" s="222" t="s">
        <v>5766</v>
      </c>
      <c r="F1172" s="214" t="s">
        <v>5767</v>
      </c>
      <c r="G1172" s="214" t="s">
        <v>1757</v>
      </c>
      <c r="H1172" s="222" t="s">
        <v>5768</v>
      </c>
      <c r="I1172" s="214" t="s">
        <v>5769</v>
      </c>
      <c r="J1172" s="214" t="s">
        <v>5770</v>
      </c>
      <c r="K1172" s="214" t="s">
        <v>9445</v>
      </c>
      <c r="L1172" s="214" t="s">
        <v>1757</v>
      </c>
      <c r="M1172" s="214" t="s">
        <v>10102</v>
      </c>
      <c r="P1172" s="120"/>
    </row>
    <row r="1173" spans="1:16">
      <c r="A1173" s="214" t="s">
        <v>1758</v>
      </c>
      <c r="B1173" s="214" t="s">
        <v>1759</v>
      </c>
      <c r="C1173" s="222" t="s">
        <v>1759</v>
      </c>
      <c r="D1173" s="222" t="s">
        <v>1759</v>
      </c>
      <c r="E1173" s="222" t="s">
        <v>5771</v>
      </c>
      <c r="F1173" s="214" t="s">
        <v>5772</v>
      </c>
      <c r="G1173" s="214" t="s">
        <v>1759</v>
      </c>
      <c r="H1173" s="222" t="s">
        <v>5773</v>
      </c>
      <c r="I1173" s="214" t="s">
        <v>5774</v>
      </c>
      <c r="J1173" s="214" t="s">
        <v>5775</v>
      </c>
      <c r="K1173" s="214" t="s">
        <v>9446</v>
      </c>
      <c r="L1173" s="214" t="s">
        <v>1759</v>
      </c>
      <c r="M1173" s="214" t="s">
        <v>10103</v>
      </c>
      <c r="P1173" s="120"/>
    </row>
    <row r="1174" spans="1:16">
      <c r="A1174" s="214" t="s">
        <v>1760</v>
      </c>
      <c r="B1174" s="214" t="s">
        <v>1761</v>
      </c>
      <c r="C1174" s="222" t="s">
        <v>1761</v>
      </c>
      <c r="D1174" s="222" t="s">
        <v>1761</v>
      </c>
      <c r="E1174" s="222" t="s">
        <v>5776</v>
      </c>
      <c r="F1174" s="214" t="s">
        <v>5777</v>
      </c>
      <c r="G1174" s="214" t="s">
        <v>1761</v>
      </c>
      <c r="H1174" s="222" t="s">
        <v>5778</v>
      </c>
      <c r="I1174" s="214" t="s">
        <v>5779</v>
      </c>
      <c r="J1174" s="214" t="s">
        <v>5780</v>
      </c>
      <c r="K1174" s="214" t="s">
        <v>9447</v>
      </c>
      <c r="L1174" s="214" t="s">
        <v>1761</v>
      </c>
      <c r="M1174" s="214" t="s">
        <v>10104</v>
      </c>
      <c r="P1174" s="120"/>
    </row>
    <row r="1175" spans="1:16">
      <c r="A1175" s="214" t="s">
        <v>1762</v>
      </c>
      <c r="B1175" s="214" t="s">
        <v>1763</v>
      </c>
      <c r="C1175" s="222" t="s">
        <v>1763</v>
      </c>
      <c r="D1175" s="222" t="s">
        <v>1763</v>
      </c>
      <c r="E1175" s="222" t="s">
        <v>5781</v>
      </c>
      <c r="F1175" s="214" t="s">
        <v>5782</v>
      </c>
      <c r="G1175" s="214" t="s">
        <v>1763</v>
      </c>
      <c r="H1175" s="222" t="s">
        <v>5783</v>
      </c>
      <c r="I1175" s="214" t="s">
        <v>5784</v>
      </c>
      <c r="J1175" s="214" t="s">
        <v>5785</v>
      </c>
      <c r="K1175" s="214" t="s">
        <v>9448</v>
      </c>
      <c r="L1175" s="214" t="s">
        <v>1763</v>
      </c>
      <c r="M1175" s="214" t="s">
        <v>10105</v>
      </c>
      <c r="P1175" s="120"/>
    </row>
    <row r="1176" spans="1:16">
      <c r="A1176" s="214" t="s">
        <v>1764</v>
      </c>
      <c r="B1176" s="214" t="s">
        <v>1766</v>
      </c>
      <c r="C1176" s="222" t="s">
        <v>1765</v>
      </c>
      <c r="D1176" s="222" t="s">
        <v>1766</v>
      </c>
      <c r="E1176" s="222" t="s">
        <v>5786</v>
      </c>
      <c r="F1176" s="214" t="s">
        <v>5787</v>
      </c>
      <c r="G1176" s="214" t="s">
        <v>1765</v>
      </c>
      <c r="H1176" s="222" t="s">
        <v>5788</v>
      </c>
      <c r="I1176" s="214" t="s">
        <v>5789</v>
      </c>
      <c r="J1176" s="214" t="s">
        <v>5790</v>
      </c>
      <c r="K1176" s="223" t="s">
        <v>9449</v>
      </c>
      <c r="L1176" s="214" t="s">
        <v>1765</v>
      </c>
      <c r="M1176" s="214" t="s">
        <v>10106</v>
      </c>
      <c r="P1176" s="120"/>
    </row>
    <row r="1177" spans="1:16">
      <c r="A1177" s="214" t="s">
        <v>1767</v>
      </c>
      <c r="B1177" s="214" t="s">
        <v>1703</v>
      </c>
      <c r="C1177" s="222" t="s">
        <v>1703</v>
      </c>
      <c r="D1177" s="222" t="s">
        <v>1703</v>
      </c>
      <c r="E1177" s="222" t="s">
        <v>5791</v>
      </c>
      <c r="F1177" s="214" t="s">
        <v>5792</v>
      </c>
      <c r="G1177" s="214" t="s">
        <v>1703</v>
      </c>
      <c r="H1177" s="222" t="s">
        <v>5653</v>
      </c>
      <c r="I1177" s="214" t="s">
        <v>5654</v>
      </c>
      <c r="J1177" s="214" t="s">
        <v>5793</v>
      </c>
      <c r="K1177" s="223" t="s">
        <v>9450</v>
      </c>
      <c r="L1177" s="214" t="s">
        <v>1703</v>
      </c>
      <c r="M1177" s="214" t="s">
        <v>10107</v>
      </c>
      <c r="P1177" s="120"/>
    </row>
    <row r="1178" spans="1:16">
      <c r="A1178" s="214" t="s">
        <v>1768</v>
      </c>
      <c r="B1178" s="214" t="s">
        <v>1769</v>
      </c>
      <c r="C1178" s="222" t="s">
        <v>1769</v>
      </c>
      <c r="D1178" s="222" t="s">
        <v>1769</v>
      </c>
      <c r="E1178" s="222" t="s">
        <v>5794</v>
      </c>
      <c r="F1178" s="214" t="s">
        <v>5795</v>
      </c>
      <c r="G1178" s="214" t="s">
        <v>1769</v>
      </c>
      <c r="H1178" s="222" t="s">
        <v>5796</v>
      </c>
      <c r="I1178" s="214" t="s">
        <v>5797</v>
      </c>
      <c r="J1178" s="214" t="s">
        <v>5798</v>
      </c>
      <c r="K1178" s="223" t="s">
        <v>9451</v>
      </c>
      <c r="L1178" s="214" t="s">
        <v>1769</v>
      </c>
      <c r="M1178" s="214" t="s">
        <v>10108</v>
      </c>
      <c r="P1178" s="120"/>
    </row>
    <row r="1179" spans="1:16">
      <c r="A1179" s="214" t="s">
        <v>1770</v>
      </c>
      <c r="B1179" s="214" t="s">
        <v>1771</v>
      </c>
      <c r="C1179" s="222" t="s">
        <v>1771</v>
      </c>
      <c r="D1179" s="222" t="s">
        <v>1771</v>
      </c>
      <c r="E1179" s="222" t="s">
        <v>5799</v>
      </c>
      <c r="F1179" s="214" t="s">
        <v>5800</v>
      </c>
      <c r="G1179" s="214" t="s">
        <v>1771</v>
      </c>
      <c r="H1179" s="222" t="s">
        <v>5801</v>
      </c>
      <c r="I1179" s="214" t="s">
        <v>5802</v>
      </c>
      <c r="J1179" s="214" t="s">
        <v>5803</v>
      </c>
      <c r="K1179" s="214" t="s">
        <v>9452</v>
      </c>
      <c r="L1179" s="214" t="s">
        <v>1771</v>
      </c>
      <c r="M1179" s="214" t="s">
        <v>10109</v>
      </c>
      <c r="P1179" s="120"/>
    </row>
    <row r="1180" spans="1:16">
      <c r="A1180" s="214" t="s">
        <v>1772</v>
      </c>
      <c r="B1180" s="214" t="s">
        <v>1773</v>
      </c>
      <c r="C1180" s="222" t="s">
        <v>1773</v>
      </c>
      <c r="D1180" s="222" t="s">
        <v>1773</v>
      </c>
      <c r="E1180" s="222" t="s">
        <v>5804</v>
      </c>
      <c r="F1180" s="214" t="s">
        <v>5805</v>
      </c>
      <c r="G1180" s="214" t="s">
        <v>1773</v>
      </c>
      <c r="H1180" s="222" t="s">
        <v>5806</v>
      </c>
      <c r="I1180" s="214" t="s">
        <v>5807</v>
      </c>
      <c r="J1180" s="214" t="s">
        <v>5808</v>
      </c>
      <c r="K1180" s="214" t="s">
        <v>9453</v>
      </c>
      <c r="L1180" s="214" t="s">
        <v>10658</v>
      </c>
      <c r="M1180" s="214" t="s">
        <v>10110</v>
      </c>
      <c r="P1180" s="120"/>
    </row>
    <row r="1181" spans="1:16">
      <c r="A1181" s="214" t="s">
        <v>1775</v>
      </c>
      <c r="B1181" s="214" t="s">
        <v>1776</v>
      </c>
      <c r="C1181" s="222" t="s">
        <v>1776</v>
      </c>
      <c r="D1181" s="222" t="s">
        <v>1776</v>
      </c>
      <c r="E1181" s="222" t="s">
        <v>5809</v>
      </c>
      <c r="F1181" s="214" t="s">
        <v>5810</v>
      </c>
      <c r="G1181" s="214" t="s">
        <v>1776</v>
      </c>
      <c r="H1181" s="222" t="s">
        <v>5811</v>
      </c>
      <c r="I1181" s="214" t="s">
        <v>5812</v>
      </c>
      <c r="J1181" s="214" t="s">
        <v>5813</v>
      </c>
      <c r="K1181" s="214" t="s">
        <v>9454</v>
      </c>
      <c r="L1181" s="214" t="s">
        <v>1776</v>
      </c>
      <c r="M1181" s="214" t="s">
        <v>10111</v>
      </c>
      <c r="P1181" s="120"/>
    </row>
    <row r="1182" spans="1:16">
      <c r="A1182" s="214" t="s">
        <v>1777</v>
      </c>
      <c r="B1182" s="214" t="s">
        <v>1778</v>
      </c>
      <c r="C1182" s="222" t="s">
        <v>1778</v>
      </c>
      <c r="D1182" s="222" t="s">
        <v>1778</v>
      </c>
      <c r="E1182" s="222" t="s">
        <v>5814</v>
      </c>
      <c r="F1182" s="214" t="s">
        <v>5815</v>
      </c>
      <c r="G1182" s="214" t="s">
        <v>1778</v>
      </c>
      <c r="H1182" s="222" t="s">
        <v>5816</v>
      </c>
      <c r="I1182" s="214" t="s">
        <v>5817</v>
      </c>
      <c r="J1182" s="214" t="s">
        <v>5818</v>
      </c>
      <c r="K1182" s="214" t="s">
        <v>9455</v>
      </c>
      <c r="L1182" s="214" t="s">
        <v>1778</v>
      </c>
      <c r="M1182" s="214" t="s">
        <v>10112</v>
      </c>
      <c r="P1182" s="120"/>
    </row>
    <row r="1183" spans="1:16">
      <c r="A1183" s="214" t="s">
        <v>1779</v>
      </c>
      <c r="B1183" s="214" t="s">
        <v>1780</v>
      </c>
      <c r="C1183" s="222" t="s">
        <v>1780</v>
      </c>
      <c r="D1183" s="222" t="s">
        <v>1780</v>
      </c>
      <c r="E1183" s="222" t="s">
        <v>5819</v>
      </c>
      <c r="F1183" s="214" t="s">
        <v>5820</v>
      </c>
      <c r="G1183" s="214" t="s">
        <v>1780</v>
      </c>
      <c r="H1183" s="222" t="s">
        <v>5821</v>
      </c>
      <c r="I1183" s="214" t="s">
        <v>5822</v>
      </c>
      <c r="J1183" s="214" t="s">
        <v>5823</v>
      </c>
      <c r="K1183" s="223" t="s">
        <v>9456</v>
      </c>
      <c r="L1183" s="214" t="s">
        <v>1780</v>
      </c>
      <c r="M1183" s="214" t="s">
        <v>10113</v>
      </c>
      <c r="P1183" s="120"/>
    </row>
    <row r="1184" spans="1:16">
      <c r="A1184" s="214" t="s">
        <v>1781</v>
      </c>
      <c r="B1184" s="214" t="s">
        <v>1782</v>
      </c>
      <c r="C1184" s="222" t="s">
        <v>1782</v>
      </c>
      <c r="D1184" s="222" t="s">
        <v>1782</v>
      </c>
      <c r="E1184" s="222" t="s">
        <v>5824</v>
      </c>
      <c r="F1184" s="214" t="s">
        <v>5825</v>
      </c>
      <c r="G1184" s="214" t="s">
        <v>1782</v>
      </c>
      <c r="H1184" s="222" t="s">
        <v>5826</v>
      </c>
      <c r="I1184" s="214" t="s">
        <v>5827</v>
      </c>
      <c r="J1184" s="214" t="s">
        <v>5828</v>
      </c>
      <c r="K1184" s="223" t="s">
        <v>9457</v>
      </c>
      <c r="L1184" s="214" t="s">
        <v>1782</v>
      </c>
      <c r="M1184" s="214" t="s">
        <v>10114</v>
      </c>
      <c r="P1184" s="120"/>
    </row>
    <row r="1185" spans="1:16">
      <c r="A1185" s="214" t="s">
        <v>1783</v>
      </c>
      <c r="B1185" s="214" t="s">
        <v>1784</v>
      </c>
      <c r="C1185" s="222" t="s">
        <v>1784</v>
      </c>
      <c r="D1185" s="222" t="s">
        <v>1784</v>
      </c>
      <c r="E1185" s="222" t="s">
        <v>5829</v>
      </c>
      <c r="F1185" s="214" t="s">
        <v>5830</v>
      </c>
      <c r="G1185" s="214" t="s">
        <v>1784</v>
      </c>
      <c r="H1185" s="222" t="s">
        <v>5831</v>
      </c>
      <c r="I1185" s="214" t="s">
        <v>5832</v>
      </c>
      <c r="J1185" s="214" t="s">
        <v>5833</v>
      </c>
      <c r="K1185" s="214" t="s">
        <v>9458</v>
      </c>
      <c r="L1185" s="214" t="s">
        <v>1784</v>
      </c>
      <c r="M1185" s="214" t="s">
        <v>10115</v>
      </c>
      <c r="P1185" s="120"/>
    </row>
    <row r="1186" spans="1:16">
      <c r="A1186" s="214" t="s">
        <v>1785</v>
      </c>
      <c r="B1186" s="214" t="s">
        <v>1786</v>
      </c>
      <c r="C1186" s="222" t="s">
        <v>1786</v>
      </c>
      <c r="D1186" s="222" t="s">
        <v>1786</v>
      </c>
      <c r="E1186" s="222" t="s">
        <v>5834</v>
      </c>
      <c r="F1186" s="214" t="s">
        <v>5835</v>
      </c>
      <c r="G1186" s="214" t="s">
        <v>1786</v>
      </c>
      <c r="H1186" s="222" t="s">
        <v>5836</v>
      </c>
      <c r="I1186" s="214" t="s">
        <v>5837</v>
      </c>
      <c r="J1186" s="214" t="s">
        <v>5838</v>
      </c>
      <c r="K1186" s="214" t="s">
        <v>9459</v>
      </c>
      <c r="L1186" s="214" t="s">
        <v>1786</v>
      </c>
      <c r="M1186" s="214" t="s">
        <v>10116</v>
      </c>
      <c r="P1186" s="120"/>
    </row>
    <row r="1187" spans="1:16">
      <c r="A1187" s="214" t="s">
        <v>1787</v>
      </c>
      <c r="B1187" s="214" t="s">
        <v>1788</v>
      </c>
      <c r="C1187" s="222" t="s">
        <v>1788</v>
      </c>
      <c r="D1187" s="222" t="s">
        <v>1788</v>
      </c>
      <c r="E1187" s="222" t="s">
        <v>5839</v>
      </c>
      <c r="F1187" s="214" t="s">
        <v>5840</v>
      </c>
      <c r="G1187" s="214" t="s">
        <v>1788</v>
      </c>
      <c r="H1187" s="222" t="s">
        <v>5841</v>
      </c>
      <c r="I1187" s="214" t="s">
        <v>5842</v>
      </c>
      <c r="J1187" s="214" t="s">
        <v>5843</v>
      </c>
      <c r="K1187" s="214" t="s">
        <v>9460</v>
      </c>
      <c r="L1187" s="214" t="s">
        <v>1788</v>
      </c>
      <c r="M1187" s="214" t="s">
        <v>10117</v>
      </c>
      <c r="P1187" s="120"/>
    </row>
    <row r="1188" spans="1:16">
      <c r="A1188" s="214" t="s">
        <v>1789</v>
      </c>
      <c r="B1188" s="214" t="s">
        <v>1790</v>
      </c>
      <c r="C1188" s="222" t="s">
        <v>1790</v>
      </c>
      <c r="D1188" s="222" t="s">
        <v>1790</v>
      </c>
      <c r="E1188" s="222" t="s">
        <v>5844</v>
      </c>
      <c r="F1188" s="214" t="s">
        <v>5845</v>
      </c>
      <c r="G1188" s="214" t="s">
        <v>1790</v>
      </c>
      <c r="H1188" s="222" t="s">
        <v>5846</v>
      </c>
      <c r="I1188" s="214" t="s">
        <v>5847</v>
      </c>
      <c r="J1188" s="214" t="s">
        <v>5848</v>
      </c>
      <c r="K1188" s="214" t="s">
        <v>9461</v>
      </c>
      <c r="L1188" s="214" t="s">
        <v>1790</v>
      </c>
      <c r="M1188" s="214" t="s">
        <v>10118</v>
      </c>
      <c r="P1188" s="120"/>
    </row>
    <row r="1189" spans="1:16">
      <c r="A1189" s="214" t="s">
        <v>1791</v>
      </c>
      <c r="B1189" s="214" t="s">
        <v>1792</v>
      </c>
      <c r="C1189" s="222" t="s">
        <v>1792</v>
      </c>
      <c r="D1189" s="222" t="s">
        <v>1792</v>
      </c>
      <c r="E1189" s="222" t="s">
        <v>5849</v>
      </c>
      <c r="F1189" s="214" t="s">
        <v>5850</v>
      </c>
      <c r="G1189" s="214" t="s">
        <v>1792</v>
      </c>
      <c r="H1189" s="222" t="s">
        <v>5851</v>
      </c>
      <c r="I1189" s="214" t="s">
        <v>5852</v>
      </c>
      <c r="J1189" s="214" t="s">
        <v>5853</v>
      </c>
      <c r="K1189" s="214" t="s">
        <v>9462</v>
      </c>
      <c r="L1189" s="214" t="s">
        <v>1792</v>
      </c>
      <c r="M1189" s="214" t="s">
        <v>10119</v>
      </c>
      <c r="P1189" s="120"/>
    </row>
    <row r="1190" spans="1:16">
      <c r="A1190" s="214" t="s">
        <v>1793</v>
      </c>
      <c r="B1190" s="214" t="s">
        <v>1794</v>
      </c>
      <c r="C1190" s="222" t="s">
        <v>1794</v>
      </c>
      <c r="D1190" s="222" t="s">
        <v>1794</v>
      </c>
      <c r="E1190" s="222" t="s">
        <v>5854</v>
      </c>
      <c r="F1190" s="214" t="s">
        <v>5855</v>
      </c>
      <c r="G1190" s="214" t="s">
        <v>1794</v>
      </c>
      <c r="H1190" s="222" t="s">
        <v>5856</v>
      </c>
      <c r="I1190" s="214" t="s">
        <v>5857</v>
      </c>
      <c r="J1190" s="214" t="s">
        <v>5858</v>
      </c>
      <c r="K1190" s="214" t="s">
        <v>9463</v>
      </c>
      <c r="L1190" s="214" t="s">
        <v>1794</v>
      </c>
      <c r="M1190" s="214" t="s">
        <v>10120</v>
      </c>
      <c r="P1190" s="120"/>
    </row>
    <row r="1191" spans="1:16">
      <c r="A1191" s="214" t="s">
        <v>1795</v>
      </c>
      <c r="B1191" s="214" t="s">
        <v>1796</v>
      </c>
      <c r="C1191" s="222" t="s">
        <v>1796</v>
      </c>
      <c r="D1191" s="222" t="s">
        <v>1796</v>
      </c>
      <c r="E1191" s="222" t="s">
        <v>5859</v>
      </c>
      <c r="F1191" s="214" t="s">
        <v>5860</v>
      </c>
      <c r="G1191" s="214" t="s">
        <v>1796</v>
      </c>
      <c r="H1191" s="222" t="s">
        <v>5861</v>
      </c>
      <c r="I1191" s="214" t="s">
        <v>5862</v>
      </c>
      <c r="J1191" s="214" t="s">
        <v>5863</v>
      </c>
      <c r="K1191" s="214" t="s">
        <v>9464</v>
      </c>
      <c r="L1191" s="214" t="s">
        <v>1796</v>
      </c>
      <c r="M1191" s="214" t="s">
        <v>10121</v>
      </c>
      <c r="P1191" s="120"/>
    </row>
    <row r="1192" spans="1:16">
      <c r="A1192" s="214" t="s">
        <v>1797</v>
      </c>
      <c r="B1192" s="214" t="s">
        <v>1798</v>
      </c>
      <c r="C1192" s="222" t="s">
        <v>1798</v>
      </c>
      <c r="D1192" s="222" t="s">
        <v>1798</v>
      </c>
      <c r="E1192" s="222" t="s">
        <v>5864</v>
      </c>
      <c r="F1192" s="214" t="s">
        <v>5865</v>
      </c>
      <c r="G1192" s="214" t="s">
        <v>1798</v>
      </c>
      <c r="H1192" s="222" t="s">
        <v>5866</v>
      </c>
      <c r="I1192" s="214" t="s">
        <v>5867</v>
      </c>
      <c r="J1192" s="214" t="s">
        <v>5868</v>
      </c>
      <c r="K1192" s="223" t="s">
        <v>9465</v>
      </c>
      <c r="L1192" s="214" t="s">
        <v>1798</v>
      </c>
      <c r="M1192" s="214" t="s">
        <v>10122</v>
      </c>
      <c r="P1192" s="120"/>
    </row>
    <row r="1193" spans="1:16">
      <c r="A1193" s="214" t="s">
        <v>1799</v>
      </c>
      <c r="B1193" s="214" t="s">
        <v>1800</v>
      </c>
      <c r="C1193" s="222" t="s">
        <v>1800</v>
      </c>
      <c r="D1193" s="222" t="s">
        <v>1800</v>
      </c>
      <c r="E1193" s="222" t="s">
        <v>5869</v>
      </c>
      <c r="F1193" s="214" t="s">
        <v>5870</v>
      </c>
      <c r="G1193" s="214" t="s">
        <v>1800</v>
      </c>
      <c r="H1193" s="222" t="s">
        <v>5871</v>
      </c>
      <c r="I1193" s="214" t="s">
        <v>5872</v>
      </c>
      <c r="J1193" s="214" t="s">
        <v>5873</v>
      </c>
      <c r="K1193" s="214" t="s">
        <v>9466</v>
      </c>
      <c r="L1193" s="214" t="s">
        <v>1800</v>
      </c>
      <c r="M1193" s="214" t="s">
        <v>10122</v>
      </c>
      <c r="P1193" s="120"/>
    </row>
    <row r="1194" spans="1:16">
      <c r="A1194" s="214" t="s">
        <v>1801</v>
      </c>
      <c r="B1194" s="214" t="s">
        <v>1802</v>
      </c>
      <c r="C1194" s="222" t="s">
        <v>1802</v>
      </c>
      <c r="D1194" s="222" t="s">
        <v>1802</v>
      </c>
      <c r="E1194" s="222" t="s">
        <v>5874</v>
      </c>
      <c r="F1194" s="214" t="s">
        <v>5875</v>
      </c>
      <c r="G1194" s="214" t="s">
        <v>1802</v>
      </c>
      <c r="H1194" s="222" t="s">
        <v>5876</v>
      </c>
      <c r="I1194" s="214" t="s">
        <v>5877</v>
      </c>
      <c r="J1194" s="214" t="s">
        <v>5878</v>
      </c>
      <c r="K1194" s="214" t="s">
        <v>9467</v>
      </c>
      <c r="L1194" s="214" t="s">
        <v>1802</v>
      </c>
      <c r="M1194" s="214" t="s">
        <v>10123</v>
      </c>
      <c r="P1194" s="120"/>
    </row>
    <row r="1195" spans="1:16">
      <c r="A1195" s="214" t="s">
        <v>1803</v>
      </c>
      <c r="B1195" s="214" t="s">
        <v>1804</v>
      </c>
      <c r="C1195" s="222" t="s">
        <v>1804</v>
      </c>
      <c r="D1195" s="222" t="s">
        <v>1804</v>
      </c>
      <c r="E1195" s="222" t="s">
        <v>5879</v>
      </c>
      <c r="F1195" s="214" t="s">
        <v>5880</v>
      </c>
      <c r="G1195" s="214" t="s">
        <v>1804</v>
      </c>
      <c r="H1195" s="222" t="s">
        <v>5881</v>
      </c>
      <c r="I1195" s="214" t="s">
        <v>5882</v>
      </c>
      <c r="J1195" s="214" t="s">
        <v>5883</v>
      </c>
      <c r="K1195" s="223" t="s">
        <v>9468</v>
      </c>
      <c r="L1195" s="214" t="s">
        <v>1804</v>
      </c>
      <c r="M1195" s="214" t="s">
        <v>10124</v>
      </c>
      <c r="P1195" s="120"/>
    </row>
    <row r="1196" spans="1:16">
      <c r="A1196" s="214" t="s">
        <v>1805</v>
      </c>
      <c r="B1196" s="214" t="s">
        <v>1806</v>
      </c>
      <c r="C1196" s="222" t="s">
        <v>1806</v>
      </c>
      <c r="D1196" s="222" t="s">
        <v>1806</v>
      </c>
      <c r="E1196" s="222" t="s">
        <v>5884</v>
      </c>
      <c r="F1196" s="214" t="s">
        <v>5885</v>
      </c>
      <c r="G1196" s="214" t="s">
        <v>1806</v>
      </c>
      <c r="H1196" s="222" t="s">
        <v>5886</v>
      </c>
      <c r="I1196" s="214" t="s">
        <v>5887</v>
      </c>
      <c r="J1196" s="214" t="s">
        <v>5888</v>
      </c>
      <c r="K1196" s="223" t="s">
        <v>9469</v>
      </c>
      <c r="L1196" s="214" t="s">
        <v>1806</v>
      </c>
      <c r="M1196" s="214" t="s">
        <v>10125</v>
      </c>
      <c r="P1196" s="120"/>
    </row>
    <row r="1197" spans="1:16">
      <c r="A1197" s="214" t="s">
        <v>1807</v>
      </c>
      <c r="B1197" s="214" t="s">
        <v>1808</v>
      </c>
      <c r="C1197" s="222" t="s">
        <v>1808</v>
      </c>
      <c r="D1197" s="222" t="s">
        <v>1808</v>
      </c>
      <c r="E1197" s="222" t="s">
        <v>5889</v>
      </c>
      <c r="F1197" s="214" t="s">
        <v>5890</v>
      </c>
      <c r="G1197" s="214" t="s">
        <v>1808</v>
      </c>
      <c r="H1197" s="222" t="s">
        <v>5891</v>
      </c>
      <c r="I1197" s="214" t="s">
        <v>5892</v>
      </c>
      <c r="J1197" s="214" t="s">
        <v>5893</v>
      </c>
      <c r="K1197" s="223" t="s">
        <v>9470</v>
      </c>
      <c r="L1197" s="214" t="s">
        <v>1808</v>
      </c>
      <c r="M1197" s="214" t="s">
        <v>10126</v>
      </c>
      <c r="P1197" s="120"/>
    </row>
    <row r="1198" spans="1:16">
      <c r="A1198" s="214" t="s">
        <v>1809</v>
      </c>
      <c r="B1198" s="214" t="s">
        <v>1810</v>
      </c>
      <c r="C1198" s="222" t="s">
        <v>1810</v>
      </c>
      <c r="D1198" s="222" t="s">
        <v>1810</v>
      </c>
      <c r="E1198" s="222" t="s">
        <v>5894</v>
      </c>
      <c r="F1198" s="214" t="s">
        <v>5895</v>
      </c>
      <c r="G1198" s="214" t="s">
        <v>1810</v>
      </c>
      <c r="H1198" s="222" t="s">
        <v>5896</v>
      </c>
      <c r="I1198" s="214" t="s">
        <v>5897</v>
      </c>
      <c r="J1198" s="214" t="s">
        <v>5898</v>
      </c>
      <c r="K1198" s="214" t="s">
        <v>9471</v>
      </c>
      <c r="L1198" s="214" t="s">
        <v>1810</v>
      </c>
      <c r="M1198" s="214" t="s">
        <v>10127</v>
      </c>
      <c r="P1198" s="120"/>
    </row>
    <row r="1199" spans="1:16">
      <c r="A1199" s="214" t="s">
        <v>1811</v>
      </c>
      <c r="B1199" s="214" t="s">
        <v>1812</v>
      </c>
      <c r="C1199" s="222" t="s">
        <v>1812</v>
      </c>
      <c r="D1199" s="222" t="s">
        <v>1812</v>
      </c>
      <c r="E1199" s="222" t="s">
        <v>5899</v>
      </c>
      <c r="F1199" s="214" t="s">
        <v>5900</v>
      </c>
      <c r="G1199" s="214" t="s">
        <v>1812</v>
      </c>
      <c r="H1199" s="222" t="s">
        <v>5901</v>
      </c>
      <c r="I1199" s="214" t="s">
        <v>5902</v>
      </c>
      <c r="J1199" s="214" t="s">
        <v>5903</v>
      </c>
      <c r="K1199" s="214" t="s">
        <v>9472</v>
      </c>
      <c r="L1199" s="214" t="s">
        <v>1812</v>
      </c>
      <c r="M1199" s="214" t="s">
        <v>10128</v>
      </c>
      <c r="P1199" s="120"/>
    </row>
    <row r="1200" spans="1:16">
      <c r="A1200" s="214" t="s">
        <v>1813</v>
      </c>
      <c r="B1200" s="214" t="s">
        <v>1814</v>
      </c>
      <c r="C1200" s="222" t="s">
        <v>1814</v>
      </c>
      <c r="D1200" s="222" t="s">
        <v>1814</v>
      </c>
      <c r="E1200" s="222" t="s">
        <v>5904</v>
      </c>
      <c r="F1200" s="214" t="s">
        <v>5905</v>
      </c>
      <c r="G1200" s="214" t="s">
        <v>1814</v>
      </c>
      <c r="H1200" s="222" t="s">
        <v>5906</v>
      </c>
      <c r="I1200" s="214" t="s">
        <v>5907</v>
      </c>
      <c r="J1200" s="214" t="s">
        <v>5908</v>
      </c>
      <c r="K1200" s="214" t="s">
        <v>9473</v>
      </c>
      <c r="L1200" s="214" t="s">
        <v>1814</v>
      </c>
      <c r="M1200" s="214" t="s">
        <v>10129</v>
      </c>
      <c r="P1200" s="120"/>
    </row>
    <row r="1201" spans="1:16">
      <c r="A1201" s="214" t="s">
        <v>1815</v>
      </c>
      <c r="B1201" s="214" t="s">
        <v>1816</v>
      </c>
      <c r="C1201" s="222" t="s">
        <v>1816</v>
      </c>
      <c r="D1201" s="222" t="s">
        <v>1816</v>
      </c>
      <c r="E1201" s="222" t="s">
        <v>5909</v>
      </c>
      <c r="F1201" s="214" t="s">
        <v>5910</v>
      </c>
      <c r="G1201" s="214" t="s">
        <v>1816</v>
      </c>
      <c r="H1201" s="222" t="s">
        <v>5911</v>
      </c>
      <c r="I1201" s="214" t="s">
        <v>5912</v>
      </c>
      <c r="J1201" s="214" t="s">
        <v>5913</v>
      </c>
      <c r="K1201" s="214" t="s">
        <v>9474</v>
      </c>
      <c r="L1201" s="214" t="s">
        <v>1816</v>
      </c>
      <c r="M1201" s="214" t="s">
        <v>10130</v>
      </c>
      <c r="P1201" s="120"/>
    </row>
    <row r="1202" spans="1:16">
      <c r="A1202" s="214" t="s">
        <v>1817</v>
      </c>
      <c r="B1202" s="214" t="s">
        <v>1818</v>
      </c>
      <c r="C1202" s="222" t="s">
        <v>1818</v>
      </c>
      <c r="D1202" s="222" t="s">
        <v>1818</v>
      </c>
      <c r="E1202" s="222" t="s">
        <v>5914</v>
      </c>
      <c r="F1202" s="214" t="s">
        <v>5915</v>
      </c>
      <c r="G1202" s="214" t="s">
        <v>1818</v>
      </c>
      <c r="H1202" s="222" t="s">
        <v>5916</v>
      </c>
      <c r="I1202" s="214" t="s">
        <v>5917</v>
      </c>
      <c r="J1202" s="214" t="s">
        <v>5918</v>
      </c>
      <c r="K1202" s="223" t="s">
        <v>9475</v>
      </c>
      <c r="L1202" s="214" t="s">
        <v>1818</v>
      </c>
      <c r="M1202" s="214" t="s">
        <v>10131</v>
      </c>
      <c r="P1202" s="120"/>
    </row>
    <row r="1203" spans="1:16">
      <c r="A1203" s="214" t="s">
        <v>1819</v>
      </c>
      <c r="B1203" s="214" t="s">
        <v>1820</v>
      </c>
      <c r="C1203" s="222" t="s">
        <v>1820</v>
      </c>
      <c r="D1203" s="222" t="s">
        <v>1820</v>
      </c>
      <c r="E1203" s="222" t="s">
        <v>5919</v>
      </c>
      <c r="F1203" s="214" t="s">
        <v>5920</v>
      </c>
      <c r="G1203" s="214" t="s">
        <v>1820</v>
      </c>
      <c r="H1203" s="222" t="s">
        <v>5921</v>
      </c>
      <c r="I1203" s="214" t="s">
        <v>5922</v>
      </c>
      <c r="J1203" s="214" t="s">
        <v>5923</v>
      </c>
      <c r="K1203" s="214" t="s">
        <v>9476</v>
      </c>
      <c r="L1203" s="214" t="s">
        <v>1820</v>
      </c>
      <c r="M1203" s="214" t="s">
        <v>10132</v>
      </c>
      <c r="P1203" s="120"/>
    </row>
    <row r="1204" spans="1:16">
      <c r="A1204" s="214" t="s">
        <v>1821</v>
      </c>
      <c r="B1204" s="214" t="s">
        <v>1822</v>
      </c>
      <c r="C1204" s="222" t="s">
        <v>1822</v>
      </c>
      <c r="D1204" s="222" t="s">
        <v>1822</v>
      </c>
      <c r="E1204" s="222" t="s">
        <v>5924</v>
      </c>
      <c r="F1204" s="214" t="s">
        <v>5925</v>
      </c>
      <c r="G1204" s="214" t="s">
        <v>1822</v>
      </c>
      <c r="H1204" s="222" t="s">
        <v>5926</v>
      </c>
      <c r="I1204" s="214" t="s">
        <v>5927</v>
      </c>
      <c r="J1204" s="214" t="s">
        <v>5928</v>
      </c>
      <c r="K1204" s="214" t="s">
        <v>9477</v>
      </c>
      <c r="L1204" s="214" t="s">
        <v>1822</v>
      </c>
      <c r="M1204" s="214" t="s">
        <v>10133</v>
      </c>
      <c r="P1204" s="120"/>
    </row>
    <row r="1205" spans="1:16">
      <c r="A1205" s="214" t="s">
        <v>1823</v>
      </c>
      <c r="B1205" s="214" t="s">
        <v>1824</v>
      </c>
      <c r="C1205" s="222" t="s">
        <v>1824</v>
      </c>
      <c r="D1205" s="222" t="s">
        <v>1824</v>
      </c>
      <c r="E1205" s="222" t="s">
        <v>5929</v>
      </c>
      <c r="F1205" s="214" t="s">
        <v>5930</v>
      </c>
      <c r="G1205" s="214" t="s">
        <v>1824</v>
      </c>
      <c r="H1205" s="222" t="s">
        <v>5931</v>
      </c>
      <c r="I1205" s="214" t="s">
        <v>5932</v>
      </c>
      <c r="J1205" s="214" t="s">
        <v>5933</v>
      </c>
      <c r="K1205" s="223" t="s">
        <v>9478</v>
      </c>
      <c r="L1205" s="214" t="s">
        <v>1824</v>
      </c>
      <c r="M1205" s="214" t="s">
        <v>10134</v>
      </c>
      <c r="P1205" s="120"/>
    </row>
    <row r="1206" spans="1:16">
      <c r="A1206" s="214" t="s">
        <v>1825</v>
      </c>
      <c r="B1206" s="214" t="s">
        <v>1826</v>
      </c>
      <c r="C1206" s="222" t="s">
        <v>1826</v>
      </c>
      <c r="D1206" s="222" t="s">
        <v>1826</v>
      </c>
      <c r="E1206" s="222" t="s">
        <v>5934</v>
      </c>
      <c r="F1206" s="214" t="s">
        <v>5935</v>
      </c>
      <c r="G1206" s="214" t="s">
        <v>1826</v>
      </c>
      <c r="H1206" s="222" t="s">
        <v>5936</v>
      </c>
      <c r="I1206" s="214" t="s">
        <v>5937</v>
      </c>
      <c r="J1206" s="214" t="s">
        <v>5938</v>
      </c>
      <c r="K1206" s="223" t="s">
        <v>9479</v>
      </c>
      <c r="L1206" s="214" t="s">
        <v>1826</v>
      </c>
      <c r="M1206" s="214" t="s">
        <v>10135</v>
      </c>
      <c r="P1206" s="120"/>
    </row>
    <row r="1207" spans="1:16">
      <c r="A1207" s="214" t="s">
        <v>1827</v>
      </c>
      <c r="B1207" s="214" t="s">
        <v>1828</v>
      </c>
      <c r="C1207" s="222" t="s">
        <v>1828</v>
      </c>
      <c r="D1207" s="222" t="s">
        <v>1828</v>
      </c>
      <c r="E1207" s="222" t="s">
        <v>5939</v>
      </c>
      <c r="F1207" s="214" t="s">
        <v>5940</v>
      </c>
      <c r="G1207" s="214" t="s">
        <v>1828</v>
      </c>
      <c r="H1207" s="222" t="s">
        <v>5941</v>
      </c>
      <c r="I1207" s="214" t="s">
        <v>5942</v>
      </c>
      <c r="J1207" s="214" t="s">
        <v>5943</v>
      </c>
      <c r="K1207" s="223" t="s">
        <v>9480</v>
      </c>
      <c r="L1207" s="214" t="s">
        <v>1828</v>
      </c>
      <c r="M1207" s="214" t="s">
        <v>10136</v>
      </c>
      <c r="P1207" s="120"/>
    </row>
    <row r="1208" spans="1:16">
      <c r="A1208" s="214" t="s">
        <v>1829</v>
      </c>
      <c r="B1208" s="214" t="s">
        <v>1830</v>
      </c>
      <c r="C1208" s="222" t="s">
        <v>1830</v>
      </c>
      <c r="D1208" s="222" t="s">
        <v>1830</v>
      </c>
      <c r="E1208" s="222" t="s">
        <v>5944</v>
      </c>
      <c r="F1208" s="214" t="s">
        <v>5945</v>
      </c>
      <c r="G1208" s="214" t="s">
        <v>1830</v>
      </c>
      <c r="H1208" s="222" t="s">
        <v>5946</v>
      </c>
      <c r="I1208" s="214" t="s">
        <v>5947</v>
      </c>
      <c r="J1208" s="214" t="s">
        <v>5948</v>
      </c>
      <c r="K1208" s="223" t="s">
        <v>9481</v>
      </c>
      <c r="L1208" s="214" t="s">
        <v>1830</v>
      </c>
      <c r="M1208" s="214" t="s">
        <v>10137</v>
      </c>
      <c r="P1208" s="120"/>
    </row>
    <row r="1209" spans="1:16">
      <c r="A1209" s="214" t="s">
        <v>1831</v>
      </c>
      <c r="B1209" s="214" t="s">
        <v>1832</v>
      </c>
      <c r="C1209" s="222" t="s">
        <v>1832</v>
      </c>
      <c r="D1209" s="222" t="s">
        <v>1832</v>
      </c>
      <c r="E1209" s="222" t="s">
        <v>5949</v>
      </c>
      <c r="F1209" s="214" t="s">
        <v>5950</v>
      </c>
      <c r="G1209" s="214" t="s">
        <v>1832</v>
      </c>
      <c r="H1209" s="222" t="s">
        <v>5951</v>
      </c>
      <c r="I1209" s="214" t="s">
        <v>5952</v>
      </c>
      <c r="J1209" s="214" t="s">
        <v>5953</v>
      </c>
      <c r="K1209" s="223" t="s">
        <v>9482</v>
      </c>
      <c r="L1209" s="214" t="s">
        <v>1832</v>
      </c>
      <c r="M1209" s="214" t="s">
        <v>10138</v>
      </c>
      <c r="P1209" s="120"/>
    </row>
    <row r="1210" spans="1:16">
      <c r="A1210" s="214" t="s">
        <v>1833</v>
      </c>
      <c r="B1210" s="214" t="s">
        <v>1834</v>
      </c>
      <c r="C1210" s="222" t="s">
        <v>1834</v>
      </c>
      <c r="D1210" s="222" t="s">
        <v>1834</v>
      </c>
      <c r="E1210" s="222" t="s">
        <v>5954</v>
      </c>
      <c r="F1210" s="214" t="s">
        <v>5955</v>
      </c>
      <c r="G1210" s="214" t="s">
        <v>1834</v>
      </c>
      <c r="H1210" s="222" t="s">
        <v>5956</v>
      </c>
      <c r="I1210" s="214" t="s">
        <v>5957</v>
      </c>
      <c r="J1210" s="214" t="s">
        <v>5958</v>
      </c>
      <c r="K1210" s="223" t="s">
        <v>9483</v>
      </c>
      <c r="L1210" s="214" t="s">
        <v>1834</v>
      </c>
      <c r="M1210" s="214" t="s">
        <v>10139</v>
      </c>
      <c r="P1210" s="120"/>
    </row>
    <row r="1211" spans="1:16">
      <c r="A1211" s="214" t="s">
        <v>1835</v>
      </c>
      <c r="B1211" s="214" t="s">
        <v>1613</v>
      </c>
      <c r="C1211" s="222" t="s">
        <v>1613</v>
      </c>
      <c r="D1211" s="222" t="s">
        <v>1613</v>
      </c>
      <c r="E1211" s="222" t="s">
        <v>5959</v>
      </c>
      <c r="F1211" s="214" t="s">
        <v>5960</v>
      </c>
      <c r="G1211" s="214" t="s">
        <v>1613</v>
      </c>
      <c r="H1211" s="222" t="s">
        <v>5961</v>
      </c>
      <c r="I1211" s="214" t="s">
        <v>5962</v>
      </c>
      <c r="J1211" s="214" t="s">
        <v>5963</v>
      </c>
      <c r="K1211" s="214" t="s">
        <v>9484</v>
      </c>
      <c r="L1211" s="214" t="s">
        <v>1613</v>
      </c>
      <c r="M1211" s="214" t="s">
        <v>10140</v>
      </c>
      <c r="P1211" s="120"/>
    </row>
    <row r="1212" spans="1:16">
      <c r="A1212" s="214" t="s">
        <v>1836</v>
      </c>
      <c r="B1212" s="214" t="s">
        <v>1837</v>
      </c>
      <c r="C1212" s="222" t="s">
        <v>1837</v>
      </c>
      <c r="D1212" s="222" t="s">
        <v>1837</v>
      </c>
      <c r="E1212" s="222" t="s">
        <v>5964</v>
      </c>
      <c r="F1212" s="214" t="s">
        <v>5965</v>
      </c>
      <c r="G1212" s="214" t="s">
        <v>1837</v>
      </c>
      <c r="H1212" s="222" t="s">
        <v>5966</v>
      </c>
      <c r="I1212" s="214" t="s">
        <v>5967</v>
      </c>
      <c r="J1212" s="214" t="s">
        <v>5968</v>
      </c>
      <c r="K1212" s="214" t="s">
        <v>9485</v>
      </c>
      <c r="L1212" s="214" t="s">
        <v>1837</v>
      </c>
      <c r="M1212" s="214" t="s">
        <v>10141</v>
      </c>
      <c r="P1212" s="120"/>
    </row>
    <row r="1213" spans="1:16">
      <c r="A1213" s="214" t="s">
        <v>1838</v>
      </c>
      <c r="B1213" s="214" t="s">
        <v>1317</v>
      </c>
      <c r="C1213" s="222" t="s">
        <v>1317</v>
      </c>
      <c r="D1213" s="222" t="s">
        <v>1317</v>
      </c>
      <c r="E1213" s="222" t="s">
        <v>5969</v>
      </c>
      <c r="F1213" s="214" t="s">
        <v>5098</v>
      </c>
      <c r="G1213" s="214" t="s">
        <v>1317</v>
      </c>
      <c r="H1213" s="222" t="s">
        <v>5099</v>
      </c>
      <c r="I1213" s="214" t="s">
        <v>5441</v>
      </c>
      <c r="J1213" s="214" t="s">
        <v>5442</v>
      </c>
      <c r="K1213" s="214" t="s">
        <v>9325</v>
      </c>
      <c r="L1213" s="214" t="s">
        <v>1317</v>
      </c>
      <c r="M1213" s="214" t="s">
        <v>10142</v>
      </c>
      <c r="P1213" s="120"/>
    </row>
    <row r="1214" spans="1:16">
      <c r="A1214" s="214" t="s">
        <v>1839</v>
      </c>
      <c r="B1214" s="214" t="s">
        <v>1840</v>
      </c>
      <c r="C1214" s="222" t="s">
        <v>1840</v>
      </c>
      <c r="D1214" s="222" t="s">
        <v>1840</v>
      </c>
      <c r="E1214" s="222" t="s">
        <v>5970</v>
      </c>
      <c r="F1214" s="214" t="s">
        <v>5971</v>
      </c>
      <c r="G1214" s="214" t="s">
        <v>1840</v>
      </c>
      <c r="H1214" s="222" t="s">
        <v>5972</v>
      </c>
      <c r="I1214" s="214" t="s">
        <v>5973</v>
      </c>
      <c r="J1214" s="214" t="s">
        <v>5974</v>
      </c>
      <c r="K1214" s="214" t="s">
        <v>9486</v>
      </c>
      <c r="L1214" s="214" t="s">
        <v>1840</v>
      </c>
      <c r="M1214" s="214" t="s">
        <v>10143</v>
      </c>
      <c r="P1214" s="120"/>
    </row>
    <row r="1215" spans="1:16">
      <c r="A1215" s="214" t="s">
        <v>1841</v>
      </c>
      <c r="B1215" s="214" t="s">
        <v>1842</v>
      </c>
      <c r="C1215" s="222" t="s">
        <v>1842</v>
      </c>
      <c r="D1215" s="222" t="s">
        <v>1842</v>
      </c>
      <c r="E1215" s="222" t="s">
        <v>5176</v>
      </c>
      <c r="F1215" s="214" t="s">
        <v>5975</v>
      </c>
      <c r="G1215" s="214" t="s">
        <v>1842</v>
      </c>
      <c r="H1215" s="222" t="s">
        <v>5200</v>
      </c>
      <c r="I1215" s="214" t="s">
        <v>5976</v>
      </c>
      <c r="J1215" s="214" t="s">
        <v>5977</v>
      </c>
      <c r="K1215" s="214" t="s">
        <v>9337</v>
      </c>
      <c r="L1215" s="214" t="s">
        <v>1842</v>
      </c>
      <c r="M1215" s="214" t="s">
        <v>10144</v>
      </c>
      <c r="P1215" s="120"/>
    </row>
    <row r="1216" spans="1:16">
      <c r="A1216" s="214" t="s">
        <v>1843</v>
      </c>
      <c r="B1216" s="214" t="s">
        <v>1844</v>
      </c>
      <c r="C1216" s="222" t="s">
        <v>1844</v>
      </c>
      <c r="D1216" s="222" t="s">
        <v>1844</v>
      </c>
      <c r="E1216" s="222" t="s">
        <v>5978</v>
      </c>
      <c r="F1216" s="214" t="s">
        <v>5979</v>
      </c>
      <c r="G1216" s="214" t="s">
        <v>1844</v>
      </c>
      <c r="H1216" s="222" t="s">
        <v>5980</v>
      </c>
      <c r="I1216" s="214" t="s">
        <v>5981</v>
      </c>
      <c r="J1216" s="214" t="s">
        <v>5982</v>
      </c>
      <c r="K1216" s="214" t="s">
        <v>9487</v>
      </c>
      <c r="L1216" s="214" t="s">
        <v>1844</v>
      </c>
      <c r="M1216" s="214" t="s">
        <v>10145</v>
      </c>
      <c r="P1216" s="120"/>
    </row>
    <row r="1217" spans="1:16">
      <c r="A1217" s="214" t="s">
        <v>1845</v>
      </c>
      <c r="B1217" s="214" t="s">
        <v>1372</v>
      </c>
      <c r="C1217" s="222" t="s">
        <v>1372</v>
      </c>
      <c r="D1217" s="222" t="s">
        <v>1372</v>
      </c>
      <c r="E1217" s="222" t="s">
        <v>5983</v>
      </c>
      <c r="F1217" s="214" t="s">
        <v>5222</v>
      </c>
      <c r="G1217" s="214" t="s">
        <v>1372</v>
      </c>
      <c r="H1217" s="222" t="s">
        <v>5984</v>
      </c>
      <c r="I1217" s="214" t="s">
        <v>5985</v>
      </c>
      <c r="J1217" s="214" t="s">
        <v>5225</v>
      </c>
      <c r="K1217" s="214" t="s">
        <v>9488</v>
      </c>
      <c r="L1217" s="214" t="s">
        <v>1372</v>
      </c>
      <c r="M1217" s="214" t="s">
        <v>10146</v>
      </c>
      <c r="P1217" s="120"/>
    </row>
    <row r="1218" spans="1:16">
      <c r="A1218" s="214" t="s">
        <v>1846</v>
      </c>
      <c r="B1218" s="214" t="s">
        <v>1848</v>
      </c>
      <c r="C1218" s="222" t="s">
        <v>1848</v>
      </c>
      <c r="D1218" s="222" t="s">
        <v>1848</v>
      </c>
      <c r="E1218" s="222" t="s">
        <v>5986</v>
      </c>
      <c r="F1218" s="214" t="s">
        <v>5987</v>
      </c>
      <c r="G1218" s="214" t="s">
        <v>1848</v>
      </c>
      <c r="H1218" s="222" t="s">
        <v>5988</v>
      </c>
      <c r="I1218" s="214" t="s">
        <v>5989</v>
      </c>
      <c r="J1218" s="214" t="s">
        <v>5990</v>
      </c>
      <c r="K1218" s="214" t="s">
        <v>9489</v>
      </c>
      <c r="L1218" s="214" t="s">
        <v>1848</v>
      </c>
      <c r="M1218" s="214" t="s">
        <v>10147</v>
      </c>
      <c r="P1218" s="120"/>
    </row>
    <row r="1219" spans="1:16">
      <c r="A1219" s="214" t="s">
        <v>1859</v>
      </c>
      <c r="B1219" s="214" t="s">
        <v>1317</v>
      </c>
      <c r="C1219" s="222" t="s">
        <v>1317</v>
      </c>
      <c r="D1219" s="222" t="s">
        <v>1317</v>
      </c>
      <c r="E1219" s="222" t="s">
        <v>5969</v>
      </c>
      <c r="F1219" s="214" t="s">
        <v>5098</v>
      </c>
      <c r="G1219" s="214" t="s">
        <v>1317</v>
      </c>
      <c r="H1219" s="222" t="s">
        <v>5099</v>
      </c>
      <c r="I1219" s="214" t="s">
        <v>5441</v>
      </c>
      <c r="J1219" s="214" t="s">
        <v>5442</v>
      </c>
      <c r="K1219" s="214" t="s">
        <v>9325</v>
      </c>
      <c r="L1219" s="214" t="s">
        <v>1317</v>
      </c>
      <c r="M1219" s="214" t="s">
        <v>9978</v>
      </c>
      <c r="P1219" s="120"/>
    </row>
    <row r="1220" spans="1:16">
      <c r="A1220" s="214" t="s">
        <v>1865</v>
      </c>
      <c r="B1220" s="214" t="s">
        <v>1866</v>
      </c>
      <c r="C1220" s="222" t="s">
        <v>1866</v>
      </c>
      <c r="D1220" s="222" t="s">
        <v>1866</v>
      </c>
      <c r="E1220" s="222" t="s">
        <v>5991</v>
      </c>
      <c r="F1220" s="214" t="s">
        <v>5992</v>
      </c>
      <c r="G1220" s="214" t="s">
        <v>1866</v>
      </c>
      <c r="H1220" s="222" t="s">
        <v>5993</v>
      </c>
      <c r="I1220" s="214" t="s">
        <v>5994</v>
      </c>
      <c r="J1220" s="214" t="s">
        <v>5995</v>
      </c>
      <c r="K1220" s="214" t="s">
        <v>9490</v>
      </c>
      <c r="L1220" s="214" t="s">
        <v>1866</v>
      </c>
      <c r="M1220" s="214" t="s">
        <v>10148</v>
      </c>
      <c r="P1220" s="120"/>
    </row>
    <row r="1221" spans="1:16">
      <c r="A1221" s="214" t="s">
        <v>1869</v>
      </c>
      <c r="B1221" s="214" t="s">
        <v>1372</v>
      </c>
      <c r="C1221" s="222" t="s">
        <v>1372</v>
      </c>
      <c r="D1221" s="222" t="s">
        <v>1372</v>
      </c>
      <c r="E1221" s="222" t="s">
        <v>5983</v>
      </c>
      <c r="F1221" s="214" t="s">
        <v>5222</v>
      </c>
      <c r="G1221" s="214" t="s">
        <v>1372</v>
      </c>
      <c r="H1221" s="222" t="s">
        <v>5984</v>
      </c>
      <c r="I1221" s="214" t="s">
        <v>5985</v>
      </c>
      <c r="J1221" s="214" t="s">
        <v>5225</v>
      </c>
      <c r="K1221" s="214" t="s">
        <v>9488</v>
      </c>
      <c r="L1221" s="214" t="s">
        <v>1372</v>
      </c>
      <c r="M1221" s="214" t="s">
        <v>10146</v>
      </c>
      <c r="P1221" s="120"/>
    </row>
    <row r="1222" spans="1:16">
      <c r="A1222" s="214" t="s">
        <v>1870</v>
      </c>
      <c r="B1222" s="214" t="s">
        <v>1774</v>
      </c>
      <c r="C1222" s="222" t="s">
        <v>1774</v>
      </c>
      <c r="D1222" s="222" t="s">
        <v>1774</v>
      </c>
      <c r="E1222" s="222" t="s">
        <v>5996</v>
      </c>
      <c r="F1222" s="214" t="s">
        <v>5997</v>
      </c>
      <c r="G1222" s="214" t="s">
        <v>1774</v>
      </c>
      <c r="H1222" s="222" t="s">
        <v>5998</v>
      </c>
      <c r="I1222" s="214" t="s">
        <v>5999</v>
      </c>
      <c r="J1222" s="214" t="s">
        <v>6000</v>
      </c>
      <c r="K1222" s="223" t="s">
        <v>9491</v>
      </c>
      <c r="L1222" s="214" t="s">
        <v>1774</v>
      </c>
      <c r="M1222" s="214" t="s">
        <v>10149</v>
      </c>
      <c r="P1222" s="120"/>
    </row>
    <row r="1223" spans="1:16">
      <c r="A1223" s="214" t="s">
        <v>1871</v>
      </c>
      <c r="B1223" s="214" t="s">
        <v>1849</v>
      </c>
      <c r="C1223" s="222" t="s">
        <v>1849</v>
      </c>
      <c r="D1223" s="222" t="s">
        <v>1849</v>
      </c>
      <c r="E1223" s="222" t="s">
        <v>5631</v>
      </c>
      <c r="F1223" s="214" t="s">
        <v>6001</v>
      </c>
      <c r="G1223" s="214" t="s">
        <v>1849</v>
      </c>
      <c r="H1223" s="222" t="s">
        <v>6002</v>
      </c>
      <c r="I1223" s="214" t="s">
        <v>6003</v>
      </c>
      <c r="J1223" s="214" t="s">
        <v>5635</v>
      </c>
      <c r="K1223" s="223" t="s">
        <v>9492</v>
      </c>
      <c r="L1223" s="214" t="s">
        <v>1849</v>
      </c>
      <c r="M1223" s="214" t="s">
        <v>10150</v>
      </c>
      <c r="P1223" s="120"/>
    </row>
    <row r="1224" spans="1:16">
      <c r="A1224" s="214" t="s">
        <v>1872</v>
      </c>
      <c r="B1224" s="214" t="s">
        <v>1873</v>
      </c>
      <c r="C1224" s="222" t="s">
        <v>1873</v>
      </c>
      <c r="D1224" s="222" t="s">
        <v>1873</v>
      </c>
      <c r="E1224" s="222" t="s">
        <v>6004</v>
      </c>
      <c r="F1224" s="214" t="s">
        <v>6005</v>
      </c>
      <c r="G1224" s="214" t="s">
        <v>1873</v>
      </c>
      <c r="H1224" s="222" t="s">
        <v>6006</v>
      </c>
      <c r="I1224" s="214" t="s">
        <v>6007</v>
      </c>
      <c r="J1224" s="214" t="s">
        <v>6008</v>
      </c>
      <c r="K1224" s="223" t="s">
        <v>9493</v>
      </c>
      <c r="L1224" s="214" t="s">
        <v>1873</v>
      </c>
      <c r="M1224" s="214" t="s">
        <v>10151</v>
      </c>
      <c r="P1224" s="120"/>
    </row>
    <row r="1225" spans="1:16">
      <c r="A1225" s="214" t="s">
        <v>1874</v>
      </c>
      <c r="B1225" s="214" t="s">
        <v>1844</v>
      </c>
      <c r="C1225" s="222" t="s">
        <v>1844</v>
      </c>
      <c r="D1225" s="222" t="s">
        <v>1844</v>
      </c>
      <c r="E1225" s="222" t="s">
        <v>5978</v>
      </c>
      <c r="F1225" s="214" t="s">
        <v>5979</v>
      </c>
      <c r="G1225" s="214" t="s">
        <v>1844</v>
      </c>
      <c r="H1225" s="222" t="s">
        <v>5980</v>
      </c>
      <c r="I1225" s="214" t="s">
        <v>5981</v>
      </c>
      <c r="J1225" s="214" t="s">
        <v>5982</v>
      </c>
      <c r="K1225" s="214" t="s">
        <v>9487</v>
      </c>
      <c r="L1225" s="214" t="s">
        <v>1844</v>
      </c>
      <c r="M1225" s="214" t="s">
        <v>10145</v>
      </c>
      <c r="P1225" s="120"/>
    </row>
    <row r="1226" spans="1:16">
      <c r="A1226" s="214" t="s">
        <v>1875</v>
      </c>
      <c r="B1226" s="214" t="s">
        <v>1850</v>
      </c>
      <c r="C1226" s="222" t="s">
        <v>1850</v>
      </c>
      <c r="D1226" s="222" t="s">
        <v>1850</v>
      </c>
      <c r="E1226" s="222" t="s">
        <v>6009</v>
      </c>
      <c r="F1226" s="214" t="s">
        <v>6010</v>
      </c>
      <c r="G1226" s="214" t="s">
        <v>1850</v>
      </c>
      <c r="H1226" s="222" t="s">
        <v>6011</v>
      </c>
      <c r="I1226" s="214" t="s">
        <v>6012</v>
      </c>
      <c r="J1226" s="214" t="s">
        <v>6013</v>
      </c>
      <c r="K1226" s="214" t="s">
        <v>9494</v>
      </c>
      <c r="L1226" s="214" t="s">
        <v>1850</v>
      </c>
      <c r="M1226" s="214" t="s">
        <v>10152</v>
      </c>
      <c r="P1226" s="120"/>
    </row>
    <row r="1227" spans="1:16">
      <c r="A1227" s="214" t="s">
        <v>1876</v>
      </c>
      <c r="B1227" s="214" t="s">
        <v>1830</v>
      </c>
      <c r="C1227" s="222" t="s">
        <v>1830</v>
      </c>
      <c r="D1227" s="222" t="s">
        <v>1830</v>
      </c>
      <c r="E1227" s="222" t="s">
        <v>5944</v>
      </c>
      <c r="F1227" s="214" t="s">
        <v>5945</v>
      </c>
      <c r="G1227" s="214" t="s">
        <v>1830</v>
      </c>
      <c r="H1227" s="222" t="s">
        <v>5946</v>
      </c>
      <c r="I1227" s="214" t="s">
        <v>5947</v>
      </c>
      <c r="J1227" s="214" t="s">
        <v>5948</v>
      </c>
      <c r="K1227" s="214" t="s">
        <v>9495</v>
      </c>
      <c r="L1227" s="214" t="s">
        <v>1830</v>
      </c>
      <c r="M1227" s="214" t="s">
        <v>10153</v>
      </c>
      <c r="P1227" s="120"/>
    </row>
    <row r="1228" spans="1:16">
      <c r="A1228" s="214" t="s">
        <v>1877</v>
      </c>
      <c r="B1228" s="214" t="s">
        <v>1852</v>
      </c>
      <c r="C1228" s="222" t="s">
        <v>1852</v>
      </c>
      <c r="D1228" s="222" t="s">
        <v>1852</v>
      </c>
      <c r="E1228" s="222" t="s">
        <v>6014</v>
      </c>
      <c r="F1228" s="214" t="s">
        <v>6015</v>
      </c>
      <c r="G1228" s="214" t="s">
        <v>1852</v>
      </c>
      <c r="H1228" s="222" t="s">
        <v>6016</v>
      </c>
      <c r="I1228" s="214" t="s">
        <v>6017</v>
      </c>
      <c r="J1228" s="214" t="s">
        <v>6018</v>
      </c>
      <c r="K1228" s="214" t="s">
        <v>9496</v>
      </c>
      <c r="L1228" s="214" t="s">
        <v>1852</v>
      </c>
      <c r="M1228" s="214" t="s">
        <v>10154</v>
      </c>
      <c r="P1228" s="120"/>
    </row>
    <row r="1229" spans="1:16">
      <c r="A1229" s="214" t="s">
        <v>1878</v>
      </c>
      <c r="B1229" s="214" t="s">
        <v>1853</v>
      </c>
      <c r="C1229" s="222" t="s">
        <v>1853</v>
      </c>
      <c r="D1229" s="222" t="s">
        <v>1853</v>
      </c>
      <c r="E1229" s="222" t="s">
        <v>6019</v>
      </c>
      <c r="F1229" s="214" t="s">
        <v>6020</v>
      </c>
      <c r="G1229" s="214" t="s">
        <v>1853</v>
      </c>
      <c r="H1229" s="222" t="s">
        <v>6021</v>
      </c>
      <c r="I1229" s="214" t="s">
        <v>6022</v>
      </c>
      <c r="J1229" s="214" t="s">
        <v>6023</v>
      </c>
      <c r="K1229" s="214" t="s">
        <v>9497</v>
      </c>
      <c r="L1229" s="214" t="s">
        <v>1853</v>
      </c>
      <c r="M1229" s="214" t="s">
        <v>10155</v>
      </c>
      <c r="P1229" s="120"/>
    </row>
    <row r="1230" spans="1:16">
      <c r="A1230" s="214" t="s">
        <v>1879</v>
      </c>
      <c r="B1230" s="214" t="s">
        <v>1842</v>
      </c>
      <c r="C1230" s="222" t="s">
        <v>1842</v>
      </c>
      <c r="D1230" s="222" t="s">
        <v>1842</v>
      </c>
      <c r="E1230" s="222" t="s">
        <v>5176</v>
      </c>
      <c r="F1230" s="214" t="s">
        <v>5975</v>
      </c>
      <c r="G1230" s="214" t="s">
        <v>1842</v>
      </c>
      <c r="H1230" s="222" t="s">
        <v>5200</v>
      </c>
      <c r="I1230" s="214" t="s">
        <v>5976</v>
      </c>
      <c r="J1230" s="214" t="s">
        <v>5977</v>
      </c>
      <c r="K1230" s="214" t="s">
        <v>9498</v>
      </c>
      <c r="L1230" s="214" t="s">
        <v>1842</v>
      </c>
      <c r="M1230" s="214" t="s">
        <v>10156</v>
      </c>
      <c r="P1230" s="120"/>
    </row>
    <row r="1231" spans="1:16">
      <c r="A1231" s="214" t="s">
        <v>1880</v>
      </c>
      <c r="B1231" s="214" t="s">
        <v>1856</v>
      </c>
      <c r="C1231" s="222" t="s">
        <v>1856</v>
      </c>
      <c r="D1231" s="222" t="s">
        <v>1856</v>
      </c>
      <c r="E1231" s="222" t="s">
        <v>6024</v>
      </c>
      <c r="F1231" s="214" t="s">
        <v>6025</v>
      </c>
      <c r="G1231" s="214" t="s">
        <v>1856</v>
      </c>
      <c r="H1231" s="222" t="s">
        <v>6026</v>
      </c>
      <c r="I1231" s="214" t="s">
        <v>6027</v>
      </c>
      <c r="J1231" s="214" t="s">
        <v>6028</v>
      </c>
      <c r="K1231" s="214" t="s">
        <v>9499</v>
      </c>
      <c r="L1231" s="214" t="s">
        <v>1856</v>
      </c>
      <c r="M1231" s="214" t="s">
        <v>10157</v>
      </c>
      <c r="P1231" s="120"/>
    </row>
    <row r="1232" spans="1:16">
      <c r="A1232" s="214" t="s">
        <v>1881</v>
      </c>
      <c r="B1232" s="214" t="s">
        <v>1858</v>
      </c>
      <c r="C1232" s="222" t="s">
        <v>1858</v>
      </c>
      <c r="D1232" s="222" t="s">
        <v>1858</v>
      </c>
      <c r="E1232" s="222" t="s">
        <v>6029</v>
      </c>
      <c r="F1232" s="214" t="s">
        <v>6030</v>
      </c>
      <c r="G1232" s="214" t="s">
        <v>1858</v>
      </c>
      <c r="H1232" s="222" t="s">
        <v>6031</v>
      </c>
      <c r="I1232" s="214" t="s">
        <v>6032</v>
      </c>
      <c r="J1232" s="214" t="s">
        <v>6033</v>
      </c>
      <c r="K1232" s="214" t="s">
        <v>9500</v>
      </c>
      <c r="L1232" s="214" t="s">
        <v>1858</v>
      </c>
      <c r="M1232" s="214" t="s">
        <v>10158</v>
      </c>
      <c r="P1232" s="120"/>
    </row>
    <row r="1233" spans="1:16">
      <c r="A1233" s="214" t="s">
        <v>1882</v>
      </c>
      <c r="B1233" s="214" t="s">
        <v>1840</v>
      </c>
      <c r="C1233" s="222" t="s">
        <v>1840</v>
      </c>
      <c r="D1233" s="222" t="s">
        <v>1840</v>
      </c>
      <c r="E1233" s="222" t="s">
        <v>5970</v>
      </c>
      <c r="F1233" s="214" t="s">
        <v>5971</v>
      </c>
      <c r="G1233" s="214" t="s">
        <v>1840</v>
      </c>
      <c r="H1233" s="222" t="s">
        <v>5972</v>
      </c>
      <c r="I1233" s="214" t="s">
        <v>5973</v>
      </c>
      <c r="J1233" s="214" t="s">
        <v>5974</v>
      </c>
      <c r="K1233" s="214" t="s">
        <v>9486</v>
      </c>
      <c r="L1233" s="214" t="s">
        <v>1840</v>
      </c>
      <c r="M1233" s="214" t="s">
        <v>10159</v>
      </c>
      <c r="P1233" s="120"/>
    </row>
    <row r="1234" spans="1:16">
      <c r="A1234" s="214" t="s">
        <v>1883</v>
      </c>
      <c r="B1234" s="214" t="s">
        <v>1860</v>
      </c>
      <c r="C1234" s="222" t="s">
        <v>1860</v>
      </c>
      <c r="D1234" s="222" t="s">
        <v>1860</v>
      </c>
      <c r="E1234" s="222" t="s">
        <v>6034</v>
      </c>
      <c r="F1234" s="214" t="s">
        <v>6035</v>
      </c>
      <c r="G1234" s="214" t="s">
        <v>1860</v>
      </c>
      <c r="H1234" s="222" t="s">
        <v>6036</v>
      </c>
      <c r="I1234" s="214" t="s">
        <v>6037</v>
      </c>
      <c r="J1234" s="214" t="s">
        <v>6038</v>
      </c>
      <c r="K1234" s="214" t="s">
        <v>9501</v>
      </c>
      <c r="L1234" s="214" t="s">
        <v>1860</v>
      </c>
      <c r="M1234" s="214" t="s">
        <v>10160</v>
      </c>
      <c r="P1234" s="120"/>
    </row>
    <row r="1235" spans="1:16">
      <c r="A1235" s="214" t="s">
        <v>1884</v>
      </c>
      <c r="B1235" s="214" t="s">
        <v>1857</v>
      </c>
      <c r="C1235" s="222" t="s">
        <v>1857</v>
      </c>
      <c r="D1235" s="222" t="s">
        <v>1857</v>
      </c>
      <c r="E1235" s="222" t="s">
        <v>6039</v>
      </c>
      <c r="F1235" s="214" t="s">
        <v>6040</v>
      </c>
      <c r="G1235" s="214" t="s">
        <v>1857</v>
      </c>
      <c r="H1235" s="222" t="s">
        <v>6041</v>
      </c>
      <c r="I1235" s="214" t="s">
        <v>6042</v>
      </c>
      <c r="J1235" s="214" t="s">
        <v>6043</v>
      </c>
      <c r="K1235" s="214" t="s">
        <v>9502</v>
      </c>
      <c r="L1235" s="214" t="s">
        <v>1857</v>
      </c>
      <c r="M1235" s="214" t="s">
        <v>10161</v>
      </c>
      <c r="P1235" s="120"/>
    </row>
    <row r="1236" spans="1:16">
      <c r="A1236" s="214" t="s">
        <v>1885</v>
      </c>
      <c r="B1236" s="214" t="s">
        <v>1861</v>
      </c>
      <c r="C1236" s="222" t="s">
        <v>1861</v>
      </c>
      <c r="D1236" s="222" t="s">
        <v>1861</v>
      </c>
      <c r="E1236" s="222" t="s">
        <v>6044</v>
      </c>
      <c r="F1236" s="214" t="s">
        <v>6045</v>
      </c>
      <c r="G1236" s="214" t="s">
        <v>1861</v>
      </c>
      <c r="H1236" s="222" t="s">
        <v>6046</v>
      </c>
      <c r="I1236" s="214" t="s">
        <v>6047</v>
      </c>
      <c r="J1236" s="214" t="s">
        <v>6048</v>
      </c>
      <c r="K1236" s="214" t="s">
        <v>9503</v>
      </c>
      <c r="L1236" s="214" t="s">
        <v>1861</v>
      </c>
      <c r="M1236" s="214" t="s">
        <v>10162</v>
      </c>
      <c r="P1236" s="120"/>
    </row>
    <row r="1237" spans="1:16">
      <c r="A1237" s="214" t="s">
        <v>1886</v>
      </c>
      <c r="B1237" s="214" t="s">
        <v>1863</v>
      </c>
      <c r="C1237" s="222" t="s">
        <v>1863</v>
      </c>
      <c r="D1237" s="222" t="s">
        <v>1863</v>
      </c>
      <c r="E1237" s="222" t="s">
        <v>6049</v>
      </c>
      <c r="F1237" s="214" t="s">
        <v>6050</v>
      </c>
      <c r="G1237" s="214" t="s">
        <v>1863</v>
      </c>
      <c r="H1237" s="222" t="s">
        <v>6051</v>
      </c>
      <c r="I1237" s="214" t="s">
        <v>6052</v>
      </c>
      <c r="J1237" s="214" t="s">
        <v>6053</v>
      </c>
      <c r="K1237" s="214" t="s">
        <v>9504</v>
      </c>
      <c r="L1237" s="214" t="s">
        <v>1863</v>
      </c>
      <c r="M1237" s="214" t="s">
        <v>10163</v>
      </c>
      <c r="P1237" s="120"/>
    </row>
    <row r="1238" spans="1:16">
      <c r="A1238" s="214" t="s">
        <v>1887</v>
      </c>
      <c r="B1238" s="214" t="s">
        <v>1867</v>
      </c>
      <c r="C1238" s="222" t="s">
        <v>1867</v>
      </c>
      <c r="D1238" s="222" t="s">
        <v>1867</v>
      </c>
      <c r="E1238" s="222" t="s">
        <v>6054</v>
      </c>
      <c r="F1238" s="214" t="s">
        <v>6055</v>
      </c>
      <c r="G1238" s="214" t="s">
        <v>1867</v>
      </c>
      <c r="H1238" s="222" t="s">
        <v>6056</v>
      </c>
      <c r="I1238" s="214" t="s">
        <v>6057</v>
      </c>
      <c r="J1238" s="214" t="s">
        <v>6058</v>
      </c>
      <c r="K1238" s="214" t="s">
        <v>9505</v>
      </c>
      <c r="L1238" s="214" t="s">
        <v>1867</v>
      </c>
      <c r="M1238" s="214" t="s">
        <v>10164</v>
      </c>
      <c r="P1238" s="120"/>
    </row>
    <row r="1239" spans="1:16">
      <c r="A1239" s="214" t="s">
        <v>1888</v>
      </c>
      <c r="B1239" s="214" t="s">
        <v>1889</v>
      </c>
      <c r="C1239" s="222" t="s">
        <v>1889</v>
      </c>
      <c r="D1239" s="222" t="s">
        <v>1889</v>
      </c>
      <c r="E1239" s="222" t="s">
        <v>6059</v>
      </c>
      <c r="F1239" s="214" t="s">
        <v>6060</v>
      </c>
      <c r="G1239" s="214" t="s">
        <v>1889</v>
      </c>
      <c r="H1239" s="222" t="s">
        <v>6061</v>
      </c>
      <c r="I1239" s="214" t="s">
        <v>6062</v>
      </c>
      <c r="J1239" s="214" t="s">
        <v>6063</v>
      </c>
      <c r="K1239" s="214" t="s">
        <v>9506</v>
      </c>
      <c r="L1239" s="214" t="s">
        <v>1889</v>
      </c>
      <c r="M1239" s="214" t="s">
        <v>10165</v>
      </c>
      <c r="P1239" s="120"/>
    </row>
    <row r="1240" spans="1:16">
      <c r="A1240" s="214" t="s">
        <v>1890</v>
      </c>
      <c r="B1240" s="214" t="s">
        <v>1868</v>
      </c>
      <c r="C1240" s="222" t="s">
        <v>1868</v>
      </c>
      <c r="D1240" s="222" t="s">
        <v>1868</v>
      </c>
      <c r="E1240" s="222" t="s">
        <v>6064</v>
      </c>
      <c r="F1240" s="214" t="s">
        <v>6065</v>
      </c>
      <c r="G1240" s="214" t="s">
        <v>1868</v>
      </c>
      <c r="H1240" s="222" t="s">
        <v>6066</v>
      </c>
      <c r="I1240" s="214" t="s">
        <v>6067</v>
      </c>
      <c r="J1240" s="214" t="s">
        <v>6068</v>
      </c>
      <c r="K1240" s="214" t="s">
        <v>9507</v>
      </c>
      <c r="L1240" s="214" t="s">
        <v>1868</v>
      </c>
      <c r="M1240" s="214" t="s">
        <v>10166</v>
      </c>
      <c r="P1240" s="120"/>
    </row>
    <row r="1241" spans="1:16">
      <c r="A1241" s="214" t="s">
        <v>1891</v>
      </c>
      <c r="B1241" s="214" t="s">
        <v>1893</v>
      </c>
      <c r="C1241" s="222" t="s">
        <v>1893</v>
      </c>
      <c r="D1241" s="222" t="s">
        <v>1893</v>
      </c>
      <c r="E1241" s="222" t="s">
        <v>6069</v>
      </c>
      <c r="F1241" s="214" t="s">
        <v>6070</v>
      </c>
      <c r="G1241" s="214" t="s">
        <v>1893</v>
      </c>
      <c r="H1241" s="222" t="s">
        <v>6071</v>
      </c>
      <c r="I1241" s="214" t="s">
        <v>6072</v>
      </c>
      <c r="J1241" s="214" t="s">
        <v>6073</v>
      </c>
      <c r="K1241" s="214" t="s">
        <v>9508</v>
      </c>
      <c r="L1241" s="214" t="s">
        <v>1893</v>
      </c>
      <c r="M1241" s="214" t="s">
        <v>1893</v>
      </c>
      <c r="P1241" s="120"/>
    </row>
    <row r="1242" spans="1:16">
      <c r="A1242" s="214" t="s">
        <v>1932</v>
      </c>
      <c r="B1242" s="214" t="s">
        <v>1372</v>
      </c>
      <c r="C1242" s="222" t="s">
        <v>1372</v>
      </c>
      <c r="D1242" s="222" t="s">
        <v>1372</v>
      </c>
      <c r="E1242" s="222" t="s">
        <v>5983</v>
      </c>
      <c r="F1242" s="214" t="s">
        <v>5222</v>
      </c>
      <c r="G1242" s="214" t="s">
        <v>1372</v>
      </c>
      <c r="H1242" s="222" t="s">
        <v>5984</v>
      </c>
      <c r="I1242" s="214" t="s">
        <v>5985</v>
      </c>
      <c r="J1242" s="214" t="s">
        <v>5225</v>
      </c>
      <c r="K1242" s="214" t="s">
        <v>9488</v>
      </c>
      <c r="L1242" s="214" t="s">
        <v>1372</v>
      </c>
      <c r="M1242" s="214" t="s">
        <v>10146</v>
      </c>
      <c r="P1242" s="120"/>
    </row>
    <row r="1243" spans="1:16">
      <c r="A1243" s="214" t="s">
        <v>1934</v>
      </c>
      <c r="B1243" s="214" t="s">
        <v>1935</v>
      </c>
      <c r="C1243" s="222" t="s">
        <v>1935</v>
      </c>
      <c r="D1243" s="222" t="s">
        <v>1935</v>
      </c>
      <c r="E1243" s="222" t="s">
        <v>6074</v>
      </c>
      <c r="F1243" s="214" t="s">
        <v>6075</v>
      </c>
      <c r="G1243" s="214" t="s">
        <v>1935</v>
      </c>
      <c r="H1243" s="222" t="s">
        <v>6076</v>
      </c>
      <c r="I1243" s="214" t="s">
        <v>6077</v>
      </c>
      <c r="J1243" s="214" t="s">
        <v>6078</v>
      </c>
      <c r="K1243" s="214" t="s">
        <v>9509</v>
      </c>
      <c r="L1243" s="214" t="s">
        <v>1935</v>
      </c>
      <c r="M1243" s="214" t="s">
        <v>1935</v>
      </c>
      <c r="P1243" s="120"/>
    </row>
    <row r="1244" spans="1:16">
      <c r="A1244" s="214" t="s">
        <v>1936</v>
      </c>
      <c r="B1244" s="214" t="s">
        <v>1894</v>
      </c>
      <c r="C1244" s="222" t="s">
        <v>1894</v>
      </c>
      <c r="D1244" s="222" t="s">
        <v>1894</v>
      </c>
      <c r="E1244" s="222" t="s">
        <v>6079</v>
      </c>
      <c r="F1244" s="214" t="s">
        <v>6080</v>
      </c>
      <c r="G1244" s="214" t="s">
        <v>1894</v>
      </c>
      <c r="H1244" s="222" t="s">
        <v>6081</v>
      </c>
      <c r="I1244" s="214" t="s">
        <v>6082</v>
      </c>
      <c r="J1244" s="214" t="s">
        <v>6083</v>
      </c>
      <c r="K1244" s="214" t="s">
        <v>9510</v>
      </c>
      <c r="L1244" s="214" t="s">
        <v>1894</v>
      </c>
      <c r="M1244" s="214" t="s">
        <v>10167</v>
      </c>
      <c r="P1244" s="120"/>
    </row>
    <row r="1245" spans="1:16">
      <c r="A1245" s="214" t="s">
        <v>1937</v>
      </c>
      <c r="B1245" s="214" t="s">
        <v>1895</v>
      </c>
      <c r="C1245" s="222" t="s">
        <v>1895</v>
      </c>
      <c r="D1245" s="222" t="s">
        <v>1895</v>
      </c>
      <c r="E1245" s="222" t="s">
        <v>6084</v>
      </c>
      <c r="F1245" s="214" t="s">
        <v>6085</v>
      </c>
      <c r="G1245" s="214" t="s">
        <v>1895</v>
      </c>
      <c r="H1245" s="222" t="s">
        <v>6086</v>
      </c>
      <c r="I1245" s="214" t="s">
        <v>6087</v>
      </c>
      <c r="J1245" s="214" t="s">
        <v>6088</v>
      </c>
      <c r="K1245" s="214" t="s">
        <v>9511</v>
      </c>
      <c r="L1245" s="214" t="s">
        <v>1895</v>
      </c>
      <c r="M1245" s="214" t="s">
        <v>10168</v>
      </c>
      <c r="P1245" s="120"/>
    </row>
    <row r="1246" spans="1:16">
      <c r="A1246" s="214" t="s">
        <v>1938</v>
      </c>
      <c r="B1246" s="214" t="s">
        <v>1897</v>
      </c>
      <c r="C1246" s="222" t="s">
        <v>1897</v>
      </c>
      <c r="D1246" s="222" t="s">
        <v>1897</v>
      </c>
      <c r="E1246" s="222" t="s">
        <v>6089</v>
      </c>
      <c r="F1246" s="214" t="s">
        <v>6090</v>
      </c>
      <c r="G1246" s="214" t="s">
        <v>1897</v>
      </c>
      <c r="H1246" s="222" t="s">
        <v>6091</v>
      </c>
      <c r="I1246" s="214" t="s">
        <v>6092</v>
      </c>
      <c r="J1246" s="214" t="s">
        <v>6093</v>
      </c>
      <c r="K1246" s="223" t="s">
        <v>9512</v>
      </c>
      <c r="L1246" s="214" t="s">
        <v>1897</v>
      </c>
      <c r="M1246" s="214" t="s">
        <v>10169</v>
      </c>
      <c r="P1246" s="120"/>
    </row>
    <row r="1247" spans="1:16">
      <c r="A1247" s="214" t="s">
        <v>1939</v>
      </c>
      <c r="B1247" s="214" t="s">
        <v>1317</v>
      </c>
      <c r="C1247" s="222" t="s">
        <v>1317</v>
      </c>
      <c r="D1247" s="222" t="s">
        <v>1317</v>
      </c>
      <c r="E1247" s="222" t="s">
        <v>5097</v>
      </c>
      <c r="F1247" s="214" t="s">
        <v>5098</v>
      </c>
      <c r="G1247" s="214" t="s">
        <v>1317</v>
      </c>
      <c r="H1247" s="222" t="s">
        <v>5099</v>
      </c>
      <c r="I1247" s="214" t="s">
        <v>5441</v>
      </c>
      <c r="J1247" s="214" t="s">
        <v>5442</v>
      </c>
      <c r="K1247" s="214" t="s">
        <v>9325</v>
      </c>
      <c r="L1247" s="214" t="s">
        <v>1317</v>
      </c>
      <c r="M1247" s="214" t="s">
        <v>10142</v>
      </c>
      <c r="P1247" s="120"/>
    </row>
    <row r="1248" spans="1:16">
      <c r="A1248" s="214" t="s">
        <v>1940</v>
      </c>
      <c r="B1248" s="214" t="s">
        <v>1898</v>
      </c>
      <c r="C1248" s="222" t="s">
        <v>1898</v>
      </c>
      <c r="D1248" s="222" t="s">
        <v>1898</v>
      </c>
      <c r="E1248" s="222" t="s">
        <v>6094</v>
      </c>
      <c r="F1248" s="214" t="s">
        <v>6095</v>
      </c>
      <c r="G1248" s="214" t="s">
        <v>1898</v>
      </c>
      <c r="H1248" s="222" t="s">
        <v>6096</v>
      </c>
      <c r="I1248" s="214" t="s">
        <v>6097</v>
      </c>
      <c r="J1248" s="214" t="s">
        <v>6098</v>
      </c>
      <c r="K1248" s="214" t="s">
        <v>9513</v>
      </c>
      <c r="L1248" s="214" t="s">
        <v>1898</v>
      </c>
      <c r="M1248" s="214" t="s">
        <v>10170</v>
      </c>
      <c r="P1248" s="120"/>
    </row>
    <row r="1249" spans="1:16">
      <c r="A1249" s="214" t="s">
        <v>1941</v>
      </c>
      <c r="B1249" s="214" t="s">
        <v>1899</v>
      </c>
      <c r="C1249" s="222" t="s">
        <v>1899</v>
      </c>
      <c r="D1249" s="222" t="s">
        <v>1899</v>
      </c>
      <c r="E1249" s="222" t="s">
        <v>6099</v>
      </c>
      <c r="F1249" s="214" t="s">
        <v>6100</v>
      </c>
      <c r="G1249" s="214" t="s">
        <v>1899</v>
      </c>
      <c r="H1249" s="222" t="s">
        <v>6101</v>
      </c>
      <c r="I1249" s="214" t="s">
        <v>6102</v>
      </c>
      <c r="J1249" s="214" t="s">
        <v>6103</v>
      </c>
      <c r="K1249" s="214" t="s">
        <v>9514</v>
      </c>
      <c r="L1249" s="214" t="s">
        <v>1899</v>
      </c>
      <c r="M1249" s="214" t="s">
        <v>10171</v>
      </c>
      <c r="P1249" s="120"/>
    </row>
    <row r="1250" spans="1:16">
      <c r="A1250" s="214" t="s">
        <v>1942</v>
      </c>
      <c r="B1250" s="214" t="s">
        <v>1774</v>
      </c>
      <c r="C1250" s="222" t="s">
        <v>1774</v>
      </c>
      <c r="D1250" s="222" t="s">
        <v>1774</v>
      </c>
      <c r="E1250" s="222" t="s">
        <v>6104</v>
      </c>
      <c r="F1250" s="214" t="s">
        <v>5997</v>
      </c>
      <c r="G1250" s="214" t="s">
        <v>1774</v>
      </c>
      <c r="H1250" s="222" t="s">
        <v>6105</v>
      </c>
      <c r="I1250" s="214" t="s">
        <v>5999</v>
      </c>
      <c r="J1250" s="214" t="s">
        <v>6000</v>
      </c>
      <c r="K1250" s="214" t="s">
        <v>9491</v>
      </c>
      <c r="L1250" s="214" t="s">
        <v>1774</v>
      </c>
      <c r="M1250" s="214" t="s">
        <v>10172</v>
      </c>
      <c r="P1250" s="120"/>
    </row>
    <row r="1251" spans="1:16">
      <c r="A1251" s="214" t="s">
        <v>1943</v>
      </c>
      <c r="B1251" s="214" t="s">
        <v>1900</v>
      </c>
      <c r="C1251" s="222" t="s">
        <v>1900</v>
      </c>
      <c r="D1251" s="222" t="s">
        <v>1900</v>
      </c>
      <c r="E1251" s="222" t="s">
        <v>6106</v>
      </c>
      <c r="F1251" s="214" t="s">
        <v>6107</v>
      </c>
      <c r="G1251" s="214" t="s">
        <v>1900</v>
      </c>
      <c r="H1251" s="222" t="s">
        <v>6108</v>
      </c>
      <c r="I1251" s="214" t="s">
        <v>6109</v>
      </c>
      <c r="J1251" s="214" t="s">
        <v>6110</v>
      </c>
      <c r="K1251" s="214" t="s">
        <v>9515</v>
      </c>
      <c r="L1251" s="214" t="s">
        <v>1900</v>
      </c>
      <c r="M1251" s="214" t="s">
        <v>10173</v>
      </c>
      <c r="P1251" s="120"/>
    </row>
    <row r="1252" spans="1:16">
      <c r="A1252" s="214" t="s">
        <v>1944</v>
      </c>
      <c r="B1252" s="214" t="s">
        <v>1901</v>
      </c>
      <c r="C1252" s="222" t="s">
        <v>1901</v>
      </c>
      <c r="D1252" s="222" t="s">
        <v>1901</v>
      </c>
      <c r="E1252" s="222" t="s">
        <v>6111</v>
      </c>
      <c r="F1252" s="214" t="s">
        <v>6112</v>
      </c>
      <c r="G1252" s="214" t="s">
        <v>1901</v>
      </c>
      <c r="H1252" s="222" t="s">
        <v>6113</v>
      </c>
      <c r="I1252" s="214" t="s">
        <v>6114</v>
      </c>
      <c r="J1252" s="214" t="s">
        <v>6115</v>
      </c>
      <c r="K1252" s="214" t="s">
        <v>9516</v>
      </c>
      <c r="L1252" s="214" t="s">
        <v>1901</v>
      </c>
      <c r="M1252" s="214" t="s">
        <v>10174</v>
      </c>
      <c r="P1252" s="120"/>
    </row>
    <row r="1253" spans="1:16">
      <c r="A1253" s="214" t="s">
        <v>1945</v>
      </c>
      <c r="B1253" s="214" t="s">
        <v>1903</v>
      </c>
      <c r="C1253" s="222" t="s">
        <v>1903</v>
      </c>
      <c r="D1253" s="222" t="s">
        <v>1903</v>
      </c>
      <c r="E1253" s="222" t="s">
        <v>6116</v>
      </c>
      <c r="F1253" s="214" t="s">
        <v>6117</v>
      </c>
      <c r="G1253" s="214" t="s">
        <v>1903</v>
      </c>
      <c r="H1253" s="222" t="s">
        <v>6118</v>
      </c>
      <c r="I1253" s="214" t="s">
        <v>6119</v>
      </c>
      <c r="J1253" s="214" t="s">
        <v>6120</v>
      </c>
      <c r="K1253" s="214" t="s">
        <v>9517</v>
      </c>
      <c r="L1253" s="214" t="s">
        <v>1903</v>
      </c>
      <c r="M1253" s="214" t="s">
        <v>10175</v>
      </c>
      <c r="P1253" s="120"/>
    </row>
    <row r="1254" spans="1:16" ht="15" customHeight="1">
      <c r="A1254" s="214" t="s">
        <v>1946</v>
      </c>
      <c r="B1254" s="226" t="s">
        <v>1905</v>
      </c>
      <c r="C1254" s="226" t="s">
        <v>1905</v>
      </c>
      <c r="D1254" s="226" t="s">
        <v>1905</v>
      </c>
      <c r="E1254" s="226" t="s">
        <v>6121</v>
      </c>
      <c r="F1254" s="226" t="s">
        <v>6122</v>
      </c>
      <c r="G1254" s="226" t="s">
        <v>1905</v>
      </c>
      <c r="H1254" s="226" t="s">
        <v>6123</v>
      </c>
      <c r="I1254" s="226" t="s">
        <v>6124</v>
      </c>
      <c r="J1254" s="226" t="s">
        <v>6125</v>
      </c>
      <c r="K1254" s="226" t="s">
        <v>9518</v>
      </c>
      <c r="L1254" s="214" t="s">
        <v>1905</v>
      </c>
      <c r="M1254" s="226" t="s">
        <v>10176</v>
      </c>
    </row>
    <row r="1255" spans="1:16" ht="15" customHeight="1">
      <c r="A1255" s="214" t="s">
        <v>1947</v>
      </c>
      <c r="B1255" s="226" t="s">
        <v>1864</v>
      </c>
      <c r="C1255" s="226" t="s">
        <v>1864</v>
      </c>
      <c r="D1255" s="226" t="s">
        <v>1864</v>
      </c>
      <c r="E1255" s="226" t="s">
        <v>6126</v>
      </c>
      <c r="F1255" s="226" t="s">
        <v>6127</v>
      </c>
      <c r="G1255" s="226" t="s">
        <v>1864</v>
      </c>
      <c r="H1255" s="226" t="s">
        <v>6051</v>
      </c>
      <c r="I1255" s="226" t="s">
        <v>6052</v>
      </c>
      <c r="J1255" s="226" t="s">
        <v>6053</v>
      </c>
      <c r="K1255" s="226" t="s">
        <v>9504</v>
      </c>
      <c r="L1255" s="214" t="s">
        <v>1864</v>
      </c>
      <c r="M1255" s="226" t="s">
        <v>10177</v>
      </c>
    </row>
    <row r="1256" spans="1:16" ht="15" customHeight="1">
      <c r="A1256" s="214" t="s">
        <v>1948</v>
      </c>
      <c r="B1256" s="226" t="s">
        <v>1842</v>
      </c>
      <c r="C1256" s="226" t="s">
        <v>1842</v>
      </c>
      <c r="D1256" s="226" t="s">
        <v>1842</v>
      </c>
      <c r="E1256" s="226" t="s">
        <v>5176</v>
      </c>
      <c r="F1256" s="226" t="s">
        <v>5975</v>
      </c>
      <c r="G1256" s="226" t="s">
        <v>1842</v>
      </c>
      <c r="H1256" s="226" t="s">
        <v>5200</v>
      </c>
      <c r="I1256" s="226" t="s">
        <v>5976</v>
      </c>
      <c r="J1256" s="226" t="s">
        <v>5977</v>
      </c>
      <c r="K1256" s="226" t="s">
        <v>9337</v>
      </c>
      <c r="L1256" s="214" t="s">
        <v>1842</v>
      </c>
      <c r="M1256" s="226" t="s">
        <v>10144</v>
      </c>
    </row>
    <row r="1257" spans="1:16" ht="15" customHeight="1">
      <c r="A1257" s="214" t="s">
        <v>1949</v>
      </c>
      <c r="B1257" s="226" t="s">
        <v>1909</v>
      </c>
      <c r="C1257" s="226" t="s">
        <v>1909</v>
      </c>
      <c r="D1257" s="226" t="s">
        <v>1909</v>
      </c>
      <c r="E1257" s="226" t="s">
        <v>6128</v>
      </c>
      <c r="F1257" s="226" t="s">
        <v>6129</v>
      </c>
      <c r="G1257" s="226" t="s">
        <v>1909</v>
      </c>
      <c r="H1257" s="226" t="s">
        <v>6130</v>
      </c>
      <c r="I1257" s="226" t="s">
        <v>6131</v>
      </c>
      <c r="J1257" s="226" t="s">
        <v>6132</v>
      </c>
      <c r="K1257" s="226" t="s">
        <v>9519</v>
      </c>
      <c r="L1257" s="214" t="s">
        <v>1909</v>
      </c>
      <c r="M1257" s="226" t="s">
        <v>10178</v>
      </c>
    </row>
    <row r="1258" spans="1:16" ht="15" customHeight="1">
      <c r="A1258" s="214" t="s">
        <v>1950</v>
      </c>
      <c r="B1258" s="226" t="s">
        <v>1840</v>
      </c>
      <c r="C1258" s="226" t="s">
        <v>1840</v>
      </c>
      <c r="D1258" s="226" t="s">
        <v>1840</v>
      </c>
      <c r="E1258" s="226" t="s">
        <v>5970</v>
      </c>
      <c r="F1258" s="226" t="s">
        <v>5971</v>
      </c>
      <c r="G1258" s="226" t="s">
        <v>1840</v>
      </c>
      <c r="H1258" s="226" t="s">
        <v>5972</v>
      </c>
      <c r="I1258" s="226" t="s">
        <v>5973</v>
      </c>
      <c r="J1258" s="226" t="s">
        <v>5974</v>
      </c>
      <c r="K1258" s="226" t="s">
        <v>9486</v>
      </c>
      <c r="L1258" s="214" t="s">
        <v>1840</v>
      </c>
      <c r="M1258" s="226" t="s">
        <v>10159</v>
      </c>
    </row>
    <row r="1259" spans="1:16" ht="15" customHeight="1">
      <c r="A1259" s="214" t="s">
        <v>1951</v>
      </c>
      <c r="B1259" s="226" t="s">
        <v>1912</v>
      </c>
      <c r="C1259" s="226" t="s">
        <v>1912</v>
      </c>
      <c r="D1259" s="226" t="s">
        <v>1912</v>
      </c>
      <c r="E1259" s="226" t="s">
        <v>6133</v>
      </c>
      <c r="F1259" s="226" t="s">
        <v>6134</v>
      </c>
      <c r="G1259" s="226" t="s">
        <v>1912</v>
      </c>
      <c r="H1259" s="226" t="s">
        <v>6135</v>
      </c>
      <c r="I1259" s="226" t="s">
        <v>6136</v>
      </c>
      <c r="J1259" s="226" t="s">
        <v>6137</v>
      </c>
      <c r="K1259" s="226" t="s">
        <v>9520</v>
      </c>
      <c r="L1259" s="214" t="s">
        <v>1912</v>
      </c>
      <c r="M1259" s="226" t="s">
        <v>10179</v>
      </c>
    </row>
    <row r="1260" spans="1:16" ht="15" customHeight="1">
      <c r="A1260" s="214" t="s">
        <v>1952</v>
      </c>
      <c r="B1260" s="226" t="s">
        <v>1913</v>
      </c>
      <c r="C1260" s="226" t="s">
        <v>1913</v>
      </c>
      <c r="D1260" s="226" t="s">
        <v>1913</v>
      </c>
      <c r="E1260" s="226" t="s">
        <v>6138</v>
      </c>
      <c r="F1260" s="226" t="s">
        <v>6139</v>
      </c>
      <c r="G1260" s="226" t="s">
        <v>1913</v>
      </c>
      <c r="H1260" s="226" t="s">
        <v>6140</v>
      </c>
      <c r="I1260" s="226" t="s">
        <v>6141</v>
      </c>
      <c r="J1260" s="226" t="s">
        <v>6142</v>
      </c>
      <c r="K1260" s="226" t="s">
        <v>9521</v>
      </c>
      <c r="L1260" s="214" t="s">
        <v>1913</v>
      </c>
      <c r="M1260" s="226" t="s">
        <v>10180</v>
      </c>
    </row>
    <row r="1261" spans="1:16" ht="15" customHeight="1">
      <c r="A1261" s="214" t="s">
        <v>1953</v>
      </c>
      <c r="B1261" s="226" t="s">
        <v>1915</v>
      </c>
      <c r="C1261" s="226" t="s">
        <v>1915</v>
      </c>
      <c r="D1261" s="226" t="s">
        <v>1915</v>
      </c>
      <c r="E1261" s="226" t="s">
        <v>6143</v>
      </c>
      <c r="F1261" s="226" t="s">
        <v>6144</v>
      </c>
      <c r="G1261" s="226" t="s">
        <v>1915</v>
      </c>
      <c r="H1261" s="226" t="s">
        <v>6145</v>
      </c>
      <c r="I1261" s="226" t="s">
        <v>6146</v>
      </c>
      <c r="J1261" s="226" t="s">
        <v>6147</v>
      </c>
      <c r="K1261" s="226" t="s">
        <v>9522</v>
      </c>
      <c r="L1261" s="214" t="s">
        <v>1915</v>
      </c>
      <c r="M1261" s="226" t="s">
        <v>10181</v>
      </c>
    </row>
    <row r="1262" spans="1:16" ht="15" customHeight="1">
      <c r="A1262" s="214" t="s">
        <v>1954</v>
      </c>
      <c r="B1262" s="226" t="s">
        <v>1916</v>
      </c>
      <c r="C1262" s="226" t="s">
        <v>1916</v>
      </c>
      <c r="D1262" s="226" t="s">
        <v>1916</v>
      </c>
      <c r="E1262" s="226" t="s">
        <v>6148</v>
      </c>
      <c r="F1262" s="226" t="s">
        <v>6149</v>
      </c>
      <c r="G1262" s="226" t="s">
        <v>1916</v>
      </c>
      <c r="H1262" s="226" t="s">
        <v>6150</v>
      </c>
      <c r="I1262" s="226" t="s">
        <v>6151</v>
      </c>
      <c r="J1262" s="226" t="s">
        <v>6152</v>
      </c>
      <c r="K1262" s="226" t="s">
        <v>9523</v>
      </c>
      <c r="L1262" s="214" t="s">
        <v>1916</v>
      </c>
      <c r="M1262" s="226" t="s">
        <v>10182</v>
      </c>
    </row>
    <row r="1263" spans="1:16" ht="15" customHeight="1">
      <c r="A1263" s="214" t="s">
        <v>1955</v>
      </c>
      <c r="B1263" s="226" t="s">
        <v>1856</v>
      </c>
      <c r="C1263" s="226" t="s">
        <v>1856</v>
      </c>
      <c r="D1263" s="226" t="s">
        <v>1856</v>
      </c>
      <c r="E1263" s="226" t="s">
        <v>6153</v>
      </c>
      <c r="F1263" s="226" t="s">
        <v>6154</v>
      </c>
      <c r="G1263" s="226" t="s">
        <v>1856</v>
      </c>
      <c r="H1263" s="226" t="s">
        <v>6155</v>
      </c>
      <c r="I1263" s="226" t="s">
        <v>6027</v>
      </c>
      <c r="J1263" s="226" t="s">
        <v>6156</v>
      </c>
      <c r="K1263" s="226" t="s">
        <v>9524</v>
      </c>
      <c r="L1263" s="214" t="s">
        <v>1856</v>
      </c>
      <c r="M1263" s="226" t="s">
        <v>10183</v>
      </c>
    </row>
    <row r="1264" spans="1:16" ht="15" customHeight="1">
      <c r="A1264" s="214" t="s">
        <v>1956</v>
      </c>
      <c r="B1264" s="226" t="s">
        <v>1918</v>
      </c>
      <c r="C1264" s="226" t="s">
        <v>1918</v>
      </c>
      <c r="D1264" s="226" t="s">
        <v>1918</v>
      </c>
      <c r="E1264" s="226" t="s">
        <v>6157</v>
      </c>
      <c r="F1264" s="226" t="s">
        <v>6158</v>
      </c>
      <c r="G1264" s="226" t="s">
        <v>1918</v>
      </c>
      <c r="H1264" s="226" t="s">
        <v>6159</v>
      </c>
      <c r="I1264" s="226" t="s">
        <v>6160</v>
      </c>
      <c r="J1264" s="226" t="s">
        <v>6161</v>
      </c>
      <c r="K1264" s="226" t="s">
        <v>9525</v>
      </c>
      <c r="L1264" s="214" t="s">
        <v>1918</v>
      </c>
      <c r="M1264" s="226" t="s">
        <v>10184</v>
      </c>
    </row>
    <row r="1265" spans="1:13" ht="15" customHeight="1">
      <c r="A1265" s="214" t="s">
        <v>1957</v>
      </c>
      <c r="B1265" s="226" t="s">
        <v>1866</v>
      </c>
      <c r="C1265" s="226" t="s">
        <v>1866</v>
      </c>
      <c r="D1265" s="226" t="s">
        <v>1866</v>
      </c>
      <c r="E1265" s="226" t="s">
        <v>5991</v>
      </c>
      <c r="F1265" s="226" t="s">
        <v>6162</v>
      </c>
      <c r="G1265" s="226" t="s">
        <v>1866</v>
      </c>
      <c r="H1265" s="226" t="s">
        <v>6163</v>
      </c>
      <c r="I1265" s="226" t="s">
        <v>5994</v>
      </c>
      <c r="J1265" s="226" t="s">
        <v>5995</v>
      </c>
      <c r="K1265" s="226" t="s">
        <v>9490</v>
      </c>
      <c r="L1265" s="214" t="s">
        <v>1866</v>
      </c>
      <c r="M1265" s="226" t="s">
        <v>10148</v>
      </c>
    </row>
    <row r="1266" spans="1:13" ht="15" customHeight="1">
      <c r="A1266" s="214" t="s">
        <v>1958</v>
      </c>
      <c r="B1266" s="226" t="s">
        <v>1919</v>
      </c>
      <c r="C1266" s="226" t="s">
        <v>1919</v>
      </c>
      <c r="D1266" s="226" t="s">
        <v>1919</v>
      </c>
      <c r="E1266" s="226" t="s">
        <v>6164</v>
      </c>
      <c r="F1266" s="226" t="s">
        <v>6165</v>
      </c>
      <c r="G1266" s="226" t="s">
        <v>1919</v>
      </c>
      <c r="H1266" s="226" t="s">
        <v>6166</v>
      </c>
      <c r="I1266" s="226" t="s">
        <v>6167</v>
      </c>
      <c r="J1266" s="226" t="s">
        <v>6168</v>
      </c>
      <c r="K1266" s="226" t="s">
        <v>9526</v>
      </c>
      <c r="L1266" s="214" t="s">
        <v>1919</v>
      </c>
      <c r="M1266" s="226" t="s">
        <v>10185</v>
      </c>
    </row>
    <row r="1267" spans="1:13" ht="15" customHeight="1">
      <c r="A1267" s="214" t="s">
        <v>1959</v>
      </c>
      <c r="B1267" s="226" t="s">
        <v>1920</v>
      </c>
      <c r="C1267" s="226" t="s">
        <v>1920</v>
      </c>
      <c r="D1267" s="226" t="s">
        <v>1920</v>
      </c>
      <c r="E1267" s="226" t="s">
        <v>6169</v>
      </c>
      <c r="F1267" s="226" t="s">
        <v>6170</v>
      </c>
      <c r="G1267" s="226" t="s">
        <v>1920</v>
      </c>
      <c r="H1267" s="226" t="s">
        <v>6171</v>
      </c>
      <c r="I1267" s="226" t="s">
        <v>6172</v>
      </c>
      <c r="J1267" s="226" t="s">
        <v>6173</v>
      </c>
      <c r="K1267" s="226" t="s">
        <v>9527</v>
      </c>
      <c r="L1267" s="214" t="s">
        <v>1920</v>
      </c>
      <c r="M1267" s="226" t="s">
        <v>10186</v>
      </c>
    </row>
    <row r="1268" spans="1:13" ht="15" customHeight="1">
      <c r="A1268" s="214" t="s">
        <v>1960</v>
      </c>
      <c r="B1268" s="226" t="s">
        <v>1921</v>
      </c>
      <c r="C1268" s="226" t="s">
        <v>1921</v>
      </c>
      <c r="D1268" s="226" t="s">
        <v>1921</v>
      </c>
      <c r="E1268" s="226" t="s">
        <v>6174</v>
      </c>
      <c r="F1268" s="226" t="s">
        <v>6175</v>
      </c>
      <c r="G1268" s="226" t="s">
        <v>1921</v>
      </c>
      <c r="H1268" s="226" t="s">
        <v>6176</v>
      </c>
      <c r="I1268" s="226" t="s">
        <v>6177</v>
      </c>
      <c r="J1268" s="226" t="s">
        <v>6178</v>
      </c>
      <c r="K1268" s="226" t="s">
        <v>9528</v>
      </c>
      <c r="L1268" s="214" t="s">
        <v>1921</v>
      </c>
      <c r="M1268" s="226" t="s">
        <v>10187</v>
      </c>
    </row>
    <row r="1269" spans="1:13" ht="15" customHeight="1">
      <c r="A1269" s="214" t="s">
        <v>1961</v>
      </c>
      <c r="B1269" s="226" t="s">
        <v>1922</v>
      </c>
      <c r="C1269" s="226" t="s">
        <v>1922</v>
      </c>
      <c r="D1269" s="226" t="s">
        <v>1922</v>
      </c>
      <c r="E1269" s="226" t="s">
        <v>6179</v>
      </c>
      <c r="F1269" s="226" t="s">
        <v>6180</v>
      </c>
      <c r="G1269" s="226" t="s">
        <v>1922</v>
      </c>
      <c r="H1269" s="226" t="s">
        <v>6181</v>
      </c>
      <c r="I1269" s="226" t="s">
        <v>6182</v>
      </c>
      <c r="J1269" s="226" t="s">
        <v>6183</v>
      </c>
      <c r="K1269" s="226" t="s">
        <v>9529</v>
      </c>
      <c r="L1269" s="214" t="s">
        <v>1922</v>
      </c>
      <c r="M1269" s="226" t="s">
        <v>10188</v>
      </c>
    </row>
    <row r="1270" spans="1:13" ht="15" customHeight="1">
      <c r="A1270" s="214" t="s">
        <v>1962</v>
      </c>
      <c r="B1270" s="226" t="s">
        <v>1923</v>
      </c>
      <c r="C1270" s="226" t="s">
        <v>1923</v>
      </c>
      <c r="D1270" s="226" t="s">
        <v>1923</v>
      </c>
      <c r="E1270" s="226" t="s">
        <v>6184</v>
      </c>
      <c r="F1270" s="226" t="s">
        <v>6185</v>
      </c>
      <c r="G1270" s="226" t="s">
        <v>1923</v>
      </c>
      <c r="H1270" s="226" t="s">
        <v>6186</v>
      </c>
      <c r="I1270" s="226" t="s">
        <v>6187</v>
      </c>
      <c r="J1270" s="226" t="s">
        <v>6188</v>
      </c>
      <c r="K1270" s="226" t="s">
        <v>9530</v>
      </c>
      <c r="L1270" s="214" t="s">
        <v>1923</v>
      </c>
      <c r="M1270" s="226" t="s">
        <v>10189</v>
      </c>
    </row>
    <row r="1271" spans="1:13" ht="15" customHeight="1">
      <c r="A1271" s="214" t="s">
        <v>1963</v>
      </c>
      <c r="B1271" s="226" t="s">
        <v>1924</v>
      </c>
      <c r="C1271" s="226" t="s">
        <v>1924</v>
      </c>
      <c r="D1271" s="226" t="s">
        <v>1924</v>
      </c>
      <c r="E1271" s="226" t="s">
        <v>6189</v>
      </c>
      <c r="F1271" s="226" t="s">
        <v>6190</v>
      </c>
      <c r="G1271" s="226" t="s">
        <v>1924</v>
      </c>
      <c r="H1271" s="226" t="s">
        <v>6191</v>
      </c>
      <c r="I1271" s="226" t="s">
        <v>6192</v>
      </c>
      <c r="J1271" s="226" t="s">
        <v>6193</v>
      </c>
      <c r="K1271" s="226" t="s">
        <v>9531</v>
      </c>
      <c r="L1271" s="214" t="s">
        <v>1924</v>
      </c>
      <c r="M1271" s="226" t="s">
        <v>10190</v>
      </c>
    </row>
    <row r="1272" spans="1:13" ht="15" customHeight="1">
      <c r="A1272" s="214" t="s">
        <v>1964</v>
      </c>
      <c r="B1272" s="226" t="s">
        <v>1926</v>
      </c>
      <c r="C1272" s="226" t="s">
        <v>1926</v>
      </c>
      <c r="D1272" s="226" t="s">
        <v>1926</v>
      </c>
      <c r="E1272" s="226" t="s">
        <v>5170</v>
      </c>
      <c r="F1272" s="226" t="s">
        <v>6194</v>
      </c>
      <c r="G1272" s="226" t="s">
        <v>1926</v>
      </c>
      <c r="H1272" s="226" t="s">
        <v>6195</v>
      </c>
      <c r="I1272" s="226" t="s">
        <v>6196</v>
      </c>
      <c r="J1272" s="226" t="s">
        <v>6197</v>
      </c>
      <c r="K1272" s="226" t="s">
        <v>9532</v>
      </c>
      <c r="L1272" s="214" t="s">
        <v>1926</v>
      </c>
      <c r="M1272" s="226" t="s">
        <v>10191</v>
      </c>
    </row>
    <row r="1273" spans="1:13" ht="15" customHeight="1">
      <c r="A1273" s="214" t="s">
        <v>1965</v>
      </c>
      <c r="B1273" s="226" t="s">
        <v>1928</v>
      </c>
      <c r="C1273" s="226" t="s">
        <v>1928</v>
      </c>
      <c r="D1273" s="226" t="s">
        <v>1928</v>
      </c>
      <c r="E1273" s="226" t="s">
        <v>6198</v>
      </c>
      <c r="F1273" s="226" t="s">
        <v>6199</v>
      </c>
      <c r="G1273" s="226" t="s">
        <v>1928</v>
      </c>
      <c r="H1273" s="226" t="s">
        <v>6200</v>
      </c>
      <c r="I1273" s="226" t="s">
        <v>6201</v>
      </c>
      <c r="J1273" s="226" t="s">
        <v>6202</v>
      </c>
      <c r="K1273" s="226" t="s">
        <v>9533</v>
      </c>
      <c r="L1273" s="214" t="s">
        <v>1928</v>
      </c>
      <c r="M1273" s="226" t="s">
        <v>10192</v>
      </c>
    </row>
    <row r="1274" spans="1:13" ht="15" customHeight="1">
      <c r="A1274" s="214" t="s">
        <v>1966</v>
      </c>
      <c r="B1274" s="226" t="s">
        <v>1929</v>
      </c>
      <c r="C1274" s="226" t="s">
        <v>1929</v>
      </c>
      <c r="D1274" s="226" t="s">
        <v>1929</v>
      </c>
      <c r="E1274" s="226" t="s">
        <v>6203</v>
      </c>
      <c r="F1274" s="226" t="s">
        <v>6204</v>
      </c>
      <c r="G1274" s="226" t="s">
        <v>1929</v>
      </c>
      <c r="H1274" s="226" t="s">
        <v>6205</v>
      </c>
      <c r="I1274" s="226" t="s">
        <v>6206</v>
      </c>
      <c r="J1274" s="226" t="s">
        <v>6207</v>
      </c>
      <c r="K1274" s="226" t="s">
        <v>9534</v>
      </c>
      <c r="L1274" s="214" t="s">
        <v>1929</v>
      </c>
      <c r="M1274" s="226" t="s">
        <v>10193</v>
      </c>
    </row>
    <row r="1275" spans="1:13" ht="15" customHeight="1">
      <c r="A1275" s="214" t="s">
        <v>1967</v>
      </c>
      <c r="B1275" s="226" t="s">
        <v>1931</v>
      </c>
      <c r="C1275" s="226" t="s">
        <v>1931</v>
      </c>
      <c r="D1275" s="226" t="s">
        <v>1931</v>
      </c>
      <c r="E1275" s="226" t="s">
        <v>6208</v>
      </c>
      <c r="F1275" s="226" t="s">
        <v>6209</v>
      </c>
      <c r="G1275" s="226" t="s">
        <v>1931</v>
      </c>
      <c r="H1275" s="226" t="s">
        <v>6210</v>
      </c>
      <c r="I1275" s="226" t="s">
        <v>6211</v>
      </c>
      <c r="J1275" s="226" t="s">
        <v>6212</v>
      </c>
      <c r="K1275" s="226" t="s">
        <v>9535</v>
      </c>
      <c r="L1275" s="214" t="s">
        <v>1931</v>
      </c>
      <c r="M1275" s="226" t="s">
        <v>10194</v>
      </c>
    </row>
    <row r="1276" spans="1:13" ht="15" customHeight="1">
      <c r="A1276" s="214" t="s">
        <v>2416</v>
      </c>
      <c r="B1276" s="226" t="s">
        <v>2630</v>
      </c>
      <c r="C1276" s="226" t="s">
        <v>2630</v>
      </c>
      <c r="D1276" s="226" t="s">
        <v>2630</v>
      </c>
      <c r="E1276" s="226" t="s">
        <v>6213</v>
      </c>
      <c r="F1276" s="226" t="s">
        <v>6214</v>
      </c>
      <c r="G1276" s="226" t="s">
        <v>2630</v>
      </c>
      <c r="H1276" s="226" t="s">
        <v>6215</v>
      </c>
      <c r="I1276" s="226" t="s">
        <v>6216</v>
      </c>
      <c r="J1276" s="226" t="s">
        <v>6217</v>
      </c>
      <c r="K1276" s="226" t="s">
        <v>9536</v>
      </c>
      <c r="L1276" s="214" t="s">
        <v>2630</v>
      </c>
      <c r="M1276" s="226" t="s">
        <v>10195</v>
      </c>
    </row>
    <row r="1277" spans="1:13" ht="15" customHeight="1">
      <c r="A1277" s="214" t="s">
        <v>2417</v>
      </c>
      <c r="B1277" s="226" t="s">
        <v>2631</v>
      </c>
      <c r="C1277" s="226" t="s">
        <v>2631</v>
      </c>
      <c r="D1277" s="226" t="s">
        <v>2631</v>
      </c>
      <c r="E1277" s="226" t="s">
        <v>6218</v>
      </c>
      <c r="F1277" s="226" t="s">
        <v>6219</v>
      </c>
      <c r="G1277" s="226" t="s">
        <v>2631</v>
      </c>
      <c r="H1277" s="226" t="s">
        <v>6220</v>
      </c>
      <c r="I1277" s="226" t="s">
        <v>6221</v>
      </c>
      <c r="J1277" s="226" t="s">
        <v>6222</v>
      </c>
      <c r="K1277" s="226" t="s">
        <v>9537</v>
      </c>
      <c r="L1277" s="214" t="s">
        <v>2631</v>
      </c>
      <c r="M1277" s="226" t="s">
        <v>10196</v>
      </c>
    </row>
    <row r="1278" spans="1:13" ht="15" customHeight="1">
      <c r="A1278" s="214" t="s">
        <v>2418</v>
      </c>
      <c r="B1278" s="226" t="s">
        <v>2632</v>
      </c>
      <c r="C1278" s="226" t="s">
        <v>2632</v>
      </c>
      <c r="D1278" s="226" t="s">
        <v>2632</v>
      </c>
      <c r="E1278" s="226" t="s">
        <v>6223</v>
      </c>
      <c r="F1278" s="226" t="s">
        <v>6224</v>
      </c>
      <c r="G1278" s="226" t="s">
        <v>2632</v>
      </c>
      <c r="H1278" s="226" t="s">
        <v>6223</v>
      </c>
      <c r="I1278" s="226" t="s">
        <v>6225</v>
      </c>
      <c r="J1278" s="226" t="s">
        <v>6226</v>
      </c>
      <c r="K1278" s="226" t="s">
        <v>9538</v>
      </c>
      <c r="L1278" s="214" t="s">
        <v>2632</v>
      </c>
      <c r="M1278" s="226" t="s">
        <v>10197</v>
      </c>
    </row>
    <row r="1279" spans="1:13" ht="15" customHeight="1">
      <c r="A1279" s="214" t="s">
        <v>2419</v>
      </c>
      <c r="B1279" s="226" t="s">
        <v>2633</v>
      </c>
      <c r="C1279" s="226" t="s">
        <v>2633</v>
      </c>
      <c r="D1279" s="226" t="s">
        <v>2633</v>
      </c>
      <c r="E1279" s="226" t="s">
        <v>6227</v>
      </c>
      <c r="F1279" s="226" t="s">
        <v>6228</v>
      </c>
      <c r="G1279" s="226" t="s">
        <v>2633</v>
      </c>
      <c r="H1279" s="226" t="s">
        <v>6229</v>
      </c>
      <c r="I1279" s="226" t="s">
        <v>6230</v>
      </c>
      <c r="J1279" s="226" t="s">
        <v>6231</v>
      </c>
      <c r="K1279" s="226" t="s">
        <v>9539</v>
      </c>
      <c r="L1279" s="214" t="s">
        <v>2633</v>
      </c>
      <c r="M1279" s="226" t="s">
        <v>10198</v>
      </c>
    </row>
    <row r="1280" spans="1:13" ht="15" customHeight="1">
      <c r="A1280" s="214" t="s">
        <v>2420</v>
      </c>
      <c r="B1280" s="226" t="s">
        <v>2634</v>
      </c>
      <c r="C1280" s="226" t="s">
        <v>2634</v>
      </c>
      <c r="D1280" s="226" t="s">
        <v>2634</v>
      </c>
      <c r="E1280" s="226" t="s">
        <v>6232</v>
      </c>
      <c r="F1280" s="226" t="s">
        <v>6233</v>
      </c>
      <c r="G1280" s="226" t="s">
        <v>2634</v>
      </c>
      <c r="H1280" s="226" t="s">
        <v>6234</v>
      </c>
      <c r="I1280" s="226" t="s">
        <v>6235</v>
      </c>
      <c r="J1280" s="226" t="s">
        <v>6236</v>
      </c>
      <c r="K1280" s="226" t="s">
        <v>9540</v>
      </c>
      <c r="L1280" s="214" t="s">
        <v>2634</v>
      </c>
      <c r="M1280" s="214" t="s">
        <v>10199</v>
      </c>
    </row>
    <row r="1281" spans="1:13" ht="15" customHeight="1">
      <c r="A1281" s="214" t="s">
        <v>2421</v>
      </c>
      <c r="B1281" s="226" t="s">
        <v>2635</v>
      </c>
      <c r="C1281" s="226" t="s">
        <v>2635</v>
      </c>
      <c r="D1281" s="226" t="s">
        <v>2635</v>
      </c>
      <c r="E1281" s="226" t="s">
        <v>6237</v>
      </c>
      <c r="F1281" s="226" t="s">
        <v>6238</v>
      </c>
      <c r="G1281" s="226" t="s">
        <v>2635</v>
      </c>
      <c r="H1281" s="226" t="s">
        <v>6239</v>
      </c>
      <c r="I1281" s="226" t="s">
        <v>6240</v>
      </c>
      <c r="J1281" s="226" t="s">
        <v>6241</v>
      </c>
      <c r="K1281" s="226" t="s">
        <v>9541</v>
      </c>
      <c r="L1281" s="214" t="s">
        <v>2635</v>
      </c>
      <c r="M1281" s="226" t="s">
        <v>10200</v>
      </c>
    </row>
    <row r="1282" spans="1:13" ht="15" customHeight="1">
      <c r="A1282" s="214" t="s">
        <v>1968</v>
      </c>
      <c r="B1282" s="226" t="s">
        <v>1970</v>
      </c>
      <c r="C1282" s="226" t="s">
        <v>1970</v>
      </c>
      <c r="D1282" s="226" t="s">
        <v>1970</v>
      </c>
      <c r="E1282" s="226" t="s">
        <v>6242</v>
      </c>
      <c r="F1282" s="226" t="s">
        <v>6243</v>
      </c>
      <c r="G1282" s="226" t="s">
        <v>1970</v>
      </c>
      <c r="H1282" s="226" t="s">
        <v>6244</v>
      </c>
      <c r="I1282" s="226" t="s">
        <v>6245</v>
      </c>
      <c r="J1282" s="226" t="s">
        <v>6246</v>
      </c>
      <c r="K1282" s="226" t="s">
        <v>9542</v>
      </c>
      <c r="L1282" s="214" t="s">
        <v>1970</v>
      </c>
      <c r="M1282" s="226" t="s">
        <v>1970</v>
      </c>
    </row>
    <row r="1283" spans="1:13" ht="15" customHeight="1">
      <c r="A1283" s="214" t="s">
        <v>1979</v>
      </c>
      <c r="B1283" s="226" t="s">
        <v>1971</v>
      </c>
      <c r="C1283" s="226" t="s">
        <v>1971</v>
      </c>
      <c r="D1283" s="226" t="s">
        <v>1971</v>
      </c>
      <c r="E1283" s="226" t="s">
        <v>6247</v>
      </c>
      <c r="F1283" s="226" t="s">
        <v>6248</v>
      </c>
      <c r="G1283" s="226" t="s">
        <v>1971</v>
      </c>
      <c r="H1283" s="226" t="s">
        <v>6249</v>
      </c>
      <c r="I1283" s="226" t="s">
        <v>6250</v>
      </c>
      <c r="J1283" s="226" t="s">
        <v>6251</v>
      </c>
      <c r="K1283" s="226" t="s">
        <v>9543</v>
      </c>
      <c r="L1283" s="214" t="s">
        <v>1971</v>
      </c>
      <c r="M1283" s="226" t="s">
        <v>10201</v>
      </c>
    </row>
    <row r="1284" spans="1:13" ht="15" customHeight="1">
      <c r="A1284" s="214" t="s">
        <v>1980</v>
      </c>
      <c r="B1284" s="226" t="s">
        <v>1981</v>
      </c>
      <c r="C1284" s="226" t="s">
        <v>1981</v>
      </c>
      <c r="D1284" s="226" t="s">
        <v>1981</v>
      </c>
      <c r="E1284" s="226" t="s">
        <v>6252</v>
      </c>
      <c r="F1284" s="226" t="s">
        <v>6253</v>
      </c>
      <c r="G1284" s="226" t="s">
        <v>1981</v>
      </c>
      <c r="H1284" s="226" t="s">
        <v>6254</v>
      </c>
      <c r="I1284" s="226" t="s">
        <v>6255</v>
      </c>
      <c r="J1284" s="226" t="s">
        <v>6256</v>
      </c>
      <c r="K1284" s="226" t="s">
        <v>9544</v>
      </c>
      <c r="L1284" s="214" t="s">
        <v>1981</v>
      </c>
      <c r="M1284" s="226" t="s">
        <v>10202</v>
      </c>
    </row>
    <row r="1285" spans="1:13" ht="15" customHeight="1">
      <c r="A1285" s="214" t="s">
        <v>1982</v>
      </c>
      <c r="B1285" s="226" t="s">
        <v>1984</v>
      </c>
      <c r="C1285" s="226" t="s">
        <v>1984</v>
      </c>
      <c r="D1285" s="226" t="s">
        <v>1984</v>
      </c>
      <c r="E1285" s="226" t="s">
        <v>6257</v>
      </c>
      <c r="F1285" s="226" t="s">
        <v>6258</v>
      </c>
      <c r="G1285" s="226" t="s">
        <v>1984</v>
      </c>
      <c r="H1285" s="226" t="s">
        <v>6259</v>
      </c>
      <c r="I1285" s="226" t="s">
        <v>6260</v>
      </c>
      <c r="J1285" s="226" t="s">
        <v>6261</v>
      </c>
      <c r="K1285" s="226" t="s">
        <v>9545</v>
      </c>
      <c r="L1285" s="214" t="s">
        <v>1984</v>
      </c>
      <c r="M1285" s="226" t="s">
        <v>10203</v>
      </c>
    </row>
    <row r="1286" spans="1:13" ht="15" customHeight="1">
      <c r="A1286" s="214" t="s">
        <v>1985</v>
      </c>
      <c r="B1286" s="226" t="s">
        <v>1973</v>
      </c>
      <c r="C1286" s="226" t="s">
        <v>1973</v>
      </c>
      <c r="D1286" s="226" t="s">
        <v>1973</v>
      </c>
      <c r="E1286" s="226" t="s">
        <v>5176</v>
      </c>
      <c r="F1286" s="226" t="s">
        <v>6262</v>
      </c>
      <c r="G1286" s="226" t="s">
        <v>1973</v>
      </c>
      <c r="H1286" s="226" t="s">
        <v>5200</v>
      </c>
      <c r="I1286" s="226" t="s">
        <v>6263</v>
      </c>
      <c r="J1286" s="226" t="s">
        <v>5977</v>
      </c>
      <c r="K1286" s="226" t="s">
        <v>9337</v>
      </c>
      <c r="L1286" s="214" t="s">
        <v>1973</v>
      </c>
      <c r="M1286" s="226" t="s">
        <v>10144</v>
      </c>
    </row>
    <row r="1287" spans="1:13" ht="15" customHeight="1">
      <c r="A1287" s="214" t="s">
        <v>1986</v>
      </c>
      <c r="B1287" s="226" t="s">
        <v>1840</v>
      </c>
      <c r="C1287" s="226" t="s">
        <v>1840</v>
      </c>
      <c r="D1287" s="226" t="s">
        <v>1840</v>
      </c>
      <c r="E1287" s="226" t="s">
        <v>5970</v>
      </c>
      <c r="F1287" s="226" t="s">
        <v>5971</v>
      </c>
      <c r="G1287" s="226" t="s">
        <v>1840</v>
      </c>
      <c r="H1287" s="226" t="s">
        <v>5972</v>
      </c>
      <c r="I1287" s="226" t="s">
        <v>5973</v>
      </c>
      <c r="J1287" s="226" t="s">
        <v>5974</v>
      </c>
      <c r="K1287" s="226" t="s">
        <v>9486</v>
      </c>
      <c r="L1287" s="214" t="s">
        <v>1840</v>
      </c>
      <c r="M1287" s="226" t="s">
        <v>10159</v>
      </c>
    </row>
    <row r="1288" spans="1:13" ht="15" customHeight="1">
      <c r="A1288" s="214" t="s">
        <v>1987</v>
      </c>
      <c r="B1288" s="226" t="s">
        <v>1903</v>
      </c>
      <c r="C1288" s="226" t="s">
        <v>1903</v>
      </c>
      <c r="D1288" s="226" t="s">
        <v>1903</v>
      </c>
      <c r="E1288" s="226" t="s">
        <v>6116</v>
      </c>
      <c r="F1288" s="226" t="s">
        <v>6117</v>
      </c>
      <c r="G1288" s="226" t="s">
        <v>1903</v>
      </c>
      <c r="H1288" s="226" t="s">
        <v>6264</v>
      </c>
      <c r="I1288" s="226" t="s">
        <v>6119</v>
      </c>
      <c r="J1288" s="226" t="s">
        <v>6120</v>
      </c>
      <c r="K1288" s="226" t="s">
        <v>9517</v>
      </c>
      <c r="L1288" s="214" t="s">
        <v>1903</v>
      </c>
      <c r="M1288" s="226" t="s">
        <v>10204</v>
      </c>
    </row>
    <row r="1289" spans="1:13" ht="15" customHeight="1">
      <c r="A1289" s="214" t="s">
        <v>1988</v>
      </c>
      <c r="B1289" s="226" t="s">
        <v>1356</v>
      </c>
      <c r="C1289" s="226" t="s">
        <v>1356</v>
      </c>
      <c r="D1289" s="226" t="s">
        <v>1356</v>
      </c>
      <c r="E1289" s="226" t="s">
        <v>6265</v>
      </c>
      <c r="F1289" s="226" t="s">
        <v>6266</v>
      </c>
      <c r="G1289" s="226" t="s">
        <v>1356</v>
      </c>
      <c r="H1289" s="226" t="s">
        <v>6267</v>
      </c>
      <c r="I1289" s="226" t="s">
        <v>6268</v>
      </c>
      <c r="J1289" s="226" t="s">
        <v>6269</v>
      </c>
      <c r="K1289" s="226" t="s">
        <v>9546</v>
      </c>
      <c r="L1289" s="214" t="s">
        <v>1356</v>
      </c>
      <c r="M1289" s="226" t="s">
        <v>10205</v>
      </c>
    </row>
    <row r="1290" spans="1:13" ht="15" customHeight="1">
      <c r="A1290" s="214" t="s">
        <v>1989</v>
      </c>
      <c r="B1290" s="226" t="s">
        <v>1976</v>
      </c>
      <c r="C1290" s="226" t="s">
        <v>1976</v>
      </c>
      <c r="D1290" s="226" t="s">
        <v>1976</v>
      </c>
      <c r="E1290" s="226" t="s">
        <v>6270</v>
      </c>
      <c r="F1290" s="226" t="s">
        <v>6271</v>
      </c>
      <c r="G1290" s="226" t="s">
        <v>1976</v>
      </c>
      <c r="H1290" s="226" t="s">
        <v>6272</v>
      </c>
      <c r="I1290" s="226" t="s">
        <v>6273</v>
      </c>
      <c r="J1290" s="226" t="s">
        <v>6274</v>
      </c>
      <c r="K1290" s="226" t="s">
        <v>9547</v>
      </c>
      <c r="L1290" s="214" t="s">
        <v>1976</v>
      </c>
      <c r="M1290" s="226" t="s">
        <v>10206</v>
      </c>
    </row>
    <row r="1291" spans="1:13" ht="15" customHeight="1">
      <c r="A1291" s="214" t="s">
        <v>1990</v>
      </c>
      <c r="B1291" s="226" t="s">
        <v>1977</v>
      </c>
      <c r="C1291" s="226" t="s">
        <v>1977</v>
      </c>
      <c r="D1291" s="226" t="s">
        <v>1977</v>
      </c>
      <c r="E1291" s="226" t="s">
        <v>6275</v>
      </c>
      <c r="F1291" s="226" t="s">
        <v>6276</v>
      </c>
      <c r="G1291" s="226" t="s">
        <v>1977</v>
      </c>
      <c r="H1291" s="226" t="s">
        <v>6277</v>
      </c>
      <c r="I1291" s="226" t="s">
        <v>6278</v>
      </c>
      <c r="J1291" s="226" t="s">
        <v>6279</v>
      </c>
      <c r="K1291" s="226" t="s">
        <v>9548</v>
      </c>
      <c r="L1291" s="214" t="s">
        <v>1977</v>
      </c>
      <c r="M1291" s="214" t="s">
        <v>10207</v>
      </c>
    </row>
    <row r="1292" spans="1:13" ht="15" customHeight="1">
      <c r="A1292" s="214" t="s">
        <v>2422</v>
      </c>
      <c r="B1292" s="226" t="s">
        <v>2636</v>
      </c>
      <c r="C1292" s="226" t="s">
        <v>2636</v>
      </c>
      <c r="D1292" s="226" t="s">
        <v>2636</v>
      </c>
      <c r="E1292" s="226" t="s">
        <v>6280</v>
      </c>
      <c r="F1292" s="226" t="s">
        <v>6281</v>
      </c>
      <c r="G1292" s="226" t="s">
        <v>2636</v>
      </c>
      <c r="H1292" s="226" t="s">
        <v>6282</v>
      </c>
      <c r="I1292" s="226" t="s">
        <v>6283</v>
      </c>
      <c r="J1292" s="226" t="s">
        <v>6284</v>
      </c>
      <c r="K1292" s="226" t="s">
        <v>9549</v>
      </c>
      <c r="L1292" s="214" t="s">
        <v>2636</v>
      </c>
      <c r="M1292" s="214" t="s">
        <v>10208</v>
      </c>
    </row>
    <row r="1293" spans="1:13" ht="15" customHeight="1">
      <c r="A1293" s="214" t="s">
        <v>1991</v>
      </c>
      <c r="B1293" s="226" t="s">
        <v>1978</v>
      </c>
      <c r="C1293" s="226" t="s">
        <v>1978</v>
      </c>
      <c r="D1293" s="226" t="s">
        <v>1978</v>
      </c>
      <c r="E1293" s="226" t="s">
        <v>6285</v>
      </c>
      <c r="F1293" s="226" t="s">
        <v>6286</v>
      </c>
      <c r="G1293" s="226" t="s">
        <v>1978</v>
      </c>
      <c r="H1293" s="226" t="s">
        <v>6287</v>
      </c>
      <c r="I1293" s="226" t="s">
        <v>6288</v>
      </c>
      <c r="J1293" s="226" t="s">
        <v>6289</v>
      </c>
      <c r="K1293" s="226" t="s">
        <v>9550</v>
      </c>
      <c r="L1293" s="214" t="s">
        <v>1978</v>
      </c>
      <c r="M1293" s="226" t="s">
        <v>1978</v>
      </c>
    </row>
    <row r="1294" spans="1:13" ht="15" customHeight="1">
      <c r="A1294" s="214" t="s">
        <v>2423</v>
      </c>
      <c r="B1294" s="226" t="s">
        <v>2637</v>
      </c>
      <c r="C1294" s="226" t="s">
        <v>2637</v>
      </c>
      <c r="D1294" s="226" t="s">
        <v>2637</v>
      </c>
      <c r="E1294" s="226" t="s">
        <v>6290</v>
      </c>
      <c r="F1294" s="226" t="s">
        <v>6291</v>
      </c>
      <c r="G1294" s="226" t="s">
        <v>2637</v>
      </c>
      <c r="H1294" s="226" t="s">
        <v>6292</v>
      </c>
      <c r="I1294" s="226" t="s">
        <v>6293</v>
      </c>
      <c r="J1294" s="226" t="s">
        <v>6294</v>
      </c>
      <c r="K1294" s="226" t="s">
        <v>9551</v>
      </c>
      <c r="L1294" s="214" t="s">
        <v>2637</v>
      </c>
      <c r="M1294" s="226" t="s">
        <v>2637</v>
      </c>
    </row>
    <row r="1295" spans="1:13" ht="15" customHeight="1">
      <c r="A1295" s="214" t="s">
        <v>2009</v>
      </c>
      <c r="B1295" s="226" t="s">
        <v>1995</v>
      </c>
      <c r="C1295" s="226" t="s">
        <v>1995</v>
      </c>
      <c r="D1295" s="226" t="s">
        <v>1995</v>
      </c>
      <c r="E1295" s="226" t="s">
        <v>6295</v>
      </c>
      <c r="F1295" s="226" t="s">
        <v>6296</v>
      </c>
      <c r="G1295" s="226" t="s">
        <v>1995</v>
      </c>
      <c r="H1295" s="226" t="s">
        <v>6297</v>
      </c>
      <c r="I1295" s="226" t="s">
        <v>6298</v>
      </c>
      <c r="J1295" s="226" t="s">
        <v>6299</v>
      </c>
      <c r="K1295" s="226" t="s">
        <v>9552</v>
      </c>
      <c r="L1295" s="214" t="s">
        <v>1995</v>
      </c>
      <c r="M1295" s="226" t="s">
        <v>10209</v>
      </c>
    </row>
    <row r="1296" spans="1:13" ht="15" customHeight="1">
      <c r="A1296" s="214" t="s">
        <v>2010</v>
      </c>
      <c r="B1296" s="226" t="s">
        <v>1997</v>
      </c>
      <c r="C1296" s="226" t="s">
        <v>1997</v>
      </c>
      <c r="D1296" s="226" t="s">
        <v>1997</v>
      </c>
      <c r="E1296" s="226" t="s">
        <v>6300</v>
      </c>
      <c r="F1296" s="226" t="s">
        <v>6301</v>
      </c>
      <c r="G1296" s="226" t="s">
        <v>1997</v>
      </c>
      <c r="H1296" s="226" t="s">
        <v>6302</v>
      </c>
      <c r="I1296" s="226" t="s">
        <v>6303</v>
      </c>
      <c r="J1296" s="226" t="s">
        <v>6304</v>
      </c>
      <c r="K1296" s="226" t="s">
        <v>9553</v>
      </c>
      <c r="L1296" s="214" t="s">
        <v>1997</v>
      </c>
      <c r="M1296" s="226" t="s">
        <v>10210</v>
      </c>
    </row>
    <row r="1297" spans="1:13" ht="15" customHeight="1">
      <c r="A1297" s="214" t="s">
        <v>2011</v>
      </c>
      <c r="B1297" s="226" t="s">
        <v>1999</v>
      </c>
      <c r="C1297" s="226" t="s">
        <v>1999</v>
      </c>
      <c r="D1297" s="226" t="s">
        <v>1999</v>
      </c>
      <c r="E1297" s="226" t="s">
        <v>6305</v>
      </c>
      <c r="F1297" s="226" t="s">
        <v>6306</v>
      </c>
      <c r="G1297" s="226" t="s">
        <v>1999</v>
      </c>
      <c r="H1297" s="226" t="s">
        <v>6307</v>
      </c>
      <c r="I1297" s="226" t="s">
        <v>6308</v>
      </c>
      <c r="J1297" s="226" t="s">
        <v>6309</v>
      </c>
      <c r="K1297" s="226" t="s">
        <v>9554</v>
      </c>
      <c r="L1297" s="214" t="s">
        <v>1999</v>
      </c>
      <c r="M1297" s="226" t="s">
        <v>10211</v>
      </c>
    </row>
    <row r="1298" spans="1:13" ht="15" customHeight="1">
      <c r="A1298" s="214" t="s">
        <v>2013</v>
      </c>
      <c r="B1298" s="226" t="s">
        <v>2000</v>
      </c>
      <c r="C1298" s="226" t="s">
        <v>2000</v>
      </c>
      <c r="D1298" s="226" t="s">
        <v>2000</v>
      </c>
      <c r="E1298" s="226" t="s">
        <v>5991</v>
      </c>
      <c r="F1298" s="226" t="s">
        <v>6310</v>
      </c>
      <c r="G1298" s="226" t="s">
        <v>2000</v>
      </c>
      <c r="H1298" s="226" t="s">
        <v>6311</v>
      </c>
      <c r="I1298" s="226" t="s">
        <v>6312</v>
      </c>
      <c r="J1298" s="226" t="s">
        <v>5995</v>
      </c>
      <c r="K1298" s="226" t="s">
        <v>9490</v>
      </c>
      <c r="L1298" s="214" t="s">
        <v>2000</v>
      </c>
      <c r="M1298" s="226" t="s">
        <v>10148</v>
      </c>
    </row>
    <row r="1299" spans="1:13" ht="15" customHeight="1">
      <c r="A1299" s="214" t="s">
        <v>2015</v>
      </c>
      <c r="B1299" s="226" t="s">
        <v>2002</v>
      </c>
      <c r="C1299" s="226" t="s">
        <v>2002</v>
      </c>
      <c r="D1299" s="226" t="s">
        <v>2002</v>
      </c>
      <c r="E1299" s="226" t="s">
        <v>6313</v>
      </c>
      <c r="F1299" s="226" t="s">
        <v>6314</v>
      </c>
      <c r="G1299" s="226" t="s">
        <v>2002</v>
      </c>
      <c r="H1299" s="226" t="s">
        <v>6315</v>
      </c>
      <c r="I1299" s="226" t="s">
        <v>6316</v>
      </c>
      <c r="J1299" s="226" t="s">
        <v>6317</v>
      </c>
      <c r="K1299" s="226" t="s">
        <v>9555</v>
      </c>
      <c r="L1299" s="214" t="s">
        <v>2002</v>
      </c>
      <c r="M1299" s="226" t="s">
        <v>10212</v>
      </c>
    </row>
    <row r="1300" spans="1:13" ht="15" customHeight="1">
      <c r="A1300" s="214" t="s">
        <v>2016</v>
      </c>
      <c r="B1300" s="226" t="s">
        <v>2006</v>
      </c>
      <c r="C1300" s="226" t="s">
        <v>2006</v>
      </c>
      <c r="D1300" s="226" t="s">
        <v>2006</v>
      </c>
      <c r="E1300" s="226" t="s">
        <v>5970</v>
      </c>
      <c r="F1300" s="226" t="s">
        <v>6318</v>
      </c>
      <c r="G1300" s="226" t="s">
        <v>2006</v>
      </c>
      <c r="H1300" s="226" t="s">
        <v>5972</v>
      </c>
      <c r="I1300" s="226" t="s">
        <v>6319</v>
      </c>
      <c r="J1300" s="226" t="s">
        <v>5974</v>
      </c>
      <c r="K1300" s="226" t="s">
        <v>9486</v>
      </c>
      <c r="L1300" s="214" t="s">
        <v>2006</v>
      </c>
      <c r="M1300" s="226" t="s">
        <v>10213</v>
      </c>
    </row>
    <row r="1301" spans="1:13" ht="15" customHeight="1">
      <c r="A1301" s="214" t="s">
        <v>2017</v>
      </c>
      <c r="B1301" s="226" t="s">
        <v>2007</v>
      </c>
      <c r="C1301" s="226" t="s">
        <v>2007</v>
      </c>
      <c r="D1301" s="226" t="s">
        <v>2007</v>
      </c>
      <c r="E1301" s="226" t="s">
        <v>6320</v>
      </c>
      <c r="F1301" s="226" t="s">
        <v>6321</v>
      </c>
      <c r="G1301" s="226" t="s">
        <v>2007</v>
      </c>
      <c r="H1301" s="226" t="s">
        <v>6322</v>
      </c>
      <c r="I1301" s="226" t="s">
        <v>6323</v>
      </c>
      <c r="J1301" s="226" t="s">
        <v>6324</v>
      </c>
      <c r="K1301" s="226" t="s">
        <v>9556</v>
      </c>
      <c r="L1301" s="214" t="s">
        <v>2007</v>
      </c>
      <c r="M1301" s="226" t="s">
        <v>10214</v>
      </c>
    </row>
    <row r="1302" spans="1:13" ht="15" customHeight="1">
      <c r="A1302" s="214" t="s">
        <v>2018</v>
      </c>
      <c r="B1302" s="226" t="s">
        <v>1974</v>
      </c>
      <c r="C1302" s="226" t="s">
        <v>1974</v>
      </c>
      <c r="D1302" s="226" t="s">
        <v>1974</v>
      </c>
      <c r="E1302" s="226" t="s">
        <v>6325</v>
      </c>
      <c r="F1302" s="226" t="s">
        <v>6326</v>
      </c>
      <c r="G1302" s="226" t="s">
        <v>1974</v>
      </c>
      <c r="H1302" s="226" t="s">
        <v>6327</v>
      </c>
      <c r="I1302" s="226" t="s">
        <v>6328</v>
      </c>
      <c r="J1302" s="226" t="s">
        <v>6329</v>
      </c>
      <c r="K1302" s="226" t="s">
        <v>9557</v>
      </c>
      <c r="L1302" s="214" t="s">
        <v>1974</v>
      </c>
      <c r="M1302" s="226" t="s">
        <v>10215</v>
      </c>
    </row>
    <row r="1303" spans="1:13" ht="15" customHeight="1">
      <c r="A1303" s="214" t="s">
        <v>6330</v>
      </c>
      <c r="B1303" s="226" t="s">
        <v>1993</v>
      </c>
      <c r="C1303" s="226" t="s">
        <v>1993</v>
      </c>
      <c r="D1303" s="226" t="s">
        <v>1993</v>
      </c>
      <c r="E1303" s="226" t="s">
        <v>6331</v>
      </c>
      <c r="F1303" s="226" t="s">
        <v>6332</v>
      </c>
      <c r="G1303" s="226" t="s">
        <v>1993</v>
      </c>
      <c r="H1303" s="226" t="s">
        <v>6333</v>
      </c>
      <c r="I1303" s="226" t="s">
        <v>6334</v>
      </c>
      <c r="J1303" s="226" t="s">
        <v>6335</v>
      </c>
      <c r="K1303" s="226" t="s">
        <v>9558</v>
      </c>
      <c r="L1303" s="214" t="s">
        <v>1993</v>
      </c>
      <c r="M1303" s="226" t="s">
        <v>10216</v>
      </c>
    </row>
    <row r="1304" spans="1:13" ht="15" customHeight="1">
      <c r="A1304" s="214" t="s">
        <v>2020</v>
      </c>
      <c r="B1304" s="226" t="s">
        <v>1994</v>
      </c>
      <c r="C1304" s="226" t="s">
        <v>1994</v>
      </c>
      <c r="D1304" s="226" t="s">
        <v>1994</v>
      </c>
      <c r="E1304" s="226" t="s">
        <v>6336</v>
      </c>
      <c r="F1304" s="226" t="s">
        <v>6337</v>
      </c>
      <c r="G1304" s="226" t="s">
        <v>1994</v>
      </c>
      <c r="H1304" s="226" t="s">
        <v>6336</v>
      </c>
      <c r="I1304" s="226" t="s">
        <v>6338</v>
      </c>
      <c r="J1304" s="226" t="s">
        <v>6339</v>
      </c>
      <c r="K1304" s="226" t="s">
        <v>9559</v>
      </c>
      <c r="L1304" s="214" t="s">
        <v>1994</v>
      </c>
      <c r="M1304" s="226" t="s">
        <v>10217</v>
      </c>
    </row>
    <row r="1305" spans="1:13" ht="15" customHeight="1">
      <c r="A1305" s="214" t="s">
        <v>2424</v>
      </c>
      <c r="B1305" s="226" t="s">
        <v>1996</v>
      </c>
      <c r="C1305" s="226" t="s">
        <v>1996</v>
      </c>
      <c r="D1305" s="226" t="s">
        <v>1996</v>
      </c>
      <c r="E1305" s="226" t="s">
        <v>6340</v>
      </c>
      <c r="F1305" s="226" t="s">
        <v>6341</v>
      </c>
      <c r="G1305" s="226" t="s">
        <v>1996</v>
      </c>
      <c r="H1305" s="226" t="s">
        <v>6342</v>
      </c>
      <c r="I1305" s="226" t="s">
        <v>6343</v>
      </c>
      <c r="J1305" s="226" t="s">
        <v>6344</v>
      </c>
      <c r="K1305" s="226" t="s">
        <v>9560</v>
      </c>
      <c r="L1305" s="214" t="s">
        <v>1996</v>
      </c>
      <c r="M1305" s="226" t="s">
        <v>10218</v>
      </c>
    </row>
    <row r="1306" spans="1:13" ht="15" customHeight="1">
      <c r="A1306" s="214" t="s">
        <v>2425</v>
      </c>
      <c r="B1306" s="226" t="s">
        <v>1999</v>
      </c>
      <c r="C1306" s="226" t="s">
        <v>1999</v>
      </c>
      <c r="D1306" s="226" t="s">
        <v>1999</v>
      </c>
      <c r="E1306" s="226" t="s">
        <v>6305</v>
      </c>
      <c r="F1306" s="226" t="s">
        <v>6306</v>
      </c>
      <c r="G1306" s="226" t="s">
        <v>1999</v>
      </c>
      <c r="H1306" s="226" t="s">
        <v>6307</v>
      </c>
      <c r="I1306" s="226" t="s">
        <v>6308</v>
      </c>
      <c r="J1306" s="226" t="s">
        <v>6309</v>
      </c>
      <c r="K1306" s="226" t="s">
        <v>9554</v>
      </c>
      <c r="L1306" s="214" t="s">
        <v>1999</v>
      </c>
      <c r="M1306" s="226" t="s">
        <v>10211</v>
      </c>
    </row>
    <row r="1307" spans="1:13" ht="15" customHeight="1">
      <c r="A1307" s="214" t="s">
        <v>2021</v>
      </c>
      <c r="B1307" s="226" t="s">
        <v>2012</v>
      </c>
      <c r="C1307" s="226" t="s">
        <v>2012</v>
      </c>
      <c r="D1307" s="226" t="s">
        <v>2012</v>
      </c>
      <c r="E1307" s="226" t="s">
        <v>6345</v>
      </c>
      <c r="F1307" s="226" t="s">
        <v>6346</v>
      </c>
      <c r="G1307" s="226" t="s">
        <v>2012</v>
      </c>
      <c r="H1307" s="226" t="s">
        <v>6347</v>
      </c>
      <c r="I1307" s="226" t="s">
        <v>6348</v>
      </c>
      <c r="J1307" s="226" t="s">
        <v>6349</v>
      </c>
      <c r="K1307" s="226" t="s">
        <v>9561</v>
      </c>
      <c r="L1307" s="214" t="s">
        <v>2012</v>
      </c>
      <c r="M1307" s="226" t="s">
        <v>10219</v>
      </c>
    </row>
    <row r="1308" spans="1:13" ht="15" customHeight="1">
      <c r="A1308" s="214" t="s">
        <v>2426</v>
      </c>
      <c r="B1308" s="226" t="s">
        <v>2014</v>
      </c>
      <c r="C1308" s="226" t="s">
        <v>2014</v>
      </c>
      <c r="D1308" s="226" t="s">
        <v>2014</v>
      </c>
      <c r="E1308" s="226" t="s">
        <v>6350</v>
      </c>
      <c r="F1308" s="226" t="s">
        <v>6351</v>
      </c>
      <c r="G1308" s="226" t="s">
        <v>2014</v>
      </c>
      <c r="H1308" s="226" t="s">
        <v>6352</v>
      </c>
      <c r="I1308" s="226" t="s">
        <v>6353</v>
      </c>
      <c r="J1308" s="226" t="s">
        <v>6354</v>
      </c>
      <c r="K1308" s="226" t="s">
        <v>9562</v>
      </c>
      <c r="L1308" s="214" t="s">
        <v>2014</v>
      </c>
      <c r="M1308" s="226" t="s">
        <v>10220</v>
      </c>
    </row>
    <row r="1309" spans="1:13" ht="15" customHeight="1">
      <c r="A1309" s="214" t="s">
        <v>2022</v>
      </c>
      <c r="B1309" s="226" t="s">
        <v>1842</v>
      </c>
      <c r="C1309" s="226" t="s">
        <v>1842</v>
      </c>
      <c r="D1309" s="226" t="s">
        <v>1842</v>
      </c>
      <c r="E1309" s="226" t="s">
        <v>5176</v>
      </c>
      <c r="F1309" s="226" t="s">
        <v>5975</v>
      </c>
      <c r="G1309" s="226" t="s">
        <v>1842</v>
      </c>
      <c r="H1309" s="226" t="s">
        <v>5200</v>
      </c>
      <c r="I1309" s="226" t="s">
        <v>5976</v>
      </c>
      <c r="J1309" s="226" t="s">
        <v>5977</v>
      </c>
      <c r="K1309" s="226" t="s">
        <v>9337</v>
      </c>
      <c r="L1309" s="214" t="s">
        <v>1842</v>
      </c>
      <c r="M1309" s="226" t="s">
        <v>10144</v>
      </c>
    </row>
    <row r="1310" spans="1:13" ht="15" customHeight="1">
      <c r="A1310" s="214" t="s">
        <v>2427</v>
      </c>
      <c r="B1310" s="226" t="s">
        <v>2003</v>
      </c>
      <c r="C1310" s="226" t="s">
        <v>2003</v>
      </c>
      <c r="D1310" s="226" t="s">
        <v>2003</v>
      </c>
      <c r="E1310" s="226" t="s">
        <v>6355</v>
      </c>
      <c r="F1310" s="226" t="s">
        <v>6356</v>
      </c>
      <c r="G1310" s="226" t="s">
        <v>2003</v>
      </c>
      <c r="H1310" s="226" t="s">
        <v>6357</v>
      </c>
      <c r="I1310" s="226" t="s">
        <v>6358</v>
      </c>
      <c r="J1310" s="226" t="s">
        <v>6359</v>
      </c>
      <c r="K1310" s="226" t="s">
        <v>9563</v>
      </c>
      <c r="L1310" s="214" t="s">
        <v>2003</v>
      </c>
      <c r="M1310" s="226" t="s">
        <v>10221</v>
      </c>
    </row>
    <row r="1311" spans="1:13" ht="15" customHeight="1">
      <c r="A1311" s="214" t="s">
        <v>2023</v>
      </c>
      <c r="B1311" s="226" t="s">
        <v>2005</v>
      </c>
      <c r="C1311" s="226" t="s">
        <v>2005</v>
      </c>
      <c r="D1311" s="226" t="s">
        <v>2005</v>
      </c>
      <c r="E1311" s="226" t="s">
        <v>6360</v>
      </c>
      <c r="F1311" s="226" t="s">
        <v>6361</v>
      </c>
      <c r="G1311" s="226" t="s">
        <v>2005</v>
      </c>
      <c r="H1311" s="226" t="s">
        <v>6362</v>
      </c>
      <c r="I1311" s="226" t="s">
        <v>6363</v>
      </c>
      <c r="J1311" s="226" t="s">
        <v>6364</v>
      </c>
      <c r="K1311" s="226" t="s">
        <v>9545</v>
      </c>
      <c r="L1311" s="214" t="s">
        <v>2005</v>
      </c>
      <c r="M1311" s="226" t="s">
        <v>10222</v>
      </c>
    </row>
    <row r="1312" spans="1:13" ht="15" customHeight="1">
      <c r="A1312" s="214" t="s">
        <v>2428</v>
      </c>
      <c r="B1312" s="226" t="s">
        <v>2006</v>
      </c>
      <c r="C1312" s="226" t="s">
        <v>2006</v>
      </c>
      <c r="D1312" s="226" t="s">
        <v>2006</v>
      </c>
      <c r="E1312" s="226" t="s">
        <v>5970</v>
      </c>
      <c r="F1312" s="226" t="s">
        <v>6318</v>
      </c>
      <c r="G1312" s="226" t="s">
        <v>2006</v>
      </c>
      <c r="H1312" s="226" t="s">
        <v>5972</v>
      </c>
      <c r="I1312" s="226" t="s">
        <v>6319</v>
      </c>
      <c r="J1312" s="226" t="s">
        <v>5974</v>
      </c>
      <c r="K1312" s="226" t="s">
        <v>9486</v>
      </c>
      <c r="L1312" s="214" t="s">
        <v>2006</v>
      </c>
      <c r="M1312" s="226" t="s">
        <v>10213</v>
      </c>
    </row>
    <row r="1313" spans="1:13" ht="15" customHeight="1">
      <c r="A1313" s="214" t="s">
        <v>2429</v>
      </c>
      <c r="B1313" s="226" t="s">
        <v>2638</v>
      </c>
      <c r="C1313" s="226" t="s">
        <v>2638</v>
      </c>
      <c r="D1313" s="226" t="s">
        <v>2638</v>
      </c>
      <c r="E1313" s="226" t="s">
        <v>6365</v>
      </c>
      <c r="F1313" s="226" t="s">
        <v>6366</v>
      </c>
      <c r="G1313" s="226" t="s">
        <v>2638</v>
      </c>
      <c r="H1313" s="226" t="s">
        <v>6367</v>
      </c>
      <c r="I1313" s="226" t="s">
        <v>6368</v>
      </c>
      <c r="J1313" s="226" t="s">
        <v>6369</v>
      </c>
      <c r="K1313" s="226" t="s">
        <v>9564</v>
      </c>
      <c r="L1313" s="214" t="s">
        <v>2638</v>
      </c>
      <c r="M1313" s="226" t="s">
        <v>10223</v>
      </c>
    </row>
    <row r="1314" spans="1:13" ht="15" customHeight="1">
      <c r="A1314" s="214" t="s">
        <v>2430</v>
      </c>
      <c r="B1314" s="226" t="s">
        <v>2639</v>
      </c>
      <c r="C1314" s="226" t="s">
        <v>2639</v>
      </c>
      <c r="D1314" s="226" t="s">
        <v>2639</v>
      </c>
      <c r="E1314" s="226" t="s">
        <v>6370</v>
      </c>
      <c r="F1314" s="226" t="s">
        <v>6371</v>
      </c>
      <c r="G1314" s="226" t="s">
        <v>2639</v>
      </c>
      <c r="H1314" s="226" t="s">
        <v>6372</v>
      </c>
      <c r="I1314" s="226" t="s">
        <v>6373</v>
      </c>
      <c r="J1314" s="226" t="s">
        <v>6374</v>
      </c>
      <c r="K1314" s="226" t="s">
        <v>9565</v>
      </c>
      <c r="L1314" s="214" t="s">
        <v>2639</v>
      </c>
      <c r="M1314" s="226" t="s">
        <v>10224</v>
      </c>
    </row>
    <row r="1315" spans="1:13" ht="15" customHeight="1">
      <c r="A1315" s="214" t="s">
        <v>2431</v>
      </c>
      <c r="B1315" s="226" t="s">
        <v>2640</v>
      </c>
      <c r="C1315" s="226" t="s">
        <v>2640</v>
      </c>
      <c r="D1315" s="226" t="s">
        <v>2640</v>
      </c>
      <c r="E1315" s="226" t="s">
        <v>6375</v>
      </c>
      <c r="F1315" s="226" t="s">
        <v>6376</v>
      </c>
      <c r="G1315" s="226" t="s">
        <v>2640</v>
      </c>
      <c r="H1315" s="226" t="s">
        <v>6377</v>
      </c>
      <c r="I1315" s="226" t="s">
        <v>6378</v>
      </c>
      <c r="J1315" s="226" t="s">
        <v>6379</v>
      </c>
      <c r="K1315" s="226" t="s">
        <v>9566</v>
      </c>
      <c r="L1315" s="214" t="s">
        <v>2640</v>
      </c>
      <c r="M1315" s="226" t="s">
        <v>10225</v>
      </c>
    </row>
    <row r="1316" spans="1:13" ht="15" customHeight="1">
      <c r="A1316" s="214" t="s">
        <v>2024</v>
      </c>
      <c r="B1316" s="226" t="s">
        <v>2027</v>
      </c>
      <c r="C1316" s="226" t="s">
        <v>2026</v>
      </c>
      <c r="D1316" s="226" t="s">
        <v>2028</v>
      </c>
      <c r="E1316" s="226" t="s">
        <v>6380</v>
      </c>
      <c r="F1316" s="226" t="s">
        <v>6381</v>
      </c>
      <c r="G1316" s="226" t="s">
        <v>2026</v>
      </c>
      <c r="H1316" s="226" t="s">
        <v>6382</v>
      </c>
      <c r="I1316" s="226" t="s">
        <v>6383</v>
      </c>
      <c r="J1316" s="226" t="s">
        <v>6384</v>
      </c>
      <c r="K1316" s="226" t="s">
        <v>9567</v>
      </c>
      <c r="L1316" s="214" t="s">
        <v>2026</v>
      </c>
      <c r="M1316" s="226" t="s">
        <v>10226</v>
      </c>
    </row>
    <row r="1317" spans="1:13" ht="15" customHeight="1">
      <c r="A1317" s="214" t="s">
        <v>2029</v>
      </c>
      <c r="B1317" s="226" t="s">
        <v>2031</v>
      </c>
      <c r="C1317" s="226" t="s">
        <v>2030</v>
      </c>
      <c r="D1317" s="226" t="s">
        <v>2032</v>
      </c>
      <c r="E1317" s="226" t="s">
        <v>6385</v>
      </c>
      <c r="F1317" s="226" t="s">
        <v>6386</v>
      </c>
      <c r="G1317" s="226" t="s">
        <v>2030</v>
      </c>
      <c r="H1317" s="226" t="s">
        <v>6387</v>
      </c>
      <c r="I1317" s="226" t="s">
        <v>6388</v>
      </c>
      <c r="J1317" s="226" t="s">
        <v>6389</v>
      </c>
      <c r="K1317" s="226" t="s">
        <v>9568</v>
      </c>
      <c r="L1317" s="214" t="s">
        <v>2030</v>
      </c>
      <c r="M1317" s="226" t="s">
        <v>10227</v>
      </c>
    </row>
    <row r="1318" spans="1:13" ht="15" customHeight="1">
      <c r="A1318" s="214" t="s">
        <v>2033</v>
      </c>
      <c r="B1318" s="226" t="s">
        <v>2036</v>
      </c>
      <c r="C1318" s="226" t="s">
        <v>2035</v>
      </c>
      <c r="D1318" s="226" t="s">
        <v>2037</v>
      </c>
      <c r="E1318" s="226" t="s">
        <v>6390</v>
      </c>
      <c r="F1318" s="226" t="s">
        <v>6391</v>
      </c>
      <c r="G1318" s="226" t="s">
        <v>2035</v>
      </c>
      <c r="H1318" s="226" t="s">
        <v>6392</v>
      </c>
      <c r="I1318" s="226" t="s">
        <v>6393</v>
      </c>
      <c r="J1318" s="226" t="s">
        <v>6394</v>
      </c>
      <c r="K1318" s="226" t="s">
        <v>9569</v>
      </c>
      <c r="L1318" s="214" t="s">
        <v>2035</v>
      </c>
      <c r="M1318" s="226" t="s">
        <v>10228</v>
      </c>
    </row>
    <row r="1319" spans="1:13" ht="15" customHeight="1">
      <c r="A1319" s="214" t="s">
        <v>2038</v>
      </c>
      <c r="B1319" s="226" t="s">
        <v>2641</v>
      </c>
      <c r="C1319" s="226" t="s">
        <v>2040</v>
      </c>
      <c r="D1319" s="226" t="s">
        <v>2041</v>
      </c>
      <c r="E1319" s="226" t="s">
        <v>6395</v>
      </c>
      <c r="F1319" s="226" t="s">
        <v>6396</v>
      </c>
      <c r="G1319" s="226" t="s">
        <v>2040</v>
      </c>
      <c r="H1319" s="226" t="s">
        <v>6397</v>
      </c>
      <c r="I1319" s="226" t="s">
        <v>6398</v>
      </c>
      <c r="J1319" s="226" t="s">
        <v>6399</v>
      </c>
      <c r="K1319" s="226" t="s">
        <v>9570</v>
      </c>
      <c r="L1319" s="214" t="s">
        <v>2040</v>
      </c>
      <c r="M1319" s="226" t="s">
        <v>10229</v>
      </c>
    </row>
    <row r="1320" spans="1:13" ht="15" customHeight="1">
      <c r="A1320" s="214" t="s">
        <v>2042</v>
      </c>
      <c r="B1320" s="226" t="s">
        <v>2045</v>
      </c>
      <c r="C1320" s="226" t="s">
        <v>2044</v>
      </c>
      <c r="D1320" s="226" t="s">
        <v>2046</v>
      </c>
      <c r="E1320" s="226" t="s">
        <v>6400</v>
      </c>
      <c r="F1320" s="226" t="s">
        <v>6401</v>
      </c>
      <c r="G1320" s="226" t="s">
        <v>2044</v>
      </c>
      <c r="H1320" s="226" t="s">
        <v>6402</v>
      </c>
      <c r="I1320" s="226" t="s">
        <v>6403</v>
      </c>
      <c r="J1320" s="226" t="s">
        <v>6404</v>
      </c>
      <c r="K1320" s="226" t="s">
        <v>9571</v>
      </c>
      <c r="L1320" s="214" t="s">
        <v>2044</v>
      </c>
      <c r="M1320" s="226" t="s">
        <v>10230</v>
      </c>
    </row>
    <row r="1321" spans="1:13" ht="15" customHeight="1">
      <c r="A1321" s="214" t="s">
        <v>2047</v>
      </c>
      <c r="B1321" s="226" t="s">
        <v>2050</v>
      </c>
      <c r="C1321" s="226" t="s">
        <v>2049</v>
      </c>
      <c r="D1321" s="226" t="s">
        <v>2051</v>
      </c>
      <c r="E1321" s="226" t="s">
        <v>6405</v>
      </c>
      <c r="F1321" s="226" t="s">
        <v>6406</v>
      </c>
      <c r="G1321" s="226" t="s">
        <v>2049</v>
      </c>
      <c r="H1321" s="226" t="s">
        <v>6407</v>
      </c>
      <c r="I1321" s="226" t="s">
        <v>6408</v>
      </c>
      <c r="J1321" s="226" t="s">
        <v>6409</v>
      </c>
      <c r="K1321" s="226" t="s">
        <v>9572</v>
      </c>
      <c r="L1321" s="214" t="s">
        <v>2049</v>
      </c>
      <c r="M1321" s="226" t="s">
        <v>10231</v>
      </c>
    </row>
    <row r="1322" spans="1:13" ht="15" customHeight="1">
      <c r="A1322" s="214" t="s">
        <v>2052</v>
      </c>
      <c r="B1322" s="226" t="s">
        <v>2054</v>
      </c>
      <c r="C1322" s="226" t="s">
        <v>2053</v>
      </c>
      <c r="D1322" s="226" t="s">
        <v>2055</v>
      </c>
      <c r="E1322" s="226" t="s">
        <v>6410</v>
      </c>
      <c r="F1322" s="226" t="s">
        <v>6411</v>
      </c>
      <c r="G1322" s="226" t="s">
        <v>2053</v>
      </c>
      <c r="H1322" s="226" t="s">
        <v>6412</v>
      </c>
      <c r="I1322" s="226" t="s">
        <v>6413</v>
      </c>
      <c r="J1322" s="226" t="s">
        <v>6414</v>
      </c>
      <c r="K1322" s="226" t="s">
        <v>9573</v>
      </c>
      <c r="L1322" s="214" t="s">
        <v>2053</v>
      </c>
      <c r="M1322" s="226" t="s">
        <v>10232</v>
      </c>
    </row>
    <row r="1323" spans="1:13" ht="15" customHeight="1">
      <c r="A1323" s="214" t="s">
        <v>2056</v>
      </c>
      <c r="B1323" s="226" t="s">
        <v>2059</v>
      </c>
      <c r="C1323" s="226" t="s">
        <v>2058</v>
      </c>
      <c r="D1323" s="226" t="s">
        <v>2060</v>
      </c>
      <c r="E1323" s="226" t="s">
        <v>6415</v>
      </c>
      <c r="F1323" s="226" t="s">
        <v>6416</v>
      </c>
      <c r="G1323" s="226" t="s">
        <v>2058</v>
      </c>
      <c r="H1323" s="226" t="s">
        <v>6417</v>
      </c>
      <c r="I1323" s="226" t="s">
        <v>6418</v>
      </c>
      <c r="J1323" s="226" t="s">
        <v>6419</v>
      </c>
      <c r="K1323" s="226" t="s">
        <v>9574</v>
      </c>
      <c r="L1323" s="214" t="s">
        <v>2058</v>
      </c>
      <c r="M1323" s="226" t="s">
        <v>10233</v>
      </c>
    </row>
    <row r="1324" spans="1:13" ht="15" customHeight="1">
      <c r="A1324" s="214" t="s">
        <v>2061</v>
      </c>
      <c r="B1324" s="226" t="s">
        <v>2064</v>
      </c>
      <c r="C1324" s="226" t="s">
        <v>2063</v>
      </c>
      <c r="D1324" s="226" t="s">
        <v>2065</v>
      </c>
      <c r="E1324" s="226" t="s">
        <v>6420</v>
      </c>
      <c r="F1324" s="226" t="s">
        <v>6421</v>
      </c>
      <c r="G1324" s="226" t="s">
        <v>2063</v>
      </c>
      <c r="H1324" s="226" t="s">
        <v>6422</v>
      </c>
      <c r="I1324" s="226" t="s">
        <v>6423</v>
      </c>
      <c r="J1324" s="226" t="s">
        <v>6424</v>
      </c>
      <c r="K1324" s="226" t="s">
        <v>9575</v>
      </c>
      <c r="L1324" s="214" t="s">
        <v>2063</v>
      </c>
      <c r="M1324" s="226" t="s">
        <v>10234</v>
      </c>
    </row>
    <row r="1325" spans="1:13" ht="15" customHeight="1">
      <c r="A1325" s="214" t="s">
        <v>2066</v>
      </c>
      <c r="B1325" s="226" t="s">
        <v>2069</v>
      </c>
      <c r="C1325" s="226" t="s">
        <v>2068</v>
      </c>
      <c r="D1325" s="226" t="s">
        <v>2070</v>
      </c>
      <c r="E1325" s="226" t="s">
        <v>6425</v>
      </c>
      <c r="F1325" s="226" t="s">
        <v>6426</v>
      </c>
      <c r="G1325" s="226" t="s">
        <v>2068</v>
      </c>
      <c r="H1325" s="226" t="s">
        <v>6427</v>
      </c>
      <c r="I1325" s="226" t="s">
        <v>6428</v>
      </c>
      <c r="J1325" s="226" t="s">
        <v>6429</v>
      </c>
      <c r="K1325" s="226" t="s">
        <v>9576</v>
      </c>
      <c r="L1325" s="214" t="s">
        <v>2068</v>
      </c>
      <c r="M1325" s="226" t="s">
        <v>10235</v>
      </c>
    </row>
    <row r="1326" spans="1:13" ht="15" customHeight="1">
      <c r="A1326" s="214" t="s">
        <v>2075</v>
      </c>
      <c r="B1326" s="226" t="s">
        <v>2073</v>
      </c>
      <c r="C1326" s="226" t="s">
        <v>2072</v>
      </c>
      <c r="D1326" s="226" t="s">
        <v>2074</v>
      </c>
      <c r="E1326" s="226" t="s">
        <v>6430</v>
      </c>
      <c r="F1326" s="226" t="s">
        <v>6431</v>
      </c>
      <c r="G1326" s="226" t="s">
        <v>2072</v>
      </c>
      <c r="H1326" s="226" t="s">
        <v>6432</v>
      </c>
      <c r="I1326" s="226" t="s">
        <v>6433</v>
      </c>
      <c r="J1326" s="226" t="s">
        <v>6434</v>
      </c>
      <c r="K1326" s="226" t="s">
        <v>9577</v>
      </c>
      <c r="L1326" s="214" t="s">
        <v>2072</v>
      </c>
      <c r="M1326" s="226" t="s">
        <v>10236</v>
      </c>
    </row>
    <row r="1327" spans="1:13" ht="15" customHeight="1">
      <c r="A1327" s="214" t="s">
        <v>2644</v>
      </c>
      <c r="B1327" s="226" t="s">
        <v>2642</v>
      </c>
      <c r="C1327" s="226" t="s">
        <v>2739</v>
      </c>
      <c r="D1327" s="226" t="s">
        <v>2795</v>
      </c>
      <c r="E1327" s="226" t="s">
        <v>6435</v>
      </c>
      <c r="F1327" s="226" t="s">
        <v>6436</v>
      </c>
      <c r="G1327" s="226" t="s">
        <v>2739</v>
      </c>
      <c r="H1327" s="226" t="s">
        <v>6437</v>
      </c>
      <c r="I1327" s="226" t="s">
        <v>6438</v>
      </c>
      <c r="J1327" s="226" t="s">
        <v>6439</v>
      </c>
      <c r="K1327" s="226" t="s">
        <v>9578</v>
      </c>
      <c r="L1327" s="214" t="s">
        <v>2739</v>
      </c>
      <c r="M1327" s="226" t="s">
        <v>10237</v>
      </c>
    </row>
    <row r="1328" spans="1:13" ht="15" customHeight="1">
      <c r="A1328" s="214" t="s">
        <v>2077</v>
      </c>
      <c r="B1328" s="226" t="s">
        <v>2079</v>
      </c>
      <c r="C1328" s="226" t="s">
        <v>2078</v>
      </c>
      <c r="D1328" s="226" t="s">
        <v>2080</v>
      </c>
      <c r="E1328" s="226" t="s">
        <v>6440</v>
      </c>
      <c r="F1328" s="226" t="s">
        <v>6441</v>
      </c>
      <c r="G1328" s="226" t="s">
        <v>2078</v>
      </c>
      <c r="H1328" s="226" t="s">
        <v>6442</v>
      </c>
      <c r="I1328" s="226" t="s">
        <v>6443</v>
      </c>
      <c r="J1328" s="226" t="s">
        <v>6444</v>
      </c>
      <c r="K1328" s="226" t="s">
        <v>9579</v>
      </c>
      <c r="L1328" s="214" t="s">
        <v>2078</v>
      </c>
      <c r="M1328" s="226" t="s">
        <v>10238</v>
      </c>
    </row>
    <row r="1329" spans="1:13" ht="15" customHeight="1">
      <c r="A1329" s="214" t="s">
        <v>2081</v>
      </c>
      <c r="B1329" s="226" t="s">
        <v>2083</v>
      </c>
      <c r="C1329" s="226" t="s">
        <v>2082</v>
      </c>
      <c r="D1329" s="226" t="s">
        <v>2084</v>
      </c>
      <c r="E1329" s="226" t="s">
        <v>6445</v>
      </c>
      <c r="F1329" s="226" t="s">
        <v>6446</v>
      </c>
      <c r="G1329" s="226" t="s">
        <v>2082</v>
      </c>
      <c r="H1329" s="226" t="s">
        <v>6447</v>
      </c>
      <c r="I1329" s="226" t="s">
        <v>6448</v>
      </c>
      <c r="J1329" s="226" t="s">
        <v>6449</v>
      </c>
      <c r="K1329" s="226" t="s">
        <v>9580</v>
      </c>
      <c r="L1329" s="214" t="s">
        <v>2082</v>
      </c>
      <c r="M1329" s="226" t="s">
        <v>10239</v>
      </c>
    </row>
    <row r="1330" spans="1:13" ht="15" customHeight="1">
      <c r="A1330" s="214" t="s">
        <v>2085</v>
      </c>
      <c r="B1330" s="226" t="s">
        <v>2089</v>
      </c>
      <c r="C1330" s="226" t="s">
        <v>2088</v>
      </c>
      <c r="D1330" s="226" t="s">
        <v>2090</v>
      </c>
      <c r="E1330" s="226" t="s">
        <v>6450</v>
      </c>
      <c r="F1330" s="226" t="s">
        <v>6451</v>
      </c>
      <c r="G1330" s="226" t="s">
        <v>2088</v>
      </c>
      <c r="H1330" s="226" t="s">
        <v>6452</v>
      </c>
      <c r="I1330" s="226" t="s">
        <v>6453</v>
      </c>
      <c r="J1330" s="226" t="s">
        <v>6454</v>
      </c>
      <c r="K1330" s="226" t="s">
        <v>9581</v>
      </c>
      <c r="L1330" s="214" t="s">
        <v>2088</v>
      </c>
      <c r="M1330" s="226" t="s">
        <v>10240</v>
      </c>
    </row>
    <row r="1331" spans="1:13" ht="15" customHeight="1">
      <c r="A1331" s="214" t="s">
        <v>2091</v>
      </c>
      <c r="B1331" s="226" t="s">
        <v>2095</v>
      </c>
      <c r="C1331" s="226" t="s">
        <v>2094</v>
      </c>
      <c r="D1331" s="226" t="s">
        <v>2096</v>
      </c>
      <c r="E1331" s="226" t="s">
        <v>6455</v>
      </c>
      <c r="F1331" s="226" t="s">
        <v>6456</v>
      </c>
      <c r="G1331" s="226" t="s">
        <v>2094</v>
      </c>
      <c r="H1331" s="226" t="s">
        <v>6457</v>
      </c>
      <c r="I1331" s="226" t="s">
        <v>6458</v>
      </c>
      <c r="J1331" s="226" t="s">
        <v>6459</v>
      </c>
      <c r="K1331" s="226" t="s">
        <v>9582</v>
      </c>
      <c r="L1331" s="214" t="s">
        <v>2094</v>
      </c>
      <c r="M1331" s="226" t="s">
        <v>10241</v>
      </c>
    </row>
    <row r="1332" spans="1:13" ht="15" customHeight="1">
      <c r="A1332" s="214" t="s">
        <v>2097</v>
      </c>
      <c r="B1332" s="226" t="s">
        <v>2100</v>
      </c>
      <c r="C1332" s="226" t="s">
        <v>2099</v>
      </c>
      <c r="D1332" s="226" t="s">
        <v>2101</v>
      </c>
      <c r="E1332" s="226" t="s">
        <v>6460</v>
      </c>
      <c r="F1332" s="226" t="s">
        <v>6461</v>
      </c>
      <c r="G1332" s="226" t="s">
        <v>2099</v>
      </c>
      <c r="H1332" s="226" t="s">
        <v>6462</v>
      </c>
      <c r="I1332" s="226" t="s">
        <v>6463</v>
      </c>
      <c r="J1332" s="226" t="s">
        <v>6464</v>
      </c>
      <c r="K1332" s="226" t="s">
        <v>9583</v>
      </c>
      <c r="L1332" s="214" t="s">
        <v>2099</v>
      </c>
      <c r="M1332" s="226" t="s">
        <v>10242</v>
      </c>
    </row>
    <row r="1333" spans="1:13" ht="15" customHeight="1">
      <c r="A1333" s="214" t="s">
        <v>2102</v>
      </c>
      <c r="B1333" s="226" t="s">
        <v>2106</v>
      </c>
      <c r="C1333" s="226" t="s">
        <v>2105</v>
      </c>
      <c r="D1333" s="226" t="s">
        <v>2107</v>
      </c>
      <c r="E1333" s="226" t="s">
        <v>6465</v>
      </c>
      <c r="F1333" s="226" t="s">
        <v>6466</v>
      </c>
      <c r="G1333" s="226" t="s">
        <v>2105</v>
      </c>
      <c r="H1333" s="226" t="s">
        <v>6467</v>
      </c>
      <c r="I1333" s="226" t="s">
        <v>6468</v>
      </c>
      <c r="J1333" s="226" t="s">
        <v>6469</v>
      </c>
      <c r="K1333" s="226" t="s">
        <v>9584</v>
      </c>
      <c r="L1333" s="214" t="s">
        <v>2105</v>
      </c>
      <c r="M1333" s="226" t="s">
        <v>10243</v>
      </c>
    </row>
    <row r="1334" spans="1:13" ht="15" customHeight="1">
      <c r="A1334" s="214" t="s">
        <v>2108</v>
      </c>
      <c r="B1334" s="226" t="s">
        <v>2111</v>
      </c>
      <c r="C1334" s="226" t="s">
        <v>2110</v>
      </c>
      <c r="D1334" s="226" t="s">
        <v>2112</v>
      </c>
      <c r="E1334" s="226" t="s">
        <v>6470</v>
      </c>
      <c r="F1334" s="226" t="s">
        <v>6471</v>
      </c>
      <c r="G1334" s="226" t="s">
        <v>2110</v>
      </c>
      <c r="H1334" s="226" t="s">
        <v>6472</v>
      </c>
      <c r="I1334" s="226" t="s">
        <v>6473</v>
      </c>
      <c r="J1334" s="226" t="s">
        <v>6474</v>
      </c>
      <c r="K1334" s="226" t="s">
        <v>9585</v>
      </c>
      <c r="L1334" s="214" t="s">
        <v>2110</v>
      </c>
      <c r="M1334" s="226" t="s">
        <v>10244</v>
      </c>
    </row>
    <row r="1335" spans="1:13" ht="15" customHeight="1">
      <c r="A1335" s="214" t="s">
        <v>2113</v>
      </c>
      <c r="B1335" s="226" t="s">
        <v>2115</v>
      </c>
      <c r="C1335" s="226" t="s">
        <v>2114</v>
      </c>
      <c r="D1335" s="226" t="s">
        <v>2116</v>
      </c>
      <c r="E1335" s="226" t="s">
        <v>6475</v>
      </c>
      <c r="F1335" s="226" t="s">
        <v>6476</v>
      </c>
      <c r="G1335" s="226" t="s">
        <v>2114</v>
      </c>
      <c r="H1335" s="226" t="s">
        <v>6477</v>
      </c>
      <c r="I1335" s="226" t="s">
        <v>6478</v>
      </c>
      <c r="J1335" s="226" t="s">
        <v>6479</v>
      </c>
      <c r="K1335" s="226" t="s">
        <v>9586</v>
      </c>
      <c r="L1335" s="214" t="s">
        <v>2114</v>
      </c>
      <c r="M1335" s="214" t="s">
        <v>10245</v>
      </c>
    </row>
    <row r="1336" spans="1:13" ht="15" customHeight="1">
      <c r="A1336" t="s">
        <v>2117</v>
      </c>
      <c r="B1336" t="s">
        <v>2119</v>
      </c>
      <c r="C1336" t="s">
        <v>2118</v>
      </c>
      <c r="D1336" t="s">
        <v>2120</v>
      </c>
      <c r="E1336" t="s">
        <v>6475</v>
      </c>
      <c r="F1336" t="s">
        <v>6480</v>
      </c>
      <c r="G1336" t="s">
        <v>2118</v>
      </c>
      <c r="H1336" t="s">
        <v>6481</v>
      </c>
      <c r="I1336" t="s">
        <v>6482</v>
      </c>
      <c r="J1336" t="s">
        <v>6483</v>
      </c>
      <c r="K1336" t="s">
        <v>9587</v>
      </c>
      <c r="L1336" t="s">
        <v>2118</v>
      </c>
      <c r="M1336" t="s">
        <v>10246</v>
      </c>
    </row>
    <row r="1337" spans="1:13" ht="15" customHeight="1">
      <c r="A1337" t="s">
        <v>2121</v>
      </c>
      <c r="B1337" t="s">
        <v>2123</v>
      </c>
      <c r="C1337" t="s">
        <v>2122</v>
      </c>
      <c r="D1337" t="s">
        <v>2124</v>
      </c>
      <c r="E1337" t="s">
        <v>6484</v>
      </c>
      <c r="F1337" t="s">
        <v>6485</v>
      </c>
      <c r="G1337" t="s">
        <v>2122</v>
      </c>
      <c r="H1337" t="s">
        <v>6486</v>
      </c>
      <c r="I1337" t="s">
        <v>6487</v>
      </c>
      <c r="J1337" t="s">
        <v>6488</v>
      </c>
      <c r="K1337" t="s">
        <v>9588</v>
      </c>
      <c r="L1337" t="s">
        <v>2122</v>
      </c>
      <c r="M1337" t="s">
        <v>2122</v>
      </c>
    </row>
    <row r="1338" spans="1:13" ht="15" customHeight="1">
      <c r="A1338" t="s">
        <v>12558</v>
      </c>
      <c r="B1338" t="s">
        <v>13406</v>
      </c>
      <c r="C1338" t="s">
        <v>13407</v>
      </c>
      <c r="D1338" t="s">
        <v>13408</v>
      </c>
      <c r="E1338" t="s">
        <v>13407</v>
      </c>
      <c r="F1338" t="s">
        <v>13407</v>
      </c>
      <c r="G1338" t="s">
        <v>13409</v>
      </c>
      <c r="H1338" t="s">
        <v>13407</v>
      </c>
      <c r="I1338" t="s">
        <v>13407</v>
      </c>
      <c r="J1338" t="s">
        <v>13407</v>
      </c>
      <c r="K1338" t="s">
        <v>13407</v>
      </c>
      <c r="L1338" t="s">
        <v>13407</v>
      </c>
      <c r="M1338" t="s">
        <v>13407</v>
      </c>
    </row>
    <row r="1339" spans="1:13" ht="15" customHeight="1">
      <c r="A1339" t="s">
        <v>12560</v>
      </c>
      <c r="B1339" t="s">
        <v>772</v>
      </c>
      <c r="C1339" t="s">
        <v>771</v>
      </c>
      <c r="D1339" t="s">
        <v>773</v>
      </c>
      <c r="E1339" t="s">
        <v>4488</v>
      </c>
      <c r="F1339" t="s">
        <v>4489</v>
      </c>
      <c r="G1339" t="s">
        <v>4870</v>
      </c>
      <c r="H1339" t="s">
        <v>4491</v>
      </c>
      <c r="I1339" t="s">
        <v>4871</v>
      </c>
      <c r="J1339" t="s">
        <v>5114</v>
      </c>
      <c r="K1339" t="s">
        <v>9280</v>
      </c>
      <c r="L1339" t="s">
        <v>10607</v>
      </c>
      <c r="M1339" t="s">
        <v>9882</v>
      </c>
    </row>
    <row r="1341" spans="1:13" ht="15" customHeight="1">
      <c r="A1341" t="s">
        <v>2125</v>
      </c>
      <c r="B1341" t="s">
        <v>13410</v>
      </c>
      <c r="C1341" t="s">
        <v>13411</v>
      </c>
      <c r="D1341" t="s">
        <v>13412</v>
      </c>
      <c r="E1341" t="s">
        <v>13413</v>
      </c>
      <c r="F1341" t="s">
        <v>13414</v>
      </c>
      <c r="G1341" t="s">
        <v>13415</v>
      </c>
      <c r="H1341" t="s">
        <v>13416</v>
      </c>
      <c r="I1341" t="s">
        <v>13417</v>
      </c>
      <c r="J1341" t="s">
        <v>13418</v>
      </c>
      <c r="K1341" t="s">
        <v>13419</v>
      </c>
      <c r="L1341" t="s">
        <v>13420</v>
      </c>
      <c r="M1341" t="s">
        <v>13421</v>
      </c>
    </row>
    <row r="1342" spans="1:13" ht="15" customHeight="1">
      <c r="A1342" t="s">
        <v>2433</v>
      </c>
      <c r="B1342" t="s">
        <v>13410</v>
      </c>
      <c r="C1342" t="s">
        <v>13411</v>
      </c>
      <c r="D1342" t="s">
        <v>13412</v>
      </c>
      <c r="E1342" t="s">
        <v>13413</v>
      </c>
      <c r="F1342" t="s">
        <v>13414</v>
      </c>
      <c r="G1342" t="s">
        <v>13415</v>
      </c>
      <c r="H1342" t="s">
        <v>13416</v>
      </c>
      <c r="I1342" t="s">
        <v>13417</v>
      </c>
      <c r="J1342" t="s">
        <v>13418</v>
      </c>
      <c r="K1342" t="s">
        <v>13419</v>
      </c>
      <c r="L1342" t="s">
        <v>13420</v>
      </c>
      <c r="M1342" t="s">
        <v>13421</v>
      </c>
    </row>
    <row r="1343" spans="1:13" ht="15" customHeight="1">
      <c r="A1343" t="s">
        <v>13228</v>
      </c>
      <c r="B1343" t="s">
        <v>13410</v>
      </c>
      <c r="C1343" t="s">
        <v>13411</v>
      </c>
      <c r="D1343" t="s">
        <v>13412</v>
      </c>
      <c r="E1343" t="s">
        <v>13413</v>
      </c>
      <c r="F1343" t="s">
        <v>13414</v>
      </c>
      <c r="G1343" t="s">
        <v>13415</v>
      </c>
      <c r="H1343" t="s">
        <v>13416</v>
      </c>
      <c r="I1343" t="s">
        <v>13417</v>
      </c>
      <c r="J1343" t="s">
        <v>13418</v>
      </c>
      <c r="K1343" t="s">
        <v>13419</v>
      </c>
      <c r="L1343" t="s">
        <v>13420</v>
      </c>
      <c r="M1343" t="s">
        <v>13421</v>
      </c>
    </row>
    <row r="1344" spans="1:13" ht="15" customHeight="1">
      <c r="A1344" t="s">
        <v>13229</v>
      </c>
      <c r="B1344" t="s">
        <v>13410</v>
      </c>
      <c r="C1344" t="s">
        <v>13411</v>
      </c>
      <c r="D1344" t="s">
        <v>13412</v>
      </c>
      <c r="E1344" t="s">
        <v>13413</v>
      </c>
      <c r="F1344" t="s">
        <v>13414</v>
      </c>
      <c r="G1344" t="s">
        <v>13415</v>
      </c>
      <c r="H1344" t="s">
        <v>13416</v>
      </c>
      <c r="I1344" t="s">
        <v>13417</v>
      </c>
      <c r="J1344" t="s">
        <v>13418</v>
      </c>
      <c r="K1344" t="s">
        <v>13419</v>
      </c>
      <c r="L1344" t="s">
        <v>13420</v>
      </c>
      <c r="M1344" t="s">
        <v>13421</v>
      </c>
    </row>
    <row r="1345" spans="1:13" ht="15" customHeight="1">
      <c r="A1345" t="s">
        <v>2434</v>
      </c>
      <c r="B1345" t="s">
        <v>13410</v>
      </c>
      <c r="C1345" t="s">
        <v>13411</v>
      </c>
      <c r="D1345" t="s">
        <v>13412</v>
      </c>
      <c r="E1345" t="s">
        <v>13413</v>
      </c>
      <c r="F1345" t="s">
        <v>13414</v>
      </c>
      <c r="G1345" t="s">
        <v>13415</v>
      </c>
      <c r="H1345" t="s">
        <v>13416</v>
      </c>
      <c r="I1345" t="s">
        <v>13417</v>
      </c>
      <c r="J1345" t="s">
        <v>13418</v>
      </c>
      <c r="K1345" t="s">
        <v>13419</v>
      </c>
      <c r="L1345" t="s">
        <v>13420</v>
      </c>
      <c r="M1345" t="s">
        <v>13421</v>
      </c>
    </row>
    <row r="1346" spans="1:13" ht="15" customHeight="1">
      <c r="A1346" t="s">
        <v>13230</v>
      </c>
      <c r="B1346" t="s">
        <v>13410</v>
      </c>
      <c r="C1346" t="s">
        <v>13411</v>
      </c>
      <c r="D1346" t="s">
        <v>13412</v>
      </c>
      <c r="E1346" t="s">
        <v>13413</v>
      </c>
      <c r="F1346" t="s">
        <v>13414</v>
      </c>
      <c r="G1346" t="s">
        <v>13415</v>
      </c>
      <c r="H1346" t="s">
        <v>13416</v>
      </c>
      <c r="I1346" t="s">
        <v>13417</v>
      </c>
      <c r="J1346" t="s">
        <v>13418</v>
      </c>
      <c r="K1346" t="s">
        <v>13419</v>
      </c>
      <c r="L1346" t="s">
        <v>13420</v>
      </c>
      <c r="M1346" t="s">
        <v>13421</v>
      </c>
    </row>
    <row r="1347" spans="1:13" ht="15" customHeight="1">
      <c r="A1347" t="s">
        <v>13231</v>
      </c>
      <c r="B1347" t="s">
        <v>13410</v>
      </c>
      <c r="C1347" t="s">
        <v>13411</v>
      </c>
      <c r="D1347" t="s">
        <v>13412</v>
      </c>
      <c r="E1347" t="s">
        <v>13413</v>
      </c>
      <c r="F1347" t="s">
        <v>13414</v>
      </c>
      <c r="G1347" t="s">
        <v>13415</v>
      </c>
      <c r="H1347" t="s">
        <v>13416</v>
      </c>
      <c r="I1347" t="s">
        <v>13417</v>
      </c>
      <c r="J1347" t="s">
        <v>13418</v>
      </c>
      <c r="K1347" t="s">
        <v>13419</v>
      </c>
      <c r="L1347" t="s">
        <v>13420</v>
      </c>
      <c r="M1347" t="s">
        <v>13421</v>
      </c>
    </row>
    <row r="1348" spans="1:13" ht="15" customHeight="1">
      <c r="A1348" t="s">
        <v>13232</v>
      </c>
      <c r="B1348" t="s">
        <v>13410</v>
      </c>
      <c r="C1348" t="s">
        <v>13411</v>
      </c>
      <c r="D1348" t="s">
        <v>13412</v>
      </c>
      <c r="E1348" t="s">
        <v>13413</v>
      </c>
      <c r="F1348" t="s">
        <v>13414</v>
      </c>
      <c r="G1348" t="s">
        <v>13415</v>
      </c>
      <c r="H1348" t="s">
        <v>13416</v>
      </c>
      <c r="I1348" t="s">
        <v>13417</v>
      </c>
      <c r="J1348" t="s">
        <v>13418</v>
      </c>
      <c r="K1348" t="s">
        <v>13419</v>
      </c>
      <c r="L1348" t="s">
        <v>13420</v>
      </c>
      <c r="M1348" t="s">
        <v>13421</v>
      </c>
    </row>
    <row r="1349" spans="1:13" ht="15" customHeight="1">
      <c r="A1349" t="s">
        <v>13233</v>
      </c>
      <c r="B1349" t="s">
        <v>13410</v>
      </c>
      <c r="C1349" t="s">
        <v>13411</v>
      </c>
      <c r="D1349" t="s">
        <v>13412</v>
      </c>
      <c r="E1349" t="s">
        <v>13413</v>
      </c>
      <c r="F1349" t="s">
        <v>13414</v>
      </c>
      <c r="G1349" t="s">
        <v>13415</v>
      </c>
      <c r="H1349" t="s">
        <v>13416</v>
      </c>
      <c r="I1349" t="s">
        <v>13417</v>
      </c>
      <c r="J1349" t="s">
        <v>13418</v>
      </c>
      <c r="K1349" t="s">
        <v>13419</v>
      </c>
      <c r="L1349" t="s">
        <v>13420</v>
      </c>
      <c r="M1349" t="s">
        <v>13421</v>
      </c>
    </row>
    <row r="1350" spans="1:13" ht="15" customHeight="1">
      <c r="A1350" t="s">
        <v>2847</v>
      </c>
      <c r="B1350" t="s">
        <v>13410</v>
      </c>
      <c r="C1350" t="s">
        <v>13411</v>
      </c>
      <c r="D1350" t="s">
        <v>13412</v>
      </c>
      <c r="E1350" t="s">
        <v>13413</v>
      </c>
      <c r="F1350" t="s">
        <v>13414</v>
      </c>
      <c r="G1350" t="s">
        <v>13415</v>
      </c>
      <c r="H1350" t="s">
        <v>13416</v>
      </c>
      <c r="I1350" t="s">
        <v>13417</v>
      </c>
      <c r="J1350" t="s">
        <v>13418</v>
      </c>
      <c r="K1350" t="s">
        <v>13419</v>
      </c>
      <c r="L1350" t="s">
        <v>13420</v>
      </c>
      <c r="M1350" t="s">
        <v>13421</v>
      </c>
    </row>
    <row r="1351" spans="1:13" ht="15" customHeight="1">
      <c r="A1351" t="s">
        <v>2128</v>
      </c>
      <c r="B1351" t="s">
        <v>13410</v>
      </c>
      <c r="C1351" t="s">
        <v>13411</v>
      </c>
      <c r="D1351" t="s">
        <v>13412</v>
      </c>
      <c r="E1351" t="s">
        <v>13413</v>
      </c>
      <c r="F1351" t="s">
        <v>13414</v>
      </c>
      <c r="G1351" t="s">
        <v>13415</v>
      </c>
      <c r="H1351" t="s">
        <v>13416</v>
      </c>
      <c r="I1351" t="s">
        <v>13417</v>
      </c>
      <c r="J1351" t="s">
        <v>13418</v>
      </c>
      <c r="K1351" t="s">
        <v>13419</v>
      </c>
      <c r="L1351" t="s">
        <v>13420</v>
      </c>
      <c r="M1351" t="s">
        <v>13421</v>
      </c>
    </row>
    <row r="1352" spans="1:13" ht="15" customHeight="1">
      <c r="A1352" t="s">
        <v>2129</v>
      </c>
      <c r="B1352" t="s">
        <v>13410</v>
      </c>
      <c r="C1352" t="s">
        <v>13411</v>
      </c>
      <c r="D1352" t="s">
        <v>13412</v>
      </c>
      <c r="E1352" t="s">
        <v>13413</v>
      </c>
      <c r="F1352" t="s">
        <v>13414</v>
      </c>
      <c r="G1352" t="s">
        <v>13415</v>
      </c>
      <c r="H1352" t="s">
        <v>13416</v>
      </c>
      <c r="I1352" t="s">
        <v>13417</v>
      </c>
      <c r="J1352" t="s">
        <v>13418</v>
      </c>
      <c r="K1352" t="s">
        <v>13419</v>
      </c>
      <c r="L1352" t="s">
        <v>13420</v>
      </c>
      <c r="M1352" t="s">
        <v>13421</v>
      </c>
    </row>
    <row r="1353" spans="1:13" ht="15" customHeight="1">
      <c r="A1353" t="s">
        <v>13234</v>
      </c>
      <c r="B1353" t="s">
        <v>13410</v>
      </c>
      <c r="C1353" t="s">
        <v>13411</v>
      </c>
      <c r="D1353" t="s">
        <v>13412</v>
      </c>
      <c r="E1353" t="s">
        <v>13413</v>
      </c>
      <c r="F1353" t="s">
        <v>13414</v>
      </c>
      <c r="G1353" t="s">
        <v>13415</v>
      </c>
      <c r="H1353" t="s">
        <v>13416</v>
      </c>
      <c r="I1353" t="s">
        <v>13417</v>
      </c>
      <c r="J1353" t="s">
        <v>13418</v>
      </c>
      <c r="K1353" t="s">
        <v>13419</v>
      </c>
      <c r="L1353" t="s">
        <v>13420</v>
      </c>
      <c r="M1353" t="s">
        <v>13421</v>
      </c>
    </row>
    <row r="1354" spans="1:13" ht="15" customHeight="1">
      <c r="A1354" t="s">
        <v>2130</v>
      </c>
      <c r="B1354" t="s">
        <v>13410</v>
      </c>
      <c r="C1354" t="s">
        <v>13411</v>
      </c>
      <c r="D1354" t="s">
        <v>13412</v>
      </c>
      <c r="E1354" t="s">
        <v>13413</v>
      </c>
      <c r="F1354" t="s">
        <v>13414</v>
      </c>
      <c r="G1354" t="s">
        <v>13415</v>
      </c>
      <c r="H1354" t="s">
        <v>13416</v>
      </c>
      <c r="I1354" t="s">
        <v>13417</v>
      </c>
      <c r="J1354" t="s">
        <v>13418</v>
      </c>
      <c r="K1354" t="s">
        <v>13419</v>
      </c>
      <c r="L1354" t="s">
        <v>13420</v>
      </c>
      <c r="M1354" t="s">
        <v>13421</v>
      </c>
    </row>
    <row r="1355" spans="1:13" ht="15" customHeight="1">
      <c r="A1355" t="s">
        <v>2131</v>
      </c>
      <c r="B1355" t="s">
        <v>13410</v>
      </c>
      <c r="C1355" t="s">
        <v>13411</v>
      </c>
      <c r="D1355" t="s">
        <v>13412</v>
      </c>
      <c r="E1355" t="s">
        <v>13413</v>
      </c>
      <c r="F1355" t="s">
        <v>13414</v>
      </c>
      <c r="G1355" t="s">
        <v>13415</v>
      </c>
      <c r="H1355" t="s">
        <v>13416</v>
      </c>
      <c r="I1355" t="s">
        <v>13417</v>
      </c>
      <c r="J1355" t="s">
        <v>13418</v>
      </c>
      <c r="K1355" t="s">
        <v>13419</v>
      </c>
      <c r="L1355" t="s">
        <v>13420</v>
      </c>
      <c r="M1355" t="s">
        <v>13421</v>
      </c>
    </row>
    <row r="1356" spans="1:13" ht="15" customHeight="1">
      <c r="A1356" t="s">
        <v>2133</v>
      </c>
      <c r="B1356" t="s">
        <v>13410</v>
      </c>
      <c r="C1356" t="s">
        <v>13411</v>
      </c>
      <c r="D1356" t="s">
        <v>13412</v>
      </c>
      <c r="E1356" t="s">
        <v>13413</v>
      </c>
      <c r="F1356" t="s">
        <v>13414</v>
      </c>
      <c r="G1356" t="s">
        <v>13415</v>
      </c>
      <c r="H1356" t="s">
        <v>13416</v>
      </c>
      <c r="I1356" t="s">
        <v>13417</v>
      </c>
      <c r="J1356" t="s">
        <v>13418</v>
      </c>
      <c r="K1356" t="s">
        <v>13419</v>
      </c>
      <c r="L1356" t="s">
        <v>13420</v>
      </c>
      <c r="M1356" t="s">
        <v>13421</v>
      </c>
    </row>
    <row r="1357" spans="1:13" ht="15" customHeight="1">
      <c r="A1357" t="s">
        <v>13235</v>
      </c>
      <c r="B1357" t="s">
        <v>13410</v>
      </c>
      <c r="C1357" t="s">
        <v>13411</v>
      </c>
      <c r="D1357" t="s">
        <v>13412</v>
      </c>
      <c r="E1357" t="s">
        <v>13413</v>
      </c>
      <c r="F1357" t="s">
        <v>13414</v>
      </c>
      <c r="G1357" t="s">
        <v>13415</v>
      </c>
      <c r="H1357" t="s">
        <v>13416</v>
      </c>
      <c r="I1357" t="s">
        <v>13417</v>
      </c>
      <c r="J1357" t="s">
        <v>13418</v>
      </c>
      <c r="K1357" t="s">
        <v>13419</v>
      </c>
      <c r="L1357" t="s">
        <v>13420</v>
      </c>
      <c r="M1357" t="s">
        <v>13421</v>
      </c>
    </row>
    <row r="1358" spans="1:13" ht="15" customHeight="1">
      <c r="A1358" t="s">
        <v>2135</v>
      </c>
      <c r="B1358" t="s">
        <v>13410</v>
      </c>
      <c r="C1358" t="s">
        <v>13411</v>
      </c>
      <c r="D1358" t="s">
        <v>13412</v>
      </c>
      <c r="E1358" t="s">
        <v>13413</v>
      </c>
      <c r="F1358" t="s">
        <v>13414</v>
      </c>
      <c r="G1358" t="s">
        <v>13415</v>
      </c>
      <c r="H1358" t="s">
        <v>13416</v>
      </c>
      <c r="I1358" t="s">
        <v>13417</v>
      </c>
      <c r="J1358" t="s">
        <v>13418</v>
      </c>
      <c r="K1358" t="s">
        <v>13419</v>
      </c>
      <c r="L1358" t="s">
        <v>13420</v>
      </c>
      <c r="M1358" t="s">
        <v>13421</v>
      </c>
    </row>
    <row r="1359" spans="1:13" ht="15" customHeight="1">
      <c r="A1359" t="s">
        <v>2137</v>
      </c>
      <c r="B1359" t="s">
        <v>13410</v>
      </c>
      <c r="C1359" t="s">
        <v>13411</v>
      </c>
      <c r="D1359" t="s">
        <v>13412</v>
      </c>
      <c r="E1359" t="s">
        <v>13413</v>
      </c>
      <c r="F1359" t="s">
        <v>13414</v>
      </c>
      <c r="G1359" t="s">
        <v>13415</v>
      </c>
      <c r="H1359" t="s">
        <v>13416</v>
      </c>
      <c r="I1359" t="s">
        <v>13417</v>
      </c>
      <c r="J1359" t="s">
        <v>13418</v>
      </c>
      <c r="K1359" t="s">
        <v>13419</v>
      </c>
      <c r="L1359" t="s">
        <v>13420</v>
      </c>
      <c r="M1359" t="s">
        <v>13421</v>
      </c>
    </row>
    <row r="1360" spans="1:13" ht="15" customHeight="1">
      <c r="A1360" t="s">
        <v>2139</v>
      </c>
      <c r="B1360" t="s">
        <v>13410</v>
      </c>
      <c r="C1360" t="s">
        <v>13411</v>
      </c>
      <c r="D1360" t="s">
        <v>13412</v>
      </c>
      <c r="E1360" t="s">
        <v>13413</v>
      </c>
      <c r="F1360" t="s">
        <v>13414</v>
      </c>
      <c r="G1360" t="s">
        <v>13415</v>
      </c>
      <c r="H1360" t="s">
        <v>13416</v>
      </c>
      <c r="I1360" t="s">
        <v>13417</v>
      </c>
      <c r="J1360" t="s">
        <v>13418</v>
      </c>
      <c r="K1360" t="s">
        <v>13419</v>
      </c>
      <c r="L1360" t="s">
        <v>13420</v>
      </c>
      <c r="M1360" t="s">
        <v>13421</v>
      </c>
    </row>
    <row r="1361" spans="1:13" ht="15" customHeight="1">
      <c r="A1361" t="s">
        <v>13236</v>
      </c>
      <c r="B1361" t="s">
        <v>13410</v>
      </c>
      <c r="C1361" t="s">
        <v>13411</v>
      </c>
      <c r="D1361" t="s">
        <v>13412</v>
      </c>
      <c r="E1361" t="s">
        <v>13413</v>
      </c>
      <c r="F1361" t="s">
        <v>13414</v>
      </c>
      <c r="G1361" t="s">
        <v>13415</v>
      </c>
      <c r="H1361" t="s">
        <v>13416</v>
      </c>
      <c r="I1361" t="s">
        <v>13417</v>
      </c>
      <c r="J1361" t="s">
        <v>13418</v>
      </c>
      <c r="K1361" t="s">
        <v>13419</v>
      </c>
      <c r="L1361" t="s">
        <v>13420</v>
      </c>
      <c r="M1361" t="s">
        <v>13421</v>
      </c>
    </row>
    <row r="1362" spans="1:13" ht="15" customHeight="1">
      <c r="A1362" t="s">
        <v>2141</v>
      </c>
      <c r="B1362" t="s">
        <v>13410</v>
      </c>
      <c r="C1362" t="s">
        <v>13411</v>
      </c>
      <c r="D1362" t="s">
        <v>13412</v>
      </c>
      <c r="E1362" t="s">
        <v>13413</v>
      </c>
      <c r="F1362" t="s">
        <v>13414</v>
      </c>
      <c r="G1362" t="s">
        <v>13415</v>
      </c>
      <c r="H1362" t="s">
        <v>13416</v>
      </c>
      <c r="I1362" t="s">
        <v>13417</v>
      </c>
      <c r="J1362" t="s">
        <v>13418</v>
      </c>
      <c r="K1362" t="s">
        <v>13419</v>
      </c>
      <c r="L1362" t="s">
        <v>13420</v>
      </c>
      <c r="M1362" t="s">
        <v>13421</v>
      </c>
    </row>
    <row r="1363" spans="1:13" ht="15" customHeight="1">
      <c r="A1363" t="s">
        <v>13237</v>
      </c>
      <c r="B1363" t="s">
        <v>13410</v>
      </c>
      <c r="C1363" t="s">
        <v>13411</v>
      </c>
      <c r="D1363" t="s">
        <v>13412</v>
      </c>
      <c r="E1363" t="s">
        <v>13413</v>
      </c>
      <c r="F1363" t="s">
        <v>13414</v>
      </c>
      <c r="G1363" t="s">
        <v>13415</v>
      </c>
      <c r="H1363" t="s">
        <v>13416</v>
      </c>
      <c r="I1363" t="s">
        <v>13417</v>
      </c>
      <c r="J1363" t="s">
        <v>13418</v>
      </c>
      <c r="K1363" t="s">
        <v>13419</v>
      </c>
      <c r="L1363" t="s">
        <v>13420</v>
      </c>
      <c r="M1363" t="s">
        <v>13421</v>
      </c>
    </row>
    <row r="1364" spans="1:13" ht="15" customHeight="1">
      <c r="A1364" t="s">
        <v>2143</v>
      </c>
      <c r="B1364" t="s">
        <v>13410</v>
      </c>
      <c r="C1364" t="s">
        <v>13411</v>
      </c>
      <c r="D1364" t="s">
        <v>13412</v>
      </c>
      <c r="E1364" t="s">
        <v>13413</v>
      </c>
      <c r="F1364" t="s">
        <v>13414</v>
      </c>
      <c r="G1364" t="s">
        <v>13415</v>
      </c>
      <c r="H1364" t="s">
        <v>13416</v>
      </c>
      <c r="I1364" t="s">
        <v>13417</v>
      </c>
      <c r="J1364" t="s">
        <v>13418</v>
      </c>
      <c r="K1364" t="s">
        <v>13419</v>
      </c>
      <c r="L1364" t="s">
        <v>13420</v>
      </c>
      <c r="M1364" t="s">
        <v>13421</v>
      </c>
    </row>
    <row r="1365" spans="1:13" ht="15" customHeight="1">
      <c r="A1365" t="s">
        <v>2145</v>
      </c>
      <c r="B1365" t="s">
        <v>13410</v>
      </c>
      <c r="C1365" t="s">
        <v>13411</v>
      </c>
      <c r="D1365" t="s">
        <v>13412</v>
      </c>
      <c r="E1365" t="s">
        <v>13413</v>
      </c>
      <c r="F1365" t="s">
        <v>13414</v>
      </c>
      <c r="G1365" t="s">
        <v>13415</v>
      </c>
      <c r="H1365" t="s">
        <v>13416</v>
      </c>
      <c r="I1365" t="s">
        <v>13417</v>
      </c>
      <c r="J1365" t="s">
        <v>13418</v>
      </c>
      <c r="K1365" t="s">
        <v>13419</v>
      </c>
      <c r="L1365" t="s">
        <v>13420</v>
      </c>
      <c r="M1365" t="s">
        <v>13421</v>
      </c>
    </row>
    <row r="1366" spans="1:13" ht="15" customHeight="1">
      <c r="A1366" t="s">
        <v>2147</v>
      </c>
      <c r="B1366" t="s">
        <v>13410</v>
      </c>
      <c r="C1366" t="s">
        <v>13411</v>
      </c>
      <c r="D1366" t="s">
        <v>13412</v>
      </c>
      <c r="E1366" t="s">
        <v>13413</v>
      </c>
      <c r="F1366" t="s">
        <v>13414</v>
      </c>
      <c r="G1366" t="s">
        <v>13415</v>
      </c>
      <c r="H1366" t="s">
        <v>13416</v>
      </c>
      <c r="I1366" t="s">
        <v>13417</v>
      </c>
      <c r="J1366" t="s">
        <v>13418</v>
      </c>
      <c r="K1366" t="s">
        <v>13419</v>
      </c>
      <c r="L1366" t="s">
        <v>13420</v>
      </c>
      <c r="M1366" t="s">
        <v>13421</v>
      </c>
    </row>
    <row r="1367" spans="1:13" ht="15" customHeight="1">
      <c r="A1367" t="s">
        <v>2149</v>
      </c>
      <c r="B1367" t="s">
        <v>13410</v>
      </c>
      <c r="C1367" t="s">
        <v>13411</v>
      </c>
      <c r="D1367" t="s">
        <v>13412</v>
      </c>
      <c r="E1367" t="s">
        <v>13413</v>
      </c>
      <c r="F1367" t="s">
        <v>13414</v>
      </c>
      <c r="G1367" t="s">
        <v>13415</v>
      </c>
      <c r="H1367" t="s">
        <v>13416</v>
      </c>
      <c r="I1367" t="s">
        <v>13417</v>
      </c>
      <c r="J1367" t="s">
        <v>13418</v>
      </c>
      <c r="K1367" t="s">
        <v>13419</v>
      </c>
      <c r="L1367" t="s">
        <v>13420</v>
      </c>
      <c r="M1367" t="s">
        <v>13421</v>
      </c>
    </row>
    <row r="1368" spans="1:13" ht="15" customHeight="1">
      <c r="A1368" t="s">
        <v>2151</v>
      </c>
      <c r="B1368" t="s">
        <v>13410</v>
      </c>
      <c r="C1368" t="s">
        <v>13411</v>
      </c>
      <c r="D1368" t="s">
        <v>13412</v>
      </c>
      <c r="E1368" t="s">
        <v>13413</v>
      </c>
      <c r="F1368" t="s">
        <v>13414</v>
      </c>
      <c r="G1368" t="s">
        <v>13415</v>
      </c>
      <c r="H1368" t="s">
        <v>13416</v>
      </c>
      <c r="I1368" t="s">
        <v>13417</v>
      </c>
      <c r="J1368" t="s">
        <v>13418</v>
      </c>
      <c r="K1368" t="s">
        <v>13419</v>
      </c>
      <c r="L1368" t="s">
        <v>13420</v>
      </c>
      <c r="M1368" t="s">
        <v>13421</v>
      </c>
    </row>
    <row r="1369" spans="1:13" ht="15" customHeight="1">
      <c r="A1369" t="s">
        <v>12226</v>
      </c>
      <c r="B1369" t="s">
        <v>13410</v>
      </c>
      <c r="C1369" t="s">
        <v>13411</v>
      </c>
      <c r="D1369" t="s">
        <v>13412</v>
      </c>
      <c r="E1369" t="s">
        <v>13413</v>
      </c>
      <c r="F1369" t="s">
        <v>13414</v>
      </c>
      <c r="G1369" t="s">
        <v>13415</v>
      </c>
      <c r="H1369" t="s">
        <v>13416</v>
      </c>
      <c r="I1369" t="s">
        <v>13417</v>
      </c>
      <c r="J1369" t="s">
        <v>13418</v>
      </c>
      <c r="K1369" t="s">
        <v>13419</v>
      </c>
      <c r="L1369" t="s">
        <v>13420</v>
      </c>
      <c r="M1369" t="s">
        <v>13421</v>
      </c>
    </row>
    <row r="1370" spans="1:13" ht="15" customHeight="1">
      <c r="A1370" t="s">
        <v>12224</v>
      </c>
      <c r="B1370" t="s">
        <v>13410</v>
      </c>
      <c r="C1370" t="s">
        <v>13411</v>
      </c>
      <c r="D1370" t="s">
        <v>13412</v>
      </c>
      <c r="E1370" t="s">
        <v>13413</v>
      </c>
      <c r="F1370" t="s">
        <v>13414</v>
      </c>
      <c r="G1370" t="s">
        <v>13415</v>
      </c>
      <c r="H1370" t="s">
        <v>13416</v>
      </c>
      <c r="I1370" t="s">
        <v>13417</v>
      </c>
      <c r="J1370" t="s">
        <v>13418</v>
      </c>
      <c r="K1370" t="s">
        <v>13419</v>
      </c>
      <c r="L1370" t="s">
        <v>13420</v>
      </c>
      <c r="M1370" t="s">
        <v>13421</v>
      </c>
    </row>
    <row r="1371" spans="1:13" ht="15" customHeight="1">
      <c r="A1371" t="s">
        <v>2153</v>
      </c>
      <c r="B1371" t="s">
        <v>13410</v>
      </c>
      <c r="C1371" t="s">
        <v>13411</v>
      </c>
      <c r="D1371" t="s">
        <v>13412</v>
      </c>
      <c r="E1371" t="s">
        <v>13413</v>
      </c>
      <c r="F1371" t="s">
        <v>13414</v>
      </c>
      <c r="G1371" t="s">
        <v>13415</v>
      </c>
      <c r="H1371" t="s">
        <v>13416</v>
      </c>
      <c r="I1371" t="s">
        <v>13417</v>
      </c>
      <c r="J1371" t="s">
        <v>13418</v>
      </c>
      <c r="K1371" t="s">
        <v>13419</v>
      </c>
      <c r="L1371" t="s">
        <v>13420</v>
      </c>
      <c r="M1371" t="s">
        <v>13421</v>
      </c>
    </row>
    <row r="1372" spans="1:13" ht="15" customHeight="1">
      <c r="A1372" t="s">
        <v>2155</v>
      </c>
      <c r="B1372" t="s">
        <v>13410</v>
      </c>
      <c r="C1372" t="s">
        <v>13411</v>
      </c>
      <c r="D1372" t="s">
        <v>13412</v>
      </c>
      <c r="E1372" t="s">
        <v>13413</v>
      </c>
      <c r="F1372" t="s">
        <v>13414</v>
      </c>
      <c r="G1372" t="s">
        <v>13415</v>
      </c>
      <c r="H1372" t="s">
        <v>13416</v>
      </c>
      <c r="I1372" t="s">
        <v>13417</v>
      </c>
      <c r="J1372" t="s">
        <v>13418</v>
      </c>
      <c r="K1372" t="s">
        <v>13419</v>
      </c>
      <c r="L1372" t="s">
        <v>13420</v>
      </c>
      <c r="M1372" t="s">
        <v>13421</v>
      </c>
    </row>
    <row r="1373" spans="1:13" ht="15" customHeight="1">
      <c r="A1373" t="s">
        <v>2157</v>
      </c>
      <c r="B1373" t="s">
        <v>13410</v>
      </c>
      <c r="C1373" t="s">
        <v>13411</v>
      </c>
      <c r="D1373" t="s">
        <v>13412</v>
      </c>
      <c r="E1373" t="s">
        <v>13413</v>
      </c>
      <c r="F1373" t="s">
        <v>13414</v>
      </c>
      <c r="G1373" t="s">
        <v>13415</v>
      </c>
      <c r="H1373" t="s">
        <v>13416</v>
      </c>
      <c r="I1373" t="s">
        <v>13417</v>
      </c>
      <c r="J1373" t="s">
        <v>13418</v>
      </c>
      <c r="K1373" t="s">
        <v>13419</v>
      </c>
      <c r="L1373" t="s">
        <v>13420</v>
      </c>
      <c r="M1373" t="s">
        <v>13421</v>
      </c>
    </row>
    <row r="1374" spans="1:13" ht="15" customHeight="1">
      <c r="A1374" t="s">
        <v>2158</v>
      </c>
      <c r="B1374" t="s">
        <v>13410</v>
      </c>
      <c r="C1374" t="s">
        <v>13411</v>
      </c>
      <c r="D1374" t="s">
        <v>13412</v>
      </c>
      <c r="E1374" t="s">
        <v>13413</v>
      </c>
      <c r="F1374" t="s">
        <v>13414</v>
      </c>
      <c r="G1374" t="s">
        <v>13415</v>
      </c>
      <c r="H1374" t="s">
        <v>13416</v>
      </c>
      <c r="I1374" t="s">
        <v>13417</v>
      </c>
      <c r="J1374" t="s">
        <v>13418</v>
      </c>
      <c r="K1374" t="s">
        <v>13419</v>
      </c>
      <c r="L1374" t="s">
        <v>13420</v>
      </c>
      <c r="M1374" t="s">
        <v>13421</v>
      </c>
    </row>
    <row r="1375" spans="1:13" ht="15" customHeight="1">
      <c r="A1375" t="s">
        <v>2159</v>
      </c>
      <c r="B1375" t="s">
        <v>13410</v>
      </c>
      <c r="C1375" t="s">
        <v>13411</v>
      </c>
      <c r="D1375" t="s">
        <v>13412</v>
      </c>
      <c r="E1375" t="s">
        <v>13413</v>
      </c>
      <c r="F1375" t="s">
        <v>13414</v>
      </c>
      <c r="G1375" t="s">
        <v>13415</v>
      </c>
      <c r="H1375" t="s">
        <v>13416</v>
      </c>
      <c r="I1375" t="s">
        <v>13417</v>
      </c>
      <c r="J1375" t="s">
        <v>13418</v>
      </c>
      <c r="K1375" t="s">
        <v>13419</v>
      </c>
      <c r="L1375" t="s">
        <v>13420</v>
      </c>
      <c r="M1375" t="s">
        <v>13421</v>
      </c>
    </row>
    <row r="1376" spans="1:13" ht="15" customHeight="1">
      <c r="A1376" t="s">
        <v>2161</v>
      </c>
      <c r="B1376" t="s">
        <v>13410</v>
      </c>
      <c r="C1376" t="s">
        <v>13411</v>
      </c>
      <c r="D1376" t="s">
        <v>13412</v>
      </c>
      <c r="E1376" t="s">
        <v>13413</v>
      </c>
      <c r="F1376" t="s">
        <v>13414</v>
      </c>
      <c r="G1376" t="s">
        <v>13415</v>
      </c>
      <c r="H1376" t="s">
        <v>13416</v>
      </c>
      <c r="I1376" t="s">
        <v>13417</v>
      </c>
      <c r="J1376" t="s">
        <v>13418</v>
      </c>
      <c r="K1376" t="s">
        <v>13419</v>
      </c>
      <c r="L1376" t="s">
        <v>13420</v>
      </c>
      <c r="M1376" t="s">
        <v>13421</v>
      </c>
    </row>
    <row r="1377" spans="1:13" ht="15" customHeight="1">
      <c r="A1377" t="s">
        <v>2163</v>
      </c>
      <c r="B1377" t="s">
        <v>13410</v>
      </c>
      <c r="C1377" t="s">
        <v>13411</v>
      </c>
      <c r="D1377" t="s">
        <v>13412</v>
      </c>
      <c r="E1377" t="s">
        <v>13413</v>
      </c>
      <c r="F1377" t="s">
        <v>13414</v>
      </c>
      <c r="G1377" t="s">
        <v>13415</v>
      </c>
      <c r="H1377" t="s">
        <v>13416</v>
      </c>
      <c r="I1377" t="s">
        <v>13417</v>
      </c>
      <c r="J1377" t="s">
        <v>13418</v>
      </c>
      <c r="K1377" t="s">
        <v>13419</v>
      </c>
      <c r="L1377" t="s">
        <v>13420</v>
      </c>
      <c r="M1377" t="s">
        <v>13421</v>
      </c>
    </row>
    <row r="1378" spans="1:13" ht="15" customHeight="1">
      <c r="A1378" t="s">
        <v>12225</v>
      </c>
      <c r="B1378" t="s">
        <v>13410</v>
      </c>
      <c r="C1378" t="s">
        <v>13411</v>
      </c>
      <c r="D1378" t="s">
        <v>13412</v>
      </c>
      <c r="E1378" t="s">
        <v>13413</v>
      </c>
      <c r="F1378" t="s">
        <v>13414</v>
      </c>
      <c r="G1378" t="s">
        <v>13415</v>
      </c>
      <c r="H1378" t="s">
        <v>13416</v>
      </c>
      <c r="I1378" t="s">
        <v>13417</v>
      </c>
      <c r="J1378" t="s">
        <v>13418</v>
      </c>
      <c r="K1378" t="s">
        <v>13419</v>
      </c>
      <c r="L1378" t="s">
        <v>13420</v>
      </c>
      <c r="M1378" t="s">
        <v>13421</v>
      </c>
    </row>
    <row r="1379" spans="1:13" ht="15" customHeight="1">
      <c r="A1379" t="s">
        <v>2165</v>
      </c>
      <c r="B1379" t="s">
        <v>13410</v>
      </c>
      <c r="C1379" t="s">
        <v>13411</v>
      </c>
      <c r="D1379" t="s">
        <v>13412</v>
      </c>
      <c r="E1379" t="s">
        <v>13413</v>
      </c>
      <c r="F1379" t="s">
        <v>13414</v>
      </c>
      <c r="G1379" t="s">
        <v>13415</v>
      </c>
      <c r="H1379" t="s">
        <v>13416</v>
      </c>
      <c r="I1379" t="s">
        <v>13417</v>
      </c>
      <c r="J1379" t="s">
        <v>13418</v>
      </c>
      <c r="K1379" t="s">
        <v>13419</v>
      </c>
      <c r="L1379" t="s">
        <v>13420</v>
      </c>
      <c r="M1379" t="s">
        <v>13421</v>
      </c>
    </row>
    <row r="1380" spans="1:13" ht="15" customHeight="1">
      <c r="A1380" t="s">
        <v>2166</v>
      </c>
      <c r="B1380" t="s">
        <v>13410</v>
      </c>
      <c r="C1380" t="s">
        <v>13411</v>
      </c>
      <c r="D1380" t="s">
        <v>13412</v>
      </c>
      <c r="E1380" t="s">
        <v>13413</v>
      </c>
      <c r="F1380" t="s">
        <v>13414</v>
      </c>
      <c r="G1380" t="s">
        <v>13415</v>
      </c>
      <c r="H1380" t="s">
        <v>13416</v>
      </c>
      <c r="I1380" t="s">
        <v>13417</v>
      </c>
      <c r="J1380" t="s">
        <v>13418</v>
      </c>
      <c r="K1380" t="s">
        <v>13419</v>
      </c>
      <c r="L1380" t="s">
        <v>13420</v>
      </c>
      <c r="M1380" t="s">
        <v>13421</v>
      </c>
    </row>
    <row r="1381" spans="1:13" ht="15" customHeight="1">
      <c r="A1381" t="s">
        <v>2168</v>
      </c>
      <c r="B1381" t="s">
        <v>13410</v>
      </c>
      <c r="C1381" t="s">
        <v>13411</v>
      </c>
      <c r="D1381" t="s">
        <v>13412</v>
      </c>
      <c r="E1381" t="s">
        <v>13413</v>
      </c>
      <c r="F1381" t="s">
        <v>13414</v>
      </c>
      <c r="G1381" t="s">
        <v>13415</v>
      </c>
      <c r="H1381" t="s">
        <v>13416</v>
      </c>
      <c r="I1381" t="s">
        <v>13417</v>
      </c>
      <c r="J1381" t="s">
        <v>13418</v>
      </c>
      <c r="K1381" t="s">
        <v>13419</v>
      </c>
      <c r="L1381" t="s">
        <v>13420</v>
      </c>
      <c r="M1381" t="s">
        <v>13421</v>
      </c>
    </row>
    <row r="1382" spans="1:13" ht="15" customHeight="1">
      <c r="A1382" t="s">
        <v>2170</v>
      </c>
      <c r="B1382" t="s">
        <v>13410</v>
      </c>
      <c r="C1382" t="s">
        <v>13411</v>
      </c>
      <c r="D1382" t="s">
        <v>13412</v>
      </c>
      <c r="E1382" t="s">
        <v>13413</v>
      </c>
      <c r="F1382" t="s">
        <v>13414</v>
      </c>
      <c r="G1382" t="s">
        <v>13415</v>
      </c>
      <c r="H1382" t="s">
        <v>13416</v>
      </c>
      <c r="I1382" t="s">
        <v>13417</v>
      </c>
      <c r="J1382" t="s">
        <v>13418</v>
      </c>
      <c r="K1382" t="s">
        <v>13419</v>
      </c>
      <c r="L1382" t="s">
        <v>13420</v>
      </c>
      <c r="M1382" t="s">
        <v>13421</v>
      </c>
    </row>
    <row r="1383" spans="1:13" ht="15" customHeight="1">
      <c r="A1383" t="s">
        <v>2172</v>
      </c>
      <c r="B1383" t="s">
        <v>13410</v>
      </c>
      <c r="C1383" t="s">
        <v>13411</v>
      </c>
      <c r="D1383" t="s">
        <v>13412</v>
      </c>
      <c r="E1383" t="s">
        <v>13413</v>
      </c>
      <c r="F1383" t="s">
        <v>13414</v>
      </c>
      <c r="G1383" t="s">
        <v>13415</v>
      </c>
      <c r="H1383" t="s">
        <v>13416</v>
      </c>
      <c r="I1383" t="s">
        <v>13417</v>
      </c>
      <c r="J1383" t="s">
        <v>13418</v>
      </c>
      <c r="K1383" t="s">
        <v>13419</v>
      </c>
      <c r="L1383" t="s">
        <v>13420</v>
      </c>
      <c r="M1383" t="s">
        <v>13421</v>
      </c>
    </row>
    <row r="1384" spans="1:13" ht="15" customHeight="1">
      <c r="A1384" t="s">
        <v>2174</v>
      </c>
      <c r="B1384" t="s">
        <v>13410</v>
      </c>
      <c r="C1384" t="s">
        <v>13411</v>
      </c>
      <c r="D1384" t="s">
        <v>13412</v>
      </c>
      <c r="E1384" t="s">
        <v>13413</v>
      </c>
      <c r="F1384" t="s">
        <v>13414</v>
      </c>
      <c r="G1384" t="s">
        <v>13415</v>
      </c>
      <c r="H1384" t="s">
        <v>13416</v>
      </c>
      <c r="I1384" t="s">
        <v>13417</v>
      </c>
      <c r="J1384" t="s">
        <v>13418</v>
      </c>
      <c r="K1384" t="s">
        <v>13419</v>
      </c>
      <c r="L1384" t="s">
        <v>13420</v>
      </c>
      <c r="M1384" t="s">
        <v>13421</v>
      </c>
    </row>
    <row r="1385" spans="1:13" ht="15" customHeight="1">
      <c r="A1385" t="s">
        <v>2176</v>
      </c>
      <c r="B1385" t="s">
        <v>13410</v>
      </c>
      <c r="C1385" t="s">
        <v>13411</v>
      </c>
      <c r="D1385" t="s">
        <v>13412</v>
      </c>
      <c r="E1385" t="s">
        <v>13413</v>
      </c>
      <c r="F1385" t="s">
        <v>13414</v>
      </c>
      <c r="G1385" t="s">
        <v>13415</v>
      </c>
      <c r="H1385" t="s">
        <v>13416</v>
      </c>
      <c r="I1385" t="s">
        <v>13417</v>
      </c>
      <c r="J1385" t="s">
        <v>13418</v>
      </c>
      <c r="K1385" t="s">
        <v>13419</v>
      </c>
      <c r="L1385" t="s">
        <v>13420</v>
      </c>
      <c r="M1385" t="s">
        <v>13421</v>
      </c>
    </row>
    <row r="1386" spans="1:13" ht="15" customHeight="1">
      <c r="A1386" t="s">
        <v>2178</v>
      </c>
      <c r="B1386" t="s">
        <v>13410</v>
      </c>
      <c r="C1386" t="s">
        <v>13411</v>
      </c>
      <c r="D1386" t="s">
        <v>13412</v>
      </c>
      <c r="E1386" t="s">
        <v>13413</v>
      </c>
      <c r="F1386" t="s">
        <v>13414</v>
      </c>
      <c r="G1386" t="s">
        <v>13415</v>
      </c>
      <c r="H1386" t="s">
        <v>13416</v>
      </c>
      <c r="I1386" t="s">
        <v>13417</v>
      </c>
      <c r="J1386" t="s">
        <v>13418</v>
      </c>
      <c r="K1386" t="s">
        <v>13419</v>
      </c>
      <c r="L1386" t="s">
        <v>13420</v>
      </c>
      <c r="M1386" t="s">
        <v>13421</v>
      </c>
    </row>
    <row r="1387" spans="1:13" ht="15" customHeight="1">
      <c r="A1387" t="s">
        <v>12108</v>
      </c>
      <c r="B1387" t="s">
        <v>13410</v>
      </c>
      <c r="C1387" t="s">
        <v>13411</v>
      </c>
      <c r="D1387" t="s">
        <v>13412</v>
      </c>
      <c r="E1387" t="s">
        <v>13413</v>
      </c>
      <c r="F1387" t="s">
        <v>13414</v>
      </c>
      <c r="G1387" t="s">
        <v>13415</v>
      </c>
      <c r="H1387" t="s">
        <v>13416</v>
      </c>
      <c r="I1387" t="s">
        <v>13417</v>
      </c>
      <c r="J1387" t="s">
        <v>13418</v>
      </c>
      <c r="K1387" t="s">
        <v>13419</v>
      </c>
      <c r="L1387" t="s">
        <v>13420</v>
      </c>
      <c r="M1387" t="s">
        <v>13421</v>
      </c>
    </row>
    <row r="1388" spans="1:13" ht="15" customHeight="1">
      <c r="A1388" t="s">
        <v>11799</v>
      </c>
      <c r="B1388" t="s">
        <v>13422</v>
      </c>
      <c r="C1388" t="s">
        <v>13423</v>
      </c>
      <c r="D1388" t="s">
        <v>13424</v>
      </c>
      <c r="E1388" t="s">
        <v>13425</v>
      </c>
      <c r="F1388" t="s">
        <v>13426</v>
      </c>
      <c r="G1388" t="s">
        <v>13427</v>
      </c>
      <c r="H1388" t="s">
        <v>13428</v>
      </c>
      <c r="I1388" t="s">
        <v>13429</v>
      </c>
      <c r="J1388" t="s">
        <v>13430</v>
      </c>
      <c r="K1388" t="s">
        <v>13431</v>
      </c>
      <c r="L1388" t="s">
        <v>13432</v>
      </c>
      <c r="M1388" t="s">
        <v>13433</v>
      </c>
    </row>
    <row r="1389" spans="1:13" ht="15" customHeight="1">
      <c r="A1389" t="s">
        <v>11811</v>
      </c>
      <c r="B1389" t="s">
        <v>13422</v>
      </c>
      <c r="C1389" t="s">
        <v>13423</v>
      </c>
      <c r="D1389" t="s">
        <v>13424</v>
      </c>
      <c r="E1389" t="s">
        <v>13425</v>
      </c>
      <c r="F1389" t="s">
        <v>13426</v>
      </c>
      <c r="G1389" t="s">
        <v>13427</v>
      </c>
      <c r="H1389" t="s">
        <v>13428</v>
      </c>
      <c r="I1389" t="s">
        <v>13429</v>
      </c>
      <c r="J1389" t="s">
        <v>13430</v>
      </c>
      <c r="K1389" t="s">
        <v>13431</v>
      </c>
      <c r="L1389" t="s">
        <v>13432</v>
      </c>
      <c r="M1389" t="s">
        <v>13433</v>
      </c>
    </row>
    <row r="1390" spans="1:13" ht="15" customHeight="1">
      <c r="A1390" t="s">
        <v>11827</v>
      </c>
      <c r="B1390" t="s">
        <v>13422</v>
      </c>
      <c r="C1390" t="s">
        <v>13423</v>
      </c>
      <c r="D1390" t="s">
        <v>13424</v>
      </c>
      <c r="E1390" t="s">
        <v>13425</v>
      </c>
      <c r="F1390" t="s">
        <v>13426</v>
      </c>
      <c r="G1390" t="s">
        <v>13427</v>
      </c>
      <c r="H1390" t="s">
        <v>13428</v>
      </c>
      <c r="I1390" t="s">
        <v>13429</v>
      </c>
      <c r="J1390" t="s">
        <v>13430</v>
      </c>
      <c r="K1390" t="s">
        <v>13431</v>
      </c>
      <c r="L1390" t="s">
        <v>13432</v>
      </c>
      <c r="M1390" t="s">
        <v>13433</v>
      </c>
    </row>
    <row r="1391" spans="1:13" ht="15" customHeight="1">
      <c r="A1391" t="s">
        <v>12106</v>
      </c>
      <c r="B1391" t="s">
        <v>13422</v>
      </c>
      <c r="C1391" t="s">
        <v>13423</v>
      </c>
      <c r="D1391" t="s">
        <v>13424</v>
      </c>
      <c r="E1391" t="s">
        <v>13425</v>
      </c>
      <c r="F1391" t="s">
        <v>13426</v>
      </c>
      <c r="G1391" t="s">
        <v>13427</v>
      </c>
      <c r="H1391" t="s">
        <v>13428</v>
      </c>
      <c r="I1391" t="s">
        <v>13429</v>
      </c>
      <c r="J1391" t="s">
        <v>13430</v>
      </c>
      <c r="K1391" t="s">
        <v>13431</v>
      </c>
      <c r="L1391" t="s">
        <v>13432</v>
      </c>
      <c r="M1391" t="s">
        <v>13433</v>
      </c>
    </row>
    <row r="1392" spans="1:13" ht="15" customHeight="1">
      <c r="A1392" t="s">
        <v>11800</v>
      </c>
      <c r="B1392" t="s">
        <v>13422</v>
      </c>
      <c r="C1392" t="s">
        <v>13423</v>
      </c>
      <c r="D1392" t="s">
        <v>13424</v>
      </c>
      <c r="E1392" t="s">
        <v>13425</v>
      </c>
      <c r="F1392" t="s">
        <v>13426</v>
      </c>
      <c r="G1392" t="s">
        <v>13427</v>
      </c>
      <c r="H1392" t="s">
        <v>13428</v>
      </c>
      <c r="I1392" t="s">
        <v>13429</v>
      </c>
      <c r="J1392" t="s">
        <v>13430</v>
      </c>
      <c r="K1392" t="s">
        <v>13431</v>
      </c>
      <c r="L1392" t="s">
        <v>13432</v>
      </c>
      <c r="M1392" t="s">
        <v>13433</v>
      </c>
    </row>
    <row r="1393" spans="1:13" ht="15" customHeight="1">
      <c r="A1393" t="s">
        <v>12101</v>
      </c>
      <c r="B1393" t="s">
        <v>13422</v>
      </c>
      <c r="C1393" t="s">
        <v>13423</v>
      </c>
      <c r="D1393" t="s">
        <v>13424</v>
      </c>
      <c r="E1393" t="s">
        <v>13425</v>
      </c>
      <c r="F1393" t="s">
        <v>13426</v>
      </c>
      <c r="G1393" t="s">
        <v>13427</v>
      </c>
      <c r="H1393" t="s">
        <v>13428</v>
      </c>
      <c r="I1393" t="s">
        <v>13429</v>
      </c>
      <c r="J1393" t="s">
        <v>13430</v>
      </c>
      <c r="K1393" t="s">
        <v>13431</v>
      </c>
      <c r="L1393" t="s">
        <v>13432</v>
      </c>
      <c r="M1393" t="s">
        <v>13433</v>
      </c>
    </row>
    <row r="1394" spans="1:13" ht="15" customHeight="1">
      <c r="A1394" t="s">
        <v>11828</v>
      </c>
      <c r="B1394" t="s">
        <v>13422</v>
      </c>
      <c r="C1394" t="s">
        <v>13423</v>
      </c>
      <c r="D1394" t="s">
        <v>13424</v>
      </c>
      <c r="E1394" t="s">
        <v>13425</v>
      </c>
      <c r="F1394" t="s">
        <v>13426</v>
      </c>
      <c r="G1394" t="s">
        <v>13427</v>
      </c>
      <c r="H1394" t="s">
        <v>13428</v>
      </c>
      <c r="I1394" t="s">
        <v>13429</v>
      </c>
      <c r="J1394" t="s">
        <v>13430</v>
      </c>
      <c r="K1394" t="s">
        <v>13431</v>
      </c>
      <c r="L1394" t="s">
        <v>13432</v>
      </c>
      <c r="M1394" t="s">
        <v>13433</v>
      </c>
    </row>
    <row r="1395" spans="1:13" ht="15" customHeight="1">
      <c r="A1395" t="s">
        <v>11831</v>
      </c>
      <c r="B1395" t="s">
        <v>13422</v>
      </c>
      <c r="C1395" t="s">
        <v>13423</v>
      </c>
      <c r="D1395" t="s">
        <v>13424</v>
      </c>
      <c r="E1395" t="s">
        <v>13425</v>
      </c>
      <c r="F1395" t="s">
        <v>13426</v>
      </c>
      <c r="G1395" t="s">
        <v>13427</v>
      </c>
      <c r="H1395" t="s">
        <v>13428</v>
      </c>
      <c r="I1395" t="s">
        <v>13429</v>
      </c>
      <c r="J1395" t="s">
        <v>13430</v>
      </c>
      <c r="K1395" t="s">
        <v>13431</v>
      </c>
      <c r="L1395" t="s">
        <v>13432</v>
      </c>
      <c r="M1395" t="s">
        <v>13433</v>
      </c>
    </row>
    <row r="1396" spans="1:13" ht="15" customHeight="1">
      <c r="A1396" t="s">
        <v>11809</v>
      </c>
      <c r="B1396" t="s">
        <v>13422</v>
      </c>
      <c r="C1396" t="s">
        <v>13423</v>
      </c>
      <c r="D1396" t="s">
        <v>13424</v>
      </c>
      <c r="E1396" t="s">
        <v>13425</v>
      </c>
      <c r="F1396" t="s">
        <v>13426</v>
      </c>
      <c r="G1396" t="s">
        <v>13427</v>
      </c>
      <c r="H1396" t="s">
        <v>13428</v>
      </c>
      <c r="I1396" t="s">
        <v>13429</v>
      </c>
      <c r="J1396" t="s">
        <v>13430</v>
      </c>
      <c r="K1396" t="s">
        <v>13431</v>
      </c>
      <c r="L1396" t="s">
        <v>13432</v>
      </c>
      <c r="M1396" t="s">
        <v>13433</v>
      </c>
    </row>
    <row r="1397" spans="1:13" ht="15" customHeight="1">
      <c r="A1397" t="s">
        <v>11830</v>
      </c>
      <c r="B1397" t="s">
        <v>13422</v>
      </c>
      <c r="C1397" t="s">
        <v>13423</v>
      </c>
      <c r="D1397" t="s">
        <v>13424</v>
      </c>
      <c r="E1397" t="s">
        <v>13425</v>
      </c>
      <c r="F1397" t="s">
        <v>13426</v>
      </c>
      <c r="G1397" t="s">
        <v>13427</v>
      </c>
      <c r="H1397" t="s">
        <v>13428</v>
      </c>
      <c r="I1397" t="s">
        <v>13429</v>
      </c>
      <c r="J1397" t="s">
        <v>13430</v>
      </c>
      <c r="K1397" t="s">
        <v>13431</v>
      </c>
      <c r="L1397" t="s">
        <v>13432</v>
      </c>
      <c r="M1397" t="s">
        <v>13433</v>
      </c>
    </row>
    <row r="1398" spans="1:13" ht="15" customHeight="1">
      <c r="A1398" t="s">
        <v>11835</v>
      </c>
      <c r="B1398" t="s">
        <v>13422</v>
      </c>
      <c r="C1398" t="s">
        <v>13423</v>
      </c>
      <c r="D1398" t="s">
        <v>13424</v>
      </c>
      <c r="E1398" t="s">
        <v>13425</v>
      </c>
      <c r="F1398" t="s">
        <v>13426</v>
      </c>
      <c r="G1398" t="s">
        <v>13427</v>
      </c>
      <c r="H1398" t="s">
        <v>13428</v>
      </c>
      <c r="I1398" t="s">
        <v>13429</v>
      </c>
      <c r="J1398" t="s">
        <v>13430</v>
      </c>
      <c r="K1398" t="s">
        <v>13431</v>
      </c>
      <c r="L1398" t="s">
        <v>13432</v>
      </c>
      <c r="M1398" t="s">
        <v>13433</v>
      </c>
    </row>
    <row r="1399" spans="1:13" ht="15" customHeight="1">
      <c r="A1399" t="s">
        <v>11842</v>
      </c>
      <c r="B1399" t="s">
        <v>13422</v>
      </c>
      <c r="C1399" t="s">
        <v>13423</v>
      </c>
      <c r="D1399" t="s">
        <v>13424</v>
      </c>
      <c r="E1399" t="s">
        <v>13425</v>
      </c>
      <c r="F1399" t="s">
        <v>13426</v>
      </c>
      <c r="G1399" t="s">
        <v>13427</v>
      </c>
      <c r="H1399" t="s">
        <v>13428</v>
      </c>
      <c r="I1399" t="s">
        <v>13429</v>
      </c>
      <c r="J1399" t="s">
        <v>13430</v>
      </c>
      <c r="K1399" t="s">
        <v>13431</v>
      </c>
      <c r="L1399" t="s">
        <v>13432</v>
      </c>
      <c r="M1399" t="s">
        <v>13433</v>
      </c>
    </row>
    <row r="1400" spans="1:13" ht="15" customHeight="1">
      <c r="A1400" t="s">
        <v>12107</v>
      </c>
      <c r="B1400" t="s">
        <v>13422</v>
      </c>
      <c r="C1400" t="s">
        <v>13423</v>
      </c>
      <c r="D1400" t="s">
        <v>13424</v>
      </c>
      <c r="E1400" t="s">
        <v>13425</v>
      </c>
      <c r="F1400" t="s">
        <v>13426</v>
      </c>
      <c r="G1400" t="s">
        <v>13427</v>
      </c>
      <c r="H1400" t="s">
        <v>13428</v>
      </c>
      <c r="I1400" t="s">
        <v>13429</v>
      </c>
      <c r="J1400" t="s">
        <v>13430</v>
      </c>
      <c r="K1400" t="s">
        <v>13431</v>
      </c>
      <c r="L1400" t="s">
        <v>13432</v>
      </c>
      <c r="M1400" t="s">
        <v>13433</v>
      </c>
    </row>
    <row r="1401" spans="1:13" ht="15" customHeight="1">
      <c r="A1401" t="s">
        <v>11848</v>
      </c>
      <c r="B1401" t="s">
        <v>13422</v>
      </c>
      <c r="C1401" t="s">
        <v>13423</v>
      </c>
      <c r="D1401" t="s">
        <v>13424</v>
      </c>
      <c r="E1401" t="s">
        <v>13425</v>
      </c>
      <c r="F1401" t="s">
        <v>13426</v>
      </c>
      <c r="G1401" t="s">
        <v>13427</v>
      </c>
      <c r="H1401" t="s">
        <v>13428</v>
      </c>
      <c r="I1401" t="s">
        <v>13429</v>
      </c>
      <c r="J1401" t="s">
        <v>13430</v>
      </c>
      <c r="K1401" t="s">
        <v>13431</v>
      </c>
      <c r="L1401" t="s">
        <v>13432</v>
      </c>
      <c r="M1401" t="s">
        <v>13433</v>
      </c>
    </row>
    <row r="1402" spans="1:13" ht="15" customHeight="1">
      <c r="A1402" t="s">
        <v>11849</v>
      </c>
      <c r="B1402" t="s">
        <v>13422</v>
      </c>
      <c r="C1402" t="s">
        <v>13423</v>
      </c>
      <c r="D1402" t="s">
        <v>13424</v>
      </c>
      <c r="E1402" t="s">
        <v>13425</v>
      </c>
      <c r="F1402" t="s">
        <v>13426</v>
      </c>
      <c r="G1402" t="s">
        <v>13427</v>
      </c>
      <c r="H1402" t="s">
        <v>13428</v>
      </c>
      <c r="I1402" t="s">
        <v>13429</v>
      </c>
      <c r="J1402" t="s">
        <v>13430</v>
      </c>
      <c r="K1402" t="s">
        <v>13431</v>
      </c>
      <c r="L1402" t="s">
        <v>13432</v>
      </c>
      <c r="M1402" t="s">
        <v>13433</v>
      </c>
    </row>
    <row r="1403" spans="1:13" ht="15" customHeight="1">
      <c r="A1403" t="s">
        <v>11785</v>
      </c>
      <c r="B1403" t="s">
        <v>13422</v>
      </c>
      <c r="C1403" t="s">
        <v>13423</v>
      </c>
      <c r="D1403" t="s">
        <v>13424</v>
      </c>
      <c r="E1403" t="s">
        <v>13425</v>
      </c>
      <c r="F1403" t="s">
        <v>13426</v>
      </c>
      <c r="G1403" t="s">
        <v>13427</v>
      </c>
      <c r="H1403" t="s">
        <v>13428</v>
      </c>
      <c r="I1403" t="s">
        <v>13429</v>
      </c>
      <c r="J1403" t="s">
        <v>13430</v>
      </c>
      <c r="K1403" t="s">
        <v>13431</v>
      </c>
      <c r="L1403" t="s">
        <v>13432</v>
      </c>
      <c r="M1403" t="s">
        <v>13433</v>
      </c>
    </row>
    <row r="1404" spans="1:13" ht="15" customHeight="1">
      <c r="A1404" t="s">
        <v>11804</v>
      </c>
      <c r="B1404" t="s">
        <v>13422</v>
      </c>
      <c r="C1404" t="s">
        <v>13423</v>
      </c>
      <c r="D1404" t="s">
        <v>13424</v>
      </c>
      <c r="E1404" t="s">
        <v>13425</v>
      </c>
      <c r="F1404" t="s">
        <v>13426</v>
      </c>
      <c r="G1404" t="s">
        <v>13427</v>
      </c>
      <c r="H1404" t="s">
        <v>13428</v>
      </c>
      <c r="I1404" t="s">
        <v>13429</v>
      </c>
      <c r="J1404" t="s">
        <v>13430</v>
      </c>
      <c r="K1404" t="s">
        <v>13431</v>
      </c>
      <c r="L1404" t="s">
        <v>13432</v>
      </c>
      <c r="M1404" t="s">
        <v>13433</v>
      </c>
    </row>
    <row r="1405" spans="1:13" ht="15" customHeight="1">
      <c r="A1405" t="s">
        <v>11803</v>
      </c>
      <c r="B1405" t="s">
        <v>13422</v>
      </c>
      <c r="C1405" t="s">
        <v>13423</v>
      </c>
      <c r="D1405" t="s">
        <v>13424</v>
      </c>
      <c r="E1405" t="s">
        <v>13425</v>
      </c>
      <c r="F1405" t="s">
        <v>13426</v>
      </c>
      <c r="G1405" t="s">
        <v>13427</v>
      </c>
      <c r="H1405" t="s">
        <v>13428</v>
      </c>
      <c r="I1405" t="s">
        <v>13429</v>
      </c>
      <c r="J1405" t="s">
        <v>13430</v>
      </c>
      <c r="K1405" t="s">
        <v>13431</v>
      </c>
      <c r="L1405" t="s">
        <v>13432</v>
      </c>
      <c r="M1405" t="s">
        <v>13433</v>
      </c>
    </row>
    <row r="1406" spans="1:13" ht="15" customHeight="1">
      <c r="A1406" t="s">
        <v>11813</v>
      </c>
      <c r="B1406" t="s">
        <v>13422</v>
      </c>
      <c r="C1406" t="s">
        <v>13423</v>
      </c>
      <c r="D1406" t="s">
        <v>13424</v>
      </c>
      <c r="E1406" t="s">
        <v>13425</v>
      </c>
      <c r="F1406" t="s">
        <v>13426</v>
      </c>
      <c r="G1406" t="s">
        <v>13427</v>
      </c>
      <c r="H1406" t="s">
        <v>13428</v>
      </c>
      <c r="I1406" t="s">
        <v>13429</v>
      </c>
      <c r="J1406" t="s">
        <v>13430</v>
      </c>
      <c r="K1406" t="s">
        <v>13431</v>
      </c>
      <c r="L1406" t="s">
        <v>13432</v>
      </c>
      <c r="M1406" t="s">
        <v>13433</v>
      </c>
    </row>
    <row r="1407" spans="1:13" ht="15" customHeight="1">
      <c r="A1407" t="s">
        <v>11812</v>
      </c>
      <c r="B1407" t="s">
        <v>13422</v>
      </c>
      <c r="C1407" t="s">
        <v>13423</v>
      </c>
      <c r="D1407" t="s">
        <v>13424</v>
      </c>
      <c r="E1407" t="s">
        <v>13425</v>
      </c>
      <c r="F1407" t="s">
        <v>13426</v>
      </c>
      <c r="G1407" t="s">
        <v>13427</v>
      </c>
      <c r="H1407" t="s">
        <v>13428</v>
      </c>
      <c r="I1407" t="s">
        <v>13429</v>
      </c>
      <c r="J1407" t="s">
        <v>13430</v>
      </c>
      <c r="K1407" t="s">
        <v>13431</v>
      </c>
      <c r="L1407" t="s">
        <v>13432</v>
      </c>
      <c r="M1407" t="s">
        <v>13433</v>
      </c>
    </row>
    <row r="1408" spans="1:13" ht="15" customHeight="1">
      <c r="A1408" t="s">
        <v>11833</v>
      </c>
      <c r="B1408" t="s">
        <v>13422</v>
      </c>
      <c r="C1408" t="s">
        <v>13423</v>
      </c>
      <c r="D1408" t="s">
        <v>13424</v>
      </c>
      <c r="E1408" t="s">
        <v>13425</v>
      </c>
      <c r="F1408" t="s">
        <v>13426</v>
      </c>
      <c r="G1408" t="s">
        <v>13427</v>
      </c>
      <c r="H1408" t="s">
        <v>13428</v>
      </c>
      <c r="I1408" t="s">
        <v>13429</v>
      </c>
      <c r="J1408" t="s">
        <v>13430</v>
      </c>
      <c r="K1408" t="s">
        <v>13431</v>
      </c>
      <c r="L1408" t="s">
        <v>13432</v>
      </c>
      <c r="M1408" t="s">
        <v>13433</v>
      </c>
    </row>
    <row r="1409" spans="1:13" ht="15" customHeight="1">
      <c r="A1409" t="s">
        <v>11834</v>
      </c>
      <c r="B1409" t="s">
        <v>13422</v>
      </c>
      <c r="C1409" t="s">
        <v>13423</v>
      </c>
      <c r="D1409" t="s">
        <v>13424</v>
      </c>
      <c r="E1409" t="s">
        <v>13425</v>
      </c>
      <c r="F1409" t="s">
        <v>13426</v>
      </c>
      <c r="G1409" t="s">
        <v>13427</v>
      </c>
      <c r="H1409" t="s">
        <v>13428</v>
      </c>
      <c r="I1409" t="s">
        <v>13429</v>
      </c>
      <c r="J1409" t="s">
        <v>13430</v>
      </c>
      <c r="K1409" t="s">
        <v>13431</v>
      </c>
      <c r="L1409" t="s">
        <v>13432</v>
      </c>
      <c r="M1409" t="s">
        <v>13433</v>
      </c>
    </row>
    <row r="1410" spans="1:13" ht="15" customHeight="1">
      <c r="A1410" t="s">
        <v>11832</v>
      </c>
      <c r="B1410" t="s">
        <v>13422</v>
      </c>
      <c r="C1410" t="s">
        <v>13423</v>
      </c>
      <c r="D1410" t="s">
        <v>13424</v>
      </c>
      <c r="E1410" t="s">
        <v>13425</v>
      </c>
      <c r="F1410" t="s">
        <v>13426</v>
      </c>
      <c r="G1410" t="s">
        <v>13427</v>
      </c>
      <c r="H1410" t="s">
        <v>13428</v>
      </c>
      <c r="I1410" t="s">
        <v>13429</v>
      </c>
      <c r="J1410" t="s">
        <v>13430</v>
      </c>
      <c r="K1410" t="s">
        <v>13431</v>
      </c>
      <c r="L1410" t="s">
        <v>13432</v>
      </c>
      <c r="M1410" t="s">
        <v>13433</v>
      </c>
    </row>
    <row r="1411" spans="1:13" ht="15" customHeight="1">
      <c r="A1411" t="s">
        <v>11836</v>
      </c>
      <c r="B1411" t="s">
        <v>13422</v>
      </c>
      <c r="C1411" t="s">
        <v>13423</v>
      </c>
      <c r="D1411" t="s">
        <v>13424</v>
      </c>
      <c r="E1411" t="s">
        <v>13425</v>
      </c>
      <c r="F1411" t="s">
        <v>13426</v>
      </c>
      <c r="G1411" t="s">
        <v>13427</v>
      </c>
      <c r="H1411" t="s">
        <v>13428</v>
      </c>
      <c r="I1411" t="s">
        <v>13429</v>
      </c>
      <c r="J1411" t="s">
        <v>13430</v>
      </c>
      <c r="K1411" t="s">
        <v>13431</v>
      </c>
      <c r="L1411" t="s">
        <v>13432</v>
      </c>
      <c r="M1411" t="s">
        <v>13433</v>
      </c>
    </row>
    <row r="1412" spans="1:13" ht="15" customHeight="1">
      <c r="A1412" t="s">
        <v>11837</v>
      </c>
      <c r="B1412" t="s">
        <v>13422</v>
      </c>
      <c r="C1412" t="s">
        <v>13423</v>
      </c>
      <c r="D1412" t="s">
        <v>13424</v>
      </c>
      <c r="E1412" t="s">
        <v>13425</v>
      </c>
      <c r="F1412" t="s">
        <v>13426</v>
      </c>
      <c r="G1412" t="s">
        <v>13427</v>
      </c>
      <c r="H1412" t="s">
        <v>13428</v>
      </c>
      <c r="I1412" t="s">
        <v>13429</v>
      </c>
      <c r="J1412" t="s">
        <v>13430</v>
      </c>
      <c r="K1412" t="s">
        <v>13431</v>
      </c>
      <c r="L1412" t="s">
        <v>13432</v>
      </c>
      <c r="M1412" t="s">
        <v>13433</v>
      </c>
    </row>
    <row r="1413" spans="1:13" ht="15" customHeight="1">
      <c r="A1413" t="s">
        <v>11838</v>
      </c>
      <c r="B1413" t="s">
        <v>13422</v>
      </c>
      <c r="C1413" t="s">
        <v>13423</v>
      </c>
      <c r="D1413" t="s">
        <v>13424</v>
      </c>
      <c r="E1413" t="s">
        <v>13425</v>
      </c>
      <c r="F1413" t="s">
        <v>13426</v>
      </c>
      <c r="G1413" t="s">
        <v>13427</v>
      </c>
      <c r="H1413" t="s">
        <v>13428</v>
      </c>
      <c r="I1413" t="s">
        <v>13429</v>
      </c>
      <c r="J1413" t="s">
        <v>13430</v>
      </c>
      <c r="K1413" t="s">
        <v>13431</v>
      </c>
      <c r="L1413" t="s">
        <v>13432</v>
      </c>
      <c r="M1413" t="s">
        <v>13433</v>
      </c>
    </row>
    <row r="1414" spans="1:13" ht="15" customHeight="1">
      <c r="A1414" t="s">
        <v>11839</v>
      </c>
      <c r="B1414" t="s">
        <v>13422</v>
      </c>
      <c r="C1414" t="s">
        <v>13423</v>
      </c>
      <c r="D1414" t="s">
        <v>13424</v>
      </c>
      <c r="E1414" t="s">
        <v>13425</v>
      </c>
      <c r="F1414" t="s">
        <v>13426</v>
      </c>
      <c r="G1414" t="s">
        <v>13427</v>
      </c>
      <c r="H1414" t="s">
        <v>13428</v>
      </c>
      <c r="I1414" t="s">
        <v>13429</v>
      </c>
      <c r="J1414" t="s">
        <v>13430</v>
      </c>
      <c r="K1414" t="s">
        <v>13431</v>
      </c>
      <c r="L1414" t="s">
        <v>13432</v>
      </c>
      <c r="M1414" t="s">
        <v>13433</v>
      </c>
    </row>
    <row r="1415" spans="1:13" ht="15" customHeight="1">
      <c r="A1415" t="s">
        <v>11791</v>
      </c>
      <c r="B1415" t="s">
        <v>13422</v>
      </c>
      <c r="C1415" t="s">
        <v>13423</v>
      </c>
      <c r="D1415" t="s">
        <v>13424</v>
      </c>
      <c r="E1415" t="s">
        <v>13425</v>
      </c>
      <c r="F1415" t="s">
        <v>13426</v>
      </c>
      <c r="G1415" t="s">
        <v>13427</v>
      </c>
      <c r="H1415" t="s">
        <v>13428</v>
      </c>
      <c r="I1415" t="s">
        <v>13429</v>
      </c>
      <c r="J1415" t="s">
        <v>13430</v>
      </c>
      <c r="K1415" t="s">
        <v>13431</v>
      </c>
      <c r="L1415" t="s">
        <v>13432</v>
      </c>
      <c r="M1415" t="s">
        <v>13433</v>
      </c>
    </row>
    <row r="1416" spans="1:13" ht="15" customHeight="1">
      <c r="A1416" t="s">
        <v>11792</v>
      </c>
      <c r="B1416" t="s">
        <v>13422</v>
      </c>
      <c r="C1416" t="s">
        <v>13423</v>
      </c>
      <c r="D1416" t="s">
        <v>13424</v>
      </c>
      <c r="E1416" t="s">
        <v>13425</v>
      </c>
      <c r="F1416" t="s">
        <v>13426</v>
      </c>
      <c r="G1416" t="s">
        <v>13427</v>
      </c>
      <c r="H1416" t="s">
        <v>13428</v>
      </c>
      <c r="I1416" t="s">
        <v>13429</v>
      </c>
      <c r="J1416" t="s">
        <v>13430</v>
      </c>
      <c r="K1416" t="s">
        <v>13431</v>
      </c>
      <c r="L1416" t="s">
        <v>13432</v>
      </c>
      <c r="M1416" t="s">
        <v>13433</v>
      </c>
    </row>
    <row r="1417" spans="1:13" ht="15" customHeight="1">
      <c r="A1417" t="s">
        <v>11786</v>
      </c>
      <c r="B1417" t="s">
        <v>13422</v>
      </c>
      <c r="C1417" t="s">
        <v>13423</v>
      </c>
      <c r="D1417" t="s">
        <v>13424</v>
      </c>
      <c r="E1417" t="s">
        <v>13425</v>
      </c>
      <c r="F1417" t="s">
        <v>13426</v>
      </c>
      <c r="G1417" t="s">
        <v>13427</v>
      </c>
      <c r="H1417" t="s">
        <v>13428</v>
      </c>
      <c r="I1417" t="s">
        <v>13429</v>
      </c>
      <c r="J1417" t="s">
        <v>13430</v>
      </c>
      <c r="K1417" t="s">
        <v>13431</v>
      </c>
      <c r="L1417" t="s">
        <v>13432</v>
      </c>
      <c r="M1417" t="s">
        <v>13433</v>
      </c>
    </row>
    <row r="1418" spans="1:13" ht="15" customHeight="1">
      <c r="A1418" t="s">
        <v>11796</v>
      </c>
      <c r="B1418" t="s">
        <v>13422</v>
      </c>
      <c r="C1418" t="s">
        <v>13423</v>
      </c>
      <c r="D1418" t="s">
        <v>13424</v>
      </c>
      <c r="E1418" t="s">
        <v>13425</v>
      </c>
      <c r="F1418" t="s">
        <v>13426</v>
      </c>
      <c r="G1418" t="s">
        <v>13427</v>
      </c>
      <c r="H1418" t="s">
        <v>13428</v>
      </c>
      <c r="I1418" t="s">
        <v>13429</v>
      </c>
      <c r="J1418" t="s">
        <v>13430</v>
      </c>
      <c r="K1418" t="s">
        <v>13431</v>
      </c>
      <c r="L1418" t="s">
        <v>13432</v>
      </c>
      <c r="M1418" t="s">
        <v>13433</v>
      </c>
    </row>
    <row r="1419" spans="1:13" ht="15" customHeight="1">
      <c r="A1419" t="s">
        <v>11789</v>
      </c>
      <c r="B1419" t="s">
        <v>13422</v>
      </c>
      <c r="C1419" t="s">
        <v>13423</v>
      </c>
      <c r="D1419" t="s">
        <v>13424</v>
      </c>
      <c r="E1419" t="s">
        <v>13425</v>
      </c>
      <c r="F1419" t="s">
        <v>13426</v>
      </c>
      <c r="G1419" t="s">
        <v>13427</v>
      </c>
      <c r="H1419" t="s">
        <v>13428</v>
      </c>
      <c r="I1419" t="s">
        <v>13429</v>
      </c>
      <c r="J1419" t="s">
        <v>13430</v>
      </c>
      <c r="K1419" t="s">
        <v>13431</v>
      </c>
      <c r="L1419" t="s">
        <v>13432</v>
      </c>
      <c r="M1419" t="s">
        <v>13433</v>
      </c>
    </row>
    <row r="1420" spans="1:13" ht="15" customHeight="1">
      <c r="A1420" t="s">
        <v>11790</v>
      </c>
      <c r="B1420" t="s">
        <v>13422</v>
      </c>
      <c r="C1420" t="s">
        <v>13423</v>
      </c>
      <c r="D1420" t="s">
        <v>13424</v>
      </c>
      <c r="E1420" t="s">
        <v>13425</v>
      </c>
      <c r="F1420" t="s">
        <v>13426</v>
      </c>
      <c r="G1420" t="s">
        <v>13427</v>
      </c>
      <c r="H1420" t="s">
        <v>13428</v>
      </c>
      <c r="I1420" t="s">
        <v>13429</v>
      </c>
      <c r="J1420" t="s">
        <v>13430</v>
      </c>
      <c r="K1420" t="s">
        <v>13431</v>
      </c>
      <c r="L1420" t="s">
        <v>13432</v>
      </c>
      <c r="M1420" t="s">
        <v>13433</v>
      </c>
    </row>
    <row r="1421" spans="1:13" ht="15" customHeight="1">
      <c r="A1421" t="s">
        <v>11794</v>
      </c>
      <c r="B1421" t="s">
        <v>13422</v>
      </c>
      <c r="C1421" t="s">
        <v>13423</v>
      </c>
      <c r="D1421" t="s">
        <v>13424</v>
      </c>
      <c r="E1421" t="s">
        <v>13425</v>
      </c>
      <c r="F1421" t="s">
        <v>13426</v>
      </c>
      <c r="G1421" t="s">
        <v>13427</v>
      </c>
      <c r="H1421" t="s">
        <v>13428</v>
      </c>
      <c r="I1421" t="s">
        <v>13429</v>
      </c>
      <c r="J1421" t="s">
        <v>13430</v>
      </c>
      <c r="K1421" t="s">
        <v>13431</v>
      </c>
      <c r="L1421" t="s">
        <v>13432</v>
      </c>
      <c r="M1421" t="s">
        <v>13433</v>
      </c>
    </row>
    <row r="1422" spans="1:13" ht="15" customHeight="1">
      <c r="A1422" t="s">
        <v>11788</v>
      </c>
      <c r="B1422" t="s">
        <v>13422</v>
      </c>
      <c r="C1422" t="s">
        <v>13423</v>
      </c>
      <c r="D1422" t="s">
        <v>13424</v>
      </c>
      <c r="E1422" t="s">
        <v>13425</v>
      </c>
      <c r="F1422" t="s">
        <v>13426</v>
      </c>
      <c r="G1422" t="s">
        <v>13427</v>
      </c>
      <c r="H1422" t="s">
        <v>13428</v>
      </c>
      <c r="I1422" t="s">
        <v>13429</v>
      </c>
      <c r="J1422" t="s">
        <v>13430</v>
      </c>
      <c r="K1422" t="s">
        <v>13431</v>
      </c>
      <c r="L1422" t="s">
        <v>13432</v>
      </c>
      <c r="M1422" t="s">
        <v>13433</v>
      </c>
    </row>
    <row r="1423" spans="1:13" ht="15" customHeight="1">
      <c r="A1423" t="s">
        <v>11787</v>
      </c>
      <c r="B1423" t="s">
        <v>13422</v>
      </c>
      <c r="C1423" t="s">
        <v>13423</v>
      </c>
      <c r="D1423" t="s">
        <v>13424</v>
      </c>
      <c r="E1423" t="s">
        <v>13425</v>
      </c>
      <c r="F1423" t="s">
        <v>13426</v>
      </c>
      <c r="G1423" t="s">
        <v>13427</v>
      </c>
      <c r="H1423" t="s">
        <v>13428</v>
      </c>
      <c r="I1423" t="s">
        <v>13429</v>
      </c>
      <c r="J1423" t="s">
        <v>13430</v>
      </c>
      <c r="K1423" t="s">
        <v>13431</v>
      </c>
      <c r="L1423" t="s">
        <v>13432</v>
      </c>
      <c r="M1423" t="s">
        <v>13433</v>
      </c>
    </row>
    <row r="1424" spans="1:13" ht="15" customHeight="1">
      <c r="A1424" t="s">
        <v>11793</v>
      </c>
      <c r="B1424" t="s">
        <v>13422</v>
      </c>
      <c r="C1424" t="s">
        <v>13423</v>
      </c>
      <c r="D1424" t="s">
        <v>13424</v>
      </c>
      <c r="E1424" t="s">
        <v>13425</v>
      </c>
      <c r="F1424" t="s">
        <v>13426</v>
      </c>
      <c r="G1424" t="s">
        <v>13427</v>
      </c>
      <c r="H1424" t="s">
        <v>13428</v>
      </c>
      <c r="I1424" t="s">
        <v>13429</v>
      </c>
      <c r="J1424" t="s">
        <v>13430</v>
      </c>
      <c r="K1424" t="s">
        <v>13431</v>
      </c>
      <c r="L1424" t="s">
        <v>13432</v>
      </c>
      <c r="M1424" t="s">
        <v>13433</v>
      </c>
    </row>
    <row r="1425" spans="1:13" ht="15" customHeight="1">
      <c r="A1425" t="s">
        <v>11798</v>
      </c>
      <c r="B1425" t="s">
        <v>13422</v>
      </c>
      <c r="C1425" t="s">
        <v>13423</v>
      </c>
      <c r="D1425" t="s">
        <v>13424</v>
      </c>
      <c r="E1425" t="s">
        <v>13425</v>
      </c>
      <c r="F1425" t="s">
        <v>13426</v>
      </c>
      <c r="G1425" t="s">
        <v>13427</v>
      </c>
      <c r="H1425" t="s">
        <v>13428</v>
      </c>
      <c r="I1425" t="s">
        <v>13429</v>
      </c>
      <c r="J1425" t="s">
        <v>13430</v>
      </c>
      <c r="K1425" t="s">
        <v>13431</v>
      </c>
      <c r="L1425" t="s">
        <v>13432</v>
      </c>
      <c r="M1425" t="s">
        <v>13433</v>
      </c>
    </row>
    <row r="1426" spans="1:13" ht="15" customHeight="1">
      <c r="A1426" t="s">
        <v>11797</v>
      </c>
      <c r="B1426" t="s">
        <v>13422</v>
      </c>
      <c r="C1426" t="s">
        <v>13423</v>
      </c>
      <c r="D1426" t="s">
        <v>13424</v>
      </c>
      <c r="E1426" t="s">
        <v>13425</v>
      </c>
      <c r="F1426" t="s">
        <v>13426</v>
      </c>
      <c r="G1426" t="s">
        <v>13427</v>
      </c>
      <c r="H1426" t="s">
        <v>13428</v>
      </c>
      <c r="I1426" t="s">
        <v>13429</v>
      </c>
      <c r="J1426" t="s">
        <v>13430</v>
      </c>
      <c r="K1426" t="s">
        <v>13431</v>
      </c>
      <c r="L1426" t="s">
        <v>13432</v>
      </c>
      <c r="M1426" t="s">
        <v>13433</v>
      </c>
    </row>
    <row r="1427" spans="1:13" ht="15" customHeight="1">
      <c r="A1427" t="s">
        <v>11806</v>
      </c>
      <c r="B1427" t="s">
        <v>13422</v>
      </c>
      <c r="C1427" t="s">
        <v>13423</v>
      </c>
      <c r="D1427" t="s">
        <v>13424</v>
      </c>
      <c r="E1427" t="s">
        <v>13425</v>
      </c>
      <c r="F1427" t="s">
        <v>13426</v>
      </c>
      <c r="G1427" t="s">
        <v>13427</v>
      </c>
      <c r="H1427" t="s">
        <v>13428</v>
      </c>
      <c r="I1427" t="s">
        <v>13429</v>
      </c>
      <c r="J1427" t="s">
        <v>13430</v>
      </c>
      <c r="K1427" t="s">
        <v>13431</v>
      </c>
      <c r="L1427" t="s">
        <v>13432</v>
      </c>
      <c r="M1427" t="s">
        <v>13433</v>
      </c>
    </row>
    <row r="1428" spans="1:13" ht="15" customHeight="1">
      <c r="A1428" t="s">
        <v>11805</v>
      </c>
      <c r="B1428" t="s">
        <v>13422</v>
      </c>
      <c r="C1428" t="s">
        <v>13423</v>
      </c>
      <c r="D1428" t="s">
        <v>13424</v>
      </c>
      <c r="E1428" t="s">
        <v>13425</v>
      </c>
      <c r="F1428" t="s">
        <v>13426</v>
      </c>
      <c r="G1428" t="s">
        <v>13427</v>
      </c>
      <c r="H1428" t="s">
        <v>13428</v>
      </c>
      <c r="I1428" t="s">
        <v>13429</v>
      </c>
      <c r="J1428" t="s">
        <v>13430</v>
      </c>
      <c r="K1428" t="s">
        <v>13431</v>
      </c>
      <c r="L1428" t="s">
        <v>13432</v>
      </c>
      <c r="M1428" t="s">
        <v>13433</v>
      </c>
    </row>
    <row r="1429" spans="1:13" ht="15" customHeight="1">
      <c r="A1429" t="s">
        <v>11814</v>
      </c>
      <c r="B1429" t="s">
        <v>13422</v>
      </c>
      <c r="C1429" t="s">
        <v>13423</v>
      </c>
      <c r="D1429" t="s">
        <v>13424</v>
      </c>
      <c r="E1429" t="s">
        <v>13425</v>
      </c>
      <c r="F1429" t="s">
        <v>13426</v>
      </c>
      <c r="G1429" t="s">
        <v>13427</v>
      </c>
      <c r="H1429" t="s">
        <v>13428</v>
      </c>
      <c r="I1429" t="s">
        <v>13429</v>
      </c>
      <c r="J1429" t="s">
        <v>13430</v>
      </c>
      <c r="K1429" t="s">
        <v>13431</v>
      </c>
      <c r="L1429" t="s">
        <v>13432</v>
      </c>
      <c r="M1429" t="s">
        <v>13433</v>
      </c>
    </row>
    <row r="1430" spans="1:13" ht="15" customHeight="1">
      <c r="A1430" t="s">
        <v>12102</v>
      </c>
      <c r="B1430" t="s">
        <v>13422</v>
      </c>
      <c r="C1430" t="s">
        <v>13423</v>
      </c>
      <c r="D1430" t="s">
        <v>13424</v>
      </c>
      <c r="E1430" t="s">
        <v>13425</v>
      </c>
      <c r="F1430" t="s">
        <v>13426</v>
      </c>
      <c r="G1430" t="s">
        <v>13427</v>
      </c>
      <c r="H1430" t="s">
        <v>13428</v>
      </c>
      <c r="I1430" t="s">
        <v>13429</v>
      </c>
      <c r="J1430" t="s">
        <v>13430</v>
      </c>
      <c r="K1430" t="s">
        <v>13431</v>
      </c>
      <c r="L1430" t="s">
        <v>13432</v>
      </c>
      <c r="M1430" t="s">
        <v>13433</v>
      </c>
    </row>
    <row r="1431" spans="1:13" ht="15" customHeight="1">
      <c r="A1431" t="s">
        <v>11829</v>
      </c>
      <c r="B1431" t="s">
        <v>13422</v>
      </c>
      <c r="C1431" t="s">
        <v>13423</v>
      </c>
      <c r="D1431" t="s">
        <v>13424</v>
      </c>
      <c r="E1431" t="s">
        <v>13425</v>
      </c>
      <c r="F1431" t="s">
        <v>13426</v>
      </c>
      <c r="G1431" t="s">
        <v>13427</v>
      </c>
      <c r="H1431" t="s">
        <v>13428</v>
      </c>
      <c r="I1431" t="s">
        <v>13429</v>
      </c>
      <c r="J1431" t="s">
        <v>13430</v>
      </c>
      <c r="K1431" t="s">
        <v>13431</v>
      </c>
      <c r="L1431" t="s">
        <v>13432</v>
      </c>
      <c r="M1431" t="s">
        <v>13433</v>
      </c>
    </row>
    <row r="1432" spans="1:13" ht="15" customHeight="1">
      <c r="A1432" t="s">
        <v>12105</v>
      </c>
      <c r="B1432" t="s">
        <v>13422</v>
      </c>
      <c r="C1432" t="s">
        <v>13423</v>
      </c>
      <c r="D1432" t="s">
        <v>13424</v>
      </c>
      <c r="E1432" t="s">
        <v>13425</v>
      </c>
      <c r="F1432" t="s">
        <v>13426</v>
      </c>
      <c r="G1432" t="s">
        <v>13427</v>
      </c>
      <c r="H1432" t="s">
        <v>13428</v>
      </c>
      <c r="I1432" t="s">
        <v>13429</v>
      </c>
      <c r="J1432" t="s">
        <v>13430</v>
      </c>
      <c r="K1432" t="s">
        <v>13431</v>
      </c>
      <c r="L1432" t="s">
        <v>13432</v>
      </c>
      <c r="M1432" t="s">
        <v>13433</v>
      </c>
    </row>
    <row r="1433" spans="1:13" ht="15" customHeight="1">
      <c r="A1433" t="s">
        <v>11841</v>
      </c>
      <c r="B1433" t="s">
        <v>13422</v>
      </c>
      <c r="C1433" t="s">
        <v>13423</v>
      </c>
      <c r="D1433" t="s">
        <v>13424</v>
      </c>
      <c r="E1433" t="s">
        <v>13425</v>
      </c>
      <c r="F1433" t="s">
        <v>13426</v>
      </c>
      <c r="G1433" t="s">
        <v>13427</v>
      </c>
      <c r="H1433" t="s">
        <v>13428</v>
      </c>
      <c r="I1433" t="s">
        <v>13429</v>
      </c>
      <c r="J1433" t="s">
        <v>13430</v>
      </c>
      <c r="K1433" t="s">
        <v>13431</v>
      </c>
      <c r="L1433" t="s">
        <v>13432</v>
      </c>
      <c r="M1433" t="s">
        <v>13433</v>
      </c>
    </row>
    <row r="1434" spans="1:13" ht="15" customHeight="1">
      <c r="A1434" t="s">
        <v>11840</v>
      </c>
      <c r="B1434" t="s">
        <v>13422</v>
      </c>
      <c r="C1434" t="s">
        <v>13423</v>
      </c>
      <c r="D1434" t="s">
        <v>13424</v>
      </c>
      <c r="E1434" t="s">
        <v>13425</v>
      </c>
      <c r="F1434" t="s">
        <v>13426</v>
      </c>
      <c r="G1434" t="s">
        <v>13427</v>
      </c>
      <c r="H1434" t="s">
        <v>13428</v>
      </c>
      <c r="I1434" t="s">
        <v>13429</v>
      </c>
      <c r="J1434" t="s">
        <v>13430</v>
      </c>
      <c r="K1434" t="s">
        <v>13431</v>
      </c>
      <c r="L1434" t="s">
        <v>13432</v>
      </c>
      <c r="M1434" t="s">
        <v>13433</v>
      </c>
    </row>
    <row r="1435" spans="1:13" ht="15" customHeight="1">
      <c r="A1435" t="s">
        <v>11843</v>
      </c>
      <c r="B1435" t="s">
        <v>13422</v>
      </c>
      <c r="C1435" t="s">
        <v>13423</v>
      </c>
      <c r="D1435" t="s">
        <v>13424</v>
      </c>
      <c r="E1435" t="s">
        <v>13425</v>
      </c>
      <c r="F1435" t="s">
        <v>13426</v>
      </c>
      <c r="G1435" t="s">
        <v>13427</v>
      </c>
      <c r="H1435" t="s">
        <v>13428</v>
      </c>
      <c r="I1435" t="s">
        <v>13429</v>
      </c>
      <c r="J1435" t="s">
        <v>13430</v>
      </c>
      <c r="K1435" t="s">
        <v>13431</v>
      </c>
      <c r="L1435" t="s">
        <v>13432</v>
      </c>
      <c r="M1435" t="s">
        <v>13433</v>
      </c>
    </row>
    <row r="1436" spans="1:13" ht="15" customHeight="1">
      <c r="A1436" t="s">
        <v>11795</v>
      </c>
      <c r="B1436" t="s">
        <v>13422</v>
      </c>
      <c r="C1436" t="s">
        <v>13423</v>
      </c>
      <c r="D1436" t="s">
        <v>13424</v>
      </c>
      <c r="E1436" t="s">
        <v>13425</v>
      </c>
      <c r="F1436" t="s">
        <v>13426</v>
      </c>
      <c r="G1436" t="s">
        <v>13427</v>
      </c>
      <c r="H1436" t="s">
        <v>13428</v>
      </c>
      <c r="I1436" t="s">
        <v>13429</v>
      </c>
      <c r="J1436" t="s">
        <v>13430</v>
      </c>
      <c r="K1436" t="s">
        <v>13431</v>
      </c>
      <c r="L1436" t="s">
        <v>13432</v>
      </c>
      <c r="M1436" t="s">
        <v>13433</v>
      </c>
    </row>
    <row r="1437" spans="1:13" ht="15" customHeight="1">
      <c r="A1437" t="s">
        <v>11802</v>
      </c>
      <c r="B1437" t="s">
        <v>13422</v>
      </c>
      <c r="C1437" t="s">
        <v>13423</v>
      </c>
      <c r="D1437" t="s">
        <v>13424</v>
      </c>
      <c r="E1437" t="s">
        <v>13425</v>
      </c>
      <c r="F1437" t="s">
        <v>13426</v>
      </c>
      <c r="G1437" t="s">
        <v>13427</v>
      </c>
      <c r="H1437" t="s">
        <v>13428</v>
      </c>
      <c r="I1437" t="s">
        <v>13429</v>
      </c>
      <c r="J1437" t="s">
        <v>13430</v>
      </c>
      <c r="K1437" t="s">
        <v>13431</v>
      </c>
      <c r="L1437" t="s">
        <v>13432</v>
      </c>
      <c r="M1437" t="s">
        <v>13433</v>
      </c>
    </row>
    <row r="1438" spans="1:13" ht="15" customHeight="1">
      <c r="A1438" t="s">
        <v>11817</v>
      </c>
      <c r="B1438" t="s">
        <v>13422</v>
      </c>
      <c r="C1438" t="s">
        <v>13423</v>
      </c>
      <c r="D1438" t="s">
        <v>13424</v>
      </c>
      <c r="E1438" t="s">
        <v>13425</v>
      </c>
      <c r="F1438" t="s">
        <v>13426</v>
      </c>
      <c r="G1438" t="s">
        <v>13427</v>
      </c>
      <c r="H1438" t="s">
        <v>13428</v>
      </c>
      <c r="I1438" t="s">
        <v>13429</v>
      </c>
      <c r="J1438" t="s">
        <v>13430</v>
      </c>
      <c r="K1438" t="s">
        <v>13431</v>
      </c>
      <c r="L1438" t="s">
        <v>13432</v>
      </c>
      <c r="M1438" t="s">
        <v>13433</v>
      </c>
    </row>
    <row r="1439" spans="1:13" ht="15" customHeight="1">
      <c r="A1439" t="s">
        <v>11820</v>
      </c>
      <c r="B1439" t="s">
        <v>13422</v>
      </c>
      <c r="C1439" t="s">
        <v>13423</v>
      </c>
      <c r="D1439" t="s">
        <v>13424</v>
      </c>
      <c r="E1439" t="s">
        <v>13425</v>
      </c>
      <c r="F1439" t="s">
        <v>13426</v>
      </c>
      <c r="G1439" t="s">
        <v>13427</v>
      </c>
      <c r="H1439" t="s">
        <v>13428</v>
      </c>
      <c r="I1439" t="s">
        <v>13429</v>
      </c>
      <c r="J1439" t="s">
        <v>13430</v>
      </c>
      <c r="K1439" t="s">
        <v>13431</v>
      </c>
      <c r="L1439" t="s">
        <v>13432</v>
      </c>
      <c r="M1439" t="s">
        <v>13433</v>
      </c>
    </row>
    <row r="1440" spans="1:13" ht="15" customHeight="1">
      <c r="A1440" t="s">
        <v>11826</v>
      </c>
      <c r="B1440" t="s">
        <v>13422</v>
      </c>
      <c r="C1440" t="s">
        <v>13423</v>
      </c>
      <c r="D1440" t="s">
        <v>13424</v>
      </c>
      <c r="E1440" t="s">
        <v>13425</v>
      </c>
      <c r="F1440" t="s">
        <v>13426</v>
      </c>
      <c r="G1440" t="s">
        <v>13427</v>
      </c>
      <c r="H1440" t="s">
        <v>13428</v>
      </c>
      <c r="I1440" t="s">
        <v>13429</v>
      </c>
      <c r="J1440" t="s">
        <v>13430</v>
      </c>
      <c r="K1440" t="s">
        <v>13431</v>
      </c>
      <c r="L1440" t="s">
        <v>13432</v>
      </c>
      <c r="M1440" t="s">
        <v>13433</v>
      </c>
    </row>
    <row r="1441" spans="1:13" ht="15" customHeight="1">
      <c r="A1441" t="s">
        <v>11801</v>
      </c>
      <c r="B1441" t="s">
        <v>13422</v>
      </c>
      <c r="C1441" t="s">
        <v>13423</v>
      </c>
      <c r="D1441" t="s">
        <v>13424</v>
      </c>
      <c r="E1441" t="s">
        <v>13425</v>
      </c>
      <c r="F1441" t="s">
        <v>13426</v>
      </c>
      <c r="G1441" t="s">
        <v>13427</v>
      </c>
      <c r="H1441" t="s">
        <v>13428</v>
      </c>
      <c r="I1441" t="s">
        <v>13429</v>
      </c>
      <c r="J1441" t="s">
        <v>13430</v>
      </c>
      <c r="K1441" t="s">
        <v>13431</v>
      </c>
      <c r="L1441" t="s">
        <v>13432</v>
      </c>
      <c r="M1441" t="s">
        <v>13433</v>
      </c>
    </row>
    <row r="1442" spans="1:13" ht="15" customHeight="1">
      <c r="A1442" t="s">
        <v>12100</v>
      </c>
      <c r="B1442" t="s">
        <v>13422</v>
      </c>
      <c r="C1442" t="s">
        <v>13423</v>
      </c>
      <c r="D1442" t="s">
        <v>13424</v>
      </c>
      <c r="E1442" t="s">
        <v>13425</v>
      </c>
      <c r="F1442" t="s">
        <v>13426</v>
      </c>
      <c r="G1442" t="s">
        <v>13427</v>
      </c>
      <c r="H1442" t="s">
        <v>13428</v>
      </c>
      <c r="I1442" t="s">
        <v>13429</v>
      </c>
      <c r="J1442" t="s">
        <v>13430</v>
      </c>
      <c r="K1442" t="s">
        <v>13431</v>
      </c>
      <c r="L1442" t="s">
        <v>13432</v>
      </c>
      <c r="M1442" t="s">
        <v>13433</v>
      </c>
    </row>
    <row r="1443" spans="1:13" ht="15" customHeight="1">
      <c r="A1443" t="s">
        <v>11807</v>
      </c>
      <c r="B1443" t="s">
        <v>13422</v>
      </c>
      <c r="C1443" t="s">
        <v>13423</v>
      </c>
      <c r="D1443" t="s">
        <v>13424</v>
      </c>
      <c r="E1443" t="s">
        <v>13425</v>
      </c>
      <c r="F1443" t="s">
        <v>13426</v>
      </c>
      <c r="G1443" t="s">
        <v>13427</v>
      </c>
      <c r="H1443" t="s">
        <v>13428</v>
      </c>
      <c r="I1443" t="s">
        <v>13429</v>
      </c>
      <c r="J1443" t="s">
        <v>13430</v>
      </c>
      <c r="K1443" t="s">
        <v>13431</v>
      </c>
      <c r="L1443" t="s">
        <v>13432</v>
      </c>
      <c r="M1443" t="s">
        <v>13433</v>
      </c>
    </row>
    <row r="1444" spans="1:13" ht="15" customHeight="1">
      <c r="A1444" t="s">
        <v>11815</v>
      </c>
      <c r="B1444" t="s">
        <v>13422</v>
      </c>
      <c r="C1444" t="s">
        <v>13423</v>
      </c>
      <c r="D1444" t="s">
        <v>13424</v>
      </c>
      <c r="E1444" t="s">
        <v>13425</v>
      </c>
      <c r="F1444" t="s">
        <v>13426</v>
      </c>
      <c r="G1444" t="s">
        <v>13427</v>
      </c>
      <c r="H1444" t="s">
        <v>13428</v>
      </c>
      <c r="I1444" t="s">
        <v>13429</v>
      </c>
      <c r="J1444" t="s">
        <v>13430</v>
      </c>
      <c r="K1444" t="s">
        <v>13431</v>
      </c>
      <c r="L1444" t="s">
        <v>13432</v>
      </c>
      <c r="M1444" t="s">
        <v>13433</v>
      </c>
    </row>
    <row r="1445" spans="1:13" ht="15" customHeight="1">
      <c r="A1445" t="s">
        <v>11816</v>
      </c>
      <c r="B1445" t="s">
        <v>13422</v>
      </c>
      <c r="C1445" t="s">
        <v>13423</v>
      </c>
      <c r="D1445" t="s">
        <v>13424</v>
      </c>
      <c r="E1445" t="s">
        <v>13425</v>
      </c>
      <c r="F1445" t="s">
        <v>13426</v>
      </c>
      <c r="G1445" t="s">
        <v>13427</v>
      </c>
      <c r="H1445" t="s">
        <v>13428</v>
      </c>
      <c r="I1445" t="s">
        <v>13429</v>
      </c>
      <c r="J1445" t="s">
        <v>13430</v>
      </c>
      <c r="K1445" t="s">
        <v>13431</v>
      </c>
      <c r="L1445" t="s">
        <v>13432</v>
      </c>
      <c r="M1445" t="s">
        <v>13433</v>
      </c>
    </row>
    <row r="1446" spans="1:13" ht="15" customHeight="1">
      <c r="A1446" t="s">
        <v>12103</v>
      </c>
      <c r="B1446" t="s">
        <v>13422</v>
      </c>
      <c r="C1446" t="s">
        <v>13423</v>
      </c>
      <c r="D1446" t="s">
        <v>13424</v>
      </c>
      <c r="E1446" t="s">
        <v>13425</v>
      </c>
      <c r="F1446" t="s">
        <v>13426</v>
      </c>
      <c r="G1446" t="s">
        <v>13427</v>
      </c>
      <c r="H1446" t="s">
        <v>13428</v>
      </c>
      <c r="I1446" t="s">
        <v>13429</v>
      </c>
      <c r="J1446" t="s">
        <v>13430</v>
      </c>
      <c r="K1446" t="s">
        <v>13431</v>
      </c>
      <c r="L1446" t="s">
        <v>13432</v>
      </c>
      <c r="M1446" t="s">
        <v>13433</v>
      </c>
    </row>
    <row r="1447" spans="1:13" ht="15" customHeight="1">
      <c r="A1447" t="s">
        <v>11819</v>
      </c>
      <c r="B1447" t="s">
        <v>13422</v>
      </c>
      <c r="C1447" t="s">
        <v>13423</v>
      </c>
      <c r="D1447" t="s">
        <v>13424</v>
      </c>
      <c r="E1447" t="s">
        <v>13425</v>
      </c>
      <c r="F1447" t="s">
        <v>13426</v>
      </c>
      <c r="G1447" t="s">
        <v>13427</v>
      </c>
      <c r="H1447" t="s">
        <v>13428</v>
      </c>
      <c r="I1447" t="s">
        <v>13429</v>
      </c>
      <c r="J1447" t="s">
        <v>13430</v>
      </c>
      <c r="K1447" t="s">
        <v>13431</v>
      </c>
      <c r="L1447" t="s">
        <v>13432</v>
      </c>
      <c r="M1447" t="s">
        <v>13433</v>
      </c>
    </row>
    <row r="1448" spans="1:13" ht="15" customHeight="1">
      <c r="A1448" t="s">
        <v>11825</v>
      </c>
      <c r="B1448" t="s">
        <v>13422</v>
      </c>
      <c r="C1448" t="s">
        <v>13423</v>
      </c>
      <c r="D1448" t="s">
        <v>13424</v>
      </c>
      <c r="E1448" t="s">
        <v>13425</v>
      </c>
      <c r="F1448" t="s">
        <v>13426</v>
      </c>
      <c r="G1448" t="s">
        <v>13427</v>
      </c>
      <c r="H1448" t="s">
        <v>13428</v>
      </c>
      <c r="I1448" t="s">
        <v>13429</v>
      </c>
      <c r="J1448" t="s">
        <v>13430</v>
      </c>
      <c r="K1448" t="s">
        <v>13431</v>
      </c>
      <c r="L1448" t="s">
        <v>13432</v>
      </c>
      <c r="M1448" t="s">
        <v>13433</v>
      </c>
    </row>
    <row r="1449" spans="1:13" ht="15" customHeight="1">
      <c r="A1449" t="s">
        <v>11818</v>
      </c>
      <c r="B1449" t="s">
        <v>13422</v>
      </c>
      <c r="C1449" t="s">
        <v>13423</v>
      </c>
      <c r="D1449" t="s">
        <v>13424</v>
      </c>
      <c r="E1449" t="s">
        <v>13425</v>
      </c>
      <c r="F1449" t="s">
        <v>13426</v>
      </c>
      <c r="G1449" t="s">
        <v>13427</v>
      </c>
      <c r="H1449" t="s">
        <v>13428</v>
      </c>
      <c r="I1449" t="s">
        <v>13429</v>
      </c>
      <c r="J1449" t="s">
        <v>13430</v>
      </c>
      <c r="K1449" t="s">
        <v>13431</v>
      </c>
      <c r="L1449" t="s">
        <v>13432</v>
      </c>
      <c r="M1449" t="s">
        <v>13433</v>
      </c>
    </row>
    <row r="1450" spans="1:13" ht="15" customHeight="1">
      <c r="A1450" t="s">
        <v>11821</v>
      </c>
      <c r="B1450" t="s">
        <v>13422</v>
      </c>
      <c r="C1450" t="s">
        <v>13423</v>
      </c>
      <c r="D1450" t="s">
        <v>13424</v>
      </c>
      <c r="E1450" t="s">
        <v>13425</v>
      </c>
      <c r="F1450" t="s">
        <v>13426</v>
      </c>
      <c r="G1450" t="s">
        <v>13427</v>
      </c>
      <c r="H1450" t="s">
        <v>13428</v>
      </c>
      <c r="I1450" t="s">
        <v>13429</v>
      </c>
      <c r="J1450" t="s">
        <v>13430</v>
      </c>
      <c r="K1450" t="s">
        <v>13431</v>
      </c>
      <c r="L1450" t="s">
        <v>13432</v>
      </c>
      <c r="M1450" t="s">
        <v>13433</v>
      </c>
    </row>
    <row r="1451" spans="1:13" ht="15" customHeight="1">
      <c r="A1451" t="s">
        <v>13434</v>
      </c>
      <c r="B1451" t="s">
        <v>13422</v>
      </c>
      <c r="C1451" t="s">
        <v>13423</v>
      </c>
      <c r="D1451" t="s">
        <v>13424</v>
      </c>
      <c r="E1451" t="s">
        <v>13425</v>
      </c>
      <c r="F1451" t="s">
        <v>13426</v>
      </c>
      <c r="G1451" t="s">
        <v>13427</v>
      </c>
      <c r="H1451" t="s">
        <v>13428</v>
      </c>
      <c r="I1451" t="s">
        <v>13429</v>
      </c>
      <c r="J1451" t="s">
        <v>13430</v>
      </c>
      <c r="K1451" t="s">
        <v>13431</v>
      </c>
      <c r="L1451" t="s">
        <v>13432</v>
      </c>
      <c r="M1451" t="s">
        <v>13433</v>
      </c>
    </row>
    <row r="1452" spans="1:13" ht="15" customHeight="1">
      <c r="A1452" t="s">
        <v>12104</v>
      </c>
      <c r="B1452" t="s">
        <v>13422</v>
      </c>
      <c r="C1452" t="s">
        <v>13423</v>
      </c>
      <c r="D1452" t="s">
        <v>13424</v>
      </c>
      <c r="E1452" t="s">
        <v>13425</v>
      </c>
      <c r="F1452" t="s">
        <v>13426</v>
      </c>
      <c r="G1452" t="s">
        <v>13427</v>
      </c>
      <c r="H1452" t="s">
        <v>13428</v>
      </c>
      <c r="I1452" t="s">
        <v>13429</v>
      </c>
      <c r="J1452" t="s">
        <v>13430</v>
      </c>
      <c r="K1452" t="s">
        <v>13431</v>
      </c>
      <c r="L1452" t="s">
        <v>13432</v>
      </c>
      <c r="M1452" t="s">
        <v>13433</v>
      </c>
    </row>
    <row r="1453" spans="1:13" ht="15" customHeight="1">
      <c r="A1453" t="s">
        <v>13238</v>
      </c>
      <c r="B1453" t="s">
        <v>13422</v>
      </c>
      <c r="C1453" t="s">
        <v>13423</v>
      </c>
      <c r="D1453" t="s">
        <v>13424</v>
      </c>
      <c r="E1453" t="s">
        <v>13425</v>
      </c>
      <c r="F1453" t="s">
        <v>13426</v>
      </c>
      <c r="G1453" t="s">
        <v>13427</v>
      </c>
      <c r="H1453" t="s">
        <v>13428</v>
      </c>
      <c r="I1453" t="s">
        <v>13429</v>
      </c>
      <c r="J1453" t="s">
        <v>13430</v>
      </c>
      <c r="K1453" t="s">
        <v>13431</v>
      </c>
      <c r="L1453" t="s">
        <v>13432</v>
      </c>
      <c r="M1453" t="s">
        <v>13433</v>
      </c>
    </row>
    <row r="1454" spans="1:13" ht="15" customHeight="1">
      <c r="A1454" t="s">
        <v>11845</v>
      </c>
      <c r="B1454" t="s">
        <v>13422</v>
      </c>
      <c r="C1454" t="s">
        <v>13423</v>
      </c>
      <c r="D1454" t="s">
        <v>13424</v>
      </c>
      <c r="E1454" t="s">
        <v>13425</v>
      </c>
      <c r="F1454" t="s">
        <v>13426</v>
      </c>
      <c r="G1454" t="s">
        <v>13427</v>
      </c>
      <c r="H1454" t="s">
        <v>13428</v>
      </c>
      <c r="I1454" t="s">
        <v>13429</v>
      </c>
      <c r="J1454" t="s">
        <v>13430</v>
      </c>
      <c r="K1454" t="s">
        <v>13431</v>
      </c>
      <c r="L1454" t="s">
        <v>13432</v>
      </c>
      <c r="M1454" t="s">
        <v>13433</v>
      </c>
    </row>
    <row r="1455" spans="1:13" ht="15" customHeight="1">
      <c r="A1455" t="s">
        <v>11846</v>
      </c>
      <c r="B1455" t="s">
        <v>13422</v>
      </c>
      <c r="C1455" t="s">
        <v>13423</v>
      </c>
      <c r="D1455" t="s">
        <v>13424</v>
      </c>
      <c r="E1455" t="s">
        <v>13425</v>
      </c>
      <c r="F1455" t="s">
        <v>13426</v>
      </c>
      <c r="G1455" t="s">
        <v>13427</v>
      </c>
      <c r="H1455" t="s">
        <v>13428</v>
      </c>
      <c r="I1455" t="s">
        <v>13429</v>
      </c>
      <c r="J1455" t="s">
        <v>13430</v>
      </c>
      <c r="K1455" t="s">
        <v>13431</v>
      </c>
      <c r="L1455" t="s">
        <v>13432</v>
      </c>
      <c r="M1455" t="s">
        <v>13433</v>
      </c>
    </row>
    <row r="1456" spans="1:13" ht="15" customHeight="1">
      <c r="A1456" t="s">
        <v>11844</v>
      </c>
      <c r="B1456" t="s">
        <v>13422</v>
      </c>
      <c r="C1456" t="s">
        <v>13423</v>
      </c>
      <c r="D1456" t="s">
        <v>13424</v>
      </c>
      <c r="E1456" t="s">
        <v>13425</v>
      </c>
      <c r="F1456" t="s">
        <v>13426</v>
      </c>
      <c r="G1456" t="s">
        <v>13427</v>
      </c>
      <c r="H1456" t="s">
        <v>13428</v>
      </c>
      <c r="I1456" t="s">
        <v>13429</v>
      </c>
      <c r="J1456" t="s">
        <v>13430</v>
      </c>
      <c r="K1456" t="s">
        <v>13431</v>
      </c>
      <c r="L1456" t="s">
        <v>13432</v>
      </c>
      <c r="M1456" t="s">
        <v>13433</v>
      </c>
    </row>
    <row r="1457" spans="1:13" ht="15" customHeight="1">
      <c r="A1457" t="s">
        <v>11847</v>
      </c>
      <c r="B1457" t="s">
        <v>13422</v>
      </c>
      <c r="C1457" t="s">
        <v>13423</v>
      </c>
      <c r="D1457" t="s">
        <v>13424</v>
      </c>
      <c r="E1457" t="s">
        <v>13425</v>
      </c>
      <c r="F1457" t="s">
        <v>13426</v>
      </c>
      <c r="G1457" t="s">
        <v>13427</v>
      </c>
      <c r="H1457" t="s">
        <v>13428</v>
      </c>
      <c r="I1457" t="s">
        <v>13429</v>
      </c>
      <c r="J1457" t="s">
        <v>13430</v>
      </c>
      <c r="K1457" t="s">
        <v>13431</v>
      </c>
      <c r="L1457" t="s">
        <v>13432</v>
      </c>
      <c r="M1457" t="s">
        <v>13433</v>
      </c>
    </row>
    <row r="1458" spans="1:13" ht="15" customHeight="1">
      <c r="A1458" t="s">
        <v>11808</v>
      </c>
      <c r="B1458" t="s">
        <v>13422</v>
      </c>
      <c r="C1458" t="s">
        <v>13423</v>
      </c>
      <c r="D1458" t="s">
        <v>13424</v>
      </c>
      <c r="E1458" t="s">
        <v>13425</v>
      </c>
      <c r="F1458" t="s">
        <v>13426</v>
      </c>
      <c r="G1458" t="s">
        <v>13427</v>
      </c>
      <c r="H1458" t="s">
        <v>13428</v>
      </c>
      <c r="I1458" t="s">
        <v>13429</v>
      </c>
      <c r="J1458" t="s">
        <v>13430</v>
      </c>
      <c r="K1458" t="s">
        <v>13431</v>
      </c>
      <c r="L1458" t="s">
        <v>13432</v>
      </c>
      <c r="M1458" t="s">
        <v>13433</v>
      </c>
    </row>
    <row r="1459" spans="1:13" ht="15" customHeight="1">
      <c r="A1459" t="s">
        <v>11810</v>
      </c>
      <c r="B1459" t="s">
        <v>13422</v>
      </c>
      <c r="C1459" t="s">
        <v>13423</v>
      </c>
      <c r="D1459" t="s">
        <v>13424</v>
      </c>
      <c r="E1459" t="s">
        <v>13425</v>
      </c>
      <c r="F1459" t="s">
        <v>13426</v>
      </c>
      <c r="G1459" t="s">
        <v>13427</v>
      </c>
      <c r="H1459" t="s">
        <v>13428</v>
      </c>
      <c r="I1459" t="s">
        <v>13429</v>
      </c>
      <c r="J1459" t="s">
        <v>13430</v>
      </c>
      <c r="K1459" t="s">
        <v>13431</v>
      </c>
      <c r="L1459" t="s">
        <v>13432</v>
      </c>
      <c r="M1459" t="s">
        <v>13433</v>
      </c>
    </row>
    <row r="1460" spans="1:13" ht="15" customHeight="1">
      <c r="A1460" t="s">
        <v>11824</v>
      </c>
      <c r="B1460" t="s">
        <v>13422</v>
      </c>
      <c r="C1460" t="s">
        <v>13423</v>
      </c>
      <c r="D1460" t="s">
        <v>13424</v>
      </c>
      <c r="E1460" t="s">
        <v>13425</v>
      </c>
      <c r="F1460" t="s">
        <v>13426</v>
      </c>
      <c r="G1460" t="s">
        <v>13427</v>
      </c>
      <c r="H1460" t="s">
        <v>13428</v>
      </c>
      <c r="I1460" t="s">
        <v>13429</v>
      </c>
      <c r="J1460" t="s">
        <v>13430</v>
      </c>
      <c r="K1460" t="s">
        <v>13431</v>
      </c>
      <c r="L1460" t="s">
        <v>13432</v>
      </c>
      <c r="M1460" t="s">
        <v>13433</v>
      </c>
    </row>
    <row r="1461" spans="1:13" ht="15" customHeight="1">
      <c r="A1461" t="s">
        <v>11822</v>
      </c>
      <c r="B1461" t="s">
        <v>13422</v>
      </c>
      <c r="C1461" t="s">
        <v>13423</v>
      </c>
      <c r="D1461" t="s">
        <v>13424</v>
      </c>
      <c r="E1461" t="s">
        <v>13425</v>
      </c>
      <c r="F1461" t="s">
        <v>13426</v>
      </c>
      <c r="G1461" t="s">
        <v>13427</v>
      </c>
      <c r="H1461" t="s">
        <v>13428</v>
      </c>
      <c r="I1461" t="s">
        <v>13429</v>
      </c>
      <c r="J1461" t="s">
        <v>13430</v>
      </c>
      <c r="K1461" t="s">
        <v>13431</v>
      </c>
      <c r="L1461" t="s">
        <v>13432</v>
      </c>
      <c r="M1461" t="s">
        <v>13433</v>
      </c>
    </row>
    <row r="1462" spans="1:13" ht="15" customHeight="1">
      <c r="A1462" t="s">
        <v>11823</v>
      </c>
      <c r="B1462" t="s">
        <v>13422</v>
      </c>
      <c r="C1462" t="s">
        <v>13423</v>
      </c>
      <c r="D1462" t="s">
        <v>13424</v>
      </c>
      <c r="E1462" t="s">
        <v>13425</v>
      </c>
      <c r="F1462" t="s">
        <v>13426</v>
      </c>
      <c r="G1462" t="s">
        <v>13427</v>
      </c>
      <c r="H1462" t="s">
        <v>13428</v>
      </c>
      <c r="I1462" t="s">
        <v>13429</v>
      </c>
      <c r="J1462" t="s">
        <v>13430</v>
      </c>
      <c r="K1462" t="s">
        <v>13431</v>
      </c>
      <c r="L1462" t="s">
        <v>13432</v>
      </c>
      <c r="M1462" t="s">
        <v>13433</v>
      </c>
    </row>
  </sheetData>
  <pageMargins left="0.7" right="0.7" top="0.78740157499999996" bottom="0.78740157499999996"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FD6C7F-5185-4BA6-8546-8C7EAF3E8A86}">
  <sheetPr codeName="List7">
    <tabColor theme="1"/>
  </sheetPr>
  <dimension ref="A1:AW1139"/>
  <sheetViews>
    <sheetView workbookViewId="0">
      <pane xSplit="1" ySplit="3" topLeftCell="B4" activePane="bottomRight" state="frozen"/>
      <selection pane="topRight" activeCell="B1" sqref="B1"/>
      <selection pane="bottomLeft" activeCell="A4" sqref="A4"/>
      <selection pane="bottomRight" activeCell="N23" sqref="N23"/>
    </sheetView>
  </sheetViews>
  <sheetFormatPr defaultRowHeight="15" customHeight="1"/>
  <cols>
    <col min="1" max="1" width="2.28515625" customWidth="1"/>
    <col min="2" max="2" width="11.5703125" customWidth="1"/>
    <col min="3" max="3" width="8.7109375" customWidth="1"/>
    <col min="4" max="4" width="6" customWidth="1"/>
    <col min="5" max="6" width="5.5703125" customWidth="1"/>
    <col min="7" max="8" width="4" customWidth="1"/>
    <col min="9" max="9" width="10.85546875" customWidth="1"/>
    <col min="10" max="10" width="5.28515625" customWidth="1"/>
    <col min="11" max="11" width="9.140625" customWidth="1"/>
    <col min="12" max="12" width="13.5703125" customWidth="1"/>
    <col min="13" max="17" width="9.140625" customWidth="1"/>
    <col min="23" max="23" width="12.7109375" customWidth="1"/>
    <col min="27" max="29" width="9.140625" customWidth="1"/>
    <col min="34" max="39" width="9.140625" hidden="1" customWidth="1"/>
    <col min="43" max="43" width="7.7109375" customWidth="1"/>
    <col min="44" max="44" width="3.42578125" customWidth="1"/>
    <col min="45" max="45" width="12" customWidth="1"/>
    <col min="46" max="46" width="11.5703125" customWidth="1"/>
  </cols>
  <sheetData>
    <row r="1" spans="1:49" ht="15.75" thickBot="1">
      <c r="A1" s="113"/>
      <c r="B1" s="60"/>
      <c r="C1" s="61"/>
      <c r="D1" s="61">
        <v>1</v>
      </c>
      <c r="E1" s="61">
        <v>2</v>
      </c>
      <c r="F1" s="61">
        <v>3</v>
      </c>
      <c r="G1" s="61">
        <v>4</v>
      </c>
      <c r="H1" s="61">
        <v>5</v>
      </c>
      <c r="I1" s="61">
        <v>6</v>
      </c>
      <c r="J1" s="61">
        <v>7</v>
      </c>
      <c r="K1" s="61">
        <v>8</v>
      </c>
      <c r="L1" s="61">
        <v>9</v>
      </c>
      <c r="M1" s="61">
        <v>10</v>
      </c>
      <c r="N1" s="61">
        <v>11</v>
      </c>
      <c r="O1" s="61">
        <v>12</v>
      </c>
      <c r="P1" s="61">
        <v>13</v>
      </c>
      <c r="Q1" s="61">
        <v>14</v>
      </c>
      <c r="R1" s="61">
        <v>15</v>
      </c>
      <c r="S1" s="61">
        <v>16</v>
      </c>
      <c r="T1" s="61">
        <v>17</v>
      </c>
      <c r="U1" s="61">
        <v>18</v>
      </c>
      <c r="V1" s="61">
        <v>19</v>
      </c>
      <c r="W1" s="61">
        <v>20</v>
      </c>
      <c r="X1" s="61">
        <v>21</v>
      </c>
      <c r="Y1" s="61">
        <v>22</v>
      </c>
      <c r="Z1" s="61">
        <v>23</v>
      </c>
      <c r="AA1" s="61">
        <v>24</v>
      </c>
      <c r="AB1" s="61">
        <v>25</v>
      </c>
      <c r="AC1" s="61">
        <v>26</v>
      </c>
      <c r="AD1" s="61">
        <v>27</v>
      </c>
      <c r="AE1" s="61">
        <v>28</v>
      </c>
      <c r="AF1" s="61">
        <v>29</v>
      </c>
      <c r="AG1" s="61">
        <v>30</v>
      </c>
      <c r="AH1" s="61">
        <v>31</v>
      </c>
      <c r="AI1" s="61">
        <v>32</v>
      </c>
      <c r="AJ1" s="61">
        <v>33</v>
      </c>
      <c r="AK1" s="61">
        <v>34</v>
      </c>
      <c r="AL1" s="61">
        <v>35</v>
      </c>
      <c r="AM1" s="61"/>
      <c r="AN1" s="61"/>
      <c r="AO1" s="61"/>
      <c r="AP1" s="61"/>
      <c r="AQ1" s="61"/>
      <c r="AR1" s="61"/>
      <c r="AS1" s="61"/>
      <c r="AT1" s="61"/>
      <c r="AU1" s="61"/>
      <c r="AV1" s="61"/>
      <c r="AW1" s="61"/>
    </row>
    <row r="2" spans="1:49" ht="16.5" thickTop="1" thickBot="1">
      <c r="A2" s="6"/>
      <c r="B2" s="62" t="s">
        <v>2211</v>
      </c>
      <c r="C2" s="14" t="s">
        <v>8338</v>
      </c>
      <c r="D2" s="14" t="s">
        <v>8339</v>
      </c>
      <c r="E2" s="14" t="s">
        <v>8340</v>
      </c>
      <c r="F2" s="1251" t="s">
        <v>8341</v>
      </c>
      <c r="G2" s="1252"/>
      <c r="H2" s="1253"/>
      <c r="I2" s="14" t="s">
        <v>8342</v>
      </c>
      <c r="J2" s="14" t="s">
        <v>8343</v>
      </c>
      <c r="K2" s="85"/>
      <c r="L2" s="6"/>
      <c r="M2" s="14" t="s">
        <v>8344</v>
      </c>
      <c r="N2" s="14" t="s">
        <v>8345</v>
      </c>
      <c r="O2" s="14" t="s">
        <v>8346</v>
      </c>
      <c r="P2" s="14" t="s">
        <v>8347</v>
      </c>
      <c r="Q2" s="14" t="s">
        <v>8348</v>
      </c>
      <c r="R2" s="1254" t="s">
        <v>8349</v>
      </c>
      <c r="S2" s="1255"/>
      <c r="T2" s="1255"/>
      <c r="U2" s="1255"/>
      <c r="V2" s="1255"/>
      <c r="W2" s="1255"/>
      <c r="X2" s="1255"/>
      <c r="Y2" s="1255"/>
      <c r="Z2" s="1255"/>
      <c r="AA2" s="1255"/>
      <c r="AB2" s="1256"/>
      <c r="AD2" s="1224" t="s">
        <v>8350</v>
      </c>
      <c r="AE2" s="1225"/>
      <c r="AF2" s="1224" t="s">
        <v>8351</v>
      </c>
      <c r="AG2" s="1225"/>
      <c r="AH2" s="6"/>
      <c r="AI2" s="6"/>
      <c r="AJ2" s="6"/>
      <c r="AK2" s="6"/>
      <c r="AL2" s="6"/>
      <c r="AM2" s="6"/>
      <c r="AN2" s="6"/>
      <c r="AO2" s="6"/>
      <c r="AP2" s="6"/>
      <c r="AQ2" s="6"/>
      <c r="AR2" s="6"/>
      <c r="AS2" s="6"/>
      <c r="AT2" s="6"/>
      <c r="AU2" s="6"/>
      <c r="AV2" s="6"/>
      <c r="AW2" s="6"/>
    </row>
    <row r="3" spans="1:49" ht="15.75" thickTop="1">
      <c r="A3" s="6"/>
      <c r="B3" s="15" t="s">
        <v>2212</v>
      </c>
      <c r="C3" s="14" t="s">
        <v>8352</v>
      </c>
      <c r="D3" s="14" t="s">
        <v>8353</v>
      </c>
      <c r="E3" s="14" t="s">
        <v>8354</v>
      </c>
      <c r="F3" s="14" t="s">
        <v>8355</v>
      </c>
      <c r="G3" s="14" t="s">
        <v>8356</v>
      </c>
      <c r="H3" s="14" t="s">
        <v>8357</v>
      </c>
      <c r="I3" s="14" t="s">
        <v>8358</v>
      </c>
      <c r="J3" s="14" t="s">
        <v>3</v>
      </c>
      <c r="K3" s="6"/>
      <c r="L3" s="6"/>
      <c r="M3" s="14" t="s">
        <v>8359</v>
      </c>
      <c r="N3" s="14" t="s">
        <v>8360</v>
      </c>
      <c r="O3" s="14" t="s">
        <v>8361</v>
      </c>
      <c r="P3" s="14" t="s">
        <v>8362</v>
      </c>
      <c r="Q3" s="64" t="s">
        <v>8363</v>
      </c>
      <c r="R3" s="65" t="s">
        <v>8364</v>
      </c>
      <c r="S3" s="63" t="s">
        <v>8365</v>
      </c>
      <c r="T3" s="63" t="s">
        <v>8366</v>
      </c>
      <c r="U3" s="63" t="s">
        <v>8367</v>
      </c>
      <c r="V3" s="63" t="s">
        <v>8368</v>
      </c>
      <c r="W3" s="63" t="s">
        <v>8369</v>
      </c>
      <c r="X3" s="1257" t="s">
        <v>8370</v>
      </c>
      <c r="Y3" s="1257"/>
      <c r="Z3" s="1257"/>
      <c r="AA3" s="63" t="s">
        <v>8371</v>
      </c>
      <c r="AB3" s="63" t="s">
        <v>8371</v>
      </c>
      <c r="AC3" s="63" t="s">
        <v>3</v>
      </c>
      <c r="AD3" s="63" t="s">
        <v>8372</v>
      </c>
      <c r="AE3" s="63" t="s">
        <v>8413</v>
      </c>
      <c r="AF3" s="63" t="s">
        <v>8372</v>
      </c>
      <c r="AG3" s="14" t="s">
        <v>8413</v>
      </c>
      <c r="AH3" s="6"/>
      <c r="AI3" s="6"/>
      <c r="AJ3" s="6"/>
      <c r="AK3" s="6"/>
      <c r="AL3" s="6"/>
      <c r="AM3" s="6"/>
      <c r="AN3" s="6"/>
      <c r="AO3" s="6"/>
      <c r="AP3" s="6"/>
      <c r="AQ3" s="6"/>
      <c r="AR3" s="6"/>
      <c r="AS3" s="6"/>
      <c r="AT3" s="6"/>
      <c r="AU3" s="6"/>
      <c r="AV3" s="6"/>
      <c r="AW3" s="6"/>
    </row>
    <row r="4" spans="1:49" ht="15.75" thickBot="1">
      <c r="A4" s="6"/>
      <c r="B4" s="16" t="s">
        <v>897</v>
      </c>
      <c r="C4" s="2" t="str">
        <f>IFERROR(VLOOKUP(B4,'Deutsche Markt'!C:AA,24,FALSE),"")</f>
        <v/>
      </c>
      <c r="D4" s="2">
        <f>IFERROR(VLOOKUP(B4,'Deutsche Markt'!C:AA,25,FALSE),0)</f>
        <v>0</v>
      </c>
      <c r="E4" s="2">
        <f>IFERROR(D4/C4,0)</f>
        <v>0</v>
      </c>
      <c r="F4" s="2">
        <f>IFERROR(FLOOR(IF(E4-1&lt;0,0,E4),1),0)</f>
        <v>0</v>
      </c>
      <c r="G4" s="2">
        <f>IFERROR(IF(H4&gt;E4,F4-E4,E4-F4),0)</f>
        <v>0</v>
      </c>
      <c r="H4" s="2">
        <f>IFERROR(IF(E4=0,0,F4),0)</f>
        <v>0</v>
      </c>
      <c r="I4" s="2">
        <f t="shared" ref="I4:I67" si="0">IFERROR(IF(D4=0,0,IF(F4=0,(D4*nextVK)+(prvniVK-nextVK),(G4*C4*nextVK)+(F4*PALzKoje))),0)</f>
        <v>0</v>
      </c>
      <c r="J4">
        <f>IFERROR(VLOOKUP(B4,'General price list'!C:AI,12,FALSE)*(G4*C4),0)</f>
        <v>0</v>
      </c>
      <c r="K4" s="6"/>
      <c r="L4" s="66" t="s">
        <v>8373</v>
      </c>
      <c r="M4" s="67">
        <f>SUM(I4:I1139)</f>
        <v>0</v>
      </c>
      <c r="N4" s="67">
        <f>SUM(J4:J1139)</f>
        <v>0</v>
      </c>
      <c r="O4" s="67">
        <f>ROUND(N4/AC5,1)</f>
        <v>0</v>
      </c>
      <c r="P4" s="67">
        <f>SUM(H4:H1139)</f>
        <v>0</v>
      </c>
      <c r="Q4" s="67">
        <f>IF(AND(O5+P4=0,N4&gt;0),1,O5+P4)</f>
        <v>0</v>
      </c>
      <c r="R4" s="63" t="s">
        <v>8374</v>
      </c>
      <c r="S4" s="63"/>
      <c r="T4" s="63" t="s">
        <v>8375</v>
      </c>
      <c r="U4" s="63" t="s">
        <v>8376</v>
      </c>
      <c r="V4" s="63" t="s">
        <v>8377</v>
      </c>
      <c r="W4" s="63" t="s">
        <v>8378</v>
      </c>
      <c r="X4" s="63" t="s">
        <v>8379</v>
      </c>
      <c r="Y4" s="63" t="s">
        <v>8380</v>
      </c>
      <c r="Z4" s="63" t="s">
        <v>2897</v>
      </c>
      <c r="AA4" s="63" t="s">
        <v>8381</v>
      </c>
      <c r="AB4" s="63" t="s">
        <v>8382</v>
      </c>
      <c r="AC4" s="63" t="s">
        <v>8383</v>
      </c>
      <c r="AD4" s="99" t="s">
        <v>8384</v>
      </c>
      <c r="AE4" s="99" t="s">
        <v>8414</v>
      </c>
      <c r="AF4" s="99" t="s">
        <v>8384</v>
      </c>
      <c r="AG4" s="100" t="s">
        <v>8414</v>
      </c>
      <c r="AH4" s="6"/>
      <c r="AI4" s="6"/>
      <c r="AJ4" s="6"/>
      <c r="AK4" s="6"/>
      <c r="AL4" s="6"/>
      <c r="AM4" s="6"/>
      <c r="AN4" s="6"/>
      <c r="AO4" s="6"/>
      <c r="AP4" s="6"/>
      <c r="AQ4" s="6"/>
      <c r="AR4" s="6"/>
      <c r="AS4" s="6"/>
      <c r="AT4" s="6"/>
      <c r="AU4" s="6"/>
      <c r="AV4" s="6"/>
      <c r="AW4" s="6"/>
    </row>
    <row r="5" spans="1:49" ht="15.75" thickBot="1">
      <c r="A5" s="6"/>
      <c r="B5" s="16" t="s">
        <v>903</v>
      </c>
      <c r="C5" s="2" t="str">
        <f>IFERROR(VLOOKUP(B5,'Deutsche Markt'!C:AA,24,FALSE),"")</f>
        <v/>
      </c>
      <c r="D5" s="2">
        <f>IFERROR(VLOOKUP(B5,'Deutsche Markt'!C:AA,25,FALSE),0)</f>
        <v>0</v>
      </c>
      <c r="E5" s="2">
        <f t="shared" ref="E5:E68" si="1">IFERROR(D5/C5,0)</f>
        <v>0</v>
      </c>
      <c r="F5" s="2">
        <f t="shared" ref="F5:F68" si="2">IFERROR(FLOOR(IF(E5-1&lt;0,0,E5),1),0)</f>
        <v>0</v>
      </c>
      <c r="G5" s="2">
        <f t="shared" ref="G5:G68" si="3">IFERROR(IF(H5&gt;E5,F5-E5,E5-F5),0)</f>
        <v>0</v>
      </c>
      <c r="H5" s="2">
        <f t="shared" ref="H5:H68" si="4">IFERROR(IF(E5=0,0,F5),0)</f>
        <v>0</v>
      </c>
      <c r="I5" s="2">
        <f t="shared" si="0"/>
        <v>0</v>
      </c>
      <c r="J5">
        <f>IFERROR(VLOOKUP(B5,'General price list'!C:AI,12,FALSE)*(G5*C5),0)</f>
        <v>0</v>
      </c>
      <c r="K5" s="6"/>
      <c r="L5" s="66" t="s">
        <v>8385</v>
      </c>
      <c r="M5" s="2">
        <f>odhPAL*tvorbaPAL</f>
        <v>0</v>
      </c>
      <c r="N5" s="86"/>
      <c r="O5" s="1038">
        <f>IF(odhPAL-ROUND(odhPAL,0)&gt;0.3,ROUND(odhPAL,0)+1,ROUND(odhPAL,0))</f>
        <v>0</v>
      </c>
      <c r="P5" s="6"/>
      <c r="Q5" s="6"/>
      <c r="R5" s="68">
        <v>300</v>
      </c>
      <c r="S5" s="68">
        <v>60</v>
      </c>
      <c r="T5" s="68">
        <v>20</v>
      </c>
      <c r="U5" s="68">
        <v>180</v>
      </c>
      <c r="V5" s="68">
        <v>600</v>
      </c>
      <c r="W5" s="68">
        <v>10</v>
      </c>
      <c r="X5" s="68">
        <v>300</v>
      </c>
      <c r="Y5" s="68">
        <v>120</v>
      </c>
      <c r="Z5" s="68">
        <v>20</v>
      </c>
      <c r="AA5" s="68">
        <v>1800</v>
      </c>
      <c r="AB5" s="68">
        <v>900</v>
      </c>
      <c r="AC5" s="68">
        <v>1.3</v>
      </c>
      <c r="AD5" s="69">
        <v>5</v>
      </c>
      <c r="AE5" s="69"/>
      <c r="AF5" s="69">
        <v>2</v>
      </c>
      <c r="AG5" s="69"/>
      <c r="AH5" s="6"/>
      <c r="AI5" s="6"/>
      <c r="AJ5" s="6"/>
      <c r="AK5" s="6"/>
      <c r="AL5" s="6"/>
      <c r="AM5" s="6"/>
      <c r="AN5" s="6" t="s">
        <v>8412</v>
      </c>
      <c r="AO5" s="6"/>
      <c r="AP5" s="6"/>
      <c r="AQ5" s="6"/>
      <c r="AR5" s="6"/>
      <c r="AS5" s="6"/>
      <c r="AT5" s="6"/>
      <c r="AU5" s="6"/>
      <c r="AV5" s="6"/>
      <c r="AW5" s="6"/>
    </row>
    <row r="6" spans="1:49" ht="15.75" thickBot="1">
      <c r="A6" s="6"/>
      <c r="B6" s="16" t="s">
        <v>2475</v>
      </c>
      <c r="C6" s="2" t="str">
        <f>IFERROR(VLOOKUP(B6,'Deutsche Markt'!C:AA,24,FALSE),"")</f>
        <v/>
      </c>
      <c r="D6" s="2">
        <f>IFERROR(VLOOKUP(B6,'Deutsche Markt'!C:AA,25,FALSE),0)</f>
        <v>0</v>
      </c>
      <c r="E6" s="2">
        <f t="shared" si="1"/>
        <v>0</v>
      </c>
      <c r="F6" s="2">
        <f t="shared" si="2"/>
        <v>0</v>
      </c>
      <c r="G6" s="2">
        <f t="shared" si="3"/>
        <v>0</v>
      </c>
      <c r="H6" s="2">
        <f t="shared" si="4"/>
        <v>0</v>
      </c>
      <c r="I6" s="2">
        <f t="shared" si="0"/>
        <v>0</v>
      </c>
      <c r="J6">
        <f>IFERROR(VLOOKUP(B6,'General price list'!C:AI,12,FALSE)*(G6*C6),0)</f>
        <v>0</v>
      </c>
      <c r="K6" s="6"/>
      <c r="L6" s="66" t="s">
        <v>8386</v>
      </c>
      <c r="M6" s="2">
        <f>SUM(D:D)*vystKONTROLA</f>
        <v>10</v>
      </c>
      <c r="N6" s="6"/>
      <c r="O6" s="6"/>
      <c r="P6" s="6"/>
      <c r="Q6" s="6"/>
      <c r="R6" s="6"/>
      <c r="S6" s="6"/>
      <c r="T6" s="6"/>
      <c r="U6" s="6"/>
      <c r="V6" s="6"/>
      <c r="W6" s="6"/>
      <c r="X6" s="6"/>
      <c r="Y6" s="6"/>
      <c r="Z6" s="6" t="s">
        <v>8411</v>
      </c>
      <c r="AA6" s="6"/>
      <c r="AB6" s="6"/>
      <c r="AD6" s="104"/>
      <c r="AE6" s="109"/>
      <c r="AF6" s="110"/>
      <c r="AG6" s="111"/>
      <c r="AI6" s="6"/>
      <c r="AJ6" s="6"/>
      <c r="AK6" s="6"/>
      <c r="AL6" s="6"/>
      <c r="AM6" s="6"/>
      <c r="AN6" s="6"/>
      <c r="AO6" s="6"/>
      <c r="AP6" s="6"/>
      <c r="AQ6" s="6"/>
      <c r="AR6" s="6"/>
      <c r="AS6" s="6"/>
      <c r="AT6" s="6"/>
      <c r="AU6" s="6"/>
      <c r="AV6" s="6"/>
      <c r="AW6" s="6"/>
    </row>
    <row r="7" spans="1:49" ht="15.75" thickBot="1">
      <c r="A7" s="6"/>
      <c r="B7" s="16" t="s">
        <v>2473</v>
      </c>
      <c r="C7" s="2" t="str">
        <f>IFERROR(VLOOKUP(B7,'Deutsche Markt'!C:AA,24,FALSE),"")</f>
        <v/>
      </c>
      <c r="D7" s="2">
        <f>IFERROR(VLOOKUP(B7,'Deutsche Markt'!C:AA,25,FALSE),0)</f>
        <v>0</v>
      </c>
      <c r="E7" s="2">
        <f t="shared" si="1"/>
        <v>0</v>
      </c>
      <c r="F7" s="2">
        <f t="shared" si="2"/>
        <v>0</v>
      </c>
      <c r="G7" s="2">
        <f t="shared" si="3"/>
        <v>0</v>
      </c>
      <c r="H7" s="2">
        <f t="shared" si="4"/>
        <v>0</v>
      </c>
      <c r="I7" s="2">
        <f t="shared" si="0"/>
        <v>0</v>
      </c>
      <c r="J7">
        <f>IFERROR(VLOOKUP(B7,'General price list'!C:AI,12,FALSE)*(G7*C7),0)</f>
        <v>0</v>
      </c>
      <c r="K7" s="6"/>
      <c r="L7" s="66" t="s">
        <v>8387</v>
      </c>
      <c r="M7" s="2">
        <f>prvniPAL+(Q4-1)*nextPAL</f>
        <v>180</v>
      </c>
      <c r="N7" s="6"/>
      <c r="O7" s="6"/>
      <c r="P7" s="6"/>
      <c r="Q7" s="6"/>
      <c r="R7" s="6"/>
      <c r="S7" s="87"/>
      <c r="T7" s="6" t="s">
        <v>8392</v>
      </c>
      <c r="U7" s="6"/>
      <c r="V7" s="6"/>
      <c r="W7" s="6"/>
      <c r="X7" s="6"/>
      <c r="Y7" s="6"/>
      <c r="Z7" s="6"/>
      <c r="AA7" s="6"/>
      <c r="AB7" s="6"/>
      <c r="AC7" s="6"/>
      <c r="AD7" s="105"/>
      <c r="AE7" s="107"/>
      <c r="AF7" s="108"/>
      <c r="AG7" s="106"/>
      <c r="AH7" s="6"/>
      <c r="AI7" s="6"/>
      <c r="AJ7" s="6"/>
      <c r="AK7" s="6"/>
      <c r="AL7" s="6"/>
      <c r="AM7" s="6"/>
      <c r="AN7" s="6"/>
      <c r="AO7" s="6"/>
      <c r="AP7" s="6"/>
      <c r="AQ7" s="6"/>
      <c r="AR7" s="6"/>
      <c r="AS7" s="6"/>
      <c r="AT7" s="6"/>
      <c r="AU7" s="6"/>
      <c r="AV7" s="6"/>
      <c r="AW7" s="6"/>
    </row>
    <row r="8" spans="1:49">
      <c r="A8" s="6"/>
      <c r="B8" s="17" t="s">
        <v>2477</v>
      </c>
      <c r="C8" s="2" t="str">
        <f>IFERROR(VLOOKUP(B8,'Deutsche Markt'!C:AA,24,FALSE),"")</f>
        <v/>
      </c>
      <c r="D8" s="2">
        <f>IFERROR(VLOOKUP(B8,'Deutsche Markt'!C:AA,25,FALSE),0)</f>
        <v>0</v>
      </c>
      <c r="E8" s="2">
        <f t="shared" si="1"/>
        <v>0</v>
      </c>
      <c r="F8" s="2">
        <f t="shared" si="2"/>
        <v>0</v>
      </c>
      <c r="G8" s="2">
        <f t="shared" si="3"/>
        <v>0</v>
      </c>
      <c r="H8" s="2">
        <f t="shared" si="4"/>
        <v>0</v>
      </c>
      <c r="I8" s="2">
        <f t="shared" si="0"/>
        <v>0</v>
      </c>
      <c r="J8">
        <f>IFERROR(VLOOKUP(B8,'General price list'!C:AI,12,FALSE)*(G8*C8),0)</f>
        <v>0</v>
      </c>
      <c r="K8" s="6"/>
      <c r="L8" s="66" t="s">
        <v>8388</v>
      </c>
      <c r="M8" s="2">
        <f>SUM(D:D)*VK</f>
        <v>20</v>
      </c>
      <c r="N8" s="6"/>
      <c r="O8" s="6"/>
      <c r="P8" s="6"/>
      <c r="Q8" s="6"/>
      <c r="R8" s="6"/>
      <c r="S8" s="6"/>
      <c r="T8" s="6"/>
      <c r="U8" s="6"/>
      <c r="V8" s="6"/>
      <c r="W8" s="6"/>
      <c r="X8" s="6"/>
      <c r="Y8" s="6"/>
      <c r="Z8" s="6"/>
      <c r="AA8" s="6"/>
      <c r="AB8" s="6"/>
      <c r="AC8" s="6"/>
      <c r="AD8" s="105"/>
      <c r="AE8" s="107"/>
      <c r="AF8" s="108"/>
      <c r="AG8" s="106"/>
      <c r="AH8" s="6"/>
      <c r="AI8" s="6"/>
      <c r="AJ8" s="6"/>
      <c r="AK8" s="6"/>
      <c r="AL8" s="6"/>
      <c r="AM8" s="6"/>
      <c r="AN8" s="6"/>
      <c r="AO8" s="6"/>
      <c r="AP8" s="6"/>
      <c r="AQ8" s="6"/>
      <c r="AR8" s="6"/>
      <c r="AS8" s="6"/>
      <c r="AT8" s="6"/>
      <c r="AU8" s="6"/>
      <c r="AV8" s="6"/>
      <c r="AW8" s="6"/>
    </row>
    <row r="9" spans="1:49">
      <c r="A9" s="6"/>
      <c r="B9" s="17" t="s">
        <v>2479</v>
      </c>
      <c r="C9" s="2" t="str">
        <f>IFERROR(VLOOKUP(B9,'Deutsche Markt'!C:AA,24,FALSE),"")</f>
        <v/>
      </c>
      <c r="D9" s="2">
        <f>IFERROR(VLOOKUP(B9,'Deutsche Markt'!C:AA,25,FALSE),0)</f>
        <v>0</v>
      </c>
      <c r="E9" s="2">
        <f t="shared" si="1"/>
        <v>0</v>
      </c>
      <c r="F9" s="2">
        <f t="shared" si="2"/>
        <v>0</v>
      </c>
      <c r="G9" s="2">
        <f t="shared" si="3"/>
        <v>0</v>
      </c>
      <c r="H9" s="2">
        <f t="shared" si="4"/>
        <v>0</v>
      </c>
      <c r="I9" s="2">
        <f t="shared" si="0"/>
        <v>0</v>
      </c>
      <c r="J9">
        <f>IFERROR(VLOOKUP(B9,'General price list'!C:AI,12,FALSE)*(G9*C9),0)</f>
        <v>0</v>
      </c>
      <c r="K9" s="6"/>
      <c r="O9" s="6"/>
      <c r="P9" s="6"/>
      <c r="Q9" s="6"/>
      <c r="R9" s="6"/>
      <c r="S9" s="101"/>
      <c r="T9" s="6" t="s">
        <v>8415</v>
      </c>
      <c r="U9" s="6"/>
      <c r="V9" s="6"/>
      <c r="W9" s="6"/>
      <c r="X9" s="6"/>
      <c r="Y9" s="6"/>
      <c r="Z9" s="6"/>
      <c r="AA9" s="6"/>
      <c r="AB9" s="6"/>
      <c r="AC9" s="6"/>
      <c r="AD9" s="105"/>
      <c r="AE9" s="107"/>
      <c r="AF9" s="108"/>
      <c r="AG9" s="106"/>
      <c r="AH9" s="6"/>
      <c r="AI9" s="6"/>
      <c r="AJ9" s="6"/>
      <c r="AK9" s="6"/>
      <c r="AL9" s="6"/>
      <c r="AM9" s="6"/>
      <c r="AN9" s="6"/>
      <c r="AO9" s="6"/>
      <c r="AP9" s="6"/>
      <c r="AQ9" s="6"/>
      <c r="AR9" s="6"/>
      <c r="AS9" s="6"/>
      <c r="AT9" s="6"/>
      <c r="AU9" s="6"/>
      <c r="AV9" s="6"/>
      <c r="AW9" s="6"/>
    </row>
    <row r="10" spans="1:49">
      <c r="A10" s="6"/>
      <c r="B10" s="16" t="s">
        <v>122</v>
      </c>
      <c r="C10" s="2">
        <f>IFERROR(VLOOKUP(B10,'Deutsche Markt'!C:AA,24,FALSE),"")</f>
        <v>63</v>
      </c>
      <c r="D10" s="2">
        <f>IFERROR(VLOOKUP(B10,'Deutsche Markt'!C:AA,25,FALSE),0)</f>
        <v>0</v>
      </c>
      <c r="E10" s="2">
        <f t="shared" si="1"/>
        <v>0</v>
      </c>
      <c r="F10" s="2">
        <f t="shared" si="2"/>
        <v>0</v>
      </c>
      <c r="G10" s="2">
        <f t="shared" si="3"/>
        <v>0</v>
      </c>
      <c r="H10" s="2">
        <f t="shared" si="4"/>
        <v>0</v>
      </c>
      <c r="I10" s="2">
        <f t="shared" si="0"/>
        <v>0</v>
      </c>
      <c r="J10">
        <f>IFERROR(VLOOKUP(B10,'General price list'!C:AI,12,FALSE)*(G10*C10),0)</f>
        <v>0</v>
      </c>
      <c r="K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row>
    <row r="11" spans="1:49">
      <c r="A11" s="6"/>
      <c r="B11" s="17" t="s">
        <v>125</v>
      </c>
      <c r="C11" s="2">
        <f>IFERROR(VLOOKUP(B11,'Deutsche Markt'!C:AA,24,FALSE),"")</f>
        <v>63</v>
      </c>
      <c r="D11" s="2">
        <f>IFERROR(VLOOKUP(B11,'Deutsche Markt'!C:AA,25,FALSE),0)</f>
        <v>0</v>
      </c>
      <c r="E11" s="2">
        <f t="shared" si="1"/>
        <v>0</v>
      </c>
      <c r="F11" s="2">
        <f t="shared" si="2"/>
        <v>0</v>
      </c>
      <c r="G11" s="2">
        <f t="shared" si="3"/>
        <v>0</v>
      </c>
      <c r="H11" s="2">
        <f t="shared" si="4"/>
        <v>0</v>
      </c>
      <c r="I11" s="2">
        <f t="shared" si="0"/>
        <v>0</v>
      </c>
      <c r="J11">
        <f>IFERROR(VLOOKUP(B11,'General price list'!C:AI,12,FALSE)*(G11*C11),0)</f>
        <v>0</v>
      </c>
      <c r="K11" s="6"/>
      <c r="O11" s="6"/>
      <c r="P11" s="6"/>
      <c r="Q11" s="6"/>
      <c r="R11" s="6"/>
      <c r="S11" s="70"/>
      <c r="T11" s="71"/>
      <c r="U11" s="70" t="s">
        <v>8389</v>
      </c>
      <c r="V11" s="71" t="s">
        <v>8390</v>
      </c>
      <c r="W11" s="70" t="s">
        <v>8391</v>
      </c>
      <c r="X11" s="71" t="s">
        <v>8390</v>
      </c>
      <c r="Y11" s="6"/>
      <c r="Z11" s="6"/>
      <c r="AA11" s="6"/>
      <c r="AB11" s="6"/>
      <c r="AC11" s="6"/>
      <c r="AD11" s="6"/>
      <c r="AE11" s="6"/>
      <c r="AF11" s="6"/>
      <c r="AG11" s="6"/>
      <c r="AH11" s="6"/>
      <c r="AI11" s="6"/>
      <c r="AJ11" s="6"/>
      <c r="AK11" s="6"/>
      <c r="AL11" s="6"/>
      <c r="AM11" s="6"/>
      <c r="AN11" s="6"/>
      <c r="AO11" s="6"/>
      <c r="AP11" s="6"/>
      <c r="AQ11" s="6"/>
      <c r="AR11" s="6"/>
      <c r="AS11" s="6"/>
      <c r="AT11" s="6"/>
      <c r="AU11" s="6"/>
      <c r="AV11" s="6"/>
      <c r="AW11" s="6"/>
    </row>
    <row r="12" spans="1:49">
      <c r="A12" s="6"/>
      <c r="B12" s="17" t="s">
        <v>126</v>
      </c>
      <c r="C12" s="2">
        <f>IFERROR(VLOOKUP(B12,'Deutsche Markt'!C:AA,24,FALSE),"")</f>
        <v>36</v>
      </c>
      <c r="D12" s="2">
        <f>IFERROR(VLOOKUP(B12,'Deutsche Markt'!C:AA,25,FALSE),0)</f>
        <v>0</v>
      </c>
      <c r="E12" s="2">
        <f t="shared" si="1"/>
        <v>0</v>
      </c>
      <c r="F12" s="2">
        <f t="shared" si="2"/>
        <v>0</v>
      </c>
      <c r="G12" s="2">
        <f t="shared" si="3"/>
        <v>0</v>
      </c>
      <c r="H12" s="2">
        <f t="shared" si="4"/>
        <v>0</v>
      </c>
      <c r="I12" s="2">
        <f t="shared" si="0"/>
        <v>0</v>
      </c>
      <c r="J12">
        <f>IFERROR(VLOOKUP(B12,'General price list'!C:AI,12,FALSE)*(G12*C12),0)</f>
        <v>0</v>
      </c>
      <c r="K12" s="6"/>
      <c r="O12" s="6"/>
      <c r="P12" s="6"/>
      <c r="Q12" s="6"/>
      <c r="R12" s="6"/>
      <c r="S12" s="72" t="s">
        <v>8393</v>
      </c>
      <c r="T12" s="73" t="s">
        <v>2661</v>
      </c>
      <c r="U12" s="74">
        <f>M4+M6+R5</f>
        <v>310</v>
      </c>
      <c r="V12" s="75">
        <f>ROUND(U12/60,0)</f>
        <v>5</v>
      </c>
      <c r="W12" s="74">
        <f>M8</f>
        <v>20</v>
      </c>
      <c r="X12" s="75">
        <f>ROUND(W12/60,0)</f>
        <v>0</v>
      </c>
      <c r="Y12" s="6"/>
      <c r="Z12" s="6"/>
      <c r="AA12" s="6"/>
      <c r="AB12" s="6"/>
      <c r="AC12" s="6"/>
      <c r="AD12" s="6"/>
      <c r="AE12" s="6"/>
      <c r="AF12" s="6"/>
      <c r="AG12" s="6"/>
      <c r="AH12" s="6"/>
      <c r="AI12" s="6"/>
      <c r="AJ12" s="6"/>
      <c r="AK12" s="6"/>
      <c r="AL12" s="6"/>
      <c r="AM12" s="6"/>
      <c r="AN12" s="6"/>
      <c r="AO12" s="6"/>
      <c r="AP12" s="6"/>
      <c r="AQ12" s="6"/>
      <c r="AR12" s="6"/>
      <c r="AS12" s="6"/>
      <c r="AT12" s="6"/>
      <c r="AU12" s="6"/>
      <c r="AV12" s="6"/>
      <c r="AW12" s="6"/>
    </row>
    <row r="13" spans="1:49">
      <c r="A13" s="6"/>
      <c r="B13" s="17" t="s">
        <v>128</v>
      </c>
      <c r="C13" s="2">
        <f>IFERROR(VLOOKUP(B13,'Deutsche Markt'!C:AA,24,FALSE),"")</f>
        <v>36</v>
      </c>
      <c r="D13" s="2">
        <f>IFERROR(VLOOKUP(B13,'Deutsche Markt'!C:AA,25,FALSE),0)</f>
        <v>0</v>
      </c>
      <c r="E13" s="2">
        <f t="shared" si="1"/>
        <v>0</v>
      </c>
      <c r="F13" s="2">
        <f t="shared" si="2"/>
        <v>0</v>
      </c>
      <c r="G13" s="2">
        <f t="shared" si="3"/>
        <v>0</v>
      </c>
      <c r="H13" s="2">
        <f t="shared" si="4"/>
        <v>0</v>
      </c>
      <c r="I13" s="2">
        <f t="shared" si="0"/>
        <v>0</v>
      </c>
      <c r="J13">
        <f>IFERROR(VLOOKUP(B13,'General price list'!C:AI,12,FALSE)*(G13*C13),0)</f>
        <v>0</v>
      </c>
      <c r="K13" s="6"/>
      <c r="O13" s="6"/>
      <c r="P13" s="6"/>
      <c r="Q13" s="6"/>
      <c r="R13" s="6"/>
      <c r="S13" s="72"/>
      <c r="T13" s="73" t="s">
        <v>2660</v>
      </c>
      <c r="U13" s="74">
        <f>M4+M5+R5</f>
        <v>300</v>
      </c>
      <c r="V13" s="75">
        <f>ROUND(U13/60,0)</f>
        <v>5</v>
      </c>
      <c r="W13" s="74">
        <f>M7</f>
        <v>180</v>
      </c>
      <c r="X13" s="75">
        <f>ROUND(W13/60,0)</f>
        <v>3</v>
      </c>
      <c r="Y13" s="6"/>
      <c r="Z13" s="6"/>
      <c r="AA13" s="6"/>
      <c r="AB13" s="6"/>
      <c r="AC13" s="6"/>
      <c r="AD13" s="6"/>
      <c r="AE13" s="6"/>
      <c r="AF13" s="6"/>
      <c r="AG13" s="6"/>
      <c r="AH13" s="6"/>
      <c r="AI13" s="6"/>
      <c r="AJ13" s="6"/>
      <c r="AK13" s="6"/>
      <c r="AL13" s="6"/>
      <c r="AM13" s="6"/>
      <c r="AN13" s="6"/>
      <c r="AO13" s="6"/>
      <c r="AP13" s="6"/>
      <c r="AQ13" s="6"/>
      <c r="AR13" s="6"/>
      <c r="AS13" s="6"/>
      <c r="AT13" s="6"/>
      <c r="AU13" s="6"/>
      <c r="AV13" s="6"/>
      <c r="AW13" s="6"/>
    </row>
    <row r="14" spans="1:49" ht="15.75" thickBot="1">
      <c r="A14" s="6"/>
      <c r="B14" s="17" t="s">
        <v>2299</v>
      </c>
      <c r="C14" s="2" t="str">
        <f>IFERROR(VLOOKUP(B14,'Deutsche Markt'!C:AA,24,FALSE),"")</f>
        <v/>
      </c>
      <c r="D14" s="2">
        <f>IFERROR(VLOOKUP(B14,'Deutsche Markt'!C:AA,25,FALSE),0)</f>
        <v>0</v>
      </c>
      <c r="E14" s="2">
        <f t="shared" si="1"/>
        <v>0</v>
      </c>
      <c r="F14" s="2">
        <f t="shared" si="2"/>
        <v>0</v>
      </c>
      <c r="G14" s="2">
        <f t="shared" si="3"/>
        <v>0</v>
      </c>
      <c r="H14" s="2">
        <f t="shared" si="4"/>
        <v>0</v>
      </c>
      <c r="I14" s="2">
        <f t="shared" si="0"/>
        <v>0</v>
      </c>
      <c r="J14">
        <f>IFERROR(VLOOKUP(B14,'General price list'!C:AI,12,FALSE)*(G14*C14),0)</f>
        <v>0</v>
      </c>
      <c r="K14" s="6"/>
      <c r="O14" s="6"/>
      <c r="P14" s="6"/>
      <c r="Q14" s="6"/>
      <c r="R14" s="6"/>
      <c r="S14" s="72"/>
      <c r="T14" s="76">
        <v>1</v>
      </c>
      <c r="U14" s="72">
        <v>2</v>
      </c>
      <c r="V14" s="76">
        <v>3</v>
      </c>
      <c r="W14" s="72">
        <v>4</v>
      </c>
      <c r="X14" s="76">
        <v>5</v>
      </c>
      <c r="Y14" s="6"/>
      <c r="Z14" s="6"/>
      <c r="AA14" s="6"/>
      <c r="AB14" s="6"/>
      <c r="AC14" s="6"/>
      <c r="AD14" s="6"/>
      <c r="AE14" s="6"/>
      <c r="AF14" s="6"/>
      <c r="AG14" s="6"/>
      <c r="AH14" s="6"/>
      <c r="AI14" s="6"/>
      <c r="AJ14" s="6"/>
      <c r="AK14" s="6"/>
      <c r="AL14" s="6"/>
      <c r="AM14" s="6"/>
      <c r="AN14" s="6"/>
      <c r="AO14" s="6"/>
      <c r="AP14" s="6"/>
      <c r="AQ14" s="6"/>
      <c r="AR14" s="6"/>
      <c r="AS14" s="6"/>
      <c r="AT14" s="6"/>
      <c r="AU14" s="6"/>
      <c r="AV14" s="6"/>
      <c r="AW14" s="6"/>
    </row>
    <row r="15" spans="1:49" ht="16.5" thickTop="1" thickBot="1">
      <c r="A15" s="6"/>
      <c r="B15" s="11" t="s">
        <v>2331</v>
      </c>
      <c r="C15" s="2">
        <f>IFERROR(VLOOKUP(B15,'Deutsche Markt'!C:AA,24,FALSE),"")</f>
        <v>66</v>
      </c>
      <c r="D15" s="2">
        <f>IFERROR(VLOOKUP(B15,'Deutsche Markt'!C:AA,25,FALSE),0)</f>
        <v>0</v>
      </c>
      <c r="E15" s="2">
        <f t="shared" si="1"/>
        <v>0</v>
      </c>
      <c r="F15" s="2">
        <f t="shared" si="2"/>
        <v>0</v>
      </c>
      <c r="G15" s="2">
        <f t="shared" si="3"/>
        <v>0</v>
      </c>
      <c r="H15" s="2">
        <f t="shared" si="4"/>
        <v>0</v>
      </c>
      <c r="I15" s="2">
        <f t="shared" si="0"/>
        <v>0</v>
      </c>
      <c r="J15">
        <f>IFERROR(VLOOKUP(B15,'General price list'!C:AI,12,FALSE)*(G15*C15),0)</f>
        <v>0</v>
      </c>
      <c r="K15" s="6"/>
      <c r="O15" s="6"/>
      <c r="P15" s="6"/>
      <c r="Q15" s="6"/>
      <c r="R15" s="6"/>
      <c r="S15" s="1237" t="s">
        <v>8394</v>
      </c>
      <c r="T15" s="1238"/>
      <c r="U15" s="1258" t="s">
        <v>8395</v>
      </c>
      <c r="V15" s="1259"/>
      <c r="W15" s="1238" t="s">
        <v>8396</v>
      </c>
      <c r="X15" s="1260"/>
      <c r="Y15" s="6"/>
      <c r="Z15" s="6"/>
      <c r="AA15" s="6"/>
      <c r="AB15" s="6"/>
      <c r="AC15" s="6"/>
      <c r="AD15" s="6"/>
      <c r="AE15" s="6"/>
      <c r="AF15" s="6"/>
      <c r="AG15" s="6"/>
      <c r="AH15" s="6"/>
      <c r="AI15" s="6"/>
      <c r="AJ15" s="6"/>
      <c r="AK15" s="6"/>
      <c r="AL15" s="6"/>
      <c r="AM15" s="6"/>
      <c r="AN15" s="6"/>
      <c r="AO15" s="6"/>
      <c r="AP15" s="6"/>
      <c r="AQ15" s="6"/>
      <c r="AR15" s="6"/>
      <c r="AS15" s="6"/>
      <c r="AT15" s="6"/>
      <c r="AU15" s="6"/>
      <c r="AV15" s="6"/>
      <c r="AW15" s="6"/>
    </row>
    <row r="16" spans="1:49" ht="16.5" thickTop="1" thickBot="1">
      <c r="A16" s="6"/>
      <c r="B16" s="11" t="s">
        <v>1016</v>
      </c>
      <c r="C16" s="2">
        <f>IFERROR(VLOOKUP(B16,'Deutsche Markt'!C:AA,24,FALSE),"")</f>
        <v>63</v>
      </c>
      <c r="D16" s="2">
        <f>IFERROR(VLOOKUP(B16,'Deutsche Markt'!C:AA,25,FALSE),0)</f>
        <v>0</v>
      </c>
      <c r="E16" s="2">
        <f t="shared" si="1"/>
        <v>0</v>
      </c>
      <c r="F16" s="2">
        <f t="shared" si="2"/>
        <v>0</v>
      </c>
      <c r="G16" s="2">
        <f t="shared" si="3"/>
        <v>0</v>
      </c>
      <c r="H16" s="2">
        <f t="shared" si="4"/>
        <v>0</v>
      </c>
      <c r="I16" s="2">
        <f t="shared" si="0"/>
        <v>0</v>
      </c>
      <c r="J16">
        <f>IFERROR(VLOOKUP(B16,'General price list'!C:AI,12,FALSE)*(G16*C16),0)</f>
        <v>0</v>
      </c>
      <c r="K16" s="6"/>
      <c r="O16" s="6"/>
      <c r="P16" s="6"/>
      <c r="Q16" s="6"/>
      <c r="R16" s="6"/>
      <c r="S16" s="1228" t="s">
        <v>8400</v>
      </c>
      <c r="T16" s="1229"/>
      <c r="U16" s="1229"/>
      <c r="V16" s="1229"/>
      <c r="W16" s="1229"/>
      <c r="X16" s="1230"/>
      <c r="Y16" s="6"/>
      <c r="Z16" s="6"/>
      <c r="AA16" s="6"/>
      <c r="AB16" s="6"/>
      <c r="AC16" s="6"/>
      <c r="AD16" s="6"/>
      <c r="AE16" s="6"/>
      <c r="AF16" s="6"/>
      <c r="AG16" s="6"/>
      <c r="AH16" s="6"/>
      <c r="AI16" s="6"/>
      <c r="AJ16" s="6"/>
      <c r="AK16" s="6"/>
      <c r="AL16" s="6"/>
      <c r="AM16" s="6"/>
      <c r="AN16" s="6"/>
      <c r="AO16" s="6"/>
      <c r="AP16" s="6"/>
      <c r="AQ16" s="6"/>
      <c r="AR16" s="6"/>
      <c r="AS16" s="6"/>
      <c r="AT16" s="6"/>
      <c r="AU16" s="6"/>
      <c r="AV16" s="6"/>
      <c r="AW16" s="6"/>
    </row>
    <row r="17" spans="1:49" ht="16.5" thickTop="1" thickBot="1">
      <c r="A17" s="6"/>
      <c r="B17" s="89" t="s">
        <v>1012</v>
      </c>
      <c r="C17" s="2" t="str">
        <f>IFERROR(VLOOKUP(B17,'Deutsche Markt'!C:AA,24,FALSE),"")</f>
        <v>21</v>
      </c>
      <c r="D17" s="2">
        <f>IFERROR(VLOOKUP(B17,'Deutsche Markt'!C:AA,25,FALSE),0)</f>
        <v>0</v>
      </c>
      <c r="E17" s="2">
        <f t="shared" si="1"/>
        <v>0</v>
      </c>
      <c r="F17" s="2">
        <f t="shared" si="2"/>
        <v>0</v>
      </c>
      <c r="G17" s="2">
        <f t="shared" si="3"/>
        <v>0</v>
      </c>
      <c r="H17" s="2">
        <f t="shared" si="4"/>
        <v>0</v>
      </c>
      <c r="I17" s="2">
        <f t="shared" si="0"/>
        <v>0</v>
      </c>
      <c r="J17">
        <f>IFERROR(VLOOKUP(B17,'General price list'!C:AI,12,FALSE)*(G17*C17),0)</f>
        <v>0</v>
      </c>
      <c r="K17" s="6"/>
      <c r="O17" s="6"/>
      <c r="P17" s="6"/>
      <c r="Q17" s="6"/>
      <c r="R17" s="6"/>
      <c r="S17" s="1237" t="s">
        <v>8410</v>
      </c>
      <c r="T17" s="1238"/>
      <c r="U17" s="84" t="s">
        <v>8409</v>
      </c>
      <c r="V17" s="82" t="s">
        <v>2239</v>
      </c>
      <c r="W17" s="81" t="s">
        <v>8409</v>
      </c>
      <c r="X17" s="83" t="s">
        <v>2239</v>
      </c>
      <c r="Y17" s="6"/>
      <c r="Z17" s="6"/>
      <c r="AA17" s="6"/>
      <c r="AB17" s="6"/>
      <c r="AC17" s="6"/>
      <c r="AD17" s="6"/>
      <c r="AE17" s="6"/>
      <c r="AF17" s="6"/>
      <c r="AG17" s="6"/>
      <c r="AH17" s="6"/>
      <c r="AI17" s="6"/>
      <c r="AJ17" s="6"/>
      <c r="AK17" s="6"/>
      <c r="AL17" s="6"/>
      <c r="AM17" s="6"/>
      <c r="AN17" s="6"/>
      <c r="AO17" s="6"/>
      <c r="AP17" s="6"/>
      <c r="AQ17" s="6"/>
      <c r="AR17" s="6"/>
      <c r="AS17" s="6"/>
      <c r="AT17" s="6"/>
      <c r="AU17" s="6"/>
      <c r="AV17" s="6"/>
      <c r="AW17" s="6"/>
    </row>
    <row r="18" spans="1:49" ht="16.5" thickTop="1" thickBot="1">
      <c r="A18" s="6"/>
      <c r="B18" s="89" t="s">
        <v>1019</v>
      </c>
      <c r="C18" s="2" t="str">
        <f>IFERROR(VLOOKUP(B18,'Deutsche Markt'!C:AA,24,FALSE),"")</f>
        <v/>
      </c>
      <c r="D18" s="2">
        <f>IFERROR(VLOOKUP(B18,'Deutsche Markt'!C:AA,25,FALSE),0)</f>
        <v>0</v>
      </c>
      <c r="E18" s="2">
        <f t="shared" si="1"/>
        <v>0</v>
      </c>
      <c r="F18" s="2">
        <f t="shared" si="2"/>
        <v>0</v>
      </c>
      <c r="G18" s="2">
        <f t="shared" si="3"/>
        <v>0</v>
      </c>
      <c r="H18" s="2">
        <f t="shared" si="4"/>
        <v>0</v>
      </c>
      <c r="I18" s="2">
        <f t="shared" si="0"/>
        <v>0</v>
      </c>
      <c r="J18">
        <f>IFERROR(VLOOKUP(B18,'General price list'!C:AI,12,FALSE)*(G18*C18),0)</f>
        <v>0</v>
      </c>
      <c r="K18" s="6"/>
      <c r="L18" s="6"/>
      <c r="M18" s="6"/>
      <c r="N18" s="6"/>
      <c r="O18" s="6"/>
      <c r="P18" s="6"/>
      <c r="Q18" s="6"/>
      <c r="R18" s="6"/>
      <c r="S18" s="1231" t="str">
        <f>W21</f>
        <v>NA PALETÁCH!!!</v>
      </c>
      <c r="T18" s="1232"/>
      <c r="U18" s="114">
        <f>AD5</f>
        <v>5</v>
      </c>
      <c r="V18" s="115" t="str">
        <f>ROUND(IF('General price list'!AB6=1,VLOOKUP(U18,AH25:AM39,3,FALSE),VLOOKUP(U19,AH25:AM39,4,FALSE)),0)&amp;" min"</f>
        <v>1 min</v>
      </c>
      <c r="W18" s="115">
        <f>AF5</f>
        <v>2</v>
      </c>
      <c r="X18" s="116" t="str">
        <f>ROUND(IF('General price list'!AB6=1,VLOOKUP(W18,AH25:AM39,5,FALSE),VLOOKUP(W19,AH25:AM39,6,FALSE)),0)&amp;" min"</f>
        <v>2 min</v>
      </c>
      <c r="Y18" s="6"/>
      <c r="Z18" s="6"/>
      <c r="AA18" s="6"/>
      <c r="AB18" s="6"/>
      <c r="AC18" s="6">
        <v>14</v>
      </c>
      <c r="AD18" s="6"/>
      <c r="AE18" s="6"/>
      <c r="AF18" s="6"/>
      <c r="AG18" s="6"/>
      <c r="AH18" s="6"/>
      <c r="AI18" s="6"/>
      <c r="AJ18" s="6"/>
      <c r="AK18" s="6"/>
      <c r="AL18" s="6"/>
      <c r="AM18" s="6"/>
      <c r="AN18" s="6"/>
      <c r="AO18" s="6"/>
      <c r="AP18" s="6"/>
      <c r="AQ18" s="6"/>
      <c r="AR18" s="6"/>
      <c r="AS18" s="6"/>
      <c r="AT18" s="6"/>
      <c r="AU18" s="6"/>
      <c r="AV18" s="6"/>
      <c r="AW18" s="6"/>
    </row>
    <row r="19" spans="1:49" ht="16.5" thickTop="1" thickBot="1">
      <c r="A19" s="6"/>
      <c r="B19" s="90" t="s">
        <v>1136</v>
      </c>
      <c r="C19" s="2">
        <f>IFERROR(VLOOKUP(B19,'Deutsche Markt'!C:AA,24,FALSE),"")</f>
        <v>24</v>
      </c>
      <c r="D19" s="2">
        <f>IFERROR(VLOOKUP(B19,'Deutsche Markt'!C:AA,25,FALSE),0)</f>
        <v>0</v>
      </c>
      <c r="E19" s="2">
        <f t="shared" si="1"/>
        <v>0</v>
      </c>
      <c r="F19" s="2">
        <f t="shared" si="2"/>
        <v>0</v>
      </c>
      <c r="G19" s="2">
        <f t="shared" si="3"/>
        <v>0</v>
      </c>
      <c r="H19" s="2">
        <f t="shared" si="4"/>
        <v>0</v>
      </c>
      <c r="I19" s="2">
        <f t="shared" si="0"/>
        <v>0</v>
      </c>
      <c r="J19">
        <f>IFERROR(VLOOKUP(B19,'General price list'!C:AI,12,FALSE)*(G19*C19),0)</f>
        <v>0</v>
      </c>
      <c r="K19" s="6"/>
      <c r="L19" s="6"/>
      <c r="M19" s="6"/>
      <c r="N19" s="6"/>
      <c r="O19" s="6"/>
      <c r="P19" s="6"/>
      <c r="Q19" s="6"/>
      <c r="R19" s="6"/>
      <c r="S19" s="1233" t="s">
        <v>2660</v>
      </c>
      <c r="T19" s="1234"/>
      <c r="U19" s="117">
        <f>AD5</f>
        <v>5</v>
      </c>
      <c r="V19" s="118" t="str">
        <f>ROUND(VLOOKUP(U19,AH25:AM39,4,FALSE),0)&amp;" min"</f>
        <v>1 min</v>
      </c>
      <c r="W19" s="118">
        <f>AF5</f>
        <v>2</v>
      </c>
      <c r="X19" s="119" t="str">
        <f>ROUND(VLOOKUP(W19,AH25:AM39,6,FALSE),0)&amp;" min"</f>
        <v>2 min</v>
      </c>
      <c r="Y19" s="6"/>
      <c r="Z19" s="6"/>
      <c r="AA19" s="112"/>
      <c r="AB19" s="112"/>
      <c r="AC19" s="112"/>
      <c r="AD19" s="6"/>
      <c r="AE19" s="6"/>
      <c r="AF19" s="6"/>
      <c r="AG19" s="6"/>
      <c r="AH19" s="6"/>
      <c r="AI19" s="6"/>
      <c r="AJ19" s="6"/>
      <c r="AK19" s="6"/>
      <c r="AL19" s="6"/>
      <c r="AM19" s="6"/>
      <c r="AN19" s="6"/>
      <c r="AO19" s="6"/>
      <c r="AP19" s="6"/>
      <c r="AQ19" s="6"/>
      <c r="AR19" s="6"/>
      <c r="AS19" s="6"/>
      <c r="AT19" s="6"/>
      <c r="AU19" s="6"/>
      <c r="AV19" s="6"/>
      <c r="AW19" s="6"/>
    </row>
    <row r="20" spans="1:49" ht="15.75" thickTop="1">
      <c r="A20" s="6"/>
      <c r="B20" s="91" t="s">
        <v>1138</v>
      </c>
      <c r="C20" s="2">
        <f>IFERROR(VLOOKUP(B20,'Deutsche Markt'!C:AA,24,FALSE),"")</f>
        <v>24</v>
      </c>
      <c r="D20" s="2">
        <f>IFERROR(VLOOKUP(B20,'Deutsche Markt'!C:AA,25,FALSE),0)</f>
        <v>0</v>
      </c>
      <c r="E20" s="2">
        <f t="shared" si="1"/>
        <v>0</v>
      </c>
      <c r="F20" s="2">
        <f t="shared" si="2"/>
        <v>0</v>
      </c>
      <c r="G20" s="2">
        <f t="shared" si="3"/>
        <v>0</v>
      </c>
      <c r="H20" s="2">
        <f t="shared" si="4"/>
        <v>0</v>
      </c>
      <c r="I20" s="2">
        <f t="shared" si="0"/>
        <v>0</v>
      </c>
      <c r="J20">
        <f>IFERROR(VLOOKUP(B20,'General price list'!C:AI,12,FALSE)*(G20*C20),0)</f>
        <v>0</v>
      </c>
      <c r="K20" s="6"/>
      <c r="L20" s="6"/>
      <c r="M20" s="6"/>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row>
    <row r="21" spans="1:49">
      <c r="A21" s="6"/>
      <c r="B21" s="92" t="s">
        <v>4916</v>
      </c>
      <c r="C21" s="2">
        <f>IFERROR(VLOOKUP(B21,'Deutsche Markt'!C:AA,24,FALSE),"")</f>
        <v>24</v>
      </c>
      <c r="D21" s="2">
        <f>IFERROR(VLOOKUP(B21,'Deutsche Markt'!C:AA,25,FALSE),0)</f>
        <v>0</v>
      </c>
      <c r="E21" s="2">
        <f t="shared" si="1"/>
        <v>0</v>
      </c>
      <c r="F21" s="2">
        <f t="shared" si="2"/>
        <v>0</v>
      </c>
      <c r="G21" s="2">
        <f t="shared" si="3"/>
        <v>0</v>
      </c>
      <c r="H21" s="2">
        <f t="shared" si="4"/>
        <v>0</v>
      </c>
      <c r="I21" s="2">
        <f t="shared" si="0"/>
        <v>0</v>
      </c>
      <c r="J21">
        <f>IFERROR(VLOOKUP(B21,'General price list'!C:AI,12,FALSE)*(G21*C21),0)</f>
        <v>0</v>
      </c>
      <c r="K21" s="6"/>
      <c r="L21" s="6"/>
      <c r="M21" s="6"/>
      <c r="N21" s="6"/>
      <c r="O21" s="1239" t="s">
        <v>8425</v>
      </c>
      <c r="P21" s="1239"/>
      <c r="Q21" s="1239"/>
      <c r="R21" s="1239"/>
      <c r="S21" s="1239"/>
      <c r="T21" s="1239"/>
      <c r="U21" s="1239"/>
      <c r="V21" s="1239"/>
      <c r="W21" s="1240" t="str">
        <f>IF('General price list'!AB6=2,"NA PALETÁCH!!!","NA VOLNO!!")</f>
        <v>NA PALETÁCH!!!</v>
      </c>
      <c r="X21" s="1240"/>
      <c r="Y21" s="1240"/>
      <c r="Z21" s="1240"/>
      <c r="AA21" s="6"/>
      <c r="AB21" s="6"/>
      <c r="AC21" s="6"/>
      <c r="AD21" s="6"/>
      <c r="AE21" s="6"/>
      <c r="AF21" s="6"/>
      <c r="AG21" s="6"/>
      <c r="AH21" s="93" t="s">
        <v>8401</v>
      </c>
      <c r="AI21" s="9">
        <v>1</v>
      </c>
      <c r="AJ21" s="6"/>
      <c r="AK21" s="6"/>
      <c r="AL21" s="6"/>
      <c r="AM21" s="6"/>
      <c r="AN21" s="6"/>
      <c r="AO21" s="6"/>
      <c r="AP21" s="6"/>
      <c r="AQ21" s="6"/>
      <c r="AR21" s="6"/>
      <c r="AS21" s="6"/>
      <c r="AT21" s="6"/>
      <c r="AU21" s="6"/>
      <c r="AV21" s="6"/>
      <c r="AW21" s="6"/>
    </row>
    <row r="22" spans="1:49" ht="15" customHeight="1">
      <c r="A22" s="6"/>
      <c r="B22" s="92" t="s">
        <v>1139</v>
      </c>
      <c r="C22" s="2">
        <f>IFERROR(VLOOKUP(B22,'Deutsche Markt'!C:AA,24,FALSE),"")</f>
        <v>24</v>
      </c>
      <c r="D22" s="2">
        <f>IFERROR(VLOOKUP(B22,'Deutsche Markt'!C:AA,25,FALSE),0)</f>
        <v>0</v>
      </c>
      <c r="E22" s="2">
        <f t="shared" si="1"/>
        <v>0</v>
      </c>
      <c r="F22" s="2">
        <f t="shared" si="2"/>
        <v>0</v>
      </c>
      <c r="G22" s="2">
        <f t="shared" si="3"/>
        <v>0</v>
      </c>
      <c r="H22" s="2">
        <f t="shared" si="4"/>
        <v>0</v>
      </c>
      <c r="I22" s="2">
        <f t="shared" si="0"/>
        <v>0</v>
      </c>
      <c r="J22">
        <f>IFERROR(VLOOKUP(B22,'General price list'!C:AI,12,FALSE)*(G22*C22),0)</f>
        <v>0</v>
      </c>
      <c r="K22" s="6"/>
      <c r="L22" s="6"/>
      <c r="M22" s="6"/>
      <c r="N22" s="6"/>
      <c r="O22" s="1239"/>
      <c r="P22" s="1239"/>
      <c r="Q22" s="1239"/>
      <c r="R22" s="1239"/>
      <c r="S22" s="1239"/>
      <c r="T22" s="1239"/>
      <c r="U22" s="1239"/>
      <c r="V22" s="1239"/>
      <c r="W22" s="1240"/>
      <c r="X22" s="1240"/>
      <c r="Y22" s="1240"/>
      <c r="Z22" s="1240"/>
      <c r="AA22" s="6"/>
      <c r="AB22" s="6"/>
      <c r="AC22" s="6"/>
      <c r="AD22" s="6"/>
      <c r="AE22" s="6"/>
      <c r="AF22" s="6"/>
      <c r="AG22" s="6"/>
      <c r="AH22" s="9">
        <v>1</v>
      </c>
      <c r="AI22" s="9">
        <v>2</v>
      </c>
      <c r="AJ22" s="9">
        <v>3</v>
      </c>
      <c r="AK22" s="9">
        <v>4</v>
      </c>
      <c r="AL22" s="9">
        <v>5</v>
      </c>
      <c r="AM22" s="9">
        <v>6</v>
      </c>
      <c r="AN22" s="6"/>
      <c r="AO22" s="6"/>
      <c r="AP22" s="6"/>
      <c r="AQ22" s="187" t="str">
        <f ca="1">IF('Deutsche Markt'!AJ3&gt;0,IF(OR(AR22="",AS22=""),"1.1G","1.1G, "),"")</f>
        <v/>
      </c>
      <c r="AR22" s="187" t="str">
        <f ca="1">IF('Deutsche Markt'!AK3&gt;0,IF(AS22="","1.3G","1.3G, "),"")</f>
        <v/>
      </c>
      <c r="AS22" s="187" t="str">
        <f ca="1">IF('Deutsche Markt'!AL3&gt;0,"1.4G","")</f>
        <v/>
      </c>
      <c r="AT22" s="6"/>
      <c r="AU22" s="6"/>
      <c r="AV22" s="6"/>
      <c r="AW22" s="6"/>
    </row>
    <row r="23" spans="1:49" ht="15" customHeight="1">
      <c r="A23" s="6"/>
      <c r="B23" s="89" t="s">
        <v>13235</v>
      </c>
      <c r="C23" s="2" t="str">
        <f>IFERROR(VLOOKUP(B23,'Deutsche Markt'!C:AA,24,FALSE),"")</f>
        <v/>
      </c>
      <c r="D23" s="2">
        <f>IFERROR(VLOOKUP(B23,'Deutsche Markt'!C:AA,25,FALSE),0)</f>
        <v>0</v>
      </c>
      <c r="E23" s="2">
        <f t="shared" si="1"/>
        <v>0</v>
      </c>
      <c r="F23" s="2">
        <f t="shared" si="2"/>
        <v>0</v>
      </c>
      <c r="G23" s="2">
        <f t="shared" si="3"/>
        <v>0</v>
      </c>
      <c r="H23" s="2">
        <f t="shared" si="4"/>
        <v>0</v>
      </c>
      <c r="I23" s="2">
        <f t="shared" si="0"/>
        <v>0</v>
      </c>
      <c r="J23">
        <f>IFERROR(VLOOKUP(B23,'General price list'!C:AI,12,FALSE)*(G23*C23),0)</f>
        <v>0</v>
      </c>
      <c r="K23" s="6"/>
      <c r="L23" s="6"/>
      <c r="M23" s="6"/>
      <c r="N23" s="6"/>
      <c r="O23" s="6"/>
      <c r="P23" s="6"/>
      <c r="Q23" s="6"/>
      <c r="R23" s="6"/>
      <c r="S23" s="6"/>
      <c r="T23" s="6"/>
      <c r="U23" s="6"/>
      <c r="V23" s="6"/>
      <c r="W23" s="6"/>
      <c r="X23" s="6"/>
      <c r="Y23" s="6"/>
      <c r="Z23" s="6"/>
      <c r="AA23" s="6"/>
      <c r="AB23" s="6"/>
      <c r="AC23" s="6"/>
      <c r="AD23" s="6"/>
      <c r="AE23" s="6"/>
      <c r="AF23" s="6"/>
      <c r="AG23" s="6"/>
      <c r="AH23" s="94" t="s">
        <v>8398</v>
      </c>
      <c r="AI23" s="94" t="s">
        <v>8402</v>
      </c>
      <c r="AJ23" s="1235" t="s">
        <v>8403</v>
      </c>
      <c r="AK23" s="1236"/>
      <c r="AL23" s="1235" t="s">
        <v>8404</v>
      </c>
      <c r="AM23" s="1236"/>
      <c r="AN23" s="6"/>
      <c r="AO23" s="6"/>
      <c r="AP23" s="6"/>
      <c r="AQ23" s="6"/>
      <c r="AR23" s="6"/>
      <c r="AS23" s="6"/>
      <c r="AT23" s="6"/>
      <c r="AU23" s="6"/>
      <c r="AV23" s="6"/>
      <c r="AW23" s="6"/>
    </row>
    <row r="24" spans="1:49" ht="19.5" thickBot="1">
      <c r="A24" s="6"/>
      <c r="B24" s="90" t="s">
        <v>2341</v>
      </c>
      <c r="C24" s="2">
        <f>IFERROR(VLOOKUP(B24,'Deutsche Markt'!C:AA,24,FALSE),"")</f>
        <v>22</v>
      </c>
      <c r="D24" s="2">
        <f>IFERROR(VLOOKUP(B24,'Deutsche Markt'!C:AA,25,FALSE),0)</f>
        <v>0</v>
      </c>
      <c r="E24" s="2">
        <f t="shared" si="1"/>
        <v>0</v>
      </c>
      <c r="F24" s="2">
        <f t="shared" si="2"/>
        <v>0</v>
      </c>
      <c r="G24" s="2">
        <f t="shared" si="3"/>
        <v>0</v>
      </c>
      <c r="H24" s="2">
        <f t="shared" si="4"/>
        <v>0</v>
      </c>
      <c r="I24" s="2">
        <f t="shared" si="0"/>
        <v>0</v>
      </c>
      <c r="J24">
        <f>IFERROR(VLOOKUP(B24,'General price list'!C:AI,12,FALSE)*(G24*C24),0)</f>
        <v>0</v>
      </c>
      <c r="K24" s="6"/>
      <c r="L24" s="6"/>
      <c r="M24" s="6"/>
      <c r="N24" s="6"/>
      <c r="O24" s="6"/>
      <c r="P24" s="6"/>
      <c r="Q24" s="6"/>
      <c r="R24" s="6"/>
      <c r="S24" s="6"/>
      <c r="T24" s="1250" t="str">
        <f>"Uvést skutečný počet palet! Odhad je "&amp;Q4&amp;" palet."</f>
        <v>Uvést skutečný počet palet! Odhad je 0 palet.</v>
      </c>
      <c r="U24" s="1250"/>
      <c r="V24" s="1250"/>
      <c r="W24" s="1250"/>
      <c r="X24" s="1250"/>
      <c r="Y24" s="6"/>
      <c r="Z24" s="6"/>
      <c r="AA24" s="6"/>
      <c r="AB24" s="6"/>
      <c r="AC24" s="6"/>
      <c r="AD24" s="6"/>
      <c r="AE24" s="6"/>
      <c r="AF24" s="6"/>
      <c r="AG24" s="6"/>
      <c r="AH24" s="95" t="s">
        <v>8405</v>
      </c>
      <c r="AI24" s="95" t="s">
        <v>8406</v>
      </c>
      <c r="AJ24" s="95" t="s">
        <v>2913</v>
      </c>
      <c r="AK24" s="95" t="s">
        <v>8407</v>
      </c>
      <c r="AL24" s="95" t="s">
        <v>2913</v>
      </c>
      <c r="AM24" s="95" t="s">
        <v>8408</v>
      </c>
      <c r="AN24" s="6"/>
      <c r="AO24" s="6"/>
      <c r="AP24" s="1219" t="s">
        <v>13529</v>
      </c>
      <c r="AQ24" s="1219"/>
      <c r="AR24" s="1219"/>
      <c r="AS24" s="1219"/>
      <c r="AT24" s="1219"/>
      <c r="AU24" s="6"/>
      <c r="AV24" s="6"/>
      <c r="AW24" s="6"/>
    </row>
    <row r="25" spans="1:49" ht="18.75">
      <c r="A25" s="6"/>
      <c r="B25" s="90" t="s">
        <v>2340</v>
      </c>
      <c r="C25" s="2">
        <f>IFERROR(VLOOKUP(B25,'Deutsche Markt'!C:AA,24,FALSE),"")</f>
        <v>22</v>
      </c>
      <c r="D25" s="2">
        <f>IFERROR(VLOOKUP(B25,'Deutsche Markt'!C:AA,25,FALSE),0)</f>
        <v>0</v>
      </c>
      <c r="E25" s="2">
        <f t="shared" si="1"/>
        <v>0</v>
      </c>
      <c r="F25" s="2">
        <f t="shared" si="2"/>
        <v>0</v>
      </c>
      <c r="G25" s="2">
        <f t="shared" si="3"/>
        <v>0</v>
      </c>
      <c r="H25" s="2">
        <f t="shared" si="4"/>
        <v>0</v>
      </c>
      <c r="I25" s="2">
        <f t="shared" si="0"/>
        <v>0</v>
      </c>
      <c r="J25">
        <f>IFERROR(VLOOKUP(B25,'General price list'!C:AI,12,FALSE)*(G25*C25),0)</f>
        <v>0</v>
      </c>
      <c r="K25" s="6"/>
      <c r="L25" s="6"/>
      <c r="M25" s="6"/>
      <c r="N25" s="6"/>
      <c r="O25" s="6"/>
      <c r="P25" s="6"/>
      <c r="Q25" s="6"/>
      <c r="R25" s="6"/>
      <c r="S25" s="6"/>
      <c r="T25" s="1241"/>
      <c r="U25" s="1242"/>
      <c r="V25" s="1242"/>
      <c r="W25" s="1242"/>
      <c r="X25" s="1243"/>
      <c r="Y25" s="6"/>
      <c r="Z25" s="6"/>
      <c r="AA25" s="6"/>
      <c r="AB25" s="6"/>
      <c r="AC25" s="6"/>
      <c r="AD25" s="6"/>
      <c r="AE25" s="6"/>
      <c r="AF25" s="6"/>
      <c r="AG25" s="6"/>
      <c r="AH25" s="96">
        <v>1</v>
      </c>
      <c r="AI25" s="96">
        <v>1</v>
      </c>
      <c r="AJ25" s="96">
        <f>V12</f>
        <v>5</v>
      </c>
      <c r="AK25" s="96">
        <f>V13</f>
        <v>5</v>
      </c>
      <c r="AL25" s="96">
        <f t="shared" ref="AL25:AL39" si="5">((($W$12-300)/AI25)+300)/60</f>
        <v>0.33333333333333331</v>
      </c>
      <c r="AM25" s="96">
        <f t="shared" ref="AM25:AM39" si="6">($W$13/AI25)/60</f>
        <v>3</v>
      </c>
      <c r="AN25" s="6"/>
      <c r="AO25" s="6"/>
      <c r="AP25" s="1039" t="s">
        <v>13530</v>
      </c>
      <c r="AQ25" s="6"/>
      <c r="AR25" s="6"/>
      <c r="AS25" s="1218" t="str">
        <f ca="1">Q4&amp;" Pal. / "&amp;ROUND('Deutsche Markt'!AM7,0)&amp;" ADR Punkte"</f>
        <v>0 Pal. / 0 ADR Punkte</v>
      </c>
      <c r="AT25" s="1218"/>
      <c r="AU25" s="6"/>
      <c r="AV25" s="6"/>
      <c r="AW25" s="6"/>
    </row>
    <row r="26" spans="1:49" ht="18.75">
      <c r="A26" s="6"/>
      <c r="B26" s="90" t="s">
        <v>2342</v>
      </c>
      <c r="C26" s="2">
        <f>IFERROR(VLOOKUP(B26,'Deutsche Markt'!C:AA,24,FALSE),"")</f>
        <v>22</v>
      </c>
      <c r="D26" s="2">
        <f>IFERROR(VLOOKUP(B26,'Deutsche Markt'!C:AA,25,FALSE),0)</f>
        <v>0</v>
      </c>
      <c r="E26" s="2">
        <f t="shared" si="1"/>
        <v>0</v>
      </c>
      <c r="F26" s="2">
        <f t="shared" si="2"/>
        <v>0</v>
      </c>
      <c r="G26" s="2">
        <f t="shared" si="3"/>
        <v>0</v>
      </c>
      <c r="H26" s="2">
        <f t="shared" si="4"/>
        <v>0</v>
      </c>
      <c r="I26" s="2">
        <f t="shared" si="0"/>
        <v>0</v>
      </c>
      <c r="J26">
        <f>IFERROR(VLOOKUP(B26,'General price list'!C:AI,12,FALSE)*(G26*C26),0)</f>
        <v>0</v>
      </c>
      <c r="K26" s="6"/>
      <c r="L26" s="6"/>
      <c r="M26" s="6"/>
      <c r="N26" s="6"/>
      <c r="O26" s="6"/>
      <c r="P26" s="6"/>
      <c r="Q26" s="6"/>
      <c r="R26" s="6"/>
      <c r="S26" s="6"/>
      <c r="T26" s="1244"/>
      <c r="U26" s="1245"/>
      <c r="V26" s="1245"/>
      <c r="W26" s="1245"/>
      <c r="X26" s="1246"/>
      <c r="Y26" s="6"/>
      <c r="Z26" s="6"/>
      <c r="AA26" s="6"/>
      <c r="AB26" s="6"/>
      <c r="AC26" s="6"/>
      <c r="AD26" s="6"/>
      <c r="AE26" s="6"/>
      <c r="AF26" s="6"/>
      <c r="AG26" s="6"/>
      <c r="AH26" s="97">
        <v>2</v>
      </c>
      <c r="AI26" s="97">
        <f t="shared" ref="AI26:AI39" si="7">AH26*$AI$21</f>
        <v>2</v>
      </c>
      <c r="AJ26" s="97">
        <f t="shared" ref="AJ26:AJ39" si="8">AJ$25/AI26</f>
        <v>2.5</v>
      </c>
      <c r="AK26" s="97">
        <f t="shared" ref="AK26:AK39" si="9">AK$25/AI26</f>
        <v>2.5</v>
      </c>
      <c r="AL26" s="97">
        <f t="shared" si="5"/>
        <v>2.6666666666666665</v>
      </c>
      <c r="AM26" s="97">
        <f t="shared" si="6"/>
        <v>1.5</v>
      </c>
      <c r="AN26" s="6"/>
      <c r="AO26" s="6"/>
      <c r="AP26" s="1039" t="s">
        <v>13532</v>
      </c>
      <c r="AQ26" s="6"/>
      <c r="AR26" s="1218" t="str">
        <f ca="1">AQ22&amp;AR22&amp;AS22</f>
        <v/>
      </c>
      <c r="AS26" s="1218"/>
      <c r="AT26" s="6"/>
      <c r="AU26" s="6"/>
      <c r="AV26" s="6"/>
      <c r="AW26" s="6"/>
    </row>
    <row r="27" spans="1:49" ht="19.5" thickBot="1">
      <c r="A27" s="6"/>
      <c r="B27" s="89" t="s">
        <v>4918</v>
      </c>
      <c r="C27" s="2">
        <f>IFERROR(VLOOKUP(B27,'Deutsche Markt'!C:AA,24,FALSE),"")</f>
        <v>22</v>
      </c>
      <c r="D27" s="2">
        <f>IFERROR(VLOOKUP(B27,'Deutsche Markt'!C:AA,25,FALSE),0)</f>
        <v>0</v>
      </c>
      <c r="E27" s="2">
        <f t="shared" si="1"/>
        <v>0</v>
      </c>
      <c r="F27" s="2">
        <f t="shared" si="2"/>
        <v>0</v>
      </c>
      <c r="G27" s="2">
        <f t="shared" si="3"/>
        <v>0</v>
      </c>
      <c r="H27" s="2">
        <f t="shared" si="4"/>
        <v>0</v>
      </c>
      <c r="I27" s="2">
        <f t="shared" si="0"/>
        <v>0</v>
      </c>
      <c r="J27">
        <f>IFERROR(VLOOKUP(B27,'General price list'!C:AI,12,FALSE)*(G27*C27),0)</f>
        <v>0</v>
      </c>
      <c r="K27" s="6"/>
      <c r="L27" s="6"/>
      <c r="M27" s="6"/>
      <c r="N27" s="6"/>
      <c r="O27" s="6"/>
      <c r="P27" s="6"/>
      <c r="Q27" s="6"/>
      <c r="R27" s="6"/>
      <c r="S27" s="6"/>
      <c r="T27" s="1247"/>
      <c r="U27" s="1248"/>
      <c r="V27" s="1248"/>
      <c r="W27" s="1248"/>
      <c r="X27" s="1249"/>
      <c r="Y27" s="6"/>
      <c r="Z27" s="6"/>
      <c r="AA27" s="6"/>
      <c r="AB27" s="6"/>
      <c r="AC27" s="6"/>
      <c r="AD27" s="6"/>
      <c r="AE27" s="6"/>
      <c r="AF27" s="6"/>
      <c r="AG27" s="6"/>
      <c r="AH27" s="96">
        <v>3</v>
      </c>
      <c r="AI27" s="96">
        <f t="shared" si="7"/>
        <v>3</v>
      </c>
      <c r="AJ27" s="96">
        <f t="shared" si="8"/>
        <v>1.6666666666666667</v>
      </c>
      <c r="AK27" s="96">
        <f t="shared" si="9"/>
        <v>1.6666666666666667</v>
      </c>
      <c r="AL27" s="96">
        <f t="shared" si="5"/>
        <v>3.4444444444444446</v>
      </c>
      <c r="AM27" s="96">
        <f t="shared" si="6"/>
        <v>1</v>
      </c>
      <c r="AN27" s="6"/>
      <c r="AO27" s="6"/>
      <c r="AP27" s="1039" t="s">
        <v>13531</v>
      </c>
      <c r="AQ27" s="6"/>
      <c r="AR27" s="6"/>
      <c r="AS27" s="1040" t="str">
        <f>IF('Deutsche Markt'!AO1=2,"KOSTENLOS",AC44&amp;" €")</f>
        <v>----- €</v>
      </c>
      <c r="AT27" s="6"/>
      <c r="AU27" s="6"/>
      <c r="AV27" s="6"/>
      <c r="AW27" s="6"/>
    </row>
    <row r="28" spans="1:49">
      <c r="A28" s="6"/>
      <c r="B28" s="89" t="s">
        <v>1272</v>
      </c>
      <c r="C28" s="2" t="str">
        <f>IFERROR(VLOOKUP(B28,'Deutsche Markt'!C:AA,24,FALSE),"")</f>
        <v/>
      </c>
      <c r="D28" s="2">
        <f>IFERROR(VLOOKUP(B28,'Deutsche Markt'!C:AA,25,FALSE),0)</f>
        <v>0</v>
      </c>
      <c r="E28" s="2">
        <f t="shared" si="1"/>
        <v>0</v>
      </c>
      <c r="F28" s="2">
        <f t="shared" si="2"/>
        <v>0</v>
      </c>
      <c r="G28" s="2">
        <f t="shared" si="3"/>
        <v>0</v>
      </c>
      <c r="H28" s="2">
        <f t="shared" si="4"/>
        <v>0</v>
      </c>
      <c r="I28" s="2">
        <f t="shared" si="0"/>
        <v>0</v>
      </c>
      <c r="J28">
        <f>IFERROR(VLOOKUP(B28,'General price list'!C:AI,12,FALSE)*(G28*C28),0)</f>
        <v>0</v>
      </c>
      <c r="K28" s="6"/>
      <c r="L28" s="6"/>
      <c r="M28" s="6"/>
      <c r="N28" s="6"/>
      <c r="O28" s="6"/>
      <c r="P28" s="6"/>
      <c r="Q28" s="6"/>
      <c r="R28" s="6"/>
      <c r="S28" s="6"/>
      <c r="T28" s="6"/>
      <c r="U28" s="6"/>
      <c r="V28" s="6"/>
      <c r="W28" s="6"/>
      <c r="X28" s="6"/>
      <c r="Y28" s="6"/>
      <c r="Z28" s="6"/>
      <c r="AA28" s="6"/>
      <c r="AB28" s="6"/>
      <c r="AC28" s="6"/>
      <c r="AD28" s="6"/>
      <c r="AE28" s="6"/>
      <c r="AF28" s="6"/>
      <c r="AG28" s="6"/>
      <c r="AH28" s="97">
        <v>4</v>
      </c>
      <c r="AI28" s="97">
        <f t="shared" si="7"/>
        <v>4</v>
      </c>
      <c r="AJ28" s="97">
        <f t="shared" si="8"/>
        <v>1.25</v>
      </c>
      <c r="AK28" s="97">
        <f t="shared" si="9"/>
        <v>1.25</v>
      </c>
      <c r="AL28" s="97">
        <f t="shared" si="5"/>
        <v>3.8333333333333335</v>
      </c>
      <c r="AM28" s="97">
        <f t="shared" si="6"/>
        <v>0.75</v>
      </c>
      <c r="AN28" s="6"/>
      <c r="AO28" s="6"/>
      <c r="AP28" s="6"/>
      <c r="AQ28" s="6"/>
      <c r="AR28" s="6"/>
      <c r="AS28" s="6"/>
      <c r="AT28" s="6"/>
      <c r="AU28" s="6"/>
      <c r="AV28" s="6"/>
      <c r="AW28" s="6"/>
    </row>
    <row r="29" spans="1:49">
      <c r="A29" s="6"/>
      <c r="B29" s="89" t="s">
        <v>5054</v>
      </c>
      <c r="C29" s="2" t="str">
        <f>IFERROR(VLOOKUP(B29,'Deutsche Markt'!C:AA,24,FALSE),"")</f>
        <v/>
      </c>
      <c r="D29" s="2">
        <f>IFERROR(VLOOKUP(B29,'Deutsche Markt'!C:AA,25,FALSE),0)</f>
        <v>0</v>
      </c>
      <c r="E29" s="2">
        <f t="shared" si="1"/>
        <v>0</v>
      </c>
      <c r="F29" s="2">
        <f t="shared" si="2"/>
        <v>0</v>
      </c>
      <c r="G29" s="2">
        <f t="shared" si="3"/>
        <v>0</v>
      </c>
      <c r="H29" s="2">
        <f t="shared" si="4"/>
        <v>0</v>
      </c>
      <c r="I29" s="2">
        <f t="shared" si="0"/>
        <v>0</v>
      </c>
      <c r="J29">
        <f>IFERROR(VLOOKUP(B29,'General price list'!C:AI,12,FALSE)*(G29*C29),0)</f>
        <v>0</v>
      </c>
      <c r="K29" s="6"/>
      <c r="L29" s="6"/>
      <c r="M29" s="6"/>
      <c r="N29" s="6"/>
      <c r="R29" s="6"/>
      <c r="S29" s="6"/>
      <c r="T29" s="6"/>
      <c r="U29" s="6"/>
      <c r="V29" s="6"/>
      <c r="W29" s="6"/>
      <c r="X29" s="6"/>
      <c r="Y29" s="6"/>
      <c r="Z29" s="6"/>
      <c r="AA29" s="6"/>
      <c r="AB29" s="6"/>
      <c r="AC29" s="6"/>
      <c r="AD29" s="6"/>
      <c r="AE29" s="6"/>
      <c r="AF29" s="6"/>
      <c r="AG29" s="6"/>
      <c r="AH29" s="96">
        <v>5</v>
      </c>
      <c r="AI29" s="96">
        <f t="shared" si="7"/>
        <v>5</v>
      </c>
      <c r="AJ29" s="96">
        <f t="shared" si="8"/>
        <v>1</v>
      </c>
      <c r="AK29" s="96">
        <f t="shared" si="9"/>
        <v>1</v>
      </c>
      <c r="AL29" s="96">
        <f t="shared" si="5"/>
        <v>4.0666666666666664</v>
      </c>
      <c r="AM29" s="96">
        <f t="shared" si="6"/>
        <v>0.6</v>
      </c>
      <c r="AN29" s="6"/>
      <c r="AO29" s="6"/>
      <c r="AP29" s="6"/>
      <c r="AQ29" s="6"/>
      <c r="AR29" s="6"/>
      <c r="AS29" s="6"/>
      <c r="AT29" s="6"/>
      <c r="AU29" s="6"/>
      <c r="AV29" s="6"/>
      <c r="AW29" s="6"/>
    </row>
    <row r="30" spans="1:49">
      <c r="A30" s="6"/>
      <c r="B30" s="89" t="s">
        <v>2359</v>
      </c>
      <c r="C30" s="2">
        <f>IFERROR(VLOOKUP(B30,'Deutsche Markt'!C:AA,24,FALSE),"")</f>
        <v>54</v>
      </c>
      <c r="D30" s="2">
        <f>IFERROR(VLOOKUP(B30,'Deutsche Markt'!C:AA,25,FALSE),0)</f>
        <v>0</v>
      </c>
      <c r="E30" s="2">
        <f t="shared" si="1"/>
        <v>0</v>
      </c>
      <c r="F30" s="2">
        <f t="shared" si="2"/>
        <v>0</v>
      </c>
      <c r="G30" s="2">
        <f t="shared" si="3"/>
        <v>0</v>
      </c>
      <c r="H30" s="2">
        <f t="shared" si="4"/>
        <v>0</v>
      </c>
      <c r="I30" s="2">
        <f t="shared" si="0"/>
        <v>0</v>
      </c>
      <c r="J30">
        <f>IFERROR(VLOOKUP(B30,'General price list'!C:AI,12,FALSE)*(G30*C30),0)</f>
        <v>0</v>
      </c>
      <c r="K30" s="6"/>
      <c r="L30" s="6"/>
      <c r="M30" s="6"/>
      <c r="N30" s="6"/>
      <c r="R30" s="6"/>
      <c r="S30" s="6"/>
      <c r="T30" s="6"/>
      <c r="U30" s="6"/>
      <c r="V30" s="6"/>
      <c r="W30" s="6"/>
      <c r="X30" s="6"/>
      <c r="Y30" s="6"/>
      <c r="Z30" s="6"/>
      <c r="AA30" s="6"/>
      <c r="AB30" s="6"/>
      <c r="AC30" s="6"/>
      <c r="AD30" s="6"/>
      <c r="AE30" s="6"/>
      <c r="AF30" s="6"/>
      <c r="AG30" s="6"/>
      <c r="AH30" s="97">
        <v>6</v>
      </c>
      <c r="AI30" s="97">
        <f t="shared" si="7"/>
        <v>6</v>
      </c>
      <c r="AJ30" s="97">
        <f t="shared" si="8"/>
        <v>0.83333333333333337</v>
      </c>
      <c r="AK30" s="97">
        <f t="shared" si="9"/>
        <v>0.83333333333333337</v>
      </c>
      <c r="AL30" s="97">
        <f t="shared" si="5"/>
        <v>4.2222222222222223</v>
      </c>
      <c r="AM30" s="97">
        <f t="shared" si="6"/>
        <v>0.5</v>
      </c>
      <c r="AN30" s="6"/>
      <c r="AO30" s="6"/>
      <c r="AP30" s="6"/>
      <c r="AQ30" s="6"/>
      <c r="AR30" s="6"/>
      <c r="AS30" s="6"/>
      <c r="AT30" s="6"/>
      <c r="AU30" s="6"/>
      <c r="AV30" s="6"/>
      <c r="AW30" s="6"/>
    </row>
    <row r="31" spans="1:49">
      <c r="A31" s="6"/>
      <c r="B31" s="89" t="s">
        <v>1274</v>
      </c>
      <c r="C31" s="2" t="str">
        <f>IFERROR(VLOOKUP(B31,'Deutsche Markt'!C:AA,24,FALSE),"")</f>
        <v/>
      </c>
      <c r="D31" s="2">
        <f>IFERROR(VLOOKUP(B31,'Deutsche Markt'!C:AA,25,FALSE),0)</f>
        <v>0</v>
      </c>
      <c r="E31" s="2">
        <f t="shared" si="1"/>
        <v>0</v>
      </c>
      <c r="F31" s="2">
        <f t="shared" si="2"/>
        <v>0</v>
      </c>
      <c r="G31" s="2">
        <f t="shared" si="3"/>
        <v>0</v>
      </c>
      <c r="H31" s="2">
        <f t="shared" si="4"/>
        <v>0</v>
      </c>
      <c r="I31" s="2">
        <f t="shared" si="0"/>
        <v>0</v>
      </c>
      <c r="J31">
        <f>IFERROR(VLOOKUP(B31,'General price list'!C:AI,12,FALSE)*(G31*C31),0)</f>
        <v>0</v>
      </c>
      <c r="K31" s="6"/>
      <c r="L31" s="6"/>
      <c r="M31" s="6"/>
      <c r="N31" s="6"/>
      <c r="O31" s="6"/>
      <c r="P31" s="6"/>
      <c r="Q31" s="6"/>
      <c r="R31" s="6"/>
      <c r="S31" s="6"/>
      <c r="T31" s="6"/>
      <c r="U31" s="6"/>
      <c r="V31" s="6"/>
      <c r="W31" s="6"/>
      <c r="X31" s="6"/>
      <c r="Y31" s="6"/>
      <c r="Z31" s="6"/>
      <c r="AA31" s="6"/>
      <c r="AB31" s="6"/>
      <c r="AC31" s="6"/>
      <c r="AD31" s="6"/>
      <c r="AE31" s="6"/>
      <c r="AF31" s="6"/>
      <c r="AG31" s="6"/>
      <c r="AH31" s="96">
        <v>7</v>
      </c>
      <c r="AI31" s="96">
        <f t="shared" si="7"/>
        <v>7</v>
      </c>
      <c r="AJ31" s="96">
        <f t="shared" si="8"/>
        <v>0.7142857142857143</v>
      </c>
      <c r="AK31" s="96">
        <f t="shared" si="9"/>
        <v>0.7142857142857143</v>
      </c>
      <c r="AL31" s="96">
        <f t="shared" si="5"/>
        <v>4.333333333333333</v>
      </c>
      <c r="AM31" s="96">
        <f t="shared" si="6"/>
        <v>0.4285714285714286</v>
      </c>
      <c r="AN31" s="6"/>
      <c r="AO31" s="6"/>
      <c r="AP31" s="6"/>
      <c r="AQ31" s="6"/>
      <c r="AR31" s="6"/>
      <c r="AS31" s="6"/>
      <c r="AT31" s="6"/>
      <c r="AU31" s="6"/>
      <c r="AV31" s="6"/>
      <c r="AW31" s="6"/>
    </row>
    <row r="32" spans="1:49">
      <c r="A32" s="6"/>
      <c r="B32" s="89" t="s">
        <v>2357</v>
      </c>
      <c r="C32" s="2" t="str">
        <f>IFERROR(VLOOKUP(B32,'Deutsche Markt'!C:AA,24,FALSE),"")</f>
        <v/>
      </c>
      <c r="D32" s="2">
        <f>IFERROR(VLOOKUP(B32,'Deutsche Markt'!C:AA,25,FALSE),0)</f>
        <v>0</v>
      </c>
      <c r="E32" s="2">
        <f t="shared" si="1"/>
        <v>0</v>
      </c>
      <c r="F32" s="2">
        <f t="shared" si="2"/>
        <v>0</v>
      </c>
      <c r="G32" s="2">
        <f t="shared" si="3"/>
        <v>0</v>
      </c>
      <c r="H32" s="2">
        <f t="shared" si="4"/>
        <v>0</v>
      </c>
      <c r="I32" s="2">
        <f t="shared" si="0"/>
        <v>0</v>
      </c>
      <c r="J32">
        <f>IFERROR(VLOOKUP(B32,'General price list'!C:AI,12,FALSE)*(G32*C32),0)</f>
        <v>0</v>
      </c>
      <c r="K32" s="6"/>
      <c r="L32" s="6"/>
      <c r="M32" s="6"/>
      <c r="N32" s="6"/>
      <c r="O32" s="6"/>
      <c r="P32" s="6"/>
      <c r="Q32" s="6"/>
      <c r="R32" s="6"/>
      <c r="S32" s="6"/>
      <c r="T32" s="6"/>
      <c r="U32" s="6"/>
      <c r="V32" s="6"/>
      <c r="W32" s="6"/>
      <c r="X32" s="6"/>
      <c r="Y32" s="6"/>
      <c r="Z32" s="6"/>
      <c r="AA32" s="6"/>
      <c r="AB32" s="6"/>
      <c r="AC32" s="6"/>
      <c r="AD32" s="6"/>
      <c r="AE32" s="6"/>
      <c r="AF32" s="6"/>
      <c r="AG32" s="6"/>
      <c r="AH32" s="97">
        <v>8</v>
      </c>
      <c r="AI32" s="97">
        <f t="shared" si="7"/>
        <v>8</v>
      </c>
      <c r="AJ32" s="97">
        <f t="shared" si="8"/>
        <v>0.625</v>
      </c>
      <c r="AK32" s="97">
        <f t="shared" si="9"/>
        <v>0.625</v>
      </c>
      <c r="AL32" s="97">
        <f t="shared" si="5"/>
        <v>4.416666666666667</v>
      </c>
      <c r="AM32" s="97">
        <f t="shared" si="6"/>
        <v>0.375</v>
      </c>
      <c r="AN32" s="6"/>
      <c r="AO32" s="6"/>
      <c r="AP32" s="6"/>
      <c r="AQ32" s="6"/>
      <c r="AR32" s="6"/>
      <c r="AS32" s="6"/>
      <c r="AT32" s="6"/>
      <c r="AU32" s="6"/>
      <c r="AV32" s="6"/>
      <c r="AW32" s="6"/>
    </row>
    <row r="33" spans="1:49">
      <c r="A33" s="6"/>
      <c r="B33" s="89" t="s">
        <v>2358</v>
      </c>
      <c r="C33" s="2" t="str">
        <f>IFERROR(VLOOKUP(B33,'Deutsche Markt'!C:AA,24,FALSE),"")</f>
        <v/>
      </c>
      <c r="D33" s="2">
        <f>IFERROR(VLOOKUP(B33,'Deutsche Markt'!C:AA,25,FALSE),0)</f>
        <v>0</v>
      </c>
      <c r="E33" s="2">
        <f t="shared" si="1"/>
        <v>0</v>
      </c>
      <c r="F33" s="2">
        <f t="shared" si="2"/>
        <v>0</v>
      </c>
      <c r="G33" s="2">
        <f t="shared" si="3"/>
        <v>0</v>
      </c>
      <c r="H33" s="2">
        <f t="shared" si="4"/>
        <v>0</v>
      </c>
      <c r="I33" s="2">
        <f t="shared" si="0"/>
        <v>0</v>
      </c>
      <c r="J33">
        <f>IFERROR(VLOOKUP(B33,'General price list'!C:AI,12,FALSE)*(G33*C33),0)</f>
        <v>0</v>
      </c>
      <c r="K33" s="6"/>
      <c r="L33" s="6"/>
      <c r="M33" s="6"/>
      <c r="N33" s="6"/>
      <c r="O33" s="6"/>
      <c r="P33" s="6"/>
      <c r="Q33" s="6"/>
      <c r="R33" s="6"/>
      <c r="T33" s="6"/>
      <c r="U33" s="6"/>
      <c r="V33" s="6"/>
      <c r="W33" s="6"/>
      <c r="X33" s="6"/>
      <c r="Y33" s="6"/>
      <c r="Z33" s="6"/>
      <c r="AA33" s="6"/>
      <c r="AB33" s="6"/>
      <c r="AC33" s="6"/>
      <c r="AD33" s="6"/>
      <c r="AE33" s="6"/>
      <c r="AF33" s="6"/>
      <c r="AG33" s="6"/>
      <c r="AH33" s="96">
        <v>9</v>
      </c>
      <c r="AI33" s="96">
        <f t="shared" si="7"/>
        <v>9</v>
      </c>
      <c r="AJ33" s="96">
        <f t="shared" si="8"/>
        <v>0.55555555555555558</v>
      </c>
      <c r="AK33" s="96">
        <f t="shared" si="9"/>
        <v>0.55555555555555558</v>
      </c>
      <c r="AL33" s="96">
        <f t="shared" si="5"/>
        <v>4.4814814814814818</v>
      </c>
      <c r="AM33" s="96">
        <f t="shared" si="6"/>
        <v>0.33333333333333331</v>
      </c>
      <c r="AN33" s="6"/>
      <c r="AO33" s="6"/>
      <c r="AP33" s="6"/>
      <c r="AQ33" s="6"/>
      <c r="AR33" s="6"/>
      <c r="AS33" s="6"/>
      <c r="AT33" s="6"/>
      <c r="AU33" s="6"/>
      <c r="AV33" s="6"/>
      <c r="AW33" s="6"/>
    </row>
    <row r="34" spans="1:49">
      <c r="A34" s="6"/>
      <c r="B34" s="89" t="s">
        <v>2149</v>
      </c>
      <c r="C34" s="2" t="str">
        <f>IFERROR(VLOOKUP(B34,'Deutsche Markt'!C:AA,24,FALSE),"")</f>
        <v/>
      </c>
      <c r="D34" s="2">
        <f>IFERROR(VLOOKUP(B34,'Deutsche Markt'!C:AA,25,FALSE),0)</f>
        <v>0</v>
      </c>
      <c r="E34" s="2">
        <f t="shared" si="1"/>
        <v>0</v>
      </c>
      <c r="F34" s="2">
        <f t="shared" si="2"/>
        <v>0</v>
      </c>
      <c r="G34" s="2">
        <f t="shared" si="3"/>
        <v>0</v>
      </c>
      <c r="H34" s="2">
        <f t="shared" si="4"/>
        <v>0</v>
      </c>
      <c r="I34" s="2">
        <f t="shared" si="0"/>
        <v>0</v>
      </c>
      <c r="J34">
        <f>IFERROR(VLOOKUP(B34,'General price list'!C:AI,12,FALSE)*(G34*C34),0)</f>
        <v>0</v>
      </c>
      <c r="K34" s="6"/>
      <c r="L34" s="6"/>
      <c r="M34" s="6"/>
      <c r="N34" s="6"/>
      <c r="O34" s="6"/>
      <c r="P34" s="6"/>
      <c r="Q34" s="6"/>
      <c r="R34" s="6"/>
      <c r="T34" s="6"/>
      <c r="U34" s="6"/>
      <c r="V34" s="6"/>
      <c r="W34" s="6"/>
      <c r="X34" s="6"/>
      <c r="Y34" s="6"/>
      <c r="Z34" s="6"/>
      <c r="AA34" s="6"/>
      <c r="AB34" s="6"/>
      <c r="AC34" s="6"/>
      <c r="AD34" s="6"/>
      <c r="AE34" s="6"/>
      <c r="AF34" s="6"/>
      <c r="AG34" s="6"/>
      <c r="AH34" s="97">
        <v>10</v>
      </c>
      <c r="AI34" s="97">
        <f t="shared" si="7"/>
        <v>10</v>
      </c>
      <c r="AJ34" s="97">
        <f t="shared" si="8"/>
        <v>0.5</v>
      </c>
      <c r="AK34" s="97">
        <f t="shared" si="9"/>
        <v>0.5</v>
      </c>
      <c r="AL34" s="97">
        <f t="shared" si="5"/>
        <v>4.5333333333333332</v>
      </c>
      <c r="AM34" s="97">
        <f t="shared" si="6"/>
        <v>0.3</v>
      </c>
      <c r="AN34" s="6"/>
      <c r="AO34" s="6"/>
      <c r="AP34" s="6"/>
      <c r="AQ34" s="6"/>
      <c r="AR34" s="6"/>
      <c r="AS34" s="6"/>
      <c r="AT34" s="6"/>
      <c r="AU34" s="6"/>
      <c r="AV34" s="6"/>
      <c r="AW34" s="6"/>
    </row>
    <row r="35" spans="1:49">
      <c r="A35" s="6"/>
      <c r="B35" s="89" t="s">
        <v>2369</v>
      </c>
      <c r="C35" s="2">
        <f>IFERROR(VLOOKUP(B35,'Deutsche Markt'!C:AA,24,FALSE),"")</f>
        <v>24</v>
      </c>
      <c r="D35" s="2">
        <f>IFERROR(VLOOKUP(B35,'Deutsche Markt'!C:AA,25,FALSE),0)</f>
        <v>0</v>
      </c>
      <c r="E35" s="2">
        <f t="shared" si="1"/>
        <v>0</v>
      </c>
      <c r="F35" s="2">
        <f t="shared" si="2"/>
        <v>0</v>
      </c>
      <c r="G35" s="2">
        <f t="shared" si="3"/>
        <v>0</v>
      </c>
      <c r="H35" s="2">
        <f t="shared" si="4"/>
        <v>0</v>
      </c>
      <c r="I35" s="2">
        <f t="shared" si="0"/>
        <v>0</v>
      </c>
      <c r="J35">
        <f>IFERROR(VLOOKUP(B35,'General price list'!C:AI,12,FALSE)*(G35*C35),0)</f>
        <v>0</v>
      </c>
      <c r="K35" s="6"/>
      <c r="L35" s="6"/>
      <c r="M35" s="6"/>
      <c r="N35" s="6"/>
      <c r="O35" s="6"/>
      <c r="P35" s="6"/>
      <c r="Q35" s="6"/>
      <c r="R35" s="6"/>
      <c r="T35" s="6"/>
      <c r="U35" s="6"/>
      <c r="V35" s="6"/>
      <c r="W35" s="6"/>
      <c r="X35" s="6"/>
      <c r="Y35" s="6"/>
      <c r="Z35" s="6"/>
      <c r="AA35" s="6"/>
      <c r="AB35" s="6"/>
      <c r="AC35" s="6"/>
      <c r="AD35" s="6"/>
      <c r="AE35" s="6"/>
      <c r="AF35" s="6"/>
      <c r="AG35" s="6"/>
      <c r="AH35" s="96">
        <v>11</v>
      </c>
      <c r="AI35" s="96">
        <f t="shared" si="7"/>
        <v>11</v>
      </c>
      <c r="AJ35" s="96">
        <f t="shared" si="8"/>
        <v>0.45454545454545453</v>
      </c>
      <c r="AK35" s="96">
        <f t="shared" si="9"/>
        <v>0.45454545454545453</v>
      </c>
      <c r="AL35" s="96">
        <f t="shared" si="5"/>
        <v>4.5757575757575761</v>
      </c>
      <c r="AM35" s="96">
        <f t="shared" si="6"/>
        <v>0.27272727272727271</v>
      </c>
      <c r="AN35" s="6"/>
      <c r="AO35" s="6"/>
      <c r="AP35" s="6"/>
      <c r="AQ35" s="6"/>
      <c r="AR35" s="6"/>
      <c r="AS35" s="6"/>
      <c r="AT35" s="6"/>
      <c r="AU35" s="6"/>
      <c r="AV35" s="6"/>
      <c r="AW35" s="6"/>
    </row>
    <row r="36" spans="1:49" ht="15.75" thickBot="1">
      <c r="A36" s="6"/>
      <c r="B36" s="92" t="s">
        <v>2527</v>
      </c>
      <c r="C36" s="2" t="str">
        <f>IFERROR(VLOOKUP(B36,'Deutsche Markt'!C:AA,24,FALSE),"")</f>
        <v/>
      </c>
      <c r="D36" s="2">
        <f>IFERROR(VLOOKUP(B36,'Deutsche Markt'!C:AA,25,FALSE),0)</f>
        <v>0</v>
      </c>
      <c r="E36" s="2">
        <f t="shared" si="1"/>
        <v>0</v>
      </c>
      <c r="F36" s="2">
        <f t="shared" si="2"/>
        <v>0</v>
      </c>
      <c r="G36" s="2">
        <f t="shared" si="3"/>
        <v>0</v>
      </c>
      <c r="H36" s="2">
        <f t="shared" si="4"/>
        <v>0</v>
      </c>
      <c r="I36" s="2">
        <f t="shared" si="0"/>
        <v>0</v>
      </c>
      <c r="J36">
        <f>IFERROR(VLOOKUP(B36,'General price list'!C:AI,12,FALSE)*(G36*C36),0)</f>
        <v>0</v>
      </c>
      <c r="K36" s="6"/>
      <c r="L36" s="6"/>
      <c r="M36" s="6"/>
      <c r="N36" s="6"/>
      <c r="O36" s="6"/>
      <c r="P36" s="6"/>
      <c r="Q36" s="6"/>
      <c r="R36" s="6"/>
      <c r="S36" s="6"/>
      <c r="T36" s="6"/>
      <c r="U36" s="6"/>
      <c r="V36" s="6"/>
      <c r="W36" s="6"/>
      <c r="X36" s="6"/>
      <c r="Y36" s="6"/>
      <c r="Z36" s="6"/>
      <c r="AA36" s="6"/>
      <c r="AB36" s="6">
        <v>30</v>
      </c>
      <c r="AC36" s="6"/>
      <c r="AD36" s="6"/>
      <c r="AE36" s="6"/>
      <c r="AF36" s="6"/>
      <c r="AG36" s="6"/>
      <c r="AH36" s="97">
        <v>12</v>
      </c>
      <c r="AI36" s="97">
        <f t="shared" si="7"/>
        <v>12</v>
      </c>
      <c r="AJ36" s="97">
        <f t="shared" si="8"/>
        <v>0.41666666666666669</v>
      </c>
      <c r="AK36" s="97">
        <f t="shared" si="9"/>
        <v>0.41666666666666669</v>
      </c>
      <c r="AL36" s="97">
        <f t="shared" si="5"/>
        <v>4.6111111111111116</v>
      </c>
      <c r="AM36" s="97">
        <f t="shared" si="6"/>
        <v>0.25</v>
      </c>
      <c r="AN36" s="6"/>
      <c r="AO36" s="6"/>
      <c r="AP36" s="6"/>
      <c r="AQ36" s="6"/>
      <c r="AR36" s="6"/>
      <c r="AS36" s="6"/>
      <c r="AT36" s="6"/>
      <c r="AU36" s="6"/>
      <c r="AV36" s="6"/>
      <c r="AW36" s="6"/>
    </row>
    <row r="37" spans="1:49" ht="16.5" thickTop="1" thickBot="1">
      <c r="A37" s="6"/>
      <c r="B37" s="92" t="s">
        <v>1455</v>
      </c>
      <c r="C37" s="2">
        <f>IFERROR(VLOOKUP(B37,'Deutsche Markt'!C:AA,24,FALSE),"")</f>
        <v>42</v>
      </c>
      <c r="D37" s="2">
        <f>IFERROR(VLOOKUP(B37,'Deutsche Markt'!C:AA,25,FALSE),0)</f>
        <v>0</v>
      </c>
      <c r="E37" s="2">
        <f t="shared" si="1"/>
        <v>0</v>
      </c>
      <c r="F37" s="2">
        <f t="shared" si="2"/>
        <v>0</v>
      </c>
      <c r="G37" s="2">
        <f t="shared" si="3"/>
        <v>0</v>
      </c>
      <c r="H37" s="2">
        <f t="shared" si="4"/>
        <v>0</v>
      </c>
      <c r="I37" s="2">
        <f t="shared" si="0"/>
        <v>0</v>
      </c>
      <c r="J37">
        <f>IFERROR(VLOOKUP(B37,'General price list'!C:AI,12,FALSE)*(G37*C37),0)</f>
        <v>0</v>
      </c>
      <c r="K37" s="6"/>
      <c r="L37" s="6"/>
      <c r="M37" s="6"/>
      <c r="N37" s="6"/>
      <c r="O37" s="6"/>
      <c r="P37" s="6"/>
      <c r="Q37" s="6"/>
      <c r="R37" s="6"/>
      <c r="S37" s="6"/>
      <c r="T37" s="6"/>
      <c r="U37" s="6"/>
      <c r="V37" s="6"/>
      <c r="W37" s="6"/>
      <c r="X37" s="6"/>
      <c r="Y37" s="6"/>
      <c r="Z37" s="6"/>
      <c r="AA37" s="6"/>
      <c r="AB37" s="6"/>
      <c r="AC37" s="6"/>
      <c r="AD37" s="6"/>
      <c r="AE37" s="6"/>
      <c r="AF37" s="6"/>
      <c r="AG37" s="6"/>
      <c r="AH37" s="96">
        <v>13</v>
      </c>
      <c r="AI37" s="96">
        <f t="shared" si="7"/>
        <v>13</v>
      </c>
      <c r="AJ37" s="96">
        <f t="shared" si="8"/>
        <v>0.38461538461538464</v>
      </c>
      <c r="AK37" s="96">
        <f t="shared" si="9"/>
        <v>0.38461538461538464</v>
      </c>
      <c r="AL37" s="96">
        <f t="shared" si="5"/>
        <v>4.6410256410256405</v>
      </c>
      <c r="AM37" s="96">
        <f t="shared" si="6"/>
        <v>0.23076923076923078</v>
      </c>
      <c r="AN37" s="6"/>
      <c r="AO37" s="6"/>
      <c r="AP37" s="1226" t="s">
        <v>8397</v>
      </c>
      <c r="AQ37" s="1227"/>
      <c r="AR37" s="98" t="s">
        <v>8398</v>
      </c>
      <c r="AS37" s="98" t="s">
        <v>2239</v>
      </c>
      <c r="AT37" s="98" t="s">
        <v>8398</v>
      </c>
      <c r="AU37" s="88" t="s">
        <v>2239</v>
      </c>
      <c r="AV37" s="6"/>
      <c r="AW37" s="6"/>
    </row>
    <row r="38" spans="1:49" ht="15.75" thickTop="1">
      <c r="A38" s="6"/>
      <c r="B38" s="92" t="s">
        <v>2525</v>
      </c>
      <c r="C38" s="2" t="str">
        <f>IFERROR(VLOOKUP(B38,'Deutsche Markt'!C:AA,24,FALSE),"")</f>
        <v/>
      </c>
      <c r="D38" s="2">
        <f>IFERROR(VLOOKUP(B38,'Deutsche Markt'!C:AA,25,FALSE),0)</f>
        <v>0</v>
      </c>
      <c r="E38" s="2">
        <f t="shared" si="1"/>
        <v>0</v>
      </c>
      <c r="F38" s="2">
        <f t="shared" si="2"/>
        <v>0</v>
      </c>
      <c r="G38" s="2">
        <f t="shared" si="3"/>
        <v>0</v>
      </c>
      <c r="H38" s="2">
        <f t="shared" si="4"/>
        <v>0</v>
      </c>
      <c r="I38" s="2">
        <f t="shared" si="0"/>
        <v>0</v>
      </c>
      <c r="J38">
        <f>IFERROR(VLOOKUP(B38,'General price list'!C:AI,12,FALSE)*(G38*C38),0)</f>
        <v>0</v>
      </c>
      <c r="K38" s="6"/>
      <c r="L38" s="6"/>
      <c r="M38" s="6"/>
      <c r="N38" s="6"/>
      <c r="O38" s="6"/>
      <c r="P38" s="6"/>
      <c r="Q38" s="6"/>
      <c r="R38" s="6"/>
      <c r="S38" s="6"/>
      <c r="T38" s="6"/>
      <c r="U38" s="6"/>
      <c r="V38" s="6"/>
      <c r="W38" s="6"/>
      <c r="X38" s="6"/>
      <c r="Y38" s="6"/>
      <c r="Z38" s="6">
        <v>15</v>
      </c>
      <c r="AA38" s="6"/>
      <c r="AB38" s="6">
        <v>150</v>
      </c>
      <c r="AD38" s="6"/>
      <c r="AE38" s="6"/>
      <c r="AF38" s="6"/>
      <c r="AG38" s="6"/>
      <c r="AH38" s="97">
        <v>14</v>
      </c>
      <c r="AI38" s="97">
        <f t="shared" si="7"/>
        <v>14</v>
      </c>
      <c r="AJ38" s="97">
        <f t="shared" si="8"/>
        <v>0.35714285714285715</v>
      </c>
      <c r="AK38" s="97">
        <f t="shared" si="9"/>
        <v>0.35714285714285715</v>
      </c>
      <c r="AL38" s="97">
        <f t="shared" si="5"/>
        <v>4.666666666666667</v>
      </c>
      <c r="AM38" s="97">
        <f t="shared" si="6"/>
        <v>0.2142857142857143</v>
      </c>
      <c r="AN38" s="6"/>
      <c r="AO38" s="6"/>
      <c r="AP38" s="1220" t="s">
        <v>8399</v>
      </c>
      <c r="AQ38" s="1221"/>
      <c r="AR38" s="77">
        <f>ROUND(U12/$AA$5,0)</f>
        <v>0</v>
      </c>
      <c r="AS38" s="102" t="e">
        <f>ROUND(VLOOKUP(AR38,AH25:AM39,3,FALSE),0)&amp;" min"</f>
        <v>#N/A</v>
      </c>
      <c r="AT38" s="77">
        <f>ROUND(W12/$AB$5,0)</f>
        <v>0</v>
      </c>
      <c r="AU38" s="78" t="str">
        <f>IFERROR(ROUND(VLOOKUP(AT38,AH25:AM39,5,FALSE),0)&amp;" min","???")</f>
        <v>???</v>
      </c>
      <c r="AV38" s="6"/>
      <c r="AW38" s="6"/>
    </row>
    <row r="39" spans="1:49" ht="15.75" thickBot="1">
      <c r="A39" s="6"/>
      <c r="B39" s="89" t="s">
        <v>1465</v>
      </c>
      <c r="C39" s="2" t="str">
        <f>IFERROR(VLOOKUP(B39,'Deutsche Markt'!C:AA,24,FALSE),"")</f>
        <v/>
      </c>
      <c r="D39" s="2">
        <f>IFERROR(VLOOKUP(B39,'Deutsche Markt'!C:AA,25,FALSE),0)</f>
        <v>0</v>
      </c>
      <c r="E39" s="2">
        <f t="shared" si="1"/>
        <v>0</v>
      </c>
      <c r="F39" s="2">
        <f t="shared" si="2"/>
        <v>0</v>
      </c>
      <c r="G39" s="2">
        <f t="shared" si="3"/>
        <v>0</v>
      </c>
      <c r="H39" s="2">
        <f t="shared" si="4"/>
        <v>0</v>
      </c>
      <c r="I39" s="2">
        <f t="shared" si="0"/>
        <v>0</v>
      </c>
      <c r="J39">
        <f>IFERROR(VLOOKUP(B39,'General price list'!C:AI,12,FALSE)*(G39*C39),0)</f>
        <v>0</v>
      </c>
      <c r="K39" s="6"/>
      <c r="L39" s="6"/>
      <c r="M39" s="6"/>
      <c r="N39" s="6"/>
      <c r="O39" s="6"/>
      <c r="P39" s="6"/>
      <c r="Q39" s="6"/>
      <c r="R39" s="6"/>
      <c r="S39" s="6"/>
      <c r="T39" s="6"/>
      <c r="U39" s="6"/>
      <c r="V39" s="6"/>
      <c r="W39" s="6"/>
      <c r="X39" s="6"/>
      <c r="Y39" s="6"/>
      <c r="Z39" s="6">
        <v>150</v>
      </c>
      <c r="AA39" s="6">
        <v>2</v>
      </c>
      <c r="AB39" s="6">
        <f>IF($Q$4&gt;=AA39,Z39,AB38)</f>
        <v>150</v>
      </c>
      <c r="AD39" s="6"/>
      <c r="AE39" s="6"/>
      <c r="AF39" s="6"/>
      <c r="AG39" s="6"/>
      <c r="AH39" s="96">
        <v>15</v>
      </c>
      <c r="AI39" s="96">
        <f t="shared" si="7"/>
        <v>15</v>
      </c>
      <c r="AJ39" s="96">
        <f t="shared" si="8"/>
        <v>0.33333333333333331</v>
      </c>
      <c r="AK39" s="96">
        <f t="shared" si="9"/>
        <v>0.33333333333333331</v>
      </c>
      <c r="AL39" s="96">
        <f t="shared" si="5"/>
        <v>4.6888888888888882</v>
      </c>
      <c r="AM39" s="96">
        <f t="shared" si="6"/>
        <v>0.2</v>
      </c>
      <c r="AN39" s="6"/>
      <c r="AO39" s="6"/>
      <c r="AP39" s="1222" t="s">
        <v>2202</v>
      </c>
      <c r="AQ39" s="1223"/>
      <c r="AR39" s="79">
        <f>ROUND(U13/$AA$5,0)</f>
        <v>0</v>
      </c>
      <c r="AS39" s="103" t="e">
        <f>ROUND(VLOOKUP(AR39,AH25:AM39,4,FALSE),0)&amp;" min"</f>
        <v>#N/A</v>
      </c>
      <c r="AT39" s="79">
        <f>ROUND(W13/$AB$5,0)</f>
        <v>0</v>
      </c>
      <c r="AU39" s="80" t="e">
        <f>ROUND(VLOOKUP(AT39,AH25:AM39,6,FALSE),0)&amp;" min"</f>
        <v>#N/A</v>
      </c>
      <c r="AV39" s="6"/>
      <c r="AW39" s="6"/>
    </row>
    <row r="40" spans="1:49" ht="15.75" thickTop="1">
      <c r="A40" s="6"/>
      <c r="B40" s="90" t="s">
        <v>2532</v>
      </c>
      <c r="C40" s="2" t="str">
        <f>IFERROR(VLOOKUP(B40,'Deutsche Markt'!C:AA,24,FALSE),"")</f>
        <v/>
      </c>
      <c r="D40" s="2">
        <f>IFERROR(VLOOKUP(B40,'Deutsche Markt'!C:AA,25,FALSE),0)</f>
        <v>0</v>
      </c>
      <c r="E40" s="2">
        <f t="shared" si="1"/>
        <v>0</v>
      </c>
      <c r="F40" s="2">
        <f t="shared" si="2"/>
        <v>0</v>
      </c>
      <c r="G40" s="2">
        <f t="shared" si="3"/>
        <v>0</v>
      </c>
      <c r="H40" s="2">
        <f t="shared" si="4"/>
        <v>0</v>
      </c>
      <c r="I40" s="2">
        <f t="shared" si="0"/>
        <v>0</v>
      </c>
      <c r="J40">
        <f>IFERROR(VLOOKUP(B40,'General price list'!C:AI,12,FALSE)*(G40*C40),0)</f>
        <v>0</v>
      </c>
      <c r="K40" s="6"/>
      <c r="L40" s="6"/>
      <c r="M40" s="6"/>
      <c r="N40" s="6"/>
      <c r="O40" s="6"/>
      <c r="P40" s="6"/>
      <c r="Q40" s="6"/>
      <c r="R40" s="6"/>
      <c r="S40" s="6"/>
      <c r="T40" s="6"/>
      <c r="U40" s="6"/>
      <c r="V40" s="6"/>
      <c r="W40" s="6"/>
      <c r="X40" s="6"/>
      <c r="Y40" s="6"/>
      <c r="Z40" s="6">
        <v>140</v>
      </c>
      <c r="AA40" s="6">
        <v>5</v>
      </c>
      <c r="AB40" s="6">
        <f t="shared" ref="AB40:AB44" si="10">IF($Q$4&gt;=AA40,Z40,AB39)</f>
        <v>150</v>
      </c>
      <c r="AD40" s="6"/>
      <c r="AE40" s="6"/>
      <c r="AF40" s="6"/>
      <c r="AG40" s="6"/>
      <c r="AH40" s="6"/>
      <c r="AI40" s="6"/>
      <c r="AJ40" s="6"/>
      <c r="AK40" s="6"/>
      <c r="AL40" s="6"/>
      <c r="AM40" s="6"/>
      <c r="AN40" s="6"/>
      <c r="AO40" s="6"/>
      <c r="AP40" s="6"/>
      <c r="AQ40" s="6"/>
      <c r="AR40" s="6"/>
      <c r="AS40" s="6"/>
      <c r="AT40" s="6"/>
      <c r="AU40" s="6"/>
      <c r="AV40" s="6"/>
      <c r="AW40" s="6"/>
    </row>
    <row r="41" spans="1:49">
      <c r="A41" s="6"/>
      <c r="B41" s="90" t="s">
        <v>1462</v>
      </c>
      <c r="C41" s="2" t="str">
        <f>IFERROR(VLOOKUP(B41,'Deutsche Markt'!C:AA,24,FALSE),"")</f>
        <v/>
      </c>
      <c r="D41" s="2">
        <f>IFERROR(VLOOKUP(B41,'Deutsche Markt'!C:AA,25,FALSE),0)</f>
        <v>0</v>
      </c>
      <c r="E41" s="2">
        <f t="shared" si="1"/>
        <v>0</v>
      </c>
      <c r="F41" s="2">
        <f t="shared" si="2"/>
        <v>0</v>
      </c>
      <c r="G41" s="2">
        <f t="shared" si="3"/>
        <v>0</v>
      </c>
      <c r="H41" s="2">
        <f t="shared" si="4"/>
        <v>0</v>
      </c>
      <c r="I41" s="2">
        <f t="shared" si="0"/>
        <v>0</v>
      </c>
      <c r="J41">
        <f>IFERROR(VLOOKUP(B41,'General price list'!C:AI,12,FALSE)*(G41*C41),0)</f>
        <v>0</v>
      </c>
      <c r="K41" s="6"/>
      <c r="L41" s="6"/>
      <c r="M41" s="6"/>
      <c r="N41" s="6"/>
      <c r="O41" s="6"/>
      <c r="P41" s="6"/>
      <c r="Q41" s="6"/>
      <c r="R41" s="6"/>
      <c r="S41" s="6"/>
      <c r="T41" s="6"/>
      <c r="U41" s="6"/>
      <c r="V41" s="6"/>
      <c r="W41" s="6"/>
      <c r="X41" s="6"/>
      <c r="Y41" s="6"/>
      <c r="Z41" s="6">
        <v>130</v>
      </c>
      <c r="AA41" s="6">
        <v>7</v>
      </c>
      <c r="AB41" s="6">
        <f t="shared" si="10"/>
        <v>150</v>
      </c>
      <c r="AD41" s="6"/>
      <c r="AE41" s="6"/>
      <c r="AF41" s="6"/>
      <c r="AG41" s="6"/>
      <c r="AH41" s="6"/>
      <c r="AI41" s="6"/>
      <c r="AJ41" s="6"/>
      <c r="AK41" s="6"/>
      <c r="AL41" s="6"/>
      <c r="AM41" s="6"/>
      <c r="AN41" s="6"/>
      <c r="AO41" s="6"/>
      <c r="AP41" s="6"/>
      <c r="AQ41" s="6"/>
      <c r="AR41" s="6"/>
      <c r="AS41" s="6"/>
      <c r="AT41" s="6"/>
      <c r="AU41" s="6"/>
      <c r="AV41" s="6"/>
      <c r="AW41" s="6"/>
    </row>
    <row r="42" spans="1:49">
      <c r="A42" s="6"/>
      <c r="B42" s="90" t="s">
        <v>2530</v>
      </c>
      <c r="C42" s="2" t="str">
        <f>IFERROR(VLOOKUP(B42,'Deutsche Markt'!C:AA,24,FALSE),"")</f>
        <v/>
      </c>
      <c r="D42" s="2">
        <f>IFERROR(VLOOKUP(B42,'Deutsche Markt'!C:AA,25,FALSE),0)</f>
        <v>0</v>
      </c>
      <c r="E42" s="2">
        <f t="shared" si="1"/>
        <v>0</v>
      </c>
      <c r="F42" s="2">
        <f t="shared" si="2"/>
        <v>0</v>
      </c>
      <c r="G42" s="2">
        <f t="shared" si="3"/>
        <v>0</v>
      </c>
      <c r="H42" s="2">
        <f t="shared" si="4"/>
        <v>0</v>
      </c>
      <c r="I42" s="2">
        <f t="shared" si="0"/>
        <v>0</v>
      </c>
      <c r="J42">
        <f>IFERROR(VLOOKUP(B42,'General price list'!C:AI,12,FALSE)*(G42*C42),0)</f>
        <v>0</v>
      </c>
      <c r="K42" s="6"/>
      <c r="L42" s="6"/>
      <c r="M42" s="6"/>
      <c r="N42" s="6"/>
      <c r="O42" s="6"/>
      <c r="P42" s="6"/>
      <c r="Q42" s="6"/>
      <c r="R42" s="6"/>
      <c r="S42" s="6"/>
      <c r="T42" s="6"/>
      <c r="U42" s="6"/>
      <c r="V42" s="6"/>
      <c r="W42" s="6"/>
      <c r="X42" s="6"/>
      <c r="Y42" s="6"/>
      <c r="Z42" s="6">
        <v>120</v>
      </c>
      <c r="AA42" s="6">
        <v>15</v>
      </c>
      <c r="AB42" s="6">
        <f t="shared" si="10"/>
        <v>150</v>
      </c>
      <c r="AD42" s="6"/>
      <c r="AE42" s="6"/>
      <c r="AF42" s="6"/>
      <c r="AG42" s="6"/>
      <c r="AH42" s="6"/>
      <c r="AI42" s="6"/>
      <c r="AJ42" s="6"/>
      <c r="AK42" s="6"/>
      <c r="AL42" s="6"/>
      <c r="AM42" s="6"/>
      <c r="AN42" s="6"/>
      <c r="AO42" s="6"/>
      <c r="AP42" s="6"/>
      <c r="AQ42" s="6"/>
      <c r="AR42" s="6"/>
      <c r="AS42" s="6"/>
      <c r="AT42" s="6"/>
      <c r="AU42" s="6"/>
      <c r="AV42" s="6"/>
      <c r="AW42" s="6"/>
    </row>
    <row r="43" spans="1:49">
      <c r="A43" s="6"/>
      <c r="B43" s="89" t="s">
        <v>1463</v>
      </c>
      <c r="C43" s="2" t="str">
        <f>IFERROR(VLOOKUP(B43,'Deutsche Markt'!C:AA,24,FALSE),"")</f>
        <v/>
      </c>
      <c r="D43" s="2">
        <f>IFERROR(VLOOKUP(B43,'Deutsche Markt'!C:AA,25,FALSE),0)</f>
        <v>0</v>
      </c>
      <c r="E43" s="2">
        <f t="shared" si="1"/>
        <v>0</v>
      </c>
      <c r="F43" s="2">
        <f t="shared" si="2"/>
        <v>0</v>
      </c>
      <c r="G43" s="2">
        <f t="shared" si="3"/>
        <v>0</v>
      </c>
      <c r="H43" s="2">
        <f t="shared" si="4"/>
        <v>0</v>
      </c>
      <c r="I43" s="2">
        <f t="shared" si="0"/>
        <v>0</v>
      </c>
      <c r="J43">
        <f>IFERROR(VLOOKUP(B43,'General price list'!C:AI,12,FALSE)*(G43*C43),0)</f>
        <v>0</v>
      </c>
      <c r="K43" s="6"/>
      <c r="L43" s="6"/>
      <c r="M43" s="6"/>
      <c r="N43" s="6"/>
      <c r="O43" s="6"/>
      <c r="P43" s="6"/>
      <c r="Q43" s="6"/>
      <c r="R43" s="6"/>
      <c r="S43" s="6"/>
      <c r="T43" s="6"/>
      <c r="U43" s="6"/>
      <c r="V43" s="6"/>
      <c r="W43" s="6"/>
      <c r="X43" s="6"/>
      <c r="Y43" s="6"/>
      <c r="Z43" s="6">
        <v>110</v>
      </c>
      <c r="AA43" s="6">
        <v>20</v>
      </c>
      <c r="AB43" s="6">
        <f t="shared" si="10"/>
        <v>150</v>
      </c>
      <c r="AD43" s="6"/>
      <c r="AE43" s="6"/>
      <c r="AF43" s="6"/>
      <c r="AG43" s="6"/>
      <c r="AH43" s="6"/>
      <c r="AI43" s="6"/>
      <c r="AJ43" s="6"/>
      <c r="AK43" s="6"/>
      <c r="AL43" s="6"/>
      <c r="AM43" s="6"/>
      <c r="AN43" s="6"/>
      <c r="AO43" s="6"/>
      <c r="AP43" s="6"/>
      <c r="AQ43" s="6"/>
      <c r="AR43" s="6"/>
      <c r="AS43" s="6"/>
      <c r="AT43" s="6"/>
      <c r="AU43" s="6"/>
      <c r="AV43" s="6"/>
      <c r="AW43" s="6"/>
    </row>
    <row r="44" spans="1:49">
      <c r="A44" s="6"/>
      <c r="B44" s="89" t="s">
        <v>2531</v>
      </c>
      <c r="C44" s="2" t="str">
        <f>IFERROR(VLOOKUP(B44,'Deutsche Markt'!C:AA,24,FALSE),"")</f>
        <v/>
      </c>
      <c r="D44" s="2">
        <f>IFERROR(VLOOKUP(B44,'Deutsche Markt'!C:AA,25,FALSE),0)</f>
        <v>0</v>
      </c>
      <c r="E44" s="2">
        <f t="shared" si="1"/>
        <v>0</v>
      </c>
      <c r="F44" s="2">
        <f t="shared" si="2"/>
        <v>0</v>
      </c>
      <c r="G44" s="2">
        <f t="shared" si="3"/>
        <v>0</v>
      </c>
      <c r="H44" s="2">
        <f t="shared" si="4"/>
        <v>0</v>
      </c>
      <c r="I44" s="2">
        <f t="shared" si="0"/>
        <v>0</v>
      </c>
      <c r="J44">
        <f>IFERROR(VLOOKUP(B44,'General price list'!C:AI,12,FALSE)*(G44*C44),0)</f>
        <v>0</v>
      </c>
      <c r="K44" s="6"/>
      <c r="L44" s="6"/>
      <c r="M44" s="6"/>
      <c r="N44" s="6"/>
      <c r="O44" s="6"/>
      <c r="P44" s="6"/>
      <c r="Q44" s="6"/>
      <c r="R44" s="6"/>
      <c r="S44" s="6"/>
      <c r="T44" s="6"/>
      <c r="U44" s="6"/>
      <c r="V44" s="6"/>
      <c r="W44" s="6"/>
      <c r="X44" s="6"/>
      <c r="Y44" s="6"/>
      <c r="Z44" s="6">
        <v>100</v>
      </c>
      <c r="AA44" s="6">
        <v>30</v>
      </c>
      <c r="AB44" s="187">
        <f t="shared" si="10"/>
        <v>150</v>
      </c>
      <c r="AC44" s="1041" t="str">
        <f>IF(AB44*Q4=0,"-----",AB44*Q4)</f>
        <v>-----</v>
      </c>
      <c r="AD44" s="6"/>
      <c r="AE44" s="6"/>
      <c r="AF44" s="6"/>
      <c r="AG44" s="6"/>
      <c r="AH44" s="6"/>
      <c r="AI44" s="6"/>
      <c r="AJ44" s="6"/>
      <c r="AK44" s="6"/>
      <c r="AL44" s="6"/>
      <c r="AM44" s="6"/>
      <c r="AN44" s="6"/>
      <c r="AO44" s="6"/>
      <c r="AP44" s="6"/>
      <c r="AQ44" s="6"/>
      <c r="AR44" s="6"/>
      <c r="AS44" s="6"/>
      <c r="AT44" s="6"/>
      <c r="AU44" s="6"/>
      <c r="AV44" s="6"/>
      <c r="AW44" s="6"/>
    </row>
    <row r="45" spans="1:49">
      <c r="A45" s="6"/>
      <c r="B45" s="92" t="s">
        <v>5203</v>
      </c>
      <c r="C45" s="2" t="str">
        <f>IFERROR(VLOOKUP(B45,'Deutsche Markt'!C:AA,24,FALSE),"")</f>
        <v/>
      </c>
      <c r="D45" s="2">
        <f>IFERROR(VLOOKUP(B45,'Deutsche Markt'!C:AA,25,FALSE),0)</f>
        <v>0</v>
      </c>
      <c r="E45" s="2">
        <f t="shared" si="1"/>
        <v>0</v>
      </c>
      <c r="F45" s="2">
        <f t="shared" si="2"/>
        <v>0</v>
      </c>
      <c r="G45" s="2">
        <f t="shared" si="3"/>
        <v>0</v>
      </c>
      <c r="H45" s="2">
        <f t="shared" si="4"/>
        <v>0</v>
      </c>
      <c r="I45" s="2">
        <f t="shared" si="0"/>
        <v>0</v>
      </c>
      <c r="J45">
        <f>IFERROR(VLOOKUP(B45,'General price list'!C:AI,12,FALSE)*(G45*C45),0)</f>
        <v>0</v>
      </c>
      <c r="K45" s="6"/>
      <c r="L45" s="6"/>
      <c r="M45" s="6"/>
      <c r="N45" s="6"/>
      <c r="O45" s="6"/>
      <c r="P45" s="6"/>
      <c r="Q45" s="6"/>
      <c r="R45" s="6"/>
      <c r="S45" s="6"/>
      <c r="T45" s="6"/>
      <c r="U45" s="6"/>
      <c r="V45" s="6"/>
      <c r="W45" s="6"/>
      <c r="X45" s="6"/>
      <c r="Y45" s="6"/>
      <c r="Z45" s="6"/>
      <c r="AA45" s="6"/>
      <c r="AB45" s="6"/>
      <c r="AC45" s="6"/>
      <c r="AD45" s="6"/>
      <c r="AE45" s="6"/>
      <c r="AF45" s="6"/>
      <c r="AG45" s="6"/>
      <c r="AH45" s="6"/>
      <c r="AI45" s="6"/>
      <c r="AJ45" s="6"/>
      <c r="AK45" s="6"/>
      <c r="AL45" s="6"/>
      <c r="AM45" s="6"/>
      <c r="AN45" s="6"/>
      <c r="AO45" s="6"/>
      <c r="AP45" s="6"/>
      <c r="AQ45" s="6"/>
      <c r="AR45" s="6"/>
      <c r="AS45" s="6"/>
      <c r="AT45" s="6"/>
      <c r="AU45" s="6"/>
      <c r="AV45" s="6"/>
      <c r="AW45" s="6"/>
    </row>
    <row r="46" spans="1:49">
      <c r="A46" s="6"/>
      <c r="B46" s="89" t="s">
        <v>5205</v>
      </c>
      <c r="C46" s="2" t="str">
        <f>IFERROR(VLOOKUP(B46,'Deutsche Markt'!C:AA,24,FALSE),"")</f>
        <v/>
      </c>
      <c r="D46" s="2">
        <f>IFERROR(VLOOKUP(B46,'Deutsche Markt'!C:AA,25,FALSE),0)</f>
        <v>0</v>
      </c>
      <c r="E46" s="2">
        <f t="shared" si="1"/>
        <v>0</v>
      </c>
      <c r="F46" s="2">
        <f t="shared" si="2"/>
        <v>0</v>
      </c>
      <c r="G46" s="2">
        <f t="shared" si="3"/>
        <v>0</v>
      </c>
      <c r="H46" s="2">
        <f t="shared" si="4"/>
        <v>0</v>
      </c>
      <c r="I46" s="2">
        <f t="shared" si="0"/>
        <v>0</v>
      </c>
      <c r="J46">
        <f>IFERROR(VLOOKUP(B46,'General price list'!C:AI,12,FALSE)*(G46*C46),0)</f>
        <v>0</v>
      </c>
      <c r="K46" s="6"/>
      <c r="L46" s="6"/>
      <c r="M46" s="6"/>
      <c r="N46" s="6"/>
      <c r="O46" s="6"/>
      <c r="P46" s="6"/>
      <c r="Q46" s="6"/>
      <c r="R46" s="6"/>
      <c r="S46" s="6"/>
      <c r="T46" s="6"/>
      <c r="U46" s="6"/>
      <c r="V46" s="6"/>
      <c r="W46" s="6"/>
      <c r="X46" s="6"/>
      <c r="Y46" s="6"/>
      <c r="Z46" s="6"/>
      <c r="AA46" s="6"/>
      <c r="AB46" s="6"/>
      <c r="AC46" s="6"/>
      <c r="AD46" s="6"/>
      <c r="AE46" s="6"/>
      <c r="AF46" s="6"/>
      <c r="AG46" s="6"/>
      <c r="AH46" s="6"/>
      <c r="AI46" s="6"/>
      <c r="AJ46" s="6"/>
      <c r="AK46" s="6"/>
      <c r="AL46" s="6"/>
      <c r="AM46" s="6"/>
      <c r="AN46" s="6"/>
      <c r="AO46" s="6"/>
      <c r="AP46" s="6"/>
      <c r="AQ46" s="6"/>
      <c r="AR46" s="6"/>
      <c r="AS46" s="6"/>
      <c r="AT46" s="6"/>
      <c r="AU46" s="6"/>
      <c r="AV46" s="6"/>
      <c r="AW46" s="6"/>
    </row>
    <row r="47" spans="1:49">
      <c r="A47" s="6"/>
      <c r="B47" s="89" t="s">
        <v>2368</v>
      </c>
      <c r="C47" s="2">
        <f>IFERROR(VLOOKUP(B47,'Deutsche Markt'!C:AA,24,FALSE),"")</f>
        <v>42</v>
      </c>
      <c r="D47" s="2">
        <f>IFERROR(VLOOKUP(B47,'Deutsche Markt'!C:AA,25,FALSE),0)</f>
        <v>0</v>
      </c>
      <c r="E47" s="2">
        <f t="shared" si="1"/>
        <v>0</v>
      </c>
      <c r="F47" s="2">
        <f t="shared" si="2"/>
        <v>0</v>
      </c>
      <c r="G47" s="2">
        <f t="shared" si="3"/>
        <v>0</v>
      </c>
      <c r="H47" s="2">
        <f t="shared" si="4"/>
        <v>0</v>
      </c>
      <c r="I47" s="2">
        <f t="shared" si="0"/>
        <v>0</v>
      </c>
      <c r="J47">
        <f>IFERROR(VLOOKUP(B47,'General price list'!C:AI,12,FALSE)*(G47*C47),0)</f>
        <v>0</v>
      </c>
      <c r="K47" s="6"/>
      <c r="L47" s="6"/>
      <c r="M47" s="6"/>
      <c r="N47" s="6"/>
      <c r="O47" s="6"/>
      <c r="P47" s="6"/>
      <c r="Q47" s="6"/>
      <c r="R47" s="6"/>
      <c r="S47" s="6"/>
      <c r="T47" s="6"/>
      <c r="U47" s="6"/>
      <c r="V47" s="6"/>
      <c r="W47" s="6"/>
      <c r="X47" s="6"/>
      <c r="Y47" s="6"/>
      <c r="Z47" s="6"/>
      <c r="AA47" s="6"/>
      <c r="AB47" s="6"/>
      <c r="AC47" s="6"/>
      <c r="AD47" s="6"/>
      <c r="AE47" s="6"/>
      <c r="AF47" s="6"/>
      <c r="AG47" s="6"/>
      <c r="AH47" s="6"/>
      <c r="AI47" s="6"/>
      <c r="AJ47" s="6"/>
      <c r="AK47" s="6"/>
      <c r="AL47" s="6"/>
      <c r="AM47" s="6"/>
      <c r="AN47" s="6"/>
      <c r="AO47" s="6"/>
      <c r="AP47" s="6"/>
      <c r="AQ47" s="6"/>
      <c r="AR47" s="6"/>
      <c r="AS47" s="6"/>
      <c r="AT47" s="6"/>
      <c r="AU47" s="6"/>
      <c r="AV47" s="6"/>
      <c r="AW47" s="6"/>
    </row>
    <row r="48" spans="1:49">
      <c r="A48" s="6"/>
      <c r="B48" s="89" t="s">
        <v>1464</v>
      </c>
      <c r="C48" s="2" t="str">
        <f>IFERROR(VLOOKUP(B48,'Deutsche Markt'!C:AA,24,FALSE),"")</f>
        <v/>
      </c>
      <c r="D48" s="2">
        <f>IFERROR(VLOOKUP(B48,'Deutsche Markt'!C:AA,25,FALSE),0)</f>
        <v>0</v>
      </c>
      <c r="E48" s="2">
        <f t="shared" si="1"/>
        <v>0</v>
      </c>
      <c r="F48" s="2">
        <f t="shared" si="2"/>
        <v>0</v>
      </c>
      <c r="G48" s="2">
        <f t="shared" si="3"/>
        <v>0</v>
      </c>
      <c r="H48" s="2">
        <f t="shared" si="4"/>
        <v>0</v>
      </c>
      <c r="I48" s="2">
        <f t="shared" si="0"/>
        <v>0</v>
      </c>
      <c r="J48">
        <f>IFERROR(VLOOKUP(B48,'General price list'!C:AI,12,FALSE)*(G48*C48),0)</f>
        <v>0</v>
      </c>
      <c r="K48" s="6"/>
      <c r="L48" s="6"/>
      <c r="M48" s="6"/>
      <c r="N48" s="6"/>
      <c r="O48" s="6"/>
      <c r="P48" s="6"/>
      <c r="Q48" s="6"/>
      <c r="R48" s="6"/>
      <c r="S48" s="6"/>
      <c r="T48" s="6"/>
      <c r="U48" s="6"/>
      <c r="V48" s="6"/>
      <c r="W48" s="6"/>
      <c r="X48" s="6"/>
      <c r="Y48" s="6"/>
      <c r="Z48" s="6"/>
      <c r="AA48" s="6"/>
      <c r="AB48" s="6"/>
      <c r="AC48" s="6"/>
      <c r="AD48" s="6"/>
      <c r="AE48" s="6"/>
      <c r="AF48" s="6"/>
      <c r="AG48" s="6"/>
      <c r="AH48" s="6"/>
      <c r="AI48" s="6"/>
      <c r="AJ48" s="6"/>
      <c r="AK48" s="6"/>
      <c r="AL48" s="6"/>
      <c r="AM48" s="6"/>
      <c r="AN48" s="6"/>
      <c r="AO48" s="6"/>
      <c r="AP48" s="6"/>
      <c r="AQ48" s="6"/>
      <c r="AR48" s="6"/>
      <c r="AS48" s="6"/>
      <c r="AT48" s="6"/>
      <c r="AU48" s="6"/>
      <c r="AV48" s="6"/>
      <c r="AW48" s="6"/>
    </row>
    <row r="49" spans="1:49">
      <c r="A49" s="6"/>
      <c r="B49" s="90" t="s">
        <v>5212</v>
      </c>
      <c r="C49" s="2" t="str">
        <f>IFERROR(VLOOKUP(B49,'Deutsche Markt'!C:AA,24,FALSE),"")</f>
        <v/>
      </c>
      <c r="D49" s="2">
        <f>IFERROR(VLOOKUP(B49,'Deutsche Markt'!C:AA,25,FALSE),0)</f>
        <v>0</v>
      </c>
      <c r="E49" s="2">
        <f t="shared" si="1"/>
        <v>0</v>
      </c>
      <c r="F49" s="2">
        <f t="shared" si="2"/>
        <v>0</v>
      </c>
      <c r="G49" s="2">
        <f t="shared" si="3"/>
        <v>0</v>
      </c>
      <c r="H49" s="2">
        <f t="shared" si="4"/>
        <v>0</v>
      </c>
      <c r="I49" s="2">
        <f t="shared" si="0"/>
        <v>0</v>
      </c>
      <c r="J49">
        <f>IFERROR(VLOOKUP(B49,'General price list'!C:AI,12,FALSE)*(G49*C49),0)</f>
        <v>0</v>
      </c>
      <c r="K49" s="6"/>
      <c r="L49" s="6"/>
      <c r="M49" s="6"/>
      <c r="N49" s="6"/>
      <c r="O49" s="6"/>
      <c r="P49" s="6"/>
      <c r="Q49" s="6"/>
      <c r="R49" s="6"/>
      <c r="S49" s="6"/>
      <c r="T49" s="6"/>
      <c r="U49" s="6"/>
      <c r="V49" s="6"/>
      <c r="W49" s="6"/>
      <c r="X49" s="6"/>
      <c r="Y49" s="6"/>
      <c r="Z49" s="6"/>
      <c r="AA49" s="6"/>
      <c r="AB49" s="6"/>
      <c r="AC49" s="6"/>
      <c r="AD49" s="6"/>
      <c r="AE49" s="6"/>
      <c r="AF49" s="6"/>
      <c r="AG49" s="6"/>
      <c r="AH49" s="6"/>
      <c r="AI49" s="6"/>
      <c r="AJ49" s="6"/>
      <c r="AK49" s="6"/>
      <c r="AL49" s="6"/>
      <c r="AM49" s="6"/>
      <c r="AN49" s="6"/>
      <c r="AO49" s="6"/>
      <c r="AP49" s="6"/>
      <c r="AQ49" s="6"/>
      <c r="AR49" s="6"/>
      <c r="AS49" s="6"/>
      <c r="AT49" s="6"/>
      <c r="AU49" s="6"/>
      <c r="AV49" s="6"/>
      <c r="AW49" s="6"/>
    </row>
    <row r="50" spans="1:49">
      <c r="A50" s="6"/>
      <c r="B50" s="89" t="s">
        <v>1456</v>
      </c>
      <c r="C50" s="2" t="str">
        <f>IFERROR(VLOOKUP(B50,'Deutsche Markt'!C:AA,24,FALSE),"")</f>
        <v/>
      </c>
      <c r="D50" s="2">
        <f>IFERROR(VLOOKUP(B50,'Deutsche Markt'!C:AA,25,FALSE),0)</f>
        <v>0</v>
      </c>
      <c r="E50" s="2">
        <f t="shared" si="1"/>
        <v>0</v>
      </c>
      <c r="F50" s="2">
        <f t="shared" si="2"/>
        <v>0</v>
      </c>
      <c r="G50" s="2">
        <f t="shared" si="3"/>
        <v>0</v>
      </c>
      <c r="H50" s="2">
        <f t="shared" si="4"/>
        <v>0</v>
      </c>
      <c r="I50" s="2">
        <f t="shared" si="0"/>
        <v>0</v>
      </c>
      <c r="J50">
        <f>IFERROR(VLOOKUP(B50,'General price list'!C:AI,12,FALSE)*(G50*C50),0)</f>
        <v>0</v>
      </c>
      <c r="K50" s="6"/>
      <c r="L50" s="6"/>
      <c r="M50" s="6"/>
      <c r="N50" s="6"/>
      <c r="O50" s="6"/>
      <c r="P50" s="6"/>
      <c r="Q50" s="6"/>
      <c r="R50" s="6"/>
      <c r="S50" s="6"/>
      <c r="T50" s="6"/>
      <c r="U50" s="6"/>
      <c r="V50" s="6"/>
      <c r="W50" s="6"/>
      <c r="X50" s="6"/>
      <c r="Y50" s="6"/>
      <c r="Z50" s="6"/>
      <c r="AA50" s="6"/>
      <c r="AB50" s="6"/>
      <c r="AC50" s="6"/>
      <c r="AD50" s="6"/>
      <c r="AE50" s="6"/>
      <c r="AF50" s="6"/>
      <c r="AG50" s="6"/>
      <c r="AH50" s="6"/>
      <c r="AI50" s="6"/>
      <c r="AJ50" s="6"/>
      <c r="AK50" s="6"/>
      <c r="AL50" s="6"/>
      <c r="AM50" s="6"/>
      <c r="AN50" s="6"/>
      <c r="AO50" s="6"/>
      <c r="AP50" s="6"/>
      <c r="AQ50" s="6"/>
      <c r="AR50" s="6"/>
      <c r="AS50" s="6"/>
      <c r="AT50" s="6"/>
      <c r="AU50" s="6"/>
      <c r="AV50" s="6"/>
      <c r="AW50" s="6"/>
    </row>
    <row r="51" spans="1:49">
      <c r="A51" s="6"/>
      <c r="B51" s="89" t="s">
        <v>2526</v>
      </c>
      <c r="C51" s="2" t="str">
        <f>IFERROR(VLOOKUP(B51,'Deutsche Markt'!C:AA,24,FALSE),"")</f>
        <v/>
      </c>
      <c r="D51" s="2">
        <f>IFERROR(VLOOKUP(B51,'Deutsche Markt'!C:AA,25,FALSE),0)</f>
        <v>0</v>
      </c>
      <c r="E51" s="2">
        <f t="shared" si="1"/>
        <v>0</v>
      </c>
      <c r="F51" s="2">
        <f t="shared" si="2"/>
        <v>0</v>
      </c>
      <c r="G51" s="2">
        <f t="shared" si="3"/>
        <v>0</v>
      </c>
      <c r="H51" s="2">
        <f t="shared" si="4"/>
        <v>0</v>
      </c>
      <c r="I51" s="2">
        <f t="shared" si="0"/>
        <v>0</v>
      </c>
      <c r="J51">
        <f>IFERROR(VLOOKUP(B51,'General price list'!C:AI,12,FALSE)*(G51*C51),0)</f>
        <v>0</v>
      </c>
      <c r="K51" s="6"/>
      <c r="L51" s="6"/>
      <c r="M51" s="6"/>
      <c r="N51" s="6"/>
      <c r="O51" s="6"/>
      <c r="P51" s="6"/>
      <c r="Q51" s="6"/>
      <c r="R51" s="6"/>
      <c r="S51" s="6"/>
      <c r="T51" s="6"/>
      <c r="U51" s="6"/>
      <c r="V51" s="6"/>
      <c r="W51" s="6"/>
      <c r="X51" s="6"/>
      <c r="Y51" s="6"/>
      <c r="Z51" s="6"/>
      <c r="AA51" s="6"/>
      <c r="AB51" s="6"/>
      <c r="AC51" s="6"/>
      <c r="AD51" s="6"/>
      <c r="AE51" s="6"/>
      <c r="AF51" s="6"/>
      <c r="AG51" s="6"/>
      <c r="AH51" s="6"/>
      <c r="AI51" s="6"/>
      <c r="AJ51" s="6"/>
      <c r="AK51" s="6"/>
      <c r="AL51" s="6"/>
      <c r="AM51" s="6"/>
      <c r="AN51" s="6"/>
      <c r="AO51" s="6"/>
      <c r="AP51" s="6"/>
      <c r="AQ51" s="6"/>
      <c r="AR51" s="6"/>
      <c r="AS51" s="6"/>
      <c r="AT51" s="6"/>
      <c r="AU51" s="6"/>
      <c r="AV51" s="6"/>
      <c r="AW51" s="6"/>
    </row>
    <row r="52" spans="1:49">
      <c r="A52" s="6"/>
      <c r="B52" s="89" t="s">
        <v>1466</v>
      </c>
      <c r="C52" s="2" t="str">
        <f>IFERROR(VLOOKUP(B52,'Deutsche Markt'!C:AA,24,FALSE),"")</f>
        <v/>
      </c>
      <c r="D52" s="2">
        <f>IFERROR(VLOOKUP(B52,'Deutsche Markt'!C:AA,25,FALSE),0)</f>
        <v>0</v>
      </c>
      <c r="E52" s="2">
        <f t="shared" si="1"/>
        <v>0</v>
      </c>
      <c r="F52" s="2">
        <f t="shared" si="2"/>
        <v>0</v>
      </c>
      <c r="G52" s="2">
        <f t="shared" si="3"/>
        <v>0</v>
      </c>
      <c r="H52" s="2">
        <f t="shared" si="4"/>
        <v>0</v>
      </c>
      <c r="I52" s="2">
        <f t="shared" si="0"/>
        <v>0</v>
      </c>
      <c r="J52">
        <f>IFERROR(VLOOKUP(B52,'General price list'!C:AI,12,FALSE)*(G52*C52),0)</f>
        <v>0</v>
      </c>
      <c r="K52" s="6"/>
      <c r="L52" s="6"/>
      <c r="M52" s="6"/>
      <c r="N52" s="6"/>
      <c r="O52" s="6"/>
      <c r="P52" s="6"/>
      <c r="Q52" s="6"/>
      <c r="R52" s="6"/>
      <c r="S52" s="6"/>
      <c r="T52" s="6"/>
      <c r="U52" s="6"/>
      <c r="V52" s="6"/>
      <c r="W52" s="6"/>
      <c r="X52" s="6"/>
      <c r="Y52" s="6"/>
      <c r="Z52" s="6"/>
      <c r="AA52" s="6"/>
      <c r="AB52" s="6"/>
      <c r="AC52" s="6"/>
      <c r="AD52" s="6"/>
      <c r="AE52" s="6"/>
      <c r="AF52" s="6"/>
      <c r="AG52" s="6"/>
      <c r="AH52" s="6"/>
      <c r="AI52" s="6"/>
      <c r="AJ52" s="6"/>
      <c r="AK52" s="6"/>
      <c r="AL52" s="6"/>
      <c r="AM52" s="6"/>
      <c r="AN52" s="6"/>
      <c r="AO52" s="6"/>
      <c r="AP52" s="6"/>
      <c r="AQ52" s="6"/>
      <c r="AR52" s="6"/>
      <c r="AS52" s="6"/>
      <c r="AT52" s="6"/>
      <c r="AU52" s="6"/>
      <c r="AV52" s="6"/>
      <c r="AW52" s="6"/>
    </row>
    <row r="53" spans="1:49">
      <c r="A53" s="6"/>
      <c r="B53" s="89" t="s">
        <v>2533</v>
      </c>
      <c r="C53" s="2" t="str">
        <f>IFERROR(VLOOKUP(B53,'Deutsche Markt'!C:AA,24,FALSE),"")</f>
        <v/>
      </c>
      <c r="D53" s="2">
        <f>IFERROR(VLOOKUP(B53,'Deutsche Markt'!C:AA,25,FALSE),0)</f>
        <v>0</v>
      </c>
      <c r="E53" s="2">
        <f t="shared" si="1"/>
        <v>0</v>
      </c>
      <c r="F53" s="2">
        <f t="shared" si="2"/>
        <v>0</v>
      </c>
      <c r="G53" s="2">
        <f t="shared" si="3"/>
        <v>0</v>
      </c>
      <c r="H53" s="2">
        <f t="shared" si="4"/>
        <v>0</v>
      </c>
      <c r="I53" s="2">
        <f t="shared" si="0"/>
        <v>0</v>
      </c>
      <c r="J53">
        <f>IFERROR(VLOOKUP(B53,'General price list'!C:AI,12,FALSE)*(G53*C53),0)</f>
        <v>0</v>
      </c>
      <c r="K53" s="6"/>
      <c r="L53" s="6"/>
      <c r="M53" s="6"/>
      <c r="N53" s="6"/>
      <c r="O53" s="6"/>
      <c r="P53" s="6"/>
      <c r="Q53" s="6"/>
      <c r="R53" s="6"/>
      <c r="S53" s="6"/>
      <c r="T53" s="6"/>
      <c r="U53" s="6"/>
      <c r="V53" s="6"/>
      <c r="W53" s="6"/>
      <c r="X53" s="6"/>
      <c r="Y53" s="6"/>
      <c r="Z53" s="6"/>
      <c r="AA53" s="6"/>
      <c r="AB53" s="6"/>
      <c r="AC53" s="6"/>
      <c r="AD53" s="6"/>
      <c r="AE53" s="6"/>
      <c r="AF53" s="6"/>
      <c r="AG53" s="6"/>
      <c r="AH53" s="6"/>
      <c r="AI53" s="6"/>
      <c r="AJ53" s="6"/>
      <c r="AK53" s="6"/>
      <c r="AL53" s="6"/>
      <c r="AM53" s="6"/>
      <c r="AN53" s="6"/>
      <c r="AO53" s="6"/>
      <c r="AP53" s="6"/>
      <c r="AQ53" s="6"/>
      <c r="AR53" s="6"/>
      <c r="AS53" s="6"/>
      <c r="AT53" s="6"/>
      <c r="AU53" s="6"/>
      <c r="AV53" s="6"/>
      <c r="AW53" s="6"/>
    </row>
    <row r="54" spans="1:49">
      <c r="A54" s="6"/>
      <c r="B54" s="89" t="s">
        <v>1468</v>
      </c>
      <c r="C54" s="2" t="str">
        <f>IFERROR(VLOOKUP(B54,'Deutsche Markt'!C:AA,24,FALSE),"")</f>
        <v/>
      </c>
      <c r="D54" s="2">
        <f>IFERROR(VLOOKUP(B54,'Deutsche Markt'!C:AA,25,FALSE),0)</f>
        <v>0</v>
      </c>
      <c r="E54" s="2">
        <f t="shared" si="1"/>
        <v>0</v>
      </c>
      <c r="F54" s="2">
        <f t="shared" si="2"/>
        <v>0</v>
      </c>
      <c r="G54" s="2">
        <f t="shared" si="3"/>
        <v>0</v>
      </c>
      <c r="H54" s="2">
        <f t="shared" si="4"/>
        <v>0</v>
      </c>
      <c r="I54" s="2">
        <f t="shared" si="0"/>
        <v>0</v>
      </c>
      <c r="J54">
        <f>IFERROR(VLOOKUP(B54,'General price list'!C:AI,12,FALSE)*(G54*C54),0)</f>
        <v>0</v>
      </c>
      <c r="K54" s="6"/>
      <c r="L54" s="6"/>
      <c r="M54" s="6"/>
      <c r="N54" s="6"/>
      <c r="O54" s="6"/>
      <c r="P54" s="6"/>
      <c r="Q54" s="6"/>
      <c r="R54" s="6"/>
      <c r="S54" s="6"/>
      <c r="T54" s="6"/>
      <c r="U54" s="6"/>
      <c r="V54" s="6"/>
      <c r="W54" s="6"/>
      <c r="X54" s="6"/>
      <c r="Y54" s="6"/>
      <c r="Z54" s="6"/>
      <c r="AA54" s="6"/>
      <c r="AB54" s="6"/>
      <c r="AC54" s="6"/>
      <c r="AD54" s="6"/>
      <c r="AE54" s="6"/>
      <c r="AF54" s="6"/>
      <c r="AG54" s="6"/>
      <c r="AH54" s="6"/>
      <c r="AI54" s="6"/>
      <c r="AJ54" s="6"/>
      <c r="AK54" s="6"/>
      <c r="AL54" s="6"/>
      <c r="AM54" s="6"/>
      <c r="AN54" s="6"/>
      <c r="AO54" s="6"/>
      <c r="AP54" s="6"/>
      <c r="AQ54" s="6"/>
      <c r="AR54" s="6"/>
      <c r="AS54" s="6"/>
      <c r="AT54" s="6"/>
      <c r="AU54" s="6"/>
      <c r="AV54" s="6"/>
      <c r="AW54" s="6"/>
    </row>
    <row r="55" spans="1:49">
      <c r="A55" s="6"/>
      <c r="B55" s="89" t="s">
        <v>2534</v>
      </c>
      <c r="C55" s="2" t="str">
        <f>IFERROR(VLOOKUP(B55,'Deutsche Markt'!C:AA,24,FALSE),"")</f>
        <v/>
      </c>
      <c r="D55" s="2">
        <f>IFERROR(VLOOKUP(B55,'Deutsche Markt'!C:AA,25,FALSE),0)</f>
        <v>0</v>
      </c>
      <c r="E55" s="2">
        <f t="shared" si="1"/>
        <v>0</v>
      </c>
      <c r="F55" s="2">
        <f t="shared" si="2"/>
        <v>0</v>
      </c>
      <c r="G55" s="2">
        <f t="shared" si="3"/>
        <v>0</v>
      </c>
      <c r="H55" s="2">
        <f t="shared" si="4"/>
        <v>0</v>
      </c>
      <c r="I55" s="2">
        <f t="shared" si="0"/>
        <v>0</v>
      </c>
      <c r="J55">
        <f>IFERROR(VLOOKUP(B55,'General price list'!C:AI,12,FALSE)*(G55*C55),0)</f>
        <v>0</v>
      </c>
      <c r="K55" s="6"/>
      <c r="L55" s="6"/>
      <c r="M55" s="6"/>
      <c r="N55" s="6"/>
      <c r="O55" s="6"/>
      <c r="P55" s="6"/>
      <c r="Q55" s="6"/>
      <c r="R55" s="6"/>
      <c r="S55" s="6"/>
      <c r="T55" s="6"/>
      <c r="U55" s="6"/>
      <c r="V55" s="6"/>
      <c r="W55" s="6"/>
      <c r="X55" s="6"/>
      <c r="Y55" s="6"/>
      <c r="Z55" s="6"/>
      <c r="AA55" s="6"/>
      <c r="AB55" s="6"/>
      <c r="AC55" s="6"/>
      <c r="AD55" s="6"/>
      <c r="AE55" s="6"/>
      <c r="AF55" s="6"/>
      <c r="AG55" s="6"/>
      <c r="AH55" s="6"/>
      <c r="AI55" s="6"/>
      <c r="AJ55" s="6"/>
      <c r="AK55" s="6"/>
      <c r="AL55" s="6"/>
      <c r="AM55" s="6"/>
      <c r="AN55" s="6"/>
      <c r="AO55" s="6"/>
      <c r="AP55" s="6"/>
      <c r="AQ55" s="6"/>
      <c r="AR55" s="6"/>
      <c r="AS55" s="6"/>
      <c r="AT55" s="6"/>
      <c r="AU55" s="6"/>
      <c r="AV55" s="6"/>
      <c r="AW55" s="6"/>
    </row>
    <row r="56" spans="1:49">
      <c r="A56" s="6"/>
      <c r="B56" s="89" t="s">
        <v>4825</v>
      </c>
      <c r="C56" s="2">
        <f>IFERROR(VLOOKUP(B56,'Deutsche Markt'!C:AA,24,FALSE),"")</f>
        <v>42</v>
      </c>
      <c r="D56" s="2">
        <f>IFERROR(VLOOKUP(B56,'Deutsche Markt'!C:AA,25,FALSE),0)</f>
        <v>0</v>
      </c>
      <c r="E56" s="2">
        <f t="shared" si="1"/>
        <v>0</v>
      </c>
      <c r="F56" s="2">
        <f t="shared" si="2"/>
        <v>0</v>
      </c>
      <c r="G56" s="2">
        <f t="shared" si="3"/>
        <v>0</v>
      </c>
      <c r="H56" s="2">
        <f t="shared" si="4"/>
        <v>0</v>
      </c>
      <c r="I56" s="2">
        <f t="shared" si="0"/>
        <v>0</v>
      </c>
      <c r="J56">
        <f>IFERROR(VLOOKUP(B56,'General price list'!C:AI,12,FALSE)*(G56*C56),0)</f>
        <v>0</v>
      </c>
      <c r="K56" s="6"/>
      <c r="L56" s="6"/>
      <c r="M56" s="6"/>
      <c r="N56" s="6"/>
      <c r="O56" s="6"/>
      <c r="P56" s="6"/>
      <c r="Q56" s="6"/>
      <c r="R56" s="6"/>
      <c r="S56" s="6"/>
      <c r="T56" s="6"/>
      <c r="U56" s="6"/>
      <c r="V56" s="6"/>
      <c r="W56" s="6"/>
      <c r="X56" s="6"/>
      <c r="Y56" s="6"/>
      <c r="Z56" s="6"/>
      <c r="AA56" s="6"/>
      <c r="AB56" s="6"/>
      <c r="AC56" s="6"/>
      <c r="AD56" s="6"/>
      <c r="AE56" s="6"/>
      <c r="AF56" s="6"/>
      <c r="AG56" s="6"/>
      <c r="AH56" s="6"/>
      <c r="AI56" s="6"/>
      <c r="AJ56" s="6"/>
      <c r="AK56" s="6"/>
      <c r="AL56" s="6"/>
      <c r="AM56" s="6"/>
      <c r="AN56" s="6"/>
      <c r="AO56" s="6"/>
      <c r="AP56" s="6"/>
      <c r="AQ56" s="6"/>
      <c r="AR56" s="6"/>
      <c r="AS56" s="6"/>
      <c r="AT56" s="6"/>
      <c r="AU56" s="6"/>
      <c r="AV56" s="6"/>
      <c r="AW56" s="6"/>
    </row>
    <row r="57" spans="1:49">
      <c r="A57" s="6"/>
      <c r="B57" s="89" t="s">
        <v>1532</v>
      </c>
      <c r="C57" s="2" t="str">
        <f>IFERROR(VLOOKUP(B57,'Deutsche Markt'!C:AA,24,FALSE),"")</f>
        <v/>
      </c>
      <c r="D57" s="2">
        <f>IFERROR(VLOOKUP(B57,'Deutsche Markt'!C:AA,25,FALSE),0)</f>
        <v>0</v>
      </c>
      <c r="E57" s="2">
        <f t="shared" si="1"/>
        <v>0</v>
      </c>
      <c r="F57" s="2">
        <f t="shared" si="2"/>
        <v>0</v>
      </c>
      <c r="G57" s="2">
        <f t="shared" si="3"/>
        <v>0</v>
      </c>
      <c r="H57" s="2">
        <f t="shared" si="4"/>
        <v>0</v>
      </c>
      <c r="I57" s="2">
        <f t="shared" si="0"/>
        <v>0</v>
      </c>
      <c r="J57">
        <f>IFERROR(VLOOKUP(B57,'General price list'!C:AI,12,FALSE)*(G57*C57),0)</f>
        <v>0</v>
      </c>
      <c r="K57" s="6"/>
      <c r="L57" s="6"/>
      <c r="M57" s="6"/>
      <c r="N57" s="6"/>
      <c r="O57" s="6"/>
      <c r="P57" s="6"/>
      <c r="Q57" s="6"/>
      <c r="R57" s="6"/>
      <c r="S57" s="6"/>
      <c r="T57" s="6"/>
      <c r="U57" s="6"/>
      <c r="V57" s="6"/>
      <c r="W57" s="6"/>
      <c r="X57" s="6"/>
      <c r="Y57" s="6"/>
      <c r="Z57" s="6"/>
      <c r="AA57" s="6"/>
      <c r="AB57" s="6"/>
      <c r="AC57" s="6"/>
      <c r="AD57" s="6"/>
      <c r="AE57" s="6"/>
      <c r="AF57" s="6"/>
      <c r="AG57" s="6"/>
      <c r="AH57" s="6"/>
      <c r="AI57" s="6"/>
      <c r="AJ57" s="6"/>
      <c r="AK57" s="6"/>
      <c r="AL57" s="6"/>
      <c r="AM57" s="6"/>
      <c r="AN57" s="6"/>
      <c r="AO57" s="6"/>
      <c r="AP57" s="6"/>
      <c r="AQ57" s="6"/>
      <c r="AR57" s="6"/>
      <c r="AS57" s="6"/>
      <c r="AT57" s="6"/>
      <c r="AU57" s="6"/>
      <c r="AV57" s="6"/>
      <c r="AW57" s="6"/>
    </row>
    <row r="58" spans="1:49">
      <c r="A58" s="6"/>
      <c r="B58" s="89" t="s">
        <v>2390</v>
      </c>
      <c r="C58" s="2" t="str">
        <f>IFERROR(VLOOKUP(B58,'Deutsche Markt'!C:AA,24,FALSE),"")</f>
        <v/>
      </c>
      <c r="D58" s="2">
        <f>IFERROR(VLOOKUP(B58,'Deutsche Markt'!C:AA,25,FALSE),0)</f>
        <v>0</v>
      </c>
      <c r="E58" s="2">
        <f t="shared" si="1"/>
        <v>0</v>
      </c>
      <c r="F58" s="2">
        <f t="shared" si="2"/>
        <v>0</v>
      </c>
      <c r="G58" s="2">
        <f t="shared" si="3"/>
        <v>0</v>
      </c>
      <c r="H58" s="2">
        <f t="shared" si="4"/>
        <v>0</v>
      </c>
      <c r="I58" s="2">
        <f t="shared" si="0"/>
        <v>0</v>
      </c>
      <c r="J58">
        <f>IFERROR(VLOOKUP(B58,'General price list'!C:AI,12,FALSE)*(G58*C58),0)</f>
        <v>0</v>
      </c>
      <c r="K58" s="6"/>
      <c r="L58" s="6"/>
      <c r="M58" s="6"/>
      <c r="N58" s="6"/>
      <c r="O58" s="6"/>
      <c r="P58" s="6"/>
      <c r="Q58" s="6"/>
      <c r="R58" s="6"/>
      <c r="S58" s="6"/>
      <c r="T58" s="6"/>
      <c r="U58" s="6"/>
      <c r="V58" s="6"/>
      <c r="W58" s="6"/>
      <c r="X58" s="6"/>
      <c r="Y58" s="6"/>
      <c r="Z58" s="6"/>
      <c r="AA58" s="6"/>
      <c r="AB58" s="6"/>
      <c r="AC58" s="6"/>
      <c r="AD58" s="6"/>
      <c r="AE58" s="6"/>
      <c r="AF58" s="6"/>
      <c r="AG58" s="6"/>
      <c r="AH58" s="6"/>
      <c r="AI58" s="6"/>
      <c r="AJ58" s="6"/>
      <c r="AK58" s="6"/>
      <c r="AL58" s="6"/>
      <c r="AM58" s="6"/>
      <c r="AN58" s="6"/>
      <c r="AO58" s="6"/>
      <c r="AP58" s="6"/>
      <c r="AQ58" s="6"/>
      <c r="AR58" s="6"/>
      <c r="AS58" s="6"/>
      <c r="AT58" s="6"/>
      <c r="AU58" s="6"/>
      <c r="AV58" s="6"/>
      <c r="AW58" s="6"/>
    </row>
    <row r="59" spans="1:49">
      <c r="A59" s="6"/>
      <c r="B59" s="89" t="s">
        <v>5250</v>
      </c>
      <c r="C59" s="2">
        <f>IFERROR(VLOOKUP(B59,'Deutsche Markt'!C:AA,24,FALSE),"")</f>
        <v>60</v>
      </c>
      <c r="D59" s="2">
        <f>IFERROR(VLOOKUP(B59,'Deutsche Markt'!C:AA,25,FALSE),0)</f>
        <v>0</v>
      </c>
      <c r="E59" s="2">
        <f t="shared" si="1"/>
        <v>0</v>
      </c>
      <c r="F59" s="2">
        <f t="shared" si="2"/>
        <v>0</v>
      </c>
      <c r="G59" s="2">
        <f t="shared" si="3"/>
        <v>0</v>
      </c>
      <c r="H59" s="2">
        <f t="shared" si="4"/>
        <v>0</v>
      </c>
      <c r="I59" s="2">
        <f t="shared" si="0"/>
        <v>0</v>
      </c>
      <c r="J59">
        <f>IFERROR(VLOOKUP(B59,'General price list'!C:AI,12,FALSE)*(G59*C59),0)</f>
        <v>0</v>
      </c>
      <c r="K59" s="6"/>
      <c r="L59" s="6"/>
      <c r="M59" s="6"/>
      <c r="N59" s="6"/>
      <c r="O59" s="6"/>
      <c r="P59" s="6"/>
      <c r="Q59" s="6"/>
      <c r="R59" s="6"/>
      <c r="S59" s="6"/>
      <c r="T59" s="6"/>
      <c r="U59" s="6"/>
      <c r="V59" s="6"/>
      <c r="W59" s="6"/>
      <c r="X59" s="6"/>
      <c r="Y59" s="6"/>
      <c r="Z59" s="6"/>
      <c r="AA59" s="6"/>
      <c r="AB59" s="6"/>
      <c r="AC59" s="6"/>
      <c r="AD59" s="6"/>
      <c r="AE59" s="6"/>
      <c r="AF59" s="6"/>
      <c r="AG59" s="6"/>
      <c r="AH59" s="6"/>
      <c r="AI59" s="6"/>
      <c r="AJ59" s="6"/>
      <c r="AK59" s="6"/>
      <c r="AL59" s="6"/>
      <c r="AM59" s="6"/>
      <c r="AN59" s="6"/>
      <c r="AO59" s="6"/>
      <c r="AP59" s="6"/>
      <c r="AQ59" s="6"/>
      <c r="AR59" s="6"/>
      <c r="AS59" s="6"/>
      <c r="AT59" s="6"/>
      <c r="AU59" s="6"/>
      <c r="AV59" s="6"/>
      <c r="AW59" s="6"/>
    </row>
    <row r="60" spans="1:49">
      <c r="A60" s="6"/>
      <c r="B60" s="89" t="s">
        <v>5272</v>
      </c>
      <c r="C60" s="2" t="str">
        <f>IFERROR(VLOOKUP(B60,'Deutsche Markt'!C:AA,24,FALSE),"")</f>
        <v/>
      </c>
      <c r="D60" s="2">
        <f>IFERROR(VLOOKUP(B60,'Deutsche Markt'!C:AA,25,FALSE),0)</f>
        <v>0</v>
      </c>
      <c r="E60" s="2">
        <f t="shared" si="1"/>
        <v>0</v>
      </c>
      <c r="F60" s="2">
        <f t="shared" si="2"/>
        <v>0</v>
      </c>
      <c r="G60" s="2">
        <f t="shared" si="3"/>
        <v>0</v>
      </c>
      <c r="H60" s="2">
        <f t="shared" si="4"/>
        <v>0</v>
      </c>
      <c r="I60" s="2">
        <f t="shared" si="0"/>
        <v>0</v>
      </c>
      <c r="J60">
        <f>IFERROR(VLOOKUP(B60,'General price list'!C:AI,12,FALSE)*(G60*C60),0)</f>
        <v>0</v>
      </c>
      <c r="K60" s="6"/>
      <c r="L60" s="6"/>
      <c r="M60" s="6"/>
      <c r="N60" s="6"/>
      <c r="O60" s="6"/>
      <c r="P60" s="6"/>
      <c r="Q60" s="6"/>
      <c r="R60" s="6"/>
      <c r="S60" s="6"/>
      <c r="T60" s="6"/>
      <c r="U60" s="6"/>
      <c r="V60" s="6"/>
      <c r="W60" s="6"/>
      <c r="X60" s="6"/>
      <c r="Y60" s="6"/>
      <c r="Z60" s="6"/>
      <c r="AA60" s="6"/>
      <c r="AB60" s="6"/>
      <c r="AC60" s="6"/>
      <c r="AD60" s="6"/>
      <c r="AE60" s="6"/>
      <c r="AF60" s="6"/>
      <c r="AG60" s="6"/>
      <c r="AH60" s="6"/>
      <c r="AI60" s="6"/>
      <c r="AJ60" s="6"/>
      <c r="AK60" s="6"/>
      <c r="AL60" s="6"/>
      <c r="AM60" s="6"/>
      <c r="AN60" s="6"/>
      <c r="AO60" s="6"/>
      <c r="AP60" s="6"/>
      <c r="AQ60" s="6"/>
      <c r="AR60" s="6"/>
      <c r="AS60" s="6"/>
      <c r="AT60" s="6"/>
      <c r="AU60" s="6"/>
      <c r="AV60" s="6"/>
      <c r="AW60" s="6"/>
    </row>
    <row r="61" spans="1:49">
      <c r="A61" s="6"/>
      <c r="B61" s="89" t="s">
        <v>5248</v>
      </c>
      <c r="C61" s="2">
        <f>IFERROR(VLOOKUP(B61,'Deutsche Markt'!C:AA,24,FALSE),"")</f>
        <v>60</v>
      </c>
      <c r="D61" s="2">
        <f>IFERROR(VLOOKUP(B61,'Deutsche Markt'!C:AA,25,FALSE),0)</f>
        <v>0</v>
      </c>
      <c r="E61" s="2">
        <f t="shared" si="1"/>
        <v>0</v>
      </c>
      <c r="F61" s="2">
        <f t="shared" si="2"/>
        <v>0</v>
      </c>
      <c r="G61" s="2">
        <f t="shared" si="3"/>
        <v>0</v>
      </c>
      <c r="H61" s="2">
        <f t="shared" si="4"/>
        <v>0</v>
      </c>
      <c r="I61" s="2">
        <f t="shared" si="0"/>
        <v>0</v>
      </c>
      <c r="J61">
        <f>IFERROR(VLOOKUP(B61,'General price list'!C:AI,12,FALSE)*(G61*C61),0)</f>
        <v>0</v>
      </c>
      <c r="K61" s="6"/>
      <c r="L61" s="6"/>
      <c r="M61" s="6"/>
      <c r="N61" s="6"/>
      <c r="O61" s="6"/>
      <c r="P61" s="6"/>
      <c r="Q61" s="6"/>
      <c r="R61" s="6"/>
      <c r="S61" s="6"/>
      <c r="T61" s="6"/>
      <c r="U61" s="6"/>
      <c r="V61" s="6"/>
      <c r="W61" s="6"/>
      <c r="X61" s="6"/>
      <c r="Y61" s="6"/>
      <c r="Z61" s="6"/>
      <c r="AA61" s="6"/>
      <c r="AB61" s="6"/>
      <c r="AC61" s="6"/>
      <c r="AD61" s="6"/>
      <c r="AE61" s="6"/>
      <c r="AF61" s="6"/>
      <c r="AG61" s="6"/>
      <c r="AH61" s="6"/>
      <c r="AI61" s="6"/>
      <c r="AJ61" s="6"/>
      <c r="AK61" s="6"/>
      <c r="AL61" s="6"/>
      <c r="AM61" s="6"/>
      <c r="AN61" s="6"/>
      <c r="AO61" s="6"/>
      <c r="AP61" s="6"/>
      <c r="AQ61" s="6"/>
      <c r="AR61" s="6"/>
      <c r="AS61" s="6"/>
      <c r="AT61" s="6"/>
      <c r="AU61" s="6"/>
      <c r="AV61" s="6"/>
      <c r="AW61" s="6"/>
    </row>
    <row r="62" spans="1:49">
      <c r="A62" s="6"/>
      <c r="B62" s="89" t="s">
        <v>5271</v>
      </c>
      <c r="C62" s="2" t="str">
        <f>IFERROR(VLOOKUP(B62,'Deutsche Markt'!C:AA,24,FALSE),"")</f>
        <v/>
      </c>
      <c r="D62" s="2">
        <f>IFERROR(VLOOKUP(B62,'Deutsche Markt'!C:AA,25,FALSE),0)</f>
        <v>0</v>
      </c>
      <c r="E62" s="2">
        <f t="shared" si="1"/>
        <v>0</v>
      </c>
      <c r="F62" s="2">
        <f t="shared" si="2"/>
        <v>0</v>
      </c>
      <c r="G62" s="2">
        <f t="shared" si="3"/>
        <v>0</v>
      </c>
      <c r="H62" s="2">
        <f t="shared" si="4"/>
        <v>0</v>
      </c>
      <c r="I62" s="2">
        <f t="shared" si="0"/>
        <v>0</v>
      </c>
      <c r="J62">
        <f>IFERROR(VLOOKUP(B62,'General price list'!C:AI,12,FALSE)*(G62*C62),0)</f>
        <v>0</v>
      </c>
      <c r="K62" s="6"/>
      <c r="L62" s="6"/>
      <c r="M62" s="6"/>
      <c r="N62" s="6"/>
      <c r="O62" s="6"/>
      <c r="P62" s="6"/>
      <c r="Q62" s="6"/>
      <c r="R62" s="6"/>
      <c r="S62" s="6"/>
      <c r="T62" s="6"/>
      <c r="U62" s="6"/>
      <c r="V62" s="6"/>
      <c r="W62" s="6"/>
      <c r="X62" s="6"/>
      <c r="Y62" s="6"/>
      <c r="Z62" s="6"/>
      <c r="AA62" s="6"/>
      <c r="AB62" s="6"/>
      <c r="AC62" s="6"/>
      <c r="AD62" s="6"/>
      <c r="AE62" s="6"/>
      <c r="AF62" s="6"/>
      <c r="AG62" s="6"/>
      <c r="AH62" s="6"/>
      <c r="AI62" s="6"/>
      <c r="AJ62" s="6"/>
      <c r="AK62" s="6"/>
      <c r="AL62" s="6"/>
      <c r="AM62" s="6"/>
      <c r="AN62" s="6"/>
      <c r="AO62" s="6"/>
      <c r="AP62" s="6"/>
      <c r="AQ62" s="6"/>
      <c r="AR62" s="6"/>
      <c r="AS62" s="6"/>
      <c r="AT62" s="6"/>
      <c r="AU62" s="6"/>
      <c r="AV62" s="6"/>
      <c r="AW62" s="6"/>
    </row>
    <row r="63" spans="1:49">
      <c r="A63" s="6"/>
      <c r="B63" s="89" t="s">
        <v>2382</v>
      </c>
      <c r="C63" s="2" t="str">
        <f>IFERROR(VLOOKUP(B63,'Deutsche Markt'!C:AA,24,FALSE),"")</f>
        <v/>
      </c>
      <c r="D63" s="2">
        <f>IFERROR(VLOOKUP(B63,'Deutsche Markt'!C:AA,25,FALSE),0)</f>
        <v>0</v>
      </c>
      <c r="E63" s="2">
        <f t="shared" si="1"/>
        <v>0</v>
      </c>
      <c r="F63" s="2">
        <f t="shared" si="2"/>
        <v>0</v>
      </c>
      <c r="G63" s="2">
        <f t="shared" si="3"/>
        <v>0</v>
      </c>
      <c r="H63" s="2">
        <f t="shared" si="4"/>
        <v>0</v>
      </c>
      <c r="I63" s="2">
        <f t="shared" si="0"/>
        <v>0</v>
      </c>
      <c r="J63">
        <f>IFERROR(VLOOKUP(B63,'General price list'!C:AI,12,FALSE)*(G63*C63),0)</f>
        <v>0</v>
      </c>
      <c r="K63" s="6"/>
      <c r="L63" s="6"/>
      <c r="M63" s="6"/>
      <c r="N63" s="6"/>
      <c r="O63" s="6"/>
      <c r="P63" s="6"/>
      <c r="Q63" s="6"/>
      <c r="R63" s="6"/>
      <c r="S63" s="6"/>
      <c r="T63" s="6"/>
      <c r="U63" s="6"/>
      <c r="V63" s="6"/>
      <c r="W63" s="6"/>
      <c r="X63" s="6"/>
      <c r="Y63" s="6"/>
      <c r="Z63" s="6"/>
      <c r="AA63" s="6"/>
      <c r="AB63" s="6"/>
      <c r="AC63" s="6"/>
      <c r="AD63" s="6"/>
      <c r="AE63" s="6"/>
      <c r="AF63" s="6"/>
      <c r="AG63" s="6"/>
      <c r="AH63" s="6"/>
      <c r="AI63" s="6"/>
      <c r="AJ63" s="6"/>
      <c r="AK63" s="6"/>
      <c r="AL63" s="6"/>
      <c r="AM63" s="6"/>
      <c r="AN63" s="6"/>
      <c r="AO63" s="6"/>
      <c r="AP63" s="6"/>
      <c r="AQ63" s="6"/>
      <c r="AR63" s="6"/>
      <c r="AS63" s="6"/>
      <c r="AT63" s="6"/>
      <c r="AU63" s="6"/>
      <c r="AV63" s="6"/>
      <c r="AW63" s="6"/>
    </row>
    <row r="64" spans="1:49">
      <c r="A64" s="6"/>
      <c r="B64" s="89" t="s">
        <v>2544</v>
      </c>
      <c r="C64" s="2" t="str">
        <f>IFERROR(VLOOKUP(B64,'Deutsche Markt'!C:AA,24,FALSE),"")</f>
        <v/>
      </c>
      <c r="D64" s="2">
        <f>IFERROR(VLOOKUP(B64,'Deutsche Markt'!C:AA,25,FALSE),0)</f>
        <v>0</v>
      </c>
      <c r="E64" s="2">
        <f t="shared" si="1"/>
        <v>0</v>
      </c>
      <c r="F64" s="2">
        <f t="shared" si="2"/>
        <v>0</v>
      </c>
      <c r="G64" s="2">
        <f t="shared" si="3"/>
        <v>0</v>
      </c>
      <c r="H64" s="2">
        <f t="shared" si="4"/>
        <v>0</v>
      </c>
      <c r="I64" s="2">
        <f t="shared" si="0"/>
        <v>0</v>
      </c>
      <c r="J64">
        <f>IFERROR(VLOOKUP(B64,'General price list'!C:AI,12,FALSE)*(G64*C64),0)</f>
        <v>0</v>
      </c>
      <c r="K64" s="6"/>
      <c r="L64" s="6"/>
      <c r="M64" s="6"/>
      <c r="N64" s="6"/>
      <c r="O64" s="6"/>
      <c r="P64" s="6"/>
      <c r="Q64" s="6"/>
      <c r="R64" s="6"/>
      <c r="S64" s="6"/>
      <c r="T64" s="6"/>
      <c r="U64" s="6"/>
      <c r="V64" s="6"/>
      <c r="W64" s="6"/>
      <c r="X64" s="6"/>
      <c r="Y64" s="6"/>
      <c r="Z64" s="6"/>
      <c r="AA64" s="6"/>
      <c r="AB64" s="6"/>
      <c r="AC64" s="6"/>
      <c r="AD64" s="6"/>
      <c r="AE64" s="6"/>
      <c r="AF64" s="6"/>
      <c r="AG64" s="6"/>
      <c r="AH64" s="6"/>
      <c r="AI64" s="6"/>
      <c r="AJ64" s="6"/>
      <c r="AK64" s="6"/>
      <c r="AL64" s="6"/>
      <c r="AM64" s="6"/>
      <c r="AN64" s="6"/>
      <c r="AO64" s="6"/>
      <c r="AP64" s="6"/>
      <c r="AQ64" s="6"/>
      <c r="AR64" s="6"/>
      <c r="AS64" s="6"/>
      <c r="AT64" s="6"/>
      <c r="AU64" s="6"/>
      <c r="AV64" s="6"/>
      <c r="AW64" s="6"/>
    </row>
    <row r="65" spans="1:49">
      <c r="A65" s="6"/>
      <c r="B65" s="89" t="s">
        <v>1534</v>
      </c>
      <c r="C65" s="2" t="str">
        <f>IFERROR(VLOOKUP(B65,'Deutsche Markt'!C:AA,24,FALSE),"")</f>
        <v/>
      </c>
      <c r="D65" s="2">
        <f>IFERROR(VLOOKUP(B65,'Deutsche Markt'!C:AA,25,FALSE),0)</f>
        <v>0</v>
      </c>
      <c r="E65" s="2">
        <f t="shared" si="1"/>
        <v>0</v>
      </c>
      <c r="F65" s="2">
        <f t="shared" si="2"/>
        <v>0</v>
      </c>
      <c r="G65" s="2">
        <f t="shared" si="3"/>
        <v>0</v>
      </c>
      <c r="H65" s="2">
        <f t="shared" si="4"/>
        <v>0</v>
      </c>
      <c r="I65" s="2">
        <f t="shared" si="0"/>
        <v>0</v>
      </c>
      <c r="J65">
        <f>IFERROR(VLOOKUP(B65,'General price list'!C:AI,12,FALSE)*(G65*C65),0)</f>
        <v>0</v>
      </c>
      <c r="K65" s="6"/>
      <c r="L65" s="6"/>
      <c r="M65" s="6"/>
      <c r="N65" s="6"/>
      <c r="O65" s="6"/>
      <c r="P65" s="6"/>
      <c r="Q65" s="6"/>
      <c r="R65" s="6"/>
      <c r="S65" s="6"/>
      <c r="T65" s="6"/>
      <c r="U65" s="6"/>
      <c r="V65" s="6"/>
      <c r="W65" s="6"/>
      <c r="X65" s="6"/>
      <c r="Y65" s="6"/>
      <c r="Z65" s="6"/>
      <c r="AA65" s="6"/>
      <c r="AB65" s="6"/>
      <c r="AC65" s="6"/>
      <c r="AD65" s="6"/>
      <c r="AE65" s="6"/>
      <c r="AF65" s="6"/>
      <c r="AG65" s="6"/>
      <c r="AH65" s="6"/>
      <c r="AI65" s="6"/>
      <c r="AJ65" s="6"/>
      <c r="AK65" s="6"/>
      <c r="AL65" s="6"/>
      <c r="AM65" s="6"/>
      <c r="AN65" s="6"/>
      <c r="AO65" s="6"/>
      <c r="AP65" s="6"/>
      <c r="AQ65" s="6"/>
      <c r="AR65" s="6"/>
      <c r="AS65" s="6"/>
      <c r="AT65" s="6"/>
      <c r="AU65" s="6"/>
      <c r="AV65" s="6"/>
      <c r="AW65" s="6"/>
    </row>
    <row r="66" spans="1:49">
      <c r="A66" s="6"/>
      <c r="B66" s="89" t="s">
        <v>2176</v>
      </c>
      <c r="C66" s="2" t="str">
        <f>IFERROR(VLOOKUP(B66,'Deutsche Markt'!C:AA,24,FALSE),"")</f>
        <v/>
      </c>
      <c r="D66" s="2">
        <f>IFERROR(VLOOKUP(B66,'Deutsche Markt'!C:AA,25,FALSE),0)</f>
        <v>0</v>
      </c>
      <c r="E66" s="2">
        <f t="shared" si="1"/>
        <v>0</v>
      </c>
      <c r="F66" s="2">
        <f t="shared" si="2"/>
        <v>0</v>
      </c>
      <c r="G66" s="2">
        <f t="shared" si="3"/>
        <v>0</v>
      </c>
      <c r="H66" s="2">
        <f t="shared" si="4"/>
        <v>0</v>
      </c>
      <c r="I66" s="2">
        <f t="shared" si="0"/>
        <v>0</v>
      </c>
      <c r="J66">
        <f>IFERROR(VLOOKUP(B66,'General price list'!C:AI,12,FALSE)*(G66*C66),0)</f>
        <v>0</v>
      </c>
      <c r="K66" s="6"/>
      <c r="L66" s="6"/>
      <c r="M66" s="6"/>
      <c r="N66" s="6"/>
      <c r="O66" s="6"/>
      <c r="P66" s="6"/>
      <c r="Q66" s="6"/>
      <c r="R66" s="6"/>
      <c r="S66" s="6"/>
      <c r="T66" s="6"/>
      <c r="U66" s="6"/>
      <c r="V66" s="6"/>
      <c r="W66" s="6"/>
      <c r="X66" s="6"/>
      <c r="Y66" s="6"/>
      <c r="Z66" s="6"/>
      <c r="AA66" s="6"/>
      <c r="AB66" s="6"/>
      <c r="AC66" s="6"/>
      <c r="AD66" s="6"/>
      <c r="AE66" s="6"/>
      <c r="AF66" s="6"/>
      <c r="AG66" s="6"/>
      <c r="AH66" s="6"/>
      <c r="AI66" s="6"/>
      <c r="AJ66" s="6"/>
      <c r="AK66" s="6"/>
      <c r="AL66" s="6"/>
      <c r="AM66" s="6"/>
      <c r="AN66" s="6"/>
      <c r="AO66" s="6"/>
      <c r="AP66" s="6"/>
      <c r="AQ66" s="6"/>
      <c r="AR66" s="6"/>
      <c r="AS66" s="6"/>
      <c r="AT66" s="6"/>
      <c r="AU66" s="6"/>
      <c r="AV66" s="6"/>
      <c r="AW66" s="6"/>
    </row>
    <row r="67" spans="1:49">
      <c r="A67" s="6"/>
      <c r="B67" s="89" t="s">
        <v>1533</v>
      </c>
      <c r="C67" s="2" t="str">
        <f>IFERROR(VLOOKUP(B67,'Deutsche Markt'!C:AA,24,FALSE),"")</f>
        <v/>
      </c>
      <c r="D67" s="2">
        <f>IFERROR(VLOOKUP(B67,'Deutsche Markt'!C:AA,25,FALSE),0)</f>
        <v>0</v>
      </c>
      <c r="E67" s="2">
        <f t="shared" si="1"/>
        <v>0</v>
      </c>
      <c r="F67" s="2">
        <f t="shared" si="2"/>
        <v>0</v>
      </c>
      <c r="G67" s="2">
        <f t="shared" si="3"/>
        <v>0</v>
      </c>
      <c r="H67" s="2">
        <f t="shared" si="4"/>
        <v>0</v>
      </c>
      <c r="I67" s="2">
        <f t="shared" si="0"/>
        <v>0</v>
      </c>
      <c r="J67">
        <f>IFERROR(VLOOKUP(B67,'General price list'!C:AI,12,FALSE)*(G67*C67),0)</f>
        <v>0</v>
      </c>
      <c r="K67" s="6"/>
      <c r="L67" s="6"/>
      <c r="M67" s="6"/>
      <c r="N67" s="6"/>
      <c r="O67" s="6"/>
      <c r="P67" s="6"/>
      <c r="Q67" s="6"/>
      <c r="R67" s="6"/>
      <c r="S67" s="6"/>
      <c r="T67" s="6"/>
      <c r="U67" s="6"/>
      <c r="V67" s="6"/>
      <c r="W67" s="6"/>
      <c r="X67" s="6"/>
      <c r="Y67" s="6"/>
      <c r="Z67" s="6"/>
      <c r="AA67" s="6"/>
      <c r="AB67" s="6"/>
      <c r="AC67" s="6"/>
      <c r="AD67" s="6"/>
      <c r="AE67" s="6"/>
      <c r="AF67" s="6"/>
      <c r="AG67" s="6"/>
      <c r="AH67" s="6"/>
      <c r="AI67" s="6"/>
      <c r="AJ67" s="6"/>
      <c r="AK67" s="6"/>
      <c r="AL67" s="6"/>
      <c r="AM67" s="6"/>
      <c r="AN67" s="6"/>
      <c r="AO67" s="6"/>
      <c r="AP67" s="6"/>
      <c r="AQ67" s="6"/>
      <c r="AR67" s="6"/>
      <c r="AS67" s="6"/>
      <c r="AT67" s="6"/>
      <c r="AU67" s="6"/>
      <c r="AV67" s="6"/>
      <c r="AW67" s="6"/>
    </row>
    <row r="68" spans="1:49">
      <c r="A68" s="6"/>
      <c r="B68" s="89" t="s">
        <v>2174</v>
      </c>
      <c r="C68" s="2" t="str">
        <f>IFERROR(VLOOKUP(B68,'Deutsche Markt'!C:AA,24,FALSE),"")</f>
        <v/>
      </c>
      <c r="D68" s="2">
        <f>IFERROR(VLOOKUP(B68,'Deutsche Markt'!C:AA,25,FALSE),0)</f>
        <v>0</v>
      </c>
      <c r="E68" s="2">
        <f t="shared" si="1"/>
        <v>0</v>
      </c>
      <c r="F68" s="2">
        <f t="shared" si="2"/>
        <v>0</v>
      </c>
      <c r="G68" s="2">
        <f t="shared" si="3"/>
        <v>0</v>
      </c>
      <c r="H68" s="2">
        <f t="shared" si="4"/>
        <v>0</v>
      </c>
      <c r="I68" s="2">
        <f t="shared" ref="I68:I131" si="11">IFERROR(IF(D68=0,0,IF(F68=0,(D68*nextVK)+(prvniVK-nextVK),(G68*C68*nextVK)+(F68*PALzKoje))),0)</f>
        <v>0</v>
      </c>
      <c r="J68">
        <f>IFERROR(VLOOKUP(B68,'General price list'!C:AI,12,FALSE)*(G68*C68),0)</f>
        <v>0</v>
      </c>
      <c r="K68" s="6"/>
      <c r="L68" s="6"/>
      <c r="M68" s="6"/>
      <c r="N68" s="6"/>
      <c r="O68" s="6"/>
      <c r="P68" s="6"/>
      <c r="Q68" s="6"/>
      <c r="R68" s="6"/>
      <c r="S68" s="6"/>
      <c r="T68" s="6"/>
      <c r="U68" s="6"/>
      <c r="V68" s="6"/>
      <c r="W68" s="6"/>
      <c r="X68" s="6"/>
      <c r="Y68" s="6"/>
      <c r="Z68" s="6"/>
      <c r="AA68" s="6"/>
      <c r="AB68" s="6"/>
      <c r="AC68" s="6"/>
      <c r="AD68" s="6"/>
      <c r="AE68" s="6"/>
      <c r="AF68" s="6"/>
      <c r="AG68" s="6"/>
      <c r="AH68" s="6"/>
      <c r="AI68" s="6"/>
      <c r="AJ68" s="6"/>
      <c r="AK68" s="6"/>
      <c r="AL68" s="6"/>
      <c r="AM68" s="6"/>
      <c r="AN68" s="6"/>
      <c r="AO68" s="6"/>
      <c r="AP68" s="6"/>
      <c r="AQ68" s="6"/>
      <c r="AR68" s="6"/>
      <c r="AS68" s="6"/>
      <c r="AT68" s="6"/>
      <c r="AU68" s="6"/>
      <c r="AV68" s="6"/>
      <c r="AW68" s="6"/>
    </row>
    <row r="69" spans="1:49">
      <c r="A69" s="6"/>
      <c r="B69" s="89" t="s">
        <v>1535</v>
      </c>
      <c r="C69" s="2" t="str">
        <f>IFERROR(VLOOKUP(B69,'Deutsche Markt'!C:AA,24,FALSE),"")</f>
        <v/>
      </c>
      <c r="D69" s="2">
        <f>IFERROR(VLOOKUP(B69,'Deutsche Markt'!C:AA,25,FALSE),0)</f>
        <v>0</v>
      </c>
      <c r="E69" s="2">
        <f t="shared" ref="E69:E132" si="12">IFERROR(D69/C69,0)</f>
        <v>0</v>
      </c>
      <c r="F69" s="2">
        <f t="shared" ref="F69:F132" si="13">IFERROR(FLOOR(IF(E69-1&lt;0,0,E69),1),0)</f>
        <v>0</v>
      </c>
      <c r="G69" s="2">
        <f t="shared" ref="G69:G132" si="14">IFERROR(IF(H69&gt;E69,F69-E69,E69-F69),0)</f>
        <v>0</v>
      </c>
      <c r="H69" s="2">
        <f t="shared" ref="H69:H132" si="15">IFERROR(IF(E69=0,0,F69),0)</f>
        <v>0</v>
      </c>
      <c r="I69" s="2">
        <f t="shared" si="11"/>
        <v>0</v>
      </c>
      <c r="J69">
        <f>IFERROR(VLOOKUP(B69,'General price list'!C:AI,12,FALSE)*(G69*C69),0)</f>
        <v>0</v>
      </c>
      <c r="K69" s="6"/>
      <c r="L69" s="6"/>
      <c r="M69" s="6"/>
      <c r="N69" s="6"/>
      <c r="O69" s="6"/>
      <c r="P69" s="6"/>
      <c r="Q69" s="6"/>
      <c r="R69" s="6"/>
      <c r="S69" s="6"/>
      <c r="T69" s="6"/>
      <c r="U69" s="6"/>
      <c r="V69" s="6"/>
      <c r="W69" s="6"/>
      <c r="X69" s="6"/>
      <c r="Y69" s="6"/>
      <c r="Z69" s="6"/>
      <c r="AA69" s="6"/>
      <c r="AB69" s="6"/>
      <c r="AC69" s="6"/>
      <c r="AD69" s="6"/>
      <c r="AE69" s="6"/>
      <c r="AF69" s="6"/>
      <c r="AG69" s="6"/>
      <c r="AH69" s="6"/>
      <c r="AI69" s="6"/>
      <c r="AJ69" s="6"/>
      <c r="AK69" s="6"/>
      <c r="AL69" s="6"/>
      <c r="AM69" s="6"/>
      <c r="AN69" s="6"/>
      <c r="AO69" s="6"/>
      <c r="AP69" s="6"/>
      <c r="AQ69" s="6"/>
      <c r="AR69" s="6"/>
      <c r="AS69" s="6"/>
      <c r="AT69" s="6"/>
      <c r="AU69" s="6"/>
      <c r="AV69" s="6"/>
      <c r="AW69" s="6"/>
    </row>
    <row r="70" spans="1:49">
      <c r="A70" s="6"/>
      <c r="B70" s="89" t="s">
        <v>1536</v>
      </c>
      <c r="C70" s="2" t="str">
        <f>IFERROR(VLOOKUP(B70,'Deutsche Markt'!C:AA,24,FALSE),"")</f>
        <v/>
      </c>
      <c r="D70" s="2">
        <f>IFERROR(VLOOKUP(B70,'Deutsche Markt'!C:AA,25,FALSE),0)</f>
        <v>0</v>
      </c>
      <c r="E70" s="2">
        <f t="shared" si="12"/>
        <v>0</v>
      </c>
      <c r="F70" s="2">
        <f t="shared" si="13"/>
        <v>0</v>
      </c>
      <c r="G70" s="2">
        <f t="shared" si="14"/>
        <v>0</v>
      </c>
      <c r="H70" s="2">
        <f t="shared" si="15"/>
        <v>0</v>
      </c>
      <c r="I70" s="2">
        <f t="shared" si="11"/>
        <v>0</v>
      </c>
      <c r="J70">
        <f>IFERROR(VLOOKUP(B70,'General price list'!C:AI,12,FALSE)*(G70*C70),0)</f>
        <v>0</v>
      </c>
      <c r="K70" s="6"/>
      <c r="L70" s="6"/>
      <c r="M70" s="6"/>
      <c r="N70" s="6"/>
      <c r="O70" s="6"/>
      <c r="P70" s="6"/>
      <c r="Q70" s="6"/>
      <c r="R70" s="6"/>
      <c r="S70" s="6"/>
      <c r="T70" s="6"/>
      <c r="U70" s="6"/>
      <c r="V70" s="6"/>
      <c r="W70" s="6"/>
      <c r="X70" s="6"/>
      <c r="Y70" s="6"/>
      <c r="Z70" s="6"/>
      <c r="AA70" s="6"/>
      <c r="AB70" s="6"/>
      <c r="AC70" s="6"/>
      <c r="AD70" s="6"/>
      <c r="AE70" s="6"/>
      <c r="AF70" s="6"/>
      <c r="AG70" s="6"/>
      <c r="AH70" s="6"/>
      <c r="AI70" s="6"/>
      <c r="AJ70" s="6"/>
      <c r="AK70" s="6"/>
      <c r="AL70" s="6"/>
      <c r="AM70" s="6"/>
      <c r="AN70" s="6"/>
      <c r="AO70" s="6"/>
      <c r="AP70" s="6"/>
      <c r="AQ70" s="6"/>
      <c r="AR70" s="6"/>
      <c r="AS70" s="6"/>
      <c r="AT70" s="6"/>
      <c r="AU70" s="6"/>
      <c r="AV70" s="6"/>
      <c r="AW70" s="6"/>
    </row>
    <row r="71" spans="1:49">
      <c r="A71" s="6"/>
      <c r="B71" s="92" t="s">
        <v>1551</v>
      </c>
      <c r="C71" s="2" t="str">
        <f>IFERROR(VLOOKUP(B71,'Deutsche Markt'!C:AA,24,FALSE),"")</f>
        <v/>
      </c>
      <c r="D71" s="2">
        <f>IFERROR(VLOOKUP(B71,'Deutsche Markt'!C:AA,25,FALSE),0)</f>
        <v>0</v>
      </c>
      <c r="E71" s="2">
        <f t="shared" si="12"/>
        <v>0</v>
      </c>
      <c r="F71" s="2">
        <f t="shared" si="13"/>
        <v>0</v>
      </c>
      <c r="G71" s="2">
        <f t="shared" si="14"/>
        <v>0</v>
      </c>
      <c r="H71" s="2">
        <f t="shared" si="15"/>
        <v>0</v>
      </c>
      <c r="I71" s="2">
        <f t="shared" si="11"/>
        <v>0</v>
      </c>
      <c r="J71">
        <f>IFERROR(VLOOKUP(B71,'General price list'!C:AI,12,FALSE)*(G71*C71),0)</f>
        <v>0</v>
      </c>
      <c r="K71" s="6"/>
      <c r="L71" s="6"/>
      <c r="M71" s="6"/>
      <c r="N71" s="6"/>
      <c r="O71" s="6"/>
      <c r="P71" s="6"/>
      <c r="Q71" s="6"/>
      <c r="R71" s="6"/>
      <c r="S71" s="6"/>
      <c r="T71" s="6"/>
      <c r="U71" s="6"/>
      <c r="V71" s="6"/>
      <c r="W71" s="6"/>
      <c r="X71" s="6"/>
      <c r="Y71" s="6"/>
      <c r="Z71" s="6"/>
      <c r="AA71" s="6"/>
      <c r="AB71" s="6"/>
      <c r="AC71" s="6"/>
      <c r="AD71" s="6"/>
      <c r="AE71" s="6"/>
      <c r="AF71" s="6"/>
      <c r="AG71" s="6"/>
      <c r="AH71" s="6"/>
      <c r="AI71" s="6"/>
      <c r="AJ71" s="6"/>
      <c r="AK71" s="6"/>
      <c r="AL71" s="6"/>
      <c r="AM71" s="6"/>
      <c r="AN71" s="6"/>
      <c r="AO71" s="6"/>
      <c r="AP71" s="6"/>
      <c r="AQ71" s="6"/>
      <c r="AR71" s="6"/>
      <c r="AS71" s="6"/>
      <c r="AT71" s="6"/>
      <c r="AU71" s="6"/>
      <c r="AV71" s="6"/>
      <c r="AW71" s="6"/>
    </row>
    <row r="72" spans="1:49">
      <c r="A72" s="6"/>
      <c r="B72" s="89" t="s">
        <v>5295</v>
      </c>
      <c r="C72" s="2" t="str">
        <f>IFERROR(VLOOKUP(B72,'Deutsche Markt'!C:AA,24,FALSE),"")</f>
        <v/>
      </c>
      <c r="D72" s="2">
        <f>IFERROR(VLOOKUP(B72,'Deutsche Markt'!C:AA,25,FALSE),0)</f>
        <v>0</v>
      </c>
      <c r="E72" s="2">
        <f t="shared" si="12"/>
        <v>0</v>
      </c>
      <c r="F72" s="2">
        <f t="shared" si="13"/>
        <v>0</v>
      </c>
      <c r="G72" s="2">
        <f t="shared" si="14"/>
        <v>0</v>
      </c>
      <c r="H72" s="2">
        <f t="shared" si="15"/>
        <v>0</v>
      </c>
      <c r="I72" s="2">
        <f t="shared" si="11"/>
        <v>0</v>
      </c>
      <c r="J72">
        <f>IFERROR(VLOOKUP(B72,'General price list'!C:AI,12,FALSE)*(G72*C72),0)</f>
        <v>0</v>
      </c>
      <c r="K72" s="6"/>
      <c r="L72" s="6"/>
      <c r="M72" s="6"/>
      <c r="N72" s="6"/>
      <c r="O72" s="6"/>
      <c r="P72" s="6"/>
      <c r="Q72" s="6"/>
      <c r="R72" s="6"/>
      <c r="S72" s="6"/>
      <c r="T72" s="6"/>
      <c r="U72" s="6"/>
      <c r="V72" s="6"/>
      <c r="W72" s="6"/>
      <c r="X72" s="6"/>
      <c r="Y72" s="6"/>
      <c r="Z72" s="6"/>
      <c r="AA72" s="6"/>
      <c r="AB72" s="6"/>
      <c r="AC72" s="6"/>
      <c r="AD72" s="6"/>
      <c r="AE72" s="6"/>
      <c r="AF72" s="6"/>
      <c r="AG72" s="6"/>
      <c r="AH72" s="6"/>
      <c r="AI72" s="6"/>
      <c r="AJ72" s="6"/>
      <c r="AK72" s="6"/>
      <c r="AL72" s="6"/>
      <c r="AM72" s="6"/>
      <c r="AN72" s="6"/>
      <c r="AO72" s="6"/>
      <c r="AP72" s="6"/>
      <c r="AQ72" s="6"/>
      <c r="AR72" s="6"/>
      <c r="AS72" s="6"/>
      <c r="AT72" s="6"/>
      <c r="AU72" s="6"/>
      <c r="AV72" s="6"/>
      <c r="AW72" s="6"/>
    </row>
    <row r="73" spans="1:49">
      <c r="A73" s="6"/>
      <c r="B73" s="89" t="s">
        <v>1457</v>
      </c>
      <c r="C73" s="2">
        <f>IFERROR(VLOOKUP(B73,'Deutsche Markt'!C:AA,24,FALSE),"")</f>
        <v>14</v>
      </c>
      <c r="D73" s="2">
        <f>IFERROR(VLOOKUP(B73,'Deutsche Markt'!C:AA,25,FALSE),0)</f>
        <v>0</v>
      </c>
      <c r="E73" s="2">
        <f t="shared" si="12"/>
        <v>0</v>
      </c>
      <c r="F73" s="2">
        <f t="shared" si="13"/>
        <v>0</v>
      </c>
      <c r="G73" s="2">
        <f t="shared" si="14"/>
        <v>0</v>
      </c>
      <c r="H73" s="2">
        <f t="shared" si="15"/>
        <v>0</v>
      </c>
      <c r="I73" s="2">
        <f t="shared" si="11"/>
        <v>0</v>
      </c>
      <c r="J73">
        <f>IFERROR(VLOOKUP(B73,'General price list'!C:AI,12,FALSE)*(G73*C73),0)</f>
        <v>0</v>
      </c>
      <c r="K73" s="6"/>
      <c r="L73" s="6"/>
      <c r="M73" s="6"/>
      <c r="N73" s="6"/>
      <c r="O73" s="6"/>
      <c r="P73" s="6"/>
      <c r="Q73" s="6"/>
      <c r="R73" s="6"/>
      <c r="S73" s="6"/>
      <c r="T73" s="6"/>
      <c r="U73" s="6"/>
      <c r="V73" s="6"/>
      <c r="W73" s="6"/>
      <c r="X73" s="6"/>
      <c r="Y73" s="6"/>
      <c r="Z73" s="6"/>
      <c r="AA73" s="6"/>
      <c r="AB73" s="6"/>
      <c r="AC73" s="6"/>
      <c r="AD73" s="6"/>
      <c r="AE73" s="6"/>
      <c r="AF73" s="6"/>
      <c r="AG73" s="6"/>
      <c r="AH73" s="6"/>
      <c r="AI73" s="6"/>
      <c r="AJ73" s="6"/>
      <c r="AK73" s="6"/>
      <c r="AL73" s="6"/>
      <c r="AM73" s="6"/>
      <c r="AN73" s="6"/>
      <c r="AO73" s="6"/>
      <c r="AP73" s="6"/>
      <c r="AQ73" s="6"/>
      <c r="AR73" s="6"/>
      <c r="AS73" s="6"/>
      <c r="AT73" s="6"/>
      <c r="AU73" s="6"/>
      <c r="AV73" s="6"/>
      <c r="AW73" s="6"/>
    </row>
    <row r="74" spans="1:49">
      <c r="A74" s="6"/>
      <c r="B74" s="89" t="s">
        <v>2528</v>
      </c>
      <c r="C74" s="2" t="str">
        <f>IFERROR(VLOOKUP(B74,'Deutsche Markt'!C:AA,24,FALSE),"")</f>
        <v/>
      </c>
      <c r="D74" s="2">
        <f>IFERROR(VLOOKUP(B74,'Deutsche Markt'!C:AA,25,FALSE),0)</f>
        <v>0</v>
      </c>
      <c r="E74" s="2">
        <f t="shared" si="12"/>
        <v>0</v>
      </c>
      <c r="F74" s="2">
        <f t="shared" si="13"/>
        <v>0</v>
      </c>
      <c r="G74" s="2">
        <f t="shared" si="14"/>
        <v>0</v>
      </c>
      <c r="H74" s="2">
        <f t="shared" si="15"/>
        <v>0</v>
      </c>
      <c r="I74" s="2">
        <f t="shared" si="11"/>
        <v>0</v>
      </c>
      <c r="J74">
        <f>IFERROR(VLOOKUP(B74,'General price list'!C:AI,12,FALSE)*(G74*C74),0)</f>
        <v>0</v>
      </c>
      <c r="K74" s="6"/>
      <c r="L74" s="6"/>
      <c r="M74" s="6"/>
      <c r="N74" s="6"/>
      <c r="O74" s="6"/>
      <c r="P74" s="6"/>
      <c r="Q74" s="6"/>
      <c r="R74" s="6"/>
      <c r="S74" s="6"/>
      <c r="T74" s="6"/>
      <c r="U74" s="6"/>
      <c r="V74" s="6"/>
      <c r="W74" s="6"/>
      <c r="X74" s="6"/>
      <c r="Y74" s="6"/>
      <c r="Z74" s="6"/>
      <c r="AA74" s="6"/>
      <c r="AB74" s="6"/>
      <c r="AC74" s="6"/>
      <c r="AD74" s="6"/>
      <c r="AE74" s="6"/>
      <c r="AF74" s="6"/>
      <c r="AG74" s="6"/>
      <c r="AH74" s="6"/>
      <c r="AI74" s="6"/>
      <c r="AJ74" s="6"/>
      <c r="AK74" s="6"/>
      <c r="AL74" s="6"/>
      <c r="AM74" s="6"/>
      <c r="AN74" s="6"/>
      <c r="AO74" s="6"/>
      <c r="AP74" s="6"/>
      <c r="AQ74" s="6"/>
      <c r="AR74" s="6"/>
      <c r="AS74" s="6"/>
      <c r="AT74" s="6"/>
      <c r="AU74" s="6"/>
      <c r="AV74" s="6"/>
      <c r="AW74" s="6"/>
    </row>
    <row r="75" spans="1:49">
      <c r="A75" s="6"/>
      <c r="B75" s="90" t="s">
        <v>2371</v>
      </c>
      <c r="C75" s="2">
        <f>IFERROR(VLOOKUP(B75,'Deutsche Markt'!C:AA,24,FALSE),"")</f>
        <v>24</v>
      </c>
      <c r="D75" s="2">
        <f>IFERROR(VLOOKUP(B75,'Deutsche Markt'!C:AA,25,FALSE),0)</f>
        <v>0</v>
      </c>
      <c r="E75" s="2">
        <f t="shared" si="12"/>
        <v>0</v>
      </c>
      <c r="F75" s="2">
        <f t="shared" si="13"/>
        <v>0</v>
      </c>
      <c r="G75" s="2">
        <f t="shared" si="14"/>
        <v>0</v>
      </c>
      <c r="H75" s="2">
        <f t="shared" si="15"/>
        <v>0</v>
      </c>
      <c r="I75" s="2">
        <f t="shared" si="11"/>
        <v>0</v>
      </c>
      <c r="J75">
        <f>IFERROR(VLOOKUP(B75,'General price list'!C:AI,12,FALSE)*(G75*C75),0)</f>
        <v>0</v>
      </c>
      <c r="K75" s="6"/>
      <c r="L75" s="6"/>
      <c r="M75" s="6"/>
      <c r="N75" s="6"/>
      <c r="O75" s="6"/>
      <c r="P75" s="6"/>
      <c r="Q75" s="6"/>
      <c r="R75" s="6"/>
      <c r="S75" s="6"/>
      <c r="T75" s="6"/>
      <c r="U75" s="6"/>
      <c r="V75" s="6"/>
      <c r="W75" s="6"/>
      <c r="X75" s="6"/>
      <c r="Y75" s="6"/>
      <c r="Z75" s="6"/>
      <c r="AA75" s="6"/>
      <c r="AB75" s="6"/>
      <c r="AC75" s="6"/>
      <c r="AD75" s="6"/>
      <c r="AE75" s="6"/>
      <c r="AF75" s="6"/>
      <c r="AG75" s="6"/>
      <c r="AH75" s="6"/>
      <c r="AI75" s="6"/>
      <c r="AJ75" s="6"/>
      <c r="AK75" s="6"/>
      <c r="AL75" s="6"/>
      <c r="AM75" s="6"/>
      <c r="AN75" s="6"/>
      <c r="AO75" s="6"/>
      <c r="AP75" s="6"/>
      <c r="AQ75" s="6"/>
      <c r="AR75" s="6"/>
      <c r="AS75" s="6"/>
      <c r="AT75" s="6"/>
      <c r="AU75" s="6"/>
      <c r="AV75" s="6"/>
      <c r="AW75" s="6"/>
    </row>
    <row r="76" spans="1:49">
      <c r="A76" s="6"/>
      <c r="B76" s="89" t="s">
        <v>2529</v>
      </c>
      <c r="C76" s="2" t="str">
        <f>IFERROR(VLOOKUP(B76,'Deutsche Markt'!C:AA,24,FALSE),"")</f>
        <v/>
      </c>
      <c r="D76" s="2">
        <f>IFERROR(VLOOKUP(B76,'Deutsche Markt'!C:AA,25,FALSE),0)</f>
        <v>0</v>
      </c>
      <c r="E76" s="2">
        <f t="shared" si="12"/>
        <v>0</v>
      </c>
      <c r="F76" s="2">
        <f t="shared" si="13"/>
        <v>0</v>
      </c>
      <c r="G76" s="2">
        <f t="shared" si="14"/>
        <v>0</v>
      </c>
      <c r="H76" s="2">
        <f t="shared" si="15"/>
        <v>0</v>
      </c>
      <c r="I76" s="2">
        <f t="shared" si="11"/>
        <v>0</v>
      </c>
      <c r="J76">
        <f>IFERROR(VLOOKUP(B76,'General price list'!C:AI,12,FALSE)*(G76*C76),0)</f>
        <v>0</v>
      </c>
      <c r="K76" s="6"/>
      <c r="L76" s="6"/>
      <c r="M76" s="6"/>
      <c r="N76" s="6"/>
      <c r="O76" s="6"/>
      <c r="P76" s="6"/>
      <c r="Q76" s="6"/>
      <c r="R76" s="6"/>
      <c r="S76" s="6"/>
      <c r="T76" s="6"/>
      <c r="U76" s="6"/>
      <c r="V76" s="6"/>
      <c r="W76" s="6"/>
      <c r="X76" s="6"/>
      <c r="Y76" s="6"/>
      <c r="Z76" s="6"/>
      <c r="AA76" s="6"/>
      <c r="AB76" s="6"/>
      <c r="AC76" s="6"/>
      <c r="AD76" s="6"/>
      <c r="AE76" s="6"/>
      <c r="AF76" s="6"/>
      <c r="AG76" s="6"/>
      <c r="AH76" s="6"/>
      <c r="AI76" s="6"/>
      <c r="AJ76" s="6"/>
      <c r="AK76" s="6"/>
      <c r="AL76" s="6"/>
      <c r="AM76" s="6"/>
      <c r="AN76" s="6"/>
      <c r="AO76" s="6"/>
      <c r="AP76" s="6"/>
      <c r="AQ76" s="6"/>
      <c r="AR76" s="6"/>
      <c r="AS76" s="6"/>
      <c r="AT76" s="6"/>
      <c r="AU76" s="6"/>
      <c r="AV76" s="6"/>
      <c r="AW76" s="6"/>
    </row>
    <row r="77" spans="1:49">
      <c r="A77" s="6"/>
      <c r="B77" s="89" t="s">
        <v>1181</v>
      </c>
      <c r="C77" s="2" t="str">
        <f>IFERROR(VLOOKUP(B77,'Deutsche Markt'!C:AA,24,FALSE),"")</f>
        <v/>
      </c>
      <c r="D77" s="2">
        <f>IFERROR(VLOOKUP(B77,'Deutsche Markt'!C:AA,25,FALSE),0)</f>
        <v>0</v>
      </c>
      <c r="E77" s="2">
        <f t="shared" si="12"/>
        <v>0</v>
      </c>
      <c r="F77" s="2">
        <f t="shared" si="13"/>
        <v>0</v>
      </c>
      <c r="G77" s="2">
        <f t="shared" si="14"/>
        <v>0</v>
      </c>
      <c r="H77" s="2">
        <f t="shared" si="15"/>
        <v>0</v>
      </c>
      <c r="I77" s="2">
        <f t="shared" si="11"/>
        <v>0</v>
      </c>
      <c r="J77">
        <f>IFERROR(VLOOKUP(B77,'General price list'!C:AI,12,FALSE)*(G77*C77),0)</f>
        <v>0</v>
      </c>
      <c r="K77" s="6"/>
      <c r="L77" s="6"/>
      <c r="M77" s="6"/>
      <c r="N77" s="6"/>
      <c r="O77" s="6"/>
      <c r="P77" s="6"/>
      <c r="Q77" s="6"/>
      <c r="R77" s="6"/>
      <c r="S77" s="6"/>
      <c r="T77" s="6"/>
      <c r="U77" s="6"/>
      <c r="V77" s="6"/>
      <c r="W77" s="6"/>
      <c r="X77" s="6"/>
      <c r="Y77" s="6"/>
      <c r="Z77" s="6"/>
      <c r="AA77" s="6"/>
      <c r="AB77" s="6"/>
      <c r="AC77" s="6"/>
      <c r="AD77" s="6"/>
      <c r="AE77" s="6"/>
      <c r="AF77" s="6"/>
      <c r="AG77" s="6"/>
      <c r="AH77" s="6"/>
      <c r="AI77" s="6"/>
      <c r="AJ77" s="6"/>
      <c r="AK77" s="6"/>
      <c r="AL77" s="6"/>
      <c r="AM77" s="6"/>
      <c r="AN77" s="6"/>
      <c r="AO77" s="6"/>
      <c r="AP77" s="6"/>
      <c r="AQ77" s="6"/>
      <c r="AR77" s="6"/>
      <c r="AS77" s="6"/>
      <c r="AT77" s="6"/>
      <c r="AU77" s="6"/>
      <c r="AV77" s="6"/>
      <c r="AW77" s="6"/>
    </row>
    <row r="78" spans="1:49">
      <c r="A78" s="6"/>
      <c r="B78" s="89" t="s">
        <v>2498</v>
      </c>
      <c r="C78" s="2" t="str">
        <f>IFERROR(VLOOKUP(B78,'Deutsche Markt'!C:AA,24,FALSE),"")</f>
        <v/>
      </c>
      <c r="D78" s="2">
        <f>IFERROR(VLOOKUP(B78,'Deutsche Markt'!C:AA,25,FALSE),0)</f>
        <v>0</v>
      </c>
      <c r="E78" s="2">
        <f t="shared" si="12"/>
        <v>0</v>
      </c>
      <c r="F78" s="2">
        <f t="shared" si="13"/>
        <v>0</v>
      </c>
      <c r="G78" s="2">
        <f t="shared" si="14"/>
        <v>0</v>
      </c>
      <c r="H78" s="2">
        <f t="shared" si="15"/>
        <v>0</v>
      </c>
      <c r="I78" s="2">
        <f t="shared" si="11"/>
        <v>0</v>
      </c>
      <c r="J78">
        <f>IFERROR(VLOOKUP(B78,'General price list'!C:AI,12,FALSE)*(G78*C78),0)</f>
        <v>0</v>
      </c>
      <c r="K78" s="6"/>
      <c r="L78" s="6"/>
      <c r="M78" s="6"/>
      <c r="N78" s="6"/>
      <c r="O78" s="6"/>
      <c r="P78" s="6"/>
      <c r="Q78" s="6"/>
      <c r="R78" s="6"/>
      <c r="S78" s="6"/>
      <c r="T78" s="6"/>
      <c r="U78" s="6"/>
      <c r="V78" s="6"/>
      <c r="W78" s="6"/>
      <c r="X78" s="6"/>
      <c r="Y78" s="6"/>
      <c r="Z78" s="6"/>
      <c r="AA78" s="6"/>
      <c r="AB78" s="6"/>
      <c r="AC78" s="6"/>
      <c r="AD78" s="6"/>
      <c r="AE78" s="6"/>
      <c r="AF78" s="6"/>
      <c r="AG78" s="6"/>
      <c r="AH78" s="6"/>
      <c r="AI78" s="6"/>
      <c r="AJ78" s="6"/>
      <c r="AK78" s="6"/>
      <c r="AL78" s="6"/>
      <c r="AM78" s="6"/>
      <c r="AN78" s="6"/>
      <c r="AO78" s="6"/>
      <c r="AP78" s="6"/>
      <c r="AQ78" s="6"/>
      <c r="AR78" s="6"/>
      <c r="AS78" s="6"/>
      <c r="AT78" s="6"/>
      <c r="AU78" s="6"/>
      <c r="AV78" s="6"/>
      <c r="AW78" s="6"/>
    </row>
    <row r="79" spans="1:49">
      <c r="A79" s="6"/>
      <c r="B79" s="89" t="s">
        <v>1162</v>
      </c>
      <c r="C79" s="2">
        <f>IFERROR(VLOOKUP(B79,'Deutsche Markt'!C:AA,24,FALSE),"")</f>
        <v>77</v>
      </c>
      <c r="D79" s="2">
        <f>IFERROR(VLOOKUP(B79,'Deutsche Markt'!C:AA,25,FALSE),0)</f>
        <v>0</v>
      </c>
      <c r="E79" s="2">
        <f t="shared" si="12"/>
        <v>0</v>
      </c>
      <c r="F79" s="2">
        <f t="shared" si="13"/>
        <v>0</v>
      </c>
      <c r="G79" s="2">
        <f t="shared" si="14"/>
        <v>0</v>
      </c>
      <c r="H79" s="2">
        <f t="shared" si="15"/>
        <v>0</v>
      </c>
      <c r="I79" s="2">
        <f t="shared" si="11"/>
        <v>0</v>
      </c>
      <c r="J79">
        <f>IFERROR(VLOOKUP(B79,'General price list'!C:AI,12,FALSE)*(G79*C79),0)</f>
        <v>0</v>
      </c>
      <c r="K79" s="6"/>
      <c r="L79" s="6"/>
      <c r="M79" s="6"/>
      <c r="N79" s="6"/>
      <c r="O79" s="6"/>
      <c r="P79" s="6"/>
      <c r="Q79" s="6"/>
      <c r="R79" s="6"/>
      <c r="S79" s="6"/>
      <c r="T79" s="6"/>
      <c r="U79" s="6"/>
      <c r="V79" s="6"/>
      <c r="W79" s="6"/>
      <c r="X79" s="6"/>
      <c r="Y79" s="6"/>
      <c r="Z79" s="6"/>
      <c r="AA79" s="6"/>
      <c r="AB79" s="6"/>
      <c r="AC79" s="6"/>
      <c r="AD79" s="6"/>
      <c r="AE79" s="6"/>
      <c r="AF79" s="6"/>
      <c r="AG79" s="6"/>
      <c r="AH79" s="6"/>
      <c r="AI79" s="6"/>
      <c r="AJ79" s="6"/>
      <c r="AK79" s="6"/>
      <c r="AL79" s="6"/>
      <c r="AM79" s="6"/>
      <c r="AN79" s="6"/>
      <c r="AO79" s="6"/>
      <c r="AP79" s="6"/>
      <c r="AQ79" s="6"/>
      <c r="AR79" s="6"/>
      <c r="AS79" s="6"/>
      <c r="AT79" s="6"/>
      <c r="AU79" s="6"/>
      <c r="AV79" s="6"/>
      <c r="AW79" s="6"/>
    </row>
    <row r="80" spans="1:49">
      <c r="A80" s="6"/>
      <c r="B80" s="89" t="s">
        <v>13236</v>
      </c>
      <c r="C80" s="2" t="str">
        <f>IFERROR(VLOOKUP(B80,'Deutsche Markt'!C:AA,24,FALSE),"")</f>
        <v/>
      </c>
      <c r="D80" s="2">
        <f>IFERROR(VLOOKUP(B80,'Deutsche Markt'!C:AA,25,FALSE),0)</f>
        <v>0</v>
      </c>
      <c r="E80" s="2">
        <f t="shared" si="12"/>
        <v>0</v>
      </c>
      <c r="F80" s="2">
        <f t="shared" si="13"/>
        <v>0</v>
      </c>
      <c r="G80" s="2">
        <f t="shared" si="14"/>
        <v>0</v>
      </c>
      <c r="H80" s="2">
        <f t="shared" si="15"/>
        <v>0</v>
      </c>
      <c r="I80" s="2">
        <f t="shared" si="11"/>
        <v>0</v>
      </c>
      <c r="J80">
        <f>IFERROR(VLOOKUP(B80,'General price list'!C:AI,12,FALSE)*(G80*C80),0)</f>
        <v>0</v>
      </c>
      <c r="K80" s="6"/>
      <c r="L80" s="6"/>
      <c r="M80" s="6"/>
      <c r="N80" s="6"/>
      <c r="O80" s="6"/>
      <c r="P80" s="6"/>
      <c r="Q80" s="6"/>
      <c r="R80" s="6"/>
      <c r="S80" s="6"/>
      <c r="T80" s="6"/>
      <c r="U80" s="6"/>
      <c r="V80" s="6"/>
      <c r="W80" s="6"/>
      <c r="X80" s="6"/>
      <c r="Y80" s="6"/>
      <c r="Z80" s="6"/>
      <c r="AA80" s="6"/>
      <c r="AB80" s="6"/>
      <c r="AC80" s="6"/>
      <c r="AD80" s="6"/>
      <c r="AE80" s="6"/>
      <c r="AF80" s="6"/>
      <c r="AG80" s="6"/>
      <c r="AH80" s="6"/>
      <c r="AI80" s="6"/>
      <c r="AJ80" s="6"/>
      <c r="AK80" s="6"/>
      <c r="AL80" s="6"/>
      <c r="AM80" s="6"/>
      <c r="AN80" s="6"/>
      <c r="AO80" s="6"/>
      <c r="AP80" s="6"/>
      <c r="AQ80" s="6"/>
      <c r="AR80" s="6"/>
      <c r="AS80" s="6"/>
      <c r="AT80" s="6"/>
      <c r="AU80" s="6"/>
      <c r="AV80" s="6"/>
      <c r="AW80" s="6"/>
    </row>
    <row r="81" spans="1:49">
      <c r="A81" s="6"/>
      <c r="B81" s="89" t="s">
        <v>2493</v>
      </c>
      <c r="C81" s="2" t="str">
        <f>IFERROR(VLOOKUP(B81,'Deutsche Markt'!C:AA,24,FALSE),"")</f>
        <v/>
      </c>
      <c r="D81" s="2">
        <f>IFERROR(VLOOKUP(B81,'Deutsche Markt'!C:AA,25,FALSE),0)</f>
        <v>0</v>
      </c>
      <c r="E81" s="2">
        <f t="shared" si="12"/>
        <v>0</v>
      </c>
      <c r="F81" s="2">
        <f t="shared" si="13"/>
        <v>0</v>
      </c>
      <c r="G81" s="2">
        <f t="shared" si="14"/>
        <v>0</v>
      </c>
      <c r="H81" s="2">
        <f t="shared" si="15"/>
        <v>0</v>
      </c>
      <c r="I81" s="2">
        <f t="shared" si="11"/>
        <v>0</v>
      </c>
      <c r="J81">
        <f>IFERROR(VLOOKUP(B81,'General price list'!C:AI,12,FALSE)*(G81*C81),0)</f>
        <v>0</v>
      </c>
      <c r="K81" s="6"/>
      <c r="L81" s="6"/>
      <c r="M81" s="6"/>
      <c r="N81" s="6"/>
      <c r="O81" s="6"/>
      <c r="P81" s="6"/>
      <c r="Q81" s="6"/>
      <c r="R81" s="6"/>
      <c r="S81" s="6"/>
      <c r="T81" s="6"/>
      <c r="U81" s="6"/>
      <c r="V81" s="6"/>
      <c r="W81" s="6"/>
      <c r="X81" s="6"/>
      <c r="Y81" s="6"/>
      <c r="Z81" s="6"/>
      <c r="AA81" s="6"/>
      <c r="AB81" s="6"/>
      <c r="AC81" s="6"/>
      <c r="AD81" s="6"/>
      <c r="AE81" s="6"/>
      <c r="AF81" s="6"/>
      <c r="AG81" s="6"/>
      <c r="AH81" s="6"/>
      <c r="AI81" s="6"/>
      <c r="AJ81" s="6"/>
      <c r="AK81" s="6"/>
      <c r="AL81" s="6"/>
      <c r="AM81" s="6"/>
      <c r="AN81" s="6"/>
      <c r="AO81" s="6"/>
      <c r="AP81" s="6"/>
      <c r="AQ81" s="6"/>
      <c r="AR81" s="6"/>
      <c r="AS81" s="6"/>
      <c r="AT81" s="6"/>
      <c r="AU81" s="6"/>
      <c r="AV81" s="6"/>
      <c r="AW81" s="6"/>
    </row>
    <row r="82" spans="1:49">
      <c r="A82" s="6"/>
      <c r="B82" s="89" t="s">
        <v>1182</v>
      </c>
      <c r="C82" s="2" t="str">
        <f>IFERROR(VLOOKUP(B82,'Deutsche Markt'!C:AA,24,FALSE),"")</f>
        <v/>
      </c>
      <c r="D82" s="2">
        <f>IFERROR(VLOOKUP(B82,'Deutsche Markt'!C:AA,25,FALSE),0)</f>
        <v>0</v>
      </c>
      <c r="E82" s="2">
        <f t="shared" si="12"/>
        <v>0</v>
      </c>
      <c r="F82" s="2">
        <f t="shared" si="13"/>
        <v>0</v>
      </c>
      <c r="G82" s="2">
        <f t="shared" si="14"/>
        <v>0</v>
      </c>
      <c r="H82" s="2">
        <f t="shared" si="15"/>
        <v>0</v>
      </c>
      <c r="I82" s="2">
        <f t="shared" si="11"/>
        <v>0</v>
      </c>
      <c r="J82">
        <f>IFERROR(VLOOKUP(B82,'General price list'!C:AI,12,FALSE)*(G82*C82),0)</f>
        <v>0</v>
      </c>
      <c r="K82" s="6"/>
      <c r="L82" s="6"/>
      <c r="M82" s="6"/>
      <c r="N82" s="6"/>
      <c r="O82" s="6"/>
      <c r="P82" s="6"/>
      <c r="Q82" s="6"/>
      <c r="R82" s="6"/>
      <c r="S82" s="6"/>
      <c r="T82" s="6"/>
      <c r="U82" s="6"/>
      <c r="V82" s="6"/>
      <c r="W82" s="6"/>
      <c r="X82" s="6"/>
      <c r="Y82" s="6"/>
      <c r="Z82" s="6"/>
      <c r="AA82" s="6"/>
      <c r="AB82" s="6"/>
      <c r="AC82" s="6"/>
      <c r="AD82" s="6"/>
      <c r="AE82" s="6"/>
      <c r="AF82" s="6"/>
      <c r="AG82" s="6"/>
      <c r="AH82" s="6"/>
      <c r="AI82" s="6"/>
      <c r="AJ82" s="6"/>
      <c r="AK82" s="6"/>
      <c r="AL82" s="6"/>
      <c r="AM82" s="6"/>
      <c r="AN82" s="6"/>
      <c r="AO82" s="6"/>
      <c r="AP82" s="6"/>
      <c r="AQ82" s="6"/>
      <c r="AR82" s="6"/>
      <c r="AS82" s="6"/>
      <c r="AT82" s="6"/>
      <c r="AU82" s="6"/>
      <c r="AV82" s="6"/>
      <c r="AW82" s="6"/>
    </row>
    <row r="83" spans="1:49">
      <c r="A83" s="6"/>
      <c r="B83" s="89" t="s">
        <v>4974</v>
      </c>
      <c r="C83" s="2" t="str">
        <f>IFERROR(VLOOKUP(B83,'Deutsche Markt'!C:AA,24,FALSE),"")</f>
        <v/>
      </c>
      <c r="D83" s="2">
        <f>IFERROR(VLOOKUP(B83,'Deutsche Markt'!C:AA,25,FALSE),0)</f>
        <v>0</v>
      </c>
      <c r="E83" s="2">
        <f t="shared" si="12"/>
        <v>0</v>
      </c>
      <c r="F83" s="2">
        <f t="shared" si="13"/>
        <v>0</v>
      </c>
      <c r="G83" s="2">
        <f t="shared" si="14"/>
        <v>0</v>
      </c>
      <c r="H83" s="2">
        <f t="shared" si="15"/>
        <v>0</v>
      </c>
      <c r="I83" s="2">
        <f t="shared" si="11"/>
        <v>0</v>
      </c>
      <c r="J83">
        <f>IFERROR(VLOOKUP(B83,'General price list'!C:AI,12,FALSE)*(G83*C83),0)</f>
        <v>0</v>
      </c>
      <c r="K83" s="6"/>
      <c r="L83" s="6"/>
      <c r="M83" s="6"/>
      <c r="N83" s="6"/>
      <c r="O83" s="6"/>
      <c r="P83" s="6"/>
      <c r="Q83" s="6"/>
      <c r="R83" s="6"/>
      <c r="S83" s="6"/>
      <c r="T83" s="6"/>
      <c r="U83" s="6"/>
      <c r="V83" s="6"/>
      <c r="W83" s="6"/>
      <c r="X83" s="6"/>
      <c r="Y83" s="6"/>
      <c r="Z83" s="6"/>
      <c r="AA83" s="6"/>
      <c r="AB83" s="6"/>
      <c r="AC83" s="6"/>
      <c r="AD83" s="6"/>
      <c r="AE83" s="6"/>
      <c r="AF83" s="6"/>
      <c r="AG83" s="6"/>
      <c r="AH83" s="6"/>
      <c r="AI83" s="6"/>
      <c r="AJ83" s="6"/>
      <c r="AK83" s="6"/>
      <c r="AL83" s="6"/>
      <c r="AM83" s="6"/>
      <c r="AN83" s="6"/>
      <c r="AO83" s="6"/>
      <c r="AP83" s="6"/>
      <c r="AQ83" s="6"/>
      <c r="AR83" s="6"/>
      <c r="AS83" s="6"/>
      <c r="AT83" s="6"/>
      <c r="AU83" s="6"/>
      <c r="AV83" s="6"/>
      <c r="AW83" s="6"/>
    </row>
    <row r="84" spans="1:49">
      <c r="A84" s="6"/>
      <c r="B84" s="89" t="s">
        <v>1537</v>
      </c>
      <c r="C84" s="2">
        <f>IFERROR(VLOOKUP(B84,'Deutsche Markt'!C:AA,24,FALSE),"")</f>
        <v>63</v>
      </c>
      <c r="D84" s="2">
        <f>IFERROR(VLOOKUP(B84,'Deutsche Markt'!C:AA,25,FALSE),0)</f>
        <v>0</v>
      </c>
      <c r="E84" s="2">
        <f t="shared" si="12"/>
        <v>0</v>
      </c>
      <c r="F84" s="2">
        <f t="shared" si="13"/>
        <v>0</v>
      </c>
      <c r="G84" s="2">
        <f t="shared" si="14"/>
        <v>0</v>
      </c>
      <c r="H84" s="2">
        <f t="shared" si="15"/>
        <v>0</v>
      </c>
      <c r="I84" s="2">
        <f t="shared" si="11"/>
        <v>0</v>
      </c>
      <c r="J84">
        <f>IFERROR(VLOOKUP(B84,'General price list'!C:AI,12,FALSE)*(G84*C84),0)</f>
        <v>0</v>
      </c>
      <c r="K84" s="6"/>
      <c r="L84" s="6"/>
      <c r="M84" s="6"/>
      <c r="N84" s="6"/>
      <c r="O84" s="6"/>
      <c r="P84" s="6"/>
      <c r="Q84" s="6"/>
      <c r="R84" s="6"/>
      <c r="S84" s="6"/>
      <c r="T84" s="6"/>
      <c r="U84" s="6"/>
      <c r="V84" s="6"/>
      <c r="W84" s="6"/>
      <c r="X84" s="6"/>
      <c r="Y84" s="6"/>
      <c r="Z84" s="6"/>
      <c r="AA84" s="6"/>
      <c r="AB84" s="6"/>
      <c r="AC84" s="6"/>
      <c r="AD84" s="6"/>
      <c r="AE84" s="6"/>
      <c r="AF84" s="6"/>
      <c r="AG84" s="6"/>
      <c r="AH84" s="6"/>
      <c r="AI84" s="6"/>
      <c r="AJ84" s="6"/>
      <c r="AK84" s="6"/>
      <c r="AL84" s="6"/>
      <c r="AM84" s="6"/>
      <c r="AN84" s="6"/>
      <c r="AO84" s="6"/>
      <c r="AP84" s="6"/>
      <c r="AQ84" s="6"/>
      <c r="AR84" s="6"/>
      <c r="AS84" s="6"/>
      <c r="AT84" s="6"/>
      <c r="AU84" s="6"/>
      <c r="AV84" s="6"/>
      <c r="AW84" s="6"/>
    </row>
    <row r="85" spans="1:49">
      <c r="A85" s="6"/>
      <c r="B85" s="89" t="s">
        <v>5273</v>
      </c>
      <c r="C85" s="2" t="str">
        <f>IFERROR(VLOOKUP(B85,'Deutsche Markt'!C:AA,24,FALSE),"")</f>
        <v/>
      </c>
      <c r="D85" s="2">
        <f>IFERROR(VLOOKUP(B85,'Deutsche Markt'!C:AA,25,FALSE),0)</f>
        <v>0</v>
      </c>
      <c r="E85" s="2">
        <f t="shared" si="12"/>
        <v>0</v>
      </c>
      <c r="F85" s="2">
        <f t="shared" si="13"/>
        <v>0</v>
      </c>
      <c r="G85" s="2">
        <f t="shared" si="14"/>
        <v>0</v>
      </c>
      <c r="H85" s="2">
        <f t="shared" si="15"/>
        <v>0</v>
      </c>
      <c r="I85" s="2">
        <f t="shared" si="11"/>
        <v>0</v>
      </c>
      <c r="J85">
        <f>IFERROR(VLOOKUP(B85,'General price list'!C:AI,12,FALSE)*(G85*C85),0)</f>
        <v>0</v>
      </c>
      <c r="K85" s="6"/>
      <c r="L85" s="6"/>
      <c r="M85" s="6"/>
      <c r="N85" s="6"/>
      <c r="O85" s="6"/>
      <c r="P85" s="6"/>
      <c r="Q85" s="6"/>
      <c r="R85" s="6"/>
      <c r="S85" s="6"/>
      <c r="T85" s="6"/>
      <c r="U85" s="6"/>
      <c r="V85" s="6"/>
      <c r="W85" s="6"/>
      <c r="X85" s="6"/>
      <c r="Y85" s="6"/>
      <c r="Z85" s="6"/>
      <c r="AA85" s="6"/>
      <c r="AB85" s="6"/>
      <c r="AC85" s="6"/>
      <c r="AD85" s="6"/>
      <c r="AE85" s="6"/>
      <c r="AF85" s="6"/>
      <c r="AG85" s="6"/>
      <c r="AH85" s="6"/>
      <c r="AI85" s="6"/>
      <c r="AJ85" s="6"/>
      <c r="AK85" s="6"/>
      <c r="AL85" s="6"/>
      <c r="AM85" s="6"/>
      <c r="AN85" s="6"/>
      <c r="AO85" s="6"/>
      <c r="AP85" s="6"/>
      <c r="AQ85" s="6"/>
      <c r="AR85" s="6"/>
      <c r="AS85" s="6"/>
      <c r="AT85" s="6"/>
      <c r="AU85" s="6"/>
      <c r="AV85" s="6"/>
      <c r="AW85" s="6"/>
    </row>
    <row r="86" spans="1:49">
      <c r="A86" s="6"/>
      <c r="B86" s="89" t="s">
        <v>1472</v>
      </c>
      <c r="C86" s="2" t="str">
        <f>IFERROR(VLOOKUP(B86,'Deutsche Markt'!C:AA,24,FALSE),"")</f>
        <v/>
      </c>
      <c r="D86" s="2">
        <f>IFERROR(VLOOKUP(B86,'Deutsche Markt'!C:AA,25,FALSE),0)</f>
        <v>0</v>
      </c>
      <c r="E86" s="2">
        <f t="shared" si="12"/>
        <v>0</v>
      </c>
      <c r="F86" s="2">
        <f t="shared" si="13"/>
        <v>0</v>
      </c>
      <c r="G86" s="2">
        <f t="shared" si="14"/>
        <v>0</v>
      </c>
      <c r="H86" s="2">
        <f t="shared" si="15"/>
        <v>0</v>
      </c>
      <c r="I86" s="2">
        <f t="shared" si="11"/>
        <v>0</v>
      </c>
      <c r="J86">
        <f>IFERROR(VLOOKUP(B86,'General price list'!C:AI,12,FALSE)*(G86*C86),0)</f>
        <v>0</v>
      </c>
      <c r="K86" s="6"/>
      <c r="L86" s="6"/>
      <c r="M86" s="6"/>
      <c r="N86" s="6"/>
      <c r="O86" s="6"/>
      <c r="P86" s="6"/>
      <c r="Q86" s="6"/>
      <c r="R86" s="6"/>
      <c r="S86" s="6"/>
      <c r="T86" s="6"/>
      <c r="U86" s="6"/>
      <c r="V86" s="6"/>
      <c r="W86" s="6"/>
      <c r="X86" s="6"/>
      <c r="Y86" s="6"/>
      <c r="Z86" s="6"/>
      <c r="AA86" s="6"/>
      <c r="AB86" s="6"/>
      <c r="AC86" s="6"/>
      <c r="AD86" s="6"/>
      <c r="AE86" s="6"/>
      <c r="AF86" s="6"/>
      <c r="AG86" s="6"/>
      <c r="AH86" s="6"/>
      <c r="AI86" s="6"/>
      <c r="AJ86" s="6"/>
      <c r="AK86" s="6"/>
      <c r="AL86" s="6"/>
      <c r="AM86" s="6"/>
      <c r="AN86" s="6"/>
      <c r="AO86" s="6"/>
      <c r="AP86" s="6"/>
      <c r="AQ86" s="6"/>
      <c r="AR86" s="6"/>
      <c r="AS86" s="6"/>
      <c r="AT86" s="6"/>
      <c r="AU86" s="6"/>
      <c r="AV86" s="6"/>
      <c r="AW86" s="6"/>
    </row>
    <row r="87" spans="1:49">
      <c r="A87" s="6"/>
      <c r="B87" s="89" t="s">
        <v>2438</v>
      </c>
      <c r="C87" s="2" t="str">
        <f>IFERROR(VLOOKUP(B87,'Deutsche Markt'!C:AA,24,FALSE),"")</f>
        <v/>
      </c>
      <c r="D87" s="2">
        <f>IFERROR(VLOOKUP(B87,'Deutsche Markt'!C:AA,25,FALSE),0)</f>
        <v>0</v>
      </c>
      <c r="E87" s="2">
        <f t="shared" si="12"/>
        <v>0</v>
      </c>
      <c r="F87" s="2">
        <f t="shared" si="13"/>
        <v>0</v>
      </c>
      <c r="G87" s="2">
        <f t="shared" si="14"/>
        <v>0</v>
      </c>
      <c r="H87" s="2">
        <f t="shared" si="15"/>
        <v>0</v>
      </c>
      <c r="I87" s="2">
        <f t="shared" si="11"/>
        <v>0</v>
      </c>
      <c r="J87">
        <f>IFERROR(VLOOKUP(B87,'General price list'!C:AI,12,FALSE)*(G87*C87),0)</f>
        <v>0</v>
      </c>
      <c r="K87" s="6"/>
      <c r="L87" s="6"/>
      <c r="M87" s="6"/>
      <c r="N87" s="6"/>
      <c r="O87" s="6"/>
      <c r="P87" s="6"/>
      <c r="Q87" s="6"/>
      <c r="R87" s="6"/>
      <c r="S87" s="6"/>
      <c r="T87" s="6"/>
      <c r="U87" s="6"/>
      <c r="V87" s="6"/>
      <c r="W87" s="6"/>
      <c r="X87" s="6"/>
      <c r="Y87" s="6"/>
      <c r="Z87" s="6"/>
      <c r="AA87" s="6"/>
      <c r="AB87" s="6"/>
      <c r="AC87" s="6"/>
      <c r="AD87" s="6"/>
      <c r="AE87" s="6"/>
      <c r="AF87" s="6"/>
      <c r="AG87" s="6"/>
      <c r="AH87" s="6"/>
      <c r="AI87" s="6"/>
      <c r="AJ87" s="6"/>
      <c r="AK87" s="6"/>
      <c r="AL87" s="6"/>
      <c r="AM87" s="6"/>
      <c r="AN87" s="6"/>
      <c r="AO87" s="6"/>
      <c r="AP87" s="6"/>
      <c r="AQ87" s="6"/>
      <c r="AR87" s="6"/>
      <c r="AS87" s="6"/>
      <c r="AT87" s="6"/>
      <c r="AU87" s="6"/>
      <c r="AV87" s="6"/>
      <c r="AW87" s="6"/>
    </row>
    <row r="88" spans="1:49">
      <c r="A88" s="6"/>
      <c r="B88" s="89" t="s">
        <v>2373</v>
      </c>
      <c r="C88" s="2" t="str">
        <f>IFERROR(VLOOKUP(B88,'Deutsche Markt'!C:AA,24,FALSE),"")</f>
        <v/>
      </c>
      <c r="D88" s="2">
        <f>IFERROR(VLOOKUP(B88,'Deutsche Markt'!C:AA,25,FALSE),0)</f>
        <v>0</v>
      </c>
      <c r="E88" s="2">
        <f t="shared" si="12"/>
        <v>0</v>
      </c>
      <c r="F88" s="2">
        <f t="shared" si="13"/>
        <v>0</v>
      </c>
      <c r="G88" s="2">
        <f t="shared" si="14"/>
        <v>0</v>
      </c>
      <c r="H88" s="2">
        <f t="shared" si="15"/>
        <v>0</v>
      </c>
      <c r="I88" s="2">
        <f t="shared" si="11"/>
        <v>0</v>
      </c>
      <c r="J88">
        <f>IFERROR(VLOOKUP(B88,'General price list'!C:AI,12,FALSE)*(G88*C88),0)</f>
        <v>0</v>
      </c>
      <c r="K88" s="6"/>
      <c r="L88" s="6"/>
      <c r="M88" s="6"/>
      <c r="N88" s="6"/>
      <c r="O88" s="6"/>
      <c r="P88" s="6"/>
      <c r="Q88" s="6"/>
      <c r="R88" s="6"/>
      <c r="S88" s="6"/>
      <c r="T88" s="6"/>
      <c r="U88" s="6"/>
      <c r="V88" s="6"/>
      <c r="W88" s="6"/>
      <c r="X88" s="6"/>
      <c r="Y88" s="6"/>
      <c r="Z88" s="6"/>
      <c r="AA88" s="6"/>
      <c r="AB88" s="6"/>
      <c r="AC88" s="6"/>
      <c r="AD88" s="6"/>
      <c r="AE88" s="6"/>
      <c r="AF88" s="6"/>
      <c r="AG88" s="6"/>
      <c r="AH88" s="6"/>
      <c r="AI88" s="6"/>
      <c r="AJ88" s="6"/>
      <c r="AK88" s="6"/>
      <c r="AL88" s="6"/>
      <c r="AM88" s="6"/>
      <c r="AN88" s="6"/>
      <c r="AO88" s="6"/>
      <c r="AP88" s="6"/>
      <c r="AQ88" s="6"/>
      <c r="AR88" s="6"/>
      <c r="AS88" s="6"/>
      <c r="AT88" s="6"/>
      <c r="AU88" s="6"/>
      <c r="AV88" s="6"/>
      <c r="AW88" s="6"/>
    </row>
    <row r="89" spans="1:49">
      <c r="A89" s="6"/>
      <c r="B89" s="89" t="s">
        <v>2535</v>
      </c>
      <c r="C89" s="2" t="str">
        <f>IFERROR(VLOOKUP(B89,'Deutsche Markt'!C:AA,24,FALSE),"")</f>
        <v/>
      </c>
      <c r="D89" s="2">
        <f>IFERROR(VLOOKUP(B89,'Deutsche Markt'!C:AA,25,FALSE),0)</f>
        <v>0</v>
      </c>
      <c r="E89" s="2">
        <f t="shared" si="12"/>
        <v>0</v>
      </c>
      <c r="F89" s="2">
        <f t="shared" si="13"/>
        <v>0</v>
      </c>
      <c r="G89" s="2">
        <f t="shared" si="14"/>
        <v>0</v>
      </c>
      <c r="H89" s="2">
        <f t="shared" si="15"/>
        <v>0</v>
      </c>
      <c r="I89" s="2">
        <f t="shared" si="11"/>
        <v>0</v>
      </c>
      <c r="J89">
        <f>IFERROR(VLOOKUP(B89,'General price list'!C:AI,12,FALSE)*(G89*C89),0)</f>
        <v>0</v>
      </c>
      <c r="K89" s="6"/>
      <c r="L89" s="6"/>
      <c r="M89" s="6"/>
      <c r="N89" s="6"/>
      <c r="O89" s="6"/>
      <c r="P89" s="6"/>
      <c r="Q89" s="6"/>
      <c r="R89" s="6"/>
      <c r="S89" s="6"/>
      <c r="T89" s="6"/>
      <c r="U89" s="6"/>
      <c r="V89" s="6"/>
      <c r="W89" s="6"/>
      <c r="X89" s="6"/>
      <c r="Y89" s="6"/>
      <c r="Z89" s="6"/>
      <c r="AA89" s="6"/>
      <c r="AB89" s="6"/>
      <c r="AC89" s="6"/>
      <c r="AD89" s="6"/>
      <c r="AE89" s="6"/>
      <c r="AF89" s="6"/>
      <c r="AG89" s="6"/>
      <c r="AH89" s="6"/>
      <c r="AI89" s="6"/>
      <c r="AJ89" s="6"/>
      <c r="AK89" s="6"/>
      <c r="AL89" s="6"/>
      <c r="AM89" s="6"/>
      <c r="AN89" s="6"/>
      <c r="AO89" s="6"/>
      <c r="AP89" s="6"/>
      <c r="AQ89" s="6"/>
      <c r="AR89" s="6"/>
      <c r="AS89" s="6"/>
      <c r="AT89" s="6"/>
      <c r="AU89" s="6"/>
      <c r="AV89" s="6"/>
      <c r="AW89" s="6"/>
    </row>
    <row r="90" spans="1:49" ht="15" customHeight="1">
      <c r="B90" t="s">
        <v>1150</v>
      </c>
      <c r="C90" s="2">
        <f>IFERROR(VLOOKUP(B90,'Deutsche Markt'!C:AA,24,FALSE),"")</f>
        <v>36</v>
      </c>
      <c r="D90" s="2">
        <f>IFERROR(VLOOKUP(B90,'Deutsche Markt'!C:AA,25,FALSE),0)</f>
        <v>0</v>
      </c>
      <c r="E90" s="2">
        <f t="shared" si="12"/>
        <v>0</v>
      </c>
      <c r="F90" s="2">
        <f t="shared" si="13"/>
        <v>0</v>
      </c>
      <c r="G90" s="2">
        <f t="shared" si="14"/>
        <v>0</v>
      </c>
      <c r="H90" s="2">
        <f t="shared" si="15"/>
        <v>0</v>
      </c>
      <c r="I90" s="2">
        <f t="shared" si="11"/>
        <v>0</v>
      </c>
      <c r="J90">
        <f>IFERROR(VLOOKUP(B90,'General price list'!C:AI,12,FALSE)*(G90*C90),0)</f>
        <v>0</v>
      </c>
    </row>
    <row r="91" spans="1:49" ht="15" customHeight="1">
      <c r="B91" t="s">
        <v>2135</v>
      </c>
      <c r="C91" s="2" t="str">
        <f>IFERROR(VLOOKUP(B91,'Deutsche Markt'!C:AA,24,FALSE),"")</f>
        <v/>
      </c>
      <c r="D91" s="2">
        <f>IFERROR(VLOOKUP(B91,'Deutsche Markt'!C:AA,25,FALSE),0)</f>
        <v>0</v>
      </c>
      <c r="E91" s="2">
        <f t="shared" si="12"/>
        <v>0</v>
      </c>
      <c r="F91" s="2">
        <f t="shared" si="13"/>
        <v>0</v>
      </c>
      <c r="G91" s="2">
        <f t="shared" si="14"/>
        <v>0</v>
      </c>
      <c r="H91" s="2">
        <f t="shared" si="15"/>
        <v>0</v>
      </c>
      <c r="I91" s="2">
        <f t="shared" si="11"/>
        <v>0</v>
      </c>
      <c r="J91">
        <f>IFERROR(VLOOKUP(B91,'General price list'!C:AI,12,FALSE)*(G91*C91),0)</f>
        <v>0</v>
      </c>
    </row>
    <row r="92" spans="1:49" ht="15" customHeight="1">
      <c r="B92" t="s">
        <v>2343</v>
      </c>
      <c r="C92" s="2" t="str">
        <f>IFERROR(VLOOKUP(B92,'Deutsche Markt'!C:AA,24,FALSE),"")</f>
        <v/>
      </c>
      <c r="D92" s="2">
        <f>IFERROR(VLOOKUP(B92,'Deutsche Markt'!C:AA,25,FALSE),0)</f>
        <v>0</v>
      </c>
      <c r="E92" s="2">
        <f t="shared" si="12"/>
        <v>0</v>
      </c>
      <c r="F92" s="2">
        <f t="shared" si="13"/>
        <v>0</v>
      </c>
      <c r="G92" s="2">
        <f t="shared" si="14"/>
        <v>0</v>
      </c>
      <c r="H92" s="2">
        <f t="shared" si="15"/>
        <v>0</v>
      </c>
      <c r="I92" s="2">
        <f t="shared" si="11"/>
        <v>0</v>
      </c>
      <c r="J92">
        <f>IFERROR(VLOOKUP(B92,'General price list'!C:AI,12,FALSE)*(G92*C92),0)</f>
        <v>0</v>
      </c>
    </row>
    <row r="93" spans="1:49" ht="15" customHeight="1">
      <c r="B93" t="s">
        <v>1145</v>
      </c>
      <c r="C93" s="2">
        <f>IFERROR(VLOOKUP(B93,'Deutsche Markt'!C:AA,24,FALSE),"")</f>
        <v>36</v>
      </c>
      <c r="D93" s="2">
        <f>IFERROR(VLOOKUP(B93,'Deutsche Markt'!C:AA,25,FALSE),0)</f>
        <v>0</v>
      </c>
      <c r="E93" s="2">
        <f t="shared" si="12"/>
        <v>0</v>
      </c>
      <c r="F93" s="2">
        <f t="shared" si="13"/>
        <v>0</v>
      </c>
      <c r="G93" s="2">
        <f t="shared" si="14"/>
        <v>0</v>
      </c>
      <c r="H93" s="2">
        <f t="shared" si="15"/>
        <v>0</v>
      </c>
      <c r="I93" s="2">
        <f t="shared" si="11"/>
        <v>0</v>
      </c>
      <c r="J93">
        <f>IFERROR(VLOOKUP(B93,'General price list'!C:AI,12,FALSE)*(G93*C93),0)</f>
        <v>0</v>
      </c>
    </row>
    <row r="94" spans="1:49" ht="15" customHeight="1">
      <c r="B94" t="s">
        <v>1183</v>
      </c>
      <c r="C94" s="2" t="str">
        <f>IFERROR(VLOOKUP(B94,'Deutsche Markt'!C:AA,24,FALSE),"")</f>
        <v/>
      </c>
      <c r="D94" s="2">
        <f>IFERROR(VLOOKUP(B94,'Deutsche Markt'!C:AA,25,FALSE),0)</f>
        <v>0</v>
      </c>
      <c r="E94" s="2">
        <f t="shared" si="12"/>
        <v>0</v>
      </c>
      <c r="F94" s="2">
        <f t="shared" si="13"/>
        <v>0</v>
      </c>
      <c r="G94" s="2">
        <f t="shared" si="14"/>
        <v>0</v>
      </c>
      <c r="H94" s="2">
        <f t="shared" si="15"/>
        <v>0</v>
      </c>
      <c r="I94" s="2">
        <f t="shared" si="11"/>
        <v>0</v>
      </c>
      <c r="J94">
        <f>IFERROR(VLOOKUP(B94,'General price list'!C:AI,12,FALSE)*(G94*C94),0)</f>
        <v>0</v>
      </c>
    </row>
    <row r="95" spans="1:49" ht="15" customHeight="1">
      <c r="B95" t="s">
        <v>4975</v>
      </c>
      <c r="C95" s="2" t="str">
        <f>IFERROR(VLOOKUP(B95,'Deutsche Markt'!C:AA,24,FALSE),"")</f>
        <v/>
      </c>
      <c r="D95" s="2">
        <f>IFERROR(VLOOKUP(B95,'Deutsche Markt'!C:AA,25,FALSE),0)</f>
        <v>0</v>
      </c>
      <c r="E95" s="2">
        <f t="shared" si="12"/>
        <v>0</v>
      </c>
      <c r="F95" s="2">
        <f t="shared" si="13"/>
        <v>0</v>
      </c>
      <c r="G95" s="2">
        <f t="shared" si="14"/>
        <v>0</v>
      </c>
      <c r="H95" s="2">
        <f t="shared" si="15"/>
        <v>0</v>
      </c>
      <c r="I95" s="2">
        <f t="shared" si="11"/>
        <v>0</v>
      </c>
      <c r="J95">
        <f>IFERROR(VLOOKUP(B95,'General price list'!C:AI,12,FALSE)*(G95*C95),0)</f>
        <v>0</v>
      </c>
    </row>
    <row r="96" spans="1:49" ht="15" customHeight="1">
      <c r="B96" t="s">
        <v>1166</v>
      </c>
      <c r="C96" s="2">
        <f>IFERROR(VLOOKUP(B96,'Deutsche Markt'!C:AA,24,FALSE),"")</f>
        <v>40</v>
      </c>
      <c r="D96" s="2">
        <f>IFERROR(VLOOKUP(B96,'Deutsche Markt'!C:AA,25,FALSE),0)</f>
        <v>0</v>
      </c>
      <c r="E96" s="2">
        <f t="shared" si="12"/>
        <v>0</v>
      </c>
      <c r="F96" s="2">
        <f t="shared" si="13"/>
        <v>0</v>
      </c>
      <c r="G96" s="2">
        <f t="shared" si="14"/>
        <v>0</v>
      </c>
      <c r="H96" s="2">
        <f t="shared" si="15"/>
        <v>0</v>
      </c>
      <c r="I96" s="2">
        <f t="shared" si="11"/>
        <v>0</v>
      </c>
      <c r="J96">
        <f>IFERROR(VLOOKUP(B96,'General price list'!C:AI,12,FALSE)*(G96*C96),0)</f>
        <v>0</v>
      </c>
    </row>
    <row r="97" spans="2:10" ht="15" customHeight="1">
      <c r="B97" t="s">
        <v>2494</v>
      </c>
      <c r="C97" s="2" t="str">
        <f>IFERROR(VLOOKUP(B97,'Deutsche Markt'!C:AA,24,FALSE),"")</f>
        <v/>
      </c>
      <c r="D97" s="2">
        <f>IFERROR(VLOOKUP(B97,'Deutsche Markt'!C:AA,25,FALSE),0)</f>
        <v>0</v>
      </c>
      <c r="E97" s="2">
        <f t="shared" si="12"/>
        <v>0</v>
      </c>
      <c r="F97" s="2">
        <f t="shared" si="13"/>
        <v>0</v>
      </c>
      <c r="G97" s="2">
        <f t="shared" si="14"/>
        <v>0</v>
      </c>
      <c r="H97" s="2">
        <f t="shared" si="15"/>
        <v>0</v>
      </c>
      <c r="I97" s="2">
        <f t="shared" si="11"/>
        <v>0</v>
      </c>
      <c r="J97">
        <f>IFERROR(VLOOKUP(B97,'General price list'!C:AI,12,FALSE)*(G97*C97),0)</f>
        <v>0</v>
      </c>
    </row>
    <row r="98" spans="2:10" ht="15" customHeight="1">
      <c r="B98" t="s">
        <v>4948</v>
      </c>
      <c r="C98" s="2" t="str">
        <f>IFERROR(VLOOKUP(B98,'Deutsche Markt'!C:AA,24,FALSE),"")</f>
        <v/>
      </c>
      <c r="D98" s="2">
        <f>IFERROR(VLOOKUP(B98,'Deutsche Markt'!C:AA,25,FALSE),0)</f>
        <v>0</v>
      </c>
      <c r="E98" s="2">
        <f t="shared" si="12"/>
        <v>0</v>
      </c>
      <c r="F98" s="2">
        <f t="shared" si="13"/>
        <v>0</v>
      </c>
      <c r="G98" s="2">
        <f t="shared" si="14"/>
        <v>0</v>
      </c>
      <c r="H98" s="2">
        <f t="shared" si="15"/>
        <v>0</v>
      </c>
      <c r="I98" s="2">
        <f t="shared" si="11"/>
        <v>0</v>
      </c>
      <c r="J98">
        <f>IFERROR(VLOOKUP(B98,'General price list'!C:AI,12,FALSE)*(G98*C98),0)</f>
        <v>0</v>
      </c>
    </row>
    <row r="99" spans="2:10" ht="15" customHeight="1">
      <c r="B99" t="s">
        <v>4967</v>
      </c>
      <c r="C99" s="2" t="str">
        <f>IFERROR(VLOOKUP(B99,'Deutsche Markt'!C:AA,24,FALSE),"")</f>
        <v/>
      </c>
      <c r="D99" s="2">
        <f>IFERROR(VLOOKUP(B99,'Deutsche Markt'!C:AA,25,FALSE),0)</f>
        <v>0</v>
      </c>
      <c r="E99" s="2">
        <f t="shared" si="12"/>
        <v>0</v>
      </c>
      <c r="F99" s="2">
        <f t="shared" si="13"/>
        <v>0</v>
      </c>
      <c r="G99" s="2">
        <f t="shared" si="14"/>
        <v>0</v>
      </c>
      <c r="H99" s="2">
        <f t="shared" si="15"/>
        <v>0</v>
      </c>
      <c r="I99" s="2">
        <f t="shared" si="11"/>
        <v>0</v>
      </c>
      <c r="J99">
        <f>IFERROR(VLOOKUP(B99,'General price list'!C:AI,12,FALSE)*(G99*C99),0)</f>
        <v>0</v>
      </c>
    </row>
    <row r="100" spans="2:10" ht="15" customHeight="1">
      <c r="B100" t="s">
        <v>2398</v>
      </c>
      <c r="C100" s="2" t="str">
        <f>IFERROR(VLOOKUP(B100,'Deutsche Markt'!C:AA,24,FALSE),"")</f>
        <v/>
      </c>
      <c r="D100" s="2">
        <f>IFERROR(VLOOKUP(B100,'Deutsche Markt'!C:AA,25,FALSE),0)</f>
        <v>0</v>
      </c>
      <c r="E100" s="2">
        <f t="shared" si="12"/>
        <v>0</v>
      </c>
      <c r="F100" s="2">
        <f t="shared" si="13"/>
        <v>0</v>
      </c>
      <c r="G100" s="2">
        <f t="shared" si="14"/>
        <v>0</v>
      </c>
      <c r="H100" s="2">
        <f t="shared" si="15"/>
        <v>0</v>
      </c>
      <c r="I100" s="2">
        <f t="shared" si="11"/>
        <v>0</v>
      </c>
      <c r="J100">
        <f>IFERROR(VLOOKUP(B100,'General price list'!C:AI,12,FALSE)*(G100*C100),0)</f>
        <v>0</v>
      </c>
    </row>
    <row r="101" spans="2:10" ht="15" customHeight="1">
      <c r="B101" t="s">
        <v>2550</v>
      </c>
      <c r="C101" s="2" t="str">
        <f>IFERROR(VLOOKUP(B101,'Deutsche Markt'!C:AA,24,FALSE),"")</f>
        <v/>
      </c>
      <c r="D101" s="2">
        <f>IFERROR(VLOOKUP(B101,'Deutsche Markt'!C:AA,25,FALSE),0)</f>
        <v>0</v>
      </c>
      <c r="E101" s="2">
        <f t="shared" si="12"/>
        <v>0</v>
      </c>
      <c r="F101" s="2">
        <f t="shared" si="13"/>
        <v>0</v>
      </c>
      <c r="G101" s="2">
        <f t="shared" si="14"/>
        <v>0</v>
      </c>
      <c r="H101" s="2">
        <f t="shared" si="15"/>
        <v>0</v>
      </c>
      <c r="I101" s="2">
        <f t="shared" si="11"/>
        <v>0</v>
      </c>
      <c r="J101">
        <f>IFERROR(VLOOKUP(B101,'General price list'!C:AI,12,FALSE)*(G101*C101),0)</f>
        <v>0</v>
      </c>
    </row>
    <row r="102" spans="2:10" ht="15" customHeight="1">
      <c r="B102" t="s">
        <v>2391</v>
      </c>
      <c r="C102" s="2">
        <f>IFERROR(VLOOKUP(B102,'Deutsche Markt'!C:AA,24,FALSE),"")</f>
        <v>32</v>
      </c>
      <c r="D102" s="2">
        <f>IFERROR(VLOOKUP(B102,'Deutsche Markt'!C:AA,25,FALSE),0)</f>
        <v>0</v>
      </c>
      <c r="E102" s="2">
        <f t="shared" si="12"/>
        <v>0</v>
      </c>
      <c r="F102" s="2">
        <f t="shared" si="13"/>
        <v>0</v>
      </c>
      <c r="G102" s="2">
        <f t="shared" si="14"/>
        <v>0</v>
      </c>
      <c r="H102" s="2">
        <f t="shared" si="15"/>
        <v>0</v>
      </c>
      <c r="I102" s="2">
        <f t="shared" si="11"/>
        <v>0</v>
      </c>
      <c r="J102">
        <f>IFERROR(VLOOKUP(B102,'General price list'!C:AI,12,FALSE)*(G102*C102),0)</f>
        <v>0</v>
      </c>
    </row>
    <row r="103" spans="2:10" ht="15" customHeight="1">
      <c r="B103" t="s">
        <v>2545</v>
      </c>
      <c r="C103" s="2" t="str">
        <f>IFERROR(VLOOKUP(B103,'Deutsche Markt'!C:AA,24,FALSE),"")</f>
        <v/>
      </c>
      <c r="D103" s="2">
        <f>IFERROR(VLOOKUP(B103,'Deutsche Markt'!C:AA,25,FALSE),0)</f>
        <v>0</v>
      </c>
      <c r="E103" s="2">
        <f t="shared" si="12"/>
        <v>0</v>
      </c>
      <c r="F103" s="2">
        <f t="shared" si="13"/>
        <v>0</v>
      </c>
      <c r="G103" s="2">
        <f t="shared" si="14"/>
        <v>0</v>
      </c>
      <c r="H103" s="2">
        <f t="shared" si="15"/>
        <v>0</v>
      </c>
      <c r="I103" s="2">
        <f t="shared" si="11"/>
        <v>0</v>
      </c>
      <c r="J103">
        <f>IFERROR(VLOOKUP(B103,'General price list'!C:AI,12,FALSE)*(G103*C103),0)</f>
        <v>0</v>
      </c>
    </row>
    <row r="104" spans="2:10" ht="15" customHeight="1">
      <c r="B104" t="s">
        <v>1151</v>
      </c>
      <c r="C104" s="2" t="str">
        <f>IFERROR(VLOOKUP(B104,'Deutsche Markt'!C:AA,24,FALSE),"")</f>
        <v/>
      </c>
      <c r="D104" s="2">
        <f>IFERROR(VLOOKUP(B104,'Deutsche Markt'!C:AA,25,FALSE),0)</f>
        <v>0</v>
      </c>
      <c r="E104" s="2">
        <f t="shared" si="12"/>
        <v>0</v>
      </c>
      <c r="F104" s="2">
        <f t="shared" si="13"/>
        <v>0</v>
      </c>
      <c r="G104" s="2">
        <f t="shared" si="14"/>
        <v>0</v>
      </c>
      <c r="H104" s="2">
        <f t="shared" si="15"/>
        <v>0</v>
      </c>
      <c r="I104" s="2">
        <f t="shared" si="11"/>
        <v>0</v>
      </c>
      <c r="J104">
        <f>IFERROR(VLOOKUP(B104,'General price list'!C:AI,12,FALSE)*(G104*C104),0)</f>
        <v>0</v>
      </c>
    </row>
    <row r="105" spans="2:10" ht="15" customHeight="1">
      <c r="B105" t="s">
        <v>2137</v>
      </c>
      <c r="C105" s="2" t="str">
        <f>IFERROR(VLOOKUP(B105,'Deutsche Markt'!C:AA,24,FALSE),"")</f>
        <v/>
      </c>
      <c r="D105" s="2">
        <f>IFERROR(VLOOKUP(B105,'Deutsche Markt'!C:AA,25,FALSE),0)</f>
        <v>0</v>
      </c>
      <c r="E105" s="2">
        <f t="shared" si="12"/>
        <v>0</v>
      </c>
      <c r="F105" s="2">
        <f t="shared" si="13"/>
        <v>0</v>
      </c>
      <c r="G105" s="2">
        <f t="shared" si="14"/>
        <v>0</v>
      </c>
      <c r="H105" s="2">
        <f t="shared" si="15"/>
        <v>0</v>
      </c>
      <c r="I105" s="2">
        <f t="shared" si="11"/>
        <v>0</v>
      </c>
      <c r="J105">
        <f>IFERROR(VLOOKUP(B105,'General price list'!C:AI,12,FALSE)*(G105*C105),0)</f>
        <v>0</v>
      </c>
    </row>
    <row r="106" spans="2:10" ht="15" customHeight="1">
      <c r="B106" t="s">
        <v>1155</v>
      </c>
      <c r="C106" s="2" t="str">
        <f>IFERROR(VLOOKUP(B106,'Deutsche Markt'!C:AA,24,FALSE),"")</f>
        <v/>
      </c>
      <c r="D106" s="2">
        <f>IFERROR(VLOOKUP(B106,'Deutsche Markt'!C:AA,25,FALSE),0)</f>
        <v>0</v>
      </c>
      <c r="E106" s="2">
        <f t="shared" si="12"/>
        <v>0</v>
      </c>
      <c r="F106" s="2">
        <f t="shared" si="13"/>
        <v>0</v>
      </c>
      <c r="G106" s="2">
        <f t="shared" si="14"/>
        <v>0</v>
      </c>
      <c r="H106" s="2">
        <f t="shared" si="15"/>
        <v>0</v>
      </c>
      <c r="I106" s="2">
        <f t="shared" si="11"/>
        <v>0</v>
      </c>
      <c r="J106">
        <f>IFERROR(VLOOKUP(B106,'General price list'!C:AI,12,FALSE)*(G106*C106),0)</f>
        <v>0</v>
      </c>
    </row>
    <row r="107" spans="2:10" ht="15" customHeight="1">
      <c r="B107" t="s">
        <v>2139</v>
      </c>
      <c r="C107" s="2" t="str">
        <f>IFERROR(VLOOKUP(B107,'Deutsche Markt'!C:AA,24,FALSE),"")</f>
        <v/>
      </c>
      <c r="D107" s="2">
        <f>IFERROR(VLOOKUP(B107,'Deutsche Markt'!C:AA,25,FALSE),0)</f>
        <v>0</v>
      </c>
      <c r="E107" s="2">
        <f t="shared" si="12"/>
        <v>0</v>
      </c>
      <c r="F107" s="2">
        <f t="shared" si="13"/>
        <v>0</v>
      </c>
      <c r="G107" s="2">
        <f t="shared" si="14"/>
        <v>0</v>
      </c>
      <c r="H107" s="2">
        <f t="shared" si="15"/>
        <v>0</v>
      </c>
      <c r="I107" s="2">
        <f t="shared" si="11"/>
        <v>0</v>
      </c>
      <c r="J107">
        <f>IFERROR(VLOOKUP(B107,'General price list'!C:AI,12,FALSE)*(G107*C107),0)</f>
        <v>0</v>
      </c>
    </row>
    <row r="108" spans="2:10" ht="15" customHeight="1">
      <c r="B108" t="s">
        <v>5253</v>
      </c>
      <c r="C108" s="2">
        <f>IFERROR(VLOOKUP(B108,'Deutsche Markt'!C:AA,24,FALSE),"")</f>
        <v>32</v>
      </c>
      <c r="D108" s="2">
        <f>IFERROR(VLOOKUP(B108,'Deutsche Markt'!C:AA,25,FALSE),0)</f>
        <v>0</v>
      </c>
      <c r="E108" s="2">
        <f t="shared" si="12"/>
        <v>0</v>
      </c>
      <c r="F108" s="2">
        <f t="shared" si="13"/>
        <v>0</v>
      </c>
      <c r="G108" s="2">
        <f t="shared" si="14"/>
        <v>0</v>
      </c>
      <c r="H108" s="2">
        <f t="shared" si="15"/>
        <v>0</v>
      </c>
      <c r="I108" s="2">
        <f t="shared" si="11"/>
        <v>0</v>
      </c>
      <c r="J108">
        <f>IFERROR(VLOOKUP(B108,'General price list'!C:AI,12,FALSE)*(G108*C108),0)</f>
        <v>0</v>
      </c>
    </row>
    <row r="109" spans="2:10" ht="15" customHeight="1">
      <c r="B109" t="s">
        <v>5275</v>
      </c>
      <c r="C109" s="2" t="str">
        <f>IFERROR(VLOOKUP(B109,'Deutsche Markt'!C:AA,24,FALSE),"")</f>
        <v/>
      </c>
      <c r="D109" s="2">
        <f>IFERROR(VLOOKUP(B109,'Deutsche Markt'!C:AA,25,FALSE),0)</f>
        <v>0</v>
      </c>
      <c r="E109" s="2">
        <f t="shared" si="12"/>
        <v>0</v>
      </c>
      <c r="F109" s="2">
        <f t="shared" si="13"/>
        <v>0</v>
      </c>
      <c r="G109" s="2">
        <f t="shared" si="14"/>
        <v>0</v>
      </c>
      <c r="H109" s="2">
        <f t="shared" si="15"/>
        <v>0</v>
      </c>
      <c r="I109" s="2">
        <f t="shared" si="11"/>
        <v>0</v>
      </c>
      <c r="J109">
        <f>IFERROR(VLOOKUP(B109,'General price list'!C:AI,12,FALSE)*(G109*C109),0)</f>
        <v>0</v>
      </c>
    </row>
    <row r="110" spans="2:10" ht="15" customHeight="1">
      <c r="B110" t="s">
        <v>5251</v>
      </c>
      <c r="C110" s="2">
        <f>IFERROR(VLOOKUP(B110,'Deutsche Markt'!C:AA,24,FALSE),"")</f>
        <v>32</v>
      </c>
      <c r="D110" s="2">
        <f>IFERROR(VLOOKUP(B110,'Deutsche Markt'!C:AA,25,FALSE),0)</f>
        <v>0</v>
      </c>
      <c r="E110" s="2">
        <f t="shared" si="12"/>
        <v>0</v>
      </c>
      <c r="F110" s="2">
        <f t="shared" si="13"/>
        <v>0</v>
      </c>
      <c r="G110" s="2">
        <f t="shared" si="14"/>
        <v>0</v>
      </c>
      <c r="H110" s="2">
        <f t="shared" si="15"/>
        <v>0</v>
      </c>
      <c r="I110" s="2">
        <f t="shared" si="11"/>
        <v>0</v>
      </c>
      <c r="J110">
        <f>IFERROR(VLOOKUP(B110,'General price list'!C:AI,12,FALSE)*(G110*C110),0)</f>
        <v>0</v>
      </c>
    </row>
    <row r="111" spans="2:10" ht="15" customHeight="1">
      <c r="B111" t="s">
        <v>5274</v>
      </c>
      <c r="C111" s="2" t="str">
        <f>IFERROR(VLOOKUP(B111,'Deutsche Markt'!C:AA,24,FALSE),"")</f>
        <v/>
      </c>
      <c r="D111" s="2">
        <f>IFERROR(VLOOKUP(B111,'Deutsche Markt'!C:AA,25,FALSE),0)</f>
        <v>0</v>
      </c>
      <c r="E111" s="2">
        <f t="shared" si="12"/>
        <v>0</v>
      </c>
      <c r="F111" s="2">
        <f t="shared" si="13"/>
        <v>0</v>
      </c>
      <c r="G111" s="2">
        <f t="shared" si="14"/>
        <v>0</v>
      </c>
      <c r="H111" s="2">
        <f t="shared" si="15"/>
        <v>0</v>
      </c>
      <c r="I111" s="2">
        <f t="shared" si="11"/>
        <v>0</v>
      </c>
      <c r="J111">
        <f>IFERROR(VLOOKUP(B111,'General price list'!C:AI,12,FALSE)*(G111*C111),0)</f>
        <v>0</v>
      </c>
    </row>
    <row r="112" spans="2:10" ht="15" customHeight="1">
      <c r="B112" t="s">
        <v>2361</v>
      </c>
      <c r="C112" s="2" t="str">
        <f>IFERROR(VLOOKUP(B112,'Deutsche Markt'!C:AA,24,FALSE),"")</f>
        <v/>
      </c>
      <c r="D112" s="2">
        <f>IFERROR(VLOOKUP(B112,'Deutsche Markt'!C:AA,25,FALSE),0)</f>
        <v>0</v>
      </c>
      <c r="E112" s="2">
        <f t="shared" si="12"/>
        <v>0</v>
      </c>
      <c r="F112" s="2">
        <f t="shared" si="13"/>
        <v>0</v>
      </c>
      <c r="G112" s="2">
        <f t="shared" si="14"/>
        <v>0</v>
      </c>
      <c r="H112" s="2">
        <f t="shared" si="15"/>
        <v>0</v>
      </c>
      <c r="I112" s="2">
        <f t="shared" si="11"/>
        <v>0</v>
      </c>
      <c r="J112">
        <f>IFERROR(VLOOKUP(B112,'General price list'!C:AI,12,FALSE)*(G112*C112),0)</f>
        <v>0</v>
      </c>
    </row>
    <row r="113" spans="2:10" ht="15" customHeight="1">
      <c r="B113" t="s">
        <v>2514</v>
      </c>
      <c r="C113" s="2" t="str">
        <f>IFERROR(VLOOKUP(B113,'Deutsche Markt'!C:AA,24,FALSE),"")</f>
        <v/>
      </c>
      <c r="D113" s="2">
        <f>IFERROR(VLOOKUP(B113,'Deutsche Markt'!C:AA,25,FALSE),0)</f>
        <v>0</v>
      </c>
      <c r="E113" s="2">
        <f t="shared" si="12"/>
        <v>0</v>
      </c>
      <c r="F113" s="2">
        <f t="shared" si="13"/>
        <v>0</v>
      </c>
      <c r="G113" s="2">
        <f t="shared" si="14"/>
        <v>0</v>
      </c>
      <c r="H113" s="2">
        <f t="shared" si="15"/>
        <v>0</v>
      </c>
      <c r="I113" s="2">
        <f t="shared" si="11"/>
        <v>0</v>
      </c>
      <c r="J113">
        <f>IFERROR(VLOOKUP(B113,'General price list'!C:AI,12,FALSE)*(G113*C113),0)</f>
        <v>0</v>
      </c>
    </row>
    <row r="114" spans="2:10" ht="15" customHeight="1">
      <c r="B114" t="s">
        <v>2360</v>
      </c>
      <c r="C114" s="2" t="str">
        <f>IFERROR(VLOOKUP(B114,'Deutsche Markt'!C:AA,24,FALSE),"")</f>
        <v>32</v>
      </c>
      <c r="D114" s="2">
        <f>IFERROR(VLOOKUP(B114,'Deutsche Markt'!C:AA,25,FALSE),0)</f>
        <v>0</v>
      </c>
      <c r="E114" s="2">
        <f t="shared" si="12"/>
        <v>0</v>
      </c>
      <c r="F114" s="2">
        <f t="shared" si="13"/>
        <v>0</v>
      </c>
      <c r="G114" s="2">
        <f t="shared" si="14"/>
        <v>0</v>
      </c>
      <c r="H114" s="2">
        <f t="shared" si="15"/>
        <v>0</v>
      </c>
      <c r="I114" s="2">
        <f t="shared" si="11"/>
        <v>0</v>
      </c>
      <c r="J114">
        <f>IFERROR(VLOOKUP(B114,'General price list'!C:AI,12,FALSE)*(G114*C114),0)</f>
        <v>0</v>
      </c>
    </row>
    <row r="115" spans="2:10" ht="15" customHeight="1">
      <c r="B115" t="s">
        <v>2511</v>
      </c>
      <c r="C115" s="2" t="str">
        <f>IFERROR(VLOOKUP(B115,'Deutsche Markt'!C:AA,24,FALSE),"")</f>
        <v/>
      </c>
      <c r="D115" s="2">
        <f>IFERROR(VLOOKUP(B115,'Deutsche Markt'!C:AA,25,FALSE),0)</f>
        <v>0</v>
      </c>
      <c r="E115" s="2">
        <f t="shared" si="12"/>
        <v>0</v>
      </c>
      <c r="F115" s="2">
        <f t="shared" si="13"/>
        <v>0</v>
      </c>
      <c r="G115" s="2">
        <f t="shared" si="14"/>
        <v>0</v>
      </c>
      <c r="H115" s="2">
        <f t="shared" si="15"/>
        <v>0</v>
      </c>
      <c r="I115" s="2">
        <f t="shared" si="11"/>
        <v>0</v>
      </c>
      <c r="J115">
        <f>IFERROR(VLOOKUP(B115,'General price list'!C:AI,12,FALSE)*(G115*C115),0)</f>
        <v>0</v>
      </c>
    </row>
    <row r="116" spans="2:10" ht="15" customHeight="1">
      <c r="B116" t="s">
        <v>1474</v>
      </c>
      <c r="C116" s="2" t="str">
        <f>IFERROR(VLOOKUP(B116,'Deutsche Markt'!C:AA,24,FALSE),"")</f>
        <v/>
      </c>
      <c r="D116" s="2">
        <f>IFERROR(VLOOKUP(B116,'Deutsche Markt'!C:AA,25,FALSE),0)</f>
        <v>0</v>
      </c>
      <c r="E116" s="2">
        <f t="shared" si="12"/>
        <v>0</v>
      </c>
      <c r="F116" s="2">
        <f t="shared" si="13"/>
        <v>0</v>
      </c>
      <c r="G116" s="2">
        <f t="shared" si="14"/>
        <v>0</v>
      </c>
      <c r="H116" s="2">
        <f t="shared" si="15"/>
        <v>0</v>
      </c>
      <c r="I116" s="2">
        <f t="shared" si="11"/>
        <v>0</v>
      </c>
      <c r="J116">
        <f>IFERROR(VLOOKUP(B116,'General price list'!C:AI,12,FALSE)*(G116*C116),0)</f>
        <v>0</v>
      </c>
    </row>
    <row r="117" spans="2:10" ht="15" customHeight="1">
      <c r="B117" t="s">
        <v>2537</v>
      </c>
      <c r="C117" s="2" t="str">
        <f>IFERROR(VLOOKUP(B117,'Deutsche Markt'!C:AA,24,FALSE),"")</f>
        <v/>
      </c>
      <c r="D117" s="2">
        <f>IFERROR(VLOOKUP(B117,'Deutsche Markt'!C:AA,25,FALSE),0)</f>
        <v>0</v>
      </c>
      <c r="E117" s="2">
        <f t="shared" si="12"/>
        <v>0</v>
      </c>
      <c r="F117" s="2">
        <f t="shared" si="13"/>
        <v>0</v>
      </c>
      <c r="G117" s="2">
        <f t="shared" si="14"/>
        <v>0</v>
      </c>
      <c r="H117" s="2">
        <f t="shared" si="15"/>
        <v>0</v>
      </c>
      <c r="I117" s="2">
        <f t="shared" si="11"/>
        <v>0</v>
      </c>
      <c r="J117">
        <f>IFERROR(VLOOKUP(B117,'General price list'!C:AI,12,FALSE)*(G117*C117),0)</f>
        <v>0</v>
      </c>
    </row>
    <row r="118" spans="2:10" ht="15" customHeight="1">
      <c r="B118" t="s">
        <v>1473</v>
      </c>
      <c r="C118" s="2" t="str">
        <f>IFERROR(VLOOKUP(B118,'Deutsche Markt'!C:AA,24,FALSE),"")</f>
        <v/>
      </c>
      <c r="D118" s="2">
        <f>IFERROR(VLOOKUP(B118,'Deutsche Markt'!C:AA,25,FALSE),0)</f>
        <v>0</v>
      </c>
      <c r="E118" s="2">
        <f t="shared" si="12"/>
        <v>0</v>
      </c>
      <c r="F118" s="2">
        <f t="shared" si="13"/>
        <v>0</v>
      </c>
      <c r="G118" s="2">
        <f t="shared" si="14"/>
        <v>0</v>
      </c>
      <c r="H118" s="2">
        <f t="shared" si="15"/>
        <v>0</v>
      </c>
      <c r="I118" s="2">
        <f t="shared" si="11"/>
        <v>0</v>
      </c>
      <c r="J118">
        <f>IFERROR(VLOOKUP(B118,'General price list'!C:AI,12,FALSE)*(G118*C118),0)</f>
        <v>0</v>
      </c>
    </row>
    <row r="119" spans="2:10" ht="15" customHeight="1">
      <c r="B119" t="s">
        <v>2536</v>
      </c>
      <c r="C119" s="2" t="str">
        <f>IFERROR(VLOOKUP(B119,'Deutsche Markt'!C:AA,24,FALSE),"")</f>
        <v/>
      </c>
      <c r="D119" s="2">
        <f>IFERROR(VLOOKUP(B119,'Deutsche Markt'!C:AA,25,FALSE),0)</f>
        <v>0</v>
      </c>
      <c r="E119" s="2">
        <f t="shared" si="12"/>
        <v>0</v>
      </c>
      <c r="F119" s="2">
        <f t="shared" si="13"/>
        <v>0</v>
      </c>
      <c r="G119" s="2">
        <f t="shared" si="14"/>
        <v>0</v>
      </c>
      <c r="H119" s="2">
        <f t="shared" si="15"/>
        <v>0</v>
      </c>
      <c r="I119" s="2">
        <f t="shared" si="11"/>
        <v>0</v>
      </c>
      <c r="J119">
        <f>IFERROR(VLOOKUP(B119,'General price list'!C:AI,12,FALSE)*(G119*C119),0)</f>
        <v>0</v>
      </c>
    </row>
    <row r="120" spans="2:10" ht="15" customHeight="1">
      <c r="B120" t="s">
        <v>1544</v>
      </c>
      <c r="C120" s="2" t="str">
        <f>IFERROR(VLOOKUP(B120,'Deutsche Markt'!C:AA,24,FALSE),"")</f>
        <v/>
      </c>
      <c r="D120" s="2">
        <f>IFERROR(VLOOKUP(B120,'Deutsche Markt'!C:AA,25,FALSE),0)</f>
        <v>0</v>
      </c>
      <c r="E120" s="2">
        <f t="shared" si="12"/>
        <v>0</v>
      </c>
      <c r="F120" s="2">
        <f t="shared" si="13"/>
        <v>0</v>
      </c>
      <c r="G120" s="2">
        <f t="shared" si="14"/>
        <v>0</v>
      </c>
      <c r="H120" s="2">
        <f t="shared" si="15"/>
        <v>0</v>
      </c>
      <c r="I120" s="2">
        <f t="shared" si="11"/>
        <v>0</v>
      </c>
      <c r="J120">
        <f>IFERROR(VLOOKUP(B120,'General price list'!C:AI,12,FALSE)*(G120*C120),0)</f>
        <v>0</v>
      </c>
    </row>
    <row r="121" spans="2:10" ht="15" customHeight="1">
      <c r="B121" t="s">
        <v>2440</v>
      </c>
      <c r="C121" s="2" t="str">
        <f>IFERROR(VLOOKUP(B121,'Deutsche Markt'!C:AA,24,FALSE),"")</f>
        <v/>
      </c>
      <c r="D121" s="2">
        <f>IFERROR(VLOOKUP(B121,'Deutsche Markt'!C:AA,25,FALSE),0)</f>
        <v>0</v>
      </c>
      <c r="E121" s="2">
        <f t="shared" si="12"/>
        <v>0</v>
      </c>
      <c r="F121" s="2">
        <f t="shared" si="13"/>
        <v>0</v>
      </c>
      <c r="G121" s="2">
        <f t="shared" si="14"/>
        <v>0</v>
      </c>
      <c r="H121" s="2">
        <f t="shared" si="15"/>
        <v>0</v>
      </c>
      <c r="I121" s="2">
        <f t="shared" si="11"/>
        <v>0</v>
      </c>
      <c r="J121">
        <f>IFERROR(VLOOKUP(B121,'General price list'!C:AI,12,FALSE)*(G121*C121),0)</f>
        <v>0</v>
      </c>
    </row>
    <row r="122" spans="2:10" ht="15" customHeight="1">
      <c r="B122" t="s">
        <v>1539</v>
      </c>
      <c r="C122" s="2">
        <f>IFERROR(VLOOKUP(B122,'Deutsche Markt'!C:AA,24,FALSE),"")</f>
        <v>32</v>
      </c>
      <c r="D122" s="2">
        <f>IFERROR(VLOOKUP(B122,'Deutsche Markt'!C:AA,25,FALSE),0)</f>
        <v>0</v>
      </c>
      <c r="E122" s="2">
        <f t="shared" si="12"/>
        <v>0</v>
      </c>
      <c r="F122" s="2">
        <f t="shared" si="13"/>
        <v>0</v>
      </c>
      <c r="G122" s="2">
        <f t="shared" si="14"/>
        <v>0</v>
      </c>
      <c r="H122" s="2">
        <f t="shared" si="15"/>
        <v>0</v>
      </c>
      <c r="I122" s="2">
        <f t="shared" si="11"/>
        <v>0</v>
      </c>
      <c r="J122">
        <f>IFERROR(VLOOKUP(B122,'General price list'!C:AI,12,FALSE)*(G122*C122),0)</f>
        <v>0</v>
      </c>
    </row>
    <row r="123" spans="2:10" ht="15" customHeight="1">
      <c r="B123" t="s">
        <v>5276</v>
      </c>
      <c r="C123" s="2" t="str">
        <f>IFERROR(VLOOKUP(B123,'Deutsche Markt'!C:AA,24,FALSE),"")</f>
        <v/>
      </c>
      <c r="D123" s="2">
        <f>IFERROR(VLOOKUP(B123,'Deutsche Markt'!C:AA,25,FALSE),0)</f>
        <v>0</v>
      </c>
      <c r="E123" s="2">
        <f t="shared" si="12"/>
        <v>0</v>
      </c>
      <c r="F123" s="2">
        <f t="shared" si="13"/>
        <v>0</v>
      </c>
      <c r="G123" s="2">
        <f t="shared" si="14"/>
        <v>0</v>
      </c>
      <c r="H123" s="2">
        <f t="shared" si="15"/>
        <v>0</v>
      </c>
      <c r="I123" s="2">
        <f t="shared" si="11"/>
        <v>0</v>
      </c>
      <c r="J123">
        <f>IFERROR(VLOOKUP(B123,'General price list'!C:AI,12,FALSE)*(G123*C123),0)</f>
        <v>0</v>
      </c>
    </row>
    <row r="124" spans="2:10" ht="15" customHeight="1">
      <c r="B124" t="s">
        <v>2399</v>
      </c>
      <c r="C124" s="2" t="str">
        <f>IFERROR(VLOOKUP(B124,'Deutsche Markt'!C:AA,24,FALSE),"")</f>
        <v/>
      </c>
      <c r="D124" s="2">
        <f>IFERROR(VLOOKUP(B124,'Deutsche Markt'!C:AA,25,FALSE),0)</f>
        <v>0</v>
      </c>
      <c r="E124" s="2">
        <f t="shared" si="12"/>
        <v>0</v>
      </c>
      <c r="F124" s="2">
        <f t="shared" si="13"/>
        <v>0</v>
      </c>
      <c r="G124" s="2">
        <f t="shared" si="14"/>
        <v>0</v>
      </c>
      <c r="H124" s="2">
        <f t="shared" si="15"/>
        <v>0</v>
      </c>
      <c r="I124" s="2">
        <f t="shared" si="11"/>
        <v>0</v>
      </c>
      <c r="J124">
        <f>IFERROR(VLOOKUP(B124,'General price list'!C:AI,12,FALSE)*(G124*C124),0)</f>
        <v>0</v>
      </c>
    </row>
    <row r="125" spans="2:10" ht="15" customHeight="1">
      <c r="B125" t="s">
        <v>2551</v>
      </c>
      <c r="C125" s="2" t="str">
        <f>IFERROR(VLOOKUP(B125,'Deutsche Markt'!C:AA,24,FALSE),"")</f>
        <v/>
      </c>
      <c r="D125" s="2">
        <f>IFERROR(VLOOKUP(B125,'Deutsche Markt'!C:AA,25,FALSE),0)</f>
        <v>0</v>
      </c>
      <c r="E125" s="2">
        <f t="shared" si="12"/>
        <v>0</v>
      </c>
      <c r="F125" s="2">
        <f t="shared" si="13"/>
        <v>0</v>
      </c>
      <c r="G125" s="2">
        <f t="shared" si="14"/>
        <v>0</v>
      </c>
      <c r="H125" s="2">
        <f t="shared" si="15"/>
        <v>0</v>
      </c>
      <c r="I125" s="2">
        <f t="shared" si="11"/>
        <v>0</v>
      </c>
      <c r="J125">
        <f>IFERROR(VLOOKUP(B125,'General price list'!C:AI,12,FALSE)*(G125*C125),0)</f>
        <v>0</v>
      </c>
    </row>
    <row r="126" spans="2:10" ht="15" customHeight="1">
      <c r="B126" t="s">
        <v>1018</v>
      </c>
      <c r="C126" s="2">
        <f>IFERROR(VLOOKUP(B126,'Deutsche Markt'!C:AA,24,FALSE),"")</f>
        <v>48</v>
      </c>
      <c r="D126" s="2">
        <f>IFERROR(VLOOKUP(B126,'Deutsche Markt'!C:AA,25,FALSE),0)</f>
        <v>0</v>
      </c>
      <c r="E126" s="2">
        <f t="shared" si="12"/>
        <v>0</v>
      </c>
      <c r="F126" s="2">
        <f t="shared" si="13"/>
        <v>0</v>
      </c>
      <c r="G126" s="2">
        <f t="shared" si="14"/>
        <v>0</v>
      </c>
      <c r="H126" s="2">
        <f t="shared" si="15"/>
        <v>0</v>
      </c>
      <c r="I126" s="2">
        <f t="shared" si="11"/>
        <v>0</v>
      </c>
      <c r="J126">
        <f>IFERROR(VLOOKUP(B126,'General price list'!C:AI,12,FALSE)*(G126*C126),0)</f>
        <v>0</v>
      </c>
    </row>
    <row r="127" spans="2:10" ht="15" customHeight="1">
      <c r="B127" t="s">
        <v>2434</v>
      </c>
      <c r="C127" s="2" t="str">
        <f>IFERROR(VLOOKUP(B127,'Deutsche Markt'!C:AA,24,FALSE),"")</f>
        <v/>
      </c>
      <c r="D127" s="2">
        <f>IFERROR(VLOOKUP(B127,'Deutsche Markt'!C:AA,25,FALSE),0)</f>
        <v>0</v>
      </c>
      <c r="E127" s="2">
        <f t="shared" si="12"/>
        <v>0</v>
      </c>
      <c r="F127" s="2">
        <f t="shared" si="13"/>
        <v>0</v>
      </c>
      <c r="G127" s="2">
        <f t="shared" si="14"/>
        <v>0</v>
      </c>
      <c r="H127" s="2">
        <f t="shared" si="15"/>
        <v>0</v>
      </c>
      <c r="I127" s="2">
        <f t="shared" si="11"/>
        <v>0</v>
      </c>
      <c r="J127">
        <f>IFERROR(VLOOKUP(B127,'General price list'!C:AI,12,FALSE)*(G127*C127),0)</f>
        <v>0</v>
      </c>
    </row>
    <row r="128" spans="2:10" ht="15" customHeight="1">
      <c r="B128" t="s">
        <v>1033</v>
      </c>
      <c r="C128" s="2">
        <f>IFERROR(VLOOKUP(B128,'Deutsche Markt'!C:AA,24,FALSE),"")</f>
        <v>36</v>
      </c>
      <c r="D128" s="2">
        <f>IFERROR(VLOOKUP(B128,'Deutsche Markt'!C:AA,25,FALSE),0)</f>
        <v>0</v>
      </c>
      <c r="E128" s="2">
        <f t="shared" si="12"/>
        <v>0</v>
      </c>
      <c r="F128" s="2">
        <f t="shared" si="13"/>
        <v>0</v>
      </c>
      <c r="G128" s="2">
        <f t="shared" si="14"/>
        <v>0</v>
      </c>
      <c r="H128" s="2">
        <f t="shared" si="15"/>
        <v>0</v>
      </c>
      <c r="I128" s="2">
        <f t="shared" si="11"/>
        <v>0</v>
      </c>
      <c r="J128">
        <f>IFERROR(VLOOKUP(B128,'General price list'!C:AI,12,FALSE)*(G128*C128),0)</f>
        <v>0</v>
      </c>
    </row>
    <row r="129" spans="2:10" ht="15" customHeight="1">
      <c r="B129" t="s">
        <v>1029</v>
      </c>
      <c r="C129" s="2">
        <f>IFERROR(VLOOKUP(B129,'Deutsche Markt'!C:AA,24,FALSE),"")</f>
        <v>36</v>
      </c>
      <c r="D129" s="2">
        <f>IFERROR(VLOOKUP(B129,'Deutsche Markt'!C:AA,25,FALSE),0)</f>
        <v>0</v>
      </c>
      <c r="E129" s="2">
        <f t="shared" si="12"/>
        <v>0</v>
      </c>
      <c r="F129" s="2">
        <f t="shared" si="13"/>
        <v>0</v>
      </c>
      <c r="G129" s="2">
        <f t="shared" si="14"/>
        <v>0</v>
      </c>
      <c r="H129" s="2">
        <f t="shared" si="15"/>
        <v>0</v>
      </c>
      <c r="I129" s="2">
        <f t="shared" si="11"/>
        <v>0</v>
      </c>
      <c r="J129">
        <f>IFERROR(VLOOKUP(B129,'General price list'!C:AI,12,FALSE)*(G129*C129),0)</f>
        <v>0</v>
      </c>
    </row>
    <row r="130" spans="2:10" ht="15" customHeight="1">
      <c r="B130" t="s">
        <v>4866</v>
      </c>
      <c r="C130" s="2">
        <f>IFERROR(VLOOKUP(B130,'Deutsche Markt'!C:AA,24,FALSE),"")</f>
        <v>36</v>
      </c>
      <c r="D130" s="2">
        <f>IFERROR(VLOOKUP(B130,'Deutsche Markt'!C:AA,25,FALSE),0)</f>
        <v>0</v>
      </c>
      <c r="E130" s="2">
        <f t="shared" si="12"/>
        <v>0</v>
      </c>
      <c r="F130" s="2">
        <f t="shared" si="13"/>
        <v>0</v>
      </c>
      <c r="G130" s="2">
        <f t="shared" si="14"/>
        <v>0</v>
      </c>
      <c r="H130" s="2">
        <f t="shared" si="15"/>
        <v>0</v>
      </c>
      <c r="I130" s="2">
        <f t="shared" si="11"/>
        <v>0</v>
      </c>
      <c r="J130">
        <f>IFERROR(VLOOKUP(B130,'General price list'!C:AI,12,FALSE)*(G130*C130),0)</f>
        <v>0</v>
      </c>
    </row>
    <row r="131" spans="2:10" ht="15" customHeight="1">
      <c r="B131" t="s">
        <v>4856</v>
      </c>
      <c r="C131" s="2">
        <f>IFERROR(VLOOKUP(B131,'Deutsche Markt'!C:AA,24,FALSE),"")</f>
        <v>36</v>
      </c>
      <c r="D131" s="2">
        <f>IFERROR(VLOOKUP(B131,'Deutsche Markt'!C:AA,25,FALSE),0)</f>
        <v>0</v>
      </c>
      <c r="E131" s="2">
        <f t="shared" si="12"/>
        <v>0</v>
      </c>
      <c r="F131" s="2">
        <f t="shared" si="13"/>
        <v>0</v>
      </c>
      <c r="G131" s="2">
        <f t="shared" si="14"/>
        <v>0</v>
      </c>
      <c r="H131" s="2">
        <f t="shared" si="15"/>
        <v>0</v>
      </c>
      <c r="I131" s="2">
        <f t="shared" si="11"/>
        <v>0</v>
      </c>
      <c r="J131">
        <f>IFERROR(VLOOKUP(B131,'General price list'!C:AI,12,FALSE)*(G131*C131),0)</f>
        <v>0</v>
      </c>
    </row>
    <row r="132" spans="2:10" ht="15" customHeight="1">
      <c r="B132" t="s">
        <v>1041</v>
      </c>
      <c r="C132" s="2">
        <f>IFERROR(VLOOKUP(B132,'Deutsche Markt'!C:AA,24,FALSE),"")</f>
        <v>36</v>
      </c>
      <c r="D132" s="2">
        <f>IFERROR(VLOOKUP(B132,'Deutsche Markt'!C:AA,25,FALSE),0)</f>
        <v>0</v>
      </c>
      <c r="E132" s="2">
        <f t="shared" si="12"/>
        <v>0</v>
      </c>
      <c r="F132" s="2">
        <f t="shared" si="13"/>
        <v>0</v>
      </c>
      <c r="G132" s="2">
        <f t="shared" si="14"/>
        <v>0</v>
      </c>
      <c r="H132" s="2">
        <f t="shared" si="15"/>
        <v>0</v>
      </c>
      <c r="I132" s="2">
        <f t="shared" ref="I132:I195" si="16">IFERROR(IF(D132=0,0,IF(F132=0,(D132*nextVK)+(prvniVK-nextVK),(G132*C132*nextVK)+(F132*PALzKoje))),0)</f>
        <v>0</v>
      </c>
      <c r="J132">
        <f>IFERROR(VLOOKUP(B132,'General price list'!C:AI,12,FALSE)*(G132*C132),0)</f>
        <v>0</v>
      </c>
    </row>
    <row r="133" spans="2:10" ht="15" customHeight="1">
      <c r="B133" t="s">
        <v>1047</v>
      </c>
      <c r="C133" s="2">
        <f>IFERROR(VLOOKUP(B133,'Deutsche Markt'!C:AA,24,FALSE),"")</f>
        <v>36</v>
      </c>
      <c r="D133" s="2">
        <f>IFERROR(VLOOKUP(B133,'Deutsche Markt'!C:AA,25,FALSE),0)</f>
        <v>0</v>
      </c>
      <c r="E133" s="2">
        <f t="shared" ref="E133:E196" si="17">IFERROR(D133/C133,0)</f>
        <v>0</v>
      </c>
      <c r="F133" s="2">
        <f t="shared" ref="F133:F196" si="18">IFERROR(FLOOR(IF(E133-1&lt;0,0,E133),1),0)</f>
        <v>0</v>
      </c>
      <c r="G133" s="2">
        <f t="shared" ref="G133:G196" si="19">IFERROR(IF(H133&gt;E133,F133-E133,E133-F133),0)</f>
        <v>0</v>
      </c>
      <c r="H133" s="2">
        <f t="shared" ref="H133:H196" si="20">IFERROR(IF(E133=0,0,F133),0)</f>
        <v>0</v>
      </c>
      <c r="I133" s="2">
        <f t="shared" si="16"/>
        <v>0</v>
      </c>
      <c r="J133">
        <f>IFERROR(VLOOKUP(B133,'General price list'!C:AI,12,FALSE)*(G133*C133),0)</f>
        <v>0</v>
      </c>
    </row>
    <row r="134" spans="2:10" ht="15" customHeight="1">
      <c r="B134" t="s">
        <v>13232</v>
      </c>
      <c r="C134" s="2" t="str">
        <f>IFERROR(VLOOKUP(B134,'Deutsche Markt'!C:AA,24,FALSE),"")</f>
        <v/>
      </c>
      <c r="D134" s="2">
        <f>IFERROR(VLOOKUP(B134,'Deutsche Markt'!C:AA,25,FALSE),0)</f>
        <v>0</v>
      </c>
      <c r="E134" s="2">
        <f t="shared" si="17"/>
        <v>0</v>
      </c>
      <c r="F134" s="2">
        <f t="shared" si="18"/>
        <v>0</v>
      </c>
      <c r="G134" s="2">
        <f t="shared" si="19"/>
        <v>0</v>
      </c>
      <c r="H134" s="2">
        <f t="shared" si="20"/>
        <v>0</v>
      </c>
      <c r="I134" s="2">
        <f t="shared" si="16"/>
        <v>0</v>
      </c>
      <c r="J134">
        <f>IFERROR(VLOOKUP(B134,'General price list'!C:AI,12,FALSE)*(G134*C134),0)</f>
        <v>0</v>
      </c>
    </row>
    <row r="135" spans="2:10" ht="15" customHeight="1">
      <c r="B135" t="s">
        <v>1034</v>
      </c>
      <c r="C135" s="2">
        <f>IFERROR(VLOOKUP(B135,'Deutsche Markt'!C:AA,24,FALSE),"")</f>
        <v>36</v>
      </c>
      <c r="D135" s="2">
        <f>IFERROR(VLOOKUP(B135,'Deutsche Markt'!C:AA,25,FALSE),0)</f>
        <v>0</v>
      </c>
      <c r="E135" s="2">
        <f t="shared" si="17"/>
        <v>0</v>
      </c>
      <c r="F135" s="2">
        <f t="shared" si="18"/>
        <v>0</v>
      </c>
      <c r="G135" s="2">
        <f t="shared" si="19"/>
        <v>0</v>
      </c>
      <c r="H135" s="2">
        <f t="shared" si="20"/>
        <v>0</v>
      </c>
      <c r="I135" s="2">
        <f t="shared" si="16"/>
        <v>0</v>
      </c>
      <c r="J135">
        <f>IFERROR(VLOOKUP(B135,'General price list'!C:AI,12,FALSE)*(G135*C135),0)</f>
        <v>0</v>
      </c>
    </row>
    <row r="136" spans="2:10" ht="15" customHeight="1">
      <c r="B136" t="s">
        <v>1044</v>
      </c>
      <c r="C136" s="2">
        <f>IFERROR(VLOOKUP(B136,'Deutsche Markt'!C:AA,24,FALSE),"")</f>
        <v>36</v>
      </c>
      <c r="D136" s="2">
        <f>IFERROR(VLOOKUP(B136,'Deutsche Markt'!C:AA,25,FALSE),0)</f>
        <v>0</v>
      </c>
      <c r="E136" s="2">
        <f t="shared" si="17"/>
        <v>0</v>
      </c>
      <c r="F136" s="2">
        <f t="shared" si="18"/>
        <v>0</v>
      </c>
      <c r="G136" s="2">
        <f t="shared" si="19"/>
        <v>0</v>
      </c>
      <c r="H136" s="2">
        <f t="shared" si="20"/>
        <v>0</v>
      </c>
      <c r="I136" s="2">
        <f t="shared" si="16"/>
        <v>0</v>
      </c>
      <c r="J136">
        <f>IFERROR(VLOOKUP(B136,'General price list'!C:AI,12,FALSE)*(G136*C136),0)</f>
        <v>0</v>
      </c>
    </row>
    <row r="137" spans="2:10" ht="15" customHeight="1">
      <c r="B137" t="s">
        <v>1039</v>
      </c>
      <c r="C137" s="2">
        <f>IFERROR(VLOOKUP(B137,'Deutsche Markt'!C:AA,24,FALSE),"")</f>
        <v>36</v>
      </c>
      <c r="D137" s="2">
        <f>IFERROR(VLOOKUP(B137,'Deutsche Markt'!C:AA,25,FALSE),0)</f>
        <v>0</v>
      </c>
      <c r="E137" s="2">
        <f t="shared" si="17"/>
        <v>0</v>
      </c>
      <c r="F137" s="2">
        <f t="shared" si="18"/>
        <v>0</v>
      </c>
      <c r="G137" s="2">
        <f t="shared" si="19"/>
        <v>0</v>
      </c>
      <c r="H137" s="2">
        <f t="shared" si="20"/>
        <v>0</v>
      </c>
      <c r="I137" s="2">
        <f t="shared" si="16"/>
        <v>0</v>
      </c>
      <c r="J137">
        <f>IFERROR(VLOOKUP(B137,'General price list'!C:AI,12,FALSE)*(G137*C137),0)</f>
        <v>0</v>
      </c>
    </row>
    <row r="138" spans="2:10" ht="15" customHeight="1">
      <c r="B138" t="s">
        <v>13231</v>
      </c>
      <c r="C138" s="2" t="str">
        <f>IFERROR(VLOOKUP(B138,'Deutsche Markt'!C:AA,24,FALSE),"")</f>
        <v/>
      </c>
      <c r="D138" s="2">
        <f>IFERROR(VLOOKUP(B138,'Deutsche Markt'!C:AA,25,FALSE),0)</f>
        <v>0</v>
      </c>
      <c r="E138" s="2">
        <f t="shared" si="17"/>
        <v>0</v>
      </c>
      <c r="F138" s="2">
        <f t="shared" si="18"/>
        <v>0</v>
      </c>
      <c r="G138" s="2">
        <f t="shared" si="19"/>
        <v>0</v>
      </c>
      <c r="H138" s="2">
        <f t="shared" si="20"/>
        <v>0</v>
      </c>
      <c r="I138" s="2">
        <f t="shared" si="16"/>
        <v>0</v>
      </c>
      <c r="J138">
        <f>IFERROR(VLOOKUP(B138,'General price list'!C:AI,12,FALSE)*(G138*C138),0)</f>
        <v>0</v>
      </c>
    </row>
    <row r="139" spans="2:10" ht="15" customHeight="1">
      <c r="B139" t="s">
        <v>1046</v>
      </c>
      <c r="C139" s="2">
        <f>IFERROR(VLOOKUP(B139,'Deutsche Markt'!C:AA,24,FALSE),"")</f>
        <v>36</v>
      </c>
      <c r="D139" s="2">
        <f>IFERROR(VLOOKUP(B139,'Deutsche Markt'!C:AA,25,FALSE),0)</f>
        <v>0</v>
      </c>
      <c r="E139" s="2">
        <f t="shared" si="17"/>
        <v>0</v>
      </c>
      <c r="F139" s="2">
        <f t="shared" si="18"/>
        <v>0</v>
      </c>
      <c r="G139" s="2">
        <f t="shared" si="19"/>
        <v>0</v>
      </c>
      <c r="H139" s="2">
        <f t="shared" si="20"/>
        <v>0</v>
      </c>
      <c r="I139" s="2">
        <f t="shared" si="16"/>
        <v>0</v>
      </c>
      <c r="J139">
        <f>IFERROR(VLOOKUP(B139,'General price list'!C:AI,12,FALSE)*(G139*C139),0)</f>
        <v>0</v>
      </c>
    </row>
    <row r="140" spans="2:10" ht="15" customHeight="1">
      <c r="B140" t="s">
        <v>1036</v>
      </c>
      <c r="C140" s="2">
        <f>IFERROR(VLOOKUP(B140,'Deutsche Markt'!C:AA,24,FALSE),"")</f>
        <v>36</v>
      </c>
      <c r="D140" s="2">
        <f>IFERROR(VLOOKUP(B140,'Deutsche Markt'!C:AA,25,FALSE),0)</f>
        <v>0</v>
      </c>
      <c r="E140" s="2">
        <f t="shared" si="17"/>
        <v>0</v>
      </c>
      <c r="F140" s="2">
        <f t="shared" si="18"/>
        <v>0</v>
      </c>
      <c r="G140" s="2">
        <f t="shared" si="19"/>
        <v>0</v>
      </c>
      <c r="H140" s="2">
        <f t="shared" si="20"/>
        <v>0</v>
      </c>
      <c r="I140" s="2">
        <f t="shared" si="16"/>
        <v>0</v>
      </c>
      <c r="J140">
        <f>IFERROR(VLOOKUP(B140,'General price list'!C:AI,12,FALSE)*(G140*C140),0)</f>
        <v>0</v>
      </c>
    </row>
    <row r="141" spans="2:10" ht="15" customHeight="1">
      <c r="B141" t="s">
        <v>1045</v>
      </c>
      <c r="C141" s="2">
        <f>IFERROR(VLOOKUP(B141,'Deutsche Markt'!C:AA,24,FALSE),"")</f>
        <v>36</v>
      </c>
      <c r="D141" s="2">
        <f>IFERROR(VLOOKUP(B141,'Deutsche Markt'!C:AA,25,FALSE),0)</f>
        <v>0</v>
      </c>
      <c r="E141" s="2">
        <f t="shared" si="17"/>
        <v>0</v>
      </c>
      <c r="F141" s="2">
        <f t="shared" si="18"/>
        <v>0</v>
      </c>
      <c r="G141" s="2">
        <f t="shared" si="19"/>
        <v>0</v>
      </c>
      <c r="H141" s="2">
        <f t="shared" si="20"/>
        <v>0</v>
      </c>
      <c r="I141" s="2">
        <f t="shared" si="16"/>
        <v>0</v>
      </c>
      <c r="J141">
        <f>IFERROR(VLOOKUP(B141,'General price list'!C:AI,12,FALSE)*(G141*C141),0)</f>
        <v>0</v>
      </c>
    </row>
    <row r="142" spans="2:10" ht="15" customHeight="1">
      <c r="B142" t="s">
        <v>1205</v>
      </c>
      <c r="C142" s="2">
        <f>IFERROR(VLOOKUP(B142,'Deutsche Markt'!C:AA,24,FALSE),"")</f>
        <v>45</v>
      </c>
      <c r="D142" s="2">
        <f>IFERROR(VLOOKUP(B142,'Deutsche Markt'!C:AA,25,FALSE),0)</f>
        <v>0</v>
      </c>
      <c r="E142" s="2">
        <f t="shared" si="17"/>
        <v>0</v>
      </c>
      <c r="F142" s="2">
        <f t="shared" si="18"/>
        <v>0</v>
      </c>
      <c r="G142" s="2">
        <f t="shared" si="19"/>
        <v>0</v>
      </c>
      <c r="H142" s="2">
        <f t="shared" si="20"/>
        <v>0</v>
      </c>
      <c r="I142" s="2">
        <f t="shared" si="16"/>
        <v>0</v>
      </c>
      <c r="J142">
        <f>IFERROR(VLOOKUP(B142,'General price list'!C:AI,12,FALSE)*(G142*C142),0)</f>
        <v>0</v>
      </c>
    </row>
    <row r="143" spans="2:10" ht="15" customHeight="1">
      <c r="B143" t="s">
        <v>1213</v>
      </c>
      <c r="C143" s="2">
        <f>IFERROR(VLOOKUP(B143,'Deutsche Markt'!C:AA,24,FALSE),"")</f>
        <v>45</v>
      </c>
      <c r="D143" s="2">
        <f>IFERROR(VLOOKUP(B143,'Deutsche Markt'!C:AA,25,FALSE),0)</f>
        <v>0</v>
      </c>
      <c r="E143" s="2">
        <f t="shared" si="17"/>
        <v>0</v>
      </c>
      <c r="F143" s="2">
        <f t="shared" si="18"/>
        <v>0</v>
      </c>
      <c r="G143" s="2">
        <f t="shared" si="19"/>
        <v>0</v>
      </c>
      <c r="H143" s="2">
        <f t="shared" si="20"/>
        <v>0</v>
      </c>
      <c r="I143" s="2">
        <f t="shared" si="16"/>
        <v>0</v>
      </c>
      <c r="J143">
        <f>IFERROR(VLOOKUP(B143,'General price list'!C:AI,12,FALSE)*(G143*C143),0)</f>
        <v>0</v>
      </c>
    </row>
    <row r="144" spans="2:10" ht="15" customHeight="1">
      <c r="B144" t="s">
        <v>1204</v>
      </c>
      <c r="C144" s="2" t="str">
        <f>IFERROR(VLOOKUP(B144,'Deutsche Markt'!C:AA,24,FALSE),"")</f>
        <v/>
      </c>
      <c r="D144" s="2">
        <f>IFERROR(VLOOKUP(B144,'Deutsche Markt'!C:AA,25,FALSE),0)</f>
        <v>0</v>
      </c>
      <c r="E144" s="2">
        <f t="shared" si="17"/>
        <v>0</v>
      </c>
      <c r="F144" s="2">
        <f t="shared" si="18"/>
        <v>0</v>
      </c>
      <c r="G144" s="2">
        <f t="shared" si="19"/>
        <v>0</v>
      </c>
      <c r="H144" s="2">
        <f t="shared" si="20"/>
        <v>0</v>
      </c>
      <c r="I144" s="2">
        <f t="shared" si="16"/>
        <v>0</v>
      </c>
      <c r="J144">
        <f>IFERROR(VLOOKUP(B144,'General price list'!C:AI,12,FALSE)*(G144*C144),0)</f>
        <v>0</v>
      </c>
    </row>
    <row r="145" spans="2:10" ht="15" customHeight="1">
      <c r="B145" t="s">
        <v>1207</v>
      </c>
      <c r="C145" s="2">
        <f>IFERROR(VLOOKUP(B145,'Deutsche Markt'!C:AA,24,FALSE),"")</f>
        <v>45</v>
      </c>
      <c r="D145" s="2">
        <f>IFERROR(VLOOKUP(B145,'Deutsche Markt'!C:AA,25,FALSE),0)</f>
        <v>0</v>
      </c>
      <c r="E145" s="2">
        <f t="shared" si="17"/>
        <v>0</v>
      </c>
      <c r="F145" s="2">
        <f t="shared" si="18"/>
        <v>0</v>
      </c>
      <c r="G145" s="2">
        <f t="shared" si="19"/>
        <v>0</v>
      </c>
      <c r="H145" s="2">
        <f t="shared" si="20"/>
        <v>0</v>
      </c>
      <c r="I145" s="2">
        <f t="shared" si="16"/>
        <v>0</v>
      </c>
      <c r="J145">
        <f>IFERROR(VLOOKUP(B145,'General price list'!C:AI,12,FALSE)*(G145*C145),0)</f>
        <v>0</v>
      </c>
    </row>
    <row r="146" spans="2:10" ht="15" customHeight="1">
      <c r="B146" t="s">
        <v>1214</v>
      </c>
      <c r="C146" s="2">
        <f>IFERROR(VLOOKUP(B146,'Deutsche Markt'!C:AA,24,FALSE),"")</f>
        <v>45</v>
      </c>
      <c r="D146" s="2">
        <f>IFERROR(VLOOKUP(B146,'Deutsche Markt'!C:AA,25,FALSE),0)</f>
        <v>0</v>
      </c>
      <c r="E146" s="2">
        <f t="shared" si="17"/>
        <v>0</v>
      </c>
      <c r="F146" s="2">
        <f t="shared" si="18"/>
        <v>0</v>
      </c>
      <c r="G146" s="2">
        <f t="shared" si="19"/>
        <v>0</v>
      </c>
      <c r="H146" s="2">
        <f t="shared" si="20"/>
        <v>0</v>
      </c>
      <c r="I146" s="2">
        <f t="shared" si="16"/>
        <v>0</v>
      </c>
      <c r="J146">
        <f>IFERROR(VLOOKUP(B146,'General price list'!C:AI,12,FALSE)*(G146*C146),0)</f>
        <v>0</v>
      </c>
    </row>
    <row r="147" spans="2:10" ht="15" customHeight="1">
      <c r="B147" t="s">
        <v>1209</v>
      </c>
      <c r="C147" s="2">
        <f>IFERROR(VLOOKUP(B147,'Deutsche Markt'!C:AA,24,FALSE),"")</f>
        <v>45</v>
      </c>
      <c r="D147" s="2">
        <f>IFERROR(VLOOKUP(B147,'Deutsche Markt'!C:AA,25,FALSE),0)</f>
        <v>0</v>
      </c>
      <c r="E147" s="2">
        <f t="shared" si="17"/>
        <v>0</v>
      </c>
      <c r="F147" s="2">
        <f t="shared" si="18"/>
        <v>0</v>
      </c>
      <c r="G147" s="2">
        <f t="shared" si="19"/>
        <v>0</v>
      </c>
      <c r="H147" s="2">
        <f t="shared" si="20"/>
        <v>0</v>
      </c>
      <c r="I147" s="2">
        <f t="shared" si="16"/>
        <v>0</v>
      </c>
      <c r="J147">
        <f>IFERROR(VLOOKUP(B147,'General price list'!C:AI,12,FALSE)*(G147*C147),0)</f>
        <v>0</v>
      </c>
    </row>
    <row r="148" spans="2:10" ht="15" customHeight="1">
      <c r="B148" t="s">
        <v>1215</v>
      </c>
      <c r="C148" s="2">
        <f>IFERROR(VLOOKUP(B148,'Deutsche Markt'!C:AA,24,FALSE),"")</f>
        <v>45</v>
      </c>
      <c r="D148" s="2">
        <f>IFERROR(VLOOKUP(B148,'Deutsche Markt'!C:AA,25,FALSE),0)</f>
        <v>0</v>
      </c>
      <c r="E148" s="2">
        <f t="shared" si="17"/>
        <v>0</v>
      </c>
      <c r="F148" s="2">
        <f t="shared" si="18"/>
        <v>0</v>
      </c>
      <c r="G148" s="2">
        <f t="shared" si="19"/>
        <v>0</v>
      </c>
      <c r="H148" s="2">
        <f t="shared" si="20"/>
        <v>0</v>
      </c>
      <c r="I148" s="2">
        <f t="shared" si="16"/>
        <v>0</v>
      </c>
      <c r="J148">
        <f>IFERROR(VLOOKUP(B148,'General price list'!C:AI,12,FALSE)*(G148*C148),0)</f>
        <v>0</v>
      </c>
    </row>
    <row r="149" spans="2:10" ht="15" customHeight="1">
      <c r="B149" t="s">
        <v>1211</v>
      </c>
      <c r="C149" s="2">
        <f>IFERROR(VLOOKUP(B149,'Deutsche Markt'!C:AA,24,FALSE),"")</f>
        <v>45</v>
      </c>
      <c r="D149" s="2">
        <f>IFERROR(VLOOKUP(B149,'Deutsche Markt'!C:AA,25,FALSE),0)</f>
        <v>0</v>
      </c>
      <c r="E149" s="2">
        <f t="shared" si="17"/>
        <v>0</v>
      </c>
      <c r="F149" s="2">
        <f t="shared" si="18"/>
        <v>0</v>
      </c>
      <c r="G149" s="2">
        <f t="shared" si="19"/>
        <v>0</v>
      </c>
      <c r="H149" s="2">
        <f t="shared" si="20"/>
        <v>0</v>
      </c>
      <c r="I149" s="2">
        <f t="shared" si="16"/>
        <v>0</v>
      </c>
      <c r="J149">
        <f>IFERROR(VLOOKUP(B149,'General price list'!C:AI,12,FALSE)*(G149*C149),0)</f>
        <v>0</v>
      </c>
    </row>
    <row r="150" spans="2:10" ht="15" customHeight="1">
      <c r="B150" t="s">
        <v>1306</v>
      </c>
      <c r="C150" s="2">
        <f>IFERROR(VLOOKUP(B150,'Deutsche Markt'!C:AA,24,FALSE),"")</f>
        <v>32</v>
      </c>
      <c r="D150" s="2">
        <f>IFERROR(VLOOKUP(B150,'Deutsche Markt'!C:AA,25,FALSE),0)</f>
        <v>0</v>
      </c>
      <c r="E150" s="2">
        <f t="shared" si="17"/>
        <v>0</v>
      </c>
      <c r="F150" s="2">
        <f t="shared" si="18"/>
        <v>0</v>
      </c>
      <c r="G150" s="2">
        <f t="shared" si="19"/>
        <v>0</v>
      </c>
      <c r="H150" s="2">
        <f t="shared" si="20"/>
        <v>0</v>
      </c>
      <c r="I150" s="2">
        <f t="shared" si="16"/>
        <v>0</v>
      </c>
      <c r="J150">
        <f>IFERROR(VLOOKUP(B150,'General price list'!C:AI,12,FALSE)*(G150*C150),0)</f>
        <v>0</v>
      </c>
    </row>
    <row r="151" spans="2:10" ht="15" customHeight="1">
      <c r="B151" t="s">
        <v>1316</v>
      </c>
      <c r="C151" s="2">
        <f>IFERROR(VLOOKUP(B151,'Deutsche Markt'!C:AA,24,FALSE),"")</f>
        <v>32</v>
      </c>
      <c r="D151" s="2">
        <f>IFERROR(VLOOKUP(B151,'Deutsche Markt'!C:AA,25,FALSE),0)</f>
        <v>0</v>
      </c>
      <c r="E151" s="2">
        <f t="shared" si="17"/>
        <v>0</v>
      </c>
      <c r="F151" s="2">
        <f t="shared" si="18"/>
        <v>0</v>
      </c>
      <c r="G151" s="2">
        <f t="shared" si="19"/>
        <v>0</v>
      </c>
      <c r="H151" s="2">
        <f t="shared" si="20"/>
        <v>0</v>
      </c>
      <c r="I151" s="2">
        <f t="shared" si="16"/>
        <v>0</v>
      </c>
      <c r="J151">
        <f>IFERROR(VLOOKUP(B151,'General price list'!C:AI,12,FALSE)*(G151*C151),0)</f>
        <v>0</v>
      </c>
    </row>
    <row r="152" spans="2:10" ht="15" customHeight="1">
      <c r="B152" t="s">
        <v>1308</v>
      </c>
      <c r="C152" s="2">
        <f>IFERROR(VLOOKUP(B152,'Deutsche Markt'!C:AA,24,FALSE),"")</f>
        <v>32</v>
      </c>
      <c r="D152" s="2">
        <f>IFERROR(VLOOKUP(B152,'Deutsche Markt'!C:AA,25,FALSE),0)</f>
        <v>0</v>
      </c>
      <c r="E152" s="2">
        <f t="shared" si="17"/>
        <v>0</v>
      </c>
      <c r="F152" s="2">
        <f t="shared" si="18"/>
        <v>0</v>
      </c>
      <c r="G152" s="2">
        <f t="shared" si="19"/>
        <v>0</v>
      </c>
      <c r="H152" s="2">
        <f t="shared" si="20"/>
        <v>0</v>
      </c>
      <c r="I152" s="2">
        <f t="shared" si="16"/>
        <v>0</v>
      </c>
      <c r="J152">
        <f>IFERROR(VLOOKUP(B152,'General price list'!C:AI,12,FALSE)*(G152*C152),0)</f>
        <v>0</v>
      </c>
    </row>
    <row r="153" spans="2:10" ht="15" customHeight="1">
      <c r="B153" t="s">
        <v>1304</v>
      </c>
      <c r="C153" s="2">
        <f>IFERROR(VLOOKUP(B153,'Deutsche Markt'!C:AA,24,FALSE),"")</f>
        <v>32</v>
      </c>
      <c r="D153" s="2">
        <f>IFERROR(VLOOKUP(B153,'Deutsche Markt'!C:AA,25,FALSE),0)</f>
        <v>0</v>
      </c>
      <c r="E153" s="2">
        <f t="shared" si="17"/>
        <v>0</v>
      </c>
      <c r="F153" s="2">
        <f t="shared" si="18"/>
        <v>0</v>
      </c>
      <c r="G153" s="2">
        <f t="shared" si="19"/>
        <v>0</v>
      </c>
      <c r="H153" s="2">
        <f t="shared" si="20"/>
        <v>0</v>
      </c>
      <c r="I153" s="2">
        <f t="shared" si="16"/>
        <v>0</v>
      </c>
      <c r="J153">
        <f>IFERROR(VLOOKUP(B153,'General price list'!C:AI,12,FALSE)*(G153*C153),0)</f>
        <v>0</v>
      </c>
    </row>
    <row r="154" spans="2:10" ht="15" customHeight="1">
      <c r="B154" t="s">
        <v>1318</v>
      </c>
      <c r="C154" s="2">
        <f>IFERROR(VLOOKUP(B154,'Deutsche Markt'!C:AA,24,FALSE),"")</f>
        <v>32</v>
      </c>
      <c r="D154" s="2">
        <f>IFERROR(VLOOKUP(B154,'Deutsche Markt'!C:AA,25,FALSE),0)</f>
        <v>0</v>
      </c>
      <c r="E154" s="2">
        <f t="shared" si="17"/>
        <v>0</v>
      </c>
      <c r="F154" s="2">
        <f t="shared" si="18"/>
        <v>0</v>
      </c>
      <c r="G154" s="2">
        <f t="shared" si="19"/>
        <v>0</v>
      </c>
      <c r="H154" s="2">
        <f t="shared" si="20"/>
        <v>0</v>
      </c>
      <c r="I154" s="2">
        <f t="shared" si="16"/>
        <v>0</v>
      </c>
      <c r="J154">
        <f>IFERROR(VLOOKUP(B154,'General price list'!C:AI,12,FALSE)*(G154*C154),0)</f>
        <v>0</v>
      </c>
    </row>
    <row r="155" spans="2:10" ht="15" customHeight="1">
      <c r="B155" t="s">
        <v>1323</v>
      </c>
      <c r="C155" s="2">
        <f>IFERROR(VLOOKUP(B155,'Deutsche Markt'!C:AA,24,FALSE),"")</f>
        <v>32</v>
      </c>
      <c r="D155" s="2">
        <f>IFERROR(VLOOKUP(B155,'Deutsche Markt'!C:AA,25,FALSE),0)</f>
        <v>0</v>
      </c>
      <c r="E155" s="2">
        <f t="shared" si="17"/>
        <v>0</v>
      </c>
      <c r="F155" s="2">
        <f t="shared" si="18"/>
        <v>0</v>
      </c>
      <c r="G155" s="2">
        <f t="shared" si="19"/>
        <v>0</v>
      </c>
      <c r="H155" s="2">
        <f t="shared" si="20"/>
        <v>0</v>
      </c>
      <c r="I155" s="2">
        <f t="shared" si="16"/>
        <v>0</v>
      </c>
      <c r="J155">
        <f>IFERROR(VLOOKUP(B155,'General price list'!C:AI,12,FALSE)*(G155*C155),0)</f>
        <v>0</v>
      </c>
    </row>
    <row r="156" spans="2:10" ht="15" customHeight="1">
      <c r="B156" t="s">
        <v>1311</v>
      </c>
      <c r="C156" s="2">
        <f>IFERROR(VLOOKUP(B156,'Deutsche Markt'!C:AA,24,FALSE),"")</f>
        <v>32</v>
      </c>
      <c r="D156" s="2">
        <f>IFERROR(VLOOKUP(B156,'Deutsche Markt'!C:AA,25,FALSE),0)</f>
        <v>0</v>
      </c>
      <c r="E156" s="2">
        <f t="shared" si="17"/>
        <v>0</v>
      </c>
      <c r="F156" s="2">
        <f t="shared" si="18"/>
        <v>0</v>
      </c>
      <c r="G156" s="2">
        <f t="shared" si="19"/>
        <v>0</v>
      </c>
      <c r="H156" s="2">
        <f t="shared" si="20"/>
        <v>0</v>
      </c>
      <c r="I156" s="2">
        <f t="shared" si="16"/>
        <v>0</v>
      </c>
      <c r="J156">
        <f>IFERROR(VLOOKUP(B156,'General price list'!C:AI,12,FALSE)*(G156*C156),0)</f>
        <v>0</v>
      </c>
    </row>
    <row r="157" spans="2:10" ht="15" customHeight="1">
      <c r="B157" t="s">
        <v>1305</v>
      </c>
      <c r="C157" s="2">
        <f>IFERROR(VLOOKUP(B157,'Deutsche Markt'!C:AA,24,FALSE),"")</f>
        <v>32</v>
      </c>
      <c r="D157" s="2">
        <f>IFERROR(VLOOKUP(B157,'Deutsche Markt'!C:AA,25,FALSE),0)</f>
        <v>0</v>
      </c>
      <c r="E157" s="2">
        <f t="shared" si="17"/>
        <v>0</v>
      </c>
      <c r="F157" s="2">
        <f t="shared" si="18"/>
        <v>0</v>
      </c>
      <c r="G157" s="2">
        <f t="shared" si="19"/>
        <v>0</v>
      </c>
      <c r="H157" s="2">
        <f t="shared" si="20"/>
        <v>0</v>
      </c>
      <c r="I157" s="2">
        <f t="shared" si="16"/>
        <v>0</v>
      </c>
      <c r="J157">
        <f>IFERROR(VLOOKUP(B157,'General price list'!C:AI,12,FALSE)*(G157*C157),0)</f>
        <v>0</v>
      </c>
    </row>
    <row r="158" spans="2:10" ht="15" customHeight="1">
      <c r="B158" t="s">
        <v>1481</v>
      </c>
      <c r="C158" s="2" t="str">
        <f>IFERROR(VLOOKUP(B158,'Deutsche Markt'!C:AA,24,FALSE),"")</f>
        <v/>
      </c>
      <c r="D158" s="2">
        <f>IFERROR(VLOOKUP(B158,'Deutsche Markt'!C:AA,25,FALSE),0)</f>
        <v>0</v>
      </c>
      <c r="E158" s="2">
        <f t="shared" si="17"/>
        <v>0</v>
      </c>
      <c r="F158" s="2">
        <f t="shared" si="18"/>
        <v>0</v>
      </c>
      <c r="G158" s="2">
        <f t="shared" si="19"/>
        <v>0</v>
      </c>
      <c r="H158" s="2">
        <f t="shared" si="20"/>
        <v>0</v>
      </c>
      <c r="I158" s="2">
        <f t="shared" si="16"/>
        <v>0</v>
      </c>
      <c r="J158">
        <f>IFERROR(VLOOKUP(B158,'General price list'!C:AI,12,FALSE)*(G158*C158),0)</f>
        <v>0</v>
      </c>
    </row>
    <row r="159" spans="2:10" ht="15" customHeight="1">
      <c r="B159" t="s">
        <v>1482</v>
      </c>
      <c r="C159" s="2" t="str">
        <f>IFERROR(VLOOKUP(B159,'Deutsche Markt'!C:AA,24,FALSE),"")</f>
        <v/>
      </c>
      <c r="D159" s="2">
        <f>IFERROR(VLOOKUP(B159,'Deutsche Markt'!C:AA,25,FALSE),0)</f>
        <v>0</v>
      </c>
      <c r="E159" s="2">
        <f t="shared" si="17"/>
        <v>0</v>
      </c>
      <c r="F159" s="2">
        <f t="shared" si="18"/>
        <v>0</v>
      </c>
      <c r="G159" s="2">
        <f t="shared" si="19"/>
        <v>0</v>
      </c>
      <c r="H159" s="2">
        <f t="shared" si="20"/>
        <v>0</v>
      </c>
      <c r="I159" s="2">
        <f t="shared" si="16"/>
        <v>0</v>
      </c>
      <c r="J159">
        <f>IFERROR(VLOOKUP(B159,'General price list'!C:AI,12,FALSE)*(G159*C159),0)</f>
        <v>0</v>
      </c>
    </row>
    <row r="160" spans="2:10" ht="15" customHeight="1">
      <c r="B160" t="s">
        <v>2163</v>
      </c>
      <c r="C160" s="2" t="str">
        <f>IFERROR(VLOOKUP(B160,'Deutsche Markt'!C:AA,24,FALSE),"")</f>
        <v/>
      </c>
      <c r="D160" s="2">
        <f>IFERROR(VLOOKUP(B160,'Deutsche Markt'!C:AA,25,FALSE),0)</f>
        <v>0</v>
      </c>
      <c r="E160" s="2">
        <f t="shared" si="17"/>
        <v>0</v>
      </c>
      <c r="F160" s="2">
        <f t="shared" si="18"/>
        <v>0</v>
      </c>
      <c r="G160" s="2">
        <f t="shared" si="19"/>
        <v>0</v>
      </c>
      <c r="H160" s="2">
        <f t="shared" si="20"/>
        <v>0</v>
      </c>
      <c r="I160" s="2">
        <f t="shared" si="16"/>
        <v>0</v>
      </c>
      <c r="J160">
        <f>IFERROR(VLOOKUP(B160,'General price list'!C:AI,12,FALSE)*(G160*C160),0)</f>
        <v>0</v>
      </c>
    </row>
    <row r="161" spans="2:10" ht="15" customHeight="1">
      <c r="B161" t="s">
        <v>1553</v>
      </c>
      <c r="C161" s="2" t="str">
        <f>IFERROR(VLOOKUP(B161,'Deutsche Markt'!C:AA,24,FALSE),"")</f>
        <v/>
      </c>
      <c r="D161" s="2">
        <f>IFERROR(VLOOKUP(B161,'Deutsche Markt'!C:AA,25,FALSE),0)</f>
        <v>0</v>
      </c>
      <c r="E161" s="2">
        <f t="shared" si="17"/>
        <v>0</v>
      </c>
      <c r="F161" s="2">
        <f t="shared" si="18"/>
        <v>0</v>
      </c>
      <c r="G161" s="2">
        <f t="shared" si="19"/>
        <v>0</v>
      </c>
      <c r="H161" s="2">
        <f t="shared" si="20"/>
        <v>0</v>
      </c>
      <c r="I161" s="2">
        <f t="shared" si="16"/>
        <v>0</v>
      </c>
      <c r="J161">
        <f>IFERROR(VLOOKUP(B161,'General price list'!C:AI,12,FALSE)*(G161*C161),0)</f>
        <v>0</v>
      </c>
    </row>
    <row r="162" spans="2:10" ht="15" customHeight="1">
      <c r="B162" t="s">
        <v>5297</v>
      </c>
      <c r="C162" s="2" t="str">
        <f>IFERROR(VLOOKUP(B162,'Deutsche Markt'!C:AA,24,FALSE),"")</f>
        <v/>
      </c>
      <c r="D162" s="2">
        <f>IFERROR(VLOOKUP(B162,'Deutsche Markt'!C:AA,25,FALSE),0)</f>
        <v>0</v>
      </c>
      <c r="E162" s="2">
        <f t="shared" si="17"/>
        <v>0</v>
      </c>
      <c r="F162" s="2">
        <f t="shared" si="18"/>
        <v>0</v>
      </c>
      <c r="G162" s="2">
        <f t="shared" si="19"/>
        <v>0</v>
      </c>
      <c r="H162" s="2">
        <f t="shared" si="20"/>
        <v>0</v>
      </c>
      <c r="I162" s="2">
        <f t="shared" si="16"/>
        <v>0</v>
      </c>
      <c r="J162">
        <f>IFERROR(VLOOKUP(B162,'General price list'!C:AI,12,FALSE)*(G162*C162),0)</f>
        <v>0</v>
      </c>
    </row>
    <row r="163" spans="2:10" ht="15" customHeight="1">
      <c r="B163" t="s">
        <v>1554</v>
      </c>
      <c r="C163" s="2" t="str">
        <f>IFERROR(VLOOKUP(B163,'Deutsche Markt'!C:AA,24,FALSE),"")</f>
        <v/>
      </c>
      <c r="D163" s="2">
        <f>IFERROR(VLOOKUP(B163,'Deutsche Markt'!C:AA,25,FALSE),0)</f>
        <v>0</v>
      </c>
      <c r="E163" s="2">
        <f t="shared" si="17"/>
        <v>0</v>
      </c>
      <c r="F163" s="2">
        <f t="shared" si="18"/>
        <v>0</v>
      </c>
      <c r="G163" s="2">
        <f t="shared" si="19"/>
        <v>0</v>
      </c>
      <c r="H163" s="2">
        <f t="shared" si="20"/>
        <v>0</v>
      </c>
      <c r="I163" s="2">
        <f t="shared" si="16"/>
        <v>0</v>
      </c>
      <c r="J163">
        <f>IFERROR(VLOOKUP(B163,'General price list'!C:AI,12,FALSE)*(G163*C163),0)</f>
        <v>0</v>
      </c>
    </row>
    <row r="164" spans="2:10" ht="15" customHeight="1">
      <c r="B164" t="s">
        <v>2441</v>
      </c>
      <c r="C164" s="2" t="str">
        <f>IFERROR(VLOOKUP(B164,'Deutsche Markt'!C:AA,24,FALSE),"")</f>
        <v/>
      </c>
      <c r="D164" s="2">
        <f>IFERROR(VLOOKUP(B164,'Deutsche Markt'!C:AA,25,FALSE),0)</f>
        <v>0</v>
      </c>
      <c r="E164" s="2">
        <f t="shared" si="17"/>
        <v>0</v>
      </c>
      <c r="F164" s="2">
        <f t="shared" si="18"/>
        <v>0</v>
      </c>
      <c r="G164" s="2">
        <f t="shared" si="19"/>
        <v>0</v>
      </c>
      <c r="H164" s="2">
        <f t="shared" si="20"/>
        <v>0</v>
      </c>
      <c r="I164" s="2">
        <f t="shared" si="16"/>
        <v>0</v>
      </c>
      <c r="J164">
        <f>IFERROR(VLOOKUP(B164,'General price list'!C:AI,12,FALSE)*(G164*C164),0)</f>
        <v>0</v>
      </c>
    </row>
    <row r="165" spans="2:10" ht="15" customHeight="1">
      <c r="B165" t="s">
        <v>1297</v>
      </c>
      <c r="C165" s="2" t="str">
        <f>IFERROR(VLOOKUP(B165,'Deutsche Markt'!C:AA,24,FALSE),"")</f>
        <v/>
      </c>
      <c r="D165" s="2">
        <f>IFERROR(VLOOKUP(B165,'Deutsche Markt'!C:AA,25,FALSE),0)</f>
        <v>0</v>
      </c>
      <c r="E165" s="2">
        <f t="shared" si="17"/>
        <v>0</v>
      </c>
      <c r="F165" s="2">
        <f t="shared" si="18"/>
        <v>0</v>
      </c>
      <c r="G165" s="2">
        <f t="shared" si="19"/>
        <v>0</v>
      </c>
      <c r="H165" s="2">
        <f t="shared" si="20"/>
        <v>0</v>
      </c>
      <c r="I165" s="2">
        <f t="shared" si="16"/>
        <v>0</v>
      </c>
      <c r="J165">
        <f>IFERROR(VLOOKUP(B165,'General price list'!C:AI,12,FALSE)*(G165*C165),0)</f>
        <v>0</v>
      </c>
    </row>
    <row r="166" spans="2:10" ht="15" customHeight="1">
      <c r="B166" t="s">
        <v>5077</v>
      </c>
      <c r="C166" s="2" t="str">
        <f>IFERROR(VLOOKUP(B166,'Deutsche Markt'!C:AA,24,FALSE),"")</f>
        <v/>
      </c>
      <c r="D166" s="2">
        <f>IFERROR(VLOOKUP(B166,'Deutsche Markt'!C:AA,25,FALSE),0)</f>
        <v>0</v>
      </c>
      <c r="E166" s="2">
        <f t="shared" si="17"/>
        <v>0</v>
      </c>
      <c r="F166" s="2">
        <f t="shared" si="18"/>
        <v>0</v>
      </c>
      <c r="G166" s="2">
        <f t="shared" si="19"/>
        <v>0</v>
      </c>
      <c r="H166" s="2">
        <f t="shared" si="20"/>
        <v>0</v>
      </c>
      <c r="I166" s="2">
        <f t="shared" si="16"/>
        <v>0</v>
      </c>
      <c r="J166">
        <f>IFERROR(VLOOKUP(B166,'General price list'!C:AI,12,FALSE)*(G166*C166),0)</f>
        <v>0</v>
      </c>
    </row>
    <row r="167" spans="2:10" ht="15" customHeight="1">
      <c r="B167" t="s">
        <v>1196</v>
      </c>
      <c r="C167" s="2" t="str">
        <f>IFERROR(VLOOKUP(B167,'Deutsche Markt'!C:AA,24,FALSE),"")</f>
        <v/>
      </c>
      <c r="D167" s="2">
        <f>IFERROR(VLOOKUP(B167,'Deutsche Markt'!C:AA,25,FALSE),0)</f>
        <v>0</v>
      </c>
      <c r="E167" s="2">
        <f t="shared" si="17"/>
        <v>0</v>
      </c>
      <c r="F167" s="2">
        <f t="shared" si="18"/>
        <v>0</v>
      </c>
      <c r="G167" s="2">
        <f t="shared" si="19"/>
        <v>0</v>
      </c>
      <c r="H167" s="2">
        <f t="shared" si="20"/>
        <v>0</v>
      </c>
      <c r="I167" s="2">
        <f t="shared" si="16"/>
        <v>0</v>
      </c>
      <c r="J167">
        <f>IFERROR(VLOOKUP(B167,'General price list'!C:AI,12,FALSE)*(G167*C167),0)</f>
        <v>0</v>
      </c>
    </row>
    <row r="168" spans="2:10" ht="15" customHeight="1">
      <c r="B168" t="s">
        <v>2503</v>
      </c>
      <c r="C168" s="2" t="str">
        <f>IFERROR(VLOOKUP(B168,'Deutsche Markt'!C:AA,24,FALSE),"")</f>
        <v/>
      </c>
      <c r="D168" s="2">
        <f>IFERROR(VLOOKUP(B168,'Deutsche Markt'!C:AA,25,FALSE),0)</f>
        <v>0</v>
      </c>
      <c r="E168" s="2">
        <f t="shared" si="17"/>
        <v>0</v>
      </c>
      <c r="F168" s="2">
        <f t="shared" si="18"/>
        <v>0</v>
      </c>
      <c r="G168" s="2">
        <f t="shared" si="19"/>
        <v>0</v>
      </c>
      <c r="H168" s="2">
        <f t="shared" si="20"/>
        <v>0</v>
      </c>
      <c r="I168" s="2">
        <f t="shared" si="16"/>
        <v>0</v>
      </c>
      <c r="J168">
        <f>IFERROR(VLOOKUP(B168,'General price list'!C:AI,12,FALSE)*(G168*C168),0)</f>
        <v>0</v>
      </c>
    </row>
    <row r="169" spans="2:10" ht="15" customHeight="1">
      <c r="B169" t="s">
        <v>1563</v>
      </c>
      <c r="C169" s="2" t="str">
        <f>IFERROR(VLOOKUP(B169,'Deutsche Markt'!C:AA,24,FALSE),"")</f>
        <v/>
      </c>
      <c r="D169" s="2">
        <f>IFERROR(VLOOKUP(B169,'Deutsche Markt'!C:AA,25,FALSE),0)</f>
        <v>0</v>
      </c>
      <c r="E169" s="2">
        <f t="shared" si="17"/>
        <v>0</v>
      </c>
      <c r="F169" s="2">
        <f t="shared" si="18"/>
        <v>0</v>
      </c>
      <c r="G169" s="2">
        <f t="shared" si="19"/>
        <v>0</v>
      </c>
      <c r="H169" s="2">
        <f t="shared" si="20"/>
        <v>0</v>
      </c>
      <c r="I169" s="2">
        <f t="shared" si="16"/>
        <v>0</v>
      </c>
      <c r="J169">
        <f>IFERROR(VLOOKUP(B169,'General price list'!C:AI,12,FALSE)*(G169*C169),0)</f>
        <v>0</v>
      </c>
    </row>
    <row r="170" spans="2:10" ht="15" customHeight="1">
      <c r="B170" t="s">
        <v>1184</v>
      </c>
      <c r="C170" s="2" t="str">
        <f>IFERROR(VLOOKUP(B170,'Deutsche Markt'!C:AA,24,FALSE),"")</f>
        <v/>
      </c>
      <c r="D170" s="2">
        <f>IFERROR(VLOOKUP(B170,'Deutsche Markt'!C:AA,25,FALSE),0)</f>
        <v>0</v>
      </c>
      <c r="E170" s="2">
        <f t="shared" si="17"/>
        <v>0</v>
      </c>
      <c r="F170" s="2">
        <f t="shared" si="18"/>
        <v>0</v>
      </c>
      <c r="G170" s="2">
        <f t="shared" si="19"/>
        <v>0</v>
      </c>
      <c r="H170" s="2">
        <f t="shared" si="20"/>
        <v>0</v>
      </c>
      <c r="I170" s="2">
        <f t="shared" si="16"/>
        <v>0</v>
      </c>
      <c r="J170">
        <f>IFERROR(VLOOKUP(B170,'General price list'!C:AI,12,FALSE)*(G170*C170),0)</f>
        <v>0</v>
      </c>
    </row>
    <row r="171" spans="2:10" ht="15" customHeight="1">
      <c r="B171" t="s">
        <v>2499</v>
      </c>
      <c r="C171" s="2" t="str">
        <f>IFERROR(VLOOKUP(B171,'Deutsche Markt'!C:AA,24,FALSE),"")</f>
        <v/>
      </c>
      <c r="D171" s="2">
        <f>IFERROR(VLOOKUP(B171,'Deutsche Markt'!C:AA,25,FALSE),0)</f>
        <v>0</v>
      </c>
      <c r="E171" s="2">
        <f t="shared" si="17"/>
        <v>0</v>
      </c>
      <c r="F171" s="2">
        <f t="shared" si="18"/>
        <v>0</v>
      </c>
      <c r="G171" s="2">
        <f t="shared" si="19"/>
        <v>0</v>
      </c>
      <c r="H171" s="2">
        <f t="shared" si="20"/>
        <v>0</v>
      </c>
      <c r="I171" s="2">
        <f t="shared" si="16"/>
        <v>0</v>
      </c>
      <c r="J171">
        <f>IFERROR(VLOOKUP(B171,'General price list'!C:AI,12,FALSE)*(G171*C171),0)</f>
        <v>0</v>
      </c>
    </row>
    <row r="172" spans="2:10" ht="15" customHeight="1">
      <c r="B172" t="s">
        <v>1169</v>
      </c>
      <c r="C172" s="2">
        <f>IFERROR(VLOOKUP(B172,'Deutsche Markt'!C:AA,24,FALSE),"")</f>
        <v>66</v>
      </c>
      <c r="D172" s="2">
        <f>IFERROR(VLOOKUP(B172,'Deutsche Markt'!C:AA,25,FALSE),0)</f>
        <v>0</v>
      </c>
      <c r="E172" s="2">
        <f t="shared" si="17"/>
        <v>0</v>
      </c>
      <c r="F172" s="2">
        <f t="shared" si="18"/>
        <v>0</v>
      </c>
      <c r="G172" s="2">
        <f t="shared" si="19"/>
        <v>0</v>
      </c>
      <c r="H172" s="2">
        <f t="shared" si="20"/>
        <v>0</v>
      </c>
      <c r="I172" s="2">
        <f t="shared" si="16"/>
        <v>0</v>
      </c>
      <c r="J172">
        <f>IFERROR(VLOOKUP(B172,'General price list'!C:AI,12,FALSE)*(G172*C172),0)</f>
        <v>0</v>
      </c>
    </row>
    <row r="173" spans="2:10" ht="15" customHeight="1">
      <c r="B173" t="s">
        <v>4969</v>
      </c>
      <c r="C173" s="2" t="str">
        <f>IFERROR(VLOOKUP(B173,'Deutsche Markt'!C:AA,24,FALSE),"")</f>
        <v/>
      </c>
      <c r="D173" s="2">
        <f>IFERROR(VLOOKUP(B173,'Deutsche Markt'!C:AA,25,FALSE),0)</f>
        <v>0</v>
      </c>
      <c r="E173" s="2">
        <f t="shared" si="17"/>
        <v>0</v>
      </c>
      <c r="F173" s="2">
        <f t="shared" si="18"/>
        <v>0</v>
      </c>
      <c r="G173" s="2">
        <f t="shared" si="19"/>
        <v>0</v>
      </c>
      <c r="H173" s="2">
        <f t="shared" si="20"/>
        <v>0</v>
      </c>
      <c r="I173" s="2">
        <f t="shared" si="16"/>
        <v>0</v>
      </c>
      <c r="J173">
        <f>IFERROR(VLOOKUP(B173,'General price list'!C:AI,12,FALSE)*(G173*C173),0)</f>
        <v>0</v>
      </c>
    </row>
    <row r="174" spans="2:10" ht="15" customHeight="1">
      <c r="B174" t="s">
        <v>1281</v>
      </c>
      <c r="C174" s="2">
        <f>IFERROR(VLOOKUP(B174,'Deutsche Markt'!C:AA,24,FALSE),"")</f>
        <v>20</v>
      </c>
      <c r="D174" s="2">
        <f>IFERROR(VLOOKUP(B174,'Deutsche Markt'!C:AA,25,FALSE),0)</f>
        <v>0</v>
      </c>
      <c r="E174" s="2">
        <f t="shared" si="17"/>
        <v>0</v>
      </c>
      <c r="F174" s="2">
        <f t="shared" si="18"/>
        <v>0</v>
      </c>
      <c r="G174" s="2">
        <f t="shared" si="19"/>
        <v>0</v>
      </c>
      <c r="H174" s="2">
        <f t="shared" si="20"/>
        <v>0</v>
      </c>
      <c r="I174" s="2">
        <f t="shared" si="16"/>
        <v>0</v>
      </c>
      <c r="J174">
        <f>IFERROR(VLOOKUP(B174,'General price list'!C:AI,12,FALSE)*(G174*C174),0)</f>
        <v>0</v>
      </c>
    </row>
    <row r="175" spans="2:10" ht="15" customHeight="1">
      <c r="B175" t="s">
        <v>2512</v>
      </c>
      <c r="C175" s="2" t="str">
        <f>IFERROR(VLOOKUP(B175,'Deutsche Markt'!C:AA,24,FALSE),"")</f>
        <v/>
      </c>
      <c r="D175" s="2">
        <f>IFERROR(VLOOKUP(B175,'Deutsche Markt'!C:AA,25,FALSE),0)</f>
        <v>0</v>
      </c>
      <c r="E175" s="2">
        <f t="shared" si="17"/>
        <v>0</v>
      </c>
      <c r="F175" s="2">
        <f t="shared" si="18"/>
        <v>0</v>
      </c>
      <c r="G175" s="2">
        <f t="shared" si="19"/>
        <v>0</v>
      </c>
      <c r="H175" s="2">
        <f t="shared" si="20"/>
        <v>0</v>
      </c>
      <c r="I175" s="2">
        <f t="shared" si="16"/>
        <v>0</v>
      </c>
      <c r="J175">
        <f>IFERROR(VLOOKUP(B175,'General price list'!C:AI,12,FALSE)*(G175*C175),0)</f>
        <v>0</v>
      </c>
    </row>
    <row r="176" spans="2:10" ht="15" customHeight="1">
      <c r="B176" t="s">
        <v>11772</v>
      </c>
      <c r="C176" s="2" t="str">
        <f>IFERROR(VLOOKUP(B176,'Deutsche Markt'!C:AA,24,FALSE),"")</f>
        <v/>
      </c>
      <c r="D176" s="2">
        <f>IFERROR(VLOOKUP(B176,'Deutsche Markt'!C:AA,25,FALSE),0)</f>
        <v>0</v>
      </c>
      <c r="E176" s="2">
        <f t="shared" si="17"/>
        <v>0</v>
      </c>
      <c r="F176" s="2">
        <f t="shared" si="18"/>
        <v>0</v>
      </c>
      <c r="G176" s="2">
        <f t="shared" si="19"/>
        <v>0</v>
      </c>
      <c r="H176" s="2">
        <f t="shared" si="20"/>
        <v>0</v>
      </c>
      <c r="I176" s="2">
        <f t="shared" si="16"/>
        <v>0</v>
      </c>
      <c r="J176">
        <f>IFERROR(VLOOKUP(B176,'General price list'!C:AI,12,FALSE)*(G176*C176),0)</f>
        <v>0</v>
      </c>
    </row>
    <row r="177" spans="2:10" ht="15" customHeight="1">
      <c r="B177" t="s">
        <v>1329</v>
      </c>
      <c r="C177" s="2">
        <f>IFERROR(VLOOKUP(B177,'Deutsche Markt'!C:AA,24,FALSE),"")</f>
        <v>24</v>
      </c>
      <c r="D177" s="2">
        <f>IFERROR(VLOOKUP(B177,'Deutsche Markt'!C:AA,25,FALSE),0)</f>
        <v>0</v>
      </c>
      <c r="E177" s="2">
        <f t="shared" si="17"/>
        <v>0</v>
      </c>
      <c r="F177" s="2">
        <f t="shared" si="18"/>
        <v>0</v>
      </c>
      <c r="G177" s="2">
        <f t="shared" si="19"/>
        <v>0</v>
      </c>
      <c r="H177" s="2">
        <f t="shared" si="20"/>
        <v>0</v>
      </c>
      <c r="I177" s="2">
        <f t="shared" si="16"/>
        <v>0</v>
      </c>
      <c r="J177">
        <f>IFERROR(VLOOKUP(B177,'General price list'!C:AI,12,FALSE)*(G177*C177),0)</f>
        <v>0</v>
      </c>
    </row>
    <row r="178" spans="2:10" ht="15" customHeight="1">
      <c r="B178" t="s">
        <v>1330</v>
      </c>
      <c r="C178" s="2">
        <f>IFERROR(VLOOKUP(B178,'Deutsche Markt'!C:AA,24,FALSE),"")</f>
        <v>24</v>
      </c>
      <c r="D178" s="2">
        <f>IFERROR(VLOOKUP(B178,'Deutsche Markt'!C:AA,25,FALSE),0)</f>
        <v>0</v>
      </c>
      <c r="E178" s="2">
        <f t="shared" si="17"/>
        <v>0</v>
      </c>
      <c r="F178" s="2">
        <f t="shared" si="18"/>
        <v>0</v>
      </c>
      <c r="G178" s="2">
        <f t="shared" si="19"/>
        <v>0</v>
      </c>
      <c r="H178" s="2">
        <f t="shared" si="20"/>
        <v>0</v>
      </c>
      <c r="I178" s="2">
        <f t="shared" si="16"/>
        <v>0</v>
      </c>
      <c r="J178">
        <f>IFERROR(VLOOKUP(B178,'General price list'!C:AI,12,FALSE)*(G178*C178),0)</f>
        <v>0</v>
      </c>
    </row>
    <row r="179" spans="2:10" ht="15" customHeight="1">
      <c r="B179" t="s">
        <v>1332</v>
      </c>
      <c r="C179" s="2">
        <f>IFERROR(VLOOKUP(B179,'Deutsche Markt'!C:AA,24,FALSE),"")</f>
        <v>24</v>
      </c>
      <c r="D179" s="2">
        <f>IFERROR(VLOOKUP(B179,'Deutsche Markt'!C:AA,25,FALSE),0)</f>
        <v>0</v>
      </c>
      <c r="E179" s="2">
        <f t="shared" si="17"/>
        <v>0</v>
      </c>
      <c r="F179" s="2">
        <f t="shared" si="18"/>
        <v>0</v>
      </c>
      <c r="G179" s="2">
        <f t="shared" si="19"/>
        <v>0</v>
      </c>
      <c r="H179" s="2">
        <f t="shared" si="20"/>
        <v>0</v>
      </c>
      <c r="I179" s="2">
        <f t="shared" si="16"/>
        <v>0</v>
      </c>
      <c r="J179">
        <f>IFERROR(VLOOKUP(B179,'General price list'!C:AI,12,FALSE)*(G179*C179),0)</f>
        <v>0</v>
      </c>
    </row>
    <row r="180" spans="2:10" ht="15" customHeight="1">
      <c r="B180" t="s">
        <v>1336</v>
      </c>
      <c r="C180" s="2">
        <f>IFERROR(VLOOKUP(B180,'Deutsche Markt'!C:AA,24,FALSE),"")</f>
        <v>24</v>
      </c>
      <c r="D180" s="2">
        <f>IFERROR(VLOOKUP(B180,'Deutsche Markt'!C:AA,25,FALSE),0)</f>
        <v>0</v>
      </c>
      <c r="E180" s="2">
        <f t="shared" si="17"/>
        <v>0</v>
      </c>
      <c r="F180" s="2">
        <f t="shared" si="18"/>
        <v>0</v>
      </c>
      <c r="G180" s="2">
        <f t="shared" si="19"/>
        <v>0</v>
      </c>
      <c r="H180" s="2">
        <f t="shared" si="20"/>
        <v>0</v>
      </c>
      <c r="I180" s="2">
        <f t="shared" si="16"/>
        <v>0</v>
      </c>
      <c r="J180">
        <f>IFERROR(VLOOKUP(B180,'General price list'!C:AI,12,FALSE)*(G180*C180),0)</f>
        <v>0</v>
      </c>
    </row>
    <row r="181" spans="2:10" ht="15" customHeight="1">
      <c r="B181" t="s">
        <v>1341</v>
      </c>
      <c r="C181" s="2">
        <f>IFERROR(VLOOKUP(B181,'Deutsche Markt'!C:AA,24,FALSE),"")</f>
        <v>24</v>
      </c>
      <c r="D181" s="2">
        <f>IFERROR(VLOOKUP(B181,'Deutsche Markt'!C:AA,25,FALSE),0)</f>
        <v>0</v>
      </c>
      <c r="E181" s="2">
        <f t="shared" si="17"/>
        <v>0</v>
      </c>
      <c r="F181" s="2">
        <f t="shared" si="18"/>
        <v>0</v>
      </c>
      <c r="G181" s="2">
        <f t="shared" si="19"/>
        <v>0</v>
      </c>
      <c r="H181" s="2">
        <f t="shared" si="20"/>
        <v>0</v>
      </c>
      <c r="I181" s="2">
        <f t="shared" si="16"/>
        <v>0</v>
      </c>
      <c r="J181">
        <f>IFERROR(VLOOKUP(B181,'General price list'!C:AI,12,FALSE)*(G181*C181),0)</f>
        <v>0</v>
      </c>
    </row>
    <row r="182" spans="2:10" ht="15" customHeight="1">
      <c r="B182" t="s">
        <v>1346</v>
      </c>
      <c r="C182" s="2" t="str">
        <f>IFERROR(VLOOKUP(B182,'Deutsche Markt'!C:AA,24,FALSE),"")</f>
        <v/>
      </c>
      <c r="D182" s="2">
        <f>IFERROR(VLOOKUP(B182,'Deutsche Markt'!C:AA,25,FALSE),0)</f>
        <v>0</v>
      </c>
      <c r="E182" s="2">
        <f t="shared" si="17"/>
        <v>0</v>
      </c>
      <c r="F182" s="2">
        <f t="shared" si="18"/>
        <v>0</v>
      </c>
      <c r="G182" s="2">
        <f t="shared" si="19"/>
        <v>0</v>
      </c>
      <c r="H182" s="2">
        <f t="shared" si="20"/>
        <v>0</v>
      </c>
      <c r="I182" s="2">
        <f t="shared" si="16"/>
        <v>0</v>
      </c>
      <c r="J182">
        <f>IFERROR(VLOOKUP(B182,'General price list'!C:AI,12,FALSE)*(G182*C182),0)</f>
        <v>0</v>
      </c>
    </row>
    <row r="183" spans="2:10" ht="15" customHeight="1">
      <c r="B183" t="s">
        <v>1334</v>
      </c>
      <c r="C183" s="2">
        <f>IFERROR(VLOOKUP(B183,'Deutsche Markt'!C:AA,24,FALSE),"")</f>
        <v>24</v>
      </c>
      <c r="D183" s="2">
        <f>IFERROR(VLOOKUP(B183,'Deutsche Markt'!C:AA,25,FALSE),0)</f>
        <v>0</v>
      </c>
      <c r="E183" s="2">
        <f t="shared" si="17"/>
        <v>0</v>
      </c>
      <c r="F183" s="2">
        <f t="shared" si="18"/>
        <v>0</v>
      </c>
      <c r="G183" s="2">
        <f t="shared" si="19"/>
        <v>0</v>
      </c>
      <c r="H183" s="2">
        <f t="shared" si="20"/>
        <v>0</v>
      </c>
      <c r="I183" s="2">
        <f t="shared" si="16"/>
        <v>0</v>
      </c>
      <c r="J183">
        <f>IFERROR(VLOOKUP(B183,'General price list'!C:AI,12,FALSE)*(G183*C183),0)</f>
        <v>0</v>
      </c>
    </row>
    <row r="184" spans="2:10" ht="15" customHeight="1">
      <c r="B184" t="s">
        <v>1185</v>
      </c>
      <c r="C184" s="2" t="str">
        <f>IFERROR(VLOOKUP(B184,'Deutsche Markt'!C:AA,24,FALSE),"")</f>
        <v/>
      </c>
      <c r="D184" s="2">
        <f>IFERROR(VLOOKUP(B184,'Deutsche Markt'!C:AA,25,FALSE),0)</f>
        <v>0</v>
      </c>
      <c r="E184" s="2">
        <f t="shared" si="17"/>
        <v>0</v>
      </c>
      <c r="F184" s="2">
        <f t="shared" si="18"/>
        <v>0</v>
      </c>
      <c r="G184" s="2">
        <f t="shared" si="19"/>
        <v>0</v>
      </c>
      <c r="H184" s="2">
        <f t="shared" si="20"/>
        <v>0</v>
      </c>
      <c r="I184" s="2">
        <f t="shared" si="16"/>
        <v>0</v>
      </c>
      <c r="J184">
        <f>IFERROR(VLOOKUP(B184,'General price list'!C:AI,12,FALSE)*(G184*C184),0)</f>
        <v>0</v>
      </c>
    </row>
    <row r="185" spans="2:10" ht="15" customHeight="1">
      <c r="B185" t="s">
        <v>4977</v>
      </c>
      <c r="C185" s="2" t="str">
        <f>IFERROR(VLOOKUP(B185,'Deutsche Markt'!C:AA,24,FALSE),"")</f>
        <v/>
      </c>
      <c r="D185" s="2">
        <f>IFERROR(VLOOKUP(B185,'Deutsche Markt'!C:AA,25,FALSE),0)</f>
        <v>0</v>
      </c>
      <c r="E185" s="2">
        <f t="shared" si="17"/>
        <v>0</v>
      </c>
      <c r="F185" s="2">
        <f t="shared" si="18"/>
        <v>0</v>
      </c>
      <c r="G185" s="2">
        <f t="shared" si="19"/>
        <v>0</v>
      </c>
      <c r="H185" s="2">
        <f t="shared" si="20"/>
        <v>0</v>
      </c>
      <c r="I185" s="2">
        <f t="shared" si="16"/>
        <v>0</v>
      </c>
      <c r="J185">
        <f>IFERROR(VLOOKUP(B185,'General price list'!C:AI,12,FALSE)*(G185*C185),0)</f>
        <v>0</v>
      </c>
    </row>
    <row r="186" spans="2:10" ht="15" customHeight="1">
      <c r="B186" t="s">
        <v>1283</v>
      </c>
      <c r="C186" s="2" t="str">
        <f>IFERROR(VLOOKUP(B186,'Deutsche Markt'!C:AA,24,FALSE),"")</f>
        <v>18</v>
      </c>
      <c r="D186" s="2">
        <f>IFERROR(VLOOKUP(B186,'Deutsche Markt'!C:AA,25,FALSE),0)</f>
        <v>0</v>
      </c>
      <c r="E186" s="2">
        <f t="shared" si="17"/>
        <v>0</v>
      </c>
      <c r="F186" s="2">
        <f t="shared" si="18"/>
        <v>0</v>
      </c>
      <c r="G186" s="2">
        <f t="shared" si="19"/>
        <v>0</v>
      </c>
      <c r="H186" s="2">
        <f t="shared" si="20"/>
        <v>0</v>
      </c>
      <c r="I186" s="2">
        <f t="shared" si="16"/>
        <v>0</v>
      </c>
      <c r="J186">
        <f>IFERROR(VLOOKUP(B186,'General price list'!C:AI,12,FALSE)*(G186*C186),0)</f>
        <v>0</v>
      </c>
    </row>
    <row r="187" spans="2:10" ht="15" customHeight="1">
      <c r="B187" t="s">
        <v>5066</v>
      </c>
      <c r="C187" s="2" t="str">
        <f>IFERROR(VLOOKUP(B187,'Deutsche Markt'!C:AA,24,FALSE),"")</f>
        <v/>
      </c>
      <c r="D187" s="2">
        <f>IFERROR(VLOOKUP(B187,'Deutsche Markt'!C:AA,25,FALSE),0)</f>
        <v>0</v>
      </c>
      <c r="E187" s="2">
        <f t="shared" si="17"/>
        <v>0</v>
      </c>
      <c r="F187" s="2">
        <f t="shared" si="18"/>
        <v>0</v>
      </c>
      <c r="G187" s="2">
        <f t="shared" si="19"/>
        <v>0</v>
      </c>
      <c r="H187" s="2">
        <f t="shared" si="20"/>
        <v>0</v>
      </c>
      <c r="I187" s="2">
        <f t="shared" si="16"/>
        <v>0</v>
      </c>
      <c r="J187">
        <f>IFERROR(VLOOKUP(B187,'General price list'!C:AI,12,FALSE)*(G187*C187),0)</f>
        <v>0</v>
      </c>
    </row>
    <row r="188" spans="2:10" ht="15" customHeight="1">
      <c r="B188" t="s">
        <v>1289</v>
      </c>
      <c r="C188" s="2" t="str">
        <f>IFERROR(VLOOKUP(B188,'Deutsche Markt'!C:AA,24,FALSE),"")</f>
        <v/>
      </c>
      <c r="D188" s="2">
        <f>IFERROR(VLOOKUP(B188,'Deutsche Markt'!C:AA,25,FALSE),0)</f>
        <v>0</v>
      </c>
      <c r="E188" s="2">
        <f t="shared" si="17"/>
        <v>0</v>
      </c>
      <c r="F188" s="2">
        <f t="shared" si="18"/>
        <v>0</v>
      </c>
      <c r="G188" s="2">
        <f t="shared" si="19"/>
        <v>0</v>
      </c>
      <c r="H188" s="2">
        <f t="shared" si="20"/>
        <v>0</v>
      </c>
      <c r="I188" s="2">
        <f t="shared" si="16"/>
        <v>0</v>
      </c>
      <c r="J188">
        <f>IFERROR(VLOOKUP(B188,'General price list'!C:AI,12,FALSE)*(G188*C188),0)</f>
        <v>0</v>
      </c>
    </row>
    <row r="189" spans="2:10" ht="15" customHeight="1">
      <c r="B189" t="s">
        <v>5068</v>
      </c>
      <c r="C189" s="2" t="str">
        <f>IFERROR(VLOOKUP(B189,'Deutsche Markt'!C:AA,24,FALSE),"")</f>
        <v/>
      </c>
      <c r="D189" s="2">
        <f>IFERROR(VLOOKUP(B189,'Deutsche Markt'!C:AA,25,FALSE),0)</f>
        <v>0</v>
      </c>
      <c r="E189" s="2">
        <f t="shared" si="17"/>
        <v>0</v>
      </c>
      <c r="F189" s="2">
        <f t="shared" si="18"/>
        <v>0</v>
      </c>
      <c r="G189" s="2">
        <f t="shared" si="19"/>
        <v>0</v>
      </c>
      <c r="H189" s="2">
        <f t="shared" si="20"/>
        <v>0</v>
      </c>
      <c r="I189" s="2">
        <f t="shared" si="16"/>
        <v>0</v>
      </c>
      <c r="J189">
        <f>IFERROR(VLOOKUP(B189,'General price list'!C:AI,12,FALSE)*(G189*C189),0)</f>
        <v>0</v>
      </c>
    </row>
    <row r="190" spans="2:10" ht="15" customHeight="1">
      <c r="B190" t="s">
        <v>1156</v>
      </c>
      <c r="C190" s="2" t="str">
        <f>IFERROR(VLOOKUP(B190,'Deutsche Markt'!C:AA,24,FALSE),"")</f>
        <v/>
      </c>
      <c r="D190" s="2">
        <f>IFERROR(VLOOKUP(B190,'Deutsche Markt'!C:AA,25,FALSE),0)</f>
        <v>0</v>
      </c>
      <c r="E190" s="2">
        <f t="shared" si="17"/>
        <v>0</v>
      </c>
      <c r="F190" s="2">
        <f t="shared" si="18"/>
        <v>0</v>
      </c>
      <c r="G190" s="2">
        <f t="shared" si="19"/>
        <v>0</v>
      </c>
      <c r="H190" s="2">
        <f t="shared" si="20"/>
        <v>0</v>
      </c>
      <c r="I190" s="2">
        <f t="shared" si="16"/>
        <v>0</v>
      </c>
      <c r="J190">
        <f>IFERROR(VLOOKUP(B190,'General price list'!C:AI,12,FALSE)*(G190*C190),0)</f>
        <v>0</v>
      </c>
    </row>
    <row r="191" spans="2:10" ht="15" customHeight="1">
      <c r="B191" t="s">
        <v>1160</v>
      </c>
      <c r="C191" s="2" t="str">
        <f>IFERROR(VLOOKUP(B191,'Deutsche Markt'!C:AA,24,FALSE),"")</f>
        <v/>
      </c>
      <c r="D191" s="2">
        <f>IFERROR(VLOOKUP(B191,'Deutsche Markt'!C:AA,25,FALSE),0)</f>
        <v>0</v>
      </c>
      <c r="E191" s="2">
        <f t="shared" si="17"/>
        <v>0</v>
      </c>
      <c r="F191" s="2">
        <f t="shared" si="18"/>
        <v>0</v>
      </c>
      <c r="G191" s="2">
        <f t="shared" si="19"/>
        <v>0</v>
      </c>
      <c r="H191" s="2">
        <f t="shared" si="20"/>
        <v>0</v>
      </c>
      <c r="I191" s="2">
        <f t="shared" si="16"/>
        <v>0</v>
      </c>
      <c r="J191">
        <f>IFERROR(VLOOKUP(B191,'General price list'!C:AI,12,FALSE)*(G191*C191),0)</f>
        <v>0</v>
      </c>
    </row>
    <row r="192" spans="2:10" ht="15" customHeight="1">
      <c r="B192" t="s">
        <v>4939</v>
      </c>
      <c r="C192" s="2" t="str">
        <f>IFERROR(VLOOKUP(B192,'Deutsche Markt'!C:AA,24,FALSE),"")</f>
        <v/>
      </c>
      <c r="D192" s="2">
        <f>IFERROR(VLOOKUP(B192,'Deutsche Markt'!C:AA,25,FALSE),0)</f>
        <v>0</v>
      </c>
      <c r="E192" s="2">
        <f t="shared" si="17"/>
        <v>0</v>
      </c>
      <c r="F192" s="2">
        <f t="shared" si="18"/>
        <v>0</v>
      </c>
      <c r="G192" s="2">
        <f t="shared" si="19"/>
        <v>0</v>
      </c>
      <c r="H192" s="2">
        <f t="shared" si="20"/>
        <v>0</v>
      </c>
      <c r="I192" s="2">
        <f t="shared" si="16"/>
        <v>0</v>
      </c>
      <c r="J192">
        <f>IFERROR(VLOOKUP(B192,'General price list'!C:AI,12,FALSE)*(G192*C192),0)</f>
        <v>0</v>
      </c>
    </row>
    <row r="193" spans="2:10" ht="15" customHeight="1">
      <c r="B193" t="s">
        <v>2344</v>
      </c>
      <c r="C193" s="2" t="str">
        <f>IFERROR(VLOOKUP(B193,'Deutsche Markt'!C:AA,24,FALSE),"")</f>
        <v/>
      </c>
      <c r="D193" s="2">
        <f>IFERROR(VLOOKUP(B193,'Deutsche Markt'!C:AA,25,FALSE),0)</f>
        <v>0</v>
      </c>
      <c r="E193" s="2">
        <f t="shared" si="17"/>
        <v>0</v>
      </c>
      <c r="F193" s="2">
        <f t="shared" si="18"/>
        <v>0</v>
      </c>
      <c r="G193" s="2">
        <f t="shared" si="19"/>
        <v>0</v>
      </c>
      <c r="H193" s="2">
        <f t="shared" si="20"/>
        <v>0</v>
      </c>
      <c r="I193" s="2">
        <f t="shared" si="16"/>
        <v>0</v>
      </c>
      <c r="J193">
        <f>IFERROR(VLOOKUP(B193,'General price list'!C:AI,12,FALSE)*(G193*C193),0)</f>
        <v>0</v>
      </c>
    </row>
    <row r="194" spans="2:10" ht="15" customHeight="1">
      <c r="B194" t="s">
        <v>2345</v>
      </c>
      <c r="C194" s="2" t="str">
        <f>IFERROR(VLOOKUP(B194,'Deutsche Markt'!C:AA,24,FALSE),"")</f>
        <v/>
      </c>
      <c r="D194" s="2">
        <f>IFERROR(VLOOKUP(B194,'Deutsche Markt'!C:AA,25,FALSE),0)</f>
        <v>0</v>
      </c>
      <c r="E194" s="2">
        <f t="shared" si="17"/>
        <v>0</v>
      </c>
      <c r="F194" s="2">
        <f t="shared" si="18"/>
        <v>0</v>
      </c>
      <c r="G194" s="2">
        <f t="shared" si="19"/>
        <v>0</v>
      </c>
      <c r="H194" s="2">
        <f t="shared" si="20"/>
        <v>0</v>
      </c>
      <c r="I194" s="2">
        <f t="shared" si="16"/>
        <v>0</v>
      </c>
      <c r="J194">
        <f>IFERROR(VLOOKUP(B194,'General price list'!C:AI,12,FALSE)*(G194*C194),0)</f>
        <v>0</v>
      </c>
    </row>
    <row r="195" spans="2:10" ht="15" customHeight="1">
      <c r="B195" t="s">
        <v>2346</v>
      </c>
      <c r="C195" s="2" t="str">
        <f>IFERROR(VLOOKUP(B195,'Deutsche Markt'!C:AA,24,FALSE),"")</f>
        <v/>
      </c>
      <c r="D195" s="2">
        <f>IFERROR(VLOOKUP(B195,'Deutsche Markt'!C:AA,25,FALSE),0)</f>
        <v>0</v>
      </c>
      <c r="E195" s="2">
        <f t="shared" si="17"/>
        <v>0</v>
      </c>
      <c r="F195" s="2">
        <f t="shared" si="18"/>
        <v>0</v>
      </c>
      <c r="G195" s="2">
        <f t="shared" si="19"/>
        <v>0</v>
      </c>
      <c r="H195" s="2">
        <f t="shared" si="20"/>
        <v>0</v>
      </c>
      <c r="I195" s="2">
        <f t="shared" si="16"/>
        <v>0</v>
      </c>
      <c r="J195">
        <f>IFERROR(VLOOKUP(B195,'General price list'!C:AI,12,FALSE)*(G195*C195),0)</f>
        <v>0</v>
      </c>
    </row>
    <row r="196" spans="2:10" ht="15" customHeight="1">
      <c r="B196" t="s">
        <v>2347</v>
      </c>
      <c r="C196" s="2" t="str">
        <f>IFERROR(VLOOKUP(B196,'Deutsche Markt'!C:AA,24,FALSE),"")</f>
        <v/>
      </c>
      <c r="D196" s="2">
        <f>IFERROR(VLOOKUP(B196,'Deutsche Markt'!C:AA,25,FALSE),0)</f>
        <v>0</v>
      </c>
      <c r="E196" s="2">
        <f t="shared" si="17"/>
        <v>0</v>
      </c>
      <c r="F196" s="2">
        <f t="shared" si="18"/>
        <v>0</v>
      </c>
      <c r="G196" s="2">
        <f t="shared" si="19"/>
        <v>0</v>
      </c>
      <c r="H196" s="2">
        <f t="shared" si="20"/>
        <v>0</v>
      </c>
      <c r="I196" s="2">
        <f t="shared" ref="I196:I259" si="21">IFERROR(IF(D196=0,0,IF(F196=0,(D196*nextVK)+(prvniVK-nextVK),(G196*C196*nextVK)+(F196*PALzKoje))),0)</f>
        <v>0</v>
      </c>
      <c r="J196">
        <f>IFERROR(VLOOKUP(B196,'General price list'!C:AI,12,FALSE)*(G196*C196),0)</f>
        <v>0</v>
      </c>
    </row>
    <row r="197" spans="2:10" ht="15" customHeight="1">
      <c r="B197" t="s">
        <v>2348</v>
      </c>
      <c r="C197" s="2" t="str">
        <f>IFERROR(VLOOKUP(B197,'Deutsche Markt'!C:AA,24,FALSE),"")</f>
        <v>40</v>
      </c>
      <c r="D197" s="2">
        <f>IFERROR(VLOOKUP(B197,'Deutsche Markt'!C:AA,25,FALSE),0)</f>
        <v>0</v>
      </c>
      <c r="E197" s="2">
        <f t="shared" ref="E197:E260" si="22">IFERROR(D197/C197,0)</f>
        <v>0</v>
      </c>
      <c r="F197" s="2">
        <f t="shared" ref="F197:F260" si="23">IFERROR(FLOOR(IF(E197-1&lt;0,0,E197),1),0)</f>
        <v>0</v>
      </c>
      <c r="G197" s="2">
        <f t="shared" ref="G197:G260" si="24">IFERROR(IF(H197&gt;E197,F197-E197,E197-F197),0)</f>
        <v>0</v>
      </c>
      <c r="H197" s="2">
        <f t="shared" ref="H197:H260" si="25">IFERROR(IF(E197=0,0,F197),0)</f>
        <v>0</v>
      </c>
      <c r="I197" s="2">
        <f t="shared" si="21"/>
        <v>0</v>
      </c>
      <c r="J197">
        <f>IFERROR(VLOOKUP(B197,'General price list'!C:AI,12,FALSE)*(G197*C197),0)</f>
        <v>0</v>
      </c>
    </row>
    <row r="198" spans="2:10" ht="15" customHeight="1">
      <c r="B198" t="s">
        <v>2495</v>
      </c>
      <c r="C198" s="2" t="str">
        <f>IFERROR(VLOOKUP(B198,'Deutsche Markt'!C:AA,24,FALSE),"")</f>
        <v/>
      </c>
      <c r="D198" s="2">
        <f>IFERROR(VLOOKUP(B198,'Deutsche Markt'!C:AA,25,FALSE),0)</f>
        <v>0</v>
      </c>
      <c r="E198" s="2">
        <f t="shared" si="22"/>
        <v>0</v>
      </c>
      <c r="F198" s="2">
        <f t="shared" si="23"/>
        <v>0</v>
      </c>
      <c r="G198" s="2">
        <f t="shared" si="24"/>
        <v>0</v>
      </c>
      <c r="H198" s="2">
        <f t="shared" si="25"/>
        <v>0</v>
      </c>
      <c r="I198" s="2">
        <f t="shared" si="21"/>
        <v>0</v>
      </c>
      <c r="J198">
        <f>IFERROR(VLOOKUP(B198,'General price list'!C:AI,12,FALSE)*(G198*C198),0)</f>
        <v>0</v>
      </c>
    </row>
    <row r="199" spans="2:10" ht="15" customHeight="1">
      <c r="B199" t="s">
        <v>4949</v>
      </c>
      <c r="C199" s="2" t="str">
        <f>IFERROR(VLOOKUP(B199,'Deutsche Markt'!C:AA,24,FALSE),"")</f>
        <v>40</v>
      </c>
      <c r="D199" s="2">
        <f>IFERROR(VLOOKUP(B199,'Deutsche Markt'!C:AA,25,FALSE),0)</f>
        <v>0</v>
      </c>
      <c r="E199" s="2">
        <f t="shared" si="22"/>
        <v>0</v>
      </c>
      <c r="F199" s="2">
        <f t="shared" si="23"/>
        <v>0</v>
      </c>
      <c r="G199" s="2">
        <f t="shared" si="24"/>
        <v>0</v>
      </c>
      <c r="H199" s="2">
        <f t="shared" si="25"/>
        <v>0</v>
      </c>
      <c r="I199" s="2">
        <f t="shared" si="21"/>
        <v>0</v>
      </c>
      <c r="J199">
        <f>IFERROR(VLOOKUP(B199,'General price list'!C:AI,12,FALSE)*(G199*C199),0)</f>
        <v>0</v>
      </c>
    </row>
    <row r="200" spans="2:10" ht="15" customHeight="1">
      <c r="B200" t="s">
        <v>4968</v>
      </c>
      <c r="C200" s="2" t="str">
        <f>IFERROR(VLOOKUP(B200,'Deutsche Markt'!C:AA,24,FALSE),"")</f>
        <v/>
      </c>
      <c r="D200" s="2">
        <f>IFERROR(VLOOKUP(B200,'Deutsche Markt'!C:AA,25,FALSE),0)</f>
        <v>0</v>
      </c>
      <c r="E200" s="2">
        <f t="shared" si="22"/>
        <v>0</v>
      </c>
      <c r="F200" s="2">
        <f t="shared" si="23"/>
        <v>0</v>
      </c>
      <c r="G200" s="2">
        <f t="shared" si="24"/>
        <v>0</v>
      </c>
      <c r="H200" s="2">
        <f t="shared" si="25"/>
        <v>0</v>
      </c>
      <c r="I200" s="2">
        <f t="shared" si="21"/>
        <v>0</v>
      </c>
      <c r="J200">
        <f>IFERROR(VLOOKUP(B200,'General price list'!C:AI,12,FALSE)*(G200*C200),0)</f>
        <v>0</v>
      </c>
    </row>
    <row r="201" spans="2:10" ht="15" customHeight="1">
      <c r="B201" t="s">
        <v>5069</v>
      </c>
      <c r="C201" s="2" t="str">
        <f>IFERROR(VLOOKUP(B201,'Deutsche Markt'!C:AA,24,FALSE),"")</f>
        <v/>
      </c>
      <c r="D201" s="2">
        <f>IFERROR(VLOOKUP(B201,'Deutsche Markt'!C:AA,25,FALSE),0)</f>
        <v>0</v>
      </c>
      <c r="E201" s="2">
        <f t="shared" si="22"/>
        <v>0</v>
      </c>
      <c r="F201" s="2">
        <f t="shared" si="23"/>
        <v>0</v>
      </c>
      <c r="G201" s="2">
        <f t="shared" si="24"/>
        <v>0</v>
      </c>
      <c r="H201" s="2">
        <f t="shared" si="25"/>
        <v>0</v>
      </c>
      <c r="I201" s="2">
        <f t="shared" si="21"/>
        <v>0</v>
      </c>
      <c r="J201">
        <f>IFERROR(VLOOKUP(B201,'General price list'!C:AI,12,FALSE)*(G201*C201),0)</f>
        <v>0</v>
      </c>
    </row>
    <row r="202" spans="2:10" ht="15" customHeight="1">
      <c r="B202" t="s">
        <v>1298</v>
      </c>
      <c r="C202" s="2" t="str">
        <f>IFERROR(VLOOKUP(B202,'Deutsche Markt'!C:AA,24,FALSE),"")</f>
        <v/>
      </c>
      <c r="D202" s="2">
        <f>IFERROR(VLOOKUP(B202,'Deutsche Markt'!C:AA,25,FALSE),0)</f>
        <v>0</v>
      </c>
      <c r="E202" s="2">
        <f t="shared" si="22"/>
        <v>0</v>
      </c>
      <c r="F202" s="2">
        <f t="shared" si="23"/>
        <v>0</v>
      </c>
      <c r="G202" s="2">
        <f t="shared" si="24"/>
        <v>0</v>
      </c>
      <c r="H202" s="2">
        <f t="shared" si="25"/>
        <v>0</v>
      </c>
      <c r="I202" s="2">
        <f t="shared" si="21"/>
        <v>0</v>
      </c>
      <c r="J202">
        <f>IFERROR(VLOOKUP(B202,'General price list'!C:AI,12,FALSE)*(G202*C202),0)</f>
        <v>0</v>
      </c>
    </row>
    <row r="203" spans="2:10" ht="15" customHeight="1">
      <c r="B203" t="s">
        <v>2515</v>
      </c>
      <c r="C203" s="2" t="str">
        <f>IFERROR(VLOOKUP(B203,'Deutsche Markt'!C:AA,24,FALSE),"")</f>
        <v/>
      </c>
      <c r="D203" s="2">
        <f>IFERROR(VLOOKUP(B203,'Deutsche Markt'!C:AA,25,FALSE),0)</f>
        <v>0</v>
      </c>
      <c r="E203" s="2">
        <f t="shared" si="22"/>
        <v>0</v>
      </c>
      <c r="F203" s="2">
        <f t="shared" si="23"/>
        <v>0</v>
      </c>
      <c r="G203" s="2">
        <f t="shared" si="24"/>
        <v>0</v>
      </c>
      <c r="H203" s="2">
        <f t="shared" si="25"/>
        <v>0</v>
      </c>
      <c r="I203" s="2">
        <f t="shared" si="21"/>
        <v>0</v>
      </c>
      <c r="J203">
        <f>IFERROR(VLOOKUP(B203,'General price list'!C:AI,12,FALSE)*(G203*C203),0)</f>
        <v>0</v>
      </c>
    </row>
    <row r="204" spans="2:10" ht="15" customHeight="1">
      <c r="B204" t="s">
        <v>1475</v>
      </c>
      <c r="C204" s="2" t="str">
        <f>IFERROR(VLOOKUP(B204,'Deutsche Markt'!C:AA,24,FALSE),"")</f>
        <v/>
      </c>
      <c r="D204" s="2">
        <f>IFERROR(VLOOKUP(B204,'Deutsche Markt'!C:AA,25,FALSE),0)</f>
        <v>0</v>
      </c>
      <c r="E204" s="2">
        <f t="shared" si="22"/>
        <v>0</v>
      </c>
      <c r="F204" s="2">
        <f t="shared" si="23"/>
        <v>0</v>
      </c>
      <c r="G204" s="2">
        <f t="shared" si="24"/>
        <v>0</v>
      </c>
      <c r="H204" s="2">
        <f t="shared" si="25"/>
        <v>0</v>
      </c>
      <c r="I204" s="2">
        <f t="shared" si="21"/>
        <v>0</v>
      </c>
      <c r="J204">
        <f>IFERROR(VLOOKUP(B204,'General price list'!C:AI,12,FALSE)*(G204*C204),0)</f>
        <v>0</v>
      </c>
    </row>
    <row r="205" spans="2:10" ht="15" customHeight="1">
      <c r="B205" t="s">
        <v>2538</v>
      </c>
      <c r="C205" s="2" t="str">
        <f>IFERROR(VLOOKUP(B205,'Deutsche Markt'!C:AA,24,FALSE),"")</f>
        <v/>
      </c>
      <c r="D205" s="2">
        <f>IFERROR(VLOOKUP(B205,'Deutsche Markt'!C:AA,25,FALSE),0)</f>
        <v>0</v>
      </c>
      <c r="E205" s="2">
        <f t="shared" si="22"/>
        <v>0</v>
      </c>
      <c r="F205" s="2">
        <f t="shared" si="23"/>
        <v>0</v>
      </c>
      <c r="G205" s="2">
        <f t="shared" si="24"/>
        <v>0</v>
      </c>
      <c r="H205" s="2">
        <f t="shared" si="25"/>
        <v>0</v>
      </c>
      <c r="I205" s="2">
        <f t="shared" si="21"/>
        <v>0</v>
      </c>
      <c r="J205">
        <f>IFERROR(VLOOKUP(B205,'General price list'!C:AI,12,FALSE)*(G205*C205),0)</f>
        <v>0</v>
      </c>
    </row>
    <row r="206" spans="2:10" ht="15" customHeight="1">
      <c r="B206" t="s">
        <v>1477</v>
      </c>
      <c r="C206" s="2" t="str">
        <f>IFERROR(VLOOKUP(B206,'Deutsche Markt'!C:AA,24,FALSE),"")</f>
        <v/>
      </c>
      <c r="D206" s="2">
        <f>IFERROR(VLOOKUP(B206,'Deutsche Markt'!C:AA,25,FALSE),0)</f>
        <v>0</v>
      </c>
      <c r="E206" s="2">
        <f t="shared" si="22"/>
        <v>0</v>
      </c>
      <c r="F206" s="2">
        <f t="shared" si="23"/>
        <v>0</v>
      </c>
      <c r="G206" s="2">
        <f t="shared" si="24"/>
        <v>0</v>
      </c>
      <c r="H206" s="2">
        <f t="shared" si="25"/>
        <v>0</v>
      </c>
      <c r="I206" s="2">
        <f t="shared" si="21"/>
        <v>0</v>
      </c>
      <c r="J206">
        <f>IFERROR(VLOOKUP(B206,'General price list'!C:AI,12,FALSE)*(G206*C206),0)</f>
        <v>0</v>
      </c>
    </row>
    <row r="207" spans="2:10" ht="15" customHeight="1">
      <c r="B207" t="s">
        <v>1478</v>
      </c>
      <c r="C207" s="2" t="str">
        <f>IFERROR(VLOOKUP(B207,'Deutsche Markt'!C:AA,24,FALSE),"")</f>
        <v/>
      </c>
      <c r="D207" s="2">
        <f>IFERROR(VLOOKUP(B207,'Deutsche Markt'!C:AA,25,FALSE),0)</f>
        <v>0</v>
      </c>
      <c r="E207" s="2">
        <f t="shared" si="22"/>
        <v>0</v>
      </c>
      <c r="F207" s="2">
        <f t="shared" si="23"/>
        <v>0</v>
      </c>
      <c r="G207" s="2">
        <f t="shared" si="24"/>
        <v>0</v>
      </c>
      <c r="H207" s="2">
        <f t="shared" si="25"/>
        <v>0</v>
      </c>
      <c r="I207" s="2">
        <f t="shared" si="21"/>
        <v>0</v>
      </c>
      <c r="J207">
        <f>IFERROR(VLOOKUP(B207,'General price list'!C:AI,12,FALSE)*(G207*C207),0)</f>
        <v>0</v>
      </c>
    </row>
    <row r="208" spans="2:10" ht="15" customHeight="1">
      <c r="B208" t="s">
        <v>5217</v>
      </c>
      <c r="C208" s="2" t="str">
        <f>IFERROR(VLOOKUP(B208,'Deutsche Markt'!C:AA,24,FALSE),"")</f>
        <v/>
      </c>
      <c r="D208" s="2">
        <f>IFERROR(VLOOKUP(B208,'Deutsche Markt'!C:AA,25,FALSE),0)</f>
        <v>0</v>
      </c>
      <c r="E208" s="2">
        <f t="shared" si="22"/>
        <v>0</v>
      </c>
      <c r="F208" s="2">
        <f t="shared" si="23"/>
        <v>0</v>
      </c>
      <c r="G208" s="2">
        <f t="shared" si="24"/>
        <v>0</v>
      </c>
      <c r="H208" s="2">
        <f t="shared" si="25"/>
        <v>0</v>
      </c>
      <c r="I208" s="2">
        <f t="shared" si="21"/>
        <v>0</v>
      </c>
      <c r="J208">
        <f>IFERROR(VLOOKUP(B208,'General price list'!C:AI,12,FALSE)*(G208*C208),0)</f>
        <v>0</v>
      </c>
    </row>
    <row r="209" spans="2:10" ht="15" customHeight="1">
      <c r="B209" t="s">
        <v>1476</v>
      </c>
      <c r="C209" s="2" t="str">
        <f>IFERROR(VLOOKUP(B209,'Deutsche Markt'!C:AA,24,FALSE),"")</f>
        <v/>
      </c>
      <c r="D209" s="2">
        <f>IFERROR(VLOOKUP(B209,'Deutsche Markt'!C:AA,25,FALSE),0)</f>
        <v>0</v>
      </c>
      <c r="E209" s="2">
        <f t="shared" si="22"/>
        <v>0</v>
      </c>
      <c r="F209" s="2">
        <f t="shared" si="23"/>
        <v>0</v>
      </c>
      <c r="G209" s="2">
        <f t="shared" si="24"/>
        <v>0</v>
      </c>
      <c r="H209" s="2">
        <f t="shared" si="25"/>
        <v>0</v>
      </c>
      <c r="I209" s="2">
        <f t="shared" si="21"/>
        <v>0</v>
      </c>
      <c r="J209">
        <f>IFERROR(VLOOKUP(B209,'General price list'!C:AI,12,FALSE)*(G209*C209),0)</f>
        <v>0</v>
      </c>
    </row>
    <row r="210" spans="2:10" ht="15" customHeight="1">
      <c r="B210" t="s">
        <v>2539</v>
      </c>
      <c r="C210" s="2" t="str">
        <f>IFERROR(VLOOKUP(B210,'Deutsche Markt'!C:AA,24,FALSE),"")</f>
        <v/>
      </c>
      <c r="D210" s="2">
        <f>IFERROR(VLOOKUP(B210,'Deutsche Markt'!C:AA,25,FALSE),0)</f>
        <v>0</v>
      </c>
      <c r="E210" s="2">
        <f t="shared" si="22"/>
        <v>0</v>
      </c>
      <c r="F210" s="2">
        <f t="shared" si="23"/>
        <v>0</v>
      </c>
      <c r="G210" s="2">
        <f t="shared" si="24"/>
        <v>0</v>
      </c>
      <c r="H210" s="2">
        <f t="shared" si="25"/>
        <v>0</v>
      </c>
      <c r="I210" s="2">
        <f t="shared" si="21"/>
        <v>0</v>
      </c>
      <c r="J210">
        <f>IFERROR(VLOOKUP(B210,'General price list'!C:AI,12,FALSE)*(G210*C210),0)</f>
        <v>0</v>
      </c>
    </row>
    <row r="211" spans="2:10" ht="15" customHeight="1">
      <c r="B211" t="s">
        <v>1545</v>
      </c>
      <c r="C211" s="2" t="str">
        <f>IFERROR(VLOOKUP(B211,'Deutsche Markt'!C:AA,24,FALSE),"")</f>
        <v/>
      </c>
      <c r="D211" s="2">
        <f>IFERROR(VLOOKUP(B211,'Deutsche Markt'!C:AA,25,FALSE),0)</f>
        <v>0</v>
      </c>
      <c r="E211" s="2">
        <f t="shared" si="22"/>
        <v>0</v>
      </c>
      <c r="F211" s="2">
        <f t="shared" si="23"/>
        <v>0</v>
      </c>
      <c r="G211" s="2">
        <f t="shared" si="24"/>
        <v>0</v>
      </c>
      <c r="H211" s="2">
        <f t="shared" si="25"/>
        <v>0</v>
      </c>
      <c r="I211" s="2">
        <f t="shared" si="21"/>
        <v>0</v>
      </c>
      <c r="J211">
        <f>IFERROR(VLOOKUP(B211,'General price list'!C:AI,12,FALSE)*(G211*C211),0)</f>
        <v>0</v>
      </c>
    </row>
    <row r="212" spans="2:10" ht="15" customHeight="1">
      <c r="B212" t="s">
        <v>2552</v>
      </c>
      <c r="C212" s="2" t="str">
        <f>IFERROR(VLOOKUP(B212,'Deutsche Markt'!C:AA,24,FALSE),"")</f>
        <v/>
      </c>
      <c r="D212" s="2">
        <f>IFERROR(VLOOKUP(B212,'Deutsche Markt'!C:AA,25,FALSE),0)</f>
        <v>0</v>
      </c>
      <c r="E212" s="2">
        <f t="shared" si="22"/>
        <v>0</v>
      </c>
      <c r="F212" s="2">
        <f t="shared" si="23"/>
        <v>0</v>
      </c>
      <c r="G212" s="2">
        <f t="shared" si="24"/>
        <v>0</v>
      </c>
      <c r="H212" s="2">
        <f t="shared" si="25"/>
        <v>0</v>
      </c>
      <c r="I212" s="2">
        <f t="shared" si="21"/>
        <v>0</v>
      </c>
      <c r="J212">
        <f>IFERROR(VLOOKUP(B212,'General price list'!C:AI,12,FALSE)*(G212*C212),0)</f>
        <v>0</v>
      </c>
    </row>
    <row r="213" spans="2:10" ht="15" customHeight="1">
      <c r="B213" t="s">
        <v>1543</v>
      </c>
      <c r="C213" s="2">
        <f>IFERROR(VLOOKUP(B213,'Deutsche Markt'!C:AA,24,FALSE),"")</f>
        <v>24</v>
      </c>
      <c r="D213" s="2">
        <f>IFERROR(VLOOKUP(B213,'Deutsche Markt'!C:AA,25,FALSE),0)</f>
        <v>0</v>
      </c>
      <c r="E213" s="2">
        <f t="shared" si="22"/>
        <v>0</v>
      </c>
      <c r="F213" s="2">
        <f t="shared" si="23"/>
        <v>0</v>
      </c>
      <c r="G213" s="2">
        <f t="shared" si="24"/>
        <v>0</v>
      </c>
      <c r="H213" s="2">
        <f t="shared" si="25"/>
        <v>0</v>
      </c>
      <c r="I213" s="2">
        <f t="shared" si="21"/>
        <v>0</v>
      </c>
      <c r="J213">
        <f>IFERROR(VLOOKUP(B213,'General price list'!C:AI,12,FALSE)*(G213*C213),0)</f>
        <v>0</v>
      </c>
    </row>
    <row r="214" spans="2:10" ht="15" customHeight="1">
      <c r="B214" t="s">
        <v>2546</v>
      </c>
      <c r="C214" s="2" t="str">
        <f>IFERROR(VLOOKUP(B214,'Deutsche Markt'!C:AA,24,FALSE),"")</f>
        <v/>
      </c>
      <c r="D214" s="2">
        <f>IFERROR(VLOOKUP(B214,'Deutsche Markt'!C:AA,25,FALSE),0)</f>
        <v>0</v>
      </c>
      <c r="E214" s="2">
        <f t="shared" si="22"/>
        <v>0</v>
      </c>
      <c r="F214" s="2">
        <f t="shared" si="23"/>
        <v>0</v>
      </c>
      <c r="G214" s="2">
        <f t="shared" si="24"/>
        <v>0</v>
      </c>
      <c r="H214" s="2">
        <f t="shared" si="25"/>
        <v>0</v>
      </c>
      <c r="I214" s="2">
        <f t="shared" si="21"/>
        <v>0</v>
      </c>
      <c r="J214">
        <f>IFERROR(VLOOKUP(B214,'General price list'!C:AI,12,FALSE)*(G214*C214),0)</f>
        <v>0</v>
      </c>
    </row>
    <row r="215" spans="2:10" ht="15" customHeight="1">
      <c r="B215" t="s">
        <v>2400</v>
      </c>
      <c r="C215" s="2" t="str">
        <f>IFERROR(VLOOKUP(B215,'Deutsche Markt'!C:AA,24,FALSE),"")</f>
        <v/>
      </c>
      <c r="D215" s="2">
        <f>IFERROR(VLOOKUP(B215,'Deutsche Markt'!C:AA,25,FALSE),0)</f>
        <v>0</v>
      </c>
      <c r="E215" s="2">
        <f t="shared" si="22"/>
        <v>0</v>
      </c>
      <c r="F215" s="2">
        <f t="shared" si="23"/>
        <v>0</v>
      </c>
      <c r="G215" s="2">
        <f t="shared" si="24"/>
        <v>0</v>
      </c>
      <c r="H215" s="2">
        <f t="shared" si="25"/>
        <v>0</v>
      </c>
      <c r="I215" s="2">
        <f t="shared" si="21"/>
        <v>0</v>
      </c>
      <c r="J215">
        <f>IFERROR(VLOOKUP(B215,'General price list'!C:AI,12,FALSE)*(G215*C215),0)</f>
        <v>0</v>
      </c>
    </row>
    <row r="216" spans="2:10" ht="15" customHeight="1">
      <c r="B216" t="s">
        <v>2553</v>
      </c>
      <c r="C216" s="2" t="str">
        <f>IFERROR(VLOOKUP(B216,'Deutsche Markt'!C:AA,24,FALSE),"")</f>
        <v/>
      </c>
      <c r="D216" s="2">
        <f>IFERROR(VLOOKUP(B216,'Deutsche Markt'!C:AA,25,FALSE),0)</f>
        <v>0</v>
      </c>
      <c r="E216" s="2">
        <f t="shared" si="22"/>
        <v>0</v>
      </c>
      <c r="F216" s="2">
        <f t="shared" si="23"/>
        <v>0</v>
      </c>
      <c r="G216" s="2">
        <f t="shared" si="24"/>
        <v>0</v>
      </c>
      <c r="H216" s="2">
        <f t="shared" si="25"/>
        <v>0</v>
      </c>
      <c r="I216" s="2">
        <f t="shared" si="21"/>
        <v>0</v>
      </c>
      <c r="J216">
        <f>IFERROR(VLOOKUP(B216,'General price list'!C:AI,12,FALSE)*(G216*C216),0)</f>
        <v>0</v>
      </c>
    </row>
    <row r="217" spans="2:10" ht="15" customHeight="1">
      <c r="B217" t="s">
        <v>2393</v>
      </c>
      <c r="C217" s="2">
        <f>IFERROR(VLOOKUP(B217,'Deutsche Markt'!C:AA,24,FALSE),"")</f>
        <v>21</v>
      </c>
      <c r="D217" s="2">
        <f>IFERROR(VLOOKUP(B217,'Deutsche Markt'!C:AA,25,FALSE),0)</f>
        <v>0</v>
      </c>
      <c r="E217" s="2">
        <f t="shared" si="22"/>
        <v>0</v>
      </c>
      <c r="F217" s="2">
        <f t="shared" si="23"/>
        <v>0</v>
      </c>
      <c r="G217" s="2">
        <f t="shared" si="24"/>
        <v>0</v>
      </c>
      <c r="H217" s="2">
        <f t="shared" si="25"/>
        <v>0</v>
      </c>
      <c r="I217" s="2">
        <f t="shared" si="21"/>
        <v>0</v>
      </c>
      <c r="J217">
        <f>IFERROR(VLOOKUP(B217,'General price list'!C:AI,12,FALSE)*(G217*C217),0)</f>
        <v>0</v>
      </c>
    </row>
    <row r="218" spans="2:10" ht="15" customHeight="1">
      <c r="B218" t="s">
        <v>2547</v>
      </c>
      <c r="C218" s="2" t="str">
        <f>IFERROR(VLOOKUP(B218,'Deutsche Markt'!C:AA,24,FALSE),"")</f>
        <v/>
      </c>
      <c r="D218" s="2">
        <f>IFERROR(VLOOKUP(B218,'Deutsche Markt'!C:AA,25,FALSE),0)</f>
        <v>0</v>
      </c>
      <c r="E218" s="2">
        <f t="shared" si="22"/>
        <v>0</v>
      </c>
      <c r="F218" s="2">
        <f t="shared" si="23"/>
        <v>0</v>
      </c>
      <c r="G218" s="2">
        <f t="shared" si="24"/>
        <v>0</v>
      </c>
      <c r="H218" s="2">
        <f t="shared" si="25"/>
        <v>0</v>
      </c>
      <c r="I218" s="2">
        <f t="shared" si="21"/>
        <v>0</v>
      </c>
      <c r="J218">
        <f>IFERROR(VLOOKUP(B218,'General price list'!C:AI,12,FALSE)*(G218*C218),0)</f>
        <v>0</v>
      </c>
    </row>
    <row r="219" spans="2:10" ht="15" customHeight="1">
      <c r="B219" t="s">
        <v>2334</v>
      </c>
      <c r="C219" s="2">
        <f>IFERROR(VLOOKUP(B219,'Deutsche Markt'!C:AA,24,FALSE),"")</f>
        <v>24</v>
      </c>
      <c r="D219" s="2">
        <f>IFERROR(VLOOKUP(B219,'Deutsche Markt'!C:AA,25,FALSE),0)</f>
        <v>0</v>
      </c>
      <c r="E219" s="2">
        <f t="shared" si="22"/>
        <v>0</v>
      </c>
      <c r="F219" s="2">
        <f t="shared" si="23"/>
        <v>0</v>
      </c>
      <c r="G219" s="2">
        <f t="shared" si="24"/>
        <v>0</v>
      </c>
      <c r="H219" s="2">
        <f t="shared" si="25"/>
        <v>0</v>
      </c>
      <c r="I219" s="2">
        <f t="shared" si="21"/>
        <v>0</v>
      </c>
      <c r="J219">
        <f>IFERROR(VLOOKUP(B219,'General price list'!C:AI,12,FALSE)*(G219*C219),0)</f>
        <v>0</v>
      </c>
    </row>
    <row r="220" spans="2:10" ht="15" customHeight="1">
      <c r="B220" t="s">
        <v>13230</v>
      </c>
      <c r="C220" s="2" t="str">
        <f>IFERROR(VLOOKUP(B220,'Deutsche Markt'!C:AA,24,FALSE),"")</f>
        <v/>
      </c>
      <c r="D220" s="2">
        <f>IFERROR(VLOOKUP(B220,'Deutsche Markt'!C:AA,25,FALSE),0)</f>
        <v>0</v>
      </c>
      <c r="E220" s="2">
        <f t="shared" si="22"/>
        <v>0</v>
      </c>
      <c r="F220" s="2">
        <f t="shared" si="23"/>
        <v>0</v>
      </c>
      <c r="G220" s="2">
        <f t="shared" si="24"/>
        <v>0</v>
      </c>
      <c r="H220" s="2">
        <f t="shared" si="25"/>
        <v>0</v>
      </c>
      <c r="I220" s="2">
        <f t="shared" si="21"/>
        <v>0</v>
      </c>
      <c r="J220">
        <f>IFERROR(VLOOKUP(B220,'General price list'!C:AI,12,FALSE)*(G220*C220),0)</f>
        <v>0</v>
      </c>
    </row>
    <row r="221" spans="2:10" ht="15" customHeight="1">
      <c r="B221" t="s">
        <v>1546</v>
      </c>
      <c r="C221" s="2" t="str">
        <f>IFERROR(VLOOKUP(B221,'Deutsche Markt'!C:AA,24,FALSE),"")</f>
        <v/>
      </c>
      <c r="D221" s="2">
        <f>IFERROR(VLOOKUP(B221,'Deutsche Markt'!C:AA,25,FALSE),0)</f>
        <v>0</v>
      </c>
      <c r="E221" s="2">
        <f t="shared" si="22"/>
        <v>0</v>
      </c>
      <c r="F221" s="2">
        <f t="shared" si="23"/>
        <v>0</v>
      </c>
      <c r="G221" s="2">
        <f t="shared" si="24"/>
        <v>0</v>
      </c>
      <c r="H221" s="2">
        <f t="shared" si="25"/>
        <v>0</v>
      </c>
      <c r="I221" s="2">
        <f t="shared" si="21"/>
        <v>0</v>
      </c>
      <c r="J221">
        <f>IFERROR(VLOOKUP(B221,'General price list'!C:AI,12,FALSE)*(G221*C221),0)</f>
        <v>0</v>
      </c>
    </row>
    <row r="222" spans="2:10" ht="15" customHeight="1">
      <c r="B222" t="s">
        <v>2556</v>
      </c>
      <c r="C222" s="2" t="str">
        <f>IFERROR(VLOOKUP(B222,'Deutsche Markt'!C:AA,24,FALSE),"")</f>
        <v/>
      </c>
      <c r="D222" s="2">
        <f>IFERROR(VLOOKUP(B222,'Deutsche Markt'!C:AA,25,FALSE),0)</f>
        <v>0</v>
      </c>
      <c r="E222" s="2">
        <f t="shared" si="22"/>
        <v>0</v>
      </c>
      <c r="F222" s="2">
        <f t="shared" si="23"/>
        <v>0</v>
      </c>
      <c r="G222" s="2">
        <f t="shared" si="24"/>
        <v>0</v>
      </c>
      <c r="H222" s="2">
        <f t="shared" si="25"/>
        <v>0</v>
      </c>
      <c r="I222" s="2">
        <f t="shared" si="21"/>
        <v>0</v>
      </c>
      <c r="J222">
        <f>IFERROR(VLOOKUP(B222,'General price list'!C:AI,12,FALSE)*(G222*C222),0)</f>
        <v>0</v>
      </c>
    </row>
    <row r="223" spans="2:10" ht="15" customHeight="1">
      <c r="B223" t="s">
        <v>2401</v>
      </c>
      <c r="C223" s="2" t="str">
        <f>IFERROR(VLOOKUP(B223,'Deutsche Markt'!C:AA,24,FALSE),"")</f>
        <v/>
      </c>
      <c r="D223" s="2">
        <f>IFERROR(VLOOKUP(B223,'Deutsche Markt'!C:AA,25,FALSE),0)</f>
        <v>0</v>
      </c>
      <c r="E223" s="2">
        <f t="shared" si="22"/>
        <v>0</v>
      </c>
      <c r="F223" s="2">
        <f t="shared" si="23"/>
        <v>0</v>
      </c>
      <c r="G223" s="2">
        <f t="shared" si="24"/>
        <v>0</v>
      </c>
      <c r="H223" s="2">
        <f t="shared" si="25"/>
        <v>0</v>
      </c>
      <c r="I223" s="2">
        <f t="shared" si="21"/>
        <v>0</v>
      </c>
      <c r="J223">
        <f>IFERROR(VLOOKUP(B223,'General price list'!C:AI,12,FALSE)*(G223*C223),0)</f>
        <v>0</v>
      </c>
    </row>
    <row r="224" spans="2:10" ht="15" customHeight="1">
      <c r="B224" t="s">
        <v>2554</v>
      </c>
      <c r="C224" s="2" t="str">
        <f>IFERROR(VLOOKUP(B224,'Deutsche Markt'!C:AA,24,FALSE),"")</f>
        <v/>
      </c>
      <c r="D224" s="2">
        <f>IFERROR(VLOOKUP(B224,'Deutsche Markt'!C:AA,25,FALSE),0)</f>
        <v>0</v>
      </c>
      <c r="E224" s="2">
        <f t="shared" si="22"/>
        <v>0</v>
      </c>
      <c r="F224" s="2">
        <f t="shared" si="23"/>
        <v>0</v>
      </c>
      <c r="G224" s="2">
        <f t="shared" si="24"/>
        <v>0</v>
      </c>
      <c r="H224" s="2">
        <f t="shared" si="25"/>
        <v>0</v>
      </c>
      <c r="I224" s="2">
        <f t="shared" si="21"/>
        <v>0</v>
      </c>
      <c r="J224">
        <f>IFERROR(VLOOKUP(B224,'General price list'!C:AI,12,FALSE)*(G224*C224),0)</f>
        <v>0</v>
      </c>
    </row>
    <row r="225" spans="2:10" ht="15" customHeight="1">
      <c r="B225" t="s">
        <v>2395</v>
      </c>
      <c r="C225" s="2" t="str">
        <f>IFERROR(VLOOKUP(B225,'Deutsche Markt'!C:AA,24,FALSE),"")</f>
        <v/>
      </c>
      <c r="D225" s="2">
        <f>IFERROR(VLOOKUP(B225,'Deutsche Markt'!C:AA,25,FALSE),0)</f>
        <v>0</v>
      </c>
      <c r="E225" s="2">
        <f t="shared" si="22"/>
        <v>0</v>
      </c>
      <c r="F225" s="2">
        <f t="shared" si="23"/>
        <v>0</v>
      </c>
      <c r="G225" s="2">
        <f t="shared" si="24"/>
        <v>0</v>
      </c>
      <c r="H225" s="2">
        <f t="shared" si="25"/>
        <v>0</v>
      </c>
      <c r="I225" s="2">
        <f t="shared" si="21"/>
        <v>0</v>
      </c>
      <c r="J225">
        <f>IFERROR(VLOOKUP(B225,'General price list'!C:AI,12,FALSE)*(G225*C225),0)</f>
        <v>0</v>
      </c>
    </row>
    <row r="226" spans="2:10" ht="15" customHeight="1">
      <c r="B226" t="s">
        <v>2548</v>
      </c>
      <c r="C226" s="2" t="str">
        <f>IFERROR(VLOOKUP(B226,'Deutsche Markt'!C:AA,24,FALSE),"")</f>
        <v/>
      </c>
      <c r="D226" s="2">
        <f>IFERROR(VLOOKUP(B226,'Deutsche Markt'!C:AA,25,FALSE),0)</f>
        <v>0</v>
      </c>
      <c r="E226" s="2">
        <f t="shared" si="22"/>
        <v>0</v>
      </c>
      <c r="F226" s="2">
        <f t="shared" si="23"/>
        <v>0</v>
      </c>
      <c r="G226" s="2">
        <f t="shared" si="24"/>
        <v>0</v>
      </c>
      <c r="H226" s="2">
        <f t="shared" si="25"/>
        <v>0</v>
      </c>
      <c r="I226" s="2">
        <f t="shared" si="21"/>
        <v>0</v>
      </c>
      <c r="J226">
        <f>IFERROR(VLOOKUP(B226,'General price list'!C:AI,12,FALSE)*(G226*C226),0)</f>
        <v>0</v>
      </c>
    </row>
    <row r="227" spans="2:10" ht="15" customHeight="1">
      <c r="B227" t="s">
        <v>2403</v>
      </c>
      <c r="C227" s="2" t="str">
        <f>IFERROR(VLOOKUP(B227,'Deutsche Markt'!C:AA,24,FALSE),"")</f>
        <v/>
      </c>
      <c r="D227" s="2">
        <f>IFERROR(VLOOKUP(B227,'Deutsche Markt'!C:AA,25,FALSE),0)</f>
        <v>0</v>
      </c>
      <c r="E227" s="2">
        <f t="shared" si="22"/>
        <v>0</v>
      </c>
      <c r="F227" s="2">
        <f t="shared" si="23"/>
        <v>0</v>
      </c>
      <c r="G227" s="2">
        <f t="shared" si="24"/>
        <v>0</v>
      </c>
      <c r="H227" s="2">
        <f t="shared" si="25"/>
        <v>0</v>
      </c>
      <c r="I227" s="2">
        <f t="shared" si="21"/>
        <v>0</v>
      </c>
      <c r="J227">
        <f>IFERROR(VLOOKUP(B227,'General price list'!C:AI,12,FALSE)*(G227*C227),0)</f>
        <v>0</v>
      </c>
    </row>
    <row r="228" spans="2:10" ht="15" customHeight="1">
      <c r="B228" t="s">
        <v>2557</v>
      </c>
      <c r="C228" s="2" t="str">
        <f>IFERROR(VLOOKUP(B228,'Deutsche Markt'!C:AA,24,FALSE),"")</f>
        <v/>
      </c>
      <c r="D228" s="2">
        <f>IFERROR(VLOOKUP(B228,'Deutsche Markt'!C:AA,25,FALSE),0)</f>
        <v>0</v>
      </c>
      <c r="E228" s="2">
        <f t="shared" si="22"/>
        <v>0</v>
      </c>
      <c r="F228" s="2">
        <f t="shared" si="23"/>
        <v>0</v>
      </c>
      <c r="G228" s="2">
        <f t="shared" si="24"/>
        <v>0</v>
      </c>
      <c r="H228" s="2">
        <f t="shared" si="25"/>
        <v>0</v>
      </c>
      <c r="I228" s="2">
        <f t="shared" si="21"/>
        <v>0</v>
      </c>
      <c r="J228">
        <f>IFERROR(VLOOKUP(B228,'General price list'!C:AI,12,FALSE)*(G228*C228),0)</f>
        <v>0</v>
      </c>
    </row>
    <row r="229" spans="2:10" ht="15" customHeight="1">
      <c r="B229" t="s">
        <v>1556</v>
      </c>
      <c r="C229" s="2" t="str">
        <f>IFERROR(VLOOKUP(B229,'Deutsche Markt'!C:AA,24,FALSE),"")</f>
        <v/>
      </c>
      <c r="D229" s="2">
        <f>IFERROR(VLOOKUP(B229,'Deutsche Markt'!C:AA,25,FALSE),0)</f>
        <v>0</v>
      </c>
      <c r="E229" s="2">
        <f t="shared" si="22"/>
        <v>0</v>
      </c>
      <c r="F229" s="2">
        <f t="shared" si="23"/>
        <v>0</v>
      </c>
      <c r="G229" s="2">
        <f t="shared" si="24"/>
        <v>0</v>
      </c>
      <c r="H229" s="2">
        <f t="shared" si="25"/>
        <v>0</v>
      </c>
      <c r="I229" s="2">
        <f t="shared" si="21"/>
        <v>0</v>
      </c>
      <c r="J229">
        <f>IFERROR(VLOOKUP(B229,'General price list'!C:AI,12,FALSE)*(G229*C229),0)</f>
        <v>0</v>
      </c>
    </row>
    <row r="230" spans="2:10" ht="15" customHeight="1">
      <c r="B230" t="s">
        <v>2564</v>
      </c>
      <c r="C230" s="2" t="str">
        <f>IFERROR(VLOOKUP(B230,'Deutsche Markt'!C:AA,24,FALSE),"")</f>
        <v/>
      </c>
      <c r="D230" s="2">
        <f>IFERROR(VLOOKUP(B230,'Deutsche Markt'!C:AA,25,FALSE),0)</f>
        <v>0</v>
      </c>
      <c r="E230" s="2">
        <f t="shared" si="22"/>
        <v>0</v>
      </c>
      <c r="F230" s="2">
        <f t="shared" si="23"/>
        <v>0</v>
      </c>
      <c r="G230" s="2">
        <f t="shared" si="24"/>
        <v>0</v>
      </c>
      <c r="H230" s="2">
        <f t="shared" si="25"/>
        <v>0</v>
      </c>
      <c r="I230" s="2">
        <f t="shared" si="21"/>
        <v>0</v>
      </c>
      <c r="J230">
        <f>IFERROR(VLOOKUP(B230,'General price list'!C:AI,12,FALSE)*(G230*C230),0)</f>
        <v>0</v>
      </c>
    </row>
    <row r="231" spans="2:10" ht="15" customHeight="1">
      <c r="B231" t="s">
        <v>2409</v>
      </c>
      <c r="C231" s="2" t="str">
        <f>IFERROR(VLOOKUP(B231,'Deutsche Markt'!C:AA,24,FALSE),"")</f>
        <v/>
      </c>
      <c r="D231" s="2">
        <f>IFERROR(VLOOKUP(B231,'Deutsche Markt'!C:AA,25,FALSE),0)</f>
        <v>0</v>
      </c>
      <c r="E231" s="2">
        <f t="shared" si="22"/>
        <v>0</v>
      </c>
      <c r="F231" s="2">
        <f t="shared" si="23"/>
        <v>0</v>
      </c>
      <c r="G231" s="2">
        <f t="shared" si="24"/>
        <v>0</v>
      </c>
      <c r="H231" s="2">
        <f t="shared" si="25"/>
        <v>0</v>
      </c>
      <c r="I231" s="2">
        <f t="shared" si="21"/>
        <v>0</v>
      </c>
      <c r="J231">
        <f>IFERROR(VLOOKUP(B231,'General price list'!C:AI,12,FALSE)*(G231*C231),0)</f>
        <v>0</v>
      </c>
    </row>
    <row r="232" spans="2:10" ht="15" customHeight="1">
      <c r="B232" t="s">
        <v>2563</v>
      </c>
      <c r="C232" s="2" t="str">
        <f>IFERROR(VLOOKUP(B232,'Deutsche Markt'!C:AA,24,FALSE),"")</f>
        <v/>
      </c>
      <c r="D232" s="2">
        <f>IFERROR(VLOOKUP(B232,'Deutsche Markt'!C:AA,25,FALSE),0)</f>
        <v>0</v>
      </c>
      <c r="E232" s="2">
        <f t="shared" si="22"/>
        <v>0</v>
      </c>
      <c r="F232" s="2">
        <f t="shared" si="23"/>
        <v>0</v>
      </c>
      <c r="G232" s="2">
        <f t="shared" si="24"/>
        <v>0</v>
      </c>
      <c r="H232" s="2">
        <f t="shared" si="25"/>
        <v>0</v>
      </c>
      <c r="I232" s="2">
        <f t="shared" si="21"/>
        <v>0</v>
      </c>
      <c r="J232">
        <f>IFERROR(VLOOKUP(B232,'General price list'!C:AI,12,FALSE)*(G232*C232),0)</f>
        <v>0</v>
      </c>
    </row>
    <row r="233" spans="2:10" ht="15" customHeight="1">
      <c r="B233" t="s">
        <v>1547</v>
      </c>
      <c r="C233" s="2" t="str">
        <f>IFERROR(VLOOKUP(B233,'Deutsche Markt'!C:AA,24,FALSE),"")</f>
        <v/>
      </c>
      <c r="D233" s="2">
        <f>IFERROR(VLOOKUP(B233,'Deutsche Markt'!C:AA,25,FALSE),0)</f>
        <v>0</v>
      </c>
      <c r="E233" s="2">
        <f t="shared" si="22"/>
        <v>0</v>
      </c>
      <c r="F233" s="2">
        <f t="shared" si="23"/>
        <v>0</v>
      </c>
      <c r="G233" s="2">
        <f t="shared" si="24"/>
        <v>0</v>
      </c>
      <c r="H233" s="2">
        <f t="shared" si="25"/>
        <v>0</v>
      </c>
      <c r="I233" s="2">
        <f t="shared" si="21"/>
        <v>0</v>
      </c>
      <c r="J233">
        <f>IFERROR(VLOOKUP(B233,'General price list'!C:AI,12,FALSE)*(G233*C233),0)</f>
        <v>0</v>
      </c>
    </row>
    <row r="234" spans="2:10" ht="15" customHeight="1">
      <c r="B234" t="s">
        <v>2178</v>
      </c>
      <c r="C234" s="2" t="str">
        <f>IFERROR(VLOOKUP(B234,'Deutsche Markt'!C:AA,24,FALSE),"")</f>
        <v/>
      </c>
      <c r="D234" s="2">
        <f>IFERROR(VLOOKUP(B234,'Deutsche Markt'!C:AA,25,FALSE),0)</f>
        <v>0</v>
      </c>
      <c r="E234" s="2">
        <f t="shared" si="22"/>
        <v>0</v>
      </c>
      <c r="F234" s="2">
        <f t="shared" si="23"/>
        <v>0</v>
      </c>
      <c r="G234" s="2">
        <f t="shared" si="24"/>
        <v>0</v>
      </c>
      <c r="H234" s="2">
        <f t="shared" si="25"/>
        <v>0</v>
      </c>
      <c r="I234" s="2">
        <f t="shared" si="21"/>
        <v>0</v>
      </c>
      <c r="J234">
        <f>IFERROR(VLOOKUP(B234,'General price list'!C:AI,12,FALSE)*(G234*C234),0)</f>
        <v>0</v>
      </c>
    </row>
    <row r="235" spans="2:10" ht="15" customHeight="1">
      <c r="B235" t="s">
        <v>5284</v>
      </c>
      <c r="C235" s="2" t="str">
        <f>IFERROR(VLOOKUP(B235,'Deutsche Markt'!C:AA,24,FALSE),"")</f>
        <v/>
      </c>
      <c r="D235" s="2">
        <f>IFERROR(VLOOKUP(B235,'Deutsche Markt'!C:AA,25,FALSE),0)</f>
        <v>0</v>
      </c>
      <c r="E235" s="2">
        <f t="shared" si="22"/>
        <v>0</v>
      </c>
      <c r="F235" s="2">
        <f t="shared" si="23"/>
        <v>0</v>
      </c>
      <c r="G235" s="2">
        <f t="shared" si="24"/>
        <v>0</v>
      </c>
      <c r="H235" s="2">
        <f t="shared" si="25"/>
        <v>0</v>
      </c>
      <c r="I235" s="2">
        <f t="shared" si="21"/>
        <v>0</v>
      </c>
      <c r="J235">
        <f>IFERROR(VLOOKUP(B235,'General price list'!C:AI,12,FALSE)*(G235*C235),0)</f>
        <v>0</v>
      </c>
    </row>
    <row r="236" spans="2:10" ht="15" customHeight="1">
      <c r="B236" t="s">
        <v>2402</v>
      </c>
      <c r="C236" s="2" t="str">
        <f>IFERROR(VLOOKUP(B236,'Deutsche Markt'!C:AA,24,FALSE),"")</f>
        <v/>
      </c>
      <c r="D236" s="2">
        <f>IFERROR(VLOOKUP(B236,'Deutsche Markt'!C:AA,25,FALSE),0)</f>
        <v>0</v>
      </c>
      <c r="E236" s="2">
        <f t="shared" si="22"/>
        <v>0</v>
      </c>
      <c r="F236" s="2">
        <f t="shared" si="23"/>
        <v>0</v>
      </c>
      <c r="G236" s="2">
        <f t="shared" si="24"/>
        <v>0</v>
      </c>
      <c r="H236" s="2">
        <f t="shared" si="25"/>
        <v>0</v>
      </c>
      <c r="I236" s="2">
        <f t="shared" si="21"/>
        <v>0</v>
      </c>
      <c r="J236">
        <f>IFERROR(VLOOKUP(B236,'General price list'!C:AI,12,FALSE)*(G236*C236),0)</f>
        <v>0</v>
      </c>
    </row>
    <row r="237" spans="2:10" ht="15" customHeight="1">
      <c r="B237" t="s">
        <v>2555</v>
      </c>
      <c r="C237" s="2" t="str">
        <f>IFERROR(VLOOKUP(B237,'Deutsche Markt'!C:AA,24,FALSE),"")</f>
        <v/>
      </c>
      <c r="D237" s="2">
        <f>IFERROR(VLOOKUP(B237,'Deutsche Markt'!C:AA,25,FALSE),0)</f>
        <v>0</v>
      </c>
      <c r="E237" s="2">
        <f t="shared" si="22"/>
        <v>0</v>
      </c>
      <c r="F237" s="2">
        <f t="shared" si="23"/>
        <v>0</v>
      </c>
      <c r="G237" s="2">
        <f t="shared" si="24"/>
        <v>0</v>
      </c>
      <c r="H237" s="2">
        <f t="shared" si="25"/>
        <v>0</v>
      </c>
      <c r="I237" s="2">
        <f t="shared" si="21"/>
        <v>0</v>
      </c>
      <c r="J237">
        <f>IFERROR(VLOOKUP(B237,'General price list'!C:AI,12,FALSE)*(G237*C237),0)</f>
        <v>0</v>
      </c>
    </row>
    <row r="238" spans="2:10" ht="15" customHeight="1">
      <c r="B238" t="s">
        <v>2396</v>
      </c>
      <c r="C238" s="2">
        <f>IFERROR(VLOOKUP(B238,'Deutsche Markt'!C:AA,24,FALSE),"")</f>
        <v>18</v>
      </c>
      <c r="D238" s="2">
        <f>IFERROR(VLOOKUP(B238,'Deutsche Markt'!C:AA,25,FALSE),0)</f>
        <v>0</v>
      </c>
      <c r="E238" s="2">
        <f t="shared" si="22"/>
        <v>0</v>
      </c>
      <c r="F238" s="2">
        <f t="shared" si="23"/>
        <v>0</v>
      </c>
      <c r="G238" s="2">
        <f t="shared" si="24"/>
        <v>0</v>
      </c>
      <c r="H238" s="2">
        <f t="shared" si="25"/>
        <v>0</v>
      </c>
      <c r="I238" s="2">
        <f t="shared" si="21"/>
        <v>0</v>
      </c>
      <c r="J238">
        <f>IFERROR(VLOOKUP(B238,'General price list'!C:AI,12,FALSE)*(G238*C238),0)</f>
        <v>0</v>
      </c>
    </row>
    <row r="239" spans="2:10" ht="15" customHeight="1">
      <c r="B239" t="s">
        <v>2549</v>
      </c>
      <c r="C239" s="2" t="str">
        <f>IFERROR(VLOOKUP(B239,'Deutsche Markt'!C:AA,24,FALSE),"")</f>
        <v/>
      </c>
      <c r="D239" s="2">
        <f>IFERROR(VLOOKUP(B239,'Deutsche Markt'!C:AA,25,FALSE),0)</f>
        <v>0</v>
      </c>
      <c r="E239" s="2">
        <f t="shared" si="22"/>
        <v>0</v>
      </c>
      <c r="F239" s="2">
        <f t="shared" si="23"/>
        <v>0</v>
      </c>
      <c r="G239" s="2">
        <f t="shared" si="24"/>
        <v>0</v>
      </c>
      <c r="H239" s="2">
        <f t="shared" si="25"/>
        <v>0</v>
      </c>
      <c r="I239" s="2">
        <f t="shared" si="21"/>
        <v>0</v>
      </c>
      <c r="J239">
        <f>IFERROR(VLOOKUP(B239,'General price list'!C:AI,12,FALSE)*(G239*C239),0)</f>
        <v>0</v>
      </c>
    </row>
    <row r="240" spans="2:10" ht="15" customHeight="1">
      <c r="B240" t="s">
        <v>1499</v>
      </c>
      <c r="C240" s="2" t="str">
        <f>IFERROR(VLOOKUP(B240,'Deutsche Markt'!C:AA,24,FALSE),"")</f>
        <v/>
      </c>
      <c r="D240" s="2">
        <f>IFERROR(VLOOKUP(B240,'Deutsche Markt'!C:AA,25,FALSE),0)</f>
        <v>0</v>
      </c>
      <c r="E240" s="2">
        <f t="shared" si="22"/>
        <v>0</v>
      </c>
      <c r="F240" s="2">
        <f t="shared" si="23"/>
        <v>0</v>
      </c>
      <c r="G240" s="2">
        <f t="shared" si="24"/>
        <v>0</v>
      </c>
      <c r="H240" s="2">
        <f t="shared" si="25"/>
        <v>0</v>
      </c>
      <c r="I240" s="2">
        <f t="shared" si="21"/>
        <v>0</v>
      </c>
      <c r="J240">
        <f>IFERROR(VLOOKUP(B240,'General price list'!C:AI,12,FALSE)*(G240*C240),0)</f>
        <v>0</v>
      </c>
    </row>
    <row r="241" spans="2:10" ht="15" customHeight="1">
      <c r="B241" t="s">
        <v>1494</v>
      </c>
      <c r="C241" s="2" t="str">
        <f>IFERROR(VLOOKUP(B241,'Deutsche Markt'!C:AA,24,FALSE),"")</f>
        <v/>
      </c>
      <c r="D241" s="2">
        <f>IFERROR(VLOOKUP(B241,'Deutsche Markt'!C:AA,25,FALSE),0)</f>
        <v>0</v>
      </c>
      <c r="E241" s="2">
        <f t="shared" si="22"/>
        <v>0</v>
      </c>
      <c r="F241" s="2">
        <f t="shared" si="23"/>
        <v>0</v>
      </c>
      <c r="G241" s="2">
        <f t="shared" si="24"/>
        <v>0</v>
      </c>
      <c r="H241" s="2">
        <f t="shared" si="25"/>
        <v>0</v>
      </c>
      <c r="I241" s="2">
        <f t="shared" si="21"/>
        <v>0</v>
      </c>
      <c r="J241">
        <f>IFERROR(VLOOKUP(B241,'General price list'!C:AI,12,FALSE)*(G241*C241),0)</f>
        <v>0</v>
      </c>
    </row>
    <row r="242" spans="2:10" ht="15" customHeight="1">
      <c r="B242" t="s">
        <v>1495</v>
      </c>
      <c r="C242" s="2" t="str">
        <f>IFERROR(VLOOKUP(B242,'Deutsche Markt'!C:AA,24,FALSE),"")</f>
        <v/>
      </c>
      <c r="D242" s="2">
        <f>IFERROR(VLOOKUP(B242,'Deutsche Markt'!C:AA,25,FALSE),0)</f>
        <v>0</v>
      </c>
      <c r="E242" s="2">
        <f t="shared" si="22"/>
        <v>0</v>
      </c>
      <c r="F242" s="2">
        <f t="shared" si="23"/>
        <v>0</v>
      </c>
      <c r="G242" s="2">
        <f t="shared" si="24"/>
        <v>0</v>
      </c>
      <c r="H242" s="2">
        <f t="shared" si="25"/>
        <v>0</v>
      </c>
      <c r="I242" s="2">
        <f t="shared" si="21"/>
        <v>0</v>
      </c>
      <c r="J242">
        <f>IFERROR(VLOOKUP(B242,'General price list'!C:AI,12,FALSE)*(G242*C242),0)</f>
        <v>0</v>
      </c>
    </row>
    <row r="243" spans="2:10" ht="15" customHeight="1">
      <c r="B243" t="s">
        <v>1500</v>
      </c>
      <c r="C243" s="2" t="str">
        <f>IFERROR(VLOOKUP(B243,'Deutsche Markt'!C:AA,24,FALSE),"")</f>
        <v/>
      </c>
      <c r="D243" s="2">
        <f>IFERROR(VLOOKUP(B243,'Deutsche Markt'!C:AA,25,FALSE),0)</f>
        <v>0</v>
      </c>
      <c r="E243" s="2">
        <f t="shared" si="22"/>
        <v>0</v>
      </c>
      <c r="F243" s="2">
        <f t="shared" si="23"/>
        <v>0</v>
      </c>
      <c r="G243" s="2">
        <f t="shared" si="24"/>
        <v>0</v>
      </c>
      <c r="H243" s="2">
        <f t="shared" si="25"/>
        <v>0</v>
      </c>
      <c r="I243" s="2">
        <f t="shared" si="21"/>
        <v>0</v>
      </c>
      <c r="J243">
        <f>IFERROR(VLOOKUP(B243,'General price list'!C:AI,12,FALSE)*(G243*C243),0)</f>
        <v>0</v>
      </c>
    </row>
    <row r="244" spans="2:10" ht="15" customHeight="1">
      <c r="B244" t="s">
        <v>1490</v>
      </c>
      <c r="C244" s="2" t="str">
        <f>IFERROR(VLOOKUP(B244,'Deutsche Markt'!C:AA,24,FALSE),"")</f>
        <v/>
      </c>
      <c r="D244" s="2">
        <f>IFERROR(VLOOKUP(B244,'Deutsche Markt'!C:AA,25,FALSE),0)</f>
        <v>0</v>
      </c>
      <c r="E244" s="2">
        <f t="shared" si="22"/>
        <v>0</v>
      </c>
      <c r="F244" s="2">
        <f t="shared" si="23"/>
        <v>0</v>
      </c>
      <c r="G244" s="2">
        <f t="shared" si="24"/>
        <v>0</v>
      </c>
      <c r="H244" s="2">
        <f t="shared" si="25"/>
        <v>0</v>
      </c>
      <c r="I244" s="2">
        <f t="shared" si="21"/>
        <v>0</v>
      </c>
      <c r="J244">
        <f>IFERROR(VLOOKUP(B244,'General price list'!C:AI,12,FALSE)*(G244*C244),0)</f>
        <v>0</v>
      </c>
    </row>
    <row r="245" spans="2:10" ht="15" customHeight="1">
      <c r="B245" t="s">
        <v>1008</v>
      </c>
      <c r="C245" s="2">
        <f>IFERROR(VLOOKUP(B245,'Deutsche Markt'!C:AA,24,FALSE),"")</f>
        <v>40</v>
      </c>
      <c r="D245" s="2">
        <f>IFERROR(VLOOKUP(B245,'Deutsche Markt'!C:AA,25,FALSE),0)</f>
        <v>0</v>
      </c>
      <c r="E245" s="2">
        <f t="shared" si="22"/>
        <v>0</v>
      </c>
      <c r="F245" s="2">
        <f t="shared" si="23"/>
        <v>0</v>
      </c>
      <c r="G245" s="2">
        <f t="shared" si="24"/>
        <v>0</v>
      </c>
      <c r="H245" s="2">
        <f t="shared" si="25"/>
        <v>0</v>
      </c>
      <c r="I245" s="2">
        <f t="shared" si="21"/>
        <v>0</v>
      </c>
      <c r="J245">
        <f>IFERROR(VLOOKUP(B245,'General price list'!C:AI,12,FALSE)*(G245*C245),0)</f>
        <v>0</v>
      </c>
    </row>
    <row r="246" spans="2:10" ht="15" customHeight="1">
      <c r="B246" t="s">
        <v>1048</v>
      </c>
      <c r="C246" s="2" t="str">
        <f>IFERROR(VLOOKUP(B246,'Deutsche Markt'!C:AA,24,FALSE),"")</f>
        <v/>
      </c>
      <c r="D246" s="2">
        <f>IFERROR(VLOOKUP(B246,'Deutsche Markt'!C:AA,25,FALSE),0)</f>
        <v>0</v>
      </c>
      <c r="E246" s="2">
        <f t="shared" si="22"/>
        <v>0</v>
      </c>
      <c r="F246" s="2">
        <f t="shared" si="23"/>
        <v>0</v>
      </c>
      <c r="G246" s="2">
        <f t="shared" si="24"/>
        <v>0</v>
      </c>
      <c r="H246" s="2">
        <f t="shared" si="25"/>
        <v>0</v>
      </c>
      <c r="I246" s="2">
        <f t="shared" si="21"/>
        <v>0</v>
      </c>
      <c r="J246">
        <f>IFERROR(VLOOKUP(B246,'General price list'!C:AI,12,FALSE)*(G246*C246),0)</f>
        <v>0</v>
      </c>
    </row>
    <row r="247" spans="2:10" ht="15" customHeight="1">
      <c r="B247" t="s">
        <v>1054</v>
      </c>
      <c r="C247" s="2">
        <f>IFERROR(VLOOKUP(B247,'Deutsche Markt'!C:AA,24,FALSE),"")</f>
        <v>54</v>
      </c>
      <c r="D247" s="2">
        <f>IFERROR(VLOOKUP(B247,'Deutsche Markt'!C:AA,25,FALSE),0)</f>
        <v>0</v>
      </c>
      <c r="E247" s="2">
        <f t="shared" si="22"/>
        <v>0</v>
      </c>
      <c r="F247" s="2">
        <f t="shared" si="23"/>
        <v>0</v>
      </c>
      <c r="G247" s="2">
        <f t="shared" si="24"/>
        <v>0</v>
      </c>
      <c r="H247" s="2">
        <f t="shared" si="25"/>
        <v>0</v>
      </c>
      <c r="I247" s="2">
        <f t="shared" si="21"/>
        <v>0</v>
      </c>
      <c r="J247">
        <f>IFERROR(VLOOKUP(B247,'General price list'!C:AI,12,FALSE)*(G247*C247),0)</f>
        <v>0</v>
      </c>
    </row>
    <row r="248" spans="2:10" ht="15" customHeight="1">
      <c r="B248" t="s">
        <v>1060</v>
      </c>
      <c r="C248" s="2">
        <f>IFERROR(VLOOKUP(B248,'Deutsche Markt'!C:AA,24,FALSE),"")</f>
        <v>54</v>
      </c>
      <c r="D248" s="2">
        <f>IFERROR(VLOOKUP(B248,'Deutsche Markt'!C:AA,25,FALSE),0)</f>
        <v>0</v>
      </c>
      <c r="E248" s="2">
        <f t="shared" si="22"/>
        <v>0</v>
      </c>
      <c r="F248" s="2">
        <f t="shared" si="23"/>
        <v>0</v>
      </c>
      <c r="G248" s="2">
        <f t="shared" si="24"/>
        <v>0</v>
      </c>
      <c r="H248" s="2">
        <f t="shared" si="25"/>
        <v>0</v>
      </c>
      <c r="I248" s="2">
        <f t="shared" si="21"/>
        <v>0</v>
      </c>
      <c r="J248">
        <f>IFERROR(VLOOKUP(B248,'General price list'!C:AI,12,FALSE)*(G248*C248),0)</f>
        <v>0</v>
      </c>
    </row>
    <row r="249" spans="2:10" ht="15" customHeight="1">
      <c r="B249" t="s">
        <v>1053</v>
      </c>
      <c r="C249" s="2" t="str">
        <f>IFERROR(VLOOKUP(B249,'Deutsche Markt'!C:AA,24,FALSE),"")</f>
        <v/>
      </c>
      <c r="D249" s="2">
        <f>IFERROR(VLOOKUP(B249,'Deutsche Markt'!C:AA,25,FALSE),0)</f>
        <v>0</v>
      </c>
      <c r="E249" s="2">
        <f t="shared" si="22"/>
        <v>0</v>
      </c>
      <c r="F249" s="2">
        <f t="shared" si="23"/>
        <v>0</v>
      </c>
      <c r="G249" s="2">
        <f t="shared" si="24"/>
        <v>0</v>
      </c>
      <c r="H249" s="2">
        <f t="shared" si="25"/>
        <v>0</v>
      </c>
      <c r="I249" s="2">
        <f t="shared" si="21"/>
        <v>0</v>
      </c>
      <c r="J249">
        <f>IFERROR(VLOOKUP(B249,'General price list'!C:AI,12,FALSE)*(G249*C249),0)</f>
        <v>0</v>
      </c>
    </row>
    <row r="250" spans="2:10" ht="15" customHeight="1">
      <c r="B250" t="s">
        <v>1073</v>
      </c>
      <c r="C250" s="2">
        <f>IFERROR(VLOOKUP(B250,'Deutsche Markt'!C:AA,24,FALSE),"")</f>
        <v>54</v>
      </c>
      <c r="D250" s="2">
        <f>IFERROR(VLOOKUP(B250,'Deutsche Markt'!C:AA,25,FALSE),0)</f>
        <v>0</v>
      </c>
      <c r="E250" s="2">
        <f t="shared" si="22"/>
        <v>0</v>
      </c>
      <c r="F250" s="2">
        <f t="shared" si="23"/>
        <v>0</v>
      </c>
      <c r="G250" s="2">
        <f t="shared" si="24"/>
        <v>0</v>
      </c>
      <c r="H250" s="2">
        <f t="shared" si="25"/>
        <v>0</v>
      </c>
      <c r="I250" s="2">
        <f t="shared" si="21"/>
        <v>0</v>
      </c>
      <c r="J250">
        <f>IFERROR(VLOOKUP(B250,'General price list'!C:AI,12,FALSE)*(G250*C250),0)</f>
        <v>0</v>
      </c>
    </row>
    <row r="251" spans="2:10" ht="15" customHeight="1">
      <c r="B251" t="s">
        <v>1058</v>
      </c>
      <c r="C251" s="2">
        <f>IFERROR(VLOOKUP(B251,'Deutsche Markt'!C:AA,24,FALSE),"")</f>
        <v>54</v>
      </c>
      <c r="D251" s="2">
        <f>IFERROR(VLOOKUP(B251,'Deutsche Markt'!C:AA,25,FALSE),0)</f>
        <v>0</v>
      </c>
      <c r="E251" s="2">
        <f t="shared" si="22"/>
        <v>0</v>
      </c>
      <c r="F251" s="2">
        <f t="shared" si="23"/>
        <v>0</v>
      </c>
      <c r="G251" s="2">
        <f t="shared" si="24"/>
        <v>0</v>
      </c>
      <c r="H251" s="2">
        <f t="shared" si="25"/>
        <v>0</v>
      </c>
      <c r="I251" s="2">
        <f t="shared" si="21"/>
        <v>0</v>
      </c>
      <c r="J251">
        <f>IFERROR(VLOOKUP(B251,'General price list'!C:AI,12,FALSE)*(G251*C251),0)</f>
        <v>0</v>
      </c>
    </row>
    <row r="252" spans="2:10" ht="15" customHeight="1">
      <c r="B252" t="s">
        <v>13233</v>
      </c>
      <c r="C252" s="2" t="str">
        <f>IFERROR(VLOOKUP(B252,'Deutsche Markt'!C:AA,24,FALSE),"")</f>
        <v/>
      </c>
      <c r="D252" s="2">
        <f>IFERROR(VLOOKUP(B252,'Deutsche Markt'!C:AA,25,FALSE),0)</f>
        <v>0</v>
      </c>
      <c r="E252" s="2">
        <f t="shared" si="22"/>
        <v>0</v>
      </c>
      <c r="F252" s="2">
        <f t="shared" si="23"/>
        <v>0</v>
      </c>
      <c r="G252" s="2">
        <f t="shared" si="24"/>
        <v>0</v>
      </c>
      <c r="H252" s="2">
        <f t="shared" si="25"/>
        <v>0</v>
      </c>
      <c r="I252" s="2">
        <f t="shared" si="21"/>
        <v>0</v>
      </c>
      <c r="J252">
        <f>IFERROR(VLOOKUP(B252,'General price list'!C:AI,12,FALSE)*(G252*C252),0)</f>
        <v>0</v>
      </c>
    </row>
    <row r="253" spans="2:10" ht="15" customHeight="1">
      <c r="B253" t="s">
        <v>1062</v>
      </c>
      <c r="C253" s="2">
        <f>IFERROR(VLOOKUP(B253,'Deutsche Markt'!C:AA,24,FALSE),"")</f>
        <v>54</v>
      </c>
      <c r="D253" s="2">
        <f>IFERROR(VLOOKUP(B253,'Deutsche Markt'!C:AA,25,FALSE),0)</f>
        <v>0</v>
      </c>
      <c r="E253" s="2">
        <f t="shared" si="22"/>
        <v>0</v>
      </c>
      <c r="F253" s="2">
        <f t="shared" si="23"/>
        <v>0</v>
      </c>
      <c r="G253" s="2">
        <f t="shared" si="24"/>
        <v>0</v>
      </c>
      <c r="H253" s="2">
        <f t="shared" si="25"/>
        <v>0</v>
      </c>
      <c r="I253" s="2">
        <f t="shared" si="21"/>
        <v>0</v>
      </c>
      <c r="J253">
        <f>IFERROR(VLOOKUP(B253,'General price list'!C:AI,12,FALSE)*(G253*C253),0)</f>
        <v>0</v>
      </c>
    </row>
    <row r="254" spans="2:10" ht="15" customHeight="1">
      <c r="B254" t="s">
        <v>1050</v>
      </c>
      <c r="C254" s="2" t="str">
        <f>IFERROR(VLOOKUP(B254,'Deutsche Markt'!C:AA,24,FALSE),"")</f>
        <v/>
      </c>
      <c r="D254" s="2">
        <f>IFERROR(VLOOKUP(B254,'Deutsche Markt'!C:AA,25,FALSE),0)</f>
        <v>0</v>
      </c>
      <c r="E254" s="2">
        <f t="shared" si="22"/>
        <v>0</v>
      </c>
      <c r="F254" s="2">
        <f t="shared" si="23"/>
        <v>0</v>
      </c>
      <c r="G254" s="2">
        <f t="shared" si="24"/>
        <v>0</v>
      </c>
      <c r="H254" s="2">
        <f t="shared" si="25"/>
        <v>0</v>
      </c>
      <c r="I254" s="2">
        <f t="shared" si="21"/>
        <v>0</v>
      </c>
      <c r="J254">
        <f>IFERROR(VLOOKUP(B254,'General price list'!C:AI,12,FALSE)*(G254*C254),0)</f>
        <v>0</v>
      </c>
    </row>
    <row r="255" spans="2:10" ht="15" customHeight="1">
      <c r="B255" t="s">
        <v>1068</v>
      </c>
      <c r="C255" s="2">
        <f>IFERROR(VLOOKUP(B255,'Deutsche Markt'!C:AA,24,FALSE),"")</f>
        <v>54</v>
      </c>
      <c r="D255" s="2">
        <f>IFERROR(VLOOKUP(B255,'Deutsche Markt'!C:AA,25,FALSE),0)</f>
        <v>0</v>
      </c>
      <c r="E255" s="2">
        <f t="shared" si="22"/>
        <v>0</v>
      </c>
      <c r="F255" s="2">
        <f t="shared" si="23"/>
        <v>0</v>
      </c>
      <c r="G255" s="2">
        <f t="shared" si="24"/>
        <v>0</v>
      </c>
      <c r="H255" s="2">
        <f t="shared" si="25"/>
        <v>0</v>
      </c>
      <c r="I255" s="2">
        <f t="shared" si="21"/>
        <v>0</v>
      </c>
      <c r="J255">
        <f>IFERROR(VLOOKUP(B255,'General price list'!C:AI,12,FALSE)*(G255*C255),0)</f>
        <v>0</v>
      </c>
    </row>
    <row r="256" spans="2:10" ht="15" customHeight="1">
      <c r="B256" t="s">
        <v>1063</v>
      </c>
      <c r="C256" s="2">
        <f>IFERROR(VLOOKUP(B256,'Deutsche Markt'!C:AA,24,FALSE),"")</f>
        <v>54</v>
      </c>
      <c r="D256" s="2">
        <f>IFERROR(VLOOKUP(B256,'Deutsche Markt'!C:AA,25,FALSE),0)</f>
        <v>0</v>
      </c>
      <c r="E256" s="2">
        <f t="shared" si="22"/>
        <v>0</v>
      </c>
      <c r="F256" s="2">
        <f t="shared" si="23"/>
        <v>0</v>
      </c>
      <c r="G256" s="2">
        <f t="shared" si="24"/>
        <v>0</v>
      </c>
      <c r="H256" s="2">
        <f t="shared" si="25"/>
        <v>0</v>
      </c>
      <c r="I256" s="2">
        <f t="shared" si="21"/>
        <v>0</v>
      </c>
      <c r="J256">
        <f>IFERROR(VLOOKUP(B256,'General price list'!C:AI,12,FALSE)*(G256*C256),0)</f>
        <v>0</v>
      </c>
    </row>
    <row r="257" spans="2:10" ht="15" customHeight="1">
      <c r="B257" t="s">
        <v>2847</v>
      </c>
      <c r="C257" s="2" t="str">
        <f>IFERROR(VLOOKUP(B257,'Deutsche Markt'!C:AA,24,FALSE),"")</f>
        <v/>
      </c>
      <c r="D257" s="2">
        <f>IFERROR(VLOOKUP(B257,'Deutsche Markt'!C:AA,25,FALSE),0)</f>
        <v>0</v>
      </c>
      <c r="E257" s="2">
        <f t="shared" si="22"/>
        <v>0</v>
      </c>
      <c r="F257" s="2">
        <f t="shared" si="23"/>
        <v>0</v>
      </c>
      <c r="G257" s="2">
        <f t="shared" si="24"/>
        <v>0</v>
      </c>
      <c r="H257" s="2">
        <f t="shared" si="25"/>
        <v>0</v>
      </c>
      <c r="I257" s="2">
        <f t="shared" si="21"/>
        <v>0</v>
      </c>
      <c r="J257">
        <f>IFERROR(VLOOKUP(B257,'General price list'!C:AI,12,FALSE)*(G257*C257),0)</f>
        <v>0</v>
      </c>
    </row>
    <row r="258" spans="2:10" ht="15" customHeight="1">
      <c r="B258" t="s">
        <v>1056</v>
      </c>
      <c r="C258" s="2">
        <f>IFERROR(VLOOKUP(B258,'Deutsche Markt'!C:AA,24,FALSE),"")</f>
        <v>54</v>
      </c>
      <c r="D258" s="2">
        <f>IFERROR(VLOOKUP(B258,'Deutsche Markt'!C:AA,25,FALSE),0)</f>
        <v>0</v>
      </c>
      <c r="E258" s="2">
        <f t="shared" si="22"/>
        <v>0</v>
      </c>
      <c r="F258" s="2">
        <f t="shared" si="23"/>
        <v>0</v>
      </c>
      <c r="G258" s="2">
        <f t="shared" si="24"/>
        <v>0</v>
      </c>
      <c r="H258" s="2">
        <f t="shared" si="25"/>
        <v>0</v>
      </c>
      <c r="I258" s="2">
        <f t="shared" si="21"/>
        <v>0</v>
      </c>
      <c r="J258">
        <f>IFERROR(VLOOKUP(B258,'General price list'!C:AI,12,FALSE)*(G258*C258),0)</f>
        <v>0</v>
      </c>
    </row>
    <row r="259" spans="2:10" ht="15" customHeight="1">
      <c r="B259" t="s">
        <v>1061</v>
      </c>
      <c r="C259" s="2">
        <f>IFERROR(VLOOKUP(B259,'Deutsche Markt'!C:AA,24,FALSE),"")</f>
        <v>54</v>
      </c>
      <c r="D259" s="2">
        <f>IFERROR(VLOOKUP(B259,'Deutsche Markt'!C:AA,25,FALSE),0)</f>
        <v>0</v>
      </c>
      <c r="E259" s="2">
        <f t="shared" si="22"/>
        <v>0</v>
      </c>
      <c r="F259" s="2">
        <f t="shared" si="23"/>
        <v>0</v>
      </c>
      <c r="G259" s="2">
        <f t="shared" si="24"/>
        <v>0</v>
      </c>
      <c r="H259" s="2">
        <f t="shared" si="25"/>
        <v>0</v>
      </c>
      <c r="I259" s="2">
        <f t="shared" si="21"/>
        <v>0</v>
      </c>
      <c r="J259">
        <f>IFERROR(VLOOKUP(B259,'General price list'!C:AI,12,FALSE)*(G259*C259),0)</f>
        <v>0</v>
      </c>
    </row>
    <row r="260" spans="2:10" ht="15" customHeight="1">
      <c r="B260" t="s">
        <v>1082</v>
      </c>
      <c r="C260" s="2">
        <f>IFERROR(VLOOKUP(B260,'Deutsche Markt'!C:AA,24,FALSE),"")</f>
        <v>42</v>
      </c>
      <c r="D260" s="2">
        <f>IFERROR(VLOOKUP(B260,'Deutsche Markt'!C:AA,25,FALSE),0)</f>
        <v>0</v>
      </c>
      <c r="E260" s="2">
        <f t="shared" si="22"/>
        <v>0</v>
      </c>
      <c r="F260" s="2">
        <f t="shared" si="23"/>
        <v>0</v>
      </c>
      <c r="G260" s="2">
        <f t="shared" si="24"/>
        <v>0</v>
      </c>
      <c r="H260" s="2">
        <f t="shared" si="25"/>
        <v>0</v>
      </c>
      <c r="I260" s="2">
        <f t="shared" ref="I260:I323" si="26">IFERROR(IF(D260=0,0,IF(F260=0,(D260*nextVK)+(prvniVK-nextVK),(G260*C260*nextVK)+(F260*PALzKoje))),0)</f>
        <v>0</v>
      </c>
      <c r="J260">
        <f>IFERROR(VLOOKUP(B260,'General price list'!C:AI,12,FALSE)*(G260*C260),0)</f>
        <v>0</v>
      </c>
    </row>
    <row r="261" spans="2:10" ht="15" customHeight="1">
      <c r="B261" t="s">
        <v>2128</v>
      </c>
      <c r="C261" s="2" t="str">
        <f>IFERROR(VLOOKUP(B261,'Deutsche Markt'!C:AA,24,FALSE),"")</f>
        <v/>
      </c>
      <c r="D261" s="2">
        <f>IFERROR(VLOOKUP(B261,'Deutsche Markt'!C:AA,25,FALSE),0)</f>
        <v>0</v>
      </c>
      <c r="E261" s="2">
        <f t="shared" ref="E261:E324" si="27">IFERROR(D261/C261,0)</f>
        <v>0</v>
      </c>
      <c r="F261" s="2">
        <f t="shared" ref="F261:F324" si="28">IFERROR(FLOOR(IF(E261-1&lt;0,0,E261),1),0)</f>
        <v>0</v>
      </c>
      <c r="G261" s="2">
        <f t="shared" ref="G261:G324" si="29">IFERROR(IF(H261&gt;E261,F261-E261,E261-F261),0)</f>
        <v>0</v>
      </c>
      <c r="H261" s="2">
        <f t="shared" ref="H261:H324" si="30">IFERROR(IF(E261=0,0,F261),0)</f>
        <v>0</v>
      </c>
      <c r="I261" s="2">
        <f t="shared" si="26"/>
        <v>0</v>
      </c>
      <c r="J261">
        <f>IFERROR(VLOOKUP(B261,'General price list'!C:AI,12,FALSE)*(G261*C261),0)</f>
        <v>0</v>
      </c>
    </row>
    <row r="262" spans="2:10" ht="15" customHeight="1">
      <c r="B262" t="s">
        <v>1051</v>
      </c>
      <c r="C262" s="2">
        <f>IFERROR(VLOOKUP(B262,'Deutsche Markt'!C:AA,24,FALSE),"")</f>
        <v>54</v>
      </c>
      <c r="D262" s="2">
        <f>IFERROR(VLOOKUP(B262,'Deutsche Markt'!C:AA,25,FALSE),0)</f>
        <v>0</v>
      </c>
      <c r="E262" s="2">
        <f t="shared" si="27"/>
        <v>0</v>
      </c>
      <c r="F262" s="2">
        <f t="shared" si="28"/>
        <v>0</v>
      </c>
      <c r="G262" s="2">
        <f t="shared" si="29"/>
        <v>0</v>
      </c>
      <c r="H262" s="2">
        <f t="shared" si="30"/>
        <v>0</v>
      </c>
      <c r="I262" s="2">
        <f t="shared" si="26"/>
        <v>0</v>
      </c>
      <c r="J262">
        <f>IFERROR(VLOOKUP(B262,'General price list'!C:AI,12,FALSE)*(G262*C262),0)</f>
        <v>0</v>
      </c>
    </row>
    <row r="263" spans="2:10" ht="15" customHeight="1">
      <c r="B263" t="s">
        <v>2351</v>
      </c>
      <c r="C263" s="2" t="str">
        <f>IFERROR(VLOOKUP(B263,'Deutsche Markt'!C:AA,24,FALSE),"")</f>
        <v/>
      </c>
      <c r="D263" s="2">
        <f>IFERROR(VLOOKUP(B263,'Deutsche Markt'!C:AA,25,FALSE),0)</f>
        <v>0</v>
      </c>
      <c r="E263" s="2">
        <f t="shared" si="27"/>
        <v>0</v>
      </c>
      <c r="F263" s="2">
        <f t="shared" si="28"/>
        <v>0</v>
      </c>
      <c r="G263" s="2">
        <f t="shared" si="29"/>
        <v>0</v>
      </c>
      <c r="H263" s="2">
        <f t="shared" si="30"/>
        <v>0</v>
      </c>
      <c r="I263" s="2">
        <f t="shared" si="26"/>
        <v>0</v>
      </c>
      <c r="J263">
        <f>IFERROR(VLOOKUP(B263,'General price list'!C:AI,12,FALSE)*(G263*C263),0)</f>
        <v>0</v>
      </c>
    </row>
    <row r="264" spans="2:10" ht="15" customHeight="1">
      <c r="B264" t="s">
        <v>2500</v>
      </c>
      <c r="C264" s="2" t="str">
        <f>IFERROR(VLOOKUP(B264,'Deutsche Markt'!C:AA,24,FALSE),"")</f>
        <v/>
      </c>
      <c r="D264" s="2">
        <f>IFERROR(VLOOKUP(B264,'Deutsche Markt'!C:AA,25,FALSE),0)</f>
        <v>0</v>
      </c>
      <c r="E264" s="2">
        <f t="shared" si="27"/>
        <v>0</v>
      </c>
      <c r="F264" s="2">
        <f t="shared" si="28"/>
        <v>0</v>
      </c>
      <c r="G264" s="2">
        <f t="shared" si="29"/>
        <v>0</v>
      </c>
      <c r="H264" s="2">
        <f t="shared" si="30"/>
        <v>0</v>
      </c>
      <c r="I264" s="2">
        <f t="shared" si="26"/>
        <v>0</v>
      </c>
      <c r="J264">
        <f>IFERROR(VLOOKUP(B264,'General price list'!C:AI,12,FALSE)*(G264*C264),0)</f>
        <v>0</v>
      </c>
    </row>
    <row r="265" spans="2:10" ht="15" customHeight="1">
      <c r="B265" t="s">
        <v>2349</v>
      </c>
      <c r="C265" s="2" t="str">
        <f>IFERROR(VLOOKUP(B265,'Deutsche Markt'!C:AA,24,FALSE),"")</f>
        <v>40</v>
      </c>
      <c r="D265" s="2">
        <f>IFERROR(VLOOKUP(B265,'Deutsche Markt'!C:AA,25,FALSE),0)</f>
        <v>0</v>
      </c>
      <c r="E265" s="2">
        <f t="shared" si="27"/>
        <v>0</v>
      </c>
      <c r="F265" s="2">
        <f t="shared" si="28"/>
        <v>0</v>
      </c>
      <c r="G265" s="2">
        <f t="shared" si="29"/>
        <v>0</v>
      </c>
      <c r="H265" s="2">
        <f t="shared" si="30"/>
        <v>0</v>
      </c>
      <c r="I265" s="2">
        <f t="shared" si="26"/>
        <v>0</v>
      </c>
      <c r="J265">
        <f>IFERROR(VLOOKUP(B265,'General price list'!C:AI,12,FALSE)*(G265*C265),0)</f>
        <v>0</v>
      </c>
    </row>
    <row r="266" spans="2:10" ht="15" customHeight="1">
      <c r="B266" t="s">
        <v>2496</v>
      </c>
      <c r="C266" s="2" t="str">
        <f>IFERROR(VLOOKUP(B266,'Deutsche Markt'!C:AA,24,FALSE),"")</f>
        <v/>
      </c>
      <c r="D266" s="2">
        <f>IFERROR(VLOOKUP(B266,'Deutsche Markt'!C:AA,25,FALSE),0)</f>
        <v>0</v>
      </c>
      <c r="E266" s="2">
        <f t="shared" si="27"/>
        <v>0</v>
      </c>
      <c r="F266" s="2">
        <f t="shared" si="28"/>
        <v>0</v>
      </c>
      <c r="G266" s="2">
        <f t="shared" si="29"/>
        <v>0</v>
      </c>
      <c r="H266" s="2">
        <f t="shared" si="30"/>
        <v>0</v>
      </c>
      <c r="I266" s="2">
        <f t="shared" si="26"/>
        <v>0</v>
      </c>
      <c r="J266">
        <f>IFERROR(VLOOKUP(B266,'General price list'!C:AI,12,FALSE)*(G266*C266),0)</f>
        <v>0</v>
      </c>
    </row>
    <row r="267" spans="2:10" ht="15" customHeight="1">
      <c r="B267" t="s">
        <v>2353</v>
      </c>
      <c r="C267" s="2" t="str">
        <f>IFERROR(VLOOKUP(B267,'Deutsche Markt'!C:AA,24,FALSE),"")</f>
        <v/>
      </c>
      <c r="D267" s="2">
        <f>IFERROR(VLOOKUP(B267,'Deutsche Markt'!C:AA,25,FALSE),0)</f>
        <v>0</v>
      </c>
      <c r="E267" s="2">
        <f t="shared" si="27"/>
        <v>0</v>
      </c>
      <c r="F267" s="2">
        <f t="shared" si="28"/>
        <v>0</v>
      </c>
      <c r="G267" s="2">
        <f t="shared" si="29"/>
        <v>0</v>
      </c>
      <c r="H267" s="2">
        <f t="shared" si="30"/>
        <v>0</v>
      </c>
      <c r="I267" s="2">
        <f t="shared" si="26"/>
        <v>0</v>
      </c>
      <c r="J267">
        <f>IFERROR(VLOOKUP(B267,'General price list'!C:AI,12,FALSE)*(G267*C267),0)</f>
        <v>0</v>
      </c>
    </row>
    <row r="268" spans="2:10" ht="15" customHeight="1">
      <c r="B268" t="s">
        <v>1218</v>
      </c>
      <c r="C268" s="2">
        <f>IFERROR(VLOOKUP(B268,'Deutsche Markt'!C:AA,24,FALSE),"")</f>
        <v>20</v>
      </c>
      <c r="D268" s="2">
        <f>IFERROR(VLOOKUP(B268,'Deutsche Markt'!C:AA,25,FALSE),0)</f>
        <v>0</v>
      </c>
      <c r="E268" s="2">
        <f t="shared" si="27"/>
        <v>0</v>
      </c>
      <c r="F268" s="2">
        <f t="shared" si="28"/>
        <v>0</v>
      </c>
      <c r="G268" s="2">
        <f t="shared" si="29"/>
        <v>0</v>
      </c>
      <c r="H268" s="2">
        <f t="shared" si="30"/>
        <v>0</v>
      </c>
      <c r="I268" s="2">
        <f t="shared" si="26"/>
        <v>0</v>
      </c>
      <c r="J268">
        <f>IFERROR(VLOOKUP(B268,'General price list'!C:AI,12,FALSE)*(G268*C268),0)</f>
        <v>0</v>
      </c>
    </row>
    <row r="269" spans="2:10" ht="15" customHeight="1">
      <c r="B269" t="s">
        <v>1217</v>
      </c>
      <c r="C269" s="2" t="str">
        <f>IFERROR(VLOOKUP(B269,'Deutsche Markt'!C:AA,24,FALSE),"")</f>
        <v/>
      </c>
      <c r="D269" s="2">
        <f>IFERROR(VLOOKUP(B269,'Deutsche Markt'!C:AA,25,FALSE),0)</f>
        <v>0</v>
      </c>
      <c r="E269" s="2">
        <f t="shared" si="27"/>
        <v>0</v>
      </c>
      <c r="F269" s="2">
        <f t="shared" si="28"/>
        <v>0</v>
      </c>
      <c r="G269" s="2">
        <f t="shared" si="29"/>
        <v>0</v>
      </c>
      <c r="H269" s="2">
        <f t="shared" si="30"/>
        <v>0</v>
      </c>
      <c r="I269" s="2">
        <f t="shared" si="26"/>
        <v>0</v>
      </c>
      <c r="J269">
        <f>IFERROR(VLOOKUP(B269,'General price list'!C:AI,12,FALSE)*(G269*C269),0)</f>
        <v>0</v>
      </c>
    </row>
    <row r="270" spans="2:10" ht="15" customHeight="1">
      <c r="B270" t="s">
        <v>1220</v>
      </c>
      <c r="C270" s="2">
        <f>IFERROR(VLOOKUP(B270,'Deutsche Markt'!C:AA,24,FALSE),"")</f>
        <v>20</v>
      </c>
      <c r="D270" s="2">
        <f>IFERROR(VLOOKUP(B270,'Deutsche Markt'!C:AA,25,FALSE),0)</f>
        <v>0</v>
      </c>
      <c r="E270" s="2">
        <f t="shared" si="27"/>
        <v>0</v>
      </c>
      <c r="F270" s="2">
        <f t="shared" si="28"/>
        <v>0</v>
      </c>
      <c r="G270" s="2">
        <f t="shared" si="29"/>
        <v>0</v>
      </c>
      <c r="H270" s="2">
        <f t="shared" si="30"/>
        <v>0</v>
      </c>
      <c r="I270" s="2">
        <f t="shared" si="26"/>
        <v>0</v>
      </c>
      <c r="J270">
        <f>IFERROR(VLOOKUP(B270,'General price list'!C:AI,12,FALSE)*(G270*C270),0)</f>
        <v>0</v>
      </c>
    </row>
    <row r="271" spans="2:10" ht="15" customHeight="1">
      <c r="B271" t="s">
        <v>2354</v>
      </c>
      <c r="C271" s="2" t="str">
        <f>IFERROR(VLOOKUP(B271,'Deutsche Markt'!C:AA,24,FALSE),"")</f>
        <v/>
      </c>
      <c r="D271" s="2">
        <f>IFERROR(VLOOKUP(B271,'Deutsche Markt'!C:AA,25,FALSE),0)</f>
        <v>0</v>
      </c>
      <c r="E271" s="2">
        <f t="shared" si="27"/>
        <v>0</v>
      </c>
      <c r="F271" s="2">
        <f t="shared" si="28"/>
        <v>0</v>
      </c>
      <c r="G271" s="2">
        <f t="shared" si="29"/>
        <v>0</v>
      </c>
      <c r="H271" s="2">
        <f t="shared" si="30"/>
        <v>0</v>
      </c>
      <c r="I271" s="2">
        <f t="shared" si="26"/>
        <v>0</v>
      </c>
      <c r="J271">
        <f>IFERROR(VLOOKUP(B271,'General price list'!C:AI,12,FALSE)*(G271*C271),0)</f>
        <v>0</v>
      </c>
    </row>
    <row r="272" spans="2:10" ht="15" customHeight="1">
      <c r="B272" t="s">
        <v>1216</v>
      </c>
      <c r="C272" s="2" t="str">
        <f>IFERROR(VLOOKUP(B272,'Deutsche Markt'!C:AA,24,FALSE),"")</f>
        <v/>
      </c>
      <c r="D272" s="2">
        <f>IFERROR(VLOOKUP(B272,'Deutsche Markt'!C:AA,25,FALSE),0)</f>
        <v>0</v>
      </c>
      <c r="E272" s="2">
        <f t="shared" si="27"/>
        <v>0</v>
      </c>
      <c r="F272" s="2">
        <f t="shared" si="28"/>
        <v>0</v>
      </c>
      <c r="G272" s="2">
        <f t="shared" si="29"/>
        <v>0</v>
      </c>
      <c r="H272" s="2">
        <f t="shared" si="30"/>
        <v>0</v>
      </c>
      <c r="I272" s="2">
        <f t="shared" si="26"/>
        <v>0</v>
      </c>
      <c r="J272">
        <f>IFERROR(VLOOKUP(B272,'General price list'!C:AI,12,FALSE)*(G272*C272),0)</f>
        <v>0</v>
      </c>
    </row>
    <row r="273" spans="2:10" ht="15" customHeight="1">
      <c r="B273" t="s">
        <v>1365</v>
      </c>
      <c r="C273" s="2">
        <f>IFERROR(VLOOKUP(B273,'Deutsche Markt'!C:AA,24,FALSE),"")</f>
        <v>28</v>
      </c>
      <c r="D273" s="2">
        <f>IFERROR(VLOOKUP(B273,'Deutsche Markt'!C:AA,25,FALSE),0)</f>
        <v>0</v>
      </c>
      <c r="E273" s="2">
        <f t="shared" si="27"/>
        <v>0</v>
      </c>
      <c r="F273" s="2">
        <f t="shared" si="28"/>
        <v>0</v>
      </c>
      <c r="G273" s="2">
        <f t="shared" si="29"/>
        <v>0</v>
      </c>
      <c r="H273" s="2">
        <f t="shared" si="30"/>
        <v>0</v>
      </c>
      <c r="I273" s="2">
        <f t="shared" si="26"/>
        <v>0</v>
      </c>
      <c r="J273">
        <f>IFERROR(VLOOKUP(B273,'General price list'!C:AI,12,FALSE)*(G273*C273),0)</f>
        <v>0</v>
      </c>
    </row>
    <row r="274" spans="2:10" ht="15" customHeight="1">
      <c r="B274" t="s">
        <v>1359</v>
      </c>
      <c r="C274" s="2">
        <f>IFERROR(VLOOKUP(B274,'Deutsche Markt'!C:AA,24,FALSE),"")</f>
        <v>28</v>
      </c>
      <c r="D274" s="2">
        <f>IFERROR(VLOOKUP(B274,'Deutsche Markt'!C:AA,25,FALSE),0)</f>
        <v>0</v>
      </c>
      <c r="E274" s="2">
        <f t="shared" si="27"/>
        <v>0</v>
      </c>
      <c r="F274" s="2">
        <f t="shared" si="28"/>
        <v>0</v>
      </c>
      <c r="G274" s="2">
        <f t="shared" si="29"/>
        <v>0</v>
      </c>
      <c r="H274" s="2">
        <f t="shared" si="30"/>
        <v>0</v>
      </c>
      <c r="I274" s="2">
        <f t="shared" si="26"/>
        <v>0</v>
      </c>
      <c r="J274">
        <f>IFERROR(VLOOKUP(B274,'General price list'!C:AI,12,FALSE)*(G274*C274),0)</f>
        <v>0</v>
      </c>
    </row>
    <row r="275" spans="2:10" ht="15" customHeight="1">
      <c r="B275" t="s">
        <v>1360</v>
      </c>
      <c r="C275" s="2">
        <f>IFERROR(VLOOKUP(B275,'Deutsche Markt'!C:AA,24,FALSE),"")</f>
        <v>28</v>
      </c>
      <c r="D275" s="2">
        <f>IFERROR(VLOOKUP(B275,'Deutsche Markt'!C:AA,25,FALSE),0)</f>
        <v>0</v>
      </c>
      <c r="E275" s="2">
        <f t="shared" si="27"/>
        <v>0</v>
      </c>
      <c r="F275" s="2">
        <f t="shared" si="28"/>
        <v>0</v>
      </c>
      <c r="G275" s="2">
        <f t="shared" si="29"/>
        <v>0</v>
      </c>
      <c r="H275" s="2">
        <f t="shared" si="30"/>
        <v>0</v>
      </c>
      <c r="I275" s="2">
        <f t="shared" si="26"/>
        <v>0</v>
      </c>
      <c r="J275">
        <f>IFERROR(VLOOKUP(B275,'General price list'!C:AI,12,FALSE)*(G275*C275),0)</f>
        <v>0</v>
      </c>
    </row>
    <row r="276" spans="2:10" ht="15" customHeight="1">
      <c r="B276" t="s">
        <v>1369</v>
      </c>
      <c r="C276" s="2">
        <f>IFERROR(VLOOKUP(B276,'Deutsche Markt'!C:AA,24,FALSE),"")</f>
        <v>28</v>
      </c>
      <c r="D276" s="2">
        <f>IFERROR(VLOOKUP(B276,'Deutsche Markt'!C:AA,25,FALSE),0)</f>
        <v>0</v>
      </c>
      <c r="E276" s="2">
        <f t="shared" si="27"/>
        <v>0</v>
      </c>
      <c r="F276" s="2">
        <f t="shared" si="28"/>
        <v>0</v>
      </c>
      <c r="G276" s="2">
        <f t="shared" si="29"/>
        <v>0</v>
      </c>
      <c r="H276" s="2">
        <f t="shared" si="30"/>
        <v>0</v>
      </c>
      <c r="I276" s="2">
        <f t="shared" si="26"/>
        <v>0</v>
      </c>
      <c r="J276">
        <f>IFERROR(VLOOKUP(B276,'General price list'!C:AI,12,FALSE)*(G276*C276),0)</f>
        <v>0</v>
      </c>
    </row>
    <row r="277" spans="2:10" ht="15" customHeight="1">
      <c r="B277" t="s">
        <v>1367</v>
      </c>
      <c r="C277" s="2">
        <f>IFERROR(VLOOKUP(B277,'Deutsche Markt'!C:AA,24,FALSE),"")</f>
        <v>28</v>
      </c>
      <c r="D277" s="2">
        <f>IFERROR(VLOOKUP(B277,'Deutsche Markt'!C:AA,25,FALSE),0)</f>
        <v>0</v>
      </c>
      <c r="E277" s="2">
        <f t="shared" si="27"/>
        <v>0</v>
      </c>
      <c r="F277" s="2">
        <f t="shared" si="28"/>
        <v>0</v>
      </c>
      <c r="G277" s="2">
        <f t="shared" si="29"/>
        <v>0</v>
      </c>
      <c r="H277" s="2">
        <f t="shared" si="30"/>
        <v>0</v>
      </c>
      <c r="I277" s="2">
        <f t="shared" si="26"/>
        <v>0</v>
      </c>
      <c r="J277">
        <f>IFERROR(VLOOKUP(B277,'General price list'!C:AI,12,FALSE)*(G277*C277),0)</f>
        <v>0</v>
      </c>
    </row>
    <row r="278" spans="2:10" ht="15" customHeight="1">
      <c r="B278" t="s">
        <v>1378</v>
      </c>
      <c r="C278" s="2">
        <f>IFERROR(VLOOKUP(B278,'Deutsche Markt'!C:AA,24,FALSE),"")</f>
        <v>28</v>
      </c>
      <c r="D278" s="2">
        <f>IFERROR(VLOOKUP(B278,'Deutsche Markt'!C:AA,25,FALSE),0)</f>
        <v>0</v>
      </c>
      <c r="E278" s="2">
        <f t="shared" si="27"/>
        <v>0</v>
      </c>
      <c r="F278" s="2">
        <f t="shared" si="28"/>
        <v>0</v>
      </c>
      <c r="G278" s="2">
        <f t="shared" si="29"/>
        <v>0</v>
      </c>
      <c r="H278" s="2">
        <f t="shared" si="30"/>
        <v>0</v>
      </c>
      <c r="I278" s="2">
        <f t="shared" si="26"/>
        <v>0</v>
      </c>
      <c r="J278">
        <f>IFERROR(VLOOKUP(B278,'General price list'!C:AI,12,FALSE)*(G278*C278),0)</f>
        <v>0</v>
      </c>
    </row>
    <row r="279" spans="2:10" ht="15" customHeight="1">
      <c r="B279" t="s">
        <v>1357</v>
      </c>
      <c r="C279" s="2">
        <f>IFERROR(VLOOKUP(B279,'Deutsche Markt'!C:AA,24,FALSE),"")</f>
        <v>28</v>
      </c>
      <c r="D279" s="2">
        <f>IFERROR(VLOOKUP(B279,'Deutsche Markt'!C:AA,25,FALSE),0)</f>
        <v>0</v>
      </c>
      <c r="E279" s="2">
        <f t="shared" si="27"/>
        <v>0</v>
      </c>
      <c r="F279" s="2">
        <f t="shared" si="28"/>
        <v>0</v>
      </c>
      <c r="G279" s="2">
        <f t="shared" si="29"/>
        <v>0</v>
      </c>
      <c r="H279" s="2">
        <f t="shared" si="30"/>
        <v>0</v>
      </c>
      <c r="I279" s="2">
        <f t="shared" si="26"/>
        <v>0</v>
      </c>
      <c r="J279">
        <f>IFERROR(VLOOKUP(B279,'General price list'!C:AI,12,FALSE)*(G279*C279),0)</f>
        <v>0</v>
      </c>
    </row>
    <row r="280" spans="2:10" ht="15" customHeight="1">
      <c r="B280" t="s">
        <v>1379</v>
      </c>
      <c r="C280" s="2" t="str">
        <f>IFERROR(VLOOKUP(B280,'Deutsche Markt'!C:AA,24,FALSE),"")</f>
        <v/>
      </c>
      <c r="D280" s="2">
        <f>IFERROR(VLOOKUP(B280,'Deutsche Markt'!C:AA,25,FALSE),0)</f>
        <v>0</v>
      </c>
      <c r="E280" s="2">
        <f t="shared" si="27"/>
        <v>0</v>
      </c>
      <c r="F280" s="2">
        <f t="shared" si="28"/>
        <v>0</v>
      </c>
      <c r="G280" s="2">
        <f t="shared" si="29"/>
        <v>0</v>
      </c>
      <c r="H280" s="2">
        <f t="shared" si="30"/>
        <v>0</v>
      </c>
      <c r="I280" s="2">
        <f t="shared" si="26"/>
        <v>0</v>
      </c>
      <c r="J280">
        <f>IFERROR(VLOOKUP(B280,'General price list'!C:AI,12,FALSE)*(G280*C280),0)</f>
        <v>0</v>
      </c>
    </row>
    <row r="281" spans="2:10" ht="15" customHeight="1">
      <c r="B281" t="s">
        <v>1609</v>
      </c>
      <c r="C281" s="2" t="str">
        <f>IFERROR(VLOOKUP(B281,'Deutsche Markt'!C:AA,24,FALSE),"")</f>
        <v/>
      </c>
      <c r="D281" s="2">
        <f>IFERROR(VLOOKUP(B281,'Deutsche Markt'!C:AA,25,FALSE),0)</f>
        <v>0</v>
      </c>
      <c r="E281" s="2">
        <f t="shared" si="27"/>
        <v>0</v>
      </c>
      <c r="F281" s="2">
        <f t="shared" si="28"/>
        <v>0</v>
      </c>
      <c r="G281" s="2">
        <f t="shared" si="29"/>
        <v>0</v>
      </c>
      <c r="H281" s="2">
        <f t="shared" si="30"/>
        <v>0</v>
      </c>
      <c r="I281" s="2">
        <f t="shared" si="26"/>
        <v>0</v>
      </c>
      <c r="J281">
        <f>IFERROR(VLOOKUP(B281,'General price list'!C:AI,12,FALSE)*(G281*C281),0)</f>
        <v>0</v>
      </c>
    </row>
    <row r="282" spans="2:10" ht="15" customHeight="1">
      <c r="B282" t="s">
        <v>1358</v>
      </c>
      <c r="C282" s="2">
        <f>IFERROR(VLOOKUP(B282,'Deutsche Markt'!C:AA,24,FALSE),"")</f>
        <v>28</v>
      </c>
      <c r="D282" s="2">
        <f>IFERROR(VLOOKUP(B282,'Deutsche Markt'!C:AA,25,FALSE),0)</f>
        <v>0</v>
      </c>
      <c r="E282" s="2">
        <f t="shared" si="27"/>
        <v>0</v>
      </c>
      <c r="F282" s="2">
        <f t="shared" si="28"/>
        <v>0</v>
      </c>
      <c r="G282" s="2">
        <f t="shared" si="29"/>
        <v>0</v>
      </c>
      <c r="H282" s="2">
        <f t="shared" si="30"/>
        <v>0</v>
      </c>
      <c r="I282" s="2">
        <f t="shared" si="26"/>
        <v>0</v>
      </c>
      <c r="J282">
        <f>IFERROR(VLOOKUP(B282,'General price list'!C:AI,12,FALSE)*(G282*C282),0)</f>
        <v>0</v>
      </c>
    </row>
    <row r="283" spans="2:10" ht="15" customHeight="1">
      <c r="B283" t="s">
        <v>1361</v>
      </c>
      <c r="C283" s="2">
        <f>IFERROR(VLOOKUP(B283,'Deutsche Markt'!C:AA,24,FALSE),"")</f>
        <v>28</v>
      </c>
      <c r="D283" s="2">
        <f>IFERROR(VLOOKUP(B283,'Deutsche Markt'!C:AA,25,FALSE),0)</f>
        <v>0</v>
      </c>
      <c r="E283" s="2">
        <f t="shared" si="27"/>
        <v>0</v>
      </c>
      <c r="F283" s="2">
        <f t="shared" si="28"/>
        <v>0</v>
      </c>
      <c r="G283" s="2">
        <f t="shared" si="29"/>
        <v>0</v>
      </c>
      <c r="H283" s="2">
        <f t="shared" si="30"/>
        <v>0</v>
      </c>
      <c r="I283" s="2">
        <f t="shared" si="26"/>
        <v>0</v>
      </c>
      <c r="J283">
        <f>IFERROR(VLOOKUP(B283,'General price list'!C:AI,12,FALSE)*(G283*C283),0)</f>
        <v>0</v>
      </c>
    </row>
    <row r="284" spans="2:10" ht="15" customHeight="1">
      <c r="B284" t="s">
        <v>12226</v>
      </c>
      <c r="C284" s="2" t="str">
        <f>IFERROR(VLOOKUP(B284,'Deutsche Markt'!C:AA,24,FALSE),"")</f>
        <v/>
      </c>
      <c r="D284" s="2">
        <f>IFERROR(VLOOKUP(B284,'Deutsche Markt'!C:AA,25,FALSE),0)</f>
        <v>0</v>
      </c>
      <c r="E284" s="2">
        <f t="shared" si="27"/>
        <v>0</v>
      </c>
      <c r="F284" s="2">
        <f t="shared" si="28"/>
        <v>0</v>
      </c>
      <c r="G284" s="2">
        <f t="shared" si="29"/>
        <v>0</v>
      </c>
      <c r="H284" s="2">
        <f t="shared" si="30"/>
        <v>0</v>
      </c>
      <c r="I284" s="2">
        <f t="shared" si="26"/>
        <v>0</v>
      </c>
      <c r="J284">
        <f>IFERROR(VLOOKUP(B284,'General price list'!C:AI,12,FALSE)*(G284*C284),0)</f>
        <v>0</v>
      </c>
    </row>
    <row r="285" spans="2:10" ht="15" customHeight="1">
      <c r="B285" t="s">
        <v>1611</v>
      </c>
      <c r="C285" s="2" t="str">
        <f>IFERROR(VLOOKUP(B285,'Deutsche Markt'!C:AA,24,FALSE),"")</f>
        <v/>
      </c>
      <c r="D285" s="2">
        <f>IFERROR(VLOOKUP(B285,'Deutsche Markt'!C:AA,25,FALSE),0)</f>
        <v>0</v>
      </c>
      <c r="E285" s="2">
        <f t="shared" si="27"/>
        <v>0</v>
      </c>
      <c r="F285" s="2">
        <f t="shared" si="28"/>
        <v>0</v>
      </c>
      <c r="G285" s="2">
        <f t="shared" si="29"/>
        <v>0</v>
      </c>
      <c r="H285" s="2">
        <f t="shared" si="30"/>
        <v>0</v>
      </c>
      <c r="I285" s="2">
        <f t="shared" si="26"/>
        <v>0</v>
      </c>
      <c r="J285">
        <f>IFERROR(VLOOKUP(B285,'General price list'!C:AI,12,FALSE)*(G285*C285),0)</f>
        <v>0</v>
      </c>
    </row>
    <row r="286" spans="2:10" ht="15" customHeight="1">
      <c r="B286" t="s">
        <v>1348</v>
      </c>
      <c r="C286" s="2">
        <f>IFERROR(VLOOKUP(B286,'Deutsche Markt'!C:AA,24,FALSE),"")</f>
        <v>28</v>
      </c>
      <c r="D286" s="2">
        <f>IFERROR(VLOOKUP(B286,'Deutsche Markt'!C:AA,25,FALSE),0)</f>
        <v>0</v>
      </c>
      <c r="E286" s="2">
        <f t="shared" si="27"/>
        <v>0</v>
      </c>
      <c r="F286" s="2">
        <f t="shared" si="28"/>
        <v>0</v>
      </c>
      <c r="G286" s="2">
        <f t="shared" si="29"/>
        <v>0</v>
      </c>
      <c r="H286" s="2">
        <f t="shared" si="30"/>
        <v>0</v>
      </c>
      <c r="I286" s="2">
        <f t="shared" si="26"/>
        <v>0</v>
      </c>
      <c r="J286">
        <f>IFERROR(VLOOKUP(B286,'General price list'!C:AI,12,FALSE)*(G286*C286),0)</f>
        <v>0</v>
      </c>
    </row>
    <row r="287" spans="2:10" ht="15" customHeight="1">
      <c r="B287" t="s">
        <v>12560</v>
      </c>
      <c r="C287" s="2">
        <f>IFERROR(VLOOKUP(B287,'Deutsche Markt'!C:AA,24,FALSE),"")</f>
        <v>32</v>
      </c>
      <c r="D287" s="2">
        <f>IFERROR(VLOOKUP(B287,'Deutsche Markt'!C:AA,25,FALSE),0)</f>
        <v>0</v>
      </c>
      <c r="E287" s="2">
        <f t="shared" si="27"/>
        <v>0</v>
      </c>
      <c r="F287" s="2">
        <f t="shared" si="28"/>
        <v>0</v>
      </c>
      <c r="G287" s="2">
        <f t="shared" si="29"/>
        <v>0</v>
      </c>
      <c r="H287" s="2">
        <f t="shared" si="30"/>
        <v>0</v>
      </c>
      <c r="I287" s="2">
        <f t="shared" si="26"/>
        <v>0</v>
      </c>
      <c r="J287">
        <f>IFERROR(VLOOKUP(B287,'General price list'!C:AI,12,FALSE)*(G287*C287),0)</f>
        <v>0</v>
      </c>
    </row>
    <row r="288" spans="2:10" ht="15" customHeight="1">
      <c r="B288" t="s">
        <v>1366</v>
      </c>
      <c r="C288" s="2">
        <f>IFERROR(VLOOKUP(B288,'Deutsche Markt'!C:AA,24,FALSE),"")</f>
        <v>28</v>
      </c>
      <c r="D288" s="2">
        <f>IFERROR(VLOOKUP(B288,'Deutsche Markt'!C:AA,25,FALSE),0)</f>
        <v>0</v>
      </c>
      <c r="E288" s="2">
        <f t="shared" si="27"/>
        <v>0</v>
      </c>
      <c r="F288" s="2">
        <f t="shared" si="28"/>
        <v>0</v>
      </c>
      <c r="G288" s="2">
        <f t="shared" si="29"/>
        <v>0</v>
      </c>
      <c r="H288" s="2">
        <f t="shared" si="30"/>
        <v>0</v>
      </c>
      <c r="I288" s="2">
        <f t="shared" si="26"/>
        <v>0</v>
      </c>
      <c r="J288">
        <f>IFERROR(VLOOKUP(B288,'General price list'!C:AI,12,FALSE)*(G288*C288),0)</f>
        <v>0</v>
      </c>
    </row>
    <row r="289" spans="2:10" ht="15" customHeight="1">
      <c r="B289" t="s">
        <v>2404</v>
      </c>
      <c r="C289" s="2" t="str">
        <f>IFERROR(VLOOKUP(B289,'Deutsche Markt'!C:AA,24,FALSE),"")</f>
        <v/>
      </c>
      <c r="D289" s="2">
        <f>IFERROR(VLOOKUP(B289,'Deutsche Markt'!C:AA,25,FALSE),0)</f>
        <v>0</v>
      </c>
      <c r="E289" s="2">
        <f t="shared" si="27"/>
        <v>0</v>
      </c>
      <c r="F289" s="2">
        <f t="shared" si="28"/>
        <v>0</v>
      </c>
      <c r="G289" s="2">
        <f t="shared" si="29"/>
        <v>0</v>
      </c>
      <c r="H289" s="2">
        <f t="shared" si="30"/>
        <v>0</v>
      </c>
      <c r="I289" s="2">
        <f t="shared" si="26"/>
        <v>0</v>
      </c>
      <c r="J289">
        <f>IFERROR(VLOOKUP(B289,'General price list'!C:AI,12,FALSE)*(G289*C289),0)</f>
        <v>0</v>
      </c>
    </row>
    <row r="290" spans="2:10" ht="15" customHeight="1">
      <c r="B290" t="s">
        <v>2558</v>
      </c>
      <c r="C290" s="2" t="str">
        <f>IFERROR(VLOOKUP(B290,'Deutsche Markt'!C:AA,24,FALSE),"")</f>
        <v/>
      </c>
      <c r="D290" s="2">
        <f>IFERROR(VLOOKUP(B290,'Deutsche Markt'!C:AA,25,FALSE),0)</f>
        <v>0</v>
      </c>
      <c r="E290" s="2">
        <f t="shared" si="27"/>
        <v>0</v>
      </c>
      <c r="F290" s="2">
        <f t="shared" si="28"/>
        <v>0</v>
      </c>
      <c r="G290" s="2">
        <f t="shared" si="29"/>
        <v>0</v>
      </c>
      <c r="H290" s="2">
        <f t="shared" si="30"/>
        <v>0</v>
      </c>
      <c r="I290" s="2">
        <f t="shared" si="26"/>
        <v>0</v>
      </c>
      <c r="J290">
        <f>IFERROR(VLOOKUP(B290,'General price list'!C:AI,12,FALSE)*(G290*C290),0)</f>
        <v>0</v>
      </c>
    </row>
    <row r="291" spans="2:10" ht="15" customHeight="1">
      <c r="B291" t="s">
        <v>2376</v>
      </c>
      <c r="C291" s="2" t="str">
        <f>IFERROR(VLOOKUP(B291,'Deutsche Markt'!C:AA,24,FALSE),"")</f>
        <v/>
      </c>
      <c r="D291" s="2">
        <f>IFERROR(VLOOKUP(B291,'Deutsche Markt'!C:AA,25,FALSE),0)</f>
        <v>0</v>
      </c>
      <c r="E291" s="2">
        <f t="shared" si="27"/>
        <v>0</v>
      </c>
      <c r="F291" s="2">
        <f t="shared" si="28"/>
        <v>0</v>
      </c>
      <c r="G291" s="2">
        <f t="shared" si="29"/>
        <v>0</v>
      </c>
      <c r="H291" s="2">
        <f t="shared" si="30"/>
        <v>0</v>
      </c>
      <c r="I291" s="2">
        <f t="shared" si="26"/>
        <v>0</v>
      </c>
      <c r="J291">
        <f>IFERROR(VLOOKUP(B291,'General price list'!C:AI,12,FALSE)*(G291*C291),0)</f>
        <v>0</v>
      </c>
    </row>
    <row r="292" spans="2:10" ht="15" customHeight="1">
      <c r="B292" t="s">
        <v>2377</v>
      </c>
      <c r="C292" s="2" t="str">
        <f>IFERROR(VLOOKUP(B292,'Deutsche Markt'!C:AA,24,FALSE),"")</f>
        <v/>
      </c>
      <c r="D292" s="2">
        <f>IFERROR(VLOOKUP(B292,'Deutsche Markt'!C:AA,25,FALSE),0)</f>
        <v>0</v>
      </c>
      <c r="E292" s="2">
        <f t="shared" si="27"/>
        <v>0</v>
      </c>
      <c r="F292" s="2">
        <f t="shared" si="28"/>
        <v>0</v>
      </c>
      <c r="G292" s="2">
        <f t="shared" si="29"/>
        <v>0</v>
      </c>
      <c r="H292" s="2">
        <f t="shared" si="30"/>
        <v>0</v>
      </c>
      <c r="I292" s="2">
        <f t="shared" si="26"/>
        <v>0</v>
      </c>
      <c r="J292">
        <f>IFERROR(VLOOKUP(B292,'General price list'!C:AI,12,FALSE)*(G292*C292),0)</f>
        <v>0</v>
      </c>
    </row>
    <row r="293" spans="2:10" ht="15" customHeight="1">
      <c r="B293" t="s">
        <v>2375</v>
      </c>
      <c r="C293" s="2" t="str">
        <f>IFERROR(VLOOKUP(B293,'Deutsche Markt'!C:AA,24,FALSE),"")</f>
        <v/>
      </c>
      <c r="D293" s="2">
        <f>IFERROR(VLOOKUP(B293,'Deutsche Markt'!C:AA,25,FALSE),0)</f>
        <v>0</v>
      </c>
      <c r="E293" s="2">
        <f t="shared" si="27"/>
        <v>0</v>
      </c>
      <c r="F293" s="2">
        <f t="shared" si="28"/>
        <v>0</v>
      </c>
      <c r="G293" s="2">
        <f t="shared" si="29"/>
        <v>0</v>
      </c>
      <c r="H293" s="2">
        <f t="shared" si="30"/>
        <v>0</v>
      </c>
      <c r="I293" s="2">
        <f t="shared" si="26"/>
        <v>0</v>
      </c>
      <c r="J293">
        <f>IFERROR(VLOOKUP(B293,'General price list'!C:AI,12,FALSE)*(G293*C293),0)</f>
        <v>0</v>
      </c>
    </row>
    <row r="294" spans="2:10" ht="15" customHeight="1">
      <c r="B294" t="s">
        <v>1483</v>
      </c>
      <c r="C294" s="2" t="str">
        <f>IFERROR(VLOOKUP(B294,'Deutsche Markt'!C:AA,24,FALSE),"")</f>
        <v/>
      </c>
      <c r="D294" s="2">
        <f>IFERROR(VLOOKUP(B294,'Deutsche Markt'!C:AA,25,FALSE),0)</f>
        <v>0</v>
      </c>
      <c r="E294" s="2">
        <f t="shared" si="27"/>
        <v>0</v>
      </c>
      <c r="F294" s="2">
        <f t="shared" si="28"/>
        <v>0</v>
      </c>
      <c r="G294" s="2">
        <f t="shared" si="29"/>
        <v>0</v>
      </c>
      <c r="H294" s="2">
        <f t="shared" si="30"/>
        <v>0</v>
      </c>
      <c r="I294" s="2">
        <f t="shared" si="26"/>
        <v>0</v>
      </c>
      <c r="J294">
        <f>IFERROR(VLOOKUP(B294,'General price list'!C:AI,12,FALSE)*(G294*C294),0)</f>
        <v>0</v>
      </c>
    </row>
    <row r="295" spans="2:10" ht="15" customHeight="1">
      <c r="B295" t="s">
        <v>12225</v>
      </c>
      <c r="C295" s="2" t="str">
        <f>IFERROR(VLOOKUP(B295,'Deutsche Markt'!C:AA,24,FALSE),"")</f>
        <v/>
      </c>
      <c r="D295" s="2">
        <f>IFERROR(VLOOKUP(B295,'Deutsche Markt'!C:AA,25,FALSE),0)</f>
        <v>0</v>
      </c>
      <c r="E295" s="2">
        <f t="shared" si="27"/>
        <v>0</v>
      </c>
      <c r="F295" s="2">
        <f t="shared" si="28"/>
        <v>0</v>
      </c>
      <c r="G295" s="2">
        <f t="shared" si="29"/>
        <v>0</v>
      </c>
      <c r="H295" s="2">
        <f t="shared" si="30"/>
        <v>0</v>
      </c>
      <c r="I295" s="2">
        <f t="shared" si="26"/>
        <v>0</v>
      </c>
      <c r="J295">
        <f>IFERROR(VLOOKUP(B295,'General price list'!C:AI,12,FALSE)*(G295*C295),0)</f>
        <v>0</v>
      </c>
    </row>
    <row r="296" spans="2:10" ht="15" customHeight="1">
      <c r="B296" t="s">
        <v>1186</v>
      </c>
      <c r="C296" s="2" t="str">
        <f>IFERROR(VLOOKUP(B296,'Deutsche Markt'!C:AA,24,FALSE),"")</f>
        <v/>
      </c>
      <c r="D296" s="2">
        <f>IFERROR(VLOOKUP(B296,'Deutsche Markt'!C:AA,25,FALSE),0)</f>
        <v>0</v>
      </c>
      <c r="E296" s="2">
        <f t="shared" si="27"/>
        <v>0</v>
      </c>
      <c r="F296" s="2">
        <f t="shared" si="28"/>
        <v>0</v>
      </c>
      <c r="G296" s="2">
        <f t="shared" si="29"/>
        <v>0</v>
      </c>
      <c r="H296" s="2">
        <f t="shared" si="30"/>
        <v>0</v>
      </c>
      <c r="I296" s="2">
        <f t="shared" si="26"/>
        <v>0</v>
      </c>
      <c r="J296">
        <f>IFERROR(VLOOKUP(B296,'General price list'!C:AI,12,FALSE)*(G296*C296),0)</f>
        <v>0</v>
      </c>
    </row>
    <row r="297" spans="2:10" ht="15" customHeight="1">
      <c r="B297" t="s">
        <v>2501</v>
      </c>
      <c r="C297" s="2" t="str">
        <f>IFERROR(VLOOKUP(B297,'Deutsche Markt'!C:AA,24,FALSE),"")</f>
        <v/>
      </c>
      <c r="D297" s="2">
        <f>IFERROR(VLOOKUP(B297,'Deutsche Markt'!C:AA,25,FALSE),0)</f>
        <v>0</v>
      </c>
      <c r="E297" s="2">
        <f t="shared" si="27"/>
        <v>0</v>
      </c>
      <c r="F297" s="2">
        <f t="shared" si="28"/>
        <v>0</v>
      </c>
      <c r="G297" s="2">
        <f t="shared" si="29"/>
        <v>0</v>
      </c>
      <c r="H297" s="2">
        <f t="shared" si="30"/>
        <v>0</v>
      </c>
      <c r="I297" s="2">
        <f t="shared" si="26"/>
        <v>0</v>
      </c>
      <c r="J297">
        <f>IFERROR(VLOOKUP(B297,'General price list'!C:AI,12,FALSE)*(G297*C297),0)</f>
        <v>0</v>
      </c>
    </row>
    <row r="298" spans="2:10" ht="15" customHeight="1">
      <c r="B298" t="s">
        <v>1173</v>
      </c>
      <c r="C298" s="2">
        <f>IFERROR(VLOOKUP(B298,'Deutsche Markt'!C:AA,24,FALSE),"")</f>
        <v>66</v>
      </c>
      <c r="D298" s="2">
        <f>IFERROR(VLOOKUP(B298,'Deutsche Markt'!C:AA,25,FALSE),0)</f>
        <v>0</v>
      </c>
      <c r="E298" s="2">
        <f t="shared" si="27"/>
        <v>0</v>
      </c>
      <c r="F298" s="2">
        <f t="shared" si="28"/>
        <v>0</v>
      </c>
      <c r="G298" s="2">
        <f t="shared" si="29"/>
        <v>0</v>
      </c>
      <c r="H298" s="2">
        <f t="shared" si="30"/>
        <v>0</v>
      </c>
      <c r="I298" s="2">
        <f t="shared" si="26"/>
        <v>0</v>
      </c>
      <c r="J298">
        <f>IFERROR(VLOOKUP(B298,'General price list'!C:AI,12,FALSE)*(G298*C298),0)</f>
        <v>0</v>
      </c>
    </row>
    <row r="299" spans="2:10" ht="15" customHeight="1">
      <c r="B299" t="s">
        <v>4971</v>
      </c>
      <c r="C299" s="2" t="str">
        <f>IFERROR(VLOOKUP(B299,'Deutsche Markt'!C:AA,24,FALSE),"")</f>
        <v/>
      </c>
      <c r="D299" s="2">
        <f>IFERROR(VLOOKUP(B299,'Deutsche Markt'!C:AA,25,FALSE),0)</f>
        <v>0</v>
      </c>
      <c r="E299" s="2">
        <f t="shared" si="27"/>
        <v>0</v>
      </c>
      <c r="F299" s="2">
        <f t="shared" si="28"/>
        <v>0</v>
      </c>
      <c r="G299" s="2">
        <f t="shared" si="29"/>
        <v>0</v>
      </c>
      <c r="H299" s="2">
        <f t="shared" si="30"/>
        <v>0</v>
      </c>
      <c r="I299" s="2">
        <f t="shared" si="26"/>
        <v>0</v>
      </c>
      <c r="J299">
        <f>IFERROR(VLOOKUP(B299,'General price list'!C:AI,12,FALSE)*(G299*C299),0)</f>
        <v>0</v>
      </c>
    </row>
    <row r="300" spans="2:10" ht="15" customHeight="1">
      <c r="B300" t="s">
        <v>1479</v>
      </c>
      <c r="C300" s="2" t="str">
        <f>IFERROR(VLOOKUP(B300,'Deutsche Markt'!C:AA,24,FALSE),"")</f>
        <v/>
      </c>
      <c r="D300" s="2">
        <f>IFERROR(VLOOKUP(B300,'Deutsche Markt'!C:AA,25,FALSE),0)</f>
        <v>0</v>
      </c>
      <c r="E300" s="2">
        <f t="shared" si="27"/>
        <v>0</v>
      </c>
      <c r="F300" s="2">
        <f t="shared" si="28"/>
        <v>0</v>
      </c>
      <c r="G300" s="2">
        <f t="shared" si="29"/>
        <v>0</v>
      </c>
      <c r="H300" s="2">
        <f t="shared" si="30"/>
        <v>0</v>
      </c>
      <c r="I300" s="2">
        <f t="shared" si="26"/>
        <v>0</v>
      </c>
      <c r="J300">
        <f>IFERROR(VLOOKUP(B300,'General price list'!C:AI,12,FALSE)*(G300*C300),0)</f>
        <v>0</v>
      </c>
    </row>
    <row r="301" spans="2:10" ht="15" customHeight="1">
      <c r="B301" t="s">
        <v>2439</v>
      </c>
      <c r="C301" s="2" t="str">
        <f>IFERROR(VLOOKUP(B301,'Deutsche Markt'!C:AA,24,FALSE),"")</f>
        <v/>
      </c>
      <c r="D301" s="2">
        <f>IFERROR(VLOOKUP(B301,'Deutsche Markt'!C:AA,25,FALSE),0)</f>
        <v>0</v>
      </c>
      <c r="E301" s="2">
        <f t="shared" si="27"/>
        <v>0</v>
      </c>
      <c r="F301" s="2">
        <f t="shared" si="28"/>
        <v>0</v>
      </c>
      <c r="G301" s="2">
        <f t="shared" si="29"/>
        <v>0</v>
      </c>
      <c r="H301" s="2">
        <f t="shared" si="30"/>
        <v>0</v>
      </c>
      <c r="I301" s="2">
        <f t="shared" si="26"/>
        <v>0</v>
      </c>
      <c r="J301">
        <f>IFERROR(VLOOKUP(B301,'General price list'!C:AI,12,FALSE)*(G301*C301),0)</f>
        <v>0</v>
      </c>
    </row>
    <row r="302" spans="2:10" ht="15" customHeight="1">
      <c r="B302" t="s">
        <v>2374</v>
      </c>
      <c r="C302" s="2" t="str">
        <f>IFERROR(VLOOKUP(B302,'Deutsche Markt'!C:AA,24,FALSE),"")</f>
        <v/>
      </c>
      <c r="D302" s="2">
        <f>IFERROR(VLOOKUP(B302,'Deutsche Markt'!C:AA,25,FALSE),0)</f>
        <v>0</v>
      </c>
      <c r="E302" s="2">
        <f t="shared" si="27"/>
        <v>0</v>
      </c>
      <c r="F302" s="2">
        <f t="shared" si="28"/>
        <v>0</v>
      </c>
      <c r="G302" s="2">
        <f t="shared" si="29"/>
        <v>0</v>
      </c>
      <c r="H302" s="2">
        <f t="shared" si="30"/>
        <v>0</v>
      </c>
      <c r="I302" s="2">
        <f t="shared" si="26"/>
        <v>0</v>
      </c>
      <c r="J302">
        <f>IFERROR(VLOOKUP(B302,'General price list'!C:AI,12,FALSE)*(G302*C302),0)</f>
        <v>0</v>
      </c>
    </row>
    <row r="303" spans="2:10" ht="15" customHeight="1">
      <c r="B303" t="s">
        <v>2540</v>
      </c>
      <c r="C303" s="2" t="str">
        <f>IFERROR(VLOOKUP(B303,'Deutsche Markt'!C:AA,24,FALSE),"")</f>
        <v/>
      </c>
      <c r="D303" s="2">
        <f>IFERROR(VLOOKUP(B303,'Deutsche Markt'!C:AA,25,FALSE),0)</f>
        <v>0</v>
      </c>
      <c r="E303" s="2">
        <f t="shared" si="27"/>
        <v>0</v>
      </c>
      <c r="F303" s="2">
        <f t="shared" si="28"/>
        <v>0</v>
      </c>
      <c r="G303" s="2">
        <f t="shared" si="29"/>
        <v>0</v>
      </c>
      <c r="H303" s="2">
        <f t="shared" si="30"/>
        <v>0</v>
      </c>
      <c r="I303" s="2">
        <f t="shared" si="26"/>
        <v>0</v>
      </c>
      <c r="J303">
        <f>IFERROR(VLOOKUP(B303,'General price list'!C:AI,12,FALSE)*(G303*C303),0)</f>
        <v>0</v>
      </c>
    </row>
    <row r="304" spans="2:10" ht="15" customHeight="1">
      <c r="B304" t="s">
        <v>1498</v>
      </c>
      <c r="C304" s="2" t="str">
        <f>IFERROR(VLOOKUP(B304,'Deutsche Markt'!C:AA,24,FALSE),"")</f>
        <v/>
      </c>
      <c r="D304" s="2">
        <f>IFERROR(VLOOKUP(B304,'Deutsche Markt'!C:AA,25,FALSE),0)</f>
        <v>0</v>
      </c>
      <c r="E304" s="2">
        <f t="shared" si="27"/>
        <v>0</v>
      </c>
      <c r="F304" s="2">
        <f t="shared" si="28"/>
        <v>0</v>
      </c>
      <c r="G304" s="2">
        <f t="shared" si="29"/>
        <v>0</v>
      </c>
      <c r="H304" s="2">
        <f t="shared" si="30"/>
        <v>0</v>
      </c>
      <c r="I304" s="2">
        <f t="shared" si="26"/>
        <v>0</v>
      </c>
      <c r="J304">
        <f>IFERROR(VLOOKUP(B304,'General price list'!C:AI,12,FALSE)*(G304*C304),0)</f>
        <v>0</v>
      </c>
    </row>
    <row r="305" spans="2:10" ht="15" customHeight="1">
      <c r="B305" t="s">
        <v>1197</v>
      </c>
      <c r="C305" s="2" t="str">
        <f>IFERROR(VLOOKUP(B305,'Deutsche Markt'!C:AA,24,FALSE),"")</f>
        <v/>
      </c>
      <c r="D305" s="2">
        <f>IFERROR(VLOOKUP(B305,'Deutsche Markt'!C:AA,25,FALSE),0)</f>
        <v>0</v>
      </c>
      <c r="E305" s="2">
        <f t="shared" si="27"/>
        <v>0</v>
      </c>
      <c r="F305" s="2">
        <f t="shared" si="28"/>
        <v>0</v>
      </c>
      <c r="G305" s="2">
        <f t="shared" si="29"/>
        <v>0</v>
      </c>
      <c r="H305" s="2">
        <f t="shared" si="30"/>
        <v>0</v>
      </c>
      <c r="I305" s="2">
        <f t="shared" si="26"/>
        <v>0</v>
      </c>
      <c r="J305">
        <f>IFERROR(VLOOKUP(B305,'General price list'!C:AI,12,FALSE)*(G305*C305),0)</f>
        <v>0</v>
      </c>
    </row>
    <row r="306" spans="2:10" ht="15" customHeight="1">
      <c r="B306" t="s">
        <v>2504</v>
      </c>
      <c r="C306" s="2" t="str">
        <f>IFERROR(VLOOKUP(B306,'Deutsche Markt'!C:AA,24,FALSE),"")</f>
        <v/>
      </c>
      <c r="D306" s="2">
        <f>IFERROR(VLOOKUP(B306,'Deutsche Markt'!C:AA,25,FALSE),0)</f>
        <v>0</v>
      </c>
      <c r="E306" s="2">
        <f t="shared" si="27"/>
        <v>0</v>
      </c>
      <c r="F306" s="2">
        <f t="shared" si="28"/>
        <v>0</v>
      </c>
      <c r="G306" s="2">
        <f t="shared" si="29"/>
        <v>0</v>
      </c>
      <c r="H306" s="2">
        <f t="shared" si="30"/>
        <v>0</v>
      </c>
      <c r="I306" s="2">
        <f t="shared" si="26"/>
        <v>0</v>
      </c>
      <c r="J306">
        <f>IFERROR(VLOOKUP(B306,'General price list'!C:AI,12,FALSE)*(G306*C306),0)</f>
        <v>0</v>
      </c>
    </row>
    <row r="307" spans="2:10" ht="15" customHeight="1">
      <c r="B307" t="s">
        <v>1199</v>
      </c>
      <c r="C307" s="2" t="str">
        <f>IFERROR(VLOOKUP(B307,'Deutsche Markt'!C:AA,24,FALSE),"")</f>
        <v/>
      </c>
      <c r="D307" s="2">
        <f>IFERROR(VLOOKUP(B307,'Deutsche Markt'!C:AA,25,FALSE),0)</f>
        <v>0</v>
      </c>
      <c r="E307" s="2">
        <f t="shared" si="27"/>
        <v>0</v>
      </c>
      <c r="F307" s="2">
        <f t="shared" si="28"/>
        <v>0</v>
      </c>
      <c r="G307" s="2">
        <f t="shared" si="29"/>
        <v>0</v>
      </c>
      <c r="H307" s="2">
        <f t="shared" si="30"/>
        <v>0</v>
      </c>
      <c r="I307" s="2">
        <f t="shared" si="26"/>
        <v>0</v>
      </c>
      <c r="J307">
        <f>IFERROR(VLOOKUP(B307,'General price list'!C:AI,12,FALSE)*(G307*C307),0)</f>
        <v>0</v>
      </c>
    </row>
    <row r="308" spans="2:10" ht="15" customHeight="1">
      <c r="B308" t="s">
        <v>5001</v>
      </c>
      <c r="C308" s="2" t="str">
        <f>IFERROR(VLOOKUP(B308,'Deutsche Markt'!C:AA,24,FALSE),"")</f>
        <v/>
      </c>
      <c r="D308" s="2">
        <f>IFERROR(VLOOKUP(B308,'Deutsche Markt'!C:AA,25,FALSE),0)</f>
        <v>0</v>
      </c>
      <c r="E308" s="2">
        <f t="shared" si="27"/>
        <v>0</v>
      </c>
      <c r="F308" s="2">
        <f t="shared" si="28"/>
        <v>0</v>
      </c>
      <c r="G308" s="2">
        <f t="shared" si="29"/>
        <v>0</v>
      </c>
      <c r="H308" s="2">
        <f t="shared" si="30"/>
        <v>0</v>
      </c>
      <c r="I308" s="2">
        <f t="shared" si="26"/>
        <v>0</v>
      </c>
      <c r="J308">
        <f>IFERROR(VLOOKUP(B308,'General price list'!C:AI,12,FALSE)*(G308*C308),0)</f>
        <v>0</v>
      </c>
    </row>
    <row r="309" spans="2:10" ht="15" customHeight="1">
      <c r="B309" t="s">
        <v>1187</v>
      </c>
      <c r="C309" s="2" t="str">
        <f>IFERROR(VLOOKUP(B309,'Deutsche Markt'!C:AA,24,FALSE),"")</f>
        <v/>
      </c>
      <c r="D309" s="2">
        <f>IFERROR(VLOOKUP(B309,'Deutsche Markt'!C:AA,25,FALSE),0)</f>
        <v>0</v>
      </c>
      <c r="E309" s="2">
        <f t="shared" si="27"/>
        <v>0</v>
      </c>
      <c r="F309" s="2">
        <f t="shared" si="28"/>
        <v>0</v>
      </c>
      <c r="G309" s="2">
        <f t="shared" si="29"/>
        <v>0</v>
      </c>
      <c r="H309" s="2">
        <f t="shared" si="30"/>
        <v>0</v>
      </c>
      <c r="I309" s="2">
        <f t="shared" si="26"/>
        <v>0</v>
      </c>
      <c r="J309">
        <f>IFERROR(VLOOKUP(B309,'General price list'!C:AI,12,FALSE)*(G309*C309),0)</f>
        <v>0</v>
      </c>
    </row>
    <row r="310" spans="2:10" ht="15" customHeight="1">
      <c r="B310" t="s">
        <v>2502</v>
      </c>
      <c r="C310" s="2" t="str">
        <f>IFERROR(VLOOKUP(B310,'Deutsche Markt'!C:AA,24,FALSE),"")</f>
        <v/>
      </c>
      <c r="D310" s="2">
        <f>IFERROR(VLOOKUP(B310,'Deutsche Markt'!C:AA,25,FALSE),0)</f>
        <v>0</v>
      </c>
      <c r="E310" s="2">
        <f t="shared" si="27"/>
        <v>0</v>
      </c>
      <c r="F310" s="2">
        <f t="shared" si="28"/>
        <v>0</v>
      </c>
      <c r="G310" s="2">
        <f t="shared" si="29"/>
        <v>0</v>
      </c>
      <c r="H310" s="2">
        <f t="shared" si="30"/>
        <v>0</v>
      </c>
      <c r="I310" s="2">
        <f t="shared" si="26"/>
        <v>0</v>
      </c>
      <c r="J310">
        <f>IFERROR(VLOOKUP(B310,'General price list'!C:AI,12,FALSE)*(G310*C310),0)</f>
        <v>0</v>
      </c>
    </row>
    <row r="311" spans="2:10" ht="15" customHeight="1">
      <c r="B311" t="s">
        <v>1178</v>
      </c>
      <c r="C311" s="2">
        <f>IFERROR(VLOOKUP(B311,'Deutsche Markt'!C:AA,24,FALSE),"")</f>
        <v>18</v>
      </c>
      <c r="D311" s="2">
        <f>IFERROR(VLOOKUP(B311,'Deutsche Markt'!C:AA,25,FALSE),0)</f>
        <v>0</v>
      </c>
      <c r="E311" s="2">
        <f t="shared" si="27"/>
        <v>0</v>
      </c>
      <c r="F311" s="2">
        <f t="shared" si="28"/>
        <v>0</v>
      </c>
      <c r="G311" s="2">
        <f t="shared" si="29"/>
        <v>0</v>
      </c>
      <c r="H311" s="2">
        <f t="shared" si="30"/>
        <v>0</v>
      </c>
      <c r="I311" s="2">
        <f t="shared" si="26"/>
        <v>0</v>
      </c>
      <c r="J311">
        <f>IFERROR(VLOOKUP(B311,'General price list'!C:AI,12,FALSE)*(G311*C311),0)</f>
        <v>0</v>
      </c>
    </row>
    <row r="312" spans="2:10" ht="15" customHeight="1">
      <c r="B312" t="s">
        <v>4972</v>
      </c>
      <c r="C312" s="2" t="str">
        <f>IFERROR(VLOOKUP(B312,'Deutsche Markt'!C:AA,24,FALSE),"")</f>
        <v/>
      </c>
      <c r="D312" s="2">
        <f>IFERROR(VLOOKUP(B312,'Deutsche Markt'!C:AA,25,FALSE),0)</f>
        <v>0</v>
      </c>
      <c r="E312" s="2">
        <f t="shared" si="27"/>
        <v>0</v>
      </c>
      <c r="F312" s="2">
        <f t="shared" si="28"/>
        <v>0</v>
      </c>
      <c r="G312" s="2">
        <f t="shared" si="29"/>
        <v>0</v>
      </c>
      <c r="H312" s="2">
        <f t="shared" si="30"/>
        <v>0</v>
      </c>
      <c r="I312" s="2">
        <f t="shared" si="26"/>
        <v>0</v>
      </c>
      <c r="J312">
        <f>IFERROR(VLOOKUP(B312,'General price list'!C:AI,12,FALSE)*(G312*C312),0)</f>
        <v>0</v>
      </c>
    </row>
    <row r="313" spans="2:10" ht="15" customHeight="1">
      <c r="B313" t="s">
        <v>1200</v>
      </c>
      <c r="C313" s="2" t="str">
        <f>IFERROR(VLOOKUP(B313,'Deutsche Markt'!C:AA,24,FALSE),"")</f>
        <v/>
      </c>
      <c r="D313" s="2">
        <f>IFERROR(VLOOKUP(B313,'Deutsche Markt'!C:AA,25,FALSE),0)</f>
        <v>0</v>
      </c>
      <c r="E313" s="2">
        <f t="shared" si="27"/>
        <v>0</v>
      </c>
      <c r="F313" s="2">
        <f t="shared" si="28"/>
        <v>0</v>
      </c>
      <c r="G313" s="2">
        <f t="shared" si="29"/>
        <v>0</v>
      </c>
      <c r="H313" s="2">
        <f t="shared" si="30"/>
        <v>0</v>
      </c>
      <c r="I313" s="2">
        <f t="shared" si="26"/>
        <v>0</v>
      </c>
      <c r="J313">
        <f>IFERROR(VLOOKUP(B313,'General price list'!C:AI,12,FALSE)*(G313*C313),0)</f>
        <v>0</v>
      </c>
    </row>
    <row r="314" spans="2:10" ht="15" customHeight="1">
      <c r="B314" t="s">
        <v>2141</v>
      </c>
      <c r="C314" s="2" t="str">
        <f>IFERROR(VLOOKUP(B314,'Deutsche Markt'!C:AA,24,FALSE),"")</f>
        <v/>
      </c>
      <c r="D314" s="2">
        <f>IFERROR(VLOOKUP(B314,'Deutsche Markt'!C:AA,25,FALSE),0)</f>
        <v>0</v>
      </c>
      <c r="E314" s="2">
        <f t="shared" si="27"/>
        <v>0</v>
      </c>
      <c r="F314" s="2">
        <f t="shared" si="28"/>
        <v>0</v>
      </c>
      <c r="G314" s="2">
        <f t="shared" si="29"/>
        <v>0</v>
      </c>
      <c r="H314" s="2">
        <f t="shared" si="30"/>
        <v>0</v>
      </c>
      <c r="I314" s="2">
        <f t="shared" si="26"/>
        <v>0</v>
      </c>
      <c r="J314">
        <f>IFERROR(VLOOKUP(B314,'General price list'!C:AI,12,FALSE)*(G314*C314),0)</f>
        <v>0</v>
      </c>
    </row>
    <row r="315" spans="2:10" ht="15" customHeight="1">
      <c r="B315" t="s">
        <v>5003</v>
      </c>
      <c r="C315" s="2" t="str">
        <f>IFERROR(VLOOKUP(B315,'Deutsche Markt'!C:AA,24,FALSE),"")</f>
        <v/>
      </c>
      <c r="D315" s="2">
        <f>IFERROR(VLOOKUP(B315,'Deutsche Markt'!C:AA,25,FALSE),0)</f>
        <v>0</v>
      </c>
      <c r="E315" s="2">
        <f t="shared" si="27"/>
        <v>0</v>
      </c>
      <c r="F315" s="2">
        <f t="shared" si="28"/>
        <v>0</v>
      </c>
      <c r="G315" s="2">
        <f t="shared" si="29"/>
        <v>0</v>
      </c>
      <c r="H315" s="2">
        <f t="shared" si="30"/>
        <v>0</v>
      </c>
      <c r="I315" s="2">
        <f t="shared" si="26"/>
        <v>0</v>
      </c>
      <c r="J315">
        <f>IFERROR(VLOOKUP(B315,'General price list'!C:AI,12,FALSE)*(G315*C315),0)</f>
        <v>0</v>
      </c>
    </row>
    <row r="316" spans="2:10" ht="15" customHeight="1">
      <c r="B316" t="s">
        <v>1015</v>
      </c>
      <c r="C316" s="2" t="str">
        <f>IFERROR(VLOOKUP(B316,'Deutsche Markt'!C:AA,24,FALSE),"")</f>
        <v>40</v>
      </c>
      <c r="D316" s="2">
        <f>IFERROR(VLOOKUP(B316,'Deutsche Markt'!C:AA,25,FALSE),0)</f>
        <v>0</v>
      </c>
      <c r="E316" s="2">
        <f t="shared" si="27"/>
        <v>0</v>
      </c>
      <c r="F316" s="2">
        <f t="shared" si="28"/>
        <v>0</v>
      </c>
      <c r="G316" s="2">
        <f t="shared" si="29"/>
        <v>0</v>
      </c>
      <c r="H316" s="2">
        <f t="shared" si="30"/>
        <v>0</v>
      </c>
      <c r="I316" s="2">
        <f t="shared" si="26"/>
        <v>0</v>
      </c>
      <c r="J316">
        <f>IFERROR(VLOOKUP(B316,'General price list'!C:AI,12,FALSE)*(G316*C316),0)</f>
        <v>0</v>
      </c>
    </row>
    <row r="317" spans="2:10" ht="15" customHeight="1">
      <c r="B317" t="s">
        <v>2362</v>
      </c>
      <c r="C317" s="2" t="str">
        <f>IFERROR(VLOOKUP(B317,'Deutsche Markt'!C:AA,24,FALSE),"")</f>
        <v/>
      </c>
      <c r="D317" s="2">
        <f>IFERROR(VLOOKUP(B317,'Deutsche Markt'!C:AA,25,FALSE),0)</f>
        <v>0</v>
      </c>
      <c r="E317" s="2">
        <f t="shared" si="27"/>
        <v>0</v>
      </c>
      <c r="F317" s="2">
        <f t="shared" si="28"/>
        <v>0</v>
      </c>
      <c r="G317" s="2">
        <f t="shared" si="29"/>
        <v>0</v>
      </c>
      <c r="H317" s="2">
        <f t="shared" si="30"/>
        <v>0</v>
      </c>
      <c r="I317" s="2">
        <f t="shared" si="26"/>
        <v>0</v>
      </c>
      <c r="J317">
        <f>IFERROR(VLOOKUP(B317,'General price list'!C:AI,12,FALSE)*(G317*C317),0)</f>
        <v>0</v>
      </c>
    </row>
    <row r="318" spans="2:10" ht="15" customHeight="1">
      <c r="B318" t="s">
        <v>2517</v>
      </c>
      <c r="C318" s="2" t="str">
        <f>IFERROR(VLOOKUP(B318,'Deutsche Markt'!C:AA,24,FALSE),"")</f>
        <v/>
      </c>
      <c r="D318" s="2">
        <f>IFERROR(VLOOKUP(B318,'Deutsche Markt'!C:AA,25,FALSE),0)</f>
        <v>0</v>
      </c>
      <c r="E318" s="2">
        <f t="shared" si="27"/>
        <v>0</v>
      </c>
      <c r="F318" s="2">
        <f t="shared" si="28"/>
        <v>0</v>
      </c>
      <c r="G318" s="2">
        <f t="shared" si="29"/>
        <v>0</v>
      </c>
      <c r="H318" s="2">
        <f t="shared" si="30"/>
        <v>0</v>
      </c>
      <c r="I318" s="2">
        <f t="shared" si="26"/>
        <v>0</v>
      </c>
      <c r="J318">
        <f>IFERROR(VLOOKUP(B318,'General price list'!C:AI,12,FALSE)*(G318*C318),0)</f>
        <v>0</v>
      </c>
    </row>
    <row r="319" spans="2:10" ht="15" customHeight="1">
      <c r="B319" t="s">
        <v>1299</v>
      </c>
      <c r="C319" s="2" t="str">
        <f>IFERROR(VLOOKUP(B319,'Deutsche Markt'!C:AA,24,FALSE),"")</f>
        <v/>
      </c>
      <c r="D319" s="2">
        <f>IFERROR(VLOOKUP(B319,'Deutsche Markt'!C:AA,25,FALSE),0)</f>
        <v>0</v>
      </c>
      <c r="E319" s="2">
        <f t="shared" si="27"/>
        <v>0</v>
      </c>
      <c r="F319" s="2">
        <f t="shared" si="28"/>
        <v>0</v>
      </c>
      <c r="G319" s="2">
        <f t="shared" si="29"/>
        <v>0</v>
      </c>
      <c r="H319" s="2">
        <f t="shared" si="30"/>
        <v>0</v>
      </c>
      <c r="I319" s="2">
        <f t="shared" si="26"/>
        <v>0</v>
      </c>
      <c r="J319">
        <f>IFERROR(VLOOKUP(B319,'General price list'!C:AI,12,FALSE)*(G319*C319),0)</f>
        <v>0</v>
      </c>
    </row>
    <row r="320" spans="2:10" ht="15" customHeight="1">
      <c r="B320" t="s">
        <v>2516</v>
      </c>
      <c r="C320" s="2" t="str">
        <f>IFERROR(VLOOKUP(B320,'Deutsche Markt'!C:AA,24,FALSE),"")</f>
        <v/>
      </c>
      <c r="D320" s="2">
        <f>IFERROR(VLOOKUP(B320,'Deutsche Markt'!C:AA,25,FALSE),0)</f>
        <v>0</v>
      </c>
      <c r="E320" s="2">
        <f t="shared" si="27"/>
        <v>0</v>
      </c>
      <c r="F320" s="2">
        <f t="shared" si="28"/>
        <v>0</v>
      </c>
      <c r="G320" s="2">
        <f t="shared" si="29"/>
        <v>0</v>
      </c>
      <c r="H320" s="2">
        <f t="shared" si="30"/>
        <v>0</v>
      </c>
      <c r="I320" s="2">
        <f t="shared" si="26"/>
        <v>0</v>
      </c>
      <c r="J320">
        <f>IFERROR(VLOOKUP(B320,'General price list'!C:AI,12,FALSE)*(G320*C320),0)</f>
        <v>0</v>
      </c>
    </row>
    <row r="321" spans="2:10" ht="15" customHeight="1">
      <c r="B321" t="s">
        <v>1567</v>
      </c>
      <c r="C321" s="2" t="str">
        <f>IFERROR(VLOOKUP(B321,'Deutsche Markt'!C:AA,24,FALSE),"")</f>
        <v/>
      </c>
      <c r="D321" s="2">
        <f>IFERROR(VLOOKUP(B321,'Deutsche Markt'!C:AA,25,FALSE),0)</f>
        <v>0</v>
      </c>
      <c r="E321" s="2">
        <f t="shared" si="27"/>
        <v>0</v>
      </c>
      <c r="F321" s="2">
        <f t="shared" si="28"/>
        <v>0</v>
      </c>
      <c r="G321" s="2">
        <f t="shared" si="29"/>
        <v>0</v>
      </c>
      <c r="H321" s="2">
        <f t="shared" si="30"/>
        <v>0</v>
      </c>
      <c r="I321" s="2">
        <f t="shared" si="26"/>
        <v>0</v>
      </c>
      <c r="J321">
        <f>IFERROR(VLOOKUP(B321,'General price list'!C:AI,12,FALSE)*(G321*C321),0)</f>
        <v>0</v>
      </c>
    </row>
    <row r="322" spans="2:10" ht="15" customHeight="1">
      <c r="B322" t="s">
        <v>2643</v>
      </c>
      <c r="C322" s="2">
        <f>IFERROR(VLOOKUP(B322,'Deutsche Markt'!C:AA,24,FALSE),"")</f>
        <v>25</v>
      </c>
      <c r="D322" s="2">
        <f>IFERROR(VLOOKUP(B322,'Deutsche Markt'!C:AA,25,FALSE),0)</f>
        <v>0</v>
      </c>
      <c r="E322" s="2">
        <f t="shared" si="27"/>
        <v>0</v>
      </c>
      <c r="F322" s="2">
        <f t="shared" si="28"/>
        <v>0</v>
      </c>
      <c r="G322" s="2">
        <f t="shared" si="29"/>
        <v>0</v>
      </c>
      <c r="H322" s="2">
        <f t="shared" si="30"/>
        <v>0</v>
      </c>
      <c r="I322" s="2">
        <f t="shared" si="26"/>
        <v>0</v>
      </c>
      <c r="J322">
        <f>IFERROR(VLOOKUP(B322,'General price list'!C:AI,12,FALSE)*(G322*C322),0)</f>
        <v>0</v>
      </c>
    </row>
    <row r="323" spans="2:10" ht="15" customHeight="1">
      <c r="B323" t="s">
        <v>2336</v>
      </c>
      <c r="C323" s="2" t="str">
        <f>IFERROR(VLOOKUP(B323,'Deutsche Markt'!C:AA,24,FALSE),"")</f>
        <v/>
      </c>
      <c r="D323" s="2">
        <f>IFERROR(VLOOKUP(B323,'Deutsche Markt'!C:AA,25,FALSE),0)</f>
        <v>0</v>
      </c>
      <c r="E323" s="2">
        <f t="shared" si="27"/>
        <v>0</v>
      </c>
      <c r="F323" s="2">
        <f t="shared" si="28"/>
        <v>0</v>
      </c>
      <c r="G323" s="2">
        <f t="shared" si="29"/>
        <v>0</v>
      </c>
      <c r="H323" s="2">
        <f t="shared" si="30"/>
        <v>0</v>
      </c>
      <c r="I323" s="2">
        <f t="shared" si="26"/>
        <v>0</v>
      </c>
      <c r="J323">
        <f>IFERROR(VLOOKUP(B323,'General price list'!C:AI,12,FALSE)*(G323*C323),0)</f>
        <v>0</v>
      </c>
    </row>
    <row r="324" spans="2:10" ht="15" customHeight="1">
      <c r="B324" t="s">
        <v>2363</v>
      </c>
      <c r="C324" s="2">
        <f>IFERROR(VLOOKUP(B324,'Deutsche Markt'!C:AA,24,FALSE),"")</f>
        <v>56</v>
      </c>
      <c r="D324" s="2">
        <f>IFERROR(VLOOKUP(B324,'Deutsche Markt'!C:AA,25,FALSE),0)</f>
        <v>0</v>
      </c>
      <c r="E324" s="2">
        <f t="shared" si="27"/>
        <v>0</v>
      </c>
      <c r="F324" s="2">
        <f t="shared" si="28"/>
        <v>0</v>
      </c>
      <c r="G324" s="2">
        <f t="shared" si="29"/>
        <v>0</v>
      </c>
      <c r="H324" s="2">
        <f t="shared" si="30"/>
        <v>0</v>
      </c>
      <c r="I324" s="2">
        <f t="shared" ref="I324:I387" si="31">IFERROR(IF(D324=0,0,IF(F324=0,(D324*nextVK)+(prvniVK-nextVK),(G324*C324*nextVK)+(F324*PALzKoje))),0)</f>
        <v>0</v>
      </c>
      <c r="J324">
        <f>IFERROR(VLOOKUP(B324,'General price list'!C:AI,12,FALSE)*(G324*C324),0)</f>
        <v>0</v>
      </c>
    </row>
    <row r="325" spans="2:10" ht="15" customHeight="1">
      <c r="B325" t="s">
        <v>2378</v>
      </c>
      <c r="C325" s="2" t="str">
        <f>IFERROR(VLOOKUP(B325,'Deutsche Markt'!C:AA,24,FALSE),"")</f>
        <v/>
      </c>
      <c r="D325" s="2">
        <f>IFERROR(VLOOKUP(B325,'Deutsche Markt'!C:AA,25,FALSE),0)</f>
        <v>0</v>
      </c>
      <c r="E325" s="2">
        <f t="shared" ref="E325:E388" si="32">IFERROR(D325/C325,0)</f>
        <v>0</v>
      </c>
      <c r="F325" s="2">
        <f t="shared" ref="F325:F388" si="33">IFERROR(FLOOR(IF(E325-1&lt;0,0,E325),1),0)</f>
        <v>0</v>
      </c>
      <c r="G325" s="2">
        <f t="shared" ref="G325:G388" si="34">IFERROR(IF(H325&gt;E325,F325-E325,E325-F325),0)</f>
        <v>0</v>
      </c>
      <c r="H325" s="2">
        <f t="shared" ref="H325:H388" si="35">IFERROR(IF(E325=0,0,F325),0)</f>
        <v>0</v>
      </c>
      <c r="I325" s="2">
        <f t="shared" si="31"/>
        <v>0</v>
      </c>
      <c r="J325">
        <f>IFERROR(VLOOKUP(B325,'General price list'!C:AI,12,FALSE)*(G325*C325),0)</f>
        <v>0</v>
      </c>
    </row>
    <row r="326" spans="2:10" ht="15" customHeight="1">
      <c r="B326" t="s">
        <v>2379</v>
      </c>
      <c r="C326" s="2" t="str">
        <f>IFERROR(VLOOKUP(B326,'Deutsche Markt'!C:AA,24,FALSE),"")</f>
        <v/>
      </c>
      <c r="D326" s="2">
        <f>IFERROR(VLOOKUP(B326,'Deutsche Markt'!C:AA,25,FALSE),0)</f>
        <v>0</v>
      </c>
      <c r="E326" s="2">
        <f t="shared" si="32"/>
        <v>0</v>
      </c>
      <c r="F326" s="2">
        <f t="shared" si="33"/>
        <v>0</v>
      </c>
      <c r="G326" s="2">
        <f t="shared" si="34"/>
        <v>0</v>
      </c>
      <c r="H326" s="2">
        <f t="shared" si="35"/>
        <v>0</v>
      </c>
      <c r="I326" s="2">
        <f t="shared" si="31"/>
        <v>0</v>
      </c>
      <c r="J326">
        <f>IFERROR(VLOOKUP(B326,'General price list'!C:AI,12,FALSE)*(G326*C326),0)</f>
        <v>0</v>
      </c>
    </row>
    <row r="327" spans="2:10" ht="15" customHeight="1">
      <c r="B327" t="s">
        <v>1391</v>
      </c>
      <c r="C327" s="2" t="str">
        <f>IFERROR(VLOOKUP(B327,'Deutsche Markt'!C:AA,24,FALSE),"")</f>
        <v/>
      </c>
      <c r="D327" s="2">
        <f>IFERROR(VLOOKUP(B327,'Deutsche Markt'!C:AA,25,FALSE),0)</f>
        <v>0</v>
      </c>
      <c r="E327" s="2">
        <f t="shared" si="32"/>
        <v>0</v>
      </c>
      <c r="F327" s="2">
        <f t="shared" si="33"/>
        <v>0</v>
      </c>
      <c r="G327" s="2">
        <f t="shared" si="34"/>
        <v>0</v>
      </c>
      <c r="H327" s="2">
        <f t="shared" si="35"/>
        <v>0</v>
      </c>
      <c r="I327" s="2">
        <f t="shared" si="31"/>
        <v>0</v>
      </c>
      <c r="J327">
        <f>IFERROR(VLOOKUP(B327,'General price list'!C:AI,12,FALSE)*(G327*C327),0)</f>
        <v>0</v>
      </c>
    </row>
    <row r="328" spans="2:10" ht="15" customHeight="1">
      <c r="B328" t="s">
        <v>1394</v>
      </c>
      <c r="C328" s="2" t="str">
        <f>IFERROR(VLOOKUP(B328,'Deutsche Markt'!C:AA,24,FALSE),"")</f>
        <v/>
      </c>
      <c r="D328" s="2">
        <f>IFERROR(VLOOKUP(B328,'Deutsche Markt'!C:AA,25,FALSE),0)</f>
        <v>0</v>
      </c>
      <c r="E328" s="2">
        <f t="shared" si="32"/>
        <v>0</v>
      </c>
      <c r="F328" s="2">
        <f t="shared" si="33"/>
        <v>0</v>
      </c>
      <c r="G328" s="2">
        <f t="shared" si="34"/>
        <v>0</v>
      </c>
      <c r="H328" s="2">
        <f t="shared" si="35"/>
        <v>0</v>
      </c>
      <c r="I328" s="2">
        <f t="shared" si="31"/>
        <v>0</v>
      </c>
      <c r="J328">
        <f>IFERROR(VLOOKUP(B328,'General price list'!C:AI,12,FALSE)*(G328*C328),0)</f>
        <v>0</v>
      </c>
    </row>
    <row r="329" spans="2:10" ht="15" customHeight="1">
      <c r="B329" t="s">
        <v>1393</v>
      </c>
      <c r="C329" s="2" t="str">
        <f>IFERROR(VLOOKUP(B329,'Deutsche Markt'!C:AA,24,FALSE),"")</f>
        <v/>
      </c>
      <c r="D329" s="2">
        <f>IFERROR(VLOOKUP(B329,'Deutsche Markt'!C:AA,25,FALSE),0)</f>
        <v>0</v>
      </c>
      <c r="E329" s="2">
        <f t="shared" si="32"/>
        <v>0</v>
      </c>
      <c r="F329" s="2">
        <f t="shared" si="33"/>
        <v>0</v>
      </c>
      <c r="G329" s="2">
        <f t="shared" si="34"/>
        <v>0</v>
      </c>
      <c r="H329" s="2">
        <f t="shared" si="35"/>
        <v>0</v>
      </c>
      <c r="I329" s="2">
        <f t="shared" si="31"/>
        <v>0</v>
      </c>
      <c r="J329">
        <f>IFERROR(VLOOKUP(B329,'General price list'!C:AI,12,FALSE)*(G329*C329),0)</f>
        <v>0</v>
      </c>
    </row>
    <row r="330" spans="2:10" ht="15" customHeight="1">
      <c r="B330" t="s">
        <v>1392</v>
      </c>
      <c r="C330" s="2">
        <f>IFERROR(VLOOKUP(B330,'Deutsche Markt'!C:AA,24,FALSE),"")</f>
        <v>14</v>
      </c>
      <c r="D330" s="2">
        <f>IFERROR(VLOOKUP(B330,'Deutsche Markt'!C:AA,25,FALSE),0)</f>
        <v>0</v>
      </c>
      <c r="E330" s="2">
        <f t="shared" si="32"/>
        <v>0</v>
      </c>
      <c r="F330" s="2">
        <f t="shared" si="33"/>
        <v>0</v>
      </c>
      <c r="G330" s="2">
        <f t="shared" si="34"/>
        <v>0</v>
      </c>
      <c r="H330" s="2">
        <f t="shared" si="35"/>
        <v>0</v>
      </c>
      <c r="I330" s="2">
        <f t="shared" si="31"/>
        <v>0</v>
      </c>
      <c r="J330">
        <f>IFERROR(VLOOKUP(B330,'General price list'!C:AI,12,FALSE)*(G330*C330),0)</f>
        <v>0</v>
      </c>
    </row>
    <row r="331" spans="2:10" ht="15" customHeight="1">
      <c r="B331" t="s">
        <v>2380</v>
      </c>
      <c r="C331" s="2" t="str">
        <f>IFERROR(VLOOKUP(B331,'Deutsche Markt'!C:AA,24,FALSE),"")</f>
        <v/>
      </c>
      <c r="D331" s="2">
        <f>IFERROR(VLOOKUP(B331,'Deutsche Markt'!C:AA,25,FALSE),0)</f>
        <v>0</v>
      </c>
      <c r="E331" s="2">
        <f t="shared" si="32"/>
        <v>0</v>
      </c>
      <c r="F331" s="2">
        <f t="shared" si="33"/>
        <v>0</v>
      </c>
      <c r="G331" s="2">
        <f t="shared" si="34"/>
        <v>0</v>
      </c>
      <c r="H331" s="2">
        <f t="shared" si="35"/>
        <v>0</v>
      </c>
      <c r="I331" s="2">
        <f t="shared" si="31"/>
        <v>0</v>
      </c>
      <c r="J331">
        <f>IFERROR(VLOOKUP(B331,'General price list'!C:AI,12,FALSE)*(G331*C331),0)</f>
        <v>0</v>
      </c>
    </row>
    <row r="332" spans="2:10" ht="15" customHeight="1">
      <c r="B332" t="s">
        <v>2381</v>
      </c>
      <c r="C332" s="2" t="str">
        <f>IFERROR(VLOOKUP(B332,'Deutsche Markt'!C:AA,24,FALSE),"")</f>
        <v/>
      </c>
      <c r="D332" s="2">
        <f>IFERROR(VLOOKUP(B332,'Deutsche Markt'!C:AA,25,FALSE),0)</f>
        <v>0</v>
      </c>
      <c r="E332" s="2">
        <f t="shared" si="32"/>
        <v>0</v>
      </c>
      <c r="F332" s="2">
        <f t="shared" si="33"/>
        <v>0</v>
      </c>
      <c r="G332" s="2">
        <f t="shared" si="34"/>
        <v>0</v>
      </c>
      <c r="H332" s="2">
        <f t="shared" si="35"/>
        <v>0</v>
      </c>
      <c r="I332" s="2">
        <f t="shared" si="31"/>
        <v>0</v>
      </c>
      <c r="J332">
        <f>IFERROR(VLOOKUP(B332,'General price list'!C:AI,12,FALSE)*(G332*C332),0)</f>
        <v>0</v>
      </c>
    </row>
    <row r="333" spans="2:10" ht="15" customHeight="1">
      <c r="B333" t="s">
        <v>1484</v>
      </c>
      <c r="C333" s="2" t="str">
        <f>IFERROR(VLOOKUP(B333,'Deutsche Markt'!C:AA,24,FALSE),"")</f>
        <v/>
      </c>
      <c r="D333" s="2">
        <f>IFERROR(VLOOKUP(B333,'Deutsche Markt'!C:AA,25,FALSE),0)</f>
        <v>0</v>
      </c>
      <c r="E333" s="2">
        <f t="shared" si="32"/>
        <v>0</v>
      </c>
      <c r="F333" s="2">
        <f t="shared" si="33"/>
        <v>0</v>
      </c>
      <c r="G333" s="2">
        <f t="shared" si="34"/>
        <v>0</v>
      </c>
      <c r="H333" s="2">
        <f t="shared" si="35"/>
        <v>0</v>
      </c>
      <c r="I333" s="2">
        <f t="shared" si="31"/>
        <v>0</v>
      </c>
      <c r="J333">
        <f>IFERROR(VLOOKUP(B333,'General price list'!C:AI,12,FALSE)*(G333*C333),0)</f>
        <v>0</v>
      </c>
    </row>
    <row r="334" spans="2:10" ht="15" customHeight="1">
      <c r="B334" t="s">
        <v>2165</v>
      </c>
      <c r="C334" s="2" t="str">
        <f>IFERROR(VLOOKUP(B334,'Deutsche Markt'!C:AA,24,FALSE),"")</f>
        <v/>
      </c>
      <c r="D334" s="2">
        <f>IFERROR(VLOOKUP(B334,'Deutsche Markt'!C:AA,25,FALSE),0)</f>
        <v>0</v>
      </c>
      <c r="E334" s="2">
        <f t="shared" si="32"/>
        <v>0</v>
      </c>
      <c r="F334" s="2">
        <f t="shared" si="33"/>
        <v>0</v>
      </c>
      <c r="G334" s="2">
        <f t="shared" si="34"/>
        <v>0</v>
      </c>
      <c r="H334" s="2">
        <f t="shared" si="35"/>
        <v>0</v>
      </c>
      <c r="I334" s="2">
        <f t="shared" si="31"/>
        <v>0</v>
      </c>
      <c r="J334">
        <f>IFERROR(VLOOKUP(B334,'General price list'!C:AI,12,FALSE)*(G334*C334),0)</f>
        <v>0</v>
      </c>
    </row>
    <row r="335" spans="2:10" ht="15" customHeight="1">
      <c r="B335" t="s">
        <v>1501</v>
      </c>
      <c r="C335" s="2" t="str">
        <f>IFERROR(VLOOKUP(B335,'Deutsche Markt'!C:AA,24,FALSE),"")</f>
        <v/>
      </c>
      <c r="D335" s="2">
        <f>IFERROR(VLOOKUP(B335,'Deutsche Markt'!C:AA,25,FALSE),0)</f>
        <v>0</v>
      </c>
      <c r="E335" s="2">
        <f t="shared" si="32"/>
        <v>0</v>
      </c>
      <c r="F335" s="2">
        <f t="shared" si="33"/>
        <v>0</v>
      </c>
      <c r="G335" s="2">
        <f t="shared" si="34"/>
        <v>0</v>
      </c>
      <c r="H335" s="2">
        <f t="shared" si="35"/>
        <v>0</v>
      </c>
      <c r="I335" s="2">
        <f t="shared" si="31"/>
        <v>0</v>
      </c>
      <c r="J335">
        <f>IFERROR(VLOOKUP(B335,'General price list'!C:AI,12,FALSE)*(G335*C335),0)</f>
        <v>0</v>
      </c>
    </row>
    <row r="336" spans="2:10" ht="15" customHeight="1">
      <c r="B336" t="s">
        <v>2166</v>
      </c>
      <c r="C336" s="2" t="str">
        <f>IFERROR(VLOOKUP(B336,'Deutsche Markt'!C:AA,24,FALSE),"")</f>
        <v/>
      </c>
      <c r="D336" s="2">
        <f>IFERROR(VLOOKUP(B336,'Deutsche Markt'!C:AA,25,FALSE),0)</f>
        <v>0</v>
      </c>
      <c r="E336" s="2">
        <f t="shared" si="32"/>
        <v>0</v>
      </c>
      <c r="F336" s="2">
        <f t="shared" si="33"/>
        <v>0</v>
      </c>
      <c r="G336" s="2">
        <f t="shared" si="34"/>
        <v>0</v>
      </c>
      <c r="H336" s="2">
        <f t="shared" si="35"/>
        <v>0</v>
      </c>
      <c r="I336" s="2">
        <f t="shared" si="31"/>
        <v>0</v>
      </c>
      <c r="J336">
        <f>IFERROR(VLOOKUP(B336,'General price list'!C:AI,12,FALSE)*(G336*C336),0)</f>
        <v>0</v>
      </c>
    </row>
    <row r="337" spans="2:10" ht="15" customHeight="1">
      <c r="B337" t="s">
        <v>2405</v>
      </c>
      <c r="C337" s="2" t="str">
        <f>IFERROR(VLOOKUP(B337,'Deutsche Markt'!C:AA,24,FALSE),"")</f>
        <v/>
      </c>
      <c r="D337" s="2">
        <f>IFERROR(VLOOKUP(B337,'Deutsche Markt'!C:AA,25,FALSE),0)</f>
        <v>0</v>
      </c>
      <c r="E337" s="2">
        <f t="shared" si="32"/>
        <v>0</v>
      </c>
      <c r="F337" s="2">
        <f t="shared" si="33"/>
        <v>0</v>
      </c>
      <c r="G337" s="2">
        <f t="shared" si="34"/>
        <v>0</v>
      </c>
      <c r="H337" s="2">
        <f t="shared" si="35"/>
        <v>0</v>
      </c>
      <c r="I337" s="2">
        <f t="shared" si="31"/>
        <v>0</v>
      </c>
      <c r="J337">
        <f>IFERROR(VLOOKUP(B337,'General price list'!C:AI,12,FALSE)*(G337*C337),0)</f>
        <v>0</v>
      </c>
    </row>
    <row r="338" spans="2:10" ht="15" customHeight="1">
      <c r="B338" t="s">
        <v>2559</v>
      </c>
      <c r="C338" s="2" t="str">
        <f>IFERROR(VLOOKUP(B338,'Deutsche Markt'!C:AA,24,FALSE),"")</f>
        <v/>
      </c>
      <c r="D338" s="2">
        <f>IFERROR(VLOOKUP(B338,'Deutsche Markt'!C:AA,25,FALSE),0)</f>
        <v>0</v>
      </c>
      <c r="E338" s="2">
        <f t="shared" si="32"/>
        <v>0</v>
      </c>
      <c r="F338" s="2">
        <f t="shared" si="33"/>
        <v>0</v>
      </c>
      <c r="G338" s="2">
        <f t="shared" si="34"/>
        <v>0</v>
      </c>
      <c r="H338" s="2">
        <f t="shared" si="35"/>
        <v>0</v>
      </c>
      <c r="I338" s="2">
        <f t="shared" si="31"/>
        <v>0</v>
      </c>
      <c r="J338">
        <f>IFERROR(VLOOKUP(B338,'General price list'!C:AI,12,FALSE)*(G338*C338),0)</f>
        <v>0</v>
      </c>
    </row>
    <row r="339" spans="2:10" ht="15" customHeight="1">
      <c r="B339" t="s">
        <v>1201</v>
      </c>
      <c r="C339" s="2" t="str">
        <f>IFERROR(VLOOKUP(B339,'Deutsche Markt'!C:AA,24,FALSE),"")</f>
        <v/>
      </c>
      <c r="D339" s="2">
        <f>IFERROR(VLOOKUP(B339,'Deutsche Markt'!C:AA,25,FALSE),0)</f>
        <v>0</v>
      </c>
      <c r="E339" s="2">
        <f t="shared" si="32"/>
        <v>0</v>
      </c>
      <c r="F339" s="2">
        <f t="shared" si="33"/>
        <v>0</v>
      </c>
      <c r="G339" s="2">
        <f t="shared" si="34"/>
        <v>0</v>
      </c>
      <c r="H339" s="2">
        <f t="shared" si="35"/>
        <v>0</v>
      </c>
      <c r="I339" s="2">
        <f t="shared" si="31"/>
        <v>0</v>
      </c>
      <c r="J339">
        <f>IFERROR(VLOOKUP(B339,'General price list'!C:AI,12,FALSE)*(G339*C339),0)</f>
        <v>0</v>
      </c>
    </row>
    <row r="340" spans="2:10" ht="15" customHeight="1">
      <c r="B340" t="s">
        <v>2505</v>
      </c>
      <c r="C340" s="2" t="str">
        <f>IFERROR(VLOOKUP(B340,'Deutsche Markt'!C:AA,24,FALSE),"")</f>
        <v/>
      </c>
      <c r="D340" s="2">
        <f>IFERROR(VLOOKUP(B340,'Deutsche Markt'!C:AA,25,FALSE),0)</f>
        <v>0</v>
      </c>
      <c r="E340" s="2">
        <f t="shared" si="32"/>
        <v>0</v>
      </c>
      <c r="F340" s="2">
        <f t="shared" si="33"/>
        <v>0</v>
      </c>
      <c r="G340" s="2">
        <f t="shared" si="34"/>
        <v>0</v>
      </c>
      <c r="H340" s="2">
        <f t="shared" si="35"/>
        <v>0</v>
      </c>
      <c r="I340" s="2">
        <f t="shared" si="31"/>
        <v>0</v>
      </c>
      <c r="J340">
        <f>IFERROR(VLOOKUP(B340,'General price list'!C:AI,12,FALSE)*(G340*C340),0)</f>
        <v>0</v>
      </c>
    </row>
    <row r="341" spans="2:10" ht="15" customHeight="1">
      <c r="B341" t="s">
        <v>2383</v>
      </c>
      <c r="C341" s="2" t="str">
        <f>IFERROR(VLOOKUP(B341,'Deutsche Markt'!C:AA,24,FALSE),"")</f>
        <v/>
      </c>
      <c r="D341" s="2">
        <f>IFERROR(VLOOKUP(B341,'Deutsche Markt'!C:AA,25,FALSE),0)</f>
        <v>0</v>
      </c>
      <c r="E341" s="2">
        <f t="shared" si="32"/>
        <v>0</v>
      </c>
      <c r="F341" s="2">
        <f t="shared" si="33"/>
        <v>0</v>
      </c>
      <c r="G341" s="2">
        <f t="shared" si="34"/>
        <v>0</v>
      </c>
      <c r="H341" s="2">
        <f t="shared" si="35"/>
        <v>0</v>
      </c>
      <c r="I341" s="2">
        <f t="shared" si="31"/>
        <v>0</v>
      </c>
      <c r="J341">
        <f>IFERROR(VLOOKUP(B341,'General price list'!C:AI,12,FALSE)*(G341*C341),0)</f>
        <v>0</v>
      </c>
    </row>
    <row r="342" spans="2:10" ht="15" customHeight="1">
      <c r="B342" t="s">
        <v>2384</v>
      </c>
      <c r="C342" s="2">
        <f>IFERROR(VLOOKUP(B342,'Deutsche Markt'!C:AA,24,FALSE),"")</f>
        <v>8</v>
      </c>
      <c r="D342" s="2">
        <f>IFERROR(VLOOKUP(B342,'Deutsche Markt'!C:AA,25,FALSE),0)</f>
        <v>0</v>
      </c>
      <c r="E342" s="2">
        <f t="shared" si="32"/>
        <v>0</v>
      </c>
      <c r="F342" s="2">
        <f t="shared" si="33"/>
        <v>0</v>
      </c>
      <c r="G342" s="2">
        <f t="shared" si="34"/>
        <v>0</v>
      </c>
      <c r="H342" s="2">
        <f t="shared" si="35"/>
        <v>0</v>
      </c>
      <c r="I342" s="2">
        <f t="shared" si="31"/>
        <v>0</v>
      </c>
      <c r="J342">
        <f>IFERROR(VLOOKUP(B342,'General price list'!C:AI,12,FALSE)*(G342*C342),0)</f>
        <v>0</v>
      </c>
    </row>
    <row r="343" spans="2:10" ht="15" customHeight="1">
      <c r="B343" t="s">
        <v>2350</v>
      </c>
      <c r="C343" s="2" t="str">
        <f>IFERROR(VLOOKUP(B343,'Deutsche Markt'!C:AA,24,FALSE),"")</f>
        <v>20</v>
      </c>
      <c r="D343" s="2">
        <f>IFERROR(VLOOKUP(B343,'Deutsche Markt'!C:AA,25,FALSE),0)</f>
        <v>0</v>
      </c>
      <c r="E343" s="2">
        <f t="shared" si="32"/>
        <v>0</v>
      </c>
      <c r="F343" s="2">
        <f t="shared" si="33"/>
        <v>0</v>
      </c>
      <c r="G343" s="2">
        <f t="shared" si="34"/>
        <v>0</v>
      </c>
      <c r="H343" s="2">
        <f t="shared" si="35"/>
        <v>0</v>
      </c>
      <c r="I343" s="2">
        <f t="shared" si="31"/>
        <v>0</v>
      </c>
      <c r="J343">
        <f>IFERROR(VLOOKUP(B343,'General price list'!C:AI,12,FALSE)*(G343*C343),0)</f>
        <v>0</v>
      </c>
    </row>
    <row r="344" spans="2:10" ht="15" customHeight="1">
      <c r="B344" t="s">
        <v>2497</v>
      </c>
      <c r="C344" s="2" t="str">
        <f>IFERROR(VLOOKUP(B344,'Deutsche Markt'!C:AA,24,FALSE),"")</f>
        <v/>
      </c>
      <c r="D344" s="2">
        <f>IFERROR(VLOOKUP(B344,'Deutsche Markt'!C:AA,25,FALSE),0)</f>
        <v>0</v>
      </c>
      <c r="E344" s="2">
        <f t="shared" si="32"/>
        <v>0</v>
      </c>
      <c r="F344" s="2">
        <f t="shared" si="33"/>
        <v>0</v>
      </c>
      <c r="G344" s="2">
        <f t="shared" si="34"/>
        <v>0</v>
      </c>
      <c r="H344" s="2">
        <f t="shared" si="35"/>
        <v>0</v>
      </c>
      <c r="I344" s="2">
        <f t="shared" si="31"/>
        <v>0</v>
      </c>
      <c r="J344">
        <f>IFERROR(VLOOKUP(B344,'General price list'!C:AI,12,FALSE)*(G344*C344),0)</f>
        <v>0</v>
      </c>
    </row>
    <row r="345" spans="2:10" ht="15" customHeight="1">
      <c r="B345" t="s">
        <v>1300</v>
      </c>
      <c r="C345" s="2" t="str">
        <f>IFERROR(VLOOKUP(B345,'Deutsche Markt'!C:AA,24,FALSE),"")</f>
        <v/>
      </c>
      <c r="D345" s="2">
        <f>IFERROR(VLOOKUP(B345,'Deutsche Markt'!C:AA,25,FALSE),0)</f>
        <v>0</v>
      </c>
      <c r="E345" s="2">
        <f t="shared" si="32"/>
        <v>0</v>
      </c>
      <c r="F345" s="2">
        <f t="shared" si="33"/>
        <v>0</v>
      </c>
      <c r="G345" s="2">
        <f t="shared" si="34"/>
        <v>0</v>
      </c>
      <c r="H345" s="2">
        <f t="shared" si="35"/>
        <v>0</v>
      </c>
      <c r="I345" s="2">
        <f t="shared" si="31"/>
        <v>0</v>
      </c>
      <c r="J345">
        <f>IFERROR(VLOOKUP(B345,'General price list'!C:AI,12,FALSE)*(G345*C345),0)</f>
        <v>0</v>
      </c>
    </row>
    <row r="346" spans="2:10" ht="15" customHeight="1">
      <c r="B346" t="s">
        <v>2518</v>
      </c>
      <c r="C346" s="2" t="str">
        <f>IFERROR(VLOOKUP(B346,'Deutsche Markt'!C:AA,24,FALSE),"")</f>
        <v/>
      </c>
      <c r="D346" s="2">
        <f>IFERROR(VLOOKUP(B346,'Deutsche Markt'!C:AA,25,FALSE),0)</f>
        <v>0</v>
      </c>
      <c r="E346" s="2">
        <f t="shared" si="32"/>
        <v>0</v>
      </c>
      <c r="F346" s="2">
        <f t="shared" si="33"/>
        <v>0</v>
      </c>
      <c r="G346" s="2">
        <f t="shared" si="34"/>
        <v>0</v>
      </c>
      <c r="H346" s="2">
        <f t="shared" si="35"/>
        <v>0</v>
      </c>
      <c r="I346" s="2">
        <f t="shared" si="31"/>
        <v>0</v>
      </c>
      <c r="J346">
        <f>IFERROR(VLOOKUP(B346,'General price list'!C:AI,12,FALSE)*(G346*C346),0)</f>
        <v>0</v>
      </c>
    </row>
    <row r="347" spans="2:10" ht="15" customHeight="1">
      <c r="B347" t="s">
        <v>1505</v>
      </c>
      <c r="C347" s="2" t="str">
        <f>IFERROR(VLOOKUP(B347,'Deutsche Markt'!C:AA,24,FALSE),"")</f>
        <v/>
      </c>
      <c r="D347" s="2">
        <f>IFERROR(VLOOKUP(B347,'Deutsche Markt'!C:AA,25,FALSE),0)</f>
        <v>0</v>
      </c>
      <c r="E347" s="2">
        <f t="shared" si="32"/>
        <v>0</v>
      </c>
      <c r="F347" s="2">
        <f t="shared" si="33"/>
        <v>0</v>
      </c>
      <c r="G347" s="2">
        <f t="shared" si="34"/>
        <v>0</v>
      </c>
      <c r="H347" s="2">
        <f t="shared" si="35"/>
        <v>0</v>
      </c>
      <c r="I347" s="2">
        <f t="shared" si="31"/>
        <v>0</v>
      </c>
      <c r="J347">
        <f>IFERROR(VLOOKUP(B347,'General price list'!C:AI,12,FALSE)*(G347*C347),0)</f>
        <v>0</v>
      </c>
    </row>
    <row r="348" spans="2:10" ht="15" customHeight="1">
      <c r="B348" t="s">
        <v>1506</v>
      </c>
      <c r="C348" s="2" t="str">
        <f>IFERROR(VLOOKUP(B348,'Deutsche Markt'!C:AA,24,FALSE),"")</f>
        <v/>
      </c>
      <c r="D348" s="2">
        <f>IFERROR(VLOOKUP(B348,'Deutsche Markt'!C:AA,25,FALSE),0)</f>
        <v>0</v>
      </c>
      <c r="E348" s="2">
        <f t="shared" si="32"/>
        <v>0</v>
      </c>
      <c r="F348" s="2">
        <f t="shared" si="33"/>
        <v>0</v>
      </c>
      <c r="G348" s="2">
        <f t="shared" si="34"/>
        <v>0</v>
      </c>
      <c r="H348" s="2">
        <f t="shared" si="35"/>
        <v>0</v>
      </c>
      <c r="I348" s="2">
        <f t="shared" si="31"/>
        <v>0</v>
      </c>
      <c r="J348">
        <f>IFERROR(VLOOKUP(B348,'General price list'!C:AI,12,FALSE)*(G348*C348),0)</f>
        <v>0</v>
      </c>
    </row>
    <row r="349" spans="2:10" ht="15" customHeight="1">
      <c r="B349" t="s">
        <v>1511</v>
      </c>
      <c r="C349" s="2" t="str">
        <f>IFERROR(VLOOKUP(B349,'Deutsche Markt'!C:AA,24,FALSE),"")</f>
        <v/>
      </c>
      <c r="D349" s="2">
        <f>IFERROR(VLOOKUP(B349,'Deutsche Markt'!C:AA,25,FALSE),0)</f>
        <v>0</v>
      </c>
      <c r="E349" s="2">
        <f t="shared" si="32"/>
        <v>0</v>
      </c>
      <c r="F349" s="2">
        <f t="shared" si="33"/>
        <v>0</v>
      </c>
      <c r="G349" s="2">
        <f t="shared" si="34"/>
        <v>0</v>
      </c>
      <c r="H349" s="2">
        <f t="shared" si="35"/>
        <v>0</v>
      </c>
      <c r="I349" s="2">
        <f t="shared" si="31"/>
        <v>0</v>
      </c>
      <c r="J349">
        <f>IFERROR(VLOOKUP(B349,'General price list'!C:AI,12,FALSE)*(G349*C349),0)</f>
        <v>0</v>
      </c>
    </row>
    <row r="350" spans="2:10" ht="15" customHeight="1">
      <c r="B350" t="s">
        <v>1549</v>
      </c>
      <c r="C350" s="2" t="str">
        <f>IFERROR(VLOOKUP(B350,'Deutsche Markt'!C:AA,24,FALSE),"")</f>
        <v/>
      </c>
      <c r="D350" s="2">
        <f>IFERROR(VLOOKUP(B350,'Deutsche Markt'!C:AA,25,FALSE),0)</f>
        <v>0</v>
      </c>
      <c r="E350" s="2">
        <f t="shared" si="32"/>
        <v>0</v>
      </c>
      <c r="F350" s="2">
        <f t="shared" si="33"/>
        <v>0</v>
      </c>
      <c r="G350" s="2">
        <f t="shared" si="34"/>
        <v>0</v>
      </c>
      <c r="H350" s="2">
        <f t="shared" si="35"/>
        <v>0</v>
      </c>
      <c r="I350" s="2">
        <f t="shared" si="31"/>
        <v>0</v>
      </c>
      <c r="J350">
        <f>IFERROR(VLOOKUP(B350,'General price list'!C:AI,12,FALSE)*(G350*C350),0)</f>
        <v>0</v>
      </c>
    </row>
    <row r="351" spans="2:10" ht="15" customHeight="1">
      <c r="B351" t="s">
        <v>5288</v>
      </c>
      <c r="C351" s="2" t="str">
        <f>IFERROR(VLOOKUP(B351,'Deutsche Markt'!C:AA,24,FALSE),"")</f>
        <v/>
      </c>
      <c r="D351" s="2">
        <f>IFERROR(VLOOKUP(B351,'Deutsche Markt'!C:AA,25,FALSE),0)</f>
        <v>0</v>
      </c>
      <c r="E351" s="2">
        <f t="shared" si="32"/>
        <v>0</v>
      </c>
      <c r="F351" s="2">
        <f t="shared" si="33"/>
        <v>0</v>
      </c>
      <c r="G351" s="2">
        <f t="shared" si="34"/>
        <v>0</v>
      </c>
      <c r="H351" s="2">
        <f t="shared" si="35"/>
        <v>0</v>
      </c>
      <c r="I351" s="2">
        <f t="shared" si="31"/>
        <v>0</v>
      </c>
      <c r="J351">
        <f>IFERROR(VLOOKUP(B351,'General price list'!C:AI,12,FALSE)*(G351*C351),0)</f>
        <v>0</v>
      </c>
    </row>
    <row r="352" spans="2:10" ht="15" customHeight="1">
      <c r="B352" t="s">
        <v>1512</v>
      </c>
      <c r="C352" s="2" t="str">
        <f>IFERROR(VLOOKUP(B352,'Deutsche Markt'!C:AA,24,FALSE),"")</f>
        <v/>
      </c>
      <c r="D352" s="2">
        <f>IFERROR(VLOOKUP(B352,'Deutsche Markt'!C:AA,25,FALSE),0)</f>
        <v>0</v>
      </c>
      <c r="E352" s="2">
        <f t="shared" si="32"/>
        <v>0</v>
      </c>
      <c r="F352" s="2">
        <f t="shared" si="33"/>
        <v>0</v>
      </c>
      <c r="G352" s="2">
        <f t="shared" si="34"/>
        <v>0</v>
      </c>
      <c r="H352" s="2">
        <f t="shared" si="35"/>
        <v>0</v>
      </c>
      <c r="I352" s="2">
        <f t="shared" si="31"/>
        <v>0</v>
      </c>
      <c r="J352">
        <f>IFERROR(VLOOKUP(B352,'General price list'!C:AI,12,FALSE)*(G352*C352),0)</f>
        <v>0</v>
      </c>
    </row>
    <row r="353" spans="2:10" ht="15" customHeight="1">
      <c r="B353" t="s">
        <v>2168</v>
      </c>
      <c r="C353" s="2" t="str">
        <f>IFERROR(VLOOKUP(B353,'Deutsche Markt'!C:AA,24,FALSE),"")</f>
        <v/>
      </c>
      <c r="D353" s="2">
        <f>IFERROR(VLOOKUP(B353,'Deutsche Markt'!C:AA,25,FALSE),0)</f>
        <v>0</v>
      </c>
      <c r="E353" s="2">
        <f t="shared" si="32"/>
        <v>0</v>
      </c>
      <c r="F353" s="2">
        <f t="shared" si="33"/>
        <v>0</v>
      </c>
      <c r="G353" s="2">
        <f t="shared" si="34"/>
        <v>0</v>
      </c>
      <c r="H353" s="2">
        <f t="shared" si="35"/>
        <v>0</v>
      </c>
      <c r="I353" s="2">
        <f t="shared" si="31"/>
        <v>0</v>
      </c>
      <c r="J353">
        <f>IFERROR(VLOOKUP(B353,'General price list'!C:AI,12,FALSE)*(G353*C353),0)</f>
        <v>0</v>
      </c>
    </row>
    <row r="354" spans="2:10" ht="15" customHeight="1">
      <c r="B354" t="s">
        <v>1513</v>
      </c>
      <c r="C354" s="2" t="str">
        <f>IFERROR(VLOOKUP(B354,'Deutsche Markt'!C:AA,24,FALSE),"")</f>
        <v/>
      </c>
      <c r="D354" s="2">
        <f>IFERROR(VLOOKUP(B354,'Deutsche Markt'!C:AA,25,FALSE),0)</f>
        <v>0</v>
      </c>
      <c r="E354" s="2">
        <f t="shared" si="32"/>
        <v>0</v>
      </c>
      <c r="F354" s="2">
        <f t="shared" si="33"/>
        <v>0</v>
      </c>
      <c r="G354" s="2">
        <f t="shared" si="34"/>
        <v>0</v>
      </c>
      <c r="H354" s="2">
        <f t="shared" si="35"/>
        <v>0</v>
      </c>
      <c r="I354" s="2">
        <f t="shared" si="31"/>
        <v>0</v>
      </c>
      <c r="J354">
        <f>IFERROR(VLOOKUP(B354,'General price list'!C:AI,12,FALSE)*(G354*C354),0)</f>
        <v>0</v>
      </c>
    </row>
    <row r="355" spans="2:10" ht="15" customHeight="1">
      <c r="B355" t="s">
        <v>1515</v>
      </c>
      <c r="C355" s="2" t="str">
        <f>IFERROR(VLOOKUP(B355,'Deutsche Markt'!C:AA,24,FALSE),"")</f>
        <v/>
      </c>
      <c r="D355" s="2">
        <f>IFERROR(VLOOKUP(B355,'Deutsche Markt'!C:AA,25,FALSE),0)</f>
        <v>0</v>
      </c>
      <c r="E355" s="2">
        <f t="shared" si="32"/>
        <v>0</v>
      </c>
      <c r="F355" s="2">
        <f t="shared" si="33"/>
        <v>0</v>
      </c>
      <c r="G355" s="2">
        <f t="shared" si="34"/>
        <v>0</v>
      </c>
      <c r="H355" s="2">
        <f t="shared" si="35"/>
        <v>0</v>
      </c>
      <c r="I355" s="2">
        <f t="shared" si="31"/>
        <v>0</v>
      </c>
      <c r="J355">
        <f>IFERROR(VLOOKUP(B355,'General price list'!C:AI,12,FALSE)*(G355*C355),0)</f>
        <v>0</v>
      </c>
    </row>
    <row r="356" spans="2:10" ht="15" customHeight="1">
      <c r="B356" t="s">
        <v>1514</v>
      </c>
      <c r="C356" s="2" t="str">
        <f>IFERROR(VLOOKUP(B356,'Deutsche Markt'!C:AA,24,FALSE),"")</f>
        <v/>
      </c>
      <c r="D356" s="2">
        <f>IFERROR(VLOOKUP(B356,'Deutsche Markt'!C:AA,25,FALSE),0)</f>
        <v>0</v>
      </c>
      <c r="E356" s="2">
        <f t="shared" si="32"/>
        <v>0</v>
      </c>
      <c r="F356" s="2">
        <f t="shared" si="33"/>
        <v>0</v>
      </c>
      <c r="G356" s="2">
        <f t="shared" si="34"/>
        <v>0</v>
      </c>
      <c r="H356" s="2">
        <f t="shared" si="35"/>
        <v>0</v>
      </c>
      <c r="I356" s="2">
        <f t="shared" si="31"/>
        <v>0</v>
      </c>
      <c r="J356">
        <f>IFERROR(VLOOKUP(B356,'General price list'!C:AI,12,FALSE)*(G356*C356),0)</f>
        <v>0</v>
      </c>
    </row>
    <row r="357" spans="2:10" ht="15" customHeight="1">
      <c r="B357" t="s">
        <v>1230</v>
      </c>
      <c r="C357" s="2">
        <f>IFERROR(VLOOKUP(B357,'Deutsche Markt'!C:AA,24,FALSE),"")</f>
        <v>18</v>
      </c>
      <c r="D357" s="2">
        <f>IFERROR(VLOOKUP(B357,'Deutsche Markt'!C:AA,25,FALSE),0)</f>
        <v>0</v>
      </c>
      <c r="E357" s="2">
        <f t="shared" si="32"/>
        <v>0</v>
      </c>
      <c r="F357" s="2">
        <f t="shared" si="33"/>
        <v>0</v>
      </c>
      <c r="G357" s="2">
        <f t="shared" si="34"/>
        <v>0</v>
      </c>
      <c r="H357" s="2">
        <f t="shared" si="35"/>
        <v>0</v>
      </c>
      <c r="I357" s="2">
        <f t="shared" si="31"/>
        <v>0</v>
      </c>
      <c r="J357">
        <f>IFERROR(VLOOKUP(B357,'General price list'!C:AI,12,FALSE)*(G357*C357),0)</f>
        <v>0</v>
      </c>
    </row>
    <row r="358" spans="2:10" ht="15" customHeight="1">
      <c r="B358" t="s">
        <v>1084</v>
      </c>
      <c r="C358" s="2" t="str">
        <f>IFERROR(VLOOKUP(B358,'Deutsche Markt'!C:AA,24,FALSE),"")</f>
        <v/>
      </c>
      <c r="D358" s="2">
        <f>IFERROR(VLOOKUP(B358,'Deutsche Markt'!C:AA,25,FALSE),0)</f>
        <v>0</v>
      </c>
      <c r="E358" s="2">
        <f t="shared" si="32"/>
        <v>0</v>
      </c>
      <c r="F358" s="2">
        <f t="shared" si="33"/>
        <v>0</v>
      </c>
      <c r="G358" s="2">
        <f t="shared" si="34"/>
        <v>0</v>
      </c>
      <c r="H358" s="2">
        <f t="shared" si="35"/>
        <v>0</v>
      </c>
      <c r="I358" s="2">
        <f t="shared" si="31"/>
        <v>0</v>
      </c>
      <c r="J358">
        <f>IFERROR(VLOOKUP(B358,'General price list'!C:AI,12,FALSE)*(G358*C358),0)</f>
        <v>0</v>
      </c>
    </row>
    <row r="359" spans="2:10" ht="15" customHeight="1">
      <c r="B359" t="s">
        <v>1088</v>
      </c>
      <c r="C359" s="2">
        <f>IFERROR(VLOOKUP(B359,'Deutsche Markt'!C:AA,24,FALSE),"")</f>
        <v>36</v>
      </c>
      <c r="D359" s="2">
        <f>IFERROR(VLOOKUP(B359,'Deutsche Markt'!C:AA,25,FALSE),0)</f>
        <v>0</v>
      </c>
      <c r="E359" s="2">
        <f t="shared" si="32"/>
        <v>0</v>
      </c>
      <c r="F359" s="2">
        <f t="shared" si="33"/>
        <v>0</v>
      </c>
      <c r="G359" s="2">
        <f t="shared" si="34"/>
        <v>0</v>
      </c>
      <c r="H359" s="2">
        <f t="shared" si="35"/>
        <v>0</v>
      </c>
      <c r="I359" s="2">
        <f t="shared" si="31"/>
        <v>0</v>
      </c>
      <c r="J359">
        <f>IFERROR(VLOOKUP(B359,'General price list'!C:AI,12,FALSE)*(G359*C359),0)</f>
        <v>0</v>
      </c>
    </row>
    <row r="360" spans="2:10" ht="15" customHeight="1">
      <c r="B360" t="s">
        <v>1096</v>
      </c>
      <c r="C360" s="2">
        <f>IFERROR(VLOOKUP(B360,'Deutsche Markt'!C:AA,24,FALSE),"")</f>
        <v>36</v>
      </c>
      <c r="D360" s="2">
        <f>IFERROR(VLOOKUP(B360,'Deutsche Markt'!C:AA,25,FALSE),0)</f>
        <v>0</v>
      </c>
      <c r="E360" s="2">
        <f t="shared" si="32"/>
        <v>0</v>
      </c>
      <c r="F360" s="2">
        <f t="shared" si="33"/>
        <v>0</v>
      </c>
      <c r="G360" s="2">
        <f t="shared" si="34"/>
        <v>0</v>
      </c>
      <c r="H360" s="2">
        <f t="shared" si="35"/>
        <v>0</v>
      </c>
      <c r="I360" s="2">
        <f t="shared" si="31"/>
        <v>0</v>
      </c>
      <c r="J360">
        <f>IFERROR(VLOOKUP(B360,'General price list'!C:AI,12,FALSE)*(G360*C360),0)</f>
        <v>0</v>
      </c>
    </row>
    <row r="361" spans="2:10" ht="15" customHeight="1">
      <c r="B361" t="s">
        <v>1090</v>
      </c>
      <c r="C361" s="2">
        <f>IFERROR(VLOOKUP(B361,'Deutsche Markt'!C:AA,24,FALSE),"")</f>
        <v>36</v>
      </c>
      <c r="D361" s="2">
        <f>IFERROR(VLOOKUP(B361,'Deutsche Markt'!C:AA,25,FALSE),0)</f>
        <v>0</v>
      </c>
      <c r="E361" s="2">
        <f t="shared" si="32"/>
        <v>0</v>
      </c>
      <c r="F361" s="2">
        <f t="shared" si="33"/>
        <v>0</v>
      </c>
      <c r="G361" s="2">
        <f t="shared" si="34"/>
        <v>0</v>
      </c>
      <c r="H361" s="2">
        <f t="shared" si="35"/>
        <v>0</v>
      </c>
      <c r="I361" s="2">
        <f t="shared" si="31"/>
        <v>0</v>
      </c>
      <c r="J361">
        <f>IFERROR(VLOOKUP(B361,'General price list'!C:AI,12,FALSE)*(G361*C361),0)</f>
        <v>0</v>
      </c>
    </row>
    <row r="362" spans="2:10" ht="15" customHeight="1">
      <c r="B362" t="s">
        <v>13234</v>
      </c>
      <c r="C362" s="2" t="str">
        <f>IFERROR(VLOOKUP(B362,'Deutsche Markt'!C:AA,24,FALSE),"")</f>
        <v/>
      </c>
      <c r="D362" s="2">
        <f>IFERROR(VLOOKUP(B362,'Deutsche Markt'!C:AA,25,FALSE),0)</f>
        <v>0</v>
      </c>
      <c r="E362" s="2">
        <f t="shared" si="32"/>
        <v>0</v>
      </c>
      <c r="F362" s="2">
        <f t="shared" si="33"/>
        <v>0</v>
      </c>
      <c r="G362" s="2">
        <f t="shared" si="34"/>
        <v>0</v>
      </c>
      <c r="H362" s="2">
        <f t="shared" si="35"/>
        <v>0</v>
      </c>
      <c r="I362" s="2">
        <f t="shared" si="31"/>
        <v>0</v>
      </c>
      <c r="J362">
        <f>IFERROR(VLOOKUP(B362,'General price list'!C:AI,12,FALSE)*(G362*C362),0)</f>
        <v>0</v>
      </c>
    </row>
    <row r="363" spans="2:10" ht="15" customHeight="1">
      <c r="B363" t="s">
        <v>1086</v>
      </c>
      <c r="C363" s="2" t="str">
        <f>IFERROR(VLOOKUP(B363,'Deutsche Markt'!C:AA,24,FALSE),"")</f>
        <v/>
      </c>
      <c r="D363" s="2">
        <f>IFERROR(VLOOKUP(B363,'Deutsche Markt'!C:AA,25,FALSE),0)</f>
        <v>0</v>
      </c>
      <c r="E363" s="2">
        <f t="shared" si="32"/>
        <v>0</v>
      </c>
      <c r="F363" s="2">
        <f t="shared" si="33"/>
        <v>0</v>
      </c>
      <c r="G363" s="2">
        <f t="shared" si="34"/>
        <v>0</v>
      </c>
      <c r="H363" s="2">
        <f t="shared" si="35"/>
        <v>0</v>
      </c>
      <c r="I363" s="2">
        <f t="shared" si="31"/>
        <v>0</v>
      </c>
      <c r="J363">
        <f>IFERROR(VLOOKUP(B363,'General price list'!C:AI,12,FALSE)*(G363*C363),0)</f>
        <v>0</v>
      </c>
    </row>
    <row r="364" spans="2:10" ht="15" customHeight="1">
      <c r="B364" t="s">
        <v>1093</v>
      </c>
      <c r="C364" s="2">
        <f>IFERROR(VLOOKUP(B364,'Deutsche Markt'!C:AA,24,FALSE),"")</f>
        <v>36</v>
      </c>
      <c r="D364" s="2">
        <f>IFERROR(VLOOKUP(B364,'Deutsche Markt'!C:AA,25,FALSE),0)</f>
        <v>0</v>
      </c>
      <c r="E364" s="2">
        <f t="shared" si="32"/>
        <v>0</v>
      </c>
      <c r="F364" s="2">
        <f t="shared" si="33"/>
        <v>0</v>
      </c>
      <c r="G364" s="2">
        <f t="shared" si="34"/>
        <v>0</v>
      </c>
      <c r="H364" s="2">
        <f t="shared" si="35"/>
        <v>0</v>
      </c>
      <c r="I364" s="2">
        <f t="shared" si="31"/>
        <v>0</v>
      </c>
      <c r="J364">
        <f>IFERROR(VLOOKUP(B364,'General price list'!C:AI,12,FALSE)*(G364*C364),0)</f>
        <v>0</v>
      </c>
    </row>
    <row r="365" spans="2:10" ht="15" customHeight="1">
      <c r="B365" t="s">
        <v>1098</v>
      </c>
      <c r="C365" s="2">
        <f>IFERROR(VLOOKUP(B365,'Deutsche Markt'!C:AA,24,FALSE),"")</f>
        <v>36</v>
      </c>
      <c r="D365" s="2">
        <f>IFERROR(VLOOKUP(B365,'Deutsche Markt'!C:AA,25,FALSE),0)</f>
        <v>0</v>
      </c>
      <c r="E365" s="2">
        <f t="shared" si="32"/>
        <v>0</v>
      </c>
      <c r="F365" s="2">
        <f t="shared" si="33"/>
        <v>0</v>
      </c>
      <c r="G365" s="2">
        <f t="shared" si="34"/>
        <v>0</v>
      </c>
      <c r="H365" s="2">
        <f t="shared" si="35"/>
        <v>0</v>
      </c>
      <c r="I365" s="2">
        <f t="shared" si="31"/>
        <v>0</v>
      </c>
      <c r="J365">
        <f>IFERROR(VLOOKUP(B365,'General price list'!C:AI,12,FALSE)*(G365*C365),0)</f>
        <v>0</v>
      </c>
    </row>
    <row r="366" spans="2:10" ht="15" customHeight="1">
      <c r="B366" t="s">
        <v>1087</v>
      </c>
      <c r="C366" s="2" t="str">
        <f>IFERROR(VLOOKUP(B366,'Deutsche Markt'!C:AA,24,FALSE),"")</f>
        <v/>
      </c>
      <c r="D366" s="2">
        <f>IFERROR(VLOOKUP(B366,'Deutsche Markt'!C:AA,25,FALSE),0)</f>
        <v>0</v>
      </c>
      <c r="E366" s="2">
        <f t="shared" si="32"/>
        <v>0</v>
      </c>
      <c r="F366" s="2">
        <f t="shared" si="33"/>
        <v>0</v>
      </c>
      <c r="G366" s="2">
        <f t="shared" si="34"/>
        <v>0</v>
      </c>
      <c r="H366" s="2">
        <f t="shared" si="35"/>
        <v>0</v>
      </c>
      <c r="I366" s="2">
        <f t="shared" si="31"/>
        <v>0</v>
      </c>
      <c r="J366">
        <f>IFERROR(VLOOKUP(B366,'General price list'!C:AI,12,FALSE)*(G366*C366),0)</f>
        <v>0</v>
      </c>
    </row>
    <row r="367" spans="2:10" ht="15" customHeight="1">
      <c r="B367" t="s">
        <v>2129</v>
      </c>
      <c r="C367" s="2" t="str">
        <f>IFERROR(VLOOKUP(B367,'Deutsche Markt'!C:AA,24,FALSE),"")</f>
        <v/>
      </c>
      <c r="D367" s="2">
        <f>IFERROR(VLOOKUP(B367,'Deutsche Markt'!C:AA,25,FALSE),0)</f>
        <v>0</v>
      </c>
      <c r="E367" s="2">
        <f t="shared" si="32"/>
        <v>0</v>
      </c>
      <c r="F367" s="2">
        <f t="shared" si="33"/>
        <v>0</v>
      </c>
      <c r="G367" s="2">
        <f t="shared" si="34"/>
        <v>0</v>
      </c>
      <c r="H367" s="2">
        <f t="shared" si="35"/>
        <v>0</v>
      </c>
      <c r="I367" s="2">
        <f t="shared" si="31"/>
        <v>0</v>
      </c>
      <c r="J367">
        <f>IFERROR(VLOOKUP(B367,'General price list'!C:AI,12,FALSE)*(G367*C367),0)</f>
        <v>0</v>
      </c>
    </row>
    <row r="368" spans="2:10" ht="15" customHeight="1">
      <c r="B368" t="s">
        <v>1095</v>
      </c>
      <c r="C368" s="2">
        <f>IFERROR(VLOOKUP(B368,'Deutsche Markt'!C:AA,24,FALSE),"")</f>
        <v>36</v>
      </c>
      <c r="D368" s="2">
        <f>IFERROR(VLOOKUP(B368,'Deutsche Markt'!C:AA,25,FALSE),0)</f>
        <v>0</v>
      </c>
      <c r="E368" s="2">
        <f t="shared" si="32"/>
        <v>0</v>
      </c>
      <c r="F368" s="2">
        <f t="shared" si="33"/>
        <v>0</v>
      </c>
      <c r="G368" s="2">
        <f t="shared" si="34"/>
        <v>0</v>
      </c>
      <c r="H368" s="2">
        <f t="shared" si="35"/>
        <v>0</v>
      </c>
      <c r="I368" s="2">
        <f t="shared" si="31"/>
        <v>0</v>
      </c>
      <c r="J368">
        <f>IFERROR(VLOOKUP(B368,'General price list'!C:AI,12,FALSE)*(G368*C368),0)</f>
        <v>0</v>
      </c>
    </row>
    <row r="369" spans="2:10" ht="15" customHeight="1">
      <c r="B369" t="s">
        <v>1238</v>
      </c>
      <c r="C369" s="2">
        <f>IFERROR(VLOOKUP(B369,'Deutsche Markt'!C:AA,24,FALSE),"")</f>
        <v>25</v>
      </c>
      <c r="D369" s="2">
        <f>IFERROR(VLOOKUP(B369,'Deutsche Markt'!C:AA,25,FALSE),0)</f>
        <v>0</v>
      </c>
      <c r="E369" s="2">
        <f t="shared" si="32"/>
        <v>0</v>
      </c>
      <c r="F369" s="2">
        <f t="shared" si="33"/>
        <v>0</v>
      </c>
      <c r="G369" s="2">
        <f t="shared" si="34"/>
        <v>0</v>
      </c>
      <c r="H369" s="2">
        <f t="shared" si="35"/>
        <v>0</v>
      </c>
      <c r="I369" s="2">
        <f t="shared" si="31"/>
        <v>0</v>
      </c>
      <c r="J369">
        <f>IFERROR(VLOOKUP(B369,'General price list'!C:AI,12,FALSE)*(G369*C369),0)</f>
        <v>0</v>
      </c>
    </row>
    <row r="370" spans="2:10" ht="15" customHeight="1">
      <c r="B370" t="s">
        <v>1245</v>
      </c>
      <c r="C370" s="2" t="str">
        <f>IFERROR(VLOOKUP(B370,'Deutsche Markt'!C:AA,24,FALSE),"")</f>
        <v/>
      </c>
      <c r="D370" s="2">
        <f>IFERROR(VLOOKUP(B370,'Deutsche Markt'!C:AA,25,FALSE),0)</f>
        <v>0</v>
      </c>
      <c r="E370" s="2">
        <f t="shared" si="32"/>
        <v>0</v>
      </c>
      <c r="F370" s="2">
        <f t="shared" si="33"/>
        <v>0</v>
      </c>
      <c r="G370" s="2">
        <f t="shared" si="34"/>
        <v>0</v>
      </c>
      <c r="H370" s="2">
        <f t="shared" si="35"/>
        <v>0</v>
      </c>
      <c r="I370" s="2">
        <f t="shared" si="31"/>
        <v>0</v>
      </c>
      <c r="J370">
        <f>IFERROR(VLOOKUP(B370,'General price list'!C:AI,12,FALSE)*(G370*C370),0)</f>
        <v>0</v>
      </c>
    </row>
    <row r="371" spans="2:10" ht="15" customHeight="1">
      <c r="B371" t="s">
        <v>1233</v>
      </c>
      <c r="C371" s="2">
        <f>IFERROR(VLOOKUP(B371,'Deutsche Markt'!C:AA,24,FALSE),"")</f>
        <v>25</v>
      </c>
      <c r="D371" s="2">
        <f>IFERROR(VLOOKUP(B371,'Deutsche Markt'!C:AA,25,FALSE),0)</f>
        <v>0</v>
      </c>
      <c r="E371" s="2">
        <f t="shared" si="32"/>
        <v>0</v>
      </c>
      <c r="F371" s="2">
        <f t="shared" si="33"/>
        <v>0</v>
      </c>
      <c r="G371" s="2">
        <f t="shared" si="34"/>
        <v>0</v>
      </c>
      <c r="H371" s="2">
        <f t="shared" si="35"/>
        <v>0</v>
      </c>
      <c r="I371" s="2">
        <f t="shared" si="31"/>
        <v>0</v>
      </c>
      <c r="J371">
        <f>IFERROR(VLOOKUP(B371,'General price list'!C:AI,12,FALSE)*(G371*C371),0)</f>
        <v>0</v>
      </c>
    </row>
    <row r="372" spans="2:10" ht="15" customHeight="1">
      <c r="B372" t="s">
        <v>13237</v>
      </c>
      <c r="C372" s="2" t="str">
        <f>IFERROR(VLOOKUP(B372,'Deutsche Markt'!C:AA,24,FALSE),"")</f>
        <v/>
      </c>
      <c r="D372" s="2">
        <f>IFERROR(VLOOKUP(B372,'Deutsche Markt'!C:AA,25,FALSE),0)</f>
        <v>0</v>
      </c>
      <c r="E372" s="2">
        <f t="shared" si="32"/>
        <v>0</v>
      </c>
      <c r="F372" s="2">
        <f t="shared" si="33"/>
        <v>0</v>
      </c>
      <c r="G372" s="2">
        <f t="shared" si="34"/>
        <v>0</v>
      </c>
      <c r="H372" s="2">
        <f t="shared" si="35"/>
        <v>0</v>
      </c>
      <c r="I372" s="2">
        <f t="shared" si="31"/>
        <v>0</v>
      </c>
      <c r="J372">
        <f>IFERROR(VLOOKUP(B372,'General price list'!C:AI,12,FALSE)*(G372*C372),0)</f>
        <v>0</v>
      </c>
    </row>
    <row r="373" spans="2:10" ht="15" customHeight="1">
      <c r="B373" t="s">
        <v>1239</v>
      </c>
      <c r="C373" s="2">
        <f>IFERROR(VLOOKUP(B373,'Deutsche Markt'!C:AA,24,FALSE),"")</f>
        <v>25</v>
      </c>
      <c r="D373" s="2">
        <f>IFERROR(VLOOKUP(B373,'Deutsche Markt'!C:AA,25,FALSE),0)</f>
        <v>0</v>
      </c>
      <c r="E373" s="2">
        <f t="shared" si="32"/>
        <v>0</v>
      </c>
      <c r="F373" s="2">
        <f t="shared" si="33"/>
        <v>0</v>
      </c>
      <c r="G373" s="2">
        <f t="shared" si="34"/>
        <v>0</v>
      </c>
      <c r="H373" s="2">
        <f t="shared" si="35"/>
        <v>0</v>
      </c>
      <c r="I373" s="2">
        <f t="shared" si="31"/>
        <v>0</v>
      </c>
      <c r="J373">
        <f>IFERROR(VLOOKUP(B373,'General price list'!C:AI,12,FALSE)*(G373*C373),0)</f>
        <v>0</v>
      </c>
    </row>
    <row r="374" spans="2:10" ht="15" customHeight="1">
      <c r="B374" t="s">
        <v>1235</v>
      </c>
      <c r="C374" s="2">
        <f>IFERROR(VLOOKUP(B374,'Deutsche Markt'!C:AA,24,FALSE),"")</f>
        <v>25</v>
      </c>
      <c r="D374" s="2">
        <f>IFERROR(VLOOKUP(B374,'Deutsche Markt'!C:AA,25,FALSE),0)</f>
        <v>0</v>
      </c>
      <c r="E374" s="2">
        <f t="shared" si="32"/>
        <v>0</v>
      </c>
      <c r="F374" s="2">
        <f t="shared" si="33"/>
        <v>0</v>
      </c>
      <c r="G374" s="2">
        <f t="shared" si="34"/>
        <v>0</v>
      </c>
      <c r="H374" s="2">
        <f t="shared" si="35"/>
        <v>0</v>
      </c>
      <c r="I374" s="2">
        <f t="shared" si="31"/>
        <v>0</v>
      </c>
      <c r="J374">
        <f>IFERROR(VLOOKUP(B374,'General price list'!C:AI,12,FALSE)*(G374*C374),0)</f>
        <v>0</v>
      </c>
    </row>
    <row r="375" spans="2:10" ht="15" customHeight="1">
      <c r="B375" t="s">
        <v>1244</v>
      </c>
      <c r="C375" s="2" t="str">
        <f>IFERROR(VLOOKUP(B375,'Deutsche Markt'!C:AA,24,FALSE),"")</f>
        <v/>
      </c>
      <c r="D375" s="2">
        <f>IFERROR(VLOOKUP(B375,'Deutsche Markt'!C:AA,25,FALSE),0)</f>
        <v>0</v>
      </c>
      <c r="E375" s="2">
        <f t="shared" si="32"/>
        <v>0</v>
      </c>
      <c r="F375" s="2">
        <f t="shared" si="33"/>
        <v>0</v>
      </c>
      <c r="G375" s="2">
        <f t="shared" si="34"/>
        <v>0</v>
      </c>
      <c r="H375" s="2">
        <f t="shared" si="35"/>
        <v>0</v>
      </c>
      <c r="I375" s="2">
        <f t="shared" si="31"/>
        <v>0</v>
      </c>
      <c r="J375">
        <f>IFERROR(VLOOKUP(B375,'General price list'!C:AI,12,FALSE)*(G375*C375),0)</f>
        <v>0</v>
      </c>
    </row>
    <row r="376" spans="2:10" ht="15" customHeight="1">
      <c r="B376" t="s">
        <v>1236</v>
      </c>
      <c r="C376" s="2">
        <f>IFERROR(VLOOKUP(B376,'Deutsche Markt'!C:AA,24,FALSE),"")</f>
        <v>25</v>
      </c>
      <c r="D376" s="2">
        <f>IFERROR(VLOOKUP(B376,'Deutsche Markt'!C:AA,25,FALSE),0)</f>
        <v>0</v>
      </c>
      <c r="E376" s="2">
        <f t="shared" si="32"/>
        <v>0</v>
      </c>
      <c r="F376" s="2">
        <f t="shared" si="33"/>
        <v>0</v>
      </c>
      <c r="G376" s="2">
        <f t="shared" si="34"/>
        <v>0</v>
      </c>
      <c r="H376" s="2">
        <f t="shared" si="35"/>
        <v>0</v>
      </c>
      <c r="I376" s="2">
        <f t="shared" si="31"/>
        <v>0</v>
      </c>
      <c r="J376">
        <f>IFERROR(VLOOKUP(B376,'General price list'!C:AI,12,FALSE)*(G376*C376),0)</f>
        <v>0</v>
      </c>
    </row>
    <row r="377" spans="2:10" ht="15" customHeight="1">
      <c r="B377" t="s">
        <v>1243</v>
      </c>
      <c r="C377" s="2">
        <f>IFERROR(VLOOKUP(B377,'Deutsche Markt'!C:AA,24,FALSE),"")</f>
        <v>25</v>
      </c>
      <c r="D377" s="2">
        <f>IFERROR(VLOOKUP(B377,'Deutsche Markt'!C:AA,25,FALSE),0)</f>
        <v>0</v>
      </c>
      <c r="E377" s="2">
        <f t="shared" si="32"/>
        <v>0</v>
      </c>
      <c r="F377" s="2">
        <f t="shared" si="33"/>
        <v>0</v>
      </c>
      <c r="G377" s="2">
        <f t="shared" si="34"/>
        <v>0</v>
      </c>
      <c r="H377" s="2">
        <f t="shared" si="35"/>
        <v>0</v>
      </c>
      <c r="I377" s="2">
        <f t="shared" si="31"/>
        <v>0</v>
      </c>
      <c r="J377">
        <f>IFERROR(VLOOKUP(B377,'General price list'!C:AI,12,FALSE)*(G377*C377),0)</f>
        <v>0</v>
      </c>
    </row>
    <row r="378" spans="2:10" ht="15" customHeight="1">
      <c r="B378" t="s">
        <v>1246</v>
      </c>
      <c r="C378" s="2" t="str">
        <f>IFERROR(VLOOKUP(B378,'Deutsche Markt'!C:AA,24,FALSE),"")</f>
        <v/>
      </c>
      <c r="D378" s="2">
        <f>IFERROR(VLOOKUP(B378,'Deutsche Markt'!C:AA,25,FALSE),0)</f>
        <v>0</v>
      </c>
      <c r="E378" s="2">
        <f t="shared" si="32"/>
        <v>0</v>
      </c>
      <c r="F378" s="2">
        <f t="shared" si="33"/>
        <v>0</v>
      </c>
      <c r="G378" s="2">
        <f t="shared" si="34"/>
        <v>0</v>
      </c>
      <c r="H378" s="2">
        <f t="shared" si="35"/>
        <v>0</v>
      </c>
      <c r="I378" s="2">
        <f t="shared" si="31"/>
        <v>0</v>
      </c>
      <c r="J378">
        <f>IFERROR(VLOOKUP(B378,'General price list'!C:AI,12,FALSE)*(G378*C378),0)</f>
        <v>0</v>
      </c>
    </row>
    <row r="379" spans="2:10" ht="15" customHeight="1">
      <c r="B379" t="s">
        <v>1397</v>
      </c>
      <c r="C379" s="2" t="str">
        <f>IFERROR(VLOOKUP(B379,'Deutsche Markt'!C:AA,24,FALSE),"")</f>
        <v/>
      </c>
      <c r="D379" s="2">
        <f>IFERROR(VLOOKUP(B379,'Deutsche Markt'!C:AA,25,FALSE),0)</f>
        <v>0</v>
      </c>
      <c r="E379" s="2">
        <f t="shared" si="32"/>
        <v>0</v>
      </c>
      <c r="F379" s="2">
        <f t="shared" si="33"/>
        <v>0</v>
      </c>
      <c r="G379" s="2">
        <f t="shared" si="34"/>
        <v>0</v>
      </c>
      <c r="H379" s="2">
        <f t="shared" si="35"/>
        <v>0</v>
      </c>
      <c r="I379" s="2">
        <f t="shared" si="31"/>
        <v>0</v>
      </c>
      <c r="J379">
        <f>IFERROR(VLOOKUP(B379,'General price list'!C:AI,12,FALSE)*(G379*C379),0)</f>
        <v>0</v>
      </c>
    </row>
    <row r="380" spans="2:10" ht="15" customHeight="1">
      <c r="B380" t="s">
        <v>5151</v>
      </c>
      <c r="C380" s="2" t="str">
        <f>IFERROR(VLOOKUP(B380,'Deutsche Markt'!C:AA,24,FALSE),"")</f>
        <v/>
      </c>
      <c r="D380" s="2">
        <f>IFERROR(VLOOKUP(B380,'Deutsche Markt'!C:AA,25,FALSE),0)</f>
        <v>0</v>
      </c>
      <c r="E380" s="2">
        <f t="shared" si="32"/>
        <v>0</v>
      </c>
      <c r="F380" s="2">
        <f t="shared" si="33"/>
        <v>0</v>
      </c>
      <c r="G380" s="2">
        <f t="shared" si="34"/>
        <v>0</v>
      </c>
      <c r="H380" s="2">
        <f t="shared" si="35"/>
        <v>0</v>
      </c>
      <c r="I380" s="2">
        <f t="shared" si="31"/>
        <v>0</v>
      </c>
      <c r="J380">
        <f>IFERROR(VLOOKUP(B380,'General price list'!C:AI,12,FALSE)*(G380*C380),0)</f>
        <v>0</v>
      </c>
    </row>
    <row r="381" spans="2:10" ht="15" customHeight="1">
      <c r="B381" t="s">
        <v>2365</v>
      </c>
      <c r="C381" s="2" t="str">
        <f>IFERROR(VLOOKUP(B381,'Deutsche Markt'!C:AA,24,FALSE),"")</f>
        <v/>
      </c>
      <c r="D381" s="2">
        <f>IFERROR(VLOOKUP(B381,'Deutsche Markt'!C:AA,25,FALSE),0)</f>
        <v>0</v>
      </c>
      <c r="E381" s="2">
        <f t="shared" si="32"/>
        <v>0</v>
      </c>
      <c r="F381" s="2">
        <f t="shared" si="33"/>
        <v>0</v>
      </c>
      <c r="G381" s="2">
        <f t="shared" si="34"/>
        <v>0</v>
      </c>
      <c r="H381" s="2">
        <f t="shared" si="35"/>
        <v>0</v>
      </c>
      <c r="I381" s="2">
        <f t="shared" si="31"/>
        <v>0</v>
      </c>
      <c r="J381">
        <f>IFERROR(VLOOKUP(B381,'General price list'!C:AI,12,FALSE)*(G381*C381),0)</f>
        <v>0</v>
      </c>
    </row>
    <row r="382" spans="2:10" ht="15" customHeight="1">
      <c r="B382" t="s">
        <v>1404</v>
      </c>
      <c r="C382" s="2" t="str">
        <f>IFERROR(VLOOKUP(B382,'Deutsche Markt'!C:AA,24,FALSE),"")</f>
        <v/>
      </c>
      <c r="D382" s="2">
        <f>IFERROR(VLOOKUP(B382,'Deutsche Markt'!C:AA,25,FALSE),0)</f>
        <v>0</v>
      </c>
      <c r="E382" s="2">
        <f t="shared" si="32"/>
        <v>0</v>
      </c>
      <c r="F382" s="2">
        <f t="shared" si="33"/>
        <v>0</v>
      </c>
      <c r="G382" s="2">
        <f t="shared" si="34"/>
        <v>0</v>
      </c>
      <c r="H382" s="2">
        <f t="shared" si="35"/>
        <v>0</v>
      </c>
      <c r="I382" s="2">
        <f t="shared" si="31"/>
        <v>0</v>
      </c>
      <c r="J382">
        <f>IFERROR(VLOOKUP(B382,'General price list'!C:AI,12,FALSE)*(G382*C382),0)</f>
        <v>0</v>
      </c>
    </row>
    <row r="383" spans="2:10" ht="15" customHeight="1">
      <c r="B383" t="s">
        <v>1405</v>
      </c>
      <c r="C383" s="2" t="str">
        <f>IFERROR(VLOOKUP(B383,'Deutsche Markt'!C:AA,24,FALSE),"")</f>
        <v/>
      </c>
      <c r="D383" s="2">
        <f>IFERROR(VLOOKUP(B383,'Deutsche Markt'!C:AA,25,FALSE),0)</f>
        <v>0</v>
      </c>
      <c r="E383" s="2">
        <f t="shared" si="32"/>
        <v>0</v>
      </c>
      <c r="F383" s="2">
        <f t="shared" si="33"/>
        <v>0</v>
      </c>
      <c r="G383" s="2">
        <f t="shared" si="34"/>
        <v>0</v>
      </c>
      <c r="H383" s="2">
        <f t="shared" si="35"/>
        <v>0</v>
      </c>
      <c r="I383" s="2">
        <f t="shared" si="31"/>
        <v>0</v>
      </c>
      <c r="J383">
        <f>IFERROR(VLOOKUP(B383,'General price list'!C:AI,12,FALSE)*(G383*C383),0)</f>
        <v>0</v>
      </c>
    </row>
    <row r="384" spans="2:10" ht="15" customHeight="1">
      <c r="B384" t="s">
        <v>1410</v>
      </c>
      <c r="C384" s="2" t="str">
        <f>IFERROR(VLOOKUP(B384,'Deutsche Markt'!C:AA,24,FALSE),"")</f>
        <v/>
      </c>
      <c r="D384" s="2">
        <f>IFERROR(VLOOKUP(B384,'Deutsche Markt'!C:AA,25,FALSE),0)</f>
        <v>0</v>
      </c>
      <c r="E384" s="2">
        <f t="shared" si="32"/>
        <v>0</v>
      </c>
      <c r="F384" s="2">
        <f t="shared" si="33"/>
        <v>0</v>
      </c>
      <c r="G384" s="2">
        <f t="shared" si="34"/>
        <v>0</v>
      </c>
      <c r="H384" s="2">
        <f t="shared" si="35"/>
        <v>0</v>
      </c>
      <c r="I384" s="2">
        <f t="shared" si="31"/>
        <v>0</v>
      </c>
      <c r="J384">
        <f>IFERROR(VLOOKUP(B384,'General price list'!C:AI,12,FALSE)*(G384*C384),0)</f>
        <v>0</v>
      </c>
    </row>
    <row r="385" spans="2:10" ht="15" customHeight="1">
      <c r="B385" t="s">
        <v>12224</v>
      </c>
      <c r="C385" s="2" t="str">
        <f>IFERROR(VLOOKUP(B385,'Deutsche Markt'!C:AA,24,FALSE),"")</f>
        <v/>
      </c>
      <c r="D385" s="2">
        <f>IFERROR(VLOOKUP(B385,'Deutsche Markt'!C:AA,25,FALSE),0)</f>
        <v>0</v>
      </c>
      <c r="E385" s="2">
        <f t="shared" si="32"/>
        <v>0</v>
      </c>
      <c r="F385" s="2">
        <f t="shared" si="33"/>
        <v>0</v>
      </c>
      <c r="G385" s="2">
        <f t="shared" si="34"/>
        <v>0</v>
      </c>
      <c r="H385" s="2">
        <f t="shared" si="35"/>
        <v>0</v>
      </c>
      <c r="I385" s="2">
        <f t="shared" si="31"/>
        <v>0</v>
      </c>
      <c r="J385">
        <f>IFERROR(VLOOKUP(B385,'General price list'!C:AI,12,FALSE)*(G385*C385),0)</f>
        <v>0</v>
      </c>
    </row>
    <row r="386" spans="2:10" ht="15" customHeight="1">
      <c r="B386" t="s">
        <v>2287</v>
      </c>
      <c r="C386" s="2" t="str">
        <f>IFERROR(VLOOKUP(B386,'Deutsche Markt'!C:AA,24,FALSE),"")</f>
        <v/>
      </c>
      <c r="D386" s="2">
        <f>IFERROR(VLOOKUP(B386,'Deutsche Markt'!C:AA,25,FALSE),0)</f>
        <v>0</v>
      </c>
      <c r="E386" s="2">
        <f t="shared" si="32"/>
        <v>0</v>
      </c>
      <c r="F386" s="2">
        <f t="shared" si="33"/>
        <v>0</v>
      </c>
      <c r="G386" s="2">
        <f t="shared" si="34"/>
        <v>0</v>
      </c>
      <c r="H386" s="2">
        <f t="shared" si="35"/>
        <v>0</v>
      </c>
      <c r="I386" s="2">
        <f t="shared" si="31"/>
        <v>0</v>
      </c>
      <c r="J386">
        <f>IFERROR(VLOOKUP(B386,'General price list'!C:AI,12,FALSE)*(G386*C386),0)</f>
        <v>0</v>
      </c>
    </row>
    <row r="387" spans="2:10" ht="15" customHeight="1">
      <c r="B387" t="s">
        <v>1403</v>
      </c>
      <c r="C387" s="2" t="str">
        <f>IFERROR(VLOOKUP(B387,'Deutsche Markt'!C:AA,24,FALSE),"")</f>
        <v/>
      </c>
      <c r="D387" s="2">
        <f>IFERROR(VLOOKUP(B387,'Deutsche Markt'!C:AA,25,FALSE),0)</f>
        <v>0</v>
      </c>
      <c r="E387" s="2">
        <f t="shared" si="32"/>
        <v>0</v>
      </c>
      <c r="F387" s="2">
        <f t="shared" si="33"/>
        <v>0</v>
      </c>
      <c r="G387" s="2">
        <f t="shared" si="34"/>
        <v>0</v>
      </c>
      <c r="H387" s="2">
        <f t="shared" si="35"/>
        <v>0</v>
      </c>
      <c r="I387" s="2">
        <f t="shared" si="31"/>
        <v>0</v>
      </c>
      <c r="J387">
        <f>IFERROR(VLOOKUP(B387,'General price list'!C:AI,12,FALSE)*(G387*C387),0)</f>
        <v>0</v>
      </c>
    </row>
    <row r="388" spans="2:10" ht="15" customHeight="1">
      <c r="B388" t="s">
        <v>2364</v>
      </c>
      <c r="C388" s="2" t="str">
        <f>IFERROR(VLOOKUP(B388,'Deutsche Markt'!C:AA,24,FALSE),"")</f>
        <v/>
      </c>
      <c r="D388" s="2">
        <f>IFERROR(VLOOKUP(B388,'Deutsche Markt'!C:AA,25,FALSE),0)</f>
        <v>0</v>
      </c>
      <c r="E388" s="2">
        <f t="shared" si="32"/>
        <v>0</v>
      </c>
      <c r="F388" s="2">
        <f t="shared" si="33"/>
        <v>0</v>
      </c>
      <c r="G388" s="2">
        <f t="shared" si="34"/>
        <v>0</v>
      </c>
      <c r="H388" s="2">
        <f t="shared" si="35"/>
        <v>0</v>
      </c>
      <c r="I388" s="2">
        <f t="shared" ref="I388:I451" si="36">IFERROR(IF(D388=0,0,IF(F388=0,(D388*nextVK)+(prvniVK-nextVK),(G388*C388*nextVK)+(F388*PALzKoje))),0)</f>
        <v>0</v>
      </c>
      <c r="J388">
        <f>IFERROR(VLOOKUP(B388,'General price list'!C:AI,12,FALSE)*(G388*C388),0)</f>
        <v>0</v>
      </c>
    </row>
    <row r="389" spans="2:10" ht="15" customHeight="1">
      <c r="B389" t="s">
        <v>1414</v>
      </c>
      <c r="C389" s="2" t="str">
        <f>IFERROR(VLOOKUP(B389,'Deutsche Markt'!C:AA,24,FALSE),"")</f>
        <v/>
      </c>
      <c r="D389" s="2">
        <f>IFERROR(VLOOKUP(B389,'Deutsche Markt'!C:AA,25,FALSE),0)</f>
        <v>0</v>
      </c>
      <c r="E389" s="2">
        <f t="shared" ref="E389:E452" si="37">IFERROR(D389/C389,0)</f>
        <v>0</v>
      </c>
      <c r="F389" s="2">
        <f t="shared" ref="F389:F452" si="38">IFERROR(FLOOR(IF(E389-1&lt;0,0,E389),1),0)</f>
        <v>0</v>
      </c>
      <c r="G389" s="2">
        <f t="shared" ref="G389:G452" si="39">IFERROR(IF(H389&gt;E389,F389-E389,E389-F389),0)</f>
        <v>0</v>
      </c>
      <c r="H389" s="2">
        <f t="shared" ref="H389:H452" si="40">IFERROR(IF(E389=0,0,F389),0)</f>
        <v>0</v>
      </c>
      <c r="I389" s="2">
        <f t="shared" si="36"/>
        <v>0</v>
      </c>
      <c r="J389">
        <f>IFERROR(VLOOKUP(B389,'General price list'!C:AI,12,FALSE)*(G389*C389),0)</f>
        <v>0</v>
      </c>
    </row>
    <row r="390" spans="2:10" ht="15" customHeight="1">
      <c r="B390" t="s">
        <v>1402</v>
      </c>
      <c r="C390" s="2" t="str">
        <f>IFERROR(VLOOKUP(B390,'Deutsche Markt'!C:AA,24,FALSE),"")</f>
        <v/>
      </c>
      <c r="D390" s="2">
        <f>IFERROR(VLOOKUP(B390,'Deutsche Markt'!C:AA,25,FALSE),0)</f>
        <v>0</v>
      </c>
      <c r="E390" s="2">
        <f t="shared" si="37"/>
        <v>0</v>
      </c>
      <c r="F390" s="2">
        <f t="shared" si="38"/>
        <v>0</v>
      </c>
      <c r="G390" s="2">
        <f t="shared" si="39"/>
        <v>0</v>
      </c>
      <c r="H390" s="2">
        <f t="shared" si="40"/>
        <v>0</v>
      </c>
      <c r="I390" s="2">
        <f t="shared" si="36"/>
        <v>0</v>
      </c>
      <c r="J390">
        <f>IFERROR(VLOOKUP(B390,'General price list'!C:AI,12,FALSE)*(G390*C390),0)</f>
        <v>0</v>
      </c>
    </row>
    <row r="391" spans="2:10" ht="15" customHeight="1">
      <c r="B391" t="s">
        <v>2153</v>
      </c>
      <c r="C391" s="2" t="str">
        <f>IFERROR(VLOOKUP(B391,'Deutsche Markt'!C:AA,24,FALSE),"")</f>
        <v/>
      </c>
      <c r="D391" s="2">
        <f>IFERROR(VLOOKUP(B391,'Deutsche Markt'!C:AA,25,FALSE),0)</f>
        <v>0</v>
      </c>
      <c r="E391" s="2">
        <f t="shared" si="37"/>
        <v>0</v>
      </c>
      <c r="F391" s="2">
        <f t="shared" si="38"/>
        <v>0</v>
      </c>
      <c r="G391" s="2">
        <f t="shared" si="39"/>
        <v>0</v>
      </c>
      <c r="H391" s="2">
        <f t="shared" si="40"/>
        <v>0</v>
      </c>
      <c r="I391" s="2">
        <f t="shared" si="36"/>
        <v>0</v>
      </c>
      <c r="J391">
        <f>IFERROR(VLOOKUP(B391,'General price list'!C:AI,12,FALSE)*(G391*C391),0)</f>
        <v>0</v>
      </c>
    </row>
    <row r="392" spans="2:10" ht="15" customHeight="1">
      <c r="B392" t="s">
        <v>1406</v>
      </c>
      <c r="C392" s="2" t="str">
        <f>IFERROR(VLOOKUP(B392,'Deutsche Markt'!C:AA,24,FALSE),"")</f>
        <v/>
      </c>
      <c r="D392" s="2">
        <f>IFERROR(VLOOKUP(B392,'Deutsche Markt'!C:AA,25,FALSE),0)</f>
        <v>0</v>
      </c>
      <c r="E392" s="2">
        <f t="shared" si="37"/>
        <v>0</v>
      </c>
      <c r="F392" s="2">
        <f t="shared" si="38"/>
        <v>0</v>
      </c>
      <c r="G392" s="2">
        <f t="shared" si="39"/>
        <v>0</v>
      </c>
      <c r="H392" s="2">
        <f t="shared" si="40"/>
        <v>0</v>
      </c>
      <c r="I392" s="2">
        <f t="shared" si="36"/>
        <v>0</v>
      </c>
      <c r="J392">
        <f>IFERROR(VLOOKUP(B392,'General price list'!C:AI,12,FALSE)*(G392*C392),0)</f>
        <v>0</v>
      </c>
    </row>
    <row r="393" spans="2:10" ht="15" customHeight="1">
      <c r="B393" t="s">
        <v>1496</v>
      </c>
      <c r="C393" s="2" t="str">
        <f>IFERROR(VLOOKUP(B393,'Deutsche Markt'!C:AA,24,FALSE),"")</f>
        <v/>
      </c>
      <c r="D393" s="2">
        <f>IFERROR(VLOOKUP(B393,'Deutsche Markt'!C:AA,25,FALSE),0)</f>
        <v>0</v>
      </c>
      <c r="E393" s="2">
        <f t="shared" si="37"/>
        <v>0</v>
      </c>
      <c r="F393" s="2">
        <f t="shared" si="38"/>
        <v>0</v>
      </c>
      <c r="G393" s="2">
        <f t="shared" si="39"/>
        <v>0</v>
      </c>
      <c r="H393" s="2">
        <f t="shared" si="40"/>
        <v>0</v>
      </c>
      <c r="I393" s="2">
        <f t="shared" si="36"/>
        <v>0</v>
      </c>
      <c r="J393">
        <f>IFERROR(VLOOKUP(B393,'General price list'!C:AI,12,FALSE)*(G393*C393),0)</f>
        <v>0</v>
      </c>
    </row>
    <row r="394" spans="2:10" ht="15" customHeight="1">
      <c r="B394" t="s">
        <v>1428</v>
      </c>
      <c r="C394" s="2">
        <f>IFERROR(VLOOKUP(B394,'Deutsche Markt'!C:AA,24,FALSE),"")</f>
        <v>36</v>
      </c>
      <c r="D394" s="2">
        <f>IFERROR(VLOOKUP(B394,'Deutsche Markt'!C:AA,25,FALSE),0)</f>
        <v>0</v>
      </c>
      <c r="E394" s="2">
        <f t="shared" si="37"/>
        <v>0</v>
      </c>
      <c r="F394" s="2">
        <f t="shared" si="38"/>
        <v>0</v>
      </c>
      <c r="G394" s="2">
        <f t="shared" si="39"/>
        <v>0</v>
      </c>
      <c r="H394" s="2">
        <f t="shared" si="40"/>
        <v>0</v>
      </c>
      <c r="I394" s="2">
        <f t="shared" si="36"/>
        <v>0</v>
      </c>
      <c r="J394">
        <f>IFERROR(VLOOKUP(B394,'General price list'!C:AI,12,FALSE)*(G394*C394),0)</f>
        <v>0</v>
      </c>
    </row>
    <row r="395" spans="2:10" ht="15" customHeight="1">
      <c r="B395" t="s">
        <v>2366</v>
      </c>
      <c r="C395" s="2" t="str">
        <f>IFERROR(VLOOKUP(B395,'Deutsche Markt'!C:AA,24,FALSE),"")</f>
        <v>84</v>
      </c>
      <c r="D395" s="2">
        <f>IFERROR(VLOOKUP(B395,'Deutsche Markt'!C:AA,25,FALSE),0)</f>
        <v>0</v>
      </c>
      <c r="E395" s="2">
        <f t="shared" si="37"/>
        <v>0</v>
      </c>
      <c r="F395" s="2">
        <f t="shared" si="38"/>
        <v>0</v>
      </c>
      <c r="G395" s="2">
        <f t="shared" si="39"/>
        <v>0</v>
      </c>
      <c r="H395" s="2">
        <f t="shared" si="40"/>
        <v>0</v>
      </c>
      <c r="I395" s="2">
        <f t="shared" si="36"/>
        <v>0</v>
      </c>
      <c r="J395">
        <f>IFERROR(VLOOKUP(B395,'General price list'!C:AI,12,FALSE)*(G395*C395),0)</f>
        <v>0</v>
      </c>
    </row>
    <row r="396" spans="2:10" ht="15" customHeight="1">
      <c r="B396" t="s">
        <v>2519</v>
      </c>
      <c r="C396" s="2" t="str">
        <f>IFERROR(VLOOKUP(B396,'Deutsche Markt'!C:AA,24,FALSE),"")</f>
        <v/>
      </c>
      <c r="D396" s="2">
        <f>IFERROR(VLOOKUP(B396,'Deutsche Markt'!C:AA,25,FALSE),0)</f>
        <v>0</v>
      </c>
      <c r="E396" s="2">
        <f t="shared" si="37"/>
        <v>0</v>
      </c>
      <c r="F396" s="2">
        <f t="shared" si="38"/>
        <v>0</v>
      </c>
      <c r="G396" s="2">
        <f t="shared" si="39"/>
        <v>0</v>
      </c>
      <c r="H396" s="2">
        <f t="shared" si="40"/>
        <v>0</v>
      </c>
      <c r="I396" s="2">
        <f t="shared" si="36"/>
        <v>0</v>
      </c>
      <c r="J396">
        <f>IFERROR(VLOOKUP(B396,'General price list'!C:AI,12,FALSE)*(G396*C396),0)</f>
        <v>0</v>
      </c>
    </row>
    <row r="397" spans="2:10" ht="15" customHeight="1">
      <c r="B397" t="s">
        <v>1450</v>
      </c>
      <c r="C397" s="2" t="str">
        <f>IFERROR(VLOOKUP(B397,'Deutsche Markt'!C:AA,24,FALSE),"")</f>
        <v>84</v>
      </c>
      <c r="D397" s="2">
        <f>IFERROR(VLOOKUP(B397,'Deutsche Markt'!C:AA,25,FALSE),0)</f>
        <v>0</v>
      </c>
      <c r="E397" s="2">
        <f t="shared" si="37"/>
        <v>0</v>
      </c>
      <c r="F397" s="2">
        <f t="shared" si="38"/>
        <v>0</v>
      </c>
      <c r="G397" s="2">
        <f t="shared" si="39"/>
        <v>0</v>
      </c>
      <c r="H397" s="2">
        <f t="shared" si="40"/>
        <v>0</v>
      </c>
      <c r="I397" s="2">
        <f t="shared" si="36"/>
        <v>0</v>
      </c>
      <c r="J397">
        <f>IFERROR(VLOOKUP(B397,'General price list'!C:AI,12,FALSE)*(G397*C397),0)</f>
        <v>0</v>
      </c>
    </row>
    <row r="398" spans="2:10" ht="15" customHeight="1">
      <c r="B398" t="s">
        <v>2521</v>
      </c>
      <c r="C398" s="2" t="str">
        <f>IFERROR(VLOOKUP(B398,'Deutsche Markt'!C:AA,24,FALSE),"")</f>
        <v/>
      </c>
      <c r="D398" s="2">
        <f>IFERROR(VLOOKUP(B398,'Deutsche Markt'!C:AA,25,FALSE),0)</f>
        <v>0</v>
      </c>
      <c r="E398" s="2">
        <f t="shared" si="37"/>
        <v>0</v>
      </c>
      <c r="F398" s="2">
        <f t="shared" si="38"/>
        <v>0</v>
      </c>
      <c r="G398" s="2">
        <f t="shared" si="39"/>
        <v>0</v>
      </c>
      <c r="H398" s="2">
        <f t="shared" si="40"/>
        <v>0</v>
      </c>
      <c r="I398" s="2">
        <f t="shared" si="36"/>
        <v>0</v>
      </c>
      <c r="J398">
        <f>IFERROR(VLOOKUP(B398,'General price list'!C:AI,12,FALSE)*(G398*C398),0)</f>
        <v>0</v>
      </c>
    </row>
    <row r="399" spans="2:10" ht="15" customHeight="1">
      <c r="B399" t="s">
        <v>1430</v>
      </c>
      <c r="C399" s="2">
        <f>IFERROR(VLOOKUP(B399,'Deutsche Markt'!C:AA,24,FALSE),"")</f>
        <v>36</v>
      </c>
      <c r="D399" s="2">
        <f>IFERROR(VLOOKUP(B399,'Deutsche Markt'!C:AA,25,FALSE),0)</f>
        <v>0</v>
      </c>
      <c r="E399" s="2">
        <f t="shared" si="37"/>
        <v>0</v>
      </c>
      <c r="F399" s="2">
        <f t="shared" si="38"/>
        <v>0</v>
      </c>
      <c r="G399" s="2">
        <f t="shared" si="39"/>
        <v>0</v>
      </c>
      <c r="H399" s="2">
        <f t="shared" si="40"/>
        <v>0</v>
      </c>
      <c r="I399" s="2">
        <f t="shared" si="36"/>
        <v>0</v>
      </c>
      <c r="J399">
        <f>IFERROR(VLOOKUP(B399,'General price list'!C:AI,12,FALSE)*(G399*C399),0)</f>
        <v>0</v>
      </c>
    </row>
    <row r="400" spans="2:10" ht="15" customHeight="1">
      <c r="B400" t="s">
        <v>1453</v>
      </c>
      <c r="C400" s="2" t="str">
        <f>IFERROR(VLOOKUP(B400,'Deutsche Markt'!C:AA,24,FALSE),"")</f>
        <v>84</v>
      </c>
      <c r="D400" s="2">
        <f>IFERROR(VLOOKUP(B400,'Deutsche Markt'!C:AA,25,FALSE),0)</f>
        <v>0</v>
      </c>
      <c r="E400" s="2">
        <f t="shared" si="37"/>
        <v>0</v>
      </c>
      <c r="F400" s="2">
        <f t="shared" si="38"/>
        <v>0</v>
      </c>
      <c r="G400" s="2">
        <f t="shared" si="39"/>
        <v>0</v>
      </c>
      <c r="H400" s="2">
        <f t="shared" si="40"/>
        <v>0</v>
      </c>
      <c r="I400" s="2">
        <f t="shared" si="36"/>
        <v>0</v>
      </c>
      <c r="J400">
        <f>IFERROR(VLOOKUP(B400,'General price list'!C:AI,12,FALSE)*(G400*C400),0)</f>
        <v>0</v>
      </c>
    </row>
    <row r="401" spans="2:10" ht="15" customHeight="1">
      <c r="B401" t="s">
        <v>2522</v>
      </c>
      <c r="C401" s="2" t="str">
        <f>IFERROR(VLOOKUP(B401,'Deutsche Markt'!C:AA,24,FALSE),"")</f>
        <v/>
      </c>
      <c r="D401" s="2">
        <f>IFERROR(VLOOKUP(B401,'Deutsche Markt'!C:AA,25,FALSE),0)</f>
        <v>0</v>
      </c>
      <c r="E401" s="2">
        <f t="shared" si="37"/>
        <v>0</v>
      </c>
      <c r="F401" s="2">
        <f t="shared" si="38"/>
        <v>0</v>
      </c>
      <c r="G401" s="2">
        <f t="shared" si="39"/>
        <v>0</v>
      </c>
      <c r="H401" s="2">
        <f t="shared" si="40"/>
        <v>0</v>
      </c>
      <c r="I401" s="2">
        <f t="shared" si="36"/>
        <v>0</v>
      </c>
      <c r="J401">
        <f>IFERROR(VLOOKUP(B401,'General price list'!C:AI,12,FALSE)*(G401*C401),0)</f>
        <v>0</v>
      </c>
    </row>
    <row r="402" spans="2:10" ht="15" customHeight="1">
      <c r="B402" t="s">
        <v>1423</v>
      </c>
      <c r="C402" s="2" t="str">
        <f>IFERROR(VLOOKUP(B402,'Deutsche Markt'!C:AA,24,FALSE),"")</f>
        <v/>
      </c>
      <c r="D402" s="2">
        <f>IFERROR(VLOOKUP(B402,'Deutsche Markt'!C:AA,25,FALSE),0)</f>
        <v>0</v>
      </c>
      <c r="E402" s="2">
        <f t="shared" si="37"/>
        <v>0</v>
      </c>
      <c r="F402" s="2">
        <f t="shared" si="38"/>
        <v>0</v>
      </c>
      <c r="G402" s="2">
        <f t="shared" si="39"/>
        <v>0</v>
      </c>
      <c r="H402" s="2">
        <f t="shared" si="40"/>
        <v>0</v>
      </c>
      <c r="I402" s="2">
        <f t="shared" si="36"/>
        <v>0</v>
      </c>
      <c r="J402">
        <f>IFERROR(VLOOKUP(B402,'General price list'!C:AI,12,FALSE)*(G402*C402),0)</f>
        <v>0</v>
      </c>
    </row>
    <row r="403" spans="2:10" ht="15" customHeight="1">
      <c r="B403" t="s">
        <v>2157</v>
      </c>
      <c r="C403" s="2" t="str">
        <f>IFERROR(VLOOKUP(B403,'Deutsche Markt'!C:AA,24,FALSE),"")</f>
        <v/>
      </c>
      <c r="D403" s="2">
        <f>IFERROR(VLOOKUP(B403,'Deutsche Markt'!C:AA,25,FALSE),0)</f>
        <v>0</v>
      </c>
      <c r="E403" s="2">
        <f t="shared" si="37"/>
        <v>0</v>
      </c>
      <c r="F403" s="2">
        <f t="shared" si="38"/>
        <v>0</v>
      </c>
      <c r="G403" s="2">
        <f t="shared" si="39"/>
        <v>0</v>
      </c>
      <c r="H403" s="2">
        <f t="shared" si="40"/>
        <v>0</v>
      </c>
      <c r="I403" s="2">
        <f t="shared" si="36"/>
        <v>0</v>
      </c>
      <c r="J403">
        <f>IFERROR(VLOOKUP(B403,'General price list'!C:AI,12,FALSE)*(G403*C403),0)</f>
        <v>0</v>
      </c>
    </row>
    <row r="404" spans="2:10" ht="15" customHeight="1">
      <c r="B404" t="s">
        <v>1425</v>
      </c>
      <c r="C404" s="2" t="str">
        <f>IFERROR(VLOOKUP(B404,'Deutsche Markt'!C:AA,24,FALSE),"")</f>
        <v/>
      </c>
      <c r="D404" s="2">
        <f>IFERROR(VLOOKUP(B404,'Deutsche Markt'!C:AA,25,FALSE),0)</f>
        <v>0</v>
      </c>
      <c r="E404" s="2">
        <f t="shared" si="37"/>
        <v>0</v>
      </c>
      <c r="F404" s="2">
        <f t="shared" si="38"/>
        <v>0</v>
      </c>
      <c r="G404" s="2">
        <f t="shared" si="39"/>
        <v>0</v>
      </c>
      <c r="H404" s="2">
        <f t="shared" si="40"/>
        <v>0</v>
      </c>
      <c r="I404" s="2">
        <f t="shared" si="36"/>
        <v>0</v>
      </c>
      <c r="J404">
        <f>IFERROR(VLOOKUP(B404,'General price list'!C:AI,12,FALSE)*(G404*C404),0)</f>
        <v>0</v>
      </c>
    </row>
    <row r="405" spans="2:10" ht="15" customHeight="1">
      <c r="B405" t="s">
        <v>1448</v>
      </c>
      <c r="C405" s="2" t="str">
        <f>IFERROR(VLOOKUP(B405,'Deutsche Markt'!C:AA,24,FALSE),"")</f>
        <v>84</v>
      </c>
      <c r="D405" s="2">
        <f>IFERROR(VLOOKUP(B405,'Deutsche Markt'!C:AA,25,FALSE),0)</f>
        <v>0</v>
      </c>
      <c r="E405" s="2">
        <f t="shared" si="37"/>
        <v>0</v>
      </c>
      <c r="F405" s="2">
        <f t="shared" si="38"/>
        <v>0</v>
      </c>
      <c r="G405" s="2">
        <f t="shared" si="39"/>
        <v>0</v>
      </c>
      <c r="H405" s="2">
        <f t="shared" si="40"/>
        <v>0</v>
      </c>
      <c r="I405" s="2">
        <f t="shared" si="36"/>
        <v>0</v>
      </c>
      <c r="J405">
        <f>IFERROR(VLOOKUP(B405,'General price list'!C:AI,12,FALSE)*(G405*C405),0)</f>
        <v>0</v>
      </c>
    </row>
    <row r="406" spans="2:10" ht="15" customHeight="1">
      <c r="B406" t="s">
        <v>2520</v>
      </c>
      <c r="C406" s="2" t="str">
        <f>IFERROR(VLOOKUP(B406,'Deutsche Markt'!C:AA,24,FALSE),"")</f>
        <v/>
      </c>
      <c r="D406" s="2">
        <f>IFERROR(VLOOKUP(B406,'Deutsche Markt'!C:AA,25,FALSE),0)</f>
        <v>0</v>
      </c>
      <c r="E406" s="2">
        <f t="shared" si="37"/>
        <v>0</v>
      </c>
      <c r="F406" s="2">
        <f t="shared" si="38"/>
        <v>0</v>
      </c>
      <c r="G406" s="2">
        <f t="shared" si="39"/>
        <v>0</v>
      </c>
      <c r="H406" s="2">
        <f t="shared" si="40"/>
        <v>0</v>
      </c>
      <c r="I406" s="2">
        <f t="shared" si="36"/>
        <v>0</v>
      </c>
      <c r="J406">
        <f>IFERROR(VLOOKUP(B406,'General price list'!C:AI,12,FALSE)*(G406*C406),0)</f>
        <v>0</v>
      </c>
    </row>
    <row r="407" spans="2:10" ht="15" customHeight="1">
      <c r="B407" t="s">
        <v>1452</v>
      </c>
      <c r="C407" s="2" t="str">
        <f>IFERROR(VLOOKUP(B407,'Deutsche Markt'!C:AA,24,FALSE),"")</f>
        <v>84</v>
      </c>
      <c r="D407" s="2">
        <f>IFERROR(VLOOKUP(B407,'Deutsche Markt'!C:AA,25,FALSE),0)</f>
        <v>0</v>
      </c>
      <c r="E407" s="2">
        <f t="shared" si="37"/>
        <v>0</v>
      </c>
      <c r="F407" s="2">
        <f t="shared" si="38"/>
        <v>0</v>
      </c>
      <c r="G407" s="2">
        <f t="shared" si="39"/>
        <v>0</v>
      </c>
      <c r="H407" s="2">
        <f t="shared" si="40"/>
        <v>0</v>
      </c>
      <c r="I407" s="2">
        <f t="shared" si="36"/>
        <v>0</v>
      </c>
      <c r="J407">
        <f>IFERROR(VLOOKUP(B407,'General price list'!C:AI,12,FALSE)*(G407*C407),0)</f>
        <v>0</v>
      </c>
    </row>
    <row r="408" spans="2:10" ht="15" customHeight="1">
      <c r="B408" t="s">
        <v>2523</v>
      </c>
      <c r="C408" s="2" t="str">
        <f>IFERROR(VLOOKUP(B408,'Deutsche Markt'!C:AA,24,FALSE),"")</f>
        <v/>
      </c>
      <c r="D408" s="2">
        <f>IFERROR(VLOOKUP(B408,'Deutsche Markt'!C:AA,25,FALSE),0)</f>
        <v>0</v>
      </c>
      <c r="E408" s="2">
        <f t="shared" si="37"/>
        <v>0</v>
      </c>
      <c r="F408" s="2">
        <f t="shared" si="38"/>
        <v>0</v>
      </c>
      <c r="G408" s="2">
        <f t="shared" si="39"/>
        <v>0</v>
      </c>
      <c r="H408" s="2">
        <f t="shared" si="40"/>
        <v>0</v>
      </c>
      <c r="I408" s="2">
        <f t="shared" si="36"/>
        <v>0</v>
      </c>
      <c r="J408">
        <f>IFERROR(VLOOKUP(B408,'General price list'!C:AI,12,FALSE)*(G408*C408),0)</f>
        <v>0</v>
      </c>
    </row>
    <row r="409" spans="2:10" ht="15" customHeight="1">
      <c r="B409" t="s">
        <v>1422</v>
      </c>
      <c r="C409" s="2" t="str">
        <f>IFERROR(VLOOKUP(B409,'Deutsche Markt'!C:AA,24,FALSE),"")</f>
        <v/>
      </c>
      <c r="D409" s="2">
        <f>IFERROR(VLOOKUP(B409,'Deutsche Markt'!C:AA,25,FALSE),0)</f>
        <v>0</v>
      </c>
      <c r="E409" s="2">
        <f t="shared" si="37"/>
        <v>0</v>
      </c>
      <c r="F409" s="2">
        <f t="shared" si="38"/>
        <v>0</v>
      </c>
      <c r="G409" s="2">
        <f t="shared" si="39"/>
        <v>0</v>
      </c>
      <c r="H409" s="2">
        <f t="shared" si="40"/>
        <v>0</v>
      </c>
      <c r="I409" s="2">
        <f t="shared" si="36"/>
        <v>0</v>
      </c>
      <c r="J409">
        <f>IFERROR(VLOOKUP(B409,'General price list'!C:AI,12,FALSE)*(G409*C409),0)</f>
        <v>0</v>
      </c>
    </row>
    <row r="410" spans="2:10" ht="15" customHeight="1">
      <c r="B410" t="s">
        <v>1626</v>
      </c>
      <c r="C410" s="2" t="str">
        <f>IFERROR(VLOOKUP(B410,'Deutsche Markt'!C:AA,24,FALSE),"")</f>
        <v/>
      </c>
      <c r="D410" s="2">
        <f>IFERROR(VLOOKUP(B410,'Deutsche Markt'!C:AA,25,FALSE),0)</f>
        <v>0</v>
      </c>
      <c r="E410" s="2">
        <f t="shared" si="37"/>
        <v>0</v>
      </c>
      <c r="F410" s="2">
        <f t="shared" si="38"/>
        <v>0</v>
      </c>
      <c r="G410" s="2">
        <f t="shared" si="39"/>
        <v>0</v>
      </c>
      <c r="H410" s="2">
        <f t="shared" si="40"/>
        <v>0</v>
      </c>
      <c r="I410" s="2">
        <f t="shared" si="36"/>
        <v>0</v>
      </c>
      <c r="J410">
        <f>IFERROR(VLOOKUP(B410,'General price list'!C:AI,12,FALSE)*(G410*C410),0)</f>
        <v>0</v>
      </c>
    </row>
    <row r="411" spans="2:10" ht="15" customHeight="1">
      <c r="B411" t="s">
        <v>5190</v>
      </c>
      <c r="C411" s="2" t="str">
        <f>IFERROR(VLOOKUP(B411,'Deutsche Markt'!C:AA,24,FALSE),"")</f>
        <v>84</v>
      </c>
      <c r="D411" s="2">
        <f>IFERROR(VLOOKUP(B411,'Deutsche Markt'!C:AA,25,FALSE),0)</f>
        <v>0</v>
      </c>
      <c r="E411" s="2">
        <f t="shared" si="37"/>
        <v>0</v>
      </c>
      <c r="F411" s="2">
        <f t="shared" si="38"/>
        <v>0</v>
      </c>
      <c r="G411" s="2">
        <f t="shared" si="39"/>
        <v>0</v>
      </c>
      <c r="H411" s="2">
        <f t="shared" si="40"/>
        <v>0</v>
      </c>
      <c r="I411" s="2">
        <f t="shared" si="36"/>
        <v>0</v>
      </c>
      <c r="J411">
        <f>IFERROR(VLOOKUP(B411,'General price list'!C:AI,12,FALSE)*(G411*C411),0)</f>
        <v>0</v>
      </c>
    </row>
    <row r="412" spans="2:10" ht="15" customHeight="1">
      <c r="B412" t="s">
        <v>5201</v>
      </c>
      <c r="C412" s="2" t="str">
        <f>IFERROR(VLOOKUP(B412,'Deutsche Markt'!C:AA,24,FALSE),"")</f>
        <v/>
      </c>
      <c r="D412" s="2">
        <f>IFERROR(VLOOKUP(B412,'Deutsche Markt'!C:AA,25,FALSE),0)</f>
        <v>0</v>
      </c>
      <c r="E412" s="2">
        <f t="shared" si="37"/>
        <v>0</v>
      </c>
      <c r="F412" s="2">
        <f t="shared" si="38"/>
        <v>0</v>
      </c>
      <c r="G412" s="2">
        <f t="shared" si="39"/>
        <v>0</v>
      </c>
      <c r="H412" s="2">
        <f t="shared" si="40"/>
        <v>0</v>
      </c>
      <c r="I412" s="2">
        <f t="shared" si="36"/>
        <v>0</v>
      </c>
      <c r="J412">
        <f>IFERROR(VLOOKUP(B412,'General price list'!C:AI,12,FALSE)*(G412*C412),0)</f>
        <v>0</v>
      </c>
    </row>
    <row r="413" spans="2:10" ht="15" customHeight="1">
      <c r="B413" t="s">
        <v>1426</v>
      </c>
      <c r="C413" s="2">
        <f>IFERROR(VLOOKUP(B413,'Deutsche Markt'!C:AA,24,FALSE),"")</f>
        <v>36</v>
      </c>
      <c r="D413" s="2">
        <f>IFERROR(VLOOKUP(B413,'Deutsche Markt'!C:AA,25,FALSE),0)</f>
        <v>0</v>
      </c>
      <c r="E413" s="2">
        <f t="shared" si="37"/>
        <v>0</v>
      </c>
      <c r="F413" s="2">
        <f t="shared" si="38"/>
        <v>0</v>
      </c>
      <c r="G413" s="2">
        <f t="shared" si="39"/>
        <v>0</v>
      </c>
      <c r="H413" s="2">
        <f t="shared" si="40"/>
        <v>0</v>
      </c>
      <c r="I413" s="2">
        <f t="shared" si="36"/>
        <v>0</v>
      </c>
      <c r="J413">
        <f>IFERROR(VLOOKUP(B413,'General price list'!C:AI,12,FALSE)*(G413*C413),0)</f>
        <v>0</v>
      </c>
    </row>
    <row r="414" spans="2:10" ht="15" customHeight="1">
      <c r="B414" t="s">
        <v>1488</v>
      </c>
      <c r="C414" s="2" t="str">
        <f>IFERROR(VLOOKUP(B414,'Deutsche Markt'!C:AA,24,FALSE),"")</f>
        <v/>
      </c>
      <c r="D414" s="2">
        <f>IFERROR(VLOOKUP(B414,'Deutsche Markt'!C:AA,25,FALSE),0)</f>
        <v>0</v>
      </c>
      <c r="E414" s="2">
        <f t="shared" si="37"/>
        <v>0</v>
      </c>
      <c r="F414" s="2">
        <f t="shared" si="38"/>
        <v>0</v>
      </c>
      <c r="G414" s="2">
        <f t="shared" si="39"/>
        <v>0</v>
      </c>
      <c r="H414" s="2">
        <f t="shared" si="40"/>
        <v>0</v>
      </c>
      <c r="I414" s="2">
        <f t="shared" si="36"/>
        <v>0</v>
      </c>
      <c r="J414">
        <f>IFERROR(VLOOKUP(B414,'General price list'!C:AI,12,FALSE)*(G414*C414),0)</f>
        <v>0</v>
      </c>
    </row>
    <row r="415" spans="2:10" ht="15" customHeight="1">
      <c r="B415" t="s">
        <v>2542</v>
      </c>
      <c r="C415" s="2" t="str">
        <f>IFERROR(VLOOKUP(B415,'Deutsche Markt'!C:AA,24,FALSE),"")</f>
        <v/>
      </c>
      <c r="D415" s="2">
        <f>IFERROR(VLOOKUP(B415,'Deutsche Markt'!C:AA,25,FALSE),0)</f>
        <v>0</v>
      </c>
      <c r="E415" s="2">
        <f t="shared" si="37"/>
        <v>0</v>
      </c>
      <c r="F415" s="2">
        <f t="shared" si="38"/>
        <v>0</v>
      </c>
      <c r="G415" s="2">
        <f t="shared" si="39"/>
        <v>0</v>
      </c>
      <c r="H415" s="2">
        <f t="shared" si="40"/>
        <v>0</v>
      </c>
      <c r="I415" s="2">
        <f t="shared" si="36"/>
        <v>0</v>
      </c>
      <c r="J415">
        <f>IFERROR(VLOOKUP(B415,'General price list'!C:AI,12,FALSE)*(G415*C415),0)</f>
        <v>0</v>
      </c>
    </row>
    <row r="416" spans="2:10" ht="15" customHeight="1">
      <c r="B416" t="s">
        <v>1487</v>
      </c>
      <c r="C416" s="2" t="str">
        <f>IFERROR(VLOOKUP(B416,'Deutsche Markt'!C:AA,24,FALSE),"")</f>
        <v/>
      </c>
      <c r="D416" s="2">
        <f>IFERROR(VLOOKUP(B416,'Deutsche Markt'!C:AA,25,FALSE),0)</f>
        <v>0</v>
      </c>
      <c r="E416" s="2">
        <f t="shared" si="37"/>
        <v>0</v>
      </c>
      <c r="F416" s="2">
        <f t="shared" si="38"/>
        <v>0</v>
      </c>
      <c r="G416" s="2">
        <f t="shared" si="39"/>
        <v>0</v>
      </c>
      <c r="H416" s="2">
        <f t="shared" si="40"/>
        <v>0</v>
      </c>
      <c r="I416" s="2">
        <f t="shared" si="36"/>
        <v>0</v>
      </c>
      <c r="J416">
        <f>IFERROR(VLOOKUP(B416,'General price list'!C:AI,12,FALSE)*(G416*C416),0)</f>
        <v>0</v>
      </c>
    </row>
    <row r="417" spans="2:10" ht="15" customHeight="1">
      <c r="B417" t="s">
        <v>2541</v>
      </c>
      <c r="C417" s="2" t="str">
        <f>IFERROR(VLOOKUP(B417,'Deutsche Markt'!C:AA,24,FALSE),"")</f>
        <v/>
      </c>
      <c r="D417" s="2">
        <f>IFERROR(VLOOKUP(B417,'Deutsche Markt'!C:AA,25,FALSE),0)</f>
        <v>0</v>
      </c>
      <c r="E417" s="2">
        <f t="shared" si="37"/>
        <v>0</v>
      </c>
      <c r="F417" s="2">
        <f t="shared" si="38"/>
        <v>0</v>
      </c>
      <c r="G417" s="2">
        <f t="shared" si="39"/>
        <v>0</v>
      </c>
      <c r="H417" s="2">
        <f t="shared" si="40"/>
        <v>0</v>
      </c>
      <c r="I417" s="2">
        <f t="shared" si="36"/>
        <v>0</v>
      </c>
      <c r="J417">
        <f>IFERROR(VLOOKUP(B417,'General price list'!C:AI,12,FALSE)*(G417*C417),0)</f>
        <v>0</v>
      </c>
    </row>
    <row r="418" spans="2:10" ht="15" customHeight="1">
      <c r="B418" t="s">
        <v>1518</v>
      </c>
      <c r="C418" s="2" t="str">
        <f>IFERROR(VLOOKUP(B418,'Deutsche Markt'!C:AA,24,FALSE),"")</f>
        <v/>
      </c>
      <c r="D418" s="2">
        <f>IFERROR(VLOOKUP(B418,'Deutsche Markt'!C:AA,25,FALSE),0)</f>
        <v>0</v>
      </c>
      <c r="E418" s="2">
        <f t="shared" si="37"/>
        <v>0</v>
      </c>
      <c r="F418" s="2">
        <f t="shared" si="38"/>
        <v>0</v>
      </c>
      <c r="G418" s="2">
        <f t="shared" si="39"/>
        <v>0</v>
      </c>
      <c r="H418" s="2">
        <f t="shared" si="40"/>
        <v>0</v>
      </c>
      <c r="I418" s="2">
        <f t="shared" si="36"/>
        <v>0</v>
      </c>
      <c r="J418">
        <f>IFERROR(VLOOKUP(B418,'General price list'!C:AI,12,FALSE)*(G418*C418),0)</f>
        <v>0</v>
      </c>
    </row>
    <row r="419" spans="2:10" ht="15" customHeight="1">
      <c r="B419" t="s">
        <v>1516</v>
      </c>
      <c r="C419" s="2" t="str">
        <f>IFERROR(VLOOKUP(B419,'Deutsche Markt'!C:AA,24,FALSE),"")</f>
        <v/>
      </c>
      <c r="D419" s="2">
        <f>IFERROR(VLOOKUP(B419,'Deutsche Markt'!C:AA,25,FALSE),0)</f>
        <v>0</v>
      </c>
      <c r="E419" s="2">
        <f t="shared" si="37"/>
        <v>0</v>
      </c>
      <c r="F419" s="2">
        <f t="shared" si="38"/>
        <v>0</v>
      </c>
      <c r="G419" s="2">
        <f t="shared" si="39"/>
        <v>0</v>
      </c>
      <c r="H419" s="2">
        <f t="shared" si="40"/>
        <v>0</v>
      </c>
      <c r="I419" s="2">
        <f t="shared" si="36"/>
        <v>0</v>
      </c>
      <c r="J419">
        <f>IFERROR(VLOOKUP(B419,'General price list'!C:AI,12,FALSE)*(G419*C419),0)</f>
        <v>0</v>
      </c>
    </row>
    <row r="420" spans="2:10" ht="15" customHeight="1">
      <c r="B420" t="s">
        <v>1519</v>
      </c>
      <c r="C420" s="2">
        <f>IFERROR(VLOOKUP(B420,'Deutsche Markt'!C:AA,24,FALSE),"")</f>
        <v>16</v>
      </c>
      <c r="D420" s="2">
        <f>IFERROR(VLOOKUP(B420,'Deutsche Markt'!C:AA,25,FALSE),0)</f>
        <v>0</v>
      </c>
      <c r="E420" s="2">
        <f t="shared" si="37"/>
        <v>0</v>
      </c>
      <c r="F420" s="2">
        <f t="shared" si="38"/>
        <v>0</v>
      </c>
      <c r="G420" s="2">
        <f t="shared" si="39"/>
        <v>0</v>
      </c>
      <c r="H420" s="2">
        <f t="shared" si="40"/>
        <v>0</v>
      </c>
      <c r="I420" s="2">
        <f t="shared" si="36"/>
        <v>0</v>
      </c>
      <c r="J420">
        <f>IFERROR(VLOOKUP(B420,'General price list'!C:AI,12,FALSE)*(G420*C420),0)</f>
        <v>0</v>
      </c>
    </row>
    <row r="421" spans="2:10" ht="15" customHeight="1">
      <c r="B421" t="s">
        <v>1202</v>
      </c>
      <c r="C421" s="2" t="str">
        <f>IFERROR(VLOOKUP(B421,'Deutsche Markt'!C:AA,24,FALSE),"")</f>
        <v/>
      </c>
      <c r="D421" s="2">
        <f>IFERROR(VLOOKUP(B421,'Deutsche Markt'!C:AA,25,FALSE),0)</f>
        <v>0</v>
      </c>
      <c r="E421" s="2">
        <f t="shared" si="37"/>
        <v>0</v>
      </c>
      <c r="F421" s="2">
        <f t="shared" si="38"/>
        <v>0</v>
      </c>
      <c r="G421" s="2">
        <f t="shared" si="39"/>
        <v>0</v>
      </c>
      <c r="H421" s="2">
        <f t="shared" si="40"/>
        <v>0</v>
      </c>
      <c r="I421" s="2">
        <f t="shared" si="36"/>
        <v>0</v>
      </c>
      <c r="J421">
        <f>IFERROR(VLOOKUP(B421,'General price list'!C:AI,12,FALSE)*(G421*C421),0)</f>
        <v>0</v>
      </c>
    </row>
    <row r="422" spans="2:10" ht="15" customHeight="1">
      <c r="B422" t="s">
        <v>2506</v>
      </c>
      <c r="C422" s="2" t="str">
        <f>IFERROR(VLOOKUP(B422,'Deutsche Markt'!C:AA,24,FALSE),"")</f>
        <v/>
      </c>
      <c r="D422" s="2">
        <f>IFERROR(VLOOKUP(B422,'Deutsche Markt'!C:AA,25,FALSE),0)</f>
        <v>0</v>
      </c>
      <c r="E422" s="2">
        <f t="shared" si="37"/>
        <v>0</v>
      </c>
      <c r="F422" s="2">
        <f t="shared" si="38"/>
        <v>0</v>
      </c>
      <c r="G422" s="2">
        <f t="shared" si="39"/>
        <v>0</v>
      </c>
      <c r="H422" s="2">
        <f t="shared" si="40"/>
        <v>0</v>
      </c>
      <c r="I422" s="2">
        <f t="shared" si="36"/>
        <v>0</v>
      </c>
      <c r="J422">
        <f>IFERROR(VLOOKUP(B422,'General price list'!C:AI,12,FALSE)*(G422*C422),0)</f>
        <v>0</v>
      </c>
    </row>
    <row r="423" spans="2:10" ht="15" customHeight="1">
      <c r="B423" t="s">
        <v>1203</v>
      </c>
      <c r="C423" s="2" t="str">
        <f>IFERROR(VLOOKUP(B423,'Deutsche Markt'!C:AA,24,FALSE),"")</f>
        <v/>
      </c>
      <c r="D423" s="2">
        <f>IFERROR(VLOOKUP(B423,'Deutsche Markt'!C:AA,25,FALSE),0)</f>
        <v>0</v>
      </c>
      <c r="E423" s="2">
        <f t="shared" si="37"/>
        <v>0</v>
      </c>
      <c r="F423" s="2">
        <f t="shared" si="38"/>
        <v>0</v>
      </c>
      <c r="G423" s="2">
        <f t="shared" si="39"/>
        <v>0</v>
      </c>
      <c r="H423" s="2">
        <f t="shared" si="40"/>
        <v>0</v>
      </c>
      <c r="I423" s="2">
        <f t="shared" si="36"/>
        <v>0</v>
      </c>
      <c r="J423">
        <f>IFERROR(VLOOKUP(B423,'General price list'!C:AI,12,FALSE)*(G423*C423),0)</f>
        <v>0</v>
      </c>
    </row>
    <row r="424" spans="2:10" ht="15" customHeight="1">
      <c r="B424" t="s">
        <v>2507</v>
      </c>
      <c r="C424" s="2" t="str">
        <f>IFERROR(VLOOKUP(B424,'Deutsche Markt'!C:AA,24,FALSE),"")</f>
        <v/>
      </c>
      <c r="D424" s="2">
        <f>IFERROR(VLOOKUP(B424,'Deutsche Markt'!C:AA,25,FALSE),0)</f>
        <v>0</v>
      </c>
      <c r="E424" s="2">
        <f t="shared" si="37"/>
        <v>0</v>
      </c>
      <c r="F424" s="2">
        <f t="shared" si="38"/>
        <v>0</v>
      </c>
      <c r="G424" s="2">
        <f t="shared" si="39"/>
        <v>0</v>
      </c>
      <c r="H424" s="2">
        <f t="shared" si="40"/>
        <v>0</v>
      </c>
      <c r="I424" s="2">
        <f t="shared" si="36"/>
        <v>0</v>
      </c>
      <c r="J424">
        <f>IFERROR(VLOOKUP(B424,'General price list'!C:AI,12,FALSE)*(G424*C424),0)</f>
        <v>0</v>
      </c>
    </row>
    <row r="425" spans="2:10" ht="15" customHeight="1">
      <c r="B425" t="s">
        <v>13225</v>
      </c>
      <c r="C425" s="2" t="str">
        <f>IFERROR(VLOOKUP(B425,'Deutsche Markt'!C:AA,24,FALSE),"")</f>
        <v/>
      </c>
      <c r="D425" s="2">
        <f>IFERROR(VLOOKUP(B425,'Deutsche Markt'!C:AA,25,FALSE),0)</f>
        <v>0</v>
      </c>
      <c r="E425" s="2">
        <f t="shared" si="37"/>
        <v>0</v>
      </c>
      <c r="F425" s="2">
        <f t="shared" si="38"/>
        <v>0</v>
      </c>
      <c r="G425" s="2">
        <f t="shared" si="39"/>
        <v>0</v>
      </c>
      <c r="H425" s="2">
        <f t="shared" si="40"/>
        <v>0</v>
      </c>
      <c r="I425" s="2">
        <f t="shared" si="36"/>
        <v>0</v>
      </c>
      <c r="J425">
        <f>IFERROR(VLOOKUP(B425,'General price list'!C:AI,12,FALSE)*(G425*C425),0)</f>
        <v>0</v>
      </c>
    </row>
    <row r="426" spans="2:10" ht="15" customHeight="1">
      <c r="B426" t="s">
        <v>1520</v>
      </c>
      <c r="C426" s="2" t="str">
        <f>IFERROR(VLOOKUP(B426,'Deutsche Markt'!C:AA,24,FALSE),"")</f>
        <v/>
      </c>
      <c r="D426" s="2">
        <f>IFERROR(VLOOKUP(B426,'Deutsche Markt'!C:AA,25,FALSE),0)</f>
        <v>0</v>
      </c>
      <c r="E426" s="2">
        <f t="shared" si="37"/>
        <v>0</v>
      </c>
      <c r="F426" s="2">
        <f t="shared" si="38"/>
        <v>0</v>
      </c>
      <c r="G426" s="2">
        <f t="shared" si="39"/>
        <v>0</v>
      </c>
      <c r="H426" s="2">
        <f t="shared" si="40"/>
        <v>0</v>
      </c>
      <c r="I426" s="2">
        <f t="shared" si="36"/>
        <v>0</v>
      </c>
      <c r="J426">
        <f>IFERROR(VLOOKUP(B426,'General price list'!C:AI,12,FALSE)*(G426*C426),0)</f>
        <v>0</v>
      </c>
    </row>
    <row r="427" spans="2:10" ht="15" customHeight="1">
      <c r="B427" t="s">
        <v>2170</v>
      </c>
      <c r="C427" s="2" t="str">
        <f>IFERROR(VLOOKUP(B427,'Deutsche Markt'!C:AA,24,FALSE),"")</f>
        <v/>
      </c>
      <c r="D427" s="2">
        <f>IFERROR(VLOOKUP(B427,'Deutsche Markt'!C:AA,25,FALSE),0)</f>
        <v>0</v>
      </c>
      <c r="E427" s="2">
        <f t="shared" si="37"/>
        <v>0</v>
      </c>
      <c r="F427" s="2">
        <f t="shared" si="38"/>
        <v>0</v>
      </c>
      <c r="G427" s="2">
        <f t="shared" si="39"/>
        <v>0</v>
      </c>
      <c r="H427" s="2">
        <f t="shared" si="40"/>
        <v>0</v>
      </c>
      <c r="I427" s="2">
        <f t="shared" si="36"/>
        <v>0</v>
      </c>
      <c r="J427">
        <f>IFERROR(VLOOKUP(B427,'General price list'!C:AI,12,FALSE)*(G427*C427),0)</f>
        <v>0</v>
      </c>
    </row>
    <row r="428" spans="2:10" ht="15" customHeight="1">
      <c r="B428" t="s">
        <v>1521</v>
      </c>
      <c r="C428" s="2" t="str">
        <f>IFERROR(VLOOKUP(B428,'Deutsche Markt'!C:AA,24,FALSE),"")</f>
        <v/>
      </c>
      <c r="D428" s="2">
        <f>IFERROR(VLOOKUP(B428,'Deutsche Markt'!C:AA,25,FALSE),0)</f>
        <v>0</v>
      </c>
      <c r="E428" s="2">
        <f t="shared" si="37"/>
        <v>0</v>
      </c>
      <c r="F428" s="2">
        <f t="shared" si="38"/>
        <v>0</v>
      </c>
      <c r="G428" s="2">
        <f t="shared" si="39"/>
        <v>0</v>
      </c>
      <c r="H428" s="2">
        <f t="shared" si="40"/>
        <v>0</v>
      </c>
      <c r="I428" s="2">
        <f t="shared" si="36"/>
        <v>0</v>
      </c>
      <c r="J428">
        <f>IFERROR(VLOOKUP(B428,'General price list'!C:AI,12,FALSE)*(G428*C428),0)</f>
        <v>0</v>
      </c>
    </row>
    <row r="429" spans="2:10" ht="15" customHeight="1">
      <c r="B429" t="s">
        <v>2406</v>
      </c>
      <c r="C429" s="2" t="str">
        <f>IFERROR(VLOOKUP(B429,'Deutsche Markt'!C:AA,24,FALSE),"")</f>
        <v/>
      </c>
      <c r="D429" s="2">
        <f>IFERROR(VLOOKUP(B429,'Deutsche Markt'!C:AA,25,FALSE),0)</f>
        <v>0</v>
      </c>
      <c r="E429" s="2">
        <f t="shared" si="37"/>
        <v>0</v>
      </c>
      <c r="F429" s="2">
        <f t="shared" si="38"/>
        <v>0</v>
      </c>
      <c r="G429" s="2">
        <f t="shared" si="39"/>
        <v>0</v>
      </c>
      <c r="H429" s="2">
        <f t="shared" si="40"/>
        <v>0</v>
      </c>
      <c r="I429" s="2">
        <f t="shared" si="36"/>
        <v>0</v>
      </c>
      <c r="J429">
        <f>IFERROR(VLOOKUP(B429,'General price list'!C:AI,12,FALSE)*(G429*C429),0)</f>
        <v>0</v>
      </c>
    </row>
    <row r="430" spans="2:10" ht="15" customHeight="1">
      <c r="B430" t="s">
        <v>2172</v>
      </c>
      <c r="C430" s="2" t="str">
        <f>IFERROR(VLOOKUP(B430,'Deutsche Markt'!C:AA,24,FALSE),"")</f>
        <v/>
      </c>
      <c r="D430" s="2">
        <f>IFERROR(VLOOKUP(B430,'Deutsche Markt'!C:AA,25,FALSE),0)</f>
        <v>0</v>
      </c>
      <c r="E430" s="2">
        <f t="shared" si="37"/>
        <v>0</v>
      </c>
      <c r="F430" s="2">
        <f t="shared" si="38"/>
        <v>0</v>
      </c>
      <c r="G430" s="2">
        <f t="shared" si="39"/>
        <v>0</v>
      </c>
      <c r="H430" s="2">
        <f t="shared" si="40"/>
        <v>0</v>
      </c>
      <c r="I430" s="2">
        <f t="shared" si="36"/>
        <v>0</v>
      </c>
      <c r="J430">
        <f>IFERROR(VLOOKUP(B430,'General price list'!C:AI,12,FALSE)*(G430*C430),0)</f>
        <v>0</v>
      </c>
    </row>
    <row r="431" spans="2:10" ht="15" customHeight="1">
      <c r="B431" t="s">
        <v>1109</v>
      </c>
      <c r="C431" s="2">
        <f>IFERROR(VLOOKUP(B431,'Deutsche Markt'!C:AA,24,FALSE),"")</f>
        <v>48</v>
      </c>
      <c r="D431" s="2">
        <f>IFERROR(VLOOKUP(B431,'Deutsche Markt'!C:AA,25,FALSE),0)</f>
        <v>0</v>
      </c>
      <c r="E431" s="2">
        <f t="shared" si="37"/>
        <v>0</v>
      </c>
      <c r="F431" s="2">
        <f t="shared" si="38"/>
        <v>0</v>
      </c>
      <c r="G431" s="2">
        <f t="shared" si="39"/>
        <v>0</v>
      </c>
      <c r="H431" s="2">
        <f t="shared" si="40"/>
        <v>0</v>
      </c>
      <c r="I431" s="2">
        <f t="shared" si="36"/>
        <v>0</v>
      </c>
      <c r="J431">
        <f>IFERROR(VLOOKUP(B431,'General price list'!C:AI,12,FALSE)*(G431*C431),0)</f>
        <v>0</v>
      </c>
    </row>
    <row r="432" spans="2:10" ht="15" customHeight="1">
      <c r="B432" t="s">
        <v>2339</v>
      </c>
      <c r="C432" s="2" t="str">
        <f>IFERROR(VLOOKUP(B432,'Deutsche Markt'!C:AA,24,FALSE),"")</f>
        <v/>
      </c>
      <c r="D432" s="2">
        <f>IFERROR(VLOOKUP(B432,'Deutsche Markt'!C:AA,25,FALSE),0)</f>
        <v>0</v>
      </c>
      <c r="E432" s="2">
        <f t="shared" si="37"/>
        <v>0</v>
      </c>
      <c r="F432" s="2">
        <f t="shared" si="38"/>
        <v>0</v>
      </c>
      <c r="G432" s="2">
        <f t="shared" si="39"/>
        <v>0</v>
      </c>
      <c r="H432" s="2">
        <f t="shared" si="40"/>
        <v>0</v>
      </c>
      <c r="I432" s="2">
        <f t="shared" si="36"/>
        <v>0</v>
      </c>
      <c r="J432">
        <f>IFERROR(VLOOKUP(B432,'General price list'!C:AI,12,FALSE)*(G432*C432),0)</f>
        <v>0</v>
      </c>
    </row>
    <row r="433" spans="2:10" ht="15" customHeight="1">
      <c r="B433" t="s">
        <v>1116</v>
      </c>
      <c r="C433" s="2">
        <f>IFERROR(VLOOKUP(B433,'Deutsche Markt'!C:AA,24,FALSE),"")</f>
        <v>48</v>
      </c>
      <c r="D433" s="2">
        <f>IFERROR(VLOOKUP(B433,'Deutsche Markt'!C:AA,25,FALSE),0)</f>
        <v>0</v>
      </c>
      <c r="E433" s="2">
        <f t="shared" si="37"/>
        <v>0</v>
      </c>
      <c r="F433" s="2">
        <f t="shared" si="38"/>
        <v>0</v>
      </c>
      <c r="G433" s="2">
        <f t="shared" si="39"/>
        <v>0</v>
      </c>
      <c r="H433" s="2">
        <f t="shared" si="40"/>
        <v>0</v>
      </c>
      <c r="I433" s="2">
        <f t="shared" si="36"/>
        <v>0</v>
      </c>
      <c r="J433">
        <f>IFERROR(VLOOKUP(B433,'General price list'!C:AI,12,FALSE)*(G433*C433),0)</f>
        <v>0</v>
      </c>
    </row>
    <row r="434" spans="2:10" ht="15" customHeight="1">
      <c r="B434" t="s">
        <v>1119</v>
      </c>
      <c r="C434" s="2">
        <f>IFERROR(VLOOKUP(B434,'Deutsche Markt'!C:AA,24,FALSE),"")</f>
        <v>48</v>
      </c>
      <c r="D434" s="2">
        <f>IFERROR(VLOOKUP(B434,'Deutsche Markt'!C:AA,25,FALSE),0)</f>
        <v>0</v>
      </c>
      <c r="E434" s="2">
        <f t="shared" si="37"/>
        <v>0</v>
      </c>
      <c r="F434" s="2">
        <f t="shared" si="38"/>
        <v>0</v>
      </c>
      <c r="G434" s="2">
        <f t="shared" si="39"/>
        <v>0</v>
      </c>
      <c r="H434" s="2">
        <f t="shared" si="40"/>
        <v>0</v>
      </c>
      <c r="I434" s="2">
        <f t="shared" si="36"/>
        <v>0</v>
      </c>
      <c r="J434">
        <f>IFERROR(VLOOKUP(B434,'General price list'!C:AI,12,FALSE)*(G434*C434),0)</f>
        <v>0</v>
      </c>
    </row>
    <row r="435" spans="2:10" ht="15" customHeight="1">
      <c r="B435" t="s">
        <v>1180</v>
      </c>
      <c r="C435" s="2" t="str">
        <f>IFERROR(VLOOKUP(B435,'Deutsche Markt'!C:AA,24,FALSE),"")</f>
        <v/>
      </c>
      <c r="D435" s="2">
        <f>IFERROR(VLOOKUP(B435,'Deutsche Markt'!C:AA,25,FALSE),0)</f>
        <v>0</v>
      </c>
      <c r="E435" s="2">
        <f t="shared" si="37"/>
        <v>0</v>
      </c>
      <c r="F435" s="2">
        <f t="shared" si="38"/>
        <v>0</v>
      </c>
      <c r="G435" s="2">
        <f t="shared" si="39"/>
        <v>0</v>
      </c>
      <c r="H435" s="2">
        <f t="shared" si="40"/>
        <v>0</v>
      </c>
      <c r="I435" s="2">
        <f t="shared" si="36"/>
        <v>0</v>
      </c>
      <c r="J435">
        <f>IFERROR(VLOOKUP(B435,'General price list'!C:AI,12,FALSE)*(G435*C435),0)</f>
        <v>0</v>
      </c>
    </row>
    <row r="436" spans="2:10" ht="15" customHeight="1">
      <c r="B436" t="s">
        <v>1114</v>
      </c>
      <c r="C436" s="2">
        <f>IFERROR(VLOOKUP(B436,'Deutsche Markt'!C:AA,24,FALSE),"")</f>
        <v>48</v>
      </c>
      <c r="D436" s="2">
        <f>IFERROR(VLOOKUP(B436,'Deutsche Markt'!C:AA,25,FALSE),0)</f>
        <v>0</v>
      </c>
      <c r="E436" s="2">
        <f t="shared" si="37"/>
        <v>0</v>
      </c>
      <c r="F436" s="2">
        <f t="shared" si="38"/>
        <v>0</v>
      </c>
      <c r="G436" s="2">
        <f t="shared" si="39"/>
        <v>0</v>
      </c>
      <c r="H436" s="2">
        <f t="shared" si="40"/>
        <v>0</v>
      </c>
      <c r="I436" s="2">
        <f t="shared" si="36"/>
        <v>0</v>
      </c>
      <c r="J436">
        <f>IFERROR(VLOOKUP(B436,'General price list'!C:AI,12,FALSE)*(G436*C436),0)</f>
        <v>0</v>
      </c>
    </row>
    <row r="437" spans="2:10" ht="15" customHeight="1">
      <c r="B437" t="s">
        <v>1118</v>
      </c>
      <c r="C437" s="2">
        <f>IFERROR(VLOOKUP(B437,'Deutsche Markt'!C:AA,24,FALSE),"")</f>
        <v>48</v>
      </c>
      <c r="D437" s="2">
        <f>IFERROR(VLOOKUP(B437,'Deutsche Markt'!C:AA,25,FALSE),0)</f>
        <v>0</v>
      </c>
      <c r="E437" s="2">
        <f t="shared" si="37"/>
        <v>0</v>
      </c>
      <c r="F437" s="2">
        <f t="shared" si="38"/>
        <v>0</v>
      </c>
      <c r="G437" s="2">
        <f t="shared" si="39"/>
        <v>0</v>
      </c>
      <c r="H437" s="2">
        <f t="shared" si="40"/>
        <v>0</v>
      </c>
      <c r="I437" s="2">
        <f t="shared" si="36"/>
        <v>0</v>
      </c>
      <c r="J437">
        <f>IFERROR(VLOOKUP(B437,'General price list'!C:AI,12,FALSE)*(G437*C437),0)</f>
        <v>0</v>
      </c>
    </row>
    <row r="438" spans="2:10" ht="15" customHeight="1">
      <c r="B438" t="s">
        <v>2356</v>
      </c>
      <c r="C438" s="2" t="str">
        <f>IFERROR(VLOOKUP(B438,'Deutsche Markt'!C:AA,24,FALSE),"")</f>
        <v/>
      </c>
      <c r="D438" s="2">
        <f>IFERROR(VLOOKUP(B438,'Deutsche Markt'!C:AA,25,FALSE),0)</f>
        <v>0</v>
      </c>
      <c r="E438" s="2">
        <f t="shared" si="37"/>
        <v>0</v>
      </c>
      <c r="F438" s="2">
        <f t="shared" si="38"/>
        <v>0</v>
      </c>
      <c r="G438" s="2">
        <f t="shared" si="39"/>
        <v>0</v>
      </c>
      <c r="H438" s="2">
        <f t="shared" si="40"/>
        <v>0</v>
      </c>
      <c r="I438" s="2">
        <f t="shared" si="36"/>
        <v>0</v>
      </c>
      <c r="J438">
        <f>IFERROR(VLOOKUP(B438,'General price list'!C:AI,12,FALSE)*(G438*C438),0)</f>
        <v>0</v>
      </c>
    </row>
    <row r="439" spans="2:10" ht="15" customHeight="1">
      <c r="B439" t="s">
        <v>1433</v>
      </c>
      <c r="C439" s="2">
        <f>IFERROR(VLOOKUP(B439,'Deutsche Markt'!C:AA,24,FALSE),"")</f>
        <v>24</v>
      </c>
      <c r="D439" s="2">
        <f>IFERROR(VLOOKUP(B439,'Deutsche Markt'!C:AA,25,FALSE),0)</f>
        <v>0</v>
      </c>
      <c r="E439" s="2">
        <f t="shared" si="37"/>
        <v>0</v>
      </c>
      <c r="F439" s="2">
        <f t="shared" si="38"/>
        <v>0</v>
      </c>
      <c r="G439" s="2">
        <f t="shared" si="39"/>
        <v>0</v>
      </c>
      <c r="H439" s="2">
        <f t="shared" si="40"/>
        <v>0</v>
      </c>
      <c r="I439" s="2">
        <f t="shared" si="36"/>
        <v>0</v>
      </c>
      <c r="J439">
        <f>IFERROR(VLOOKUP(B439,'General price list'!C:AI,12,FALSE)*(G439*C439),0)</f>
        <v>0</v>
      </c>
    </row>
    <row r="440" spans="2:10" ht="15" customHeight="1">
      <c r="B440" t="s">
        <v>2158</v>
      </c>
      <c r="C440" s="2" t="str">
        <f>IFERROR(VLOOKUP(B440,'Deutsche Markt'!C:AA,24,FALSE),"")</f>
        <v/>
      </c>
      <c r="D440" s="2">
        <f>IFERROR(VLOOKUP(B440,'Deutsche Markt'!C:AA,25,FALSE),0)</f>
        <v>0</v>
      </c>
      <c r="E440" s="2">
        <f t="shared" si="37"/>
        <v>0</v>
      </c>
      <c r="F440" s="2">
        <f t="shared" si="38"/>
        <v>0</v>
      </c>
      <c r="G440" s="2">
        <f t="shared" si="39"/>
        <v>0</v>
      </c>
      <c r="H440" s="2">
        <f t="shared" si="40"/>
        <v>0</v>
      </c>
      <c r="I440" s="2">
        <f t="shared" si="36"/>
        <v>0</v>
      </c>
      <c r="J440">
        <f>IFERROR(VLOOKUP(B440,'General price list'!C:AI,12,FALSE)*(G440*C440),0)</f>
        <v>0</v>
      </c>
    </row>
    <row r="441" spans="2:10" ht="15" customHeight="1">
      <c r="B441" t="s">
        <v>1432</v>
      </c>
      <c r="C441" s="2" t="str">
        <f>IFERROR(VLOOKUP(B441,'Deutsche Markt'!C:AA,24,FALSE),"")</f>
        <v/>
      </c>
      <c r="D441" s="2">
        <f>IFERROR(VLOOKUP(B441,'Deutsche Markt'!C:AA,25,FALSE),0)</f>
        <v>0</v>
      </c>
      <c r="E441" s="2">
        <f t="shared" si="37"/>
        <v>0</v>
      </c>
      <c r="F441" s="2">
        <f t="shared" si="38"/>
        <v>0</v>
      </c>
      <c r="G441" s="2">
        <f t="shared" si="39"/>
        <v>0</v>
      </c>
      <c r="H441" s="2">
        <f t="shared" si="40"/>
        <v>0</v>
      </c>
      <c r="I441" s="2">
        <f t="shared" si="36"/>
        <v>0</v>
      </c>
      <c r="J441">
        <f>IFERROR(VLOOKUP(B441,'General price list'!C:AI,12,FALSE)*(G441*C441),0)</f>
        <v>0</v>
      </c>
    </row>
    <row r="442" spans="2:10" ht="15" customHeight="1">
      <c r="B442" t="s">
        <v>1439</v>
      </c>
      <c r="C442" s="2">
        <f>IFERROR(VLOOKUP(B442,'Deutsche Markt'!C:AA,24,FALSE),"")</f>
        <v>24</v>
      </c>
      <c r="D442" s="2">
        <f>IFERROR(VLOOKUP(B442,'Deutsche Markt'!C:AA,25,FALSE),0)</f>
        <v>0</v>
      </c>
      <c r="E442" s="2">
        <f t="shared" si="37"/>
        <v>0</v>
      </c>
      <c r="F442" s="2">
        <f t="shared" si="38"/>
        <v>0</v>
      </c>
      <c r="G442" s="2">
        <f t="shared" si="39"/>
        <v>0</v>
      </c>
      <c r="H442" s="2">
        <f t="shared" si="40"/>
        <v>0</v>
      </c>
      <c r="I442" s="2">
        <f t="shared" si="36"/>
        <v>0</v>
      </c>
      <c r="J442">
        <f>IFERROR(VLOOKUP(B442,'General price list'!C:AI,12,FALSE)*(G442*C442),0)</f>
        <v>0</v>
      </c>
    </row>
    <row r="443" spans="2:10" ht="15" customHeight="1">
      <c r="B443" t="s">
        <v>1440</v>
      </c>
      <c r="C443" s="2">
        <f>IFERROR(VLOOKUP(B443,'Deutsche Markt'!C:AA,24,FALSE),"")</f>
        <v>24</v>
      </c>
      <c r="D443" s="2">
        <f>IFERROR(VLOOKUP(B443,'Deutsche Markt'!C:AA,25,FALSE),0)</f>
        <v>0</v>
      </c>
      <c r="E443" s="2">
        <f t="shared" si="37"/>
        <v>0</v>
      </c>
      <c r="F443" s="2">
        <f t="shared" si="38"/>
        <v>0</v>
      </c>
      <c r="G443" s="2">
        <f t="shared" si="39"/>
        <v>0</v>
      </c>
      <c r="H443" s="2">
        <f t="shared" si="40"/>
        <v>0</v>
      </c>
      <c r="I443" s="2">
        <f t="shared" si="36"/>
        <v>0</v>
      </c>
      <c r="J443">
        <f>IFERROR(VLOOKUP(B443,'General price list'!C:AI,12,FALSE)*(G443*C443),0)</f>
        <v>0</v>
      </c>
    </row>
    <row r="444" spans="2:10" ht="15" customHeight="1">
      <c r="B444" t="s">
        <v>1445</v>
      </c>
      <c r="C444" s="2" t="str">
        <f>IFERROR(VLOOKUP(B444,'Deutsche Markt'!C:AA,24,FALSE),"")</f>
        <v/>
      </c>
      <c r="D444" s="2">
        <f>IFERROR(VLOOKUP(B444,'Deutsche Markt'!C:AA,25,FALSE),0)</f>
        <v>0</v>
      </c>
      <c r="E444" s="2">
        <f t="shared" si="37"/>
        <v>0</v>
      </c>
      <c r="F444" s="2">
        <f t="shared" si="38"/>
        <v>0</v>
      </c>
      <c r="G444" s="2">
        <f t="shared" si="39"/>
        <v>0</v>
      </c>
      <c r="H444" s="2">
        <f t="shared" si="40"/>
        <v>0</v>
      </c>
      <c r="I444" s="2">
        <f t="shared" si="36"/>
        <v>0</v>
      </c>
      <c r="J444">
        <f>IFERROR(VLOOKUP(B444,'General price list'!C:AI,12,FALSE)*(G444*C444),0)</f>
        <v>0</v>
      </c>
    </row>
    <row r="445" spans="2:10" ht="15" customHeight="1">
      <c r="B445" t="s">
        <v>2161</v>
      </c>
      <c r="C445" s="2" t="str">
        <f>IFERROR(VLOOKUP(B445,'Deutsche Markt'!C:AA,24,FALSE),"")</f>
        <v/>
      </c>
      <c r="D445" s="2">
        <f>IFERROR(VLOOKUP(B445,'Deutsche Markt'!C:AA,25,FALSE),0)</f>
        <v>0</v>
      </c>
      <c r="E445" s="2">
        <f t="shared" si="37"/>
        <v>0</v>
      </c>
      <c r="F445" s="2">
        <f t="shared" si="38"/>
        <v>0</v>
      </c>
      <c r="G445" s="2">
        <f t="shared" si="39"/>
        <v>0</v>
      </c>
      <c r="H445" s="2">
        <f t="shared" si="40"/>
        <v>0</v>
      </c>
      <c r="I445" s="2">
        <f t="shared" si="36"/>
        <v>0</v>
      </c>
      <c r="J445">
        <f>IFERROR(VLOOKUP(B445,'General price list'!C:AI,12,FALSE)*(G445*C445),0)</f>
        <v>0</v>
      </c>
    </row>
    <row r="446" spans="2:10" ht="15" customHeight="1">
      <c r="B446" t="s">
        <v>1446</v>
      </c>
      <c r="C446" s="2" t="str">
        <f>IFERROR(VLOOKUP(B446,'Deutsche Markt'!C:AA,24,FALSE),"")</f>
        <v/>
      </c>
      <c r="D446" s="2">
        <f>IFERROR(VLOOKUP(B446,'Deutsche Markt'!C:AA,25,FALSE),0)</f>
        <v>0</v>
      </c>
      <c r="E446" s="2">
        <f t="shared" si="37"/>
        <v>0</v>
      </c>
      <c r="F446" s="2">
        <f t="shared" si="38"/>
        <v>0</v>
      </c>
      <c r="G446" s="2">
        <f t="shared" si="39"/>
        <v>0</v>
      </c>
      <c r="H446" s="2">
        <f t="shared" si="40"/>
        <v>0</v>
      </c>
      <c r="I446" s="2">
        <f t="shared" si="36"/>
        <v>0</v>
      </c>
      <c r="J446">
        <f>IFERROR(VLOOKUP(B446,'General price list'!C:AI,12,FALSE)*(G446*C446),0)</f>
        <v>0</v>
      </c>
    </row>
    <row r="447" spans="2:10" ht="15" customHeight="1">
      <c r="B447" t="s">
        <v>1447</v>
      </c>
      <c r="C447" s="2" t="str">
        <f>IFERROR(VLOOKUP(B447,'Deutsche Markt'!C:AA,24,FALSE),"")</f>
        <v/>
      </c>
      <c r="D447" s="2">
        <f>IFERROR(VLOOKUP(B447,'Deutsche Markt'!C:AA,25,FALSE),0)</f>
        <v>0</v>
      </c>
      <c r="E447" s="2">
        <f t="shared" si="37"/>
        <v>0</v>
      </c>
      <c r="F447" s="2">
        <f t="shared" si="38"/>
        <v>0</v>
      </c>
      <c r="G447" s="2">
        <f t="shared" si="39"/>
        <v>0</v>
      </c>
      <c r="H447" s="2">
        <f t="shared" si="40"/>
        <v>0</v>
      </c>
      <c r="I447" s="2">
        <f t="shared" si="36"/>
        <v>0</v>
      </c>
      <c r="J447">
        <f>IFERROR(VLOOKUP(B447,'General price list'!C:AI,12,FALSE)*(G447*C447),0)</f>
        <v>0</v>
      </c>
    </row>
    <row r="448" spans="2:10" ht="15" customHeight="1">
      <c r="B448" t="s">
        <v>1524</v>
      </c>
      <c r="C448" s="2" t="str">
        <f>IFERROR(VLOOKUP(B448,'Deutsche Markt'!C:AA,24,FALSE),"")</f>
        <v/>
      </c>
      <c r="D448" s="2">
        <f>IFERROR(VLOOKUP(B448,'Deutsche Markt'!C:AA,25,FALSE),0)</f>
        <v>0</v>
      </c>
      <c r="E448" s="2">
        <f t="shared" si="37"/>
        <v>0</v>
      </c>
      <c r="F448" s="2">
        <f t="shared" si="38"/>
        <v>0</v>
      </c>
      <c r="G448" s="2">
        <f t="shared" si="39"/>
        <v>0</v>
      </c>
      <c r="H448" s="2">
        <f t="shared" si="40"/>
        <v>0</v>
      </c>
      <c r="I448" s="2">
        <f t="shared" si="36"/>
        <v>0</v>
      </c>
      <c r="J448">
        <f>IFERROR(VLOOKUP(B448,'General price list'!C:AI,12,FALSE)*(G448*C448),0)</f>
        <v>0</v>
      </c>
    </row>
    <row r="449" spans="2:10" ht="15" customHeight="1">
      <c r="B449" t="s">
        <v>1523</v>
      </c>
      <c r="C449" s="2" t="str">
        <f>IFERROR(VLOOKUP(B449,'Deutsche Markt'!C:AA,24,FALSE),"")</f>
        <v/>
      </c>
      <c r="D449" s="2">
        <f>IFERROR(VLOOKUP(B449,'Deutsche Markt'!C:AA,25,FALSE),0)</f>
        <v>0</v>
      </c>
      <c r="E449" s="2">
        <f t="shared" si="37"/>
        <v>0</v>
      </c>
      <c r="F449" s="2">
        <f t="shared" si="38"/>
        <v>0</v>
      </c>
      <c r="G449" s="2">
        <f t="shared" si="39"/>
        <v>0</v>
      </c>
      <c r="H449" s="2">
        <f t="shared" si="40"/>
        <v>0</v>
      </c>
      <c r="I449" s="2">
        <f t="shared" si="36"/>
        <v>0</v>
      </c>
      <c r="J449">
        <f>IFERROR(VLOOKUP(B449,'General price list'!C:AI,12,FALSE)*(G449*C449),0)</f>
        <v>0</v>
      </c>
    </row>
    <row r="450" spans="2:10" ht="15" customHeight="1">
      <c r="B450" t="s">
        <v>1525</v>
      </c>
      <c r="C450" s="2">
        <f>IFERROR(VLOOKUP(B450,'Deutsche Markt'!C:AA,24,FALSE),"")</f>
        <v>36</v>
      </c>
      <c r="D450" s="2">
        <f>IFERROR(VLOOKUP(B450,'Deutsche Markt'!C:AA,25,FALSE),0)</f>
        <v>0</v>
      </c>
      <c r="E450" s="2">
        <f t="shared" si="37"/>
        <v>0</v>
      </c>
      <c r="F450" s="2">
        <f t="shared" si="38"/>
        <v>0</v>
      </c>
      <c r="G450" s="2">
        <f t="shared" si="39"/>
        <v>0</v>
      </c>
      <c r="H450" s="2">
        <f t="shared" si="40"/>
        <v>0</v>
      </c>
      <c r="I450" s="2">
        <f t="shared" si="36"/>
        <v>0</v>
      </c>
      <c r="J450">
        <f>IFERROR(VLOOKUP(B450,'General price list'!C:AI,12,FALSE)*(G450*C450),0)</f>
        <v>0</v>
      </c>
    </row>
    <row r="451" spans="2:10" ht="15" customHeight="1">
      <c r="B451" t="s">
        <v>1126</v>
      </c>
      <c r="C451" s="2" t="str">
        <f>IFERROR(VLOOKUP(B451,'Deutsche Markt'!C:AA,24,FALSE),"")</f>
        <v/>
      </c>
      <c r="D451" s="2">
        <f>IFERROR(VLOOKUP(B451,'Deutsche Markt'!C:AA,25,FALSE),0)</f>
        <v>0</v>
      </c>
      <c r="E451" s="2">
        <f t="shared" si="37"/>
        <v>0</v>
      </c>
      <c r="F451" s="2">
        <f t="shared" si="38"/>
        <v>0</v>
      </c>
      <c r="G451" s="2">
        <f t="shared" si="39"/>
        <v>0</v>
      </c>
      <c r="H451" s="2">
        <f t="shared" si="40"/>
        <v>0</v>
      </c>
      <c r="I451" s="2">
        <f t="shared" si="36"/>
        <v>0</v>
      </c>
      <c r="J451">
        <f>IFERROR(VLOOKUP(B451,'General price list'!C:AI,12,FALSE)*(G451*C451),0)</f>
        <v>0</v>
      </c>
    </row>
    <row r="452" spans="2:10" ht="15" customHeight="1">
      <c r="B452" t="s">
        <v>1130</v>
      </c>
      <c r="C452" s="2">
        <f>IFERROR(VLOOKUP(B452,'Deutsche Markt'!C:AA,24,FALSE),"")</f>
        <v>18</v>
      </c>
      <c r="D452" s="2">
        <f>IFERROR(VLOOKUP(B452,'Deutsche Markt'!C:AA,25,FALSE),0)</f>
        <v>0</v>
      </c>
      <c r="E452" s="2">
        <f t="shared" si="37"/>
        <v>0</v>
      </c>
      <c r="F452" s="2">
        <f t="shared" si="38"/>
        <v>0</v>
      </c>
      <c r="G452" s="2">
        <f t="shared" si="39"/>
        <v>0</v>
      </c>
      <c r="H452" s="2">
        <f t="shared" si="40"/>
        <v>0</v>
      </c>
      <c r="I452" s="2">
        <f t="shared" ref="I452:I515" si="41">IFERROR(IF(D452=0,0,IF(F452=0,(D452*nextVK)+(prvniVK-nextVK),(G452*C452*nextVK)+(F452*PALzKoje))),0)</f>
        <v>0</v>
      </c>
      <c r="J452">
        <f>IFERROR(VLOOKUP(B452,'General price list'!C:AI,12,FALSE)*(G452*C452),0)</f>
        <v>0</v>
      </c>
    </row>
    <row r="453" spans="2:10" ht="15" customHeight="1">
      <c r="B453" t="s">
        <v>1124</v>
      </c>
      <c r="C453" s="2" t="str">
        <f>IFERROR(VLOOKUP(B453,'Deutsche Markt'!C:AA,24,FALSE),"")</f>
        <v/>
      </c>
      <c r="D453" s="2">
        <f>IFERROR(VLOOKUP(B453,'Deutsche Markt'!C:AA,25,FALSE),0)</f>
        <v>0</v>
      </c>
      <c r="E453" s="2">
        <f t="shared" ref="E453:E516" si="42">IFERROR(D453/C453,0)</f>
        <v>0</v>
      </c>
      <c r="F453" s="2">
        <f t="shared" ref="F453:F516" si="43">IFERROR(FLOOR(IF(E453-1&lt;0,0,E453),1),0)</f>
        <v>0</v>
      </c>
      <c r="G453" s="2">
        <f t="shared" ref="G453:G516" si="44">IFERROR(IF(H453&gt;E453,F453-E453,E453-F453),0)</f>
        <v>0</v>
      </c>
      <c r="H453" s="2">
        <f t="shared" ref="H453:H516" si="45">IFERROR(IF(E453=0,0,F453),0)</f>
        <v>0</v>
      </c>
      <c r="I453" s="2">
        <f t="shared" si="41"/>
        <v>0</v>
      </c>
      <c r="J453">
        <f>IFERROR(VLOOKUP(B453,'General price list'!C:AI,12,FALSE)*(G453*C453),0)</f>
        <v>0</v>
      </c>
    </row>
    <row r="454" spans="2:10" ht="15" customHeight="1">
      <c r="B454" t="s">
        <v>1129</v>
      </c>
      <c r="C454" s="2">
        <f>IFERROR(VLOOKUP(B454,'Deutsche Markt'!C:AA,24,FALSE),"")</f>
        <v>18</v>
      </c>
      <c r="D454" s="2">
        <f>IFERROR(VLOOKUP(B454,'Deutsche Markt'!C:AA,25,FALSE),0)</f>
        <v>0</v>
      </c>
      <c r="E454" s="2">
        <f t="shared" si="42"/>
        <v>0</v>
      </c>
      <c r="F454" s="2">
        <f t="shared" si="43"/>
        <v>0</v>
      </c>
      <c r="G454" s="2">
        <f t="shared" si="44"/>
        <v>0</v>
      </c>
      <c r="H454" s="2">
        <f t="shared" si="45"/>
        <v>0</v>
      </c>
      <c r="I454" s="2">
        <f t="shared" si="41"/>
        <v>0</v>
      </c>
      <c r="J454">
        <f>IFERROR(VLOOKUP(B454,'General price list'!C:AI,12,FALSE)*(G454*C454),0)</f>
        <v>0</v>
      </c>
    </row>
    <row r="455" spans="2:10" ht="15" customHeight="1">
      <c r="B455" t="s">
        <v>1120</v>
      </c>
      <c r="C455" s="2" t="str">
        <f>IFERROR(VLOOKUP(B455,'Deutsche Markt'!C:AA,24,FALSE),"")</f>
        <v/>
      </c>
      <c r="D455" s="2">
        <f>IFERROR(VLOOKUP(B455,'Deutsche Markt'!C:AA,25,FALSE),0)</f>
        <v>0</v>
      </c>
      <c r="E455" s="2">
        <f t="shared" si="42"/>
        <v>0</v>
      </c>
      <c r="F455" s="2">
        <f t="shared" si="43"/>
        <v>0</v>
      </c>
      <c r="G455" s="2">
        <f t="shared" si="44"/>
        <v>0</v>
      </c>
      <c r="H455" s="2">
        <f t="shared" si="45"/>
        <v>0</v>
      </c>
      <c r="I455" s="2">
        <f t="shared" si="41"/>
        <v>0</v>
      </c>
      <c r="J455">
        <f>IFERROR(VLOOKUP(B455,'General price list'!C:AI,12,FALSE)*(G455*C455),0)</f>
        <v>0</v>
      </c>
    </row>
    <row r="456" spans="2:10" ht="15" customHeight="1">
      <c r="B456" t="s">
        <v>1526</v>
      </c>
      <c r="C456" s="2" t="str">
        <f>IFERROR(VLOOKUP(B456,'Deutsche Markt'!C:AA,24,FALSE),"")</f>
        <v/>
      </c>
      <c r="D456" s="2">
        <f>IFERROR(VLOOKUP(B456,'Deutsche Markt'!C:AA,25,FALSE),0)</f>
        <v>0</v>
      </c>
      <c r="E456" s="2">
        <f t="shared" si="42"/>
        <v>0</v>
      </c>
      <c r="F456" s="2">
        <f t="shared" si="43"/>
        <v>0</v>
      </c>
      <c r="G456" s="2">
        <f t="shared" si="44"/>
        <v>0</v>
      </c>
      <c r="H456" s="2">
        <f t="shared" si="45"/>
        <v>0</v>
      </c>
      <c r="I456" s="2">
        <f t="shared" si="41"/>
        <v>0</v>
      </c>
      <c r="J456">
        <f>IFERROR(VLOOKUP(B456,'General price list'!C:AI,12,FALSE)*(G456*C456),0)</f>
        <v>0</v>
      </c>
    </row>
    <row r="457" spans="2:10" ht="15" customHeight="1">
      <c r="B457" t="s">
        <v>2386</v>
      </c>
      <c r="C457" s="2" t="str">
        <f>IFERROR(VLOOKUP(B457,'Deutsche Markt'!C:AA,24,FALSE),"")</f>
        <v/>
      </c>
      <c r="D457" s="2">
        <f>IFERROR(VLOOKUP(B457,'Deutsche Markt'!C:AA,25,FALSE),0)</f>
        <v>0</v>
      </c>
      <c r="E457" s="2">
        <f t="shared" si="42"/>
        <v>0</v>
      </c>
      <c r="F457" s="2">
        <f t="shared" si="43"/>
        <v>0</v>
      </c>
      <c r="G457" s="2">
        <f t="shared" si="44"/>
        <v>0</v>
      </c>
      <c r="H457" s="2">
        <f t="shared" si="45"/>
        <v>0</v>
      </c>
      <c r="I457" s="2">
        <f t="shared" si="41"/>
        <v>0</v>
      </c>
      <c r="J457">
        <f>IFERROR(VLOOKUP(B457,'General price list'!C:AI,12,FALSE)*(G457*C457),0)</f>
        <v>0</v>
      </c>
    </row>
    <row r="458" spans="2:10" ht="15" customHeight="1">
      <c r="B458" t="s">
        <v>2389</v>
      </c>
      <c r="C458" s="2">
        <f>IFERROR(VLOOKUP(B458,'Deutsche Markt'!C:AA,24,FALSE),"")</f>
        <v>15</v>
      </c>
      <c r="D458" s="2">
        <f>IFERROR(VLOOKUP(B458,'Deutsche Markt'!C:AA,25,FALSE),0)</f>
        <v>0</v>
      </c>
      <c r="E458" s="2">
        <f t="shared" si="42"/>
        <v>0</v>
      </c>
      <c r="F458" s="2">
        <f t="shared" si="43"/>
        <v>0</v>
      </c>
      <c r="G458" s="2">
        <f t="shared" si="44"/>
        <v>0</v>
      </c>
      <c r="H458" s="2">
        <f t="shared" si="45"/>
        <v>0</v>
      </c>
      <c r="I458" s="2">
        <f t="shared" si="41"/>
        <v>0</v>
      </c>
      <c r="J458">
        <f>IFERROR(VLOOKUP(B458,'General price list'!C:AI,12,FALSE)*(G458*C458),0)</f>
        <v>0</v>
      </c>
    </row>
    <row r="459" spans="2:10" ht="15" customHeight="1">
      <c r="B459" t="s">
        <v>2385</v>
      </c>
      <c r="C459" s="2" t="str">
        <f>IFERROR(VLOOKUP(B459,'Deutsche Markt'!C:AA,24,FALSE),"")</f>
        <v/>
      </c>
      <c r="D459" s="2">
        <f>IFERROR(VLOOKUP(B459,'Deutsche Markt'!C:AA,25,FALSE),0)</f>
        <v>0</v>
      </c>
      <c r="E459" s="2">
        <f t="shared" si="42"/>
        <v>0</v>
      </c>
      <c r="F459" s="2">
        <f t="shared" si="43"/>
        <v>0</v>
      </c>
      <c r="G459" s="2">
        <f t="shared" si="44"/>
        <v>0</v>
      </c>
      <c r="H459" s="2">
        <f t="shared" si="45"/>
        <v>0</v>
      </c>
      <c r="I459" s="2">
        <f t="shared" si="41"/>
        <v>0</v>
      </c>
      <c r="J459">
        <f>IFERROR(VLOOKUP(B459,'General price list'!C:AI,12,FALSE)*(G459*C459),0)</f>
        <v>0</v>
      </c>
    </row>
    <row r="460" spans="2:10" ht="15" customHeight="1">
      <c r="B460" t="s">
        <v>2388</v>
      </c>
      <c r="C460" s="2">
        <f>IFERROR(VLOOKUP(B460,'Deutsche Markt'!C:AA,24,FALSE),"")</f>
        <v>15</v>
      </c>
      <c r="D460" s="2">
        <f>IFERROR(VLOOKUP(B460,'Deutsche Markt'!C:AA,25,FALSE),0)</f>
        <v>0</v>
      </c>
      <c r="E460" s="2">
        <f t="shared" si="42"/>
        <v>0</v>
      </c>
      <c r="F460" s="2">
        <f t="shared" si="43"/>
        <v>0</v>
      </c>
      <c r="G460" s="2">
        <f t="shared" si="44"/>
        <v>0</v>
      </c>
      <c r="H460" s="2">
        <f t="shared" si="45"/>
        <v>0</v>
      </c>
      <c r="I460" s="2">
        <f t="shared" si="41"/>
        <v>0</v>
      </c>
      <c r="J460">
        <f>IFERROR(VLOOKUP(B460,'General price list'!C:AI,12,FALSE)*(G460*C460),0)</f>
        <v>0</v>
      </c>
    </row>
    <row r="461" spans="2:10" ht="15" customHeight="1">
      <c r="B461" t="s">
        <v>1489</v>
      </c>
      <c r="C461" s="2" t="str">
        <f>IFERROR(VLOOKUP(B461,'Deutsche Markt'!C:AA,24,FALSE),"")</f>
        <v/>
      </c>
      <c r="D461" s="2">
        <f>IFERROR(VLOOKUP(B461,'Deutsche Markt'!C:AA,25,FALSE),0)</f>
        <v>0</v>
      </c>
      <c r="E461" s="2">
        <f t="shared" si="42"/>
        <v>0</v>
      </c>
      <c r="F461" s="2">
        <f t="shared" si="43"/>
        <v>0</v>
      </c>
      <c r="G461" s="2">
        <f t="shared" si="44"/>
        <v>0</v>
      </c>
      <c r="H461" s="2">
        <f t="shared" si="45"/>
        <v>0</v>
      </c>
      <c r="I461" s="2">
        <f t="shared" si="41"/>
        <v>0</v>
      </c>
      <c r="J461">
        <f>IFERROR(VLOOKUP(B461,'General price list'!C:AI,12,FALSE)*(G461*C461),0)</f>
        <v>0</v>
      </c>
    </row>
    <row r="462" spans="2:10" ht="15" customHeight="1">
      <c r="B462" t="s">
        <v>2543</v>
      </c>
      <c r="C462" s="2" t="str">
        <f>IFERROR(VLOOKUP(B462,'Deutsche Markt'!C:AA,24,FALSE),"")</f>
        <v/>
      </c>
      <c r="D462" s="2">
        <f>IFERROR(VLOOKUP(B462,'Deutsche Markt'!C:AA,25,FALSE),0)</f>
        <v>0</v>
      </c>
      <c r="E462" s="2">
        <f t="shared" si="42"/>
        <v>0</v>
      </c>
      <c r="F462" s="2">
        <f t="shared" si="43"/>
        <v>0</v>
      </c>
      <c r="G462" s="2">
        <f t="shared" si="44"/>
        <v>0</v>
      </c>
      <c r="H462" s="2">
        <f t="shared" si="45"/>
        <v>0</v>
      </c>
      <c r="I462" s="2">
        <f t="shared" si="41"/>
        <v>0</v>
      </c>
      <c r="J462">
        <f>IFERROR(VLOOKUP(B462,'General price list'!C:AI,12,FALSE)*(G462*C462),0)</f>
        <v>0</v>
      </c>
    </row>
    <row r="463" spans="2:10" ht="15" customHeight="1">
      <c r="B463" t="s">
        <v>2407</v>
      </c>
      <c r="C463" s="2" t="str">
        <f>IFERROR(VLOOKUP(B463,'Deutsche Markt'!C:AA,24,FALSE),"")</f>
        <v/>
      </c>
      <c r="D463" s="2">
        <f>IFERROR(VLOOKUP(B463,'Deutsche Markt'!C:AA,25,FALSE),0)</f>
        <v>0</v>
      </c>
      <c r="E463" s="2">
        <f t="shared" si="42"/>
        <v>0</v>
      </c>
      <c r="F463" s="2">
        <f t="shared" si="43"/>
        <v>0</v>
      </c>
      <c r="G463" s="2">
        <f t="shared" si="44"/>
        <v>0</v>
      </c>
      <c r="H463" s="2">
        <f t="shared" si="45"/>
        <v>0</v>
      </c>
      <c r="I463" s="2">
        <f t="shared" si="41"/>
        <v>0</v>
      </c>
      <c r="J463">
        <f>IFERROR(VLOOKUP(B463,'General price list'!C:AI,12,FALSE)*(G463*C463),0)</f>
        <v>0</v>
      </c>
    </row>
    <row r="464" spans="2:10" ht="15" customHeight="1">
      <c r="B464" t="s">
        <v>2560</v>
      </c>
      <c r="C464" s="2" t="str">
        <f>IFERROR(VLOOKUP(B464,'Deutsche Markt'!C:AA,24,FALSE),"")</f>
        <v/>
      </c>
      <c r="D464" s="2">
        <f>IFERROR(VLOOKUP(B464,'Deutsche Markt'!C:AA,25,FALSE),0)</f>
        <v>0</v>
      </c>
      <c r="E464" s="2">
        <f t="shared" si="42"/>
        <v>0</v>
      </c>
      <c r="F464" s="2">
        <f t="shared" si="43"/>
        <v>0</v>
      </c>
      <c r="G464" s="2">
        <f t="shared" si="44"/>
        <v>0</v>
      </c>
      <c r="H464" s="2">
        <f t="shared" si="45"/>
        <v>0</v>
      </c>
      <c r="I464" s="2">
        <f t="shared" si="41"/>
        <v>0</v>
      </c>
      <c r="J464">
        <f>IFERROR(VLOOKUP(B464,'General price list'!C:AI,12,FALSE)*(G464*C464),0)</f>
        <v>0</v>
      </c>
    </row>
    <row r="465" spans="2:10" ht="15" customHeight="1">
      <c r="B465" t="s">
        <v>2408</v>
      </c>
      <c r="C465" s="2" t="str">
        <f>IFERROR(VLOOKUP(B465,'Deutsche Markt'!C:AA,24,FALSE),"")</f>
        <v/>
      </c>
      <c r="D465" s="2">
        <f>IFERROR(VLOOKUP(B465,'Deutsche Markt'!C:AA,25,FALSE),0)</f>
        <v>0</v>
      </c>
      <c r="E465" s="2">
        <f t="shared" si="42"/>
        <v>0</v>
      </c>
      <c r="F465" s="2">
        <f t="shared" si="43"/>
        <v>0</v>
      </c>
      <c r="G465" s="2">
        <f t="shared" si="44"/>
        <v>0</v>
      </c>
      <c r="H465" s="2">
        <f t="shared" si="45"/>
        <v>0</v>
      </c>
      <c r="I465" s="2">
        <f t="shared" si="41"/>
        <v>0</v>
      </c>
      <c r="J465">
        <f>IFERROR(VLOOKUP(B465,'General price list'!C:AI,12,FALSE)*(G465*C465),0)</f>
        <v>0</v>
      </c>
    </row>
    <row r="466" spans="2:10" ht="15" customHeight="1">
      <c r="B466" t="s">
        <v>2561</v>
      </c>
      <c r="C466" s="2" t="str">
        <f>IFERROR(VLOOKUP(B466,'Deutsche Markt'!C:AA,24,FALSE),"")</f>
        <v/>
      </c>
      <c r="D466" s="2">
        <f>IFERROR(VLOOKUP(B466,'Deutsche Markt'!C:AA,25,FALSE),0)</f>
        <v>0</v>
      </c>
      <c r="E466" s="2">
        <f t="shared" si="42"/>
        <v>0</v>
      </c>
      <c r="F466" s="2">
        <f t="shared" si="43"/>
        <v>0</v>
      </c>
      <c r="G466" s="2">
        <f t="shared" si="44"/>
        <v>0</v>
      </c>
      <c r="H466" s="2">
        <f t="shared" si="45"/>
        <v>0</v>
      </c>
      <c r="I466" s="2">
        <f t="shared" si="41"/>
        <v>0</v>
      </c>
      <c r="J466">
        <f>IFERROR(VLOOKUP(B466,'General price list'!C:AI,12,FALSE)*(G466*C466),0)</f>
        <v>0</v>
      </c>
    </row>
    <row r="467" spans="2:10" ht="15" customHeight="1">
      <c r="B467" t="s">
        <v>1550</v>
      </c>
      <c r="C467" s="2" t="str">
        <f>IFERROR(VLOOKUP(B467,'Deutsche Markt'!C:AA,24,FALSE),"")</f>
        <v/>
      </c>
      <c r="D467" s="2">
        <f>IFERROR(VLOOKUP(B467,'Deutsche Markt'!C:AA,25,FALSE),0)</f>
        <v>0</v>
      </c>
      <c r="E467" s="2">
        <f t="shared" si="42"/>
        <v>0</v>
      </c>
      <c r="F467" s="2">
        <f t="shared" si="43"/>
        <v>0</v>
      </c>
      <c r="G467" s="2">
        <f t="shared" si="44"/>
        <v>0</v>
      </c>
      <c r="H467" s="2">
        <f t="shared" si="45"/>
        <v>0</v>
      </c>
      <c r="I467" s="2">
        <f t="shared" si="41"/>
        <v>0</v>
      </c>
      <c r="J467">
        <f>IFERROR(VLOOKUP(B467,'General price list'!C:AI,12,FALSE)*(G467*C467),0)</f>
        <v>0</v>
      </c>
    </row>
    <row r="468" spans="2:10" ht="15" customHeight="1">
      <c r="B468" t="s">
        <v>2562</v>
      </c>
      <c r="C468" s="2" t="str">
        <f>IFERROR(VLOOKUP(B468,'Deutsche Markt'!C:AA,24,FALSE),"")</f>
        <v/>
      </c>
      <c r="D468" s="2">
        <f>IFERROR(VLOOKUP(B468,'Deutsche Markt'!C:AA,25,FALSE),0)</f>
        <v>0</v>
      </c>
      <c r="E468" s="2">
        <f t="shared" si="42"/>
        <v>0</v>
      </c>
      <c r="F468" s="2">
        <f t="shared" si="43"/>
        <v>0</v>
      </c>
      <c r="G468" s="2">
        <f t="shared" si="44"/>
        <v>0</v>
      </c>
      <c r="H468" s="2">
        <f t="shared" si="45"/>
        <v>0</v>
      </c>
      <c r="I468" s="2">
        <f t="shared" si="41"/>
        <v>0</v>
      </c>
      <c r="J468">
        <f>IFERROR(VLOOKUP(B468,'General price list'!C:AI,12,FALSE)*(G468*C468),0)</f>
        <v>0</v>
      </c>
    </row>
    <row r="469" spans="2:10" ht="15" customHeight="1">
      <c r="B469" t="s">
        <v>1263</v>
      </c>
      <c r="C469" s="2" t="str">
        <f>IFERROR(VLOOKUP(B469,'Deutsche Markt'!C:AA,24,FALSE),"")</f>
        <v/>
      </c>
      <c r="D469" s="2">
        <f>IFERROR(VLOOKUP(B469,'Deutsche Markt'!C:AA,25,FALSE),0)</f>
        <v>0</v>
      </c>
      <c r="E469" s="2">
        <f t="shared" si="42"/>
        <v>0</v>
      </c>
      <c r="F469" s="2">
        <f t="shared" si="43"/>
        <v>0</v>
      </c>
      <c r="G469" s="2">
        <f t="shared" si="44"/>
        <v>0</v>
      </c>
      <c r="H469" s="2">
        <f t="shared" si="45"/>
        <v>0</v>
      </c>
      <c r="I469" s="2">
        <f t="shared" si="41"/>
        <v>0</v>
      </c>
      <c r="J469">
        <f>IFERROR(VLOOKUP(B469,'General price list'!C:AI,12,FALSE)*(G469*C469),0)</f>
        <v>0</v>
      </c>
    </row>
    <row r="470" spans="2:10" ht="15" customHeight="1">
      <c r="B470" t="s">
        <v>1257</v>
      </c>
      <c r="C470" s="2">
        <f>IFERROR(VLOOKUP(B470,'Deutsche Markt'!C:AA,24,FALSE),"")</f>
        <v>40</v>
      </c>
      <c r="D470" s="2">
        <f>IFERROR(VLOOKUP(B470,'Deutsche Markt'!C:AA,25,FALSE),0)</f>
        <v>0</v>
      </c>
      <c r="E470" s="2">
        <f t="shared" si="42"/>
        <v>0</v>
      </c>
      <c r="F470" s="2">
        <f t="shared" si="43"/>
        <v>0</v>
      </c>
      <c r="G470" s="2">
        <f t="shared" si="44"/>
        <v>0</v>
      </c>
      <c r="H470" s="2">
        <f t="shared" si="45"/>
        <v>0</v>
      </c>
      <c r="I470" s="2">
        <f t="shared" si="41"/>
        <v>0</v>
      </c>
      <c r="J470">
        <f>IFERROR(VLOOKUP(B470,'General price list'!C:AI,12,FALSE)*(G470*C470),0)</f>
        <v>0</v>
      </c>
    </row>
    <row r="471" spans="2:10" ht="15" customHeight="1">
      <c r="B471" t="s">
        <v>1256</v>
      </c>
      <c r="C471" s="2" t="str">
        <f>IFERROR(VLOOKUP(B471,'Deutsche Markt'!C:AA,24,FALSE),"")</f>
        <v/>
      </c>
      <c r="D471" s="2">
        <f>IFERROR(VLOOKUP(B471,'Deutsche Markt'!C:AA,25,FALSE),0)</f>
        <v>0</v>
      </c>
      <c r="E471" s="2">
        <f t="shared" si="42"/>
        <v>0</v>
      </c>
      <c r="F471" s="2">
        <f t="shared" si="43"/>
        <v>0</v>
      </c>
      <c r="G471" s="2">
        <f t="shared" si="44"/>
        <v>0</v>
      </c>
      <c r="H471" s="2">
        <f t="shared" si="45"/>
        <v>0</v>
      </c>
      <c r="I471" s="2">
        <f t="shared" si="41"/>
        <v>0</v>
      </c>
      <c r="J471">
        <f>IFERROR(VLOOKUP(B471,'General price list'!C:AI,12,FALSE)*(G471*C471),0)</f>
        <v>0</v>
      </c>
    </row>
    <row r="472" spans="2:10" ht="15" customHeight="1">
      <c r="B472" t="s">
        <v>2143</v>
      </c>
      <c r="C472" s="2" t="str">
        <f>IFERROR(VLOOKUP(B472,'Deutsche Markt'!C:AA,24,FALSE),"")</f>
        <v/>
      </c>
      <c r="D472" s="2">
        <f>IFERROR(VLOOKUP(B472,'Deutsche Markt'!C:AA,25,FALSE),0)</f>
        <v>0</v>
      </c>
      <c r="E472" s="2">
        <f t="shared" si="42"/>
        <v>0</v>
      </c>
      <c r="F472" s="2">
        <f t="shared" si="43"/>
        <v>0</v>
      </c>
      <c r="G472" s="2">
        <f t="shared" si="44"/>
        <v>0</v>
      </c>
      <c r="H472" s="2">
        <f t="shared" si="45"/>
        <v>0</v>
      </c>
      <c r="I472" s="2">
        <f t="shared" si="41"/>
        <v>0</v>
      </c>
      <c r="J472">
        <f>IFERROR(VLOOKUP(B472,'General price list'!C:AI,12,FALSE)*(G472*C472),0)</f>
        <v>0</v>
      </c>
    </row>
    <row r="473" spans="2:10" ht="15" customHeight="1">
      <c r="B473" t="s">
        <v>1262</v>
      </c>
      <c r="C473" s="2" t="str">
        <f>IFERROR(VLOOKUP(B473,'Deutsche Markt'!C:AA,24,FALSE),"")</f>
        <v/>
      </c>
      <c r="D473" s="2">
        <f>IFERROR(VLOOKUP(B473,'Deutsche Markt'!C:AA,25,FALSE),0)</f>
        <v>0</v>
      </c>
      <c r="E473" s="2">
        <f t="shared" si="42"/>
        <v>0</v>
      </c>
      <c r="F473" s="2">
        <f t="shared" si="43"/>
        <v>0</v>
      </c>
      <c r="G473" s="2">
        <f t="shared" si="44"/>
        <v>0</v>
      </c>
      <c r="H473" s="2">
        <f t="shared" si="45"/>
        <v>0</v>
      </c>
      <c r="I473" s="2">
        <f t="shared" si="41"/>
        <v>0</v>
      </c>
      <c r="J473">
        <f>IFERROR(VLOOKUP(B473,'General price list'!C:AI,12,FALSE)*(G473*C473),0)</f>
        <v>0</v>
      </c>
    </row>
    <row r="474" spans="2:10" ht="15" customHeight="1">
      <c r="B474" t="s">
        <v>2145</v>
      </c>
      <c r="C474" s="2" t="str">
        <f>IFERROR(VLOOKUP(B474,'Deutsche Markt'!C:AA,24,FALSE),"")</f>
        <v/>
      </c>
      <c r="D474" s="2">
        <f>IFERROR(VLOOKUP(B474,'Deutsche Markt'!C:AA,25,FALSE),0)</f>
        <v>0</v>
      </c>
      <c r="E474" s="2">
        <f t="shared" si="42"/>
        <v>0</v>
      </c>
      <c r="F474" s="2">
        <f t="shared" si="43"/>
        <v>0</v>
      </c>
      <c r="G474" s="2">
        <f t="shared" si="44"/>
        <v>0</v>
      </c>
      <c r="H474" s="2">
        <f t="shared" si="45"/>
        <v>0</v>
      </c>
      <c r="I474" s="2">
        <f t="shared" si="41"/>
        <v>0</v>
      </c>
      <c r="J474">
        <f>IFERROR(VLOOKUP(B474,'General price list'!C:AI,12,FALSE)*(G474*C474),0)</f>
        <v>0</v>
      </c>
    </row>
    <row r="475" spans="2:10" ht="15" customHeight="1">
      <c r="B475" t="s">
        <v>1267</v>
      </c>
      <c r="C475" s="2" t="str">
        <f>IFERROR(VLOOKUP(B475,'Deutsche Markt'!C:AA,24,FALSE),"")</f>
        <v/>
      </c>
      <c r="D475" s="2">
        <f>IFERROR(VLOOKUP(B475,'Deutsche Markt'!C:AA,25,FALSE),0)</f>
        <v>0</v>
      </c>
      <c r="E475" s="2">
        <f t="shared" si="42"/>
        <v>0</v>
      </c>
      <c r="F475" s="2">
        <f t="shared" si="43"/>
        <v>0</v>
      </c>
      <c r="G475" s="2">
        <f t="shared" si="44"/>
        <v>0</v>
      </c>
      <c r="H475" s="2">
        <f t="shared" si="45"/>
        <v>0</v>
      </c>
      <c r="I475" s="2">
        <f t="shared" si="41"/>
        <v>0</v>
      </c>
      <c r="J475">
        <f>IFERROR(VLOOKUP(B475,'General price list'!C:AI,12,FALSE)*(G475*C475),0)</f>
        <v>0</v>
      </c>
    </row>
    <row r="476" spans="2:10" ht="15" customHeight="1">
      <c r="B476" t="s">
        <v>1271</v>
      </c>
      <c r="C476" s="2" t="str">
        <f>IFERROR(VLOOKUP(B476,'Deutsche Markt'!C:AA,24,FALSE),"")</f>
        <v/>
      </c>
      <c r="D476" s="2">
        <f>IFERROR(VLOOKUP(B476,'Deutsche Markt'!C:AA,25,FALSE),0)</f>
        <v>0</v>
      </c>
      <c r="E476" s="2">
        <f t="shared" si="42"/>
        <v>0</v>
      </c>
      <c r="F476" s="2">
        <f t="shared" si="43"/>
        <v>0</v>
      </c>
      <c r="G476" s="2">
        <f t="shared" si="44"/>
        <v>0</v>
      </c>
      <c r="H476" s="2">
        <f t="shared" si="45"/>
        <v>0</v>
      </c>
      <c r="I476" s="2">
        <f t="shared" si="41"/>
        <v>0</v>
      </c>
      <c r="J476">
        <f>IFERROR(VLOOKUP(B476,'General price list'!C:AI,12,FALSE)*(G476*C476),0)</f>
        <v>0</v>
      </c>
    </row>
    <row r="477" spans="2:10" ht="15" customHeight="1">
      <c r="B477" t="s">
        <v>2147</v>
      </c>
      <c r="C477" s="2" t="str">
        <f>IFERROR(VLOOKUP(B477,'Deutsche Markt'!C:AA,24,FALSE),"")</f>
        <v/>
      </c>
      <c r="D477" s="2">
        <f>IFERROR(VLOOKUP(B477,'Deutsche Markt'!C:AA,25,FALSE),0)</f>
        <v>0</v>
      </c>
      <c r="E477" s="2">
        <f t="shared" si="42"/>
        <v>0</v>
      </c>
      <c r="F477" s="2">
        <f t="shared" si="43"/>
        <v>0</v>
      </c>
      <c r="G477" s="2">
        <f t="shared" si="44"/>
        <v>0</v>
      </c>
      <c r="H477" s="2">
        <f t="shared" si="45"/>
        <v>0</v>
      </c>
      <c r="I477" s="2">
        <f t="shared" si="41"/>
        <v>0</v>
      </c>
      <c r="J477">
        <f>IFERROR(VLOOKUP(B477,'General price list'!C:AI,12,FALSE)*(G477*C477),0)</f>
        <v>0</v>
      </c>
    </row>
    <row r="478" spans="2:10" ht="15" customHeight="1">
      <c r="B478" t="s">
        <v>1131</v>
      </c>
      <c r="C478" s="2" t="str">
        <f>IFERROR(VLOOKUP(B478,'Deutsche Markt'!C:AA,24,FALSE),"")</f>
        <v/>
      </c>
      <c r="D478" s="2">
        <f>IFERROR(VLOOKUP(B478,'Deutsche Markt'!C:AA,25,FALSE),0)</f>
        <v>0</v>
      </c>
      <c r="E478" s="2">
        <f t="shared" si="42"/>
        <v>0</v>
      </c>
      <c r="F478" s="2">
        <f t="shared" si="43"/>
        <v>0</v>
      </c>
      <c r="G478" s="2">
        <f t="shared" si="44"/>
        <v>0</v>
      </c>
      <c r="H478" s="2">
        <f t="shared" si="45"/>
        <v>0</v>
      </c>
      <c r="I478" s="2">
        <f t="shared" si="41"/>
        <v>0</v>
      </c>
      <c r="J478">
        <f>IFERROR(VLOOKUP(B478,'General price list'!C:AI,12,FALSE)*(G478*C478),0)</f>
        <v>0</v>
      </c>
    </row>
    <row r="479" spans="2:10" ht="15" customHeight="1">
      <c r="B479" t="s">
        <v>1132</v>
      </c>
      <c r="C479" s="2">
        <f>IFERROR(VLOOKUP(B479,'Deutsche Markt'!C:AA,24,FALSE),"")</f>
        <v>24</v>
      </c>
      <c r="D479" s="2">
        <f>IFERROR(VLOOKUP(B479,'Deutsche Markt'!C:AA,25,FALSE),0)</f>
        <v>0</v>
      </c>
      <c r="E479" s="2">
        <f t="shared" si="42"/>
        <v>0</v>
      </c>
      <c r="F479" s="2">
        <f t="shared" si="43"/>
        <v>0</v>
      </c>
      <c r="G479" s="2">
        <f t="shared" si="44"/>
        <v>0</v>
      </c>
      <c r="H479" s="2">
        <f t="shared" si="45"/>
        <v>0</v>
      </c>
      <c r="I479" s="2">
        <f t="shared" si="41"/>
        <v>0</v>
      </c>
      <c r="J479">
        <f>IFERROR(VLOOKUP(B479,'General price list'!C:AI,12,FALSE)*(G479*C479),0)</f>
        <v>0</v>
      </c>
    </row>
    <row r="480" spans="2:10" ht="15" customHeight="1">
      <c r="B480" t="s">
        <v>1134</v>
      </c>
      <c r="C480" s="2">
        <f>IFERROR(VLOOKUP(B480,'Deutsche Markt'!C:AA,24,FALSE),"")</f>
        <v>24</v>
      </c>
      <c r="D480" s="2">
        <f>IFERROR(VLOOKUP(B480,'Deutsche Markt'!C:AA,25,FALSE),0)</f>
        <v>0</v>
      </c>
      <c r="E480" s="2">
        <f t="shared" si="42"/>
        <v>0</v>
      </c>
      <c r="F480" s="2">
        <f t="shared" si="43"/>
        <v>0</v>
      </c>
      <c r="G480" s="2">
        <f t="shared" si="44"/>
        <v>0</v>
      </c>
      <c r="H480" s="2">
        <f t="shared" si="45"/>
        <v>0</v>
      </c>
      <c r="I480" s="2">
        <f t="shared" si="41"/>
        <v>0</v>
      </c>
      <c r="J480">
        <f>IFERROR(VLOOKUP(B480,'General price list'!C:AI,12,FALSE)*(G480*C480),0)</f>
        <v>0</v>
      </c>
    </row>
    <row r="481" spans="2:10" ht="15" customHeight="1">
      <c r="B481" t="s">
        <v>2131</v>
      </c>
      <c r="C481" s="2" t="str">
        <f>IFERROR(VLOOKUP(B481,'Deutsche Markt'!C:AA,24,FALSE),"")</f>
        <v/>
      </c>
      <c r="D481" s="2">
        <f>IFERROR(VLOOKUP(B481,'Deutsche Markt'!C:AA,25,FALSE),0)</f>
        <v>0</v>
      </c>
      <c r="E481" s="2">
        <f t="shared" si="42"/>
        <v>0</v>
      </c>
      <c r="F481" s="2">
        <f t="shared" si="43"/>
        <v>0</v>
      </c>
      <c r="G481" s="2">
        <f t="shared" si="44"/>
        <v>0</v>
      </c>
      <c r="H481" s="2">
        <f t="shared" si="45"/>
        <v>0</v>
      </c>
      <c r="I481" s="2">
        <f t="shared" si="41"/>
        <v>0</v>
      </c>
      <c r="J481">
        <f>IFERROR(VLOOKUP(B481,'General price list'!C:AI,12,FALSE)*(G481*C481),0)</f>
        <v>0</v>
      </c>
    </row>
    <row r="482" spans="2:10" ht="15" customHeight="1">
      <c r="B482" t="s">
        <v>1022</v>
      </c>
      <c r="C482" s="2">
        <f>IFERROR(VLOOKUP(B482,'Deutsche Markt'!C:AA,24,FALSE),"")</f>
        <v>36</v>
      </c>
      <c r="D482" s="2">
        <f>IFERROR(VLOOKUP(B482,'Deutsche Markt'!C:AA,25,FALSE),0)</f>
        <v>0</v>
      </c>
      <c r="E482" s="2">
        <f t="shared" si="42"/>
        <v>0</v>
      </c>
      <c r="F482" s="2">
        <f t="shared" si="43"/>
        <v>0</v>
      </c>
      <c r="G482" s="2">
        <f t="shared" si="44"/>
        <v>0</v>
      </c>
      <c r="H482" s="2">
        <f t="shared" si="45"/>
        <v>0</v>
      </c>
      <c r="I482" s="2">
        <f t="shared" si="41"/>
        <v>0</v>
      </c>
      <c r="J482">
        <f>IFERROR(VLOOKUP(B482,'General price list'!C:AI,12,FALSE)*(G482*C482),0)</f>
        <v>0</v>
      </c>
    </row>
    <row r="483" spans="2:10" ht="15" customHeight="1">
      <c r="B483" t="s">
        <v>1027</v>
      </c>
      <c r="C483" s="2">
        <f>IFERROR(VLOOKUP(B483,'Deutsche Markt'!C:AA,24,FALSE),"")</f>
        <v>36</v>
      </c>
      <c r="D483" s="2">
        <f>IFERROR(VLOOKUP(B483,'Deutsche Markt'!C:AA,25,FALSE),0)</f>
        <v>0</v>
      </c>
      <c r="E483" s="2">
        <f t="shared" si="42"/>
        <v>0</v>
      </c>
      <c r="F483" s="2">
        <f t="shared" si="43"/>
        <v>0</v>
      </c>
      <c r="G483" s="2">
        <f t="shared" si="44"/>
        <v>0</v>
      </c>
      <c r="H483" s="2">
        <f t="shared" si="45"/>
        <v>0</v>
      </c>
      <c r="I483" s="2">
        <f t="shared" si="41"/>
        <v>0</v>
      </c>
      <c r="J483">
        <f>IFERROR(VLOOKUP(B483,'General price list'!C:AI,12,FALSE)*(G483*C483),0)</f>
        <v>0</v>
      </c>
    </row>
    <row r="484" spans="2:10" ht="15" customHeight="1">
      <c r="B484" t="s">
        <v>1275</v>
      </c>
      <c r="C484" s="2" t="str">
        <f>IFERROR(VLOOKUP(B484,'Deutsche Markt'!C:AA,24,FALSE),"")</f>
        <v>54</v>
      </c>
      <c r="D484" s="2">
        <f>IFERROR(VLOOKUP(B484,'Deutsche Markt'!C:AA,25,FALSE),0)</f>
        <v>0</v>
      </c>
      <c r="E484" s="2">
        <f t="shared" si="42"/>
        <v>0</v>
      </c>
      <c r="F484" s="2">
        <f t="shared" si="43"/>
        <v>0</v>
      </c>
      <c r="G484" s="2">
        <f t="shared" si="44"/>
        <v>0</v>
      </c>
      <c r="H484" s="2">
        <f t="shared" si="45"/>
        <v>0</v>
      </c>
      <c r="I484" s="2">
        <f t="shared" si="41"/>
        <v>0</v>
      </c>
      <c r="J484">
        <f>IFERROR(VLOOKUP(B484,'General price list'!C:AI,12,FALSE)*(G484*C484),0)</f>
        <v>0</v>
      </c>
    </row>
    <row r="485" spans="2:10" ht="15" customHeight="1">
      <c r="B485" t="s">
        <v>2509</v>
      </c>
      <c r="C485" s="2" t="str">
        <f>IFERROR(VLOOKUP(B485,'Deutsche Markt'!C:AA,24,FALSE),"")</f>
        <v/>
      </c>
      <c r="D485" s="2">
        <f>IFERROR(VLOOKUP(B485,'Deutsche Markt'!C:AA,25,FALSE),0)</f>
        <v>0</v>
      </c>
      <c r="E485" s="2">
        <f t="shared" si="42"/>
        <v>0</v>
      </c>
      <c r="F485" s="2">
        <f t="shared" si="43"/>
        <v>0</v>
      </c>
      <c r="G485" s="2">
        <f t="shared" si="44"/>
        <v>0</v>
      </c>
      <c r="H485" s="2">
        <f t="shared" si="45"/>
        <v>0</v>
      </c>
      <c r="I485" s="2">
        <f t="shared" si="41"/>
        <v>0</v>
      </c>
      <c r="J485">
        <f>IFERROR(VLOOKUP(B485,'General price list'!C:AI,12,FALSE)*(G485*C485),0)</f>
        <v>0</v>
      </c>
    </row>
    <row r="486" spans="2:10" ht="15" customHeight="1">
      <c r="B486" t="s">
        <v>1562</v>
      </c>
      <c r="C486" s="2" t="str">
        <f>IFERROR(VLOOKUP(B486,'Deutsche Markt'!C:AA,24,FALSE),"")</f>
        <v/>
      </c>
      <c r="D486" s="2">
        <f>IFERROR(VLOOKUP(B486,'Deutsche Markt'!C:AA,25,FALSE),0)</f>
        <v>0</v>
      </c>
      <c r="E486" s="2">
        <f t="shared" si="42"/>
        <v>0</v>
      </c>
      <c r="F486" s="2">
        <f t="shared" si="43"/>
        <v>0</v>
      </c>
      <c r="G486" s="2">
        <f t="shared" si="44"/>
        <v>0</v>
      </c>
      <c r="H486" s="2">
        <f t="shared" si="45"/>
        <v>0</v>
      </c>
      <c r="I486" s="2">
        <f t="shared" si="41"/>
        <v>0</v>
      </c>
      <c r="J486">
        <f>IFERROR(VLOOKUP(B486,'General price list'!C:AI,12,FALSE)*(G486*C486),0)</f>
        <v>0</v>
      </c>
    </row>
    <row r="487" spans="2:10" ht="15" customHeight="1">
      <c r="B487" t="s">
        <v>1288</v>
      </c>
      <c r="C487" s="2" t="str">
        <f>IFERROR(VLOOKUP(B487,'Deutsche Markt'!C:AA,24,FALSE),"")</f>
        <v/>
      </c>
      <c r="D487" s="2">
        <f>IFERROR(VLOOKUP(B487,'Deutsche Markt'!C:AA,25,FALSE),0)</f>
        <v>0</v>
      </c>
      <c r="E487" s="2">
        <f t="shared" si="42"/>
        <v>0</v>
      </c>
      <c r="F487" s="2">
        <f t="shared" si="43"/>
        <v>0</v>
      </c>
      <c r="G487" s="2">
        <f t="shared" si="44"/>
        <v>0</v>
      </c>
      <c r="H487" s="2">
        <f t="shared" si="45"/>
        <v>0</v>
      </c>
      <c r="I487" s="2">
        <f t="shared" si="41"/>
        <v>0</v>
      </c>
      <c r="J487">
        <f>IFERROR(VLOOKUP(B487,'General price list'!C:AI,12,FALSE)*(G487*C487),0)</f>
        <v>0</v>
      </c>
    </row>
    <row r="488" spans="2:10" ht="15" customHeight="1">
      <c r="B488" t="s">
        <v>2513</v>
      </c>
      <c r="C488" s="2" t="str">
        <f>IFERROR(VLOOKUP(B488,'Deutsche Markt'!C:AA,24,FALSE),"")</f>
        <v/>
      </c>
      <c r="D488" s="2">
        <f>IFERROR(VLOOKUP(B488,'Deutsche Markt'!C:AA,25,FALSE),0)</f>
        <v>0</v>
      </c>
      <c r="E488" s="2">
        <f t="shared" si="42"/>
        <v>0</v>
      </c>
      <c r="F488" s="2">
        <f t="shared" si="43"/>
        <v>0</v>
      </c>
      <c r="G488" s="2">
        <f t="shared" si="44"/>
        <v>0</v>
      </c>
      <c r="H488" s="2">
        <f t="shared" si="45"/>
        <v>0</v>
      </c>
      <c r="I488" s="2">
        <f t="shared" si="41"/>
        <v>0</v>
      </c>
      <c r="J488">
        <f>IFERROR(VLOOKUP(B488,'General price list'!C:AI,12,FALSE)*(G488*C488),0)</f>
        <v>0</v>
      </c>
    </row>
    <row r="489" spans="2:10" ht="15" customHeight="1">
      <c r="B489" t="s">
        <v>1276</v>
      </c>
      <c r="C489" s="2">
        <f>IFERROR(VLOOKUP(B489,'Deutsche Markt'!C:AA,24,FALSE),"")</f>
        <v>63</v>
      </c>
      <c r="D489" s="2">
        <f>IFERROR(VLOOKUP(B489,'Deutsche Markt'!C:AA,25,FALSE),0)</f>
        <v>0</v>
      </c>
      <c r="E489" s="2">
        <f t="shared" si="42"/>
        <v>0</v>
      </c>
      <c r="F489" s="2">
        <f t="shared" si="43"/>
        <v>0</v>
      </c>
      <c r="G489" s="2">
        <f t="shared" si="44"/>
        <v>0</v>
      </c>
      <c r="H489" s="2">
        <f t="shared" si="45"/>
        <v>0</v>
      </c>
      <c r="I489" s="2">
        <f t="shared" si="41"/>
        <v>0</v>
      </c>
      <c r="J489">
        <f>IFERROR(VLOOKUP(B489,'General price list'!C:AI,12,FALSE)*(G489*C489),0)</f>
        <v>0</v>
      </c>
    </row>
    <row r="490" spans="2:10" ht="15" customHeight="1">
      <c r="B490" t="s">
        <v>2510</v>
      </c>
      <c r="C490" s="2" t="str">
        <f>IFERROR(VLOOKUP(B490,'Deutsche Markt'!C:AA,24,FALSE),"")</f>
        <v/>
      </c>
      <c r="D490" s="2">
        <f>IFERROR(VLOOKUP(B490,'Deutsche Markt'!C:AA,25,FALSE),0)</f>
        <v>0</v>
      </c>
      <c r="E490" s="2">
        <f t="shared" si="42"/>
        <v>0</v>
      </c>
      <c r="F490" s="2">
        <f t="shared" si="43"/>
        <v>0</v>
      </c>
      <c r="G490" s="2">
        <f t="shared" si="44"/>
        <v>0</v>
      </c>
      <c r="H490" s="2">
        <f t="shared" si="45"/>
        <v>0</v>
      </c>
      <c r="I490" s="2">
        <f t="shared" si="41"/>
        <v>0</v>
      </c>
      <c r="J490">
        <f>IFERROR(VLOOKUP(B490,'General price list'!C:AI,12,FALSE)*(G490*C490),0)</f>
        <v>0</v>
      </c>
    </row>
    <row r="491" spans="2:10" ht="15" customHeight="1">
      <c r="B491" t="s">
        <v>1296</v>
      </c>
      <c r="C491" s="2" t="str">
        <f>IFERROR(VLOOKUP(B491,'Deutsche Markt'!C:AA,24,FALSE),"")</f>
        <v/>
      </c>
      <c r="D491" s="2">
        <f>IFERROR(VLOOKUP(B491,'Deutsche Markt'!C:AA,25,FALSE),0)</f>
        <v>0</v>
      </c>
      <c r="E491" s="2">
        <f t="shared" si="42"/>
        <v>0</v>
      </c>
      <c r="F491" s="2">
        <f t="shared" si="43"/>
        <v>0</v>
      </c>
      <c r="G491" s="2">
        <f t="shared" si="44"/>
        <v>0</v>
      </c>
      <c r="H491" s="2">
        <f t="shared" si="45"/>
        <v>0</v>
      </c>
      <c r="I491" s="2">
        <f t="shared" si="41"/>
        <v>0</v>
      </c>
      <c r="J491">
        <f>IFERROR(VLOOKUP(B491,'General price list'!C:AI,12,FALSE)*(G491*C491),0)</f>
        <v>0</v>
      </c>
    </row>
    <row r="492" spans="2:10" ht="15" customHeight="1">
      <c r="B492" t="s">
        <v>2151</v>
      </c>
      <c r="C492" s="2" t="str">
        <f>IFERROR(VLOOKUP(B492,'Deutsche Markt'!C:AA,24,FALSE),"")</f>
        <v/>
      </c>
      <c r="D492" s="2">
        <f>IFERROR(VLOOKUP(B492,'Deutsche Markt'!C:AA,25,FALSE),0)</f>
        <v>0</v>
      </c>
      <c r="E492" s="2">
        <f t="shared" si="42"/>
        <v>0</v>
      </c>
      <c r="F492" s="2">
        <f t="shared" si="43"/>
        <v>0</v>
      </c>
      <c r="G492" s="2">
        <f t="shared" si="44"/>
        <v>0</v>
      </c>
      <c r="H492" s="2">
        <f t="shared" si="45"/>
        <v>0</v>
      </c>
      <c r="I492" s="2">
        <f t="shared" si="41"/>
        <v>0</v>
      </c>
      <c r="J492">
        <f>IFERROR(VLOOKUP(B492,'General price list'!C:AI,12,FALSE)*(G492*C492),0)</f>
        <v>0</v>
      </c>
    </row>
    <row r="493" spans="2:10" ht="15" customHeight="1">
      <c r="B493" t="s">
        <v>5076</v>
      </c>
      <c r="C493" s="2" t="str">
        <f>IFERROR(VLOOKUP(B493,'Deutsche Markt'!C:AA,24,FALSE),"")</f>
        <v/>
      </c>
      <c r="D493" s="2">
        <f>IFERROR(VLOOKUP(B493,'Deutsche Markt'!C:AA,25,FALSE),0)</f>
        <v>0</v>
      </c>
      <c r="E493" s="2">
        <f t="shared" si="42"/>
        <v>0</v>
      </c>
      <c r="F493" s="2">
        <f t="shared" si="43"/>
        <v>0</v>
      </c>
      <c r="G493" s="2">
        <f t="shared" si="44"/>
        <v>0</v>
      </c>
      <c r="H493" s="2">
        <f t="shared" si="45"/>
        <v>0</v>
      </c>
      <c r="I493" s="2">
        <f t="shared" si="41"/>
        <v>0</v>
      </c>
      <c r="J493">
        <f>IFERROR(VLOOKUP(B493,'General price list'!C:AI,12,FALSE)*(G493*C493),0)</f>
        <v>0</v>
      </c>
    </row>
    <row r="494" spans="2:10" ht="15" customHeight="1">
      <c r="B494" t="s">
        <v>5055</v>
      </c>
      <c r="C494" s="2">
        <f>IFERROR(VLOOKUP(B494,'Deutsche Markt'!C:AA,24,FALSE),"")</f>
        <v>55</v>
      </c>
      <c r="D494" s="2">
        <f>IFERROR(VLOOKUP(B494,'Deutsche Markt'!C:AA,25,FALSE),0)</f>
        <v>0</v>
      </c>
      <c r="E494" s="2">
        <f t="shared" si="42"/>
        <v>0</v>
      </c>
      <c r="F494" s="2">
        <f t="shared" si="43"/>
        <v>0</v>
      </c>
      <c r="G494" s="2">
        <f t="shared" si="44"/>
        <v>0</v>
      </c>
      <c r="H494" s="2">
        <f t="shared" si="45"/>
        <v>0</v>
      </c>
      <c r="I494" s="2">
        <f t="shared" si="41"/>
        <v>0</v>
      </c>
      <c r="J494">
        <f>IFERROR(VLOOKUP(B494,'General price list'!C:AI,12,FALSE)*(G494*C494),0)</f>
        <v>0</v>
      </c>
    </row>
    <row r="495" spans="2:10" ht="15" customHeight="1">
      <c r="B495" t="s">
        <v>5064</v>
      </c>
      <c r="C495" s="2" t="str">
        <f>IFERROR(VLOOKUP(B495,'Deutsche Markt'!C:AA,24,FALSE),"")</f>
        <v/>
      </c>
      <c r="D495" s="2">
        <f>IFERROR(VLOOKUP(B495,'Deutsche Markt'!C:AA,25,FALSE),0)</f>
        <v>0</v>
      </c>
      <c r="E495" s="2">
        <f t="shared" si="42"/>
        <v>0</v>
      </c>
      <c r="F495" s="2">
        <f t="shared" si="43"/>
        <v>0</v>
      </c>
      <c r="G495" s="2">
        <f t="shared" si="44"/>
        <v>0</v>
      </c>
      <c r="H495" s="2">
        <f t="shared" si="45"/>
        <v>0</v>
      </c>
      <c r="I495" s="2">
        <f t="shared" si="41"/>
        <v>0</v>
      </c>
      <c r="J495">
        <f>IFERROR(VLOOKUP(B495,'General price list'!C:AI,12,FALSE)*(G495*C495),0)</f>
        <v>0</v>
      </c>
    </row>
    <row r="496" spans="2:10" ht="15" customHeight="1">
      <c r="B496" t="s">
        <v>909</v>
      </c>
      <c r="C496" s="2" t="str">
        <f>IFERROR(VLOOKUP(B496,'Deutsche Markt'!C:AA,24,FALSE),"")</f>
        <v/>
      </c>
      <c r="D496" s="2">
        <f>IFERROR(VLOOKUP(B496,'Deutsche Markt'!C:AA,25,FALSE),0)</f>
        <v>0</v>
      </c>
      <c r="E496" s="2">
        <f t="shared" si="42"/>
        <v>0</v>
      </c>
      <c r="F496" s="2">
        <f t="shared" si="43"/>
        <v>0</v>
      </c>
      <c r="G496" s="2">
        <f t="shared" si="44"/>
        <v>0</v>
      </c>
      <c r="H496" s="2">
        <f t="shared" si="45"/>
        <v>0</v>
      </c>
      <c r="I496" s="2">
        <f t="shared" si="41"/>
        <v>0</v>
      </c>
      <c r="J496">
        <f>IFERROR(VLOOKUP(B496,'General price list'!C:AI,12,FALSE)*(G496*C496),0)</f>
        <v>0</v>
      </c>
    </row>
    <row r="497" spans="2:10" ht="15" customHeight="1">
      <c r="B497" t="s">
        <v>12110</v>
      </c>
      <c r="C497" s="2" t="str">
        <f>IFERROR(VLOOKUP(B497,'Deutsche Markt'!C:AA,24,FALSE),"")</f>
        <v/>
      </c>
      <c r="D497" s="2">
        <f>IFERROR(VLOOKUP(B497,'Deutsche Markt'!C:AA,25,FALSE),0)</f>
        <v>0</v>
      </c>
      <c r="E497" s="2">
        <f t="shared" si="42"/>
        <v>0</v>
      </c>
      <c r="F497" s="2">
        <f t="shared" si="43"/>
        <v>0</v>
      </c>
      <c r="G497" s="2">
        <f t="shared" si="44"/>
        <v>0</v>
      </c>
      <c r="H497" s="2">
        <f t="shared" si="45"/>
        <v>0</v>
      </c>
      <c r="I497" s="2">
        <f t="shared" si="41"/>
        <v>0</v>
      </c>
      <c r="J497">
        <f>IFERROR(VLOOKUP(B497,'General price list'!C:AI,12,FALSE)*(G497*C497),0)</f>
        <v>0</v>
      </c>
    </row>
    <row r="498" spans="2:10" ht="15" customHeight="1">
      <c r="B498" t="s">
        <v>12111</v>
      </c>
      <c r="C498" s="2" t="str">
        <f>IFERROR(VLOOKUP(B498,'Deutsche Markt'!C:AA,24,FALSE),"")</f>
        <v/>
      </c>
      <c r="D498" s="2">
        <f>IFERROR(VLOOKUP(B498,'Deutsche Markt'!C:AA,25,FALSE),0)</f>
        <v>0</v>
      </c>
      <c r="E498" s="2">
        <f t="shared" si="42"/>
        <v>0</v>
      </c>
      <c r="F498" s="2">
        <f t="shared" si="43"/>
        <v>0</v>
      </c>
      <c r="G498" s="2">
        <f t="shared" si="44"/>
        <v>0</v>
      </c>
      <c r="H498" s="2">
        <f t="shared" si="45"/>
        <v>0</v>
      </c>
      <c r="I498" s="2">
        <f t="shared" si="41"/>
        <v>0</v>
      </c>
      <c r="J498">
        <f>IFERROR(VLOOKUP(B498,'General price list'!C:AI,12,FALSE)*(G498*C498),0)</f>
        <v>0</v>
      </c>
    </row>
    <row r="499" spans="2:10" ht="15" customHeight="1">
      <c r="B499" t="s">
        <v>2491</v>
      </c>
      <c r="C499" s="2" t="str">
        <f>IFERROR(VLOOKUP(B499,'Deutsche Markt'!C:AA,24,FALSE),"")</f>
        <v/>
      </c>
      <c r="D499" s="2">
        <f>IFERROR(VLOOKUP(B499,'Deutsche Markt'!C:AA,25,FALSE),0)</f>
        <v>0</v>
      </c>
      <c r="E499" s="2">
        <f t="shared" si="42"/>
        <v>0</v>
      </c>
      <c r="F499" s="2">
        <f t="shared" si="43"/>
        <v>0</v>
      </c>
      <c r="G499" s="2">
        <f t="shared" si="44"/>
        <v>0</v>
      </c>
      <c r="H499" s="2">
        <f t="shared" si="45"/>
        <v>0</v>
      </c>
      <c r="I499" s="2">
        <f t="shared" si="41"/>
        <v>0</v>
      </c>
      <c r="J499">
        <f>IFERROR(VLOOKUP(B499,'General price list'!C:AI,12,FALSE)*(G499*C499),0)</f>
        <v>0</v>
      </c>
    </row>
    <row r="500" spans="2:10" ht="15" customHeight="1">
      <c r="B500" t="s">
        <v>1144</v>
      </c>
      <c r="C500" s="2" t="str">
        <f>IFERROR(VLOOKUP(B500,'Deutsche Markt'!C:AA,24,FALSE),"")</f>
        <v/>
      </c>
      <c r="D500" s="2">
        <f>IFERROR(VLOOKUP(B500,'Deutsche Markt'!C:AA,25,FALSE),0)</f>
        <v>0</v>
      </c>
      <c r="E500" s="2">
        <f t="shared" si="42"/>
        <v>0</v>
      </c>
      <c r="F500" s="2">
        <f t="shared" si="43"/>
        <v>0</v>
      </c>
      <c r="G500" s="2">
        <f t="shared" si="44"/>
        <v>0</v>
      </c>
      <c r="H500" s="2">
        <f t="shared" si="45"/>
        <v>0</v>
      </c>
      <c r="I500" s="2">
        <f t="shared" si="41"/>
        <v>0</v>
      </c>
      <c r="J500">
        <f>IFERROR(VLOOKUP(B500,'General price list'!C:AI,12,FALSE)*(G500*C500),0)</f>
        <v>0</v>
      </c>
    </row>
    <row r="501" spans="2:10" ht="15" customHeight="1">
      <c r="B501" t="s">
        <v>2133</v>
      </c>
      <c r="C501" s="2" t="str">
        <f>IFERROR(VLOOKUP(B501,'Deutsche Markt'!C:AA,24,FALSE),"")</f>
        <v/>
      </c>
      <c r="D501" s="2">
        <f>IFERROR(VLOOKUP(B501,'Deutsche Markt'!C:AA,25,FALSE),0)</f>
        <v>0</v>
      </c>
      <c r="E501" s="2">
        <f t="shared" si="42"/>
        <v>0</v>
      </c>
      <c r="F501" s="2">
        <f t="shared" si="43"/>
        <v>0</v>
      </c>
      <c r="G501" s="2">
        <f t="shared" si="44"/>
        <v>0</v>
      </c>
      <c r="H501" s="2">
        <f t="shared" si="45"/>
        <v>0</v>
      </c>
      <c r="I501" s="2">
        <f t="shared" si="41"/>
        <v>0</v>
      </c>
      <c r="J501">
        <f>IFERROR(VLOOKUP(B501,'General price list'!C:AI,12,FALSE)*(G501*C501),0)</f>
        <v>0</v>
      </c>
    </row>
    <row r="502" spans="2:10" ht="15" customHeight="1">
      <c r="B502" t="s">
        <v>1140</v>
      </c>
      <c r="C502" s="2" t="str">
        <f>IFERROR(VLOOKUP(B502,'Deutsche Markt'!C:AA,24,FALSE),"")</f>
        <v/>
      </c>
      <c r="D502" s="2">
        <f>IFERROR(VLOOKUP(B502,'Deutsche Markt'!C:AA,25,FALSE),0)</f>
        <v>0</v>
      </c>
      <c r="E502" s="2">
        <f t="shared" si="42"/>
        <v>0</v>
      </c>
      <c r="F502" s="2">
        <f t="shared" si="43"/>
        <v>0</v>
      </c>
      <c r="G502" s="2">
        <f t="shared" si="44"/>
        <v>0</v>
      </c>
      <c r="H502" s="2">
        <f t="shared" si="45"/>
        <v>0</v>
      </c>
      <c r="I502" s="2">
        <f t="shared" si="41"/>
        <v>0</v>
      </c>
      <c r="J502">
        <f>IFERROR(VLOOKUP(B502,'General price list'!C:AI,12,FALSE)*(G502*C502),0)</f>
        <v>0</v>
      </c>
    </row>
    <row r="503" spans="2:10" ht="15" customHeight="1">
      <c r="B503" t="s">
        <v>1471</v>
      </c>
      <c r="C503" s="2" t="str">
        <f>IFERROR(VLOOKUP(B503,'Deutsche Markt'!C:AA,24,FALSE),"")</f>
        <v/>
      </c>
      <c r="D503" s="2">
        <f>IFERROR(VLOOKUP(B503,'Deutsche Markt'!C:AA,25,FALSE),0)</f>
        <v>0</v>
      </c>
      <c r="E503" s="2">
        <f t="shared" si="42"/>
        <v>0</v>
      </c>
      <c r="F503" s="2">
        <f t="shared" si="43"/>
        <v>0</v>
      </c>
      <c r="G503" s="2">
        <f t="shared" si="44"/>
        <v>0</v>
      </c>
      <c r="H503" s="2">
        <f t="shared" si="45"/>
        <v>0</v>
      </c>
      <c r="I503" s="2">
        <f t="shared" si="41"/>
        <v>0</v>
      </c>
      <c r="J503">
        <f>IFERROR(VLOOKUP(B503,'General price list'!C:AI,12,FALSE)*(G503*C503),0)</f>
        <v>0</v>
      </c>
    </row>
    <row r="504" spans="2:10" ht="15" customHeight="1">
      <c r="B504" t="s">
        <v>5216</v>
      </c>
      <c r="C504" s="2" t="str">
        <f>IFERROR(VLOOKUP(B504,'Deutsche Markt'!C:AA,24,FALSE),"")</f>
        <v/>
      </c>
      <c r="D504" s="2">
        <f>IFERROR(VLOOKUP(B504,'Deutsche Markt'!C:AA,25,FALSE),0)</f>
        <v>0</v>
      </c>
      <c r="E504" s="2">
        <f t="shared" si="42"/>
        <v>0</v>
      </c>
      <c r="F504" s="2">
        <f t="shared" si="43"/>
        <v>0</v>
      </c>
      <c r="G504" s="2">
        <f t="shared" si="44"/>
        <v>0</v>
      </c>
      <c r="H504" s="2">
        <f t="shared" si="45"/>
        <v>0</v>
      </c>
      <c r="I504" s="2">
        <f t="shared" si="41"/>
        <v>0</v>
      </c>
      <c r="J504">
        <f>IFERROR(VLOOKUP(B504,'General price list'!C:AI,12,FALSE)*(G504*C504),0)</f>
        <v>0</v>
      </c>
    </row>
    <row r="505" spans="2:10" ht="15" customHeight="1">
      <c r="B505" t="s">
        <v>1595</v>
      </c>
      <c r="C505" s="2" t="str">
        <f>IFERROR(VLOOKUP(B505,'Deutsche Markt'!C:AA,24,FALSE),"")</f>
        <v/>
      </c>
      <c r="D505" s="2">
        <f>IFERROR(VLOOKUP(B505,'Deutsche Markt'!C:AA,25,FALSE),0)</f>
        <v>0</v>
      </c>
      <c r="E505" s="2">
        <f t="shared" si="42"/>
        <v>0</v>
      </c>
      <c r="F505" s="2">
        <f t="shared" si="43"/>
        <v>0</v>
      </c>
      <c r="G505" s="2">
        <f t="shared" si="44"/>
        <v>0</v>
      </c>
      <c r="H505" s="2">
        <f t="shared" si="45"/>
        <v>0</v>
      </c>
      <c r="I505" s="2">
        <f t="shared" si="41"/>
        <v>0</v>
      </c>
      <c r="J505">
        <f>IFERROR(VLOOKUP(B505,'General price list'!C:AI,12,FALSE)*(G505*C505),0)</f>
        <v>0</v>
      </c>
    </row>
    <row r="506" spans="2:10" ht="15" customHeight="1">
      <c r="B506" t="s">
        <v>1597</v>
      </c>
      <c r="C506" s="2" t="str">
        <f>IFERROR(VLOOKUP(B506,'Deutsche Markt'!C:AA,24,FALSE),"")</f>
        <v/>
      </c>
      <c r="D506" s="2">
        <f>IFERROR(VLOOKUP(B506,'Deutsche Markt'!C:AA,25,FALSE),0)</f>
        <v>0</v>
      </c>
      <c r="E506" s="2">
        <f t="shared" si="42"/>
        <v>0</v>
      </c>
      <c r="F506" s="2">
        <f t="shared" si="43"/>
        <v>0</v>
      </c>
      <c r="G506" s="2">
        <f t="shared" si="44"/>
        <v>0</v>
      </c>
      <c r="H506" s="2">
        <f t="shared" si="45"/>
        <v>0</v>
      </c>
      <c r="I506" s="2">
        <f t="shared" si="41"/>
        <v>0</v>
      </c>
      <c r="J506">
        <f>IFERROR(VLOOKUP(B506,'General price list'!C:AI,12,FALSE)*(G506*C506),0)</f>
        <v>0</v>
      </c>
    </row>
    <row r="507" spans="2:10" ht="15" customHeight="1">
      <c r="B507" t="s">
        <v>1222</v>
      </c>
      <c r="C507" s="2" t="str">
        <f>IFERROR(VLOOKUP(B507,'Deutsche Markt'!C:AA,24,FALSE),"")</f>
        <v>20</v>
      </c>
      <c r="D507" s="2">
        <f>IFERROR(VLOOKUP(B507,'Deutsche Markt'!C:AA,25,FALSE),0)</f>
        <v>0</v>
      </c>
      <c r="E507" s="2">
        <f t="shared" si="42"/>
        <v>0</v>
      </c>
      <c r="F507" s="2">
        <f t="shared" si="43"/>
        <v>0</v>
      </c>
      <c r="G507" s="2">
        <f t="shared" si="44"/>
        <v>0</v>
      </c>
      <c r="H507" s="2">
        <f t="shared" si="45"/>
        <v>0</v>
      </c>
      <c r="I507" s="2">
        <f t="shared" si="41"/>
        <v>0</v>
      </c>
      <c r="J507">
        <f>IFERROR(VLOOKUP(B507,'General price list'!C:AI,12,FALSE)*(G507*C507),0)</f>
        <v>0</v>
      </c>
    </row>
    <row r="508" spans="2:10" ht="15" customHeight="1">
      <c r="B508" t="s">
        <v>1225</v>
      </c>
      <c r="C508" s="2" t="str">
        <f>IFERROR(VLOOKUP(B508,'Deutsche Markt'!C:AA,24,FALSE),"")</f>
        <v>20</v>
      </c>
      <c r="D508" s="2">
        <f>IFERROR(VLOOKUP(B508,'Deutsche Markt'!C:AA,25,FALSE),0)</f>
        <v>0</v>
      </c>
      <c r="E508" s="2">
        <f t="shared" si="42"/>
        <v>0</v>
      </c>
      <c r="F508" s="2">
        <f t="shared" si="43"/>
        <v>0</v>
      </c>
      <c r="G508" s="2">
        <f t="shared" si="44"/>
        <v>0</v>
      </c>
      <c r="H508" s="2">
        <f t="shared" si="45"/>
        <v>0</v>
      </c>
      <c r="I508" s="2">
        <f t="shared" si="41"/>
        <v>0</v>
      </c>
      <c r="J508">
        <f>IFERROR(VLOOKUP(B508,'General price list'!C:AI,12,FALSE)*(G508*C508),0)</f>
        <v>0</v>
      </c>
    </row>
    <row r="509" spans="2:10" ht="15" customHeight="1">
      <c r="B509" t="s">
        <v>1228</v>
      </c>
      <c r="C509" s="2" t="str">
        <f>IFERROR(VLOOKUP(B509,'Deutsche Markt'!C:AA,24,FALSE),"")</f>
        <v>20</v>
      </c>
      <c r="D509" s="2">
        <f>IFERROR(VLOOKUP(B509,'Deutsche Markt'!C:AA,25,FALSE),0)</f>
        <v>0</v>
      </c>
      <c r="E509" s="2">
        <f t="shared" si="42"/>
        <v>0</v>
      </c>
      <c r="F509" s="2">
        <f t="shared" si="43"/>
        <v>0</v>
      </c>
      <c r="G509" s="2">
        <f t="shared" si="44"/>
        <v>0</v>
      </c>
      <c r="H509" s="2">
        <f t="shared" si="45"/>
        <v>0</v>
      </c>
      <c r="I509" s="2">
        <f t="shared" si="41"/>
        <v>0</v>
      </c>
      <c r="J509">
        <f>IFERROR(VLOOKUP(B509,'General price list'!C:AI,12,FALSE)*(G509*C509),0)</f>
        <v>0</v>
      </c>
    </row>
    <row r="510" spans="2:10" ht="15" customHeight="1">
      <c r="B510" t="s">
        <v>1384</v>
      </c>
      <c r="C510" s="2">
        <f>IFERROR(VLOOKUP(B510,'Deutsche Markt'!C:AA,24,FALSE),"")</f>
        <v>16</v>
      </c>
      <c r="D510" s="2">
        <f>IFERROR(VLOOKUP(B510,'Deutsche Markt'!C:AA,25,FALSE),0)</f>
        <v>0</v>
      </c>
      <c r="E510" s="2">
        <f t="shared" si="42"/>
        <v>0</v>
      </c>
      <c r="F510" s="2">
        <f t="shared" si="43"/>
        <v>0</v>
      </c>
      <c r="G510" s="2">
        <f t="shared" si="44"/>
        <v>0</v>
      </c>
      <c r="H510" s="2">
        <f t="shared" si="45"/>
        <v>0</v>
      </c>
      <c r="I510" s="2">
        <f t="shared" si="41"/>
        <v>0</v>
      </c>
      <c r="J510">
        <f>IFERROR(VLOOKUP(B510,'General price list'!C:AI,12,FALSE)*(G510*C510),0)</f>
        <v>0</v>
      </c>
    </row>
    <row r="511" spans="2:10" ht="15" customHeight="1">
      <c r="B511" t="s">
        <v>1385</v>
      </c>
      <c r="C511" s="2">
        <f>IFERROR(VLOOKUP(B511,'Deutsche Markt'!C:AA,24,FALSE),"")</f>
        <v>16</v>
      </c>
      <c r="D511" s="2">
        <f>IFERROR(VLOOKUP(B511,'Deutsche Markt'!C:AA,25,FALSE),0)</f>
        <v>0</v>
      </c>
      <c r="E511" s="2">
        <f t="shared" si="42"/>
        <v>0</v>
      </c>
      <c r="F511" s="2">
        <f t="shared" si="43"/>
        <v>0</v>
      </c>
      <c r="G511" s="2">
        <f t="shared" si="44"/>
        <v>0</v>
      </c>
      <c r="H511" s="2">
        <f t="shared" si="45"/>
        <v>0</v>
      </c>
      <c r="I511" s="2">
        <f t="shared" si="41"/>
        <v>0</v>
      </c>
      <c r="J511">
        <f>IFERROR(VLOOKUP(B511,'General price list'!C:AI,12,FALSE)*(G511*C511),0)</f>
        <v>0</v>
      </c>
    </row>
    <row r="512" spans="2:10" ht="15" customHeight="1">
      <c r="B512" t="s">
        <v>1383</v>
      </c>
      <c r="C512" s="2">
        <f>IFERROR(VLOOKUP(B512,'Deutsche Markt'!C:AA,24,FALSE),"")</f>
        <v>16</v>
      </c>
      <c r="D512" s="2">
        <f>IFERROR(VLOOKUP(B512,'Deutsche Markt'!C:AA,25,FALSE),0)</f>
        <v>0</v>
      </c>
      <c r="E512" s="2">
        <f t="shared" si="42"/>
        <v>0</v>
      </c>
      <c r="F512" s="2">
        <f t="shared" si="43"/>
        <v>0</v>
      </c>
      <c r="G512" s="2">
        <f t="shared" si="44"/>
        <v>0</v>
      </c>
      <c r="H512" s="2">
        <f t="shared" si="45"/>
        <v>0</v>
      </c>
      <c r="I512" s="2">
        <f t="shared" si="41"/>
        <v>0</v>
      </c>
      <c r="J512">
        <f>IFERROR(VLOOKUP(B512,'General price list'!C:AI,12,FALSE)*(G512*C512),0)</f>
        <v>0</v>
      </c>
    </row>
    <row r="513" spans="2:10" ht="15" customHeight="1">
      <c r="B513" t="s">
        <v>1396</v>
      </c>
      <c r="C513" s="2" t="str">
        <f>IFERROR(VLOOKUP(B513,'Deutsche Markt'!C:AA,24,FALSE),"")</f>
        <v/>
      </c>
      <c r="D513" s="2">
        <f>IFERROR(VLOOKUP(B513,'Deutsche Markt'!C:AA,25,FALSE),0)</f>
        <v>0</v>
      </c>
      <c r="E513" s="2">
        <f t="shared" si="42"/>
        <v>0</v>
      </c>
      <c r="F513" s="2">
        <f t="shared" si="43"/>
        <v>0</v>
      </c>
      <c r="G513" s="2">
        <f t="shared" si="44"/>
        <v>0</v>
      </c>
      <c r="H513" s="2">
        <f t="shared" si="45"/>
        <v>0</v>
      </c>
      <c r="I513" s="2">
        <f t="shared" si="41"/>
        <v>0</v>
      </c>
      <c r="J513">
        <f>IFERROR(VLOOKUP(B513,'General price list'!C:AI,12,FALSE)*(G513*C513),0)</f>
        <v>0</v>
      </c>
    </row>
    <row r="514" spans="2:10" ht="15" customHeight="1">
      <c r="B514" t="s">
        <v>1395</v>
      </c>
      <c r="C514" s="2" t="str">
        <f>IFERROR(VLOOKUP(B514,'Deutsche Markt'!C:AA,24,FALSE),"")</f>
        <v/>
      </c>
      <c r="D514" s="2">
        <f>IFERROR(VLOOKUP(B514,'Deutsche Markt'!C:AA,25,FALSE),0)</f>
        <v>0</v>
      </c>
      <c r="E514" s="2">
        <f t="shared" si="42"/>
        <v>0</v>
      </c>
      <c r="F514" s="2">
        <f t="shared" si="43"/>
        <v>0</v>
      </c>
      <c r="G514" s="2">
        <f t="shared" si="44"/>
        <v>0</v>
      </c>
      <c r="H514" s="2">
        <f t="shared" si="45"/>
        <v>0</v>
      </c>
      <c r="I514" s="2">
        <f t="shared" si="41"/>
        <v>0</v>
      </c>
      <c r="J514">
        <f>IFERROR(VLOOKUP(B514,'General price list'!C:AI,12,FALSE)*(G514*C514),0)</f>
        <v>0</v>
      </c>
    </row>
    <row r="515" spans="2:10" ht="15" customHeight="1">
      <c r="B515" t="s">
        <v>1103</v>
      </c>
      <c r="C515" s="2">
        <f>IFERROR(VLOOKUP(B515,'Deutsche Markt'!C:AA,24,FALSE),"")</f>
        <v>24</v>
      </c>
      <c r="D515" s="2">
        <f>IFERROR(VLOOKUP(B515,'Deutsche Markt'!C:AA,25,FALSE),0)</f>
        <v>0</v>
      </c>
      <c r="E515" s="2">
        <f t="shared" si="42"/>
        <v>0</v>
      </c>
      <c r="F515" s="2">
        <f t="shared" si="43"/>
        <v>0</v>
      </c>
      <c r="G515" s="2">
        <f t="shared" si="44"/>
        <v>0</v>
      </c>
      <c r="H515" s="2">
        <f t="shared" si="45"/>
        <v>0</v>
      </c>
      <c r="I515" s="2">
        <f t="shared" si="41"/>
        <v>0</v>
      </c>
      <c r="J515">
        <f>IFERROR(VLOOKUP(B515,'General price list'!C:AI,12,FALSE)*(G515*C515),0)</f>
        <v>0</v>
      </c>
    </row>
    <row r="516" spans="2:10" ht="15" customHeight="1">
      <c r="B516" t="s">
        <v>1099</v>
      </c>
      <c r="C516" s="2">
        <f>IFERROR(VLOOKUP(B516,'Deutsche Markt'!C:AA,24,FALSE),"")</f>
        <v>24</v>
      </c>
      <c r="D516" s="2">
        <f>IFERROR(VLOOKUP(B516,'Deutsche Markt'!C:AA,25,FALSE),0)</f>
        <v>0</v>
      </c>
      <c r="E516" s="2">
        <f t="shared" si="42"/>
        <v>0</v>
      </c>
      <c r="F516" s="2">
        <f t="shared" si="43"/>
        <v>0</v>
      </c>
      <c r="G516" s="2">
        <f t="shared" si="44"/>
        <v>0</v>
      </c>
      <c r="H516" s="2">
        <f t="shared" si="45"/>
        <v>0</v>
      </c>
      <c r="I516" s="2">
        <f t="shared" ref="I516:I579" si="46">IFERROR(IF(D516=0,0,IF(F516=0,(D516*nextVK)+(prvniVK-nextVK),(G516*C516*nextVK)+(F516*PALzKoje))),0)</f>
        <v>0</v>
      </c>
      <c r="J516">
        <f>IFERROR(VLOOKUP(B516,'General price list'!C:AI,12,FALSE)*(G516*C516),0)</f>
        <v>0</v>
      </c>
    </row>
    <row r="517" spans="2:10" ht="15" customHeight="1">
      <c r="B517" t="s">
        <v>1105</v>
      </c>
      <c r="C517" s="2">
        <f>IFERROR(VLOOKUP(B517,'Deutsche Markt'!C:AA,24,FALSE),"")</f>
        <v>24</v>
      </c>
      <c r="D517" s="2">
        <f>IFERROR(VLOOKUP(B517,'Deutsche Markt'!C:AA,25,FALSE),0)</f>
        <v>0</v>
      </c>
      <c r="E517" s="2">
        <f t="shared" ref="E517:E580" si="47">IFERROR(D517/C517,0)</f>
        <v>0</v>
      </c>
      <c r="F517" s="2">
        <f t="shared" ref="F517:F580" si="48">IFERROR(FLOOR(IF(E517-1&lt;0,0,E517),1),0)</f>
        <v>0</v>
      </c>
      <c r="G517" s="2">
        <f t="shared" ref="G517:G580" si="49">IFERROR(IF(H517&gt;E517,F517-E517,E517-F517),0)</f>
        <v>0</v>
      </c>
      <c r="H517" s="2">
        <f t="shared" ref="H517:H580" si="50">IFERROR(IF(E517=0,0,F517),0)</f>
        <v>0</v>
      </c>
      <c r="I517" s="2">
        <f t="shared" si="46"/>
        <v>0</v>
      </c>
      <c r="J517">
        <f>IFERROR(VLOOKUP(B517,'General price list'!C:AI,12,FALSE)*(G517*C517),0)</f>
        <v>0</v>
      </c>
    </row>
    <row r="518" spans="2:10" ht="15" customHeight="1">
      <c r="B518" t="s">
        <v>1101</v>
      </c>
      <c r="C518" s="2">
        <f>IFERROR(VLOOKUP(B518,'Deutsche Markt'!C:AA,24,FALSE),"")</f>
        <v>24</v>
      </c>
      <c r="D518" s="2">
        <f>IFERROR(VLOOKUP(B518,'Deutsche Markt'!C:AA,25,FALSE),0)</f>
        <v>0</v>
      </c>
      <c r="E518" s="2">
        <f t="shared" si="47"/>
        <v>0</v>
      </c>
      <c r="F518" s="2">
        <f t="shared" si="48"/>
        <v>0</v>
      </c>
      <c r="G518" s="2">
        <f t="shared" si="49"/>
        <v>0</v>
      </c>
      <c r="H518" s="2">
        <f t="shared" si="50"/>
        <v>0</v>
      </c>
      <c r="I518" s="2">
        <f t="shared" si="46"/>
        <v>0</v>
      </c>
      <c r="J518">
        <f>IFERROR(VLOOKUP(B518,'General price list'!C:AI,12,FALSE)*(G518*C518),0)</f>
        <v>0</v>
      </c>
    </row>
    <row r="519" spans="2:10" ht="15" customHeight="1">
      <c r="B519" t="s">
        <v>2130</v>
      </c>
      <c r="C519" s="2" t="str">
        <f>IFERROR(VLOOKUP(B519,'Deutsche Markt'!C:AA,24,FALSE),"")</f>
        <v/>
      </c>
      <c r="D519" s="2">
        <f>IFERROR(VLOOKUP(B519,'Deutsche Markt'!C:AA,25,FALSE),0)</f>
        <v>0</v>
      </c>
      <c r="E519" s="2">
        <f t="shared" si="47"/>
        <v>0</v>
      </c>
      <c r="F519" s="2">
        <f t="shared" si="48"/>
        <v>0</v>
      </c>
      <c r="G519" s="2">
        <f t="shared" si="49"/>
        <v>0</v>
      </c>
      <c r="H519" s="2">
        <f t="shared" si="50"/>
        <v>0</v>
      </c>
      <c r="I519" s="2">
        <f t="shared" si="46"/>
        <v>0</v>
      </c>
      <c r="J519">
        <f>IFERROR(VLOOKUP(B519,'General price list'!C:AI,12,FALSE)*(G519*C519),0)</f>
        <v>0</v>
      </c>
    </row>
    <row r="520" spans="2:10" ht="15" customHeight="1">
      <c r="B520" t="s">
        <v>1106</v>
      </c>
      <c r="C520" s="2">
        <f>IFERROR(VLOOKUP(B520,'Deutsche Markt'!C:AA,24,FALSE),"")</f>
        <v>24</v>
      </c>
      <c r="D520" s="2">
        <f>IFERROR(VLOOKUP(B520,'Deutsche Markt'!C:AA,25,FALSE),0)</f>
        <v>0</v>
      </c>
      <c r="E520" s="2">
        <f t="shared" si="47"/>
        <v>0</v>
      </c>
      <c r="F520" s="2">
        <f t="shared" si="48"/>
        <v>0</v>
      </c>
      <c r="G520" s="2">
        <f t="shared" si="49"/>
        <v>0</v>
      </c>
      <c r="H520" s="2">
        <f t="shared" si="50"/>
        <v>0</v>
      </c>
      <c r="I520" s="2">
        <f t="shared" si="46"/>
        <v>0</v>
      </c>
      <c r="J520">
        <f>IFERROR(VLOOKUP(B520,'General price list'!C:AI,12,FALSE)*(G520*C520),0)</f>
        <v>0</v>
      </c>
    </row>
    <row r="521" spans="2:10" ht="15" customHeight="1">
      <c r="B521" t="s">
        <v>1251</v>
      </c>
      <c r="C521" s="2" t="str">
        <f>IFERROR(VLOOKUP(B521,'Deutsche Markt'!C:AA,24,FALSE),"")</f>
        <v/>
      </c>
      <c r="D521" s="2">
        <f>IFERROR(VLOOKUP(B521,'Deutsche Markt'!C:AA,25,FALSE),0)</f>
        <v>0</v>
      </c>
      <c r="E521" s="2">
        <f t="shared" si="47"/>
        <v>0</v>
      </c>
      <c r="F521" s="2">
        <f t="shared" si="48"/>
        <v>0</v>
      </c>
      <c r="G521" s="2">
        <f t="shared" si="49"/>
        <v>0</v>
      </c>
      <c r="H521" s="2">
        <f t="shared" si="50"/>
        <v>0</v>
      </c>
      <c r="I521" s="2">
        <f t="shared" si="46"/>
        <v>0</v>
      </c>
      <c r="J521">
        <f>IFERROR(VLOOKUP(B521,'General price list'!C:AI,12,FALSE)*(G521*C521),0)</f>
        <v>0</v>
      </c>
    </row>
    <row r="522" spans="2:10" ht="15" customHeight="1">
      <c r="B522" t="s">
        <v>1250</v>
      </c>
      <c r="C522" s="2" t="str">
        <f>IFERROR(VLOOKUP(B522,'Deutsche Markt'!C:AA,24,FALSE),"")</f>
        <v/>
      </c>
      <c r="D522" s="2">
        <f>IFERROR(VLOOKUP(B522,'Deutsche Markt'!C:AA,25,FALSE),0)</f>
        <v>0</v>
      </c>
      <c r="E522" s="2">
        <f t="shared" si="47"/>
        <v>0</v>
      </c>
      <c r="F522" s="2">
        <f t="shared" si="48"/>
        <v>0</v>
      </c>
      <c r="G522" s="2">
        <f t="shared" si="49"/>
        <v>0</v>
      </c>
      <c r="H522" s="2">
        <f t="shared" si="50"/>
        <v>0</v>
      </c>
      <c r="I522" s="2">
        <f t="shared" si="46"/>
        <v>0</v>
      </c>
      <c r="J522">
        <f>IFERROR(VLOOKUP(B522,'General price list'!C:AI,12,FALSE)*(G522*C522),0)</f>
        <v>0</v>
      </c>
    </row>
    <row r="523" spans="2:10" ht="15" customHeight="1">
      <c r="B523" t="s">
        <v>2355</v>
      </c>
      <c r="C523" s="2" t="str">
        <f>IFERROR(VLOOKUP(B523,'Deutsche Markt'!C:AA,24,FALSE),"")</f>
        <v/>
      </c>
      <c r="D523" s="2">
        <f>IFERROR(VLOOKUP(B523,'Deutsche Markt'!C:AA,25,FALSE),0)</f>
        <v>0</v>
      </c>
      <c r="E523" s="2">
        <f t="shared" si="47"/>
        <v>0</v>
      </c>
      <c r="F523" s="2">
        <f t="shared" si="48"/>
        <v>0</v>
      </c>
      <c r="G523" s="2">
        <f t="shared" si="49"/>
        <v>0</v>
      </c>
      <c r="H523" s="2">
        <f t="shared" si="50"/>
        <v>0</v>
      </c>
      <c r="I523" s="2">
        <f t="shared" si="46"/>
        <v>0</v>
      </c>
      <c r="J523">
        <f>IFERROR(VLOOKUP(B523,'General price list'!C:AI,12,FALSE)*(G523*C523),0)</f>
        <v>0</v>
      </c>
    </row>
    <row r="524" spans="2:10" ht="15" customHeight="1">
      <c r="B524" t="s">
        <v>1421</v>
      </c>
      <c r="C524" s="2" t="str">
        <f>IFERROR(VLOOKUP(B524,'Deutsche Markt'!C:AA,24,FALSE),"")</f>
        <v/>
      </c>
      <c r="D524" s="2">
        <f>IFERROR(VLOOKUP(B524,'Deutsche Markt'!C:AA,25,FALSE),0)</f>
        <v>0</v>
      </c>
      <c r="E524" s="2">
        <f t="shared" si="47"/>
        <v>0</v>
      </c>
      <c r="F524" s="2">
        <f t="shared" si="48"/>
        <v>0</v>
      </c>
      <c r="G524" s="2">
        <f t="shared" si="49"/>
        <v>0</v>
      </c>
      <c r="H524" s="2">
        <f t="shared" si="50"/>
        <v>0</v>
      </c>
      <c r="I524" s="2">
        <f t="shared" si="46"/>
        <v>0</v>
      </c>
      <c r="J524">
        <f>IFERROR(VLOOKUP(B524,'General price list'!C:AI,12,FALSE)*(G524*C524),0)</f>
        <v>0</v>
      </c>
    </row>
    <row r="525" spans="2:10" ht="15" customHeight="1">
      <c r="B525" t="s">
        <v>2155</v>
      </c>
      <c r="C525" s="2" t="str">
        <f>IFERROR(VLOOKUP(B525,'Deutsche Markt'!C:AA,24,FALSE),"")</f>
        <v/>
      </c>
      <c r="D525" s="2">
        <f>IFERROR(VLOOKUP(B525,'Deutsche Markt'!C:AA,25,FALSE),0)</f>
        <v>0</v>
      </c>
      <c r="E525" s="2">
        <f t="shared" si="47"/>
        <v>0</v>
      </c>
      <c r="F525" s="2">
        <f t="shared" si="48"/>
        <v>0</v>
      </c>
      <c r="G525" s="2">
        <f t="shared" si="49"/>
        <v>0</v>
      </c>
      <c r="H525" s="2">
        <f t="shared" si="50"/>
        <v>0</v>
      </c>
      <c r="I525" s="2">
        <f t="shared" si="46"/>
        <v>0</v>
      </c>
      <c r="J525">
        <f>IFERROR(VLOOKUP(B525,'General price list'!C:AI,12,FALSE)*(G525*C525),0)</f>
        <v>0</v>
      </c>
    </row>
    <row r="526" spans="2:10" ht="15" customHeight="1">
      <c r="B526" t="s">
        <v>1419</v>
      </c>
      <c r="C526" s="2" t="str">
        <f>IFERROR(VLOOKUP(B526,'Deutsche Markt'!C:AA,24,FALSE),"")</f>
        <v/>
      </c>
      <c r="D526" s="2">
        <f>IFERROR(VLOOKUP(B526,'Deutsche Markt'!C:AA,25,FALSE),0)</f>
        <v>0</v>
      </c>
      <c r="E526" s="2">
        <f t="shared" si="47"/>
        <v>0</v>
      </c>
      <c r="F526" s="2">
        <f t="shared" si="48"/>
        <v>0</v>
      </c>
      <c r="G526" s="2">
        <f t="shared" si="49"/>
        <v>0</v>
      </c>
      <c r="H526" s="2">
        <f t="shared" si="50"/>
        <v>0</v>
      </c>
      <c r="I526" s="2">
        <f t="shared" si="46"/>
        <v>0</v>
      </c>
      <c r="J526">
        <f>IFERROR(VLOOKUP(B526,'General price list'!C:AI,12,FALSE)*(G526*C526),0)</f>
        <v>0</v>
      </c>
    </row>
    <row r="527" spans="2:10" ht="15" customHeight="1">
      <c r="B527" t="s">
        <v>1418</v>
      </c>
      <c r="C527" s="2" t="str">
        <f>IFERROR(VLOOKUP(B527,'Deutsche Markt'!C:AA,24,FALSE),"")</f>
        <v/>
      </c>
      <c r="D527" s="2">
        <f>IFERROR(VLOOKUP(B527,'Deutsche Markt'!C:AA,25,FALSE),0)</f>
        <v>0</v>
      </c>
      <c r="E527" s="2">
        <f t="shared" si="47"/>
        <v>0</v>
      </c>
      <c r="F527" s="2">
        <f t="shared" si="48"/>
        <v>0</v>
      </c>
      <c r="G527" s="2">
        <f t="shared" si="49"/>
        <v>0</v>
      </c>
      <c r="H527" s="2">
        <f t="shared" si="50"/>
        <v>0</v>
      </c>
      <c r="I527" s="2">
        <f t="shared" si="46"/>
        <v>0</v>
      </c>
      <c r="J527">
        <f>IFERROR(VLOOKUP(B527,'General price list'!C:AI,12,FALSE)*(G527*C527),0)</f>
        <v>0</v>
      </c>
    </row>
    <row r="528" spans="2:10" ht="15" customHeight="1">
      <c r="B528" t="s">
        <v>1420</v>
      </c>
      <c r="C528" s="2" t="str">
        <f>IFERROR(VLOOKUP(B528,'Deutsche Markt'!C:AA,24,FALSE),"")</f>
        <v/>
      </c>
      <c r="D528" s="2">
        <f>IFERROR(VLOOKUP(B528,'Deutsche Markt'!C:AA,25,FALSE),0)</f>
        <v>0</v>
      </c>
      <c r="E528" s="2">
        <f t="shared" si="47"/>
        <v>0</v>
      </c>
      <c r="F528" s="2">
        <f t="shared" si="48"/>
        <v>0</v>
      </c>
      <c r="G528" s="2">
        <f t="shared" si="49"/>
        <v>0</v>
      </c>
      <c r="H528" s="2">
        <f t="shared" si="50"/>
        <v>0</v>
      </c>
      <c r="I528" s="2">
        <f t="shared" si="46"/>
        <v>0</v>
      </c>
      <c r="J528">
        <f>IFERROR(VLOOKUP(B528,'General price list'!C:AI,12,FALSE)*(G528*C528),0)</f>
        <v>0</v>
      </c>
    </row>
    <row r="529" spans="2:10" ht="15" customHeight="1">
      <c r="B529" t="s">
        <v>1640</v>
      </c>
      <c r="C529" s="2" t="str">
        <f>IFERROR(VLOOKUP(B529,'Deutsche Markt'!C:AA,24,FALSE),"")</f>
        <v/>
      </c>
      <c r="D529" s="2">
        <f>IFERROR(VLOOKUP(B529,'Deutsche Markt'!C:AA,25,FALSE),0)</f>
        <v>0</v>
      </c>
      <c r="E529" s="2">
        <f t="shared" si="47"/>
        <v>0</v>
      </c>
      <c r="F529" s="2">
        <f t="shared" si="48"/>
        <v>0</v>
      </c>
      <c r="G529" s="2">
        <f t="shared" si="49"/>
        <v>0</v>
      </c>
      <c r="H529" s="2">
        <f t="shared" si="50"/>
        <v>0</v>
      </c>
      <c r="I529" s="2">
        <f t="shared" si="46"/>
        <v>0</v>
      </c>
      <c r="J529">
        <f>IFERROR(VLOOKUP(B529,'General price list'!C:AI,12,FALSE)*(G529*C529),0)</f>
        <v>0</v>
      </c>
    </row>
    <row r="530" spans="2:10" ht="15" customHeight="1">
      <c r="B530" t="s">
        <v>1642</v>
      </c>
      <c r="C530" s="2" t="str">
        <f>IFERROR(VLOOKUP(B530,'Deutsche Markt'!C:AA,24,FALSE),"")</f>
        <v/>
      </c>
      <c r="D530" s="2">
        <f>IFERROR(VLOOKUP(B530,'Deutsche Markt'!C:AA,25,FALSE),0)</f>
        <v>0</v>
      </c>
      <c r="E530" s="2">
        <f t="shared" si="47"/>
        <v>0</v>
      </c>
      <c r="F530" s="2">
        <f t="shared" si="48"/>
        <v>0</v>
      </c>
      <c r="G530" s="2">
        <f t="shared" si="49"/>
        <v>0</v>
      </c>
      <c r="H530" s="2">
        <f t="shared" si="50"/>
        <v>0</v>
      </c>
      <c r="I530" s="2">
        <f t="shared" si="46"/>
        <v>0</v>
      </c>
      <c r="J530">
        <f>IFERROR(VLOOKUP(B530,'General price list'!C:AI,12,FALSE)*(G530*C530),0)</f>
        <v>0</v>
      </c>
    </row>
    <row r="531" spans="2:10" ht="15" customHeight="1">
      <c r="B531" t="s">
        <v>1646</v>
      </c>
      <c r="C531" s="2" t="str">
        <f>IFERROR(VLOOKUP(B531,'Deutsche Markt'!C:AA,24,FALSE),"")</f>
        <v/>
      </c>
      <c r="D531" s="2">
        <f>IFERROR(VLOOKUP(B531,'Deutsche Markt'!C:AA,25,FALSE),0)</f>
        <v>0</v>
      </c>
      <c r="E531" s="2">
        <f t="shared" si="47"/>
        <v>0</v>
      </c>
      <c r="F531" s="2">
        <f t="shared" si="48"/>
        <v>0</v>
      </c>
      <c r="G531" s="2">
        <f t="shared" si="49"/>
        <v>0</v>
      </c>
      <c r="H531" s="2">
        <f t="shared" si="50"/>
        <v>0</v>
      </c>
      <c r="I531" s="2">
        <f t="shared" si="46"/>
        <v>0</v>
      </c>
      <c r="J531">
        <f>IFERROR(VLOOKUP(B531,'General price list'!C:AI,12,FALSE)*(G531*C531),0)</f>
        <v>0</v>
      </c>
    </row>
    <row r="532" spans="2:10" ht="15" customHeight="1">
      <c r="B532" t="s">
        <v>1648</v>
      </c>
      <c r="C532" s="2" t="str">
        <f>IFERROR(VLOOKUP(B532,'Deutsche Markt'!C:AA,24,FALSE),"")</f>
        <v/>
      </c>
      <c r="D532" s="2">
        <f>IFERROR(VLOOKUP(B532,'Deutsche Markt'!C:AA,25,FALSE),0)</f>
        <v>0</v>
      </c>
      <c r="E532" s="2">
        <f t="shared" si="47"/>
        <v>0</v>
      </c>
      <c r="F532" s="2">
        <f t="shared" si="48"/>
        <v>0</v>
      </c>
      <c r="G532" s="2">
        <f t="shared" si="49"/>
        <v>0</v>
      </c>
      <c r="H532" s="2">
        <f t="shared" si="50"/>
        <v>0</v>
      </c>
      <c r="I532" s="2">
        <f t="shared" si="46"/>
        <v>0</v>
      </c>
      <c r="J532">
        <f>IFERROR(VLOOKUP(B532,'General price list'!C:AI,12,FALSE)*(G532*C532),0)</f>
        <v>0</v>
      </c>
    </row>
    <row r="533" spans="2:10" ht="15" customHeight="1">
      <c r="B533" t="s">
        <v>1650</v>
      </c>
      <c r="C533" s="2" t="str">
        <f>IFERROR(VLOOKUP(B533,'Deutsche Markt'!C:AA,24,FALSE),"")</f>
        <v/>
      </c>
      <c r="D533" s="2">
        <f>IFERROR(VLOOKUP(B533,'Deutsche Markt'!C:AA,25,FALSE),0)</f>
        <v>0</v>
      </c>
      <c r="E533" s="2">
        <f t="shared" si="47"/>
        <v>0</v>
      </c>
      <c r="F533" s="2">
        <f t="shared" si="48"/>
        <v>0</v>
      </c>
      <c r="G533" s="2">
        <f t="shared" si="49"/>
        <v>0</v>
      </c>
      <c r="H533" s="2">
        <f t="shared" si="50"/>
        <v>0</v>
      </c>
      <c r="I533" s="2">
        <f t="shared" si="46"/>
        <v>0</v>
      </c>
      <c r="J533">
        <f>IFERROR(VLOOKUP(B533,'General price list'!C:AI,12,FALSE)*(G533*C533),0)</f>
        <v>0</v>
      </c>
    </row>
    <row r="534" spans="2:10" ht="15" customHeight="1">
      <c r="B534" t="s">
        <v>1653</v>
      </c>
      <c r="C534" s="2" t="str">
        <f>IFERROR(VLOOKUP(B534,'Deutsche Markt'!C:AA,24,FALSE),"")</f>
        <v/>
      </c>
      <c r="D534" s="2">
        <f>IFERROR(VLOOKUP(B534,'Deutsche Markt'!C:AA,25,FALSE),0)</f>
        <v>0</v>
      </c>
      <c r="E534" s="2">
        <f t="shared" si="47"/>
        <v>0</v>
      </c>
      <c r="F534" s="2">
        <f t="shared" si="48"/>
        <v>0</v>
      </c>
      <c r="G534" s="2">
        <f t="shared" si="49"/>
        <v>0</v>
      </c>
      <c r="H534" s="2">
        <f t="shared" si="50"/>
        <v>0</v>
      </c>
      <c r="I534" s="2">
        <f t="shared" si="46"/>
        <v>0</v>
      </c>
      <c r="J534">
        <f>IFERROR(VLOOKUP(B534,'General price list'!C:AI,12,FALSE)*(G534*C534),0)</f>
        <v>0</v>
      </c>
    </row>
    <row r="535" spans="2:10" ht="15" customHeight="1">
      <c r="B535" t="s">
        <v>1627</v>
      </c>
      <c r="C535" s="2" t="str">
        <f>IFERROR(VLOOKUP(B535,'Deutsche Markt'!C:AA,24,FALSE),"")</f>
        <v/>
      </c>
      <c r="D535" s="2">
        <f>IFERROR(VLOOKUP(B535,'Deutsche Markt'!C:AA,25,FALSE),0)</f>
        <v>0</v>
      </c>
      <c r="E535" s="2">
        <f t="shared" si="47"/>
        <v>0</v>
      </c>
      <c r="F535" s="2">
        <f t="shared" si="48"/>
        <v>0</v>
      </c>
      <c r="G535" s="2">
        <f t="shared" si="49"/>
        <v>0</v>
      </c>
      <c r="H535" s="2">
        <f t="shared" si="50"/>
        <v>0</v>
      </c>
      <c r="I535" s="2">
        <f t="shared" si="46"/>
        <v>0</v>
      </c>
      <c r="J535">
        <f>IFERROR(VLOOKUP(B535,'General price list'!C:AI,12,FALSE)*(G535*C535),0)</f>
        <v>0</v>
      </c>
    </row>
    <row r="536" spans="2:10" ht="15" customHeight="1">
      <c r="B536" t="s">
        <v>1671</v>
      </c>
      <c r="C536" s="2" t="str">
        <f>IFERROR(VLOOKUP(B536,'Deutsche Markt'!C:AA,24,FALSE),"")</f>
        <v/>
      </c>
      <c r="D536" s="2">
        <f>IFERROR(VLOOKUP(B536,'Deutsche Markt'!C:AA,25,FALSE),0)</f>
        <v>0</v>
      </c>
      <c r="E536" s="2">
        <f t="shared" si="47"/>
        <v>0</v>
      </c>
      <c r="F536" s="2">
        <f t="shared" si="48"/>
        <v>0</v>
      </c>
      <c r="G536" s="2">
        <f t="shared" si="49"/>
        <v>0</v>
      </c>
      <c r="H536" s="2">
        <f t="shared" si="50"/>
        <v>0</v>
      </c>
      <c r="I536" s="2">
        <f t="shared" si="46"/>
        <v>0</v>
      </c>
      <c r="J536">
        <f>IFERROR(VLOOKUP(B536,'General price list'!C:AI,12,FALSE)*(G536*C536),0)</f>
        <v>0</v>
      </c>
    </row>
    <row r="537" spans="2:10" ht="15" customHeight="1">
      <c r="B537" t="s">
        <v>1677</v>
      </c>
      <c r="C537" s="2" t="str">
        <f>IFERROR(VLOOKUP(B537,'Deutsche Markt'!C:AA,24,FALSE),"")</f>
        <v/>
      </c>
      <c r="D537" s="2">
        <f>IFERROR(VLOOKUP(B537,'Deutsche Markt'!C:AA,25,FALSE),0)</f>
        <v>0</v>
      </c>
      <c r="E537" s="2">
        <f t="shared" si="47"/>
        <v>0</v>
      </c>
      <c r="F537" s="2">
        <f t="shared" si="48"/>
        <v>0</v>
      </c>
      <c r="G537" s="2">
        <f t="shared" si="49"/>
        <v>0</v>
      </c>
      <c r="H537" s="2">
        <f t="shared" si="50"/>
        <v>0</v>
      </c>
      <c r="I537" s="2">
        <f t="shared" si="46"/>
        <v>0</v>
      </c>
      <c r="J537">
        <f>IFERROR(VLOOKUP(B537,'General price list'!C:AI,12,FALSE)*(G537*C537),0)</f>
        <v>0</v>
      </c>
    </row>
    <row r="538" spans="2:10" ht="15" customHeight="1">
      <c r="B538" t="s">
        <v>1629</v>
      </c>
      <c r="C538" s="2" t="str">
        <f>IFERROR(VLOOKUP(B538,'Deutsche Markt'!C:AA,24,FALSE),"")</f>
        <v/>
      </c>
      <c r="D538" s="2">
        <f>IFERROR(VLOOKUP(B538,'Deutsche Markt'!C:AA,25,FALSE),0)</f>
        <v>0</v>
      </c>
      <c r="E538" s="2">
        <f t="shared" si="47"/>
        <v>0</v>
      </c>
      <c r="F538" s="2">
        <f t="shared" si="48"/>
        <v>0</v>
      </c>
      <c r="G538" s="2">
        <f t="shared" si="49"/>
        <v>0</v>
      </c>
      <c r="H538" s="2">
        <f t="shared" si="50"/>
        <v>0</v>
      </c>
      <c r="I538" s="2">
        <f t="shared" si="46"/>
        <v>0</v>
      </c>
      <c r="J538">
        <f>IFERROR(VLOOKUP(B538,'General price list'!C:AI,12,FALSE)*(G538*C538),0)</f>
        <v>0</v>
      </c>
    </row>
    <row r="539" spans="2:10" ht="15" customHeight="1">
      <c r="B539" t="s">
        <v>1681</v>
      </c>
      <c r="C539" s="2" t="str">
        <f>IFERROR(VLOOKUP(B539,'Deutsche Markt'!C:AA,24,FALSE),"")</f>
        <v/>
      </c>
      <c r="D539" s="2">
        <f>IFERROR(VLOOKUP(B539,'Deutsche Markt'!C:AA,25,FALSE),0)</f>
        <v>0</v>
      </c>
      <c r="E539" s="2">
        <f t="shared" si="47"/>
        <v>0</v>
      </c>
      <c r="F539" s="2">
        <f t="shared" si="48"/>
        <v>0</v>
      </c>
      <c r="G539" s="2">
        <f t="shared" si="49"/>
        <v>0</v>
      </c>
      <c r="H539" s="2">
        <f t="shared" si="50"/>
        <v>0</v>
      </c>
      <c r="I539" s="2">
        <f t="shared" si="46"/>
        <v>0</v>
      </c>
      <c r="J539">
        <f>IFERROR(VLOOKUP(B539,'General price list'!C:AI,12,FALSE)*(G539*C539),0)</f>
        <v>0</v>
      </c>
    </row>
    <row r="540" spans="2:10" ht="15" customHeight="1">
      <c r="B540" t="s">
        <v>1631</v>
      </c>
      <c r="C540" s="2" t="str">
        <f>IFERROR(VLOOKUP(B540,'Deutsche Markt'!C:AA,24,FALSE),"")</f>
        <v/>
      </c>
      <c r="D540" s="2">
        <f>IFERROR(VLOOKUP(B540,'Deutsche Markt'!C:AA,25,FALSE),0)</f>
        <v>0</v>
      </c>
      <c r="E540" s="2">
        <f t="shared" si="47"/>
        <v>0</v>
      </c>
      <c r="F540" s="2">
        <f t="shared" si="48"/>
        <v>0</v>
      </c>
      <c r="G540" s="2">
        <f t="shared" si="49"/>
        <v>0</v>
      </c>
      <c r="H540" s="2">
        <f t="shared" si="50"/>
        <v>0</v>
      </c>
      <c r="I540" s="2">
        <f t="shared" si="46"/>
        <v>0</v>
      </c>
      <c r="J540">
        <f>IFERROR(VLOOKUP(B540,'General price list'!C:AI,12,FALSE)*(G540*C540),0)</f>
        <v>0</v>
      </c>
    </row>
    <row r="541" spans="2:10" ht="15" customHeight="1">
      <c r="B541" t="s">
        <v>1685</v>
      </c>
      <c r="C541" s="2" t="str">
        <f>IFERROR(VLOOKUP(B541,'Deutsche Markt'!C:AA,24,FALSE),"")</f>
        <v/>
      </c>
      <c r="D541" s="2">
        <f>IFERROR(VLOOKUP(B541,'Deutsche Markt'!C:AA,25,FALSE),0)</f>
        <v>0</v>
      </c>
      <c r="E541" s="2">
        <f t="shared" si="47"/>
        <v>0</v>
      </c>
      <c r="F541" s="2">
        <f t="shared" si="48"/>
        <v>0</v>
      </c>
      <c r="G541" s="2">
        <f t="shared" si="49"/>
        <v>0</v>
      </c>
      <c r="H541" s="2">
        <f t="shared" si="50"/>
        <v>0</v>
      </c>
      <c r="I541" s="2">
        <f t="shared" si="46"/>
        <v>0</v>
      </c>
      <c r="J541">
        <f>IFERROR(VLOOKUP(B541,'General price list'!C:AI,12,FALSE)*(G541*C541),0)</f>
        <v>0</v>
      </c>
    </row>
    <row r="542" spans="2:10" ht="15" customHeight="1">
      <c r="B542" t="s">
        <v>1633</v>
      </c>
      <c r="C542" s="2" t="str">
        <f>IFERROR(VLOOKUP(B542,'Deutsche Markt'!C:AA,24,FALSE),"")</f>
        <v/>
      </c>
      <c r="D542" s="2">
        <f>IFERROR(VLOOKUP(B542,'Deutsche Markt'!C:AA,25,FALSE),0)</f>
        <v>0</v>
      </c>
      <c r="E542" s="2">
        <f t="shared" si="47"/>
        <v>0</v>
      </c>
      <c r="F542" s="2">
        <f t="shared" si="48"/>
        <v>0</v>
      </c>
      <c r="G542" s="2">
        <f t="shared" si="49"/>
        <v>0</v>
      </c>
      <c r="H542" s="2">
        <f t="shared" si="50"/>
        <v>0</v>
      </c>
      <c r="I542" s="2">
        <f t="shared" si="46"/>
        <v>0</v>
      </c>
      <c r="J542">
        <f>IFERROR(VLOOKUP(B542,'General price list'!C:AI,12,FALSE)*(G542*C542),0)</f>
        <v>0</v>
      </c>
    </row>
    <row r="543" spans="2:10" ht="15" customHeight="1">
      <c r="B543" t="s">
        <v>1687</v>
      </c>
      <c r="C543" s="2" t="str">
        <f>IFERROR(VLOOKUP(B543,'Deutsche Markt'!C:AA,24,FALSE),"")</f>
        <v/>
      </c>
      <c r="D543" s="2">
        <f>IFERROR(VLOOKUP(B543,'Deutsche Markt'!C:AA,25,FALSE),0)</f>
        <v>0</v>
      </c>
      <c r="E543" s="2">
        <f t="shared" si="47"/>
        <v>0</v>
      </c>
      <c r="F543" s="2">
        <f t="shared" si="48"/>
        <v>0</v>
      </c>
      <c r="G543" s="2">
        <f t="shared" si="49"/>
        <v>0</v>
      </c>
      <c r="H543" s="2">
        <f t="shared" si="50"/>
        <v>0</v>
      </c>
      <c r="I543" s="2">
        <f t="shared" si="46"/>
        <v>0</v>
      </c>
      <c r="J543">
        <f>IFERROR(VLOOKUP(B543,'General price list'!C:AI,12,FALSE)*(G543*C543),0)</f>
        <v>0</v>
      </c>
    </row>
    <row r="544" spans="2:10" ht="15" customHeight="1">
      <c r="B544" t="s">
        <v>1636</v>
      </c>
      <c r="C544" s="2" t="str">
        <f>IFERROR(VLOOKUP(B544,'Deutsche Markt'!C:AA,24,FALSE),"")</f>
        <v/>
      </c>
      <c r="D544" s="2">
        <f>IFERROR(VLOOKUP(B544,'Deutsche Markt'!C:AA,25,FALSE),0)</f>
        <v>0</v>
      </c>
      <c r="E544" s="2">
        <f t="shared" si="47"/>
        <v>0</v>
      </c>
      <c r="F544" s="2">
        <f t="shared" si="48"/>
        <v>0</v>
      </c>
      <c r="G544" s="2">
        <f t="shared" si="49"/>
        <v>0</v>
      </c>
      <c r="H544" s="2">
        <f t="shared" si="50"/>
        <v>0</v>
      </c>
      <c r="I544" s="2">
        <f t="shared" si="46"/>
        <v>0</v>
      </c>
      <c r="J544">
        <f>IFERROR(VLOOKUP(B544,'General price list'!C:AI,12,FALSE)*(G544*C544),0)</f>
        <v>0</v>
      </c>
    </row>
    <row r="545" spans="2:10" ht="15" customHeight="1">
      <c r="B545" t="s">
        <v>1638</v>
      </c>
      <c r="C545" s="2" t="str">
        <f>IFERROR(VLOOKUP(B545,'Deutsche Markt'!C:AA,24,FALSE),"")</f>
        <v/>
      </c>
      <c r="D545" s="2">
        <f>IFERROR(VLOOKUP(B545,'Deutsche Markt'!C:AA,25,FALSE),0)</f>
        <v>0</v>
      </c>
      <c r="E545" s="2">
        <f t="shared" si="47"/>
        <v>0</v>
      </c>
      <c r="F545" s="2">
        <f t="shared" si="48"/>
        <v>0</v>
      </c>
      <c r="G545" s="2">
        <f t="shared" si="49"/>
        <v>0</v>
      </c>
      <c r="H545" s="2">
        <f t="shared" si="50"/>
        <v>0</v>
      </c>
      <c r="I545" s="2">
        <f t="shared" si="46"/>
        <v>0</v>
      </c>
      <c r="J545">
        <f>IFERROR(VLOOKUP(B545,'General price list'!C:AI,12,FALSE)*(G545*C545),0)</f>
        <v>0</v>
      </c>
    </row>
    <row r="546" spans="2:10" ht="15" customHeight="1">
      <c r="B546" t="s">
        <v>1443</v>
      </c>
      <c r="C546" s="2" t="str">
        <f>IFERROR(VLOOKUP(B546,'Deutsche Markt'!C:AA,24,FALSE),"")</f>
        <v/>
      </c>
      <c r="D546" s="2">
        <f>IFERROR(VLOOKUP(B546,'Deutsche Markt'!C:AA,25,FALSE),0)</f>
        <v>0</v>
      </c>
      <c r="E546" s="2">
        <f t="shared" si="47"/>
        <v>0</v>
      </c>
      <c r="F546" s="2">
        <f t="shared" si="48"/>
        <v>0</v>
      </c>
      <c r="G546" s="2">
        <f t="shared" si="49"/>
        <v>0</v>
      </c>
      <c r="H546" s="2">
        <f t="shared" si="50"/>
        <v>0</v>
      </c>
      <c r="I546" s="2">
        <f t="shared" si="46"/>
        <v>0</v>
      </c>
      <c r="J546">
        <f>IFERROR(VLOOKUP(B546,'General price list'!C:AI,12,FALSE)*(G546*C546),0)</f>
        <v>0</v>
      </c>
    </row>
    <row r="547" spans="2:10" ht="15" customHeight="1">
      <c r="B547" t="s">
        <v>2159</v>
      </c>
      <c r="C547" s="2" t="str">
        <f>IFERROR(VLOOKUP(B547,'Deutsche Markt'!C:AA,24,FALSE),"")</f>
        <v/>
      </c>
      <c r="D547" s="2">
        <f>IFERROR(VLOOKUP(B547,'Deutsche Markt'!C:AA,25,FALSE),0)</f>
        <v>0</v>
      </c>
      <c r="E547" s="2">
        <f t="shared" si="47"/>
        <v>0</v>
      </c>
      <c r="F547" s="2">
        <f t="shared" si="48"/>
        <v>0</v>
      </c>
      <c r="G547" s="2">
        <f t="shared" si="49"/>
        <v>0</v>
      </c>
      <c r="H547" s="2">
        <f t="shared" si="50"/>
        <v>0</v>
      </c>
      <c r="I547" s="2">
        <f t="shared" si="46"/>
        <v>0</v>
      </c>
      <c r="J547">
        <f>IFERROR(VLOOKUP(B547,'General price list'!C:AI,12,FALSE)*(G547*C547),0)</f>
        <v>0</v>
      </c>
    </row>
    <row r="548" spans="2:10" ht="15" customHeight="1">
      <c r="B548" t="s">
        <v>1444</v>
      </c>
      <c r="C548" s="2" t="str">
        <f>IFERROR(VLOOKUP(B548,'Deutsche Markt'!C:AA,24,FALSE),"")</f>
        <v/>
      </c>
      <c r="D548" s="2">
        <f>IFERROR(VLOOKUP(B548,'Deutsche Markt'!C:AA,25,FALSE),0)</f>
        <v>0</v>
      </c>
      <c r="E548" s="2">
        <f t="shared" si="47"/>
        <v>0</v>
      </c>
      <c r="F548" s="2">
        <f t="shared" si="48"/>
        <v>0</v>
      </c>
      <c r="G548" s="2">
        <f t="shared" si="49"/>
        <v>0</v>
      </c>
      <c r="H548" s="2">
        <f t="shared" si="50"/>
        <v>0</v>
      </c>
      <c r="I548" s="2">
        <f t="shared" si="46"/>
        <v>0</v>
      </c>
      <c r="J548">
        <f>IFERROR(VLOOKUP(B548,'General price list'!C:AI,12,FALSE)*(G548*C548),0)</f>
        <v>0</v>
      </c>
    </row>
    <row r="549" spans="2:10" ht="15" customHeight="1">
      <c r="B549" t="s">
        <v>549</v>
      </c>
      <c r="C549" s="2" t="str">
        <f>IFERROR(VLOOKUP(B549,'Deutsche Markt'!C:AA,24,FALSE),"")</f>
        <v/>
      </c>
      <c r="D549" s="2">
        <f>IFERROR(VLOOKUP(B549,'Deutsche Markt'!C:AA,25,FALSE),0)</f>
        <v>0</v>
      </c>
      <c r="E549" s="2">
        <f t="shared" si="47"/>
        <v>0</v>
      </c>
      <c r="F549" s="2">
        <f t="shared" si="48"/>
        <v>0</v>
      </c>
      <c r="G549" s="2">
        <f t="shared" si="49"/>
        <v>0</v>
      </c>
      <c r="H549" s="2">
        <f t="shared" si="50"/>
        <v>0</v>
      </c>
      <c r="I549" s="2">
        <f t="shared" si="46"/>
        <v>0</v>
      </c>
      <c r="J549">
        <f>IFERROR(VLOOKUP(B549,'General price list'!C:AI,12,FALSE)*(G549*C549),0)</f>
        <v>0</v>
      </c>
    </row>
    <row r="550" spans="2:10" ht="15" customHeight="1">
      <c r="B550" t="s">
        <v>541</v>
      </c>
      <c r="C550" s="2" t="str">
        <f>IFERROR(VLOOKUP(B550,'Deutsche Markt'!C:AA,24,FALSE),"")</f>
        <v/>
      </c>
      <c r="D550" s="2">
        <f>IFERROR(VLOOKUP(B550,'Deutsche Markt'!C:AA,25,FALSE),0)</f>
        <v>0</v>
      </c>
      <c r="E550" s="2">
        <f t="shared" si="47"/>
        <v>0</v>
      </c>
      <c r="F550" s="2">
        <f t="shared" si="48"/>
        <v>0</v>
      </c>
      <c r="G550" s="2">
        <f t="shared" si="49"/>
        <v>0</v>
      </c>
      <c r="H550" s="2">
        <f t="shared" si="50"/>
        <v>0</v>
      </c>
      <c r="I550" s="2">
        <f t="shared" si="46"/>
        <v>0</v>
      </c>
      <c r="J550">
        <f>IFERROR(VLOOKUP(B550,'General price list'!C:AI,12,FALSE)*(G550*C550),0)</f>
        <v>0</v>
      </c>
    </row>
    <row r="551" spans="2:10" ht="15" customHeight="1">
      <c r="B551" t="s">
        <v>545</v>
      </c>
      <c r="C551" s="2" t="str">
        <f>IFERROR(VLOOKUP(B551,'Deutsche Markt'!C:AA,24,FALSE),"")</f>
        <v/>
      </c>
      <c r="D551" s="2">
        <f>IFERROR(VLOOKUP(B551,'Deutsche Markt'!C:AA,25,FALSE),0)</f>
        <v>0</v>
      </c>
      <c r="E551" s="2">
        <f t="shared" si="47"/>
        <v>0</v>
      </c>
      <c r="F551" s="2">
        <f t="shared" si="48"/>
        <v>0</v>
      </c>
      <c r="G551" s="2">
        <f t="shared" si="49"/>
        <v>0</v>
      </c>
      <c r="H551" s="2">
        <f t="shared" si="50"/>
        <v>0</v>
      </c>
      <c r="I551" s="2">
        <f t="shared" si="46"/>
        <v>0</v>
      </c>
      <c r="J551">
        <f>IFERROR(VLOOKUP(B551,'General price list'!C:AI,12,FALSE)*(G551*C551),0)</f>
        <v>0</v>
      </c>
    </row>
    <row r="552" spans="2:10" ht="15" customHeight="1">
      <c r="B552" t="s">
        <v>553</v>
      </c>
      <c r="C552" s="2" t="str">
        <f>IFERROR(VLOOKUP(B552,'Deutsche Markt'!C:AA,24,FALSE),"")</f>
        <v/>
      </c>
      <c r="D552" s="2">
        <f>IFERROR(VLOOKUP(B552,'Deutsche Markt'!C:AA,25,FALSE),0)</f>
        <v>0</v>
      </c>
      <c r="E552" s="2">
        <f t="shared" si="47"/>
        <v>0</v>
      </c>
      <c r="F552" s="2">
        <f t="shared" si="48"/>
        <v>0</v>
      </c>
      <c r="G552" s="2">
        <f t="shared" si="49"/>
        <v>0</v>
      </c>
      <c r="H552" s="2">
        <f t="shared" si="50"/>
        <v>0</v>
      </c>
      <c r="I552" s="2">
        <f t="shared" si="46"/>
        <v>0</v>
      </c>
      <c r="J552">
        <f>IFERROR(VLOOKUP(B552,'General price list'!C:AI,12,FALSE)*(G552*C552),0)</f>
        <v>0</v>
      </c>
    </row>
    <row r="553" spans="2:10" ht="15" customHeight="1">
      <c r="B553" t="s">
        <v>4169</v>
      </c>
      <c r="C553" s="2" t="str">
        <f>IFERROR(VLOOKUP(B553,'Deutsche Markt'!C:AA,24,FALSE),"")</f>
        <v/>
      </c>
      <c r="D553" s="2">
        <f>IFERROR(VLOOKUP(B553,'Deutsche Markt'!C:AA,25,FALSE),0)</f>
        <v>0</v>
      </c>
      <c r="E553" s="2">
        <f t="shared" si="47"/>
        <v>0</v>
      </c>
      <c r="F553" s="2">
        <f t="shared" si="48"/>
        <v>0</v>
      </c>
      <c r="G553" s="2">
        <f t="shared" si="49"/>
        <v>0</v>
      </c>
      <c r="H553" s="2">
        <f t="shared" si="50"/>
        <v>0</v>
      </c>
      <c r="I553" s="2">
        <f t="shared" si="46"/>
        <v>0</v>
      </c>
      <c r="J553">
        <f>IFERROR(VLOOKUP(B553,'General price list'!C:AI,12,FALSE)*(G553*C553),0)</f>
        <v>0</v>
      </c>
    </row>
    <row r="554" spans="2:10" ht="15" customHeight="1">
      <c r="B554" t="s">
        <v>4179</v>
      </c>
      <c r="C554" s="2" t="str">
        <f>IFERROR(VLOOKUP(B554,'Deutsche Markt'!C:AA,24,FALSE),"")</f>
        <v/>
      </c>
      <c r="D554" s="2">
        <f>IFERROR(VLOOKUP(B554,'Deutsche Markt'!C:AA,25,FALSE),0)</f>
        <v>0</v>
      </c>
      <c r="E554" s="2">
        <f t="shared" si="47"/>
        <v>0</v>
      </c>
      <c r="F554" s="2">
        <f t="shared" si="48"/>
        <v>0</v>
      </c>
      <c r="G554" s="2">
        <f t="shared" si="49"/>
        <v>0</v>
      </c>
      <c r="H554" s="2">
        <f t="shared" si="50"/>
        <v>0</v>
      </c>
      <c r="I554" s="2">
        <f t="shared" si="46"/>
        <v>0</v>
      </c>
      <c r="J554">
        <f>IFERROR(VLOOKUP(B554,'General price list'!C:AI,12,FALSE)*(G554*C554),0)</f>
        <v>0</v>
      </c>
    </row>
    <row r="555" spans="2:10" ht="15" customHeight="1">
      <c r="B555" t="s">
        <v>4158</v>
      </c>
      <c r="C555" s="2" t="str">
        <f>IFERROR(VLOOKUP(B555,'Deutsche Markt'!C:AA,24,FALSE),"")</f>
        <v/>
      </c>
      <c r="D555" s="2">
        <f>IFERROR(VLOOKUP(B555,'Deutsche Markt'!C:AA,25,FALSE),0)</f>
        <v>0</v>
      </c>
      <c r="E555" s="2">
        <f t="shared" si="47"/>
        <v>0</v>
      </c>
      <c r="F555" s="2">
        <f t="shared" si="48"/>
        <v>0</v>
      </c>
      <c r="G555" s="2">
        <f t="shared" si="49"/>
        <v>0</v>
      </c>
      <c r="H555" s="2">
        <f t="shared" si="50"/>
        <v>0</v>
      </c>
      <c r="I555" s="2">
        <f t="shared" si="46"/>
        <v>0</v>
      </c>
      <c r="J555">
        <f>IFERROR(VLOOKUP(B555,'General price list'!C:AI,12,FALSE)*(G555*C555),0)</f>
        <v>0</v>
      </c>
    </row>
    <row r="556" spans="2:10" ht="15" customHeight="1">
      <c r="B556" t="s">
        <v>4168</v>
      </c>
      <c r="C556" s="2" t="str">
        <f>IFERROR(VLOOKUP(B556,'Deutsche Markt'!C:AA,24,FALSE),"")</f>
        <v/>
      </c>
      <c r="D556" s="2">
        <f>IFERROR(VLOOKUP(B556,'Deutsche Markt'!C:AA,25,FALSE),0)</f>
        <v>0</v>
      </c>
      <c r="E556" s="2">
        <f t="shared" si="47"/>
        <v>0</v>
      </c>
      <c r="F556" s="2">
        <f t="shared" si="48"/>
        <v>0</v>
      </c>
      <c r="G556" s="2">
        <f t="shared" si="49"/>
        <v>0</v>
      </c>
      <c r="H556" s="2">
        <f t="shared" si="50"/>
        <v>0</v>
      </c>
      <c r="I556" s="2">
        <f t="shared" si="46"/>
        <v>0</v>
      </c>
      <c r="J556">
        <f>IFERROR(VLOOKUP(B556,'General price list'!C:AI,12,FALSE)*(G556*C556),0)</f>
        <v>0</v>
      </c>
    </row>
    <row r="557" spans="2:10" ht="15" customHeight="1">
      <c r="B557" t="s">
        <v>1601</v>
      </c>
      <c r="C557" s="2" t="str">
        <f>IFERROR(VLOOKUP(B557,'Deutsche Markt'!C:AA,24,FALSE),"")</f>
        <v/>
      </c>
      <c r="D557" s="2">
        <f>IFERROR(VLOOKUP(B557,'Deutsche Markt'!C:AA,25,FALSE),0)</f>
        <v>0</v>
      </c>
      <c r="E557" s="2">
        <f t="shared" si="47"/>
        <v>0</v>
      </c>
      <c r="F557" s="2">
        <f t="shared" si="48"/>
        <v>0</v>
      </c>
      <c r="G557" s="2">
        <f t="shared" si="49"/>
        <v>0</v>
      </c>
      <c r="H557" s="2">
        <f t="shared" si="50"/>
        <v>0</v>
      </c>
      <c r="I557" s="2">
        <f t="shared" si="46"/>
        <v>0</v>
      </c>
      <c r="J557">
        <f>IFERROR(VLOOKUP(B557,'General price list'!C:AI,12,FALSE)*(G557*C557),0)</f>
        <v>0</v>
      </c>
    </row>
    <row r="558" spans="2:10" ht="15" customHeight="1">
      <c r="B558" t="s">
        <v>1605</v>
      </c>
      <c r="C558" s="2" t="str">
        <f>IFERROR(VLOOKUP(B558,'Deutsche Markt'!C:AA,24,FALSE),"")</f>
        <v/>
      </c>
      <c r="D558" s="2">
        <f>IFERROR(VLOOKUP(B558,'Deutsche Markt'!C:AA,25,FALSE),0)</f>
        <v>0</v>
      </c>
      <c r="E558" s="2">
        <f t="shared" si="47"/>
        <v>0</v>
      </c>
      <c r="F558" s="2">
        <f t="shared" si="48"/>
        <v>0</v>
      </c>
      <c r="G558" s="2">
        <f t="shared" si="49"/>
        <v>0</v>
      </c>
      <c r="H558" s="2">
        <f t="shared" si="50"/>
        <v>0</v>
      </c>
      <c r="I558" s="2">
        <f t="shared" si="46"/>
        <v>0</v>
      </c>
      <c r="J558">
        <f>IFERROR(VLOOKUP(B558,'General price list'!C:AI,12,FALSE)*(G558*C558),0)</f>
        <v>0</v>
      </c>
    </row>
    <row r="559" spans="2:10" ht="15" customHeight="1">
      <c r="B559" t="s">
        <v>1607</v>
      </c>
      <c r="C559" s="2" t="str">
        <f>IFERROR(VLOOKUP(B559,'Deutsche Markt'!C:AA,24,FALSE),"")</f>
        <v/>
      </c>
      <c r="D559" s="2">
        <f>IFERROR(VLOOKUP(B559,'Deutsche Markt'!C:AA,25,FALSE),0)</f>
        <v>0</v>
      </c>
      <c r="E559" s="2">
        <f t="shared" si="47"/>
        <v>0</v>
      </c>
      <c r="F559" s="2">
        <f t="shared" si="48"/>
        <v>0</v>
      </c>
      <c r="G559" s="2">
        <f t="shared" si="49"/>
        <v>0</v>
      </c>
      <c r="H559" s="2">
        <f t="shared" si="50"/>
        <v>0</v>
      </c>
      <c r="I559" s="2">
        <f t="shared" si="46"/>
        <v>0</v>
      </c>
      <c r="J559">
        <f>IFERROR(VLOOKUP(B559,'General price list'!C:AI,12,FALSE)*(G559*C559),0)</f>
        <v>0</v>
      </c>
    </row>
    <row r="560" spans="2:10" ht="15" customHeight="1">
      <c r="B560" t="s">
        <v>1593</v>
      </c>
      <c r="C560" s="2" t="str">
        <f>IFERROR(VLOOKUP(B560,'Deutsche Markt'!C:AA,24,FALSE),"")</f>
        <v/>
      </c>
      <c r="D560" s="2">
        <f>IFERROR(VLOOKUP(B560,'Deutsche Markt'!C:AA,25,FALSE),0)</f>
        <v>0</v>
      </c>
      <c r="E560" s="2">
        <f t="shared" si="47"/>
        <v>0</v>
      </c>
      <c r="F560" s="2">
        <f t="shared" si="48"/>
        <v>0</v>
      </c>
      <c r="G560" s="2">
        <f t="shared" si="49"/>
        <v>0</v>
      </c>
      <c r="H560" s="2">
        <f t="shared" si="50"/>
        <v>0</v>
      </c>
      <c r="I560" s="2">
        <f t="shared" si="46"/>
        <v>0</v>
      </c>
      <c r="J560">
        <f>IFERROR(VLOOKUP(B560,'General price list'!C:AI,12,FALSE)*(G560*C560),0)</f>
        <v>0</v>
      </c>
    </row>
    <row r="561" spans="2:10" ht="15" customHeight="1">
      <c r="B561" t="s">
        <v>1599</v>
      </c>
      <c r="C561" s="2" t="str">
        <f>IFERROR(VLOOKUP(B561,'Deutsche Markt'!C:AA,24,FALSE),"")</f>
        <v/>
      </c>
      <c r="D561" s="2">
        <f>IFERROR(VLOOKUP(B561,'Deutsche Markt'!C:AA,25,FALSE),0)</f>
        <v>0</v>
      </c>
      <c r="E561" s="2">
        <f t="shared" si="47"/>
        <v>0</v>
      </c>
      <c r="F561" s="2">
        <f t="shared" si="48"/>
        <v>0</v>
      </c>
      <c r="G561" s="2">
        <f t="shared" si="49"/>
        <v>0</v>
      </c>
      <c r="H561" s="2">
        <f t="shared" si="50"/>
        <v>0</v>
      </c>
      <c r="I561" s="2">
        <f t="shared" si="46"/>
        <v>0</v>
      </c>
      <c r="J561">
        <f>IFERROR(VLOOKUP(B561,'General price list'!C:AI,12,FALSE)*(G561*C561),0)</f>
        <v>0</v>
      </c>
    </row>
    <row r="562" spans="2:10" ht="15" customHeight="1">
      <c r="B562" t="s">
        <v>2311</v>
      </c>
      <c r="C562" s="2" t="str">
        <f>IFERROR(VLOOKUP(B562,'Deutsche Markt'!C:AA,24,FALSE),"")</f>
        <v/>
      </c>
      <c r="D562" s="2">
        <f>IFERROR(VLOOKUP(B562,'Deutsche Markt'!C:AA,25,FALSE),0)</f>
        <v>0</v>
      </c>
      <c r="E562" s="2">
        <f t="shared" si="47"/>
        <v>0</v>
      </c>
      <c r="F562" s="2">
        <f t="shared" si="48"/>
        <v>0</v>
      </c>
      <c r="G562" s="2">
        <f t="shared" si="49"/>
        <v>0</v>
      </c>
      <c r="H562" s="2">
        <f t="shared" si="50"/>
        <v>0</v>
      </c>
      <c r="I562" s="2">
        <f t="shared" si="46"/>
        <v>0</v>
      </c>
      <c r="J562">
        <f>IFERROR(VLOOKUP(B562,'General price list'!C:AI,12,FALSE)*(G562*C562),0)</f>
        <v>0</v>
      </c>
    </row>
    <row r="563" spans="2:10" ht="15" customHeight="1">
      <c r="B563" t="s">
        <v>1694</v>
      </c>
      <c r="C563" s="2" t="str">
        <f>IFERROR(VLOOKUP(B563,'Deutsche Markt'!C:AA,24,FALSE),"")</f>
        <v/>
      </c>
      <c r="D563" s="2">
        <f>IFERROR(VLOOKUP(B563,'Deutsche Markt'!C:AA,25,FALSE),0)</f>
        <v>0</v>
      </c>
      <c r="E563" s="2">
        <f t="shared" si="47"/>
        <v>0</v>
      </c>
      <c r="F563" s="2">
        <f t="shared" si="48"/>
        <v>0</v>
      </c>
      <c r="G563" s="2">
        <f t="shared" si="49"/>
        <v>0</v>
      </c>
      <c r="H563" s="2">
        <f t="shared" si="50"/>
        <v>0</v>
      </c>
      <c r="I563" s="2">
        <f t="shared" si="46"/>
        <v>0</v>
      </c>
      <c r="J563">
        <f>IFERROR(VLOOKUP(B563,'General price list'!C:AI,12,FALSE)*(G563*C563),0)</f>
        <v>0</v>
      </c>
    </row>
    <row r="564" spans="2:10" ht="15" customHeight="1">
      <c r="B564" t="s">
        <v>1696</v>
      </c>
      <c r="C564" s="2" t="str">
        <f>IFERROR(VLOOKUP(B564,'Deutsche Markt'!C:AA,24,FALSE),"")</f>
        <v/>
      </c>
      <c r="D564" s="2">
        <f>IFERROR(VLOOKUP(B564,'Deutsche Markt'!C:AA,25,FALSE),0)</f>
        <v>0</v>
      </c>
      <c r="E564" s="2">
        <f t="shared" si="47"/>
        <v>0</v>
      </c>
      <c r="F564" s="2">
        <f t="shared" si="48"/>
        <v>0</v>
      </c>
      <c r="G564" s="2">
        <f t="shared" si="49"/>
        <v>0</v>
      </c>
      <c r="H564" s="2">
        <f t="shared" si="50"/>
        <v>0</v>
      </c>
      <c r="I564" s="2">
        <f t="shared" si="46"/>
        <v>0</v>
      </c>
      <c r="J564">
        <f>IFERROR(VLOOKUP(B564,'General price list'!C:AI,12,FALSE)*(G564*C564),0)</f>
        <v>0</v>
      </c>
    </row>
    <row r="565" spans="2:10" ht="15" customHeight="1">
      <c r="B565" t="s">
        <v>1698</v>
      </c>
      <c r="C565" s="2" t="str">
        <f>IFERROR(VLOOKUP(B565,'Deutsche Markt'!C:AA,24,FALSE),"")</f>
        <v/>
      </c>
      <c r="D565" s="2">
        <f>IFERROR(VLOOKUP(B565,'Deutsche Markt'!C:AA,25,FALSE),0)</f>
        <v>0</v>
      </c>
      <c r="E565" s="2">
        <f t="shared" si="47"/>
        <v>0</v>
      </c>
      <c r="F565" s="2">
        <f t="shared" si="48"/>
        <v>0</v>
      </c>
      <c r="G565" s="2">
        <f t="shared" si="49"/>
        <v>0</v>
      </c>
      <c r="H565" s="2">
        <f t="shared" si="50"/>
        <v>0</v>
      </c>
      <c r="I565" s="2">
        <f t="shared" si="46"/>
        <v>0</v>
      </c>
      <c r="J565">
        <f>IFERROR(VLOOKUP(B565,'General price list'!C:AI,12,FALSE)*(G565*C565),0)</f>
        <v>0</v>
      </c>
    </row>
    <row r="566" spans="2:10" ht="15" customHeight="1">
      <c r="B566" t="s">
        <v>1700</v>
      </c>
      <c r="C566" s="2" t="str">
        <f>IFERROR(VLOOKUP(B566,'Deutsche Markt'!C:AA,24,FALSE),"")</f>
        <v/>
      </c>
      <c r="D566" s="2">
        <f>IFERROR(VLOOKUP(B566,'Deutsche Markt'!C:AA,25,FALSE),0)</f>
        <v>0</v>
      </c>
      <c r="E566" s="2">
        <f t="shared" si="47"/>
        <v>0</v>
      </c>
      <c r="F566" s="2">
        <f t="shared" si="48"/>
        <v>0</v>
      </c>
      <c r="G566" s="2">
        <f t="shared" si="49"/>
        <v>0</v>
      </c>
      <c r="H566" s="2">
        <f t="shared" si="50"/>
        <v>0</v>
      </c>
      <c r="I566" s="2">
        <f t="shared" si="46"/>
        <v>0</v>
      </c>
      <c r="J566">
        <f>IFERROR(VLOOKUP(B566,'General price list'!C:AI,12,FALSE)*(G566*C566),0)</f>
        <v>0</v>
      </c>
    </row>
    <row r="567" spans="2:10" ht="15" customHeight="1">
      <c r="B567" t="s">
        <v>1702</v>
      </c>
      <c r="C567" s="2" t="str">
        <f>IFERROR(VLOOKUP(B567,'Deutsche Markt'!C:AA,24,FALSE),"")</f>
        <v/>
      </c>
      <c r="D567" s="2">
        <f>IFERROR(VLOOKUP(B567,'Deutsche Markt'!C:AA,25,FALSE),0)</f>
        <v>0</v>
      </c>
      <c r="E567" s="2">
        <f t="shared" si="47"/>
        <v>0</v>
      </c>
      <c r="F567" s="2">
        <f t="shared" si="48"/>
        <v>0</v>
      </c>
      <c r="G567" s="2">
        <f t="shared" si="49"/>
        <v>0</v>
      </c>
      <c r="H567" s="2">
        <f t="shared" si="50"/>
        <v>0</v>
      </c>
      <c r="I567" s="2">
        <f t="shared" si="46"/>
        <v>0</v>
      </c>
      <c r="J567">
        <f>IFERROR(VLOOKUP(B567,'General price list'!C:AI,12,FALSE)*(G567*C567),0)</f>
        <v>0</v>
      </c>
    </row>
    <row r="568" spans="2:10" ht="15" customHeight="1">
      <c r="B568" t="s">
        <v>1704</v>
      </c>
      <c r="C568" s="2" t="str">
        <f>IFERROR(VLOOKUP(B568,'Deutsche Markt'!C:AA,24,FALSE),"")</f>
        <v/>
      </c>
      <c r="D568" s="2">
        <f>IFERROR(VLOOKUP(B568,'Deutsche Markt'!C:AA,25,FALSE),0)</f>
        <v>0</v>
      </c>
      <c r="E568" s="2">
        <f t="shared" si="47"/>
        <v>0</v>
      </c>
      <c r="F568" s="2">
        <f t="shared" si="48"/>
        <v>0</v>
      </c>
      <c r="G568" s="2">
        <f t="shared" si="49"/>
        <v>0</v>
      </c>
      <c r="H568" s="2">
        <f t="shared" si="50"/>
        <v>0</v>
      </c>
      <c r="I568" s="2">
        <f t="shared" si="46"/>
        <v>0</v>
      </c>
      <c r="J568">
        <f>IFERROR(VLOOKUP(B568,'General price list'!C:AI,12,FALSE)*(G568*C568),0)</f>
        <v>0</v>
      </c>
    </row>
    <row r="569" spans="2:10" ht="15" customHeight="1">
      <c r="B569" t="s">
        <v>1706</v>
      </c>
      <c r="C569" s="2" t="str">
        <f>IFERROR(VLOOKUP(B569,'Deutsche Markt'!C:AA,24,FALSE),"")</f>
        <v/>
      </c>
      <c r="D569" s="2">
        <f>IFERROR(VLOOKUP(B569,'Deutsche Markt'!C:AA,25,FALSE),0)</f>
        <v>0</v>
      </c>
      <c r="E569" s="2">
        <f t="shared" si="47"/>
        <v>0</v>
      </c>
      <c r="F569" s="2">
        <f t="shared" si="48"/>
        <v>0</v>
      </c>
      <c r="G569" s="2">
        <f t="shared" si="49"/>
        <v>0</v>
      </c>
      <c r="H569" s="2">
        <f t="shared" si="50"/>
        <v>0</v>
      </c>
      <c r="I569" s="2">
        <f t="shared" si="46"/>
        <v>0</v>
      </c>
      <c r="J569">
        <f>IFERROR(VLOOKUP(B569,'General price list'!C:AI,12,FALSE)*(G569*C569),0)</f>
        <v>0</v>
      </c>
    </row>
    <row r="570" spans="2:10" ht="15" customHeight="1">
      <c r="B570" t="s">
        <v>1709</v>
      </c>
      <c r="C570" s="2" t="str">
        <f>IFERROR(VLOOKUP(B570,'Deutsche Markt'!C:AA,24,FALSE),"")</f>
        <v/>
      </c>
      <c r="D570" s="2">
        <f>IFERROR(VLOOKUP(B570,'Deutsche Markt'!C:AA,25,FALSE),0)</f>
        <v>0</v>
      </c>
      <c r="E570" s="2">
        <f t="shared" si="47"/>
        <v>0</v>
      </c>
      <c r="F570" s="2">
        <f t="shared" si="48"/>
        <v>0</v>
      </c>
      <c r="G570" s="2">
        <f t="shared" si="49"/>
        <v>0</v>
      </c>
      <c r="H570" s="2">
        <f t="shared" si="50"/>
        <v>0</v>
      </c>
      <c r="I570" s="2">
        <f t="shared" si="46"/>
        <v>0</v>
      </c>
      <c r="J570">
        <f>IFERROR(VLOOKUP(B570,'General price list'!C:AI,12,FALSE)*(G570*C570),0)</f>
        <v>0</v>
      </c>
    </row>
    <row r="571" spans="2:10" ht="15" customHeight="1">
      <c r="B571" t="s">
        <v>1711</v>
      </c>
      <c r="C571" s="2" t="str">
        <f>IFERROR(VLOOKUP(B571,'Deutsche Markt'!C:AA,24,FALSE),"")</f>
        <v/>
      </c>
      <c r="D571" s="2">
        <f>IFERROR(VLOOKUP(B571,'Deutsche Markt'!C:AA,25,FALSE),0)</f>
        <v>0</v>
      </c>
      <c r="E571" s="2">
        <f t="shared" si="47"/>
        <v>0</v>
      </c>
      <c r="F571" s="2">
        <f t="shared" si="48"/>
        <v>0</v>
      </c>
      <c r="G571" s="2">
        <f t="shared" si="49"/>
        <v>0</v>
      </c>
      <c r="H571" s="2">
        <f t="shared" si="50"/>
        <v>0</v>
      </c>
      <c r="I571" s="2">
        <f t="shared" si="46"/>
        <v>0</v>
      </c>
      <c r="J571">
        <f>IFERROR(VLOOKUP(B571,'General price list'!C:AI,12,FALSE)*(G571*C571),0)</f>
        <v>0</v>
      </c>
    </row>
    <row r="572" spans="2:10" ht="15" customHeight="1">
      <c r="B572" t="s">
        <v>1714</v>
      </c>
      <c r="C572" s="2" t="str">
        <f>IFERROR(VLOOKUP(B572,'Deutsche Markt'!C:AA,24,FALSE),"")</f>
        <v/>
      </c>
      <c r="D572" s="2">
        <f>IFERROR(VLOOKUP(B572,'Deutsche Markt'!C:AA,25,FALSE),0)</f>
        <v>0</v>
      </c>
      <c r="E572" s="2">
        <f t="shared" si="47"/>
        <v>0</v>
      </c>
      <c r="F572" s="2">
        <f t="shared" si="48"/>
        <v>0</v>
      </c>
      <c r="G572" s="2">
        <f t="shared" si="49"/>
        <v>0</v>
      </c>
      <c r="H572" s="2">
        <f t="shared" si="50"/>
        <v>0</v>
      </c>
      <c r="I572" s="2">
        <f t="shared" si="46"/>
        <v>0</v>
      </c>
      <c r="J572">
        <f>IFERROR(VLOOKUP(B572,'General price list'!C:AI,12,FALSE)*(G572*C572),0)</f>
        <v>0</v>
      </c>
    </row>
    <row r="573" spans="2:10" ht="15" customHeight="1">
      <c r="B573" t="s">
        <v>1717</v>
      </c>
      <c r="C573" s="2" t="str">
        <f>IFERROR(VLOOKUP(B573,'Deutsche Markt'!C:AA,24,FALSE),"")</f>
        <v/>
      </c>
      <c r="D573" s="2">
        <f>IFERROR(VLOOKUP(B573,'Deutsche Markt'!C:AA,25,FALSE),0)</f>
        <v>0</v>
      </c>
      <c r="E573" s="2">
        <f t="shared" si="47"/>
        <v>0</v>
      </c>
      <c r="F573" s="2">
        <f t="shared" si="48"/>
        <v>0</v>
      </c>
      <c r="G573" s="2">
        <f t="shared" si="49"/>
        <v>0</v>
      </c>
      <c r="H573" s="2">
        <f t="shared" si="50"/>
        <v>0</v>
      </c>
      <c r="I573" s="2">
        <f t="shared" si="46"/>
        <v>0</v>
      </c>
      <c r="J573">
        <f>IFERROR(VLOOKUP(B573,'General price list'!C:AI,12,FALSE)*(G573*C573),0)</f>
        <v>0</v>
      </c>
    </row>
    <row r="574" spans="2:10" ht="15" customHeight="1">
      <c r="B574" t="s">
        <v>1719</v>
      </c>
      <c r="C574" s="2" t="str">
        <f>IFERROR(VLOOKUP(B574,'Deutsche Markt'!C:AA,24,FALSE),"")</f>
        <v/>
      </c>
      <c r="D574" s="2">
        <f>IFERROR(VLOOKUP(B574,'Deutsche Markt'!C:AA,25,FALSE),0)</f>
        <v>0</v>
      </c>
      <c r="E574" s="2">
        <f t="shared" si="47"/>
        <v>0</v>
      </c>
      <c r="F574" s="2">
        <f t="shared" si="48"/>
        <v>0</v>
      </c>
      <c r="G574" s="2">
        <f t="shared" si="49"/>
        <v>0</v>
      </c>
      <c r="H574" s="2">
        <f t="shared" si="50"/>
        <v>0</v>
      </c>
      <c r="I574" s="2">
        <f t="shared" si="46"/>
        <v>0</v>
      </c>
      <c r="J574">
        <f>IFERROR(VLOOKUP(B574,'General price list'!C:AI,12,FALSE)*(G574*C574),0)</f>
        <v>0</v>
      </c>
    </row>
    <row r="575" spans="2:10" ht="15" customHeight="1">
      <c r="B575" t="s">
        <v>1722</v>
      </c>
      <c r="C575" s="2" t="str">
        <f>IFERROR(VLOOKUP(B575,'Deutsche Markt'!C:AA,24,FALSE),"")</f>
        <v/>
      </c>
      <c r="D575" s="2">
        <f>IFERROR(VLOOKUP(B575,'Deutsche Markt'!C:AA,25,FALSE),0)</f>
        <v>0</v>
      </c>
      <c r="E575" s="2">
        <f t="shared" si="47"/>
        <v>0</v>
      </c>
      <c r="F575" s="2">
        <f t="shared" si="48"/>
        <v>0</v>
      </c>
      <c r="G575" s="2">
        <f t="shared" si="49"/>
        <v>0</v>
      </c>
      <c r="H575" s="2">
        <f t="shared" si="50"/>
        <v>0</v>
      </c>
      <c r="I575" s="2">
        <f t="shared" si="46"/>
        <v>0</v>
      </c>
      <c r="J575">
        <f>IFERROR(VLOOKUP(B575,'General price list'!C:AI,12,FALSE)*(G575*C575),0)</f>
        <v>0</v>
      </c>
    </row>
    <row r="576" spans="2:10" ht="15" customHeight="1">
      <c r="B576" t="s">
        <v>1730</v>
      </c>
      <c r="C576" s="2" t="str">
        <f>IFERROR(VLOOKUP(B576,'Deutsche Markt'!C:AA,24,FALSE),"")</f>
        <v/>
      </c>
      <c r="D576" s="2">
        <f>IFERROR(VLOOKUP(B576,'Deutsche Markt'!C:AA,25,FALSE),0)</f>
        <v>0</v>
      </c>
      <c r="E576" s="2">
        <f t="shared" si="47"/>
        <v>0</v>
      </c>
      <c r="F576" s="2">
        <f t="shared" si="48"/>
        <v>0</v>
      </c>
      <c r="G576" s="2">
        <f t="shared" si="49"/>
        <v>0</v>
      </c>
      <c r="H576" s="2">
        <f t="shared" si="50"/>
        <v>0</v>
      </c>
      <c r="I576" s="2">
        <f t="shared" si="46"/>
        <v>0</v>
      </c>
      <c r="J576">
        <f>IFERROR(VLOOKUP(B576,'General price list'!C:AI,12,FALSE)*(G576*C576),0)</f>
        <v>0</v>
      </c>
    </row>
    <row r="577" spans="2:10" ht="15" customHeight="1">
      <c r="B577" t="s">
        <v>1735</v>
      </c>
      <c r="C577" s="2" t="str">
        <f>IFERROR(VLOOKUP(B577,'Deutsche Markt'!C:AA,24,FALSE),"")</f>
        <v/>
      </c>
      <c r="D577" s="2">
        <f>IFERROR(VLOOKUP(B577,'Deutsche Markt'!C:AA,25,FALSE),0)</f>
        <v>0</v>
      </c>
      <c r="E577" s="2">
        <f t="shared" si="47"/>
        <v>0</v>
      </c>
      <c r="F577" s="2">
        <f t="shared" si="48"/>
        <v>0</v>
      </c>
      <c r="G577" s="2">
        <f t="shared" si="49"/>
        <v>0</v>
      </c>
      <c r="H577" s="2">
        <f t="shared" si="50"/>
        <v>0</v>
      </c>
      <c r="I577" s="2">
        <f t="shared" si="46"/>
        <v>0</v>
      </c>
      <c r="J577">
        <f>IFERROR(VLOOKUP(B577,'General price list'!C:AI,12,FALSE)*(G577*C577),0)</f>
        <v>0</v>
      </c>
    </row>
    <row r="578" spans="2:10" ht="15" customHeight="1">
      <c r="B578" t="s">
        <v>1738</v>
      </c>
      <c r="C578" s="2" t="str">
        <f>IFERROR(VLOOKUP(B578,'Deutsche Markt'!C:AA,24,FALSE),"")</f>
        <v/>
      </c>
      <c r="D578" s="2">
        <f>IFERROR(VLOOKUP(B578,'Deutsche Markt'!C:AA,25,FALSE),0)</f>
        <v>0</v>
      </c>
      <c r="E578" s="2">
        <f t="shared" si="47"/>
        <v>0</v>
      </c>
      <c r="F578" s="2">
        <f t="shared" si="48"/>
        <v>0</v>
      </c>
      <c r="G578" s="2">
        <f t="shared" si="49"/>
        <v>0</v>
      </c>
      <c r="H578" s="2">
        <f t="shared" si="50"/>
        <v>0</v>
      </c>
      <c r="I578" s="2">
        <f t="shared" si="46"/>
        <v>0</v>
      </c>
      <c r="J578">
        <f>IFERROR(VLOOKUP(B578,'General price list'!C:AI,12,FALSE)*(G578*C578),0)</f>
        <v>0</v>
      </c>
    </row>
    <row r="579" spans="2:10" ht="15" customHeight="1">
      <c r="B579" t="s">
        <v>1740</v>
      </c>
      <c r="C579" s="2" t="str">
        <f>IFERROR(VLOOKUP(B579,'Deutsche Markt'!C:AA,24,FALSE),"")</f>
        <v/>
      </c>
      <c r="D579" s="2">
        <f>IFERROR(VLOOKUP(B579,'Deutsche Markt'!C:AA,25,FALSE),0)</f>
        <v>0</v>
      </c>
      <c r="E579" s="2">
        <f t="shared" si="47"/>
        <v>0</v>
      </c>
      <c r="F579" s="2">
        <f t="shared" si="48"/>
        <v>0</v>
      </c>
      <c r="G579" s="2">
        <f t="shared" si="49"/>
        <v>0</v>
      </c>
      <c r="H579" s="2">
        <f t="shared" si="50"/>
        <v>0</v>
      </c>
      <c r="I579" s="2">
        <f t="shared" si="46"/>
        <v>0</v>
      </c>
      <c r="J579">
        <f>IFERROR(VLOOKUP(B579,'General price list'!C:AI,12,FALSE)*(G579*C579),0)</f>
        <v>0</v>
      </c>
    </row>
    <row r="580" spans="2:10" ht="15" customHeight="1">
      <c r="B580" t="s">
        <v>1742</v>
      </c>
      <c r="C580" s="2" t="str">
        <f>IFERROR(VLOOKUP(B580,'Deutsche Markt'!C:AA,24,FALSE),"")</f>
        <v/>
      </c>
      <c r="D580" s="2">
        <f>IFERROR(VLOOKUP(B580,'Deutsche Markt'!C:AA,25,FALSE),0)</f>
        <v>0</v>
      </c>
      <c r="E580" s="2">
        <f t="shared" si="47"/>
        <v>0</v>
      </c>
      <c r="F580" s="2">
        <f t="shared" si="48"/>
        <v>0</v>
      </c>
      <c r="G580" s="2">
        <f t="shared" si="49"/>
        <v>0</v>
      </c>
      <c r="H580" s="2">
        <f t="shared" si="50"/>
        <v>0</v>
      </c>
      <c r="I580" s="2">
        <f t="shared" ref="I580:I643" si="51">IFERROR(IF(D580=0,0,IF(F580=0,(D580*nextVK)+(prvniVK-nextVK),(G580*C580*nextVK)+(F580*PALzKoje))),0)</f>
        <v>0</v>
      </c>
      <c r="J580">
        <f>IFERROR(VLOOKUP(B580,'General price list'!C:AI,12,FALSE)*(G580*C580),0)</f>
        <v>0</v>
      </c>
    </row>
    <row r="581" spans="2:10" ht="15" customHeight="1">
      <c r="B581" t="s">
        <v>1744</v>
      </c>
      <c r="C581" s="2" t="str">
        <f>IFERROR(VLOOKUP(B581,'Deutsche Markt'!C:AA,24,FALSE),"")</f>
        <v/>
      </c>
      <c r="D581" s="2">
        <f>IFERROR(VLOOKUP(B581,'Deutsche Markt'!C:AA,25,FALSE),0)</f>
        <v>0</v>
      </c>
      <c r="E581" s="2">
        <f t="shared" ref="E581:E644" si="52">IFERROR(D581/C581,0)</f>
        <v>0</v>
      </c>
      <c r="F581" s="2">
        <f t="shared" ref="F581:F644" si="53">IFERROR(FLOOR(IF(E581-1&lt;0,0,E581),1),0)</f>
        <v>0</v>
      </c>
      <c r="G581" s="2">
        <f t="shared" ref="G581:G644" si="54">IFERROR(IF(H581&gt;E581,F581-E581,E581-F581),0)</f>
        <v>0</v>
      </c>
      <c r="H581" s="2">
        <f t="shared" ref="H581:H644" si="55">IFERROR(IF(E581=0,0,F581),0)</f>
        <v>0</v>
      </c>
      <c r="I581" s="2">
        <f t="shared" si="51"/>
        <v>0</v>
      </c>
      <c r="J581">
        <f>IFERROR(VLOOKUP(B581,'General price list'!C:AI,12,FALSE)*(G581*C581),0)</f>
        <v>0</v>
      </c>
    </row>
    <row r="582" spans="2:10" ht="15" customHeight="1">
      <c r="B582" t="s">
        <v>1748</v>
      </c>
      <c r="C582" s="2" t="str">
        <f>IFERROR(VLOOKUP(B582,'Deutsche Markt'!C:AA,24,FALSE),"")</f>
        <v/>
      </c>
      <c r="D582" s="2">
        <f>IFERROR(VLOOKUP(B582,'Deutsche Markt'!C:AA,25,FALSE),0)</f>
        <v>0</v>
      </c>
      <c r="E582" s="2">
        <f t="shared" si="52"/>
        <v>0</v>
      </c>
      <c r="F582" s="2">
        <f t="shared" si="53"/>
        <v>0</v>
      </c>
      <c r="G582" s="2">
        <f t="shared" si="54"/>
        <v>0</v>
      </c>
      <c r="H582" s="2">
        <f t="shared" si="55"/>
        <v>0</v>
      </c>
      <c r="I582" s="2">
        <f t="shared" si="51"/>
        <v>0</v>
      </c>
      <c r="J582">
        <f>IFERROR(VLOOKUP(B582,'General price list'!C:AI,12,FALSE)*(G582*C582),0)</f>
        <v>0</v>
      </c>
    </row>
    <row r="583" spans="2:10" ht="15" customHeight="1">
      <c r="B583" t="s">
        <v>1750</v>
      </c>
      <c r="C583" s="2" t="str">
        <f>IFERROR(VLOOKUP(B583,'Deutsche Markt'!C:AA,24,FALSE),"")</f>
        <v/>
      </c>
      <c r="D583" s="2">
        <f>IFERROR(VLOOKUP(B583,'Deutsche Markt'!C:AA,25,FALSE),0)</f>
        <v>0</v>
      </c>
      <c r="E583" s="2">
        <f t="shared" si="52"/>
        <v>0</v>
      </c>
      <c r="F583" s="2">
        <f t="shared" si="53"/>
        <v>0</v>
      </c>
      <c r="G583" s="2">
        <f t="shared" si="54"/>
        <v>0</v>
      </c>
      <c r="H583" s="2">
        <f t="shared" si="55"/>
        <v>0</v>
      </c>
      <c r="I583" s="2">
        <f t="shared" si="51"/>
        <v>0</v>
      </c>
      <c r="J583">
        <f>IFERROR(VLOOKUP(B583,'General price list'!C:AI,12,FALSE)*(G583*C583),0)</f>
        <v>0</v>
      </c>
    </row>
    <row r="584" spans="2:10" ht="15" customHeight="1">
      <c r="B584" t="s">
        <v>1752</v>
      </c>
      <c r="C584" s="2" t="str">
        <f>IFERROR(VLOOKUP(B584,'Deutsche Markt'!C:AA,24,FALSE),"")</f>
        <v/>
      </c>
      <c r="D584" s="2">
        <f>IFERROR(VLOOKUP(B584,'Deutsche Markt'!C:AA,25,FALSE),0)</f>
        <v>0</v>
      </c>
      <c r="E584" s="2">
        <f t="shared" si="52"/>
        <v>0</v>
      </c>
      <c r="F584" s="2">
        <f t="shared" si="53"/>
        <v>0</v>
      </c>
      <c r="G584" s="2">
        <f t="shared" si="54"/>
        <v>0</v>
      </c>
      <c r="H584" s="2">
        <f t="shared" si="55"/>
        <v>0</v>
      </c>
      <c r="I584" s="2">
        <f t="shared" si="51"/>
        <v>0</v>
      </c>
      <c r="J584">
        <f>IFERROR(VLOOKUP(B584,'General price list'!C:AI,12,FALSE)*(G584*C584),0)</f>
        <v>0</v>
      </c>
    </row>
    <row r="585" spans="2:10" ht="15" customHeight="1">
      <c r="B585" t="s">
        <v>1689</v>
      </c>
      <c r="C585" s="2" t="str">
        <f>IFERROR(VLOOKUP(B585,'Deutsche Markt'!C:AA,24,FALSE),"")</f>
        <v/>
      </c>
      <c r="D585" s="2">
        <f>IFERROR(VLOOKUP(B585,'Deutsche Markt'!C:AA,25,FALSE),0)</f>
        <v>0</v>
      </c>
      <c r="E585" s="2">
        <f t="shared" si="52"/>
        <v>0</v>
      </c>
      <c r="F585" s="2">
        <f t="shared" si="53"/>
        <v>0</v>
      </c>
      <c r="G585" s="2">
        <f t="shared" si="54"/>
        <v>0</v>
      </c>
      <c r="H585" s="2">
        <f t="shared" si="55"/>
        <v>0</v>
      </c>
      <c r="I585" s="2">
        <f t="shared" si="51"/>
        <v>0</v>
      </c>
      <c r="J585">
        <f>IFERROR(VLOOKUP(B585,'General price list'!C:AI,12,FALSE)*(G585*C585),0)</f>
        <v>0</v>
      </c>
    </row>
    <row r="586" spans="2:10" ht="15" customHeight="1">
      <c r="B586" t="s">
        <v>1691</v>
      </c>
      <c r="C586" s="2" t="str">
        <f>IFERROR(VLOOKUP(B586,'Deutsche Markt'!C:AA,24,FALSE),"")</f>
        <v/>
      </c>
      <c r="D586" s="2">
        <f>IFERROR(VLOOKUP(B586,'Deutsche Markt'!C:AA,25,FALSE),0)</f>
        <v>0</v>
      </c>
      <c r="E586" s="2">
        <f t="shared" si="52"/>
        <v>0</v>
      </c>
      <c r="F586" s="2">
        <f t="shared" si="53"/>
        <v>0</v>
      </c>
      <c r="G586" s="2">
        <f t="shared" si="54"/>
        <v>0</v>
      </c>
      <c r="H586" s="2">
        <f t="shared" si="55"/>
        <v>0</v>
      </c>
      <c r="I586" s="2">
        <f t="shared" si="51"/>
        <v>0</v>
      </c>
      <c r="J586">
        <f>IFERROR(VLOOKUP(B586,'General price list'!C:AI,12,FALSE)*(G586*C586),0)</f>
        <v>0</v>
      </c>
    </row>
    <row r="587" spans="2:10" ht="15" customHeight="1">
      <c r="B587" t="s">
        <v>1777</v>
      </c>
      <c r="C587" s="2" t="str">
        <f>IFERROR(VLOOKUP(B587,'Deutsche Markt'!C:AA,24,FALSE),"")</f>
        <v/>
      </c>
      <c r="D587" s="2">
        <f>IFERROR(VLOOKUP(B587,'Deutsche Markt'!C:AA,25,FALSE),0)</f>
        <v>0</v>
      </c>
      <c r="E587" s="2">
        <f t="shared" si="52"/>
        <v>0</v>
      </c>
      <c r="F587" s="2">
        <f t="shared" si="53"/>
        <v>0</v>
      </c>
      <c r="G587" s="2">
        <f t="shared" si="54"/>
        <v>0</v>
      </c>
      <c r="H587" s="2">
        <f t="shared" si="55"/>
        <v>0</v>
      </c>
      <c r="I587" s="2">
        <f t="shared" si="51"/>
        <v>0</v>
      </c>
      <c r="J587">
        <f>IFERROR(VLOOKUP(B587,'General price list'!C:AI,12,FALSE)*(G587*C587),0)</f>
        <v>0</v>
      </c>
    </row>
    <row r="588" spans="2:10" ht="15" customHeight="1">
      <c r="B588" t="s">
        <v>1779</v>
      </c>
      <c r="C588" s="2" t="str">
        <f>IFERROR(VLOOKUP(B588,'Deutsche Markt'!C:AA,24,FALSE),"")</f>
        <v/>
      </c>
      <c r="D588" s="2">
        <f>IFERROR(VLOOKUP(B588,'Deutsche Markt'!C:AA,25,FALSE),0)</f>
        <v>0</v>
      </c>
      <c r="E588" s="2">
        <f t="shared" si="52"/>
        <v>0</v>
      </c>
      <c r="F588" s="2">
        <f t="shared" si="53"/>
        <v>0</v>
      </c>
      <c r="G588" s="2">
        <f t="shared" si="54"/>
        <v>0</v>
      </c>
      <c r="H588" s="2">
        <f t="shared" si="55"/>
        <v>0</v>
      </c>
      <c r="I588" s="2">
        <f t="shared" si="51"/>
        <v>0</v>
      </c>
      <c r="J588">
        <f>IFERROR(VLOOKUP(B588,'General price list'!C:AI,12,FALSE)*(G588*C588),0)</f>
        <v>0</v>
      </c>
    </row>
    <row r="589" spans="2:10" ht="15" customHeight="1">
      <c r="B589" t="s">
        <v>1783</v>
      </c>
      <c r="C589" s="2" t="str">
        <f>IFERROR(VLOOKUP(B589,'Deutsche Markt'!C:AA,24,FALSE),"")</f>
        <v/>
      </c>
      <c r="D589" s="2">
        <f>IFERROR(VLOOKUP(B589,'Deutsche Markt'!C:AA,25,FALSE),0)</f>
        <v>0</v>
      </c>
      <c r="E589" s="2">
        <f t="shared" si="52"/>
        <v>0</v>
      </c>
      <c r="F589" s="2">
        <f t="shared" si="53"/>
        <v>0</v>
      </c>
      <c r="G589" s="2">
        <f t="shared" si="54"/>
        <v>0</v>
      </c>
      <c r="H589" s="2">
        <f t="shared" si="55"/>
        <v>0</v>
      </c>
      <c r="I589" s="2">
        <f t="shared" si="51"/>
        <v>0</v>
      </c>
      <c r="J589">
        <f>IFERROR(VLOOKUP(B589,'General price list'!C:AI,12,FALSE)*(G589*C589),0)</f>
        <v>0</v>
      </c>
    </row>
    <row r="590" spans="2:10" ht="15" customHeight="1">
      <c r="B590" t="s">
        <v>1775</v>
      </c>
      <c r="C590" s="2" t="str">
        <f>IFERROR(VLOOKUP(B590,'Deutsche Markt'!C:AA,24,FALSE),"")</f>
        <v/>
      </c>
      <c r="D590" s="2">
        <f>IFERROR(VLOOKUP(B590,'Deutsche Markt'!C:AA,25,FALSE),0)</f>
        <v>0</v>
      </c>
      <c r="E590" s="2">
        <f t="shared" si="52"/>
        <v>0</v>
      </c>
      <c r="F590" s="2">
        <f t="shared" si="53"/>
        <v>0</v>
      </c>
      <c r="G590" s="2">
        <f t="shared" si="54"/>
        <v>0</v>
      </c>
      <c r="H590" s="2">
        <f t="shared" si="55"/>
        <v>0</v>
      </c>
      <c r="I590" s="2">
        <f t="shared" si="51"/>
        <v>0</v>
      </c>
      <c r="J590">
        <f>IFERROR(VLOOKUP(B590,'General price list'!C:AI,12,FALSE)*(G590*C590),0)</f>
        <v>0</v>
      </c>
    </row>
    <row r="591" spans="2:10" ht="15" customHeight="1">
      <c r="B591" t="s">
        <v>12112</v>
      </c>
      <c r="C591" s="2" t="str">
        <f>IFERROR(VLOOKUP(B591,'Deutsche Markt'!C:AA,24,FALSE),"")</f>
        <v/>
      </c>
      <c r="D591" s="2">
        <f>IFERROR(VLOOKUP(B591,'Deutsche Markt'!C:AA,25,FALSE),0)</f>
        <v>0</v>
      </c>
      <c r="E591" s="2">
        <f t="shared" si="52"/>
        <v>0</v>
      </c>
      <c r="F591" s="2">
        <f t="shared" si="53"/>
        <v>0</v>
      </c>
      <c r="G591" s="2">
        <f t="shared" si="54"/>
        <v>0</v>
      </c>
      <c r="H591" s="2">
        <f t="shared" si="55"/>
        <v>0</v>
      </c>
      <c r="I591" s="2">
        <f t="shared" si="51"/>
        <v>0</v>
      </c>
      <c r="J591">
        <f>IFERROR(VLOOKUP(B591,'General price list'!C:AI,12,FALSE)*(G591*C591),0)</f>
        <v>0</v>
      </c>
    </row>
    <row r="592" spans="2:10" ht="15" customHeight="1">
      <c r="B592" t="s">
        <v>1756</v>
      </c>
      <c r="C592" s="2" t="str">
        <f>IFERROR(VLOOKUP(B592,'Deutsche Markt'!C:AA,24,FALSE),"")</f>
        <v/>
      </c>
      <c r="D592" s="2">
        <f>IFERROR(VLOOKUP(B592,'Deutsche Markt'!C:AA,25,FALSE),0)</f>
        <v>0</v>
      </c>
      <c r="E592" s="2">
        <f t="shared" si="52"/>
        <v>0</v>
      </c>
      <c r="F592" s="2">
        <f t="shared" si="53"/>
        <v>0</v>
      </c>
      <c r="G592" s="2">
        <f t="shared" si="54"/>
        <v>0</v>
      </c>
      <c r="H592" s="2">
        <f t="shared" si="55"/>
        <v>0</v>
      </c>
      <c r="I592" s="2">
        <f t="shared" si="51"/>
        <v>0</v>
      </c>
      <c r="J592">
        <f>IFERROR(VLOOKUP(B592,'General price list'!C:AI,12,FALSE)*(G592*C592),0)</f>
        <v>0</v>
      </c>
    </row>
    <row r="593" spans="2:10" ht="15" customHeight="1">
      <c r="B593" t="s">
        <v>1758</v>
      </c>
      <c r="C593" s="2" t="str">
        <f>IFERROR(VLOOKUP(B593,'Deutsche Markt'!C:AA,24,FALSE),"")</f>
        <v/>
      </c>
      <c r="D593" s="2">
        <f>IFERROR(VLOOKUP(B593,'Deutsche Markt'!C:AA,25,FALSE),0)</f>
        <v>0</v>
      </c>
      <c r="E593" s="2">
        <f t="shared" si="52"/>
        <v>0</v>
      </c>
      <c r="F593" s="2">
        <f t="shared" si="53"/>
        <v>0</v>
      </c>
      <c r="G593" s="2">
        <f t="shared" si="54"/>
        <v>0</v>
      </c>
      <c r="H593" s="2">
        <f t="shared" si="55"/>
        <v>0</v>
      </c>
      <c r="I593" s="2">
        <f t="shared" si="51"/>
        <v>0</v>
      </c>
      <c r="J593">
        <f>IFERROR(VLOOKUP(B593,'General price list'!C:AI,12,FALSE)*(G593*C593),0)</f>
        <v>0</v>
      </c>
    </row>
    <row r="594" spans="2:10" ht="15" customHeight="1">
      <c r="B594" t="s">
        <v>1762</v>
      </c>
      <c r="C594" s="2" t="str">
        <f>IFERROR(VLOOKUP(B594,'Deutsche Markt'!C:AA,24,FALSE),"")</f>
        <v/>
      </c>
      <c r="D594" s="2">
        <f>IFERROR(VLOOKUP(B594,'Deutsche Markt'!C:AA,25,FALSE),0)</f>
        <v>0</v>
      </c>
      <c r="E594" s="2">
        <f t="shared" si="52"/>
        <v>0</v>
      </c>
      <c r="F594" s="2">
        <f t="shared" si="53"/>
        <v>0</v>
      </c>
      <c r="G594" s="2">
        <f t="shared" si="54"/>
        <v>0</v>
      </c>
      <c r="H594" s="2">
        <f t="shared" si="55"/>
        <v>0</v>
      </c>
      <c r="I594" s="2">
        <f t="shared" si="51"/>
        <v>0</v>
      </c>
      <c r="J594">
        <f>IFERROR(VLOOKUP(B594,'General price list'!C:AI,12,FALSE)*(G594*C594),0)</f>
        <v>0</v>
      </c>
    </row>
    <row r="595" spans="2:10" ht="15" customHeight="1">
      <c r="B595" t="s">
        <v>1764</v>
      </c>
      <c r="C595" s="2" t="str">
        <f>IFERROR(VLOOKUP(B595,'Deutsche Markt'!C:AA,24,FALSE),"")</f>
        <v/>
      </c>
      <c r="D595" s="2">
        <f>IFERROR(VLOOKUP(B595,'Deutsche Markt'!C:AA,25,FALSE),0)</f>
        <v>0</v>
      </c>
      <c r="E595" s="2">
        <f t="shared" si="52"/>
        <v>0</v>
      </c>
      <c r="F595" s="2">
        <f t="shared" si="53"/>
        <v>0</v>
      </c>
      <c r="G595" s="2">
        <f t="shared" si="54"/>
        <v>0</v>
      </c>
      <c r="H595" s="2">
        <f t="shared" si="55"/>
        <v>0</v>
      </c>
      <c r="I595" s="2">
        <f t="shared" si="51"/>
        <v>0</v>
      </c>
      <c r="J595">
        <f>IFERROR(VLOOKUP(B595,'General price list'!C:AI,12,FALSE)*(G595*C595),0)</f>
        <v>0</v>
      </c>
    </row>
    <row r="596" spans="2:10" ht="15" customHeight="1">
      <c r="B596" t="s">
        <v>1767</v>
      </c>
      <c r="C596" s="2" t="str">
        <f>IFERROR(VLOOKUP(B596,'Deutsche Markt'!C:AA,24,FALSE),"")</f>
        <v/>
      </c>
      <c r="D596" s="2">
        <f>IFERROR(VLOOKUP(B596,'Deutsche Markt'!C:AA,25,FALSE),0)</f>
        <v>0</v>
      </c>
      <c r="E596" s="2">
        <f t="shared" si="52"/>
        <v>0</v>
      </c>
      <c r="F596" s="2">
        <f t="shared" si="53"/>
        <v>0</v>
      </c>
      <c r="G596" s="2">
        <f t="shared" si="54"/>
        <v>0</v>
      </c>
      <c r="H596" s="2">
        <f t="shared" si="55"/>
        <v>0</v>
      </c>
      <c r="I596" s="2">
        <f t="shared" si="51"/>
        <v>0</v>
      </c>
      <c r="J596">
        <f>IFERROR(VLOOKUP(B596,'General price list'!C:AI,12,FALSE)*(G596*C596),0)</f>
        <v>0</v>
      </c>
    </row>
    <row r="597" spans="2:10" ht="15" customHeight="1">
      <c r="B597" t="s">
        <v>1768</v>
      </c>
      <c r="C597" s="2" t="str">
        <f>IFERROR(VLOOKUP(B597,'Deutsche Markt'!C:AA,24,FALSE),"")</f>
        <v/>
      </c>
      <c r="D597" s="2">
        <f>IFERROR(VLOOKUP(B597,'Deutsche Markt'!C:AA,25,FALSE),0)</f>
        <v>0</v>
      </c>
      <c r="E597" s="2">
        <f t="shared" si="52"/>
        <v>0</v>
      </c>
      <c r="F597" s="2">
        <f t="shared" si="53"/>
        <v>0</v>
      </c>
      <c r="G597" s="2">
        <f t="shared" si="54"/>
        <v>0</v>
      </c>
      <c r="H597" s="2">
        <f t="shared" si="55"/>
        <v>0</v>
      </c>
      <c r="I597" s="2">
        <f t="shared" si="51"/>
        <v>0</v>
      </c>
      <c r="J597">
        <f>IFERROR(VLOOKUP(B597,'General price list'!C:AI,12,FALSE)*(G597*C597),0)</f>
        <v>0</v>
      </c>
    </row>
    <row r="598" spans="2:10" ht="15" customHeight="1">
      <c r="B598" t="s">
        <v>1589</v>
      </c>
      <c r="C598" s="2" t="str">
        <f>IFERROR(VLOOKUP(B598,'Deutsche Markt'!C:AA,24,FALSE),"")</f>
        <v/>
      </c>
      <c r="D598" s="2">
        <f>IFERROR(VLOOKUP(B598,'Deutsche Markt'!C:AA,25,FALSE),0)</f>
        <v>0</v>
      </c>
      <c r="E598" s="2">
        <f t="shared" si="52"/>
        <v>0</v>
      </c>
      <c r="F598" s="2">
        <f t="shared" si="53"/>
        <v>0</v>
      </c>
      <c r="G598" s="2">
        <f t="shared" si="54"/>
        <v>0</v>
      </c>
      <c r="H598" s="2">
        <f t="shared" si="55"/>
        <v>0</v>
      </c>
      <c r="I598" s="2">
        <f t="shared" si="51"/>
        <v>0</v>
      </c>
      <c r="J598">
        <f>IFERROR(VLOOKUP(B598,'General price list'!C:AI,12,FALSE)*(G598*C598),0)</f>
        <v>0</v>
      </c>
    </row>
    <row r="599" spans="2:10" ht="15" customHeight="1">
      <c r="B599" t="s">
        <v>1603</v>
      </c>
      <c r="C599" s="2" t="str">
        <f>IFERROR(VLOOKUP(B599,'Deutsche Markt'!C:AA,24,FALSE),"")</f>
        <v/>
      </c>
      <c r="D599" s="2">
        <f>IFERROR(VLOOKUP(B599,'Deutsche Markt'!C:AA,25,FALSE),0)</f>
        <v>0</v>
      </c>
      <c r="E599" s="2">
        <f t="shared" si="52"/>
        <v>0</v>
      </c>
      <c r="F599" s="2">
        <f t="shared" si="53"/>
        <v>0</v>
      </c>
      <c r="G599" s="2">
        <f t="shared" si="54"/>
        <v>0</v>
      </c>
      <c r="H599" s="2">
        <f t="shared" si="55"/>
        <v>0</v>
      </c>
      <c r="I599" s="2">
        <f t="shared" si="51"/>
        <v>0</v>
      </c>
      <c r="J599">
        <f>IFERROR(VLOOKUP(B599,'General price list'!C:AI,12,FALSE)*(G599*C599),0)</f>
        <v>0</v>
      </c>
    </row>
    <row r="600" spans="2:10" ht="15" customHeight="1">
      <c r="B600" t="s">
        <v>1591</v>
      </c>
      <c r="C600" s="2" t="str">
        <f>IFERROR(VLOOKUP(B600,'Deutsche Markt'!C:AA,24,FALSE),"")</f>
        <v/>
      </c>
      <c r="D600" s="2">
        <f>IFERROR(VLOOKUP(B600,'Deutsche Markt'!C:AA,25,FALSE),0)</f>
        <v>0</v>
      </c>
      <c r="E600" s="2">
        <f t="shared" si="52"/>
        <v>0</v>
      </c>
      <c r="F600" s="2">
        <f t="shared" si="53"/>
        <v>0</v>
      </c>
      <c r="G600" s="2">
        <f t="shared" si="54"/>
        <v>0</v>
      </c>
      <c r="H600" s="2">
        <f t="shared" si="55"/>
        <v>0</v>
      </c>
      <c r="I600" s="2">
        <f t="shared" si="51"/>
        <v>0</v>
      </c>
      <c r="J600">
        <f>IFERROR(VLOOKUP(B600,'General price list'!C:AI,12,FALSE)*(G600*C600),0)</f>
        <v>0</v>
      </c>
    </row>
    <row r="601" spans="2:10" ht="15" customHeight="1">
      <c r="B601" t="s">
        <v>2849</v>
      </c>
      <c r="C601" s="2" t="str">
        <f>IFERROR(VLOOKUP(B601,'Deutsche Markt'!C:AA,24,FALSE),"")</f>
        <v/>
      </c>
      <c r="D601" s="2">
        <f>IFERROR(VLOOKUP(B601,'Deutsche Markt'!C:AA,25,FALSE),0)</f>
        <v>0</v>
      </c>
      <c r="E601" s="2">
        <f t="shared" si="52"/>
        <v>0</v>
      </c>
      <c r="F601" s="2">
        <f t="shared" si="53"/>
        <v>0</v>
      </c>
      <c r="G601" s="2">
        <f t="shared" si="54"/>
        <v>0</v>
      </c>
      <c r="H601" s="2">
        <f t="shared" si="55"/>
        <v>0</v>
      </c>
      <c r="I601" s="2">
        <f t="shared" si="51"/>
        <v>0</v>
      </c>
      <c r="J601">
        <f>IFERROR(VLOOKUP(B601,'General price list'!C:AI,12,FALSE)*(G601*C601),0)</f>
        <v>0</v>
      </c>
    </row>
    <row r="602" spans="2:10" ht="15" customHeight="1">
      <c r="B602" t="s">
        <v>2337</v>
      </c>
      <c r="C602" s="2" t="str">
        <f>IFERROR(VLOOKUP(B602,'Deutsche Markt'!C:AA,24,FALSE),"")</f>
        <v/>
      </c>
      <c r="D602" s="2">
        <f>IFERROR(VLOOKUP(B602,'Deutsche Markt'!C:AA,25,FALSE),0)</f>
        <v>0</v>
      </c>
      <c r="E602" s="2">
        <f t="shared" si="52"/>
        <v>0</v>
      </c>
      <c r="F602" s="2">
        <f t="shared" si="53"/>
        <v>0</v>
      </c>
      <c r="G602" s="2">
        <f t="shared" si="54"/>
        <v>0</v>
      </c>
      <c r="H602" s="2">
        <f t="shared" si="55"/>
        <v>0</v>
      </c>
      <c r="I602" s="2">
        <f t="shared" si="51"/>
        <v>0</v>
      </c>
      <c r="J602">
        <f>IFERROR(VLOOKUP(B602,'General price list'!C:AI,12,FALSE)*(G602*C602),0)</f>
        <v>0</v>
      </c>
    </row>
    <row r="603" spans="2:10" ht="15" customHeight="1">
      <c r="B603" t="s">
        <v>2338</v>
      </c>
      <c r="C603" s="2" t="str">
        <f>IFERROR(VLOOKUP(B603,'Deutsche Markt'!C:AA,24,FALSE),"")</f>
        <v/>
      </c>
      <c r="D603" s="2">
        <f>IFERROR(VLOOKUP(B603,'Deutsche Markt'!C:AA,25,FALSE),0)</f>
        <v>0</v>
      </c>
      <c r="E603" s="2">
        <f t="shared" si="52"/>
        <v>0</v>
      </c>
      <c r="F603" s="2">
        <f t="shared" si="53"/>
        <v>0</v>
      </c>
      <c r="G603" s="2">
        <f t="shared" si="54"/>
        <v>0</v>
      </c>
      <c r="H603" s="2">
        <f t="shared" si="55"/>
        <v>0</v>
      </c>
      <c r="I603" s="2">
        <f t="shared" si="51"/>
        <v>0</v>
      </c>
      <c r="J603">
        <f>IFERROR(VLOOKUP(B603,'General price list'!C:AI,12,FALSE)*(G603*C603),0)</f>
        <v>0</v>
      </c>
    </row>
    <row r="604" spans="2:10" ht="15" customHeight="1">
      <c r="B604" t="s">
        <v>1772</v>
      </c>
      <c r="C604" s="2" t="str">
        <f>IFERROR(VLOOKUP(B604,'Deutsche Markt'!C:AA,24,FALSE),"")</f>
        <v/>
      </c>
      <c r="D604" s="2">
        <f>IFERROR(VLOOKUP(B604,'Deutsche Markt'!C:AA,25,FALSE),0)</f>
        <v>0</v>
      </c>
      <c r="E604" s="2">
        <f t="shared" si="52"/>
        <v>0</v>
      </c>
      <c r="F604" s="2">
        <f t="shared" si="53"/>
        <v>0</v>
      </c>
      <c r="G604" s="2">
        <f t="shared" si="54"/>
        <v>0</v>
      </c>
      <c r="H604" s="2">
        <f t="shared" si="55"/>
        <v>0</v>
      </c>
      <c r="I604" s="2">
        <f t="shared" si="51"/>
        <v>0</v>
      </c>
      <c r="J604">
        <f>IFERROR(VLOOKUP(B604,'General price list'!C:AI,12,FALSE)*(G604*C604),0)</f>
        <v>0</v>
      </c>
    </row>
    <row r="605" spans="2:10" ht="15" customHeight="1">
      <c r="B605" t="s">
        <v>227</v>
      </c>
      <c r="C605" s="2">
        <f>IFERROR(VLOOKUP(B605,'Deutsche Markt'!C:AA,24,FALSE),"")</f>
        <v>32</v>
      </c>
      <c r="D605" s="2">
        <f>IFERROR(VLOOKUP(B605,'Deutsche Markt'!C:AA,25,FALSE),0)</f>
        <v>0</v>
      </c>
      <c r="E605" s="2">
        <f t="shared" si="52"/>
        <v>0</v>
      </c>
      <c r="F605" s="2">
        <f t="shared" si="53"/>
        <v>0</v>
      </c>
      <c r="G605" s="2">
        <f t="shared" si="54"/>
        <v>0</v>
      </c>
      <c r="H605" s="2">
        <f t="shared" si="55"/>
        <v>0</v>
      </c>
      <c r="I605" s="2">
        <f t="shared" si="51"/>
        <v>0</v>
      </c>
      <c r="J605">
        <f>IFERROR(VLOOKUP(B605,'General price list'!C:AI,12,FALSE)*(G605*C605),0)</f>
        <v>0</v>
      </c>
    </row>
    <row r="606" spans="2:10" ht="15" customHeight="1">
      <c r="B606" t="s">
        <v>13213</v>
      </c>
      <c r="C606" s="2" t="str">
        <f>IFERROR(VLOOKUP(B606,'Deutsche Markt'!C:AA,24,FALSE),"")</f>
        <v/>
      </c>
      <c r="D606" s="2">
        <f>IFERROR(VLOOKUP(B606,'Deutsche Markt'!C:AA,25,FALSE),0)</f>
        <v>0</v>
      </c>
      <c r="E606" s="2">
        <f t="shared" si="52"/>
        <v>0</v>
      </c>
      <c r="F606" s="2">
        <f t="shared" si="53"/>
        <v>0</v>
      </c>
      <c r="G606" s="2">
        <f t="shared" si="54"/>
        <v>0</v>
      </c>
      <c r="H606" s="2">
        <f t="shared" si="55"/>
        <v>0</v>
      </c>
      <c r="I606" s="2">
        <f t="shared" si="51"/>
        <v>0</v>
      </c>
      <c r="J606">
        <f>IFERROR(VLOOKUP(B606,'General price list'!C:AI,12,FALSE)*(G606*C606),0)</f>
        <v>0</v>
      </c>
    </row>
    <row r="607" spans="2:10" ht="15" customHeight="1">
      <c r="B607" t="s">
        <v>234</v>
      </c>
      <c r="C607" s="2">
        <f>IFERROR(VLOOKUP(B607,'Deutsche Markt'!C:AA,24,FALSE),"")</f>
        <v>42</v>
      </c>
      <c r="D607" s="2">
        <f>IFERROR(VLOOKUP(B607,'Deutsche Markt'!C:AA,25,FALSE),0)</f>
        <v>0</v>
      </c>
      <c r="E607" s="2">
        <f t="shared" si="52"/>
        <v>0</v>
      </c>
      <c r="F607" s="2">
        <f t="shared" si="53"/>
        <v>0</v>
      </c>
      <c r="G607" s="2">
        <f t="shared" si="54"/>
        <v>0</v>
      </c>
      <c r="H607" s="2">
        <f t="shared" si="55"/>
        <v>0</v>
      </c>
      <c r="I607" s="2">
        <f t="shared" si="51"/>
        <v>0</v>
      </c>
      <c r="J607">
        <f>IFERROR(VLOOKUP(B607,'General price list'!C:AI,12,FALSE)*(G607*C607),0)</f>
        <v>0</v>
      </c>
    </row>
    <row r="608" spans="2:10" ht="15" customHeight="1">
      <c r="B608" t="s">
        <v>3259</v>
      </c>
      <c r="C608" s="2">
        <f>IFERROR(VLOOKUP(B608,'Deutsche Markt'!C:AA,24,FALSE),"")</f>
        <v>42</v>
      </c>
      <c r="D608" s="2">
        <f>IFERROR(VLOOKUP(B608,'Deutsche Markt'!C:AA,25,FALSE),0)</f>
        <v>0</v>
      </c>
      <c r="E608" s="2">
        <f t="shared" si="52"/>
        <v>0</v>
      </c>
      <c r="F608" s="2">
        <f t="shared" si="53"/>
        <v>0</v>
      </c>
      <c r="G608" s="2">
        <f t="shared" si="54"/>
        <v>0</v>
      </c>
      <c r="H608" s="2">
        <f t="shared" si="55"/>
        <v>0</v>
      </c>
      <c r="I608" s="2">
        <f t="shared" si="51"/>
        <v>0</v>
      </c>
      <c r="J608">
        <f>IFERROR(VLOOKUP(B608,'General price list'!C:AI,12,FALSE)*(G608*C608),0)</f>
        <v>0</v>
      </c>
    </row>
    <row r="609" spans="2:10" ht="15" customHeight="1">
      <c r="B609" t="s">
        <v>239</v>
      </c>
      <c r="C609" s="2">
        <f>IFERROR(VLOOKUP(B609,'Deutsche Markt'!C:AA,24,FALSE),"")</f>
        <v>42</v>
      </c>
      <c r="D609" s="2">
        <f>IFERROR(VLOOKUP(B609,'Deutsche Markt'!C:AA,25,FALSE),0)</f>
        <v>0</v>
      </c>
      <c r="E609" s="2">
        <f t="shared" si="52"/>
        <v>0</v>
      </c>
      <c r="F609" s="2">
        <f t="shared" si="53"/>
        <v>0</v>
      </c>
      <c r="G609" s="2">
        <f t="shared" si="54"/>
        <v>0</v>
      </c>
      <c r="H609" s="2">
        <f t="shared" si="55"/>
        <v>0</v>
      </c>
      <c r="I609" s="2">
        <f t="shared" si="51"/>
        <v>0</v>
      </c>
      <c r="J609">
        <f>IFERROR(VLOOKUP(B609,'General price list'!C:AI,12,FALSE)*(G609*C609),0)</f>
        <v>0</v>
      </c>
    </row>
    <row r="610" spans="2:10" ht="15" customHeight="1">
      <c r="B610" t="s">
        <v>3260</v>
      </c>
      <c r="C610" s="2">
        <f>IFERROR(VLOOKUP(B610,'Deutsche Markt'!C:AA,24,FALSE),"")</f>
        <v>42</v>
      </c>
      <c r="D610" s="2">
        <f>IFERROR(VLOOKUP(B610,'Deutsche Markt'!C:AA,25,FALSE),0)</f>
        <v>0</v>
      </c>
      <c r="E610" s="2">
        <f t="shared" si="52"/>
        <v>0</v>
      </c>
      <c r="F610" s="2">
        <f t="shared" si="53"/>
        <v>0</v>
      </c>
      <c r="G610" s="2">
        <f t="shared" si="54"/>
        <v>0</v>
      </c>
      <c r="H610" s="2">
        <f t="shared" si="55"/>
        <v>0</v>
      </c>
      <c r="I610" s="2">
        <f t="shared" si="51"/>
        <v>0</v>
      </c>
      <c r="J610">
        <f>IFERROR(VLOOKUP(B610,'General price list'!C:AI,12,FALSE)*(G610*C610),0)</f>
        <v>0</v>
      </c>
    </row>
    <row r="611" spans="2:10" ht="15" customHeight="1">
      <c r="B611" t="s">
        <v>2301</v>
      </c>
      <c r="C611" s="2" t="str">
        <f>IFERROR(VLOOKUP(B611,'Deutsche Markt'!C:AA,24,FALSE),"")</f>
        <v>105</v>
      </c>
      <c r="D611" s="2">
        <f>IFERROR(VLOOKUP(B611,'Deutsche Markt'!C:AA,25,FALSE),0)</f>
        <v>0</v>
      </c>
      <c r="E611" s="2">
        <f t="shared" si="52"/>
        <v>0</v>
      </c>
      <c r="F611" s="2">
        <f t="shared" si="53"/>
        <v>0</v>
      </c>
      <c r="G611" s="2">
        <f t="shared" si="54"/>
        <v>0</v>
      </c>
      <c r="H611" s="2">
        <f t="shared" si="55"/>
        <v>0</v>
      </c>
      <c r="I611" s="2">
        <f t="shared" si="51"/>
        <v>0</v>
      </c>
      <c r="J611">
        <f>IFERROR(VLOOKUP(B611,'General price list'!C:AI,12,FALSE)*(G611*C611),0)</f>
        <v>0</v>
      </c>
    </row>
    <row r="612" spans="2:10" ht="15" customHeight="1">
      <c r="B612" t="s">
        <v>4403</v>
      </c>
      <c r="C612" s="2" t="str">
        <f>IFERROR(VLOOKUP(B612,'Deutsche Markt'!C:AA,24,FALSE),"")</f>
        <v/>
      </c>
      <c r="D612" s="2">
        <f>IFERROR(VLOOKUP(B612,'Deutsche Markt'!C:AA,25,FALSE),0)</f>
        <v>0</v>
      </c>
      <c r="E612" s="2">
        <f t="shared" si="52"/>
        <v>0</v>
      </c>
      <c r="F612" s="2">
        <f t="shared" si="53"/>
        <v>0</v>
      </c>
      <c r="G612" s="2">
        <f t="shared" si="54"/>
        <v>0</v>
      </c>
      <c r="H612" s="2">
        <f t="shared" si="55"/>
        <v>0</v>
      </c>
      <c r="I612" s="2">
        <f t="shared" si="51"/>
        <v>0</v>
      </c>
      <c r="J612">
        <f>IFERROR(VLOOKUP(B612,'General price list'!C:AI,12,FALSE)*(G612*C612),0)</f>
        <v>0</v>
      </c>
    </row>
    <row r="613" spans="2:10" ht="15" customHeight="1">
      <c r="B613" t="s">
        <v>986</v>
      </c>
      <c r="C613" s="2" t="str">
        <f>IFERROR(VLOOKUP(B613,'Deutsche Markt'!C:AA,24,FALSE),"")</f>
        <v/>
      </c>
      <c r="D613" s="2">
        <f>IFERROR(VLOOKUP(B613,'Deutsche Markt'!C:AA,25,FALSE),0)</f>
        <v>0</v>
      </c>
      <c r="E613" s="2">
        <f t="shared" si="52"/>
        <v>0</v>
      </c>
      <c r="F613" s="2">
        <f t="shared" si="53"/>
        <v>0</v>
      </c>
      <c r="G613" s="2">
        <f t="shared" si="54"/>
        <v>0</v>
      </c>
      <c r="H613" s="2">
        <f t="shared" si="55"/>
        <v>0</v>
      </c>
      <c r="I613" s="2">
        <f t="shared" si="51"/>
        <v>0</v>
      </c>
      <c r="J613">
        <f>IFERROR(VLOOKUP(B613,'General price list'!C:AI,12,FALSE)*(G613*C613),0)</f>
        <v>0</v>
      </c>
    </row>
    <row r="614" spans="2:10" ht="15" customHeight="1">
      <c r="B614" t="s">
        <v>483</v>
      </c>
      <c r="C614" s="2">
        <f>IFERROR(VLOOKUP(B614,'Deutsche Markt'!C:AA,24,FALSE),"")</f>
        <v>48</v>
      </c>
      <c r="D614" s="2">
        <f>IFERROR(VLOOKUP(B614,'Deutsche Markt'!C:AA,25,FALSE),0)</f>
        <v>0</v>
      </c>
      <c r="E614" s="2">
        <f t="shared" si="52"/>
        <v>0</v>
      </c>
      <c r="F614" s="2">
        <f t="shared" si="53"/>
        <v>0</v>
      </c>
      <c r="G614" s="2">
        <f t="shared" si="54"/>
        <v>0</v>
      </c>
      <c r="H614" s="2">
        <f t="shared" si="55"/>
        <v>0</v>
      </c>
      <c r="I614" s="2">
        <f t="shared" si="51"/>
        <v>0</v>
      </c>
      <c r="J614">
        <f>IFERROR(VLOOKUP(B614,'General price list'!C:AI,12,FALSE)*(G614*C614),0)</f>
        <v>0</v>
      </c>
    </row>
    <row r="615" spans="2:10" ht="15" customHeight="1">
      <c r="B615" t="s">
        <v>2125</v>
      </c>
      <c r="C615" s="2" t="str">
        <f>IFERROR(VLOOKUP(B615,'Deutsche Markt'!C:AA,24,FALSE),"")</f>
        <v/>
      </c>
      <c r="D615" s="2">
        <f>IFERROR(VLOOKUP(B615,'Deutsche Markt'!C:AA,25,FALSE),0)</f>
        <v>0</v>
      </c>
      <c r="E615" s="2">
        <f t="shared" si="52"/>
        <v>0</v>
      </c>
      <c r="F615" s="2">
        <f t="shared" si="53"/>
        <v>0</v>
      </c>
      <c r="G615" s="2">
        <f t="shared" si="54"/>
        <v>0</v>
      </c>
      <c r="H615" s="2">
        <f t="shared" si="55"/>
        <v>0</v>
      </c>
      <c r="I615" s="2">
        <f t="shared" si="51"/>
        <v>0</v>
      </c>
      <c r="J615">
        <f>IFERROR(VLOOKUP(B615,'General price list'!C:AI,12,FALSE)*(G615*C615),0)</f>
        <v>0</v>
      </c>
    </row>
    <row r="616" spans="2:10" ht="15" customHeight="1">
      <c r="B616" t="s">
        <v>502</v>
      </c>
      <c r="C616" s="2" t="str">
        <f>IFERROR(VLOOKUP(B616,'Deutsche Markt'!C:AA,24,FALSE),"")</f>
        <v/>
      </c>
      <c r="D616" s="2">
        <f>IFERROR(VLOOKUP(B616,'Deutsche Markt'!C:AA,25,FALSE),0)</f>
        <v>0</v>
      </c>
      <c r="E616" s="2">
        <f t="shared" si="52"/>
        <v>0</v>
      </c>
      <c r="F616" s="2">
        <f t="shared" si="53"/>
        <v>0</v>
      </c>
      <c r="G616" s="2">
        <f t="shared" si="54"/>
        <v>0</v>
      </c>
      <c r="H616" s="2">
        <f t="shared" si="55"/>
        <v>0</v>
      </c>
      <c r="I616" s="2">
        <f t="shared" si="51"/>
        <v>0</v>
      </c>
      <c r="J616">
        <f>IFERROR(VLOOKUP(B616,'General price list'!C:AI,12,FALSE)*(G616*C616),0)</f>
        <v>0</v>
      </c>
    </row>
    <row r="617" spans="2:10" ht="15" customHeight="1">
      <c r="B617" t="s">
        <v>509</v>
      </c>
      <c r="C617" s="2" t="str">
        <f>IFERROR(VLOOKUP(B617,'Deutsche Markt'!C:AA,24,FALSE),"")</f>
        <v/>
      </c>
      <c r="D617" s="2">
        <f>IFERROR(VLOOKUP(B617,'Deutsche Markt'!C:AA,25,FALSE),0)</f>
        <v>0</v>
      </c>
      <c r="E617" s="2">
        <f t="shared" si="52"/>
        <v>0</v>
      </c>
      <c r="F617" s="2">
        <f t="shared" si="53"/>
        <v>0</v>
      </c>
      <c r="G617" s="2">
        <f t="shared" si="54"/>
        <v>0</v>
      </c>
      <c r="H617" s="2">
        <f t="shared" si="55"/>
        <v>0</v>
      </c>
      <c r="I617" s="2">
        <f t="shared" si="51"/>
        <v>0</v>
      </c>
      <c r="J617">
        <f>IFERROR(VLOOKUP(B617,'General price list'!C:AI,12,FALSE)*(G617*C617),0)</f>
        <v>0</v>
      </c>
    </row>
    <row r="618" spans="2:10" ht="15" customHeight="1">
      <c r="B618" t="s">
        <v>538</v>
      </c>
      <c r="C618" s="2" t="str">
        <f>IFERROR(VLOOKUP(B618,'Deutsche Markt'!C:AA,24,FALSE),"")</f>
        <v/>
      </c>
      <c r="D618" s="2">
        <f>IFERROR(VLOOKUP(B618,'Deutsche Markt'!C:AA,25,FALSE),0)</f>
        <v>0</v>
      </c>
      <c r="E618" s="2">
        <f t="shared" si="52"/>
        <v>0</v>
      </c>
      <c r="F618" s="2">
        <f t="shared" si="53"/>
        <v>0</v>
      </c>
      <c r="G618" s="2">
        <f t="shared" si="54"/>
        <v>0</v>
      </c>
      <c r="H618" s="2">
        <f t="shared" si="55"/>
        <v>0</v>
      </c>
      <c r="I618" s="2">
        <f t="shared" si="51"/>
        <v>0</v>
      </c>
      <c r="J618">
        <f>IFERROR(VLOOKUP(B618,'General price list'!C:AI,12,FALSE)*(G618*C618),0)</f>
        <v>0</v>
      </c>
    </row>
    <row r="619" spans="2:10" ht="15" customHeight="1">
      <c r="B619" t="s">
        <v>512</v>
      </c>
      <c r="C619" s="2" t="str">
        <f>IFERROR(VLOOKUP(B619,'Deutsche Markt'!C:AA,24,FALSE),"")</f>
        <v/>
      </c>
      <c r="D619" s="2">
        <f>IFERROR(VLOOKUP(B619,'Deutsche Markt'!C:AA,25,FALSE),0)</f>
        <v>0</v>
      </c>
      <c r="E619" s="2">
        <f t="shared" si="52"/>
        <v>0</v>
      </c>
      <c r="F619" s="2">
        <f t="shared" si="53"/>
        <v>0</v>
      </c>
      <c r="G619" s="2">
        <f t="shared" si="54"/>
        <v>0</v>
      </c>
      <c r="H619" s="2">
        <f t="shared" si="55"/>
        <v>0</v>
      </c>
      <c r="I619" s="2">
        <f t="shared" si="51"/>
        <v>0</v>
      </c>
      <c r="J619">
        <f>IFERROR(VLOOKUP(B619,'General price list'!C:AI,12,FALSE)*(G619*C619),0)</f>
        <v>0</v>
      </c>
    </row>
    <row r="620" spans="2:10" ht="15" customHeight="1">
      <c r="B620" t="s">
        <v>515</v>
      </c>
      <c r="C620" s="2" t="str">
        <f>IFERROR(VLOOKUP(B620,'Deutsche Markt'!C:AA,24,FALSE),"")</f>
        <v/>
      </c>
      <c r="D620" s="2">
        <f>IFERROR(VLOOKUP(B620,'Deutsche Markt'!C:AA,25,FALSE),0)</f>
        <v>0</v>
      </c>
      <c r="E620" s="2">
        <f t="shared" si="52"/>
        <v>0</v>
      </c>
      <c r="F620" s="2">
        <f t="shared" si="53"/>
        <v>0</v>
      </c>
      <c r="G620" s="2">
        <f t="shared" si="54"/>
        <v>0</v>
      </c>
      <c r="H620" s="2">
        <f t="shared" si="55"/>
        <v>0</v>
      </c>
      <c r="I620" s="2">
        <f t="shared" si="51"/>
        <v>0</v>
      </c>
      <c r="J620">
        <f>IFERROR(VLOOKUP(B620,'General price list'!C:AI,12,FALSE)*(G620*C620),0)</f>
        <v>0</v>
      </c>
    </row>
    <row r="621" spans="2:10" ht="15" customHeight="1">
      <c r="B621" t="s">
        <v>518</v>
      </c>
      <c r="C621" s="2" t="str">
        <f>IFERROR(VLOOKUP(B621,'Deutsche Markt'!C:AA,24,FALSE),"")</f>
        <v/>
      </c>
      <c r="D621" s="2">
        <f>IFERROR(VLOOKUP(B621,'Deutsche Markt'!C:AA,25,FALSE),0)</f>
        <v>0</v>
      </c>
      <c r="E621" s="2">
        <f t="shared" si="52"/>
        <v>0</v>
      </c>
      <c r="F621" s="2">
        <f t="shared" si="53"/>
        <v>0</v>
      </c>
      <c r="G621" s="2">
        <f t="shared" si="54"/>
        <v>0</v>
      </c>
      <c r="H621" s="2">
        <f t="shared" si="55"/>
        <v>0</v>
      </c>
      <c r="I621" s="2">
        <f t="shared" si="51"/>
        <v>0</v>
      </c>
      <c r="J621">
        <f>IFERROR(VLOOKUP(B621,'General price list'!C:AI,12,FALSE)*(G621*C621),0)</f>
        <v>0</v>
      </c>
    </row>
    <row r="622" spans="2:10" ht="15" customHeight="1">
      <c r="B622" t="s">
        <v>521</v>
      </c>
      <c r="C622" s="2" t="str">
        <f>IFERROR(VLOOKUP(B622,'Deutsche Markt'!C:AA,24,FALSE),"")</f>
        <v/>
      </c>
      <c r="D622" s="2">
        <f>IFERROR(VLOOKUP(B622,'Deutsche Markt'!C:AA,25,FALSE),0)</f>
        <v>0</v>
      </c>
      <c r="E622" s="2">
        <f t="shared" si="52"/>
        <v>0</v>
      </c>
      <c r="F622" s="2">
        <f t="shared" si="53"/>
        <v>0</v>
      </c>
      <c r="G622" s="2">
        <f t="shared" si="54"/>
        <v>0</v>
      </c>
      <c r="H622" s="2">
        <f t="shared" si="55"/>
        <v>0</v>
      </c>
      <c r="I622" s="2">
        <f t="shared" si="51"/>
        <v>0</v>
      </c>
      <c r="J622">
        <f>IFERROR(VLOOKUP(B622,'General price list'!C:AI,12,FALSE)*(G622*C622),0)</f>
        <v>0</v>
      </c>
    </row>
    <row r="623" spans="2:10" ht="15" customHeight="1">
      <c r="B623" t="s">
        <v>524</v>
      </c>
      <c r="C623" s="2" t="str">
        <f>IFERROR(VLOOKUP(B623,'Deutsche Markt'!C:AA,24,FALSE),"")</f>
        <v/>
      </c>
      <c r="D623" s="2">
        <f>IFERROR(VLOOKUP(B623,'Deutsche Markt'!C:AA,25,FALSE),0)</f>
        <v>0</v>
      </c>
      <c r="E623" s="2">
        <f t="shared" si="52"/>
        <v>0</v>
      </c>
      <c r="F623" s="2">
        <f t="shared" si="53"/>
        <v>0</v>
      </c>
      <c r="G623" s="2">
        <f t="shared" si="54"/>
        <v>0</v>
      </c>
      <c r="H623" s="2">
        <f t="shared" si="55"/>
        <v>0</v>
      </c>
      <c r="I623" s="2">
        <f t="shared" si="51"/>
        <v>0</v>
      </c>
      <c r="J623">
        <f>IFERROR(VLOOKUP(B623,'General price list'!C:AI,12,FALSE)*(G623*C623),0)</f>
        <v>0</v>
      </c>
    </row>
    <row r="624" spans="2:10" ht="15" customHeight="1">
      <c r="B624" t="s">
        <v>527</v>
      </c>
      <c r="C624" s="2" t="str">
        <f>IFERROR(VLOOKUP(B624,'Deutsche Markt'!C:AA,24,FALSE),"")</f>
        <v/>
      </c>
      <c r="D624" s="2">
        <f>IFERROR(VLOOKUP(B624,'Deutsche Markt'!C:AA,25,FALSE),0)</f>
        <v>0</v>
      </c>
      <c r="E624" s="2">
        <f t="shared" si="52"/>
        <v>0</v>
      </c>
      <c r="F624" s="2">
        <f t="shared" si="53"/>
        <v>0</v>
      </c>
      <c r="G624" s="2">
        <f t="shared" si="54"/>
        <v>0</v>
      </c>
      <c r="H624" s="2">
        <f t="shared" si="55"/>
        <v>0</v>
      </c>
      <c r="I624" s="2">
        <f t="shared" si="51"/>
        <v>0</v>
      </c>
      <c r="J624">
        <f>IFERROR(VLOOKUP(B624,'General price list'!C:AI,12,FALSE)*(G624*C624),0)</f>
        <v>0</v>
      </c>
    </row>
    <row r="625" spans="2:11" ht="15" customHeight="1">
      <c r="B625" t="s">
        <v>529</v>
      </c>
      <c r="C625" s="2" t="str">
        <f>IFERROR(VLOOKUP(B625,'Deutsche Markt'!C:AA,24,FALSE),"")</f>
        <v/>
      </c>
      <c r="D625" s="2">
        <f>IFERROR(VLOOKUP(B625,'Deutsche Markt'!C:AA,25,FALSE),0)</f>
        <v>0</v>
      </c>
      <c r="E625" s="2">
        <f t="shared" si="52"/>
        <v>0</v>
      </c>
      <c r="F625" s="2">
        <f t="shared" si="53"/>
        <v>0</v>
      </c>
      <c r="G625" s="2">
        <f t="shared" si="54"/>
        <v>0</v>
      </c>
      <c r="H625" s="2">
        <f t="shared" si="55"/>
        <v>0</v>
      </c>
      <c r="I625" s="2">
        <f t="shared" si="51"/>
        <v>0</v>
      </c>
      <c r="J625">
        <f>IFERROR(VLOOKUP(B625,'General price list'!C:AI,12,FALSE)*(G625*C625),0)</f>
        <v>0</v>
      </c>
    </row>
    <row r="626" spans="2:11" ht="15" customHeight="1">
      <c r="B626" t="s">
        <v>532</v>
      </c>
      <c r="C626" s="2" t="str">
        <f>IFERROR(VLOOKUP(B626,'Deutsche Markt'!C:AA,24,FALSE),"")</f>
        <v/>
      </c>
      <c r="D626" s="2">
        <f>IFERROR(VLOOKUP(B626,'Deutsche Markt'!C:AA,25,FALSE),0)</f>
        <v>0</v>
      </c>
      <c r="E626" s="2">
        <f t="shared" si="52"/>
        <v>0</v>
      </c>
      <c r="F626" s="2">
        <f t="shared" si="53"/>
        <v>0</v>
      </c>
      <c r="G626" s="2">
        <f t="shared" si="54"/>
        <v>0</v>
      </c>
      <c r="H626" s="2">
        <f t="shared" si="55"/>
        <v>0</v>
      </c>
      <c r="I626" s="2">
        <f t="shared" si="51"/>
        <v>0</v>
      </c>
      <c r="J626">
        <f>IFERROR(VLOOKUP(B626,'General price list'!C:AI,12,FALSE)*(G626*C626),0)</f>
        <v>0</v>
      </c>
    </row>
    <row r="627" spans="2:11" ht="15" customHeight="1">
      <c r="B627" t="s">
        <v>535</v>
      </c>
      <c r="C627" s="2" t="str">
        <f>IFERROR(VLOOKUP(B627,'Deutsche Markt'!C:AA,24,FALSE),"")</f>
        <v/>
      </c>
      <c r="D627" s="2">
        <f>IFERROR(VLOOKUP(B627,'Deutsche Markt'!C:AA,25,FALSE),0)</f>
        <v>0</v>
      </c>
      <c r="E627" s="2">
        <f t="shared" si="52"/>
        <v>0</v>
      </c>
      <c r="F627" s="2">
        <f t="shared" si="53"/>
        <v>0</v>
      </c>
      <c r="G627" s="2">
        <f t="shared" si="54"/>
        <v>0</v>
      </c>
      <c r="H627" s="2">
        <f t="shared" si="55"/>
        <v>0</v>
      </c>
      <c r="I627" s="2">
        <f t="shared" si="51"/>
        <v>0</v>
      </c>
      <c r="J627">
        <f>IFERROR(VLOOKUP(B627,'General price list'!C:AI,12,FALSE)*(G627*C627),0)</f>
        <v>0</v>
      </c>
    </row>
    <row r="628" spans="2:11" ht="15" customHeight="1">
      <c r="B628" t="s">
        <v>489</v>
      </c>
      <c r="C628" s="2">
        <f>IFERROR(VLOOKUP(B628,'Deutsche Markt'!C:AA,24,FALSE),"")</f>
        <v>54</v>
      </c>
      <c r="D628" s="2">
        <f>IFERROR(VLOOKUP(B628,'Deutsche Markt'!C:AA,25,FALSE),0)</f>
        <v>0</v>
      </c>
      <c r="E628" s="2">
        <f t="shared" si="52"/>
        <v>0</v>
      </c>
      <c r="F628" s="2">
        <f t="shared" si="53"/>
        <v>0</v>
      </c>
      <c r="G628" s="2">
        <f t="shared" si="54"/>
        <v>0</v>
      </c>
      <c r="H628" s="2">
        <f t="shared" si="55"/>
        <v>0</v>
      </c>
      <c r="I628" s="2">
        <f t="shared" si="51"/>
        <v>0</v>
      </c>
      <c r="J628">
        <f>IFERROR(VLOOKUP(B628,'General price list'!C:AI,12,FALSE)*(G628*C628),0)</f>
        <v>0</v>
      </c>
    </row>
    <row r="629" spans="2:11" ht="15" customHeight="1">
      <c r="B629" t="s">
        <v>497</v>
      </c>
      <c r="C629" s="2">
        <f>IFERROR(VLOOKUP(B629,'Deutsche Markt'!C:AA,24,FALSE),"")</f>
        <v>40</v>
      </c>
      <c r="D629" s="2">
        <f>IFERROR(VLOOKUP(B629,'Deutsche Markt'!C:AA,25,FALSE),0)</f>
        <v>0</v>
      </c>
      <c r="E629" s="2">
        <f t="shared" si="52"/>
        <v>0</v>
      </c>
      <c r="F629" s="2">
        <f t="shared" si="53"/>
        <v>0</v>
      </c>
      <c r="G629" s="2">
        <f t="shared" si="54"/>
        <v>0</v>
      </c>
      <c r="H629" s="2">
        <f t="shared" si="55"/>
        <v>0</v>
      </c>
      <c r="I629" s="2">
        <f t="shared" si="51"/>
        <v>0</v>
      </c>
      <c r="J629">
        <f>IFERROR(VLOOKUP(B629,'General price list'!C:AI,12,FALSE)*(G629*C629),0)</f>
        <v>0</v>
      </c>
    </row>
    <row r="630" spans="2:11" ht="15" customHeight="1">
      <c r="B630" t="s">
        <v>103</v>
      </c>
      <c r="C630" s="2" t="str">
        <f>IFERROR(VLOOKUP(B630,'Deutsche Markt'!C:AA,24,FALSE),"")</f>
        <v/>
      </c>
      <c r="D630" s="2">
        <f>IFERROR(VLOOKUP(B630,'Deutsche Markt'!C:AA,25,FALSE),0)</f>
        <v>0</v>
      </c>
      <c r="E630" s="2">
        <f t="shared" si="52"/>
        <v>0</v>
      </c>
      <c r="F630" s="2">
        <f t="shared" si="53"/>
        <v>0</v>
      </c>
      <c r="G630" s="2">
        <f t="shared" si="54"/>
        <v>0</v>
      </c>
      <c r="H630" s="2">
        <f t="shared" si="55"/>
        <v>0</v>
      </c>
      <c r="I630" s="2">
        <f t="shared" si="51"/>
        <v>0</v>
      </c>
      <c r="J630">
        <f>IFERROR(VLOOKUP(B630,'General price list'!C:AI,12,FALSE)*(G630*C630),0)</f>
        <v>0</v>
      </c>
    </row>
    <row r="631" spans="2:11" ht="15" customHeight="1">
      <c r="B631" t="s">
        <v>2289</v>
      </c>
      <c r="C631" s="2" t="str">
        <f>IFERROR(VLOOKUP(B631,'Deutsche Markt'!C:AA,24,FALSE),"")</f>
        <v/>
      </c>
      <c r="D631" s="2">
        <f>IFERROR(VLOOKUP(B631,'Deutsche Markt'!C:AA,25,FALSE),0)</f>
        <v>0</v>
      </c>
      <c r="E631" s="2">
        <f t="shared" si="52"/>
        <v>0</v>
      </c>
      <c r="F631" s="2">
        <f t="shared" si="53"/>
        <v>0</v>
      </c>
      <c r="G631" s="2">
        <f t="shared" si="54"/>
        <v>0</v>
      </c>
      <c r="H631" s="2">
        <f t="shared" si="55"/>
        <v>0</v>
      </c>
      <c r="I631" s="2">
        <f t="shared" si="51"/>
        <v>0</v>
      </c>
      <c r="J631">
        <f>IFERROR(VLOOKUP(B631,'General price list'!C:AI,12,FALSE)*(G631*C631),0)</f>
        <v>0</v>
      </c>
    </row>
    <row r="632" spans="2:11" ht="15" customHeight="1">
      <c r="B632" t="s">
        <v>2443</v>
      </c>
      <c r="C632" s="2" t="str">
        <f>IFERROR(VLOOKUP(B632,'Deutsche Markt'!C:AA,24,FALSE),"")</f>
        <v/>
      </c>
      <c r="D632" s="2">
        <f>IFERROR(VLOOKUP(B632,'Deutsche Markt'!C:AA,25,FALSE),0)</f>
        <v>0</v>
      </c>
      <c r="E632" s="2">
        <f t="shared" si="52"/>
        <v>0</v>
      </c>
      <c r="F632" s="2">
        <f t="shared" si="53"/>
        <v>0</v>
      </c>
      <c r="G632" s="2">
        <f t="shared" si="54"/>
        <v>0</v>
      </c>
      <c r="H632" s="2">
        <f t="shared" si="55"/>
        <v>0</v>
      </c>
      <c r="I632" s="2">
        <f t="shared" si="51"/>
        <v>0</v>
      </c>
      <c r="J632">
        <f>IFERROR(VLOOKUP(B632,'General price list'!C:AI,12,FALSE)*(G632*C632),0)</f>
        <v>0</v>
      </c>
    </row>
    <row r="633" spans="2:11" ht="15" customHeight="1">
      <c r="B633" t="s">
        <v>86</v>
      </c>
      <c r="C633" s="2">
        <f>IFERROR(VLOOKUP(B633,'Deutsche Markt'!C:AA,24,FALSE),"")</f>
        <v>49</v>
      </c>
      <c r="D633" s="2">
        <f>IFERROR(VLOOKUP(B633,'Deutsche Markt'!C:AA,25,FALSE),0)</f>
        <v>0</v>
      </c>
      <c r="E633" s="2">
        <f t="shared" si="52"/>
        <v>0</v>
      </c>
      <c r="F633" s="2">
        <f t="shared" si="53"/>
        <v>0</v>
      </c>
      <c r="G633" s="2">
        <f t="shared" si="54"/>
        <v>0</v>
      </c>
      <c r="H633" s="2">
        <f t="shared" si="55"/>
        <v>0</v>
      </c>
      <c r="I633" s="2">
        <f t="shared" si="51"/>
        <v>0</v>
      </c>
      <c r="J633">
        <f>IFERROR(VLOOKUP(B633,'General price list'!C:AI,12,FALSE)*(G633*C633),0)</f>
        <v>0</v>
      </c>
    </row>
    <row r="634" spans="2:11" ht="15" customHeight="1">
      <c r="B634" t="s">
        <v>92</v>
      </c>
      <c r="C634" s="2">
        <f>IFERROR(VLOOKUP(B634,'Deutsche Markt'!C:AA,24,FALSE),"")</f>
        <v>49</v>
      </c>
      <c r="D634" s="2">
        <f>IFERROR(VLOOKUP(B634,'Deutsche Markt'!C:AA,25,FALSE),0)</f>
        <v>0</v>
      </c>
      <c r="E634" s="2">
        <f t="shared" si="52"/>
        <v>0</v>
      </c>
      <c r="F634" s="2">
        <f t="shared" si="53"/>
        <v>0</v>
      </c>
      <c r="G634" s="2">
        <f t="shared" si="54"/>
        <v>0</v>
      </c>
      <c r="H634" s="2">
        <f t="shared" si="55"/>
        <v>0</v>
      </c>
      <c r="I634" s="2">
        <f t="shared" si="51"/>
        <v>0</v>
      </c>
      <c r="J634">
        <f>IFERROR(VLOOKUP(B634,'General price list'!C:AI,12,FALSE)*(G634*C634),0)</f>
        <v>0</v>
      </c>
    </row>
    <row r="635" spans="2:11" ht="15" customHeight="1">
      <c r="B635" t="s">
        <v>2290</v>
      </c>
      <c r="C635" s="2" t="str">
        <f>IFERROR(VLOOKUP(B635,'Deutsche Markt'!C:AA,24,FALSE),"")</f>
        <v/>
      </c>
      <c r="D635" s="2">
        <f>IFERROR(VLOOKUP(B635,'Deutsche Markt'!C:AA,25,FALSE),0)</f>
        <v>0</v>
      </c>
      <c r="E635" s="2">
        <f t="shared" si="52"/>
        <v>0</v>
      </c>
      <c r="F635" s="2">
        <f t="shared" si="53"/>
        <v>0</v>
      </c>
      <c r="G635" s="2">
        <f t="shared" si="54"/>
        <v>0</v>
      </c>
      <c r="H635" s="2">
        <f t="shared" si="55"/>
        <v>0</v>
      </c>
      <c r="I635" s="2">
        <f t="shared" si="51"/>
        <v>0</v>
      </c>
      <c r="J635">
        <f>IFERROR(VLOOKUP(B635,'General price list'!C:AI,12,FALSE)*(G635*C635),0)</f>
        <v>0</v>
      </c>
    </row>
    <row r="636" spans="2:11" ht="15" customHeight="1">
      <c r="B636" t="s">
        <v>11671</v>
      </c>
      <c r="C636" s="2" t="str">
        <f>IFERROR(VLOOKUP(B636,'Deutsche Markt'!C:AA,24,FALSE),"")</f>
        <v/>
      </c>
      <c r="D636" s="2">
        <f>IFERROR(VLOOKUP(B636,'Deutsche Markt'!C:AA,25,FALSE),0)</f>
        <v>0</v>
      </c>
      <c r="E636" s="2">
        <f t="shared" si="52"/>
        <v>0</v>
      </c>
      <c r="F636" s="2">
        <f t="shared" si="53"/>
        <v>0</v>
      </c>
      <c r="G636" s="2">
        <f t="shared" si="54"/>
        <v>0</v>
      </c>
      <c r="H636" s="2">
        <f t="shared" si="55"/>
        <v>0</v>
      </c>
      <c r="I636" s="2">
        <f t="shared" si="51"/>
        <v>0</v>
      </c>
      <c r="J636">
        <f>IFERROR(VLOOKUP(B636,'General price list'!C:AI,12,FALSE)*(G636*C636),0)</f>
        <v>0</v>
      </c>
    </row>
    <row r="637" spans="2:11" ht="15" customHeight="1">
      <c r="B637" t="s">
        <v>11762</v>
      </c>
      <c r="C637" s="2" t="str">
        <f>IFERROR(VLOOKUP(B637,'Deutsche Markt'!C:AA,24,FALSE),"")</f>
        <v/>
      </c>
      <c r="D637" s="2">
        <f>IFERROR(VLOOKUP(B637,'Deutsche Markt'!C:AA,25,FALSE),0)</f>
        <v>0</v>
      </c>
      <c r="E637" s="2">
        <f t="shared" si="52"/>
        <v>0</v>
      </c>
      <c r="F637" s="2">
        <f t="shared" si="53"/>
        <v>0</v>
      </c>
      <c r="G637" s="2">
        <f t="shared" si="54"/>
        <v>0</v>
      </c>
      <c r="H637" s="2">
        <f t="shared" si="55"/>
        <v>0</v>
      </c>
      <c r="I637" s="2">
        <f t="shared" si="51"/>
        <v>0</v>
      </c>
      <c r="J637">
        <f>IFERROR(VLOOKUP(B637,'General price list'!C:AI,12,FALSE)*(G637*C637),0)</f>
        <v>0</v>
      </c>
    </row>
    <row r="638" spans="2:11" ht="15" customHeight="1">
      <c r="B638" t="s">
        <v>112</v>
      </c>
      <c r="C638" s="2" t="str">
        <f>IFERROR(VLOOKUP(B638,'Deutsche Markt'!C:AA,24,FALSE),"")</f>
        <v/>
      </c>
      <c r="D638" s="2">
        <f>IFERROR(VLOOKUP(B638,'Deutsche Markt'!C:AA,25,FALSE),0)</f>
        <v>0</v>
      </c>
      <c r="E638" s="2">
        <f t="shared" si="52"/>
        <v>0</v>
      </c>
      <c r="F638" s="2">
        <f t="shared" si="53"/>
        <v>0</v>
      </c>
      <c r="G638" s="2">
        <f t="shared" si="54"/>
        <v>0</v>
      </c>
      <c r="H638" s="2">
        <f t="shared" si="55"/>
        <v>0</v>
      </c>
      <c r="I638" s="2">
        <f t="shared" si="51"/>
        <v>0</v>
      </c>
      <c r="J638">
        <f>IFERROR(VLOOKUP(B638,'General price list'!C:AI,12,FALSE)*(G638*C638),0)</f>
        <v>0</v>
      </c>
    </row>
    <row r="639" spans="2:11" ht="15" customHeight="1">
      <c r="B639" t="s">
        <v>80</v>
      </c>
      <c r="C639" s="2">
        <f>IFERROR(VLOOKUP(B639,'Deutsche Markt'!C:AA,24,FALSE),"")</f>
        <v>42</v>
      </c>
      <c r="D639" s="2">
        <f>IFERROR(VLOOKUP(B639,'Deutsche Markt'!C:AA,25,FALSE),0)</f>
        <v>0</v>
      </c>
      <c r="E639" s="2">
        <f t="shared" si="52"/>
        <v>0</v>
      </c>
      <c r="F639" s="2">
        <f t="shared" si="53"/>
        <v>0</v>
      </c>
      <c r="G639" s="2">
        <f t="shared" si="54"/>
        <v>0</v>
      </c>
      <c r="H639" s="2">
        <f t="shared" si="55"/>
        <v>0</v>
      </c>
      <c r="I639" s="2">
        <f t="shared" si="51"/>
        <v>0</v>
      </c>
      <c r="J639">
        <f>IFERROR(VLOOKUP(B639,'General price list'!C:AI,12,FALSE)*(G639*C639),0)</f>
        <v>0</v>
      </c>
      <c r="K639">
        <f>IF(AND(E639&gt;0,G639=0),1,0)</f>
        <v>0</v>
      </c>
    </row>
    <row r="640" spans="2:11" ht="15" customHeight="1">
      <c r="B640" t="s">
        <v>98</v>
      </c>
      <c r="C640" s="2" t="str">
        <f>IFERROR(VLOOKUP(B640,'Deutsche Markt'!C:AA,24,FALSE),"")</f>
        <v/>
      </c>
      <c r="D640" s="2">
        <f>IFERROR(VLOOKUP(B640,'Deutsche Markt'!C:AA,25,FALSE),0)</f>
        <v>0</v>
      </c>
      <c r="E640" s="2">
        <f t="shared" si="52"/>
        <v>0</v>
      </c>
      <c r="F640" s="2">
        <f t="shared" si="53"/>
        <v>0</v>
      </c>
      <c r="G640" s="2">
        <f t="shared" si="54"/>
        <v>0</v>
      </c>
      <c r="H640" s="2">
        <f t="shared" si="55"/>
        <v>0</v>
      </c>
      <c r="I640" s="2">
        <f t="shared" si="51"/>
        <v>0</v>
      </c>
      <c r="J640">
        <f>IFERROR(VLOOKUP(B640,'General price list'!C:AI,12,FALSE)*(G640*C640),0)</f>
        <v>0</v>
      </c>
    </row>
    <row r="641" spans="2:10" ht="15" customHeight="1">
      <c r="B641" t="s">
        <v>102</v>
      </c>
      <c r="C641" s="2" t="str">
        <f>IFERROR(VLOOKUP(B641,'Deutsche Markt'!C:AA,24,FALSE),"")</f>
        <v/>
      </c>
      <c r="D641" s="2">
        <f>IFERROR(VLOOKUP(B641,'Deutsche Markt'!C:AA,25,FALSE),0)</f>
        <v>0</v>
      </c>
      <c r="E641" s="2">
        <f t="shared" si="52"/>
        <v>0</v>
      </c>
      <c r="F641" s="2">
        <f t="shared" si="53"/>
        <v>0</v>
      </c>
      <c r="G641" s="2">
        <f t="shared" si="54"/>
        <v>0</v>
      </c>
      <c r="H641" s="2">
        <f t="shared" si="55"/>
        <v>0</v>
      </c>
      <c r="I641" s="2">
        <f t="shared" si="51"/>
        <v>0</v>
      </c>
      <c r="J641">
        <f>IFERROR(VLOOKUP(B641,'General price list'!C:AI,12,FALSE)*(G641*C641),0)</f>
        <v>0</v>
      </c>
    </row>
    <row r="642" spans="2:10" ht="15" customHeight="1">
      <c r="B642" t="s">
        <v>20</v>
      </c>
      <c r="C642" s="2" t="str">
        <f>IFERROR(VLOOKUP(B642,'Deutsche Markt'!C:AA,24,FALSE),"")</f>
        <v>32</v>
      </c>
      <c r="D642" s="2">
        <f>IFERROR(VLOOKUP(B642,'Deutsche Markt'!C:AA,25,FALSE),0)</f>
        <v>0</v>
      </c>
      <c r="E642" s="2">
        <f t="shared" si="52"/>
        <v>0</v>
      </c>
      <c r="F642" s="2">
        <f t="shared" si="53"/>
        <v>0</v>
      </c>
      <c r="G642" s="2">
        <f t="shared" si="54"/>
        <v>0</v>
      </c>
      <c r="H642" s="2">
        <f t="shared" si="55"/>
        <v>0</v>
      </c>
      <c r="I642" s="2">
        <f t="shared" si="51"/>
        <v>0</v>
      </c>
      <c r="J642">
        <f>IFERROR(VLOOKUP(B642,'General price list'!C:AI,12,FALSE)*(G642*C642),0)</f>
        <v>0</v>
      </c>
    </row>
    <row r="643" spans="2:10" ht="15" customHeight="1">
      <c r="B643" t="s">
        <v>29</v>
      </c>
      <c r="C643" s="2" t="str">
        <f>IFERROR(VLOOKUP(B643,'Deutsche Markt'!C:AA,24,FALSE),"")</f>
        <v>32</v>
      </c>
      <c r="D643" s="2">
        <f>IFERROR(VLOOKUP(B643,'Deutsche Markt'!C:AA,25,FALSE),0)</f>
        <v>0</v>
      </c>
      <c r="E643" s="2">
        <f t="shared" si="52"/>
        <v>0</v>
      </c>
      <c r="F643" s="2">
        <f t="shared" si="53"/>
        <v>0</v>
      </c>
      <c r="G643" s="2">
        <f t="shared" si="54"/>
        <v>0</v>
      </c>
      <c r="H643" s="2">
        <f t="shared" si="55"/>
        <v>0</v>
      </c>
      <c r="I643" s="2">
        <f t="shared" si="51"/>
        <v>0</v>
      </c>
      <c r="J643">
        <f>IFERROR(VLOOKUP(B643,'General price list'!C:AI,12,FALSE)*(G643*C643),0)</f>
        <v>0</v>
      </c>
    </row>
    <row r="644" spans="2:10" ht="15" customHeight="1">
      <c r="B644" t="s">
        <v>2962</v>
      </c>
      <c r="C644" s="2" t="str">
        <f>IFERROR(VLOOKUP(B644,'Deutsche Markt'!C:AA,24,FALSE),"")</f>
        <v/>
      </c>
      <c r="D644" s="2">
        <f>IFERROR(VLOOKUP(B644,'Deutsche Markt'!C:AA,25,FALSE),0)</f>
        <v>0</v>
      </c>
      <c r="E644" s="2">
        <f t="shared" si="52"/>
        <v>0</v>
      </c>
      <c r="F644" s="2">
        <f t="shared" si="53"/>
        <v>0</v>
      </c>
      <c r="G644" s="2">
        <f t="shared" si="54"/>
        <v>0</v>
      </c>
      <c r="H644" s="2">
        <f t="shared" si="55"/>
        <v>0</v>
      </c>
      <c r="I644" s="2">
        <f t="shared" ref="I644:I707" si="56">IFERROR(IF(D644=0,0,IF(F644=0,(D644*nextVK)+(prvniVK-nextVK),(G644*C644*nextVK)+(F644*PALzKoje))),0)</f>
        <v>0</v>
      </c>
      <c r="J644">
        <f>IFERROR(VLOOKUP(B644,'General price list'!C:AI,12,FALSE)*(G644*C644),0)</f>
        <v>0</v>
      </c>
    </row>
    <row r="645" spans="2:10" ht="15" customHeight="1">
      <c r="B645" t="s">
        <v>36</v>
      </c>
      <c r="C645" s="2">
        <f>IFERROR(VLOOKUP(B645,'Deutsche Markt'!C:AA,24,FALSE),"")</f>
        <v>66</v>
      </c>
      <c r="D645" s="2">
        <f>IFERROR(VLOOKUP(B645,'Deutsche Markt'!C:AA,25,FALSE),0)</f>
        <v>0</v>
      </c>
      <c r="E645" s="2">
        <f t="shared" ref="E645:E708" si="57">IFERROR(D645/C645,0)</f>
        <v>0</v>
      </c>
      <c r="F645" s="2">
        <f t="shared" ref="F645:F708" si="58">IFERROR(FLOOR(IF(E645-1&lt;0,0,E645),1),0)</f>
        <v>0</v>
      </c>
      <c r="G645" s="2">
        <f t="shared" ref="G645:G708" si="59">IFERROR(IF(H645&gt;E645,F645-E645,E645-F645),0)</f>
        <v>0</v>
      </c>
      <c r="H645" s="2">
        <f t="shared" ref="H645:H708" si="60">IFERROR(IF(E645=0,0,F645),0)</f>
        <v>0</v>
      </c>
      <c r="I645" s="2">
        <f t="shared" si="56"/>
        <v>0</v>
      </c>
      <c r="J645">
        <f>IFERROR(VLOOKUP(B645,'General price list'!C:AI,12,FALSE)*(G645*C645),0)</f>
        <v>0</v>
      </c>
    </row>
    <row r="646" spans="2:10" ht="15" customHeight="1">
      <c r="B646" t="s">
        <v>41</v>
      </c>
      <c r="C646" s="2" t="str">
        <f>IFERROR(VLOOKUP(B646,'Deutsche Markt'!C:AA,24,FALSE),"")</f>
        <v/>
      </c>
      <c r="D646" s="2">
        <f>IFERROR(VLOOKUP(B646,'Deutsche Markt'!C:AA,25,FALSE),0)</f>
        <v>0</v>
      </c>
      <c r="E646" s="2">
        <f t="shared" si="57"/>
        <v>0</v>
      </c>
      <c r="F646" s="2">
        <f t="shared" si="58"/>
        <v>0</v>
      </c>
      <c r="G646" s="2">
        <f t="shared" si="59"/>
        <v>0</v>
      </c>
      <c r="H646" s="2">
        <f t="shared" si="60"/>
        <v>0</v>
      </c>
      <c r="I646" s="2">
        <f t="shared" si="56"/>
        <v>0</v>
      </c>
      <c r="J646">
        <f>IFERROR(VLOOKUP(B646,'General price list'!C:AI,12,FALSE)*(G646*C646),0)</f>
        <v>0</v>
      </c>
    </row>
    <row r="647" spans="2:10" ht="15" customHeight="1">
      <c r="B647" t="s">
        <v>2288</v>
      </c>
      <c r="C647" s="2" t="str">
        <f>IFERROR(VLOOKUP(B647,'Deutsche Markt'!C:AA,24,FALSE),"")</f>
        <v/>
      </c>
      <c r="D647" s="2">
        <f>IFERROR(VLOOKUP(B647,'Deutsche Markt'!C:AA,25,FALSE),0)</f>
        <v>0</v>
      </c>
      <c r="E647" s="2">
        <f t="shared" si="57"/>
        <v>0</v>
      </c>
      <c r="F647" s="2">
        <f t="shared" si="58"/>
        <v>0</v>
      </c>
      <c r="G647" s="2">
        <f t="shared" si="59"/>
        <v>0</v>
      </c>
      <c r="H647" s="2">
        <f t="shared" si="60"/>
        <v>0</v>
      </c>
      <c r="I647" s="2">
        <f t="shared" si="56"/>
        <v>0</v>
      </c>
      <c r="J647">
        <f>IFERROR(VLOOKUP(B647,'General price list'!C:AI,12,FALSE)*(G647*C647),0)</f>
        <v>0</v>
      </c>
    </row>
    <row r="648" spans="2:10" ht="15" customHeight="1">
      <c r="B648" t="s">
        <v>2442</v>
      </c>
      <c r="C648" s="2" t="str">
        <f>IFERROR(VLOOKUP(B648,'Deutsche Markt'!C:AA,24,FALSE),"")</f>
        <v/>
      </c>
      <c r="D648" s="2">
        <f>IFERROR(VLOOKUP(B648,'Deutsche Markt'!C:AA,25,FALSE),0)</f>
        <v>0</v>
      </c>
      <c r="E648" s="2">
        <f t="shared" si="57"/>
        <v>0</v>
      </c>
      <c r="F648" s="2">
        <f t="shared" si="58"/>
        <v>0</v>
      </c>
      <c r="G648" s="2">
        <f t="shared" si="59"/>
        <v>0</v>
      </c>
      <c r="H648" s="2">
        <f t="shared" si="60"/>
        <v>0</v>
      </c>
      <c r="I648" s="2">
        <f t="shared" si="56"/>
        <v>0</v>
      </c>
      <c r="J648">
        <f>IFERROR(VLOOKUP(B648,'General price list'!C:AI,12,FALSE)*(G648*C648),0)</f>
        <v>0</v>
      </c>
    </row>
    <row r="649" spans="2:10" ht="15" customHeight="1">
      <c r="B649" t="s">
        <v>46</v>
      </c>
      <c r="C649" s="2" t="str">
        <f>IFERROR(VLOOKUP(B649,'Deutsche Markt'!C:AA,24,FALSE),"")</f>
        <v/>
      </c>
      <c r="D649" s="2">
        <f>IFERROR(VLOOKUP(B649,'Deutsche Markt'!C:AA,25,FALSE),0)</f>
        <v>0</v>
      </c>
      <c r="E649" s="2">
        <f t="shared" si="57"/>
        <v>0</v>
      </c>
      <c r="F649" s="2">
        <f t="shared" si="58"/>
        <v>0</v>
      </c>
      <c r="G649" s="2">
        <f t="shared" si="59"/>
        <v>0</v>
      </c>
      <c r="H649" s="2">
        <f t="shared" si="60"/>
        <v>0</v>
      </c>
      <c r="I649" s="2">
        <f t="shared" si="56"/>
        <v>0</v>
      </c>
      <c r="J649">
        <f>IFERROR(VLOOKUP(B649,'General price list'!C:AI,12,FALSE)*(G649*C649),0)</f>
        <v>0</v>
      </c>
    </row>
    <row r="650" spans="2:10" ht="15" customHeight="1">
      <c r="B650" t="s">
        <v>50</v>
      </c>
      <c r="C650" s="2" t="str">
        <f>IFERROR(VLOOKUP(B650,'Deutsche Markt'!C:AA,24,FALSE),"")</f>
        <v/>
      </c>
      <c r="D650" s="2">
        <f>IFERROR(VLOOKUP(B650,'Deutsche Markt'!C:AA,25,FALSE),0)</f>
        <v>0</v>
      </c>
      <c r="E650" s="2">
        <f t="shared" si="57"/>
        <v>0</v>
      </c>
      <c r="F650" s="2">
        <f t="shared" si="58"/>
        <v>0</v>
      </c>
      <c r="G650" s="2">
        <f t="shared" si="59"/>
        <v>0</v>
      </c>
      <c r="H650" s="2">
        <f t="shared" si="60"/>
        <v>0</v>
      </c>
      <c r="I650" s="2">
        <f t="shared" si="56"/>
        <v>0</v>
      </c>
      <c r="J650">
        <f>IFERROR(VLOOKUP(B650,'General price list'!C:AI,12,FALSE)*(G650*C650),0)</f>
        <v>0</v>
      </c>
    </row>
    <row r="651" spans="2:10" ht="15" customHeight="1">
      <c r="B651" t="s">
        <v>30</v>
      </c>
      <c r="C651" s="2" t="str">
        <f>IFERROR(VLOOKUP(B651,'Deutsche Markt'!C:AA,24,FALSE),"")</f>
        <v>30</v>
      </c>
      <c r="D651" s="2">
        <f>IFERROR(VLOOKUP(B651,'Deutsche Markt'!C:AA,25,FALSE),0)</f>
        <v>0</v>
      </c>
      <c r="E651" s="2">
        <f t="shared" si="57"/>
        <v>0</v>
      </c>
      <c r="F651" s="2">
        <f t="shared" si="58"/>
        <v>0</v>
      </c>
      <c r="G651" s="2">
        <f t="shared" si="59"/>
        <v>0</v>
      </c>
      <c r="H651" s="2">
        <f t="shared" si="60"/>
        <v>0</v>
      </c>
      <c r="I651" s="2">
        <f t="shared" si="56"/>
        <v>0</v>
      </c>
      <c r="J651">
        <f>IFERROR(VLOOKUP(B651,'General price list'!C:AI,12,FALSE)*(G651*C651),0)</f>
        <v>0</v>
      </c>
    </row>
    <row r="652" spans="2:10" ht="15" customHeight="1">
      <c r="B652" t="s">
        <v>42</v>
      </c>
      <c r="C652" s="2">
        <f>IFERROR(VLOOKUP(B652,'Deutsche Markt'!C:AA,24,FALSE),"")</f>
        <v>54</v>
      </c>
      <c r="D652" s="2">
        <f>IFERROR(VLOOKUP(B652,'Deutsche Markt'!C:AA,25,FALSE),0)</f>
        <v>0</v>
      </c>
      <c r="E652" s="2">
        <f t="shared" si="57"/>
        <v>0</v>
      </c>
      <c r="F652" s="2">
        <f t="shared" si="58"/>
        <v>0</v>
      </c>
      <c r="G652" s="2">
        <f t="shared" si="59"/>
        <v>0</v>
      </c>
      <c r="H652" s="2">
        <f t="shared" si="60"/>
        <v>0</v>
      </c>
      <c r="I652" s="2">
        <f t="shared" si="56"/>
        <v>0</v>
      </c>
      <c r="J652">
        <f>IFERROR(VLOOKUP(B652,'General price list'!C:AI,12,FALSE)*(G652*C652),0)</f>
        <v>0</v>
      </c>
    </row>
    <row r="653" spans="2:10" ht="15" customHeight="1">
      <c r="B653" t="s">
        <v>11760</v>
      </c>
      <c r="C653" s="2">
        <f>IFERROR(VLOOKUP(B653,'Deutsche Markt'!C:AA,24,FALSE),"")</f>
        <v>50</v>
      </c>
      <c r="D653" s="2">
        <f>IFERROR(VLOOKUP(B653,'Deutsche Markt'!C:AA,25,FALSE),0)</f>
        <v>0</v>
      </c>
      <c r="E653" s="2">
        <f t="shared" si="57"/>
        <v>0</v>
      </c>
      <c r="F653" s="2">
        <f t="shared" si="58"/>
        <v>0</v>
      </c>
      <c r="G653" s="2">
        <f t="shared" si="59"/>
        <v>0</v>
      </c>
      <c r="H653" s="2">
        <f t="shared" si="60"/>
        <v>0</v>
      </c>
      <c r="I653" s="2">
        <f t="shared" si="56"/>
        <v>0</v>
      </c>
      <c r="J653">
        <f>IFERROR(VLOOKUP(B653,'General price list'!C:AI,12,FALSE)*(G653*C653),0)</f>
        <v>0</v>
      </c>
    </row>
    <row r="654" spans="2:10" ht="15" customHeight="1">
      <c r="B654" t="s">
        <v>4343</v>
      </c>
      <c r="C654" s="2">
        <f>IFERROR(VLOOKUP(B654,'Deutsche Markt'!C:AA,24,FALSE),"")</f>
        <v>36</v>
      </c>
      <c r="D654" s="2">
        <f>IFERROR(VLOOKUP(B654,'Deutsche Markt'!C:AA,25,FALSE),0)</f>
        <v>0</v>
      </c>
      <c r="E654" s="2">
        <f t="shared" si="57"/>
        <v>0</v>
      </c>
      <c r="F654" s="2">
        <f t="shared" si="58"/>
        <v>0</v>
      </c>
      <c r="G654" s="2">
        <f t="shared" si="59"/>
        <v>0</v>
      </c>
      <c r="H654" s="2">
        <f t="shared" si="60"/>
        <v>0</v>
      </c>
      <c r="I654" s="2">
        <f t="shared" si="56"/>
        <v>0</v>
      </c>
      <c r="J654">
        <f>IFERROR(VLOOKUP(B654,'General price list'!C:AI,12,FALSE)*(G654*C654),0)</f>
        <v>0</v>
      </c>
    </row>
    <row r="655" spans="2:10" ht="15" customHeight="1">
      <c r="B655" t="s">
        <v>3001</v>
      </c>
      <c r="C655" s="2" t="str">
        <f>IFERROR(VLOOKUP(B655,'Deutsche Markt'!C:AA,24,FALSE),"")</f>
        <v/>
      </c>
      <c r="D655" s="2">
        <f>IFERROR(VLOOKUP(B655,'Deutsche Markt'!C:AA,25,FALSE),0)</f>
        <v>0</v>
      </c>
      <c r="E655" s="2">
        <f t="shared" si="57"/>
        <v>0</v>
      </c>
      <c r="F655" s="2">
        <f t="shared" si="58"/>
        <v>0</v>
      </c>
      <c r="G655" s="2">
        <f t="shared" si="59"/>
        <v>0</v>
      </c>
      <c r="H655" s="2">
        <f t="shared" si="60"/>
        <v>0</v>
      </c>
      <c r="I655" s="2">
        <f t="shared" si="56"/>
        <v>0</v>
      </c>
      <c r="J655">
        <f>IFERROR(VLOOKUP(B655,'General price list'!C:AI,12,FALSE)*(G655*C655),0)</f>
        <v>0</v>
      </c>
    </row>
    <row r="656" spans="2:10" ht="15" customHeight="1">
      <c r="B656" t="s">
        <v>132</v>
      </c>
      <c r="C656" s="2" t="str">
        <f>IFERROR(VLOOKUP(B656,'Deutsche Markt'!C:AA,24,FALSE),"")</f>
        <v/>
      </c>
      <c r="D656" s="2">
        <f>IFERROR(VLOOKUP(B656,'Deutsche Markt'!C:AA,25,FALSE),0)</f>
        <v>0</v>
      </c>
      <c r="E656" s="2">
        <f t="shared" si="57"/>
        <v>0</v>
      </c>
      <c r="F656" s="2">
        <f t="shared" si="58"/>
        <v>0</v>
      </c>
      <c r="G656" s="2">
        <f t="shared" si="59"/>
        <v>0</v>
      </c>
      <c r="H656" s="2">
        <f t="shared" si="60"/>
        <v>0</v>
      </c>
      <c r="I656" s="2">
        <f t="shared" si="56"/>
        <v>0</v>
      </c>
      <c r="J656">
        <f>IFERROR(VLOOKUP(B656,'General price list'!C:AI,12,FALSE)*(G656*C656),0)</f>
        <v>0</v>
      </c>
    </row>
    <row r="657" spans="2:10" ht="15" customHeight="1">
      <c r="B657" t="s">
        <v>93</v>
      </c>
      <c r="C657" s="2" t="str">
        <f>IFERROR(VLOOKUP(B657,'Deutsche Markt'!C:AA,24,FALSE),"")</f>
        <v>87</v>
      </c>
      <c r="D657" s="2">
        <f>IFERROR(VLOOKUP(B657,'Deutsche Markt'!C:AA,25,FALSE),0)</f>
        <v>0</v>
      </c>
      <c r="E657" s="2">
        <f t="shared" si="57"/>
        <v>0</v>
      </c>
      <c r="F657" s="2">
        <f t="shared" si="58"/>
        <v>0</v>
      </c>
      <c r="G657" s="2">
        <f t="shared" si="59"/>
        <v>0</v>
      </c>
      <c r="H657" s="2">
        <f t="shared" si="60"/>
        <v>0</v>
      </c>
      <c r="I657" s="2">
        <f t="shared" si="56"/>
        <v>0</v>
      </c>
      <c r="J657">
        <f>IFERROR(VLOOKUP(B657,'General price list'!C:AI,12,FALSE)*(G657*C657),0)</f>
        <v>0</v>
      </c>
    </row>
    <row r="658" spans="2:10" ht="15" customHeight="1">
      <c r="B658" t="s">
        <v>2297</v>
      </c>
      <c r="C658" s="2">
        <f>IFERROR(VLOOKUP(B658,'Deutsche Markt'!C:AA,24,FALSE),"")</f>
        <v>60</v>
      </c>
      <c r="D658" s="2">
        <f>IFERROR(VLOOKUP(B658,'Deutsche Markt'!C:AA,25,FALSE),0)</f>
        <v>0</v>
      </c>
      <c r="E658" s="2">
        <f t="shared" si="57"/>
        <v>0</v>
      </c>
      <c r="F658" s="2">
        <f t="shared" si="58"/>
        <v>0</v>
      </c>
      <c r="G658" s="2">
        <f t="shared" si="59"/>
        <v>0</v>
      </c>
      <c r="H658" s="2">
        <f t="shared" si="60"/>
        <v>0</v>
      </c>
      <c r="I658" s="2">
        <f t="shared" si="56"/>
        <v>0</v>
      </c>
      <c r="J658">
        <f>IFERROR(VLOOKUP(B658,'General price list'!C:AI,12,FALSE)*(G658*C658),0)</f>
        <v>0</v>
      </c>
    </row>
    <row r="659" spans="2:10" ht="15" customHeight="1">
      <c r="B659" t="s">
        <v>2085</v>
      </c>
      <c r="C659" s="2">
        <f>IFERROR(VLOOKUP(B659,'Deutsche Markt'!C:AA,24,FALSE),"")</f>
        <v>30</v>
      </c>
      <c r="D659" s="2">
        <f>IFERROR(VLOOKUP(B659,'Deutsche Markt'!C:AA,25,FALSE),0)</f>
        <v>0</v>
      </c>
      <c r="E659" s="2">
        <f t="shared" si="57"/>
        <v>0</v>
      </c>
      <c r="F659" s="2">
        <f t="shared" si="58"/>
        <v>0</v>
      </c>
      <c r="G659" s="2">
        <f t="shared" si="59"/>
        <v>0</v>
      </c>
      <c r="H659" s="2">
        <f t="shared" si="60"/>
        <v>0</v>
      </c>
      <c r="I659" s="2">
        <f t="shared" si="56"/>
        <v>0</v>
      </c>
      <c r="J659">
        <f>IFERROR(VLOOKUP(B659,'General price list'!C:AI,12,FALSE)*(G659*C659),0)</f>
        <v>0</v>
      </c>
    </row>
    <row r="660" spans="2:10" ht="15" customHeight="1">
      <c r="B660" t="s">
        <v>2091</v>
      </c>
      <c r="C660" s="2">
        <f>IFERROR(VLOOKUP(B660,'Deutsche Markt'!C:AA,24,FALSE),"")</f>
        <v>40</v>
      </c>
      <c r="D660" s="2">
        <f>IFERROR(VLOOKUP(B660,'Deutsche Markt'!C:AA,25,FALSE),0)</f>
        <v>0</v>
      </c>
      <c r="E660" s="2">
        <f t="shared" si="57"/>
        <v>0</v>
      </c>
      <c r="F660" s="2">
        <f t="shared" si="58"/>
        <v>0</v>
      </c>
      <c r="G660" s="2">
        <f t="shared" si="59"/>
        <v>0</v>
      </c>
      <c r="H660" s="2">
        <f t="shared" si="60"/>
        <v>0</v>
      </c>
      <c r="I660" s="2">
        <f t="shared" si="56"/>
        <v>0</v>
      </c>
      <c r="J660">
        <f>IFERROR(VLOOKUP(B660,'General price list'!C:AI,12,FALSE)*(G660*C660),0)</f>
        <v>0</v>
      </c>
    </row>
    <row r="661" spans="2:10" ht="15" customHeight="1">
      <c r="B661" t="s">
        <v>2097</v>
      </c>
      <c r="C661" s="2">
        <f>IFERROR(VLOOKUP(B661,'Deutsche Markt'!C:AA,24,FALSE),"")</f>
        <v>48</v>
      </c>
      <c r="D661" s="2">
        <f>IFERROR(VLOOKUP(B661,'Deutsche Markt'!C:AA,25,FALSE),0)</f>
        <v>0</v>
      </c>
      <c r="E661" s="2">
        <f t="shared" si="57"/>
        <v>0</v>
      </c>
      <c r="F661" s="2">
        <f t="shared" si="58"/>
        <v>0</v>
      </c>
      <c r="G661" s="2">
        <f t="shared" si="59"/>
        <v>0</v>
      </c>
      <c r="H661" s="2">
        <f t="shared" si="60"/>
        <v>0</v>
      </c>
      <c r="I661" s="2">
        <f t="shared" si="56"/>
        <v>0</v>
      </c>
      <c r="J661">
        <f>IFERROR(VLOOKUP(B661,'General price list'!C:AI,12,FALSE)*(G661*C661),0)</f>
        <v>0</v>
      </c>
    </row>
    <row r="662" spans="2:10" ht="15" customHeight="1">
      <c r="B662" t="s">
        <v>2102</v>
      </c>
      <c r="C662" s="2">
        <f>IFERROR(VLOOKUP(B662,'Deutsche Markt'!C:AA,24,FALSE),"")</f>
        <v>48</v>
      </c>
      <c r="D662" s="2">
        <f>IFERROR(VLOOKUP(B662,'Deutsche Markt'!C:AA,25,FALSE),0)</f>
        <v>0</v>
      </c>
      <c r="E662" s="2">
        <f t="shared" si="57"/>
        <v>0</v>
      </c>
      <c r="F662" s="2">
        <f t="shared" si="58"/>
        <v>0</v>
      </c>
      <c r="G662" s="2">
        <f t="shared" si="59"/>
        <v>0</v>
      </c>
      <c r="H662" s="2">
        <f t="shared" si="60"/>
        <v>0</v>
      </c>
      <c r="I662" s="2">
        <f t="shared" si="56"/>
        <v>0</v>
      </c>
      <c r="J662">
        <f>IFERROR(VLOOKUP(B662,'General price list'!C:AI,12,FALSE)*(G662*C662),0)</f>
        <v>0</v>
      </c>
    </row>
    <row r="663" spans="2:10" ht="15" customHeight="1">
      <c r="B663" t="s">
        <v>2108</v>
      </c>
      <c r="C663" s="2">
        <f>IFERROR(VLOOKUP(B663,'Deutsche Markt'!C:AA,24,FALSE),"")</f>
        <v>36</v>
      </c>
      <c r="D663" s="2">
        <f>IFERROR(VLOOKUP(B663,'Deutsche Markt'!C:AA,25,FALSE),0)</f>
        <v>0</v>
      </c>
      <c r="E663" s="2">
        <f t="shared" si="57"/>
        <v>0</v>
      </c>
      <c r="F663" s="2">
        <f t="shared" si="58"/>
        <v>0</v>
      </c>
      <c r="G663" s="2">
        <f t="shared" si="59"/>
        <v>0</v>
      </c>
      <c r="H663" s="2">
        <f t="shared" si="60"/>
        <v>0</v>
      </c>
      <c r="I663" s="2">
        <f t="shared" si="56"/>
        <v>0</v>
      </c>
      <c r="J663">
        <f>IFERROR(VLOOKUP(B663,'General price list'!C:AI,12,FALSE)*(G663*C663),0)</f>
        <v>0</v>
      </c>
    </row>
    <row r="664" spans="2:10" ht="15" customHeight="1">
      <c r="B664" t="s">
        <v>460</v>
      </c>
      <c r="C664" s="2" t="str">
        <f>IFERROR(VLOOKUP(B664,'Deutsche Markt'!C:AA,24,FALSE),"")</f>
        <v/>
      </c>
      <c r="D664" s="2">
        <f>IFERROR(VLOOKUP(B664,'Deutsche Markt'!C:AA,25,FALSE),0)</f>
        <v>0</v>
      </c>
      <c r="E664" s="2">
        <f t="shared" si="57"/>
        <v>0</v>
      </c>
      <c r="F664" s="2">
        <f t="shared" si="58"/>
        <v>0</v>
      </c>
      <c r="G664" s="2">
        <f t="shared" si="59"/>
        <v>0</v>
      </c>
      <c r="H664" s="2">
        <f t="shared" si="60"/>
        <v>0</v>
      </c>
      <c r="I664" s="2">
        <f t="shared" si="56"/>
        <v>0</v>
      </c>
      <c r="J664">
        <f>IFERROR(VLOOKUP(B664,'General price list'!C:AI,12,FALSE)*(G664*C664),0)</f>
        <v>0</v>
      </c>
    </row>
    <row r="665" spans="2:10" ht="15" customHeight="1">
      <c r="B665" t="s">
        <v>464</v>
      </c>
      <c r="C665" s="2" t="str">
        <f>IFERROR(VLOOKUP(B665,'Deutsche Markt'!C:AA,24,FALSE),"")</f>
        <v/>
      </c>
      <c r="D665" s="2">
        <f>IFERROR(VLOOKUP(B665,'Deutsche Markt'!C:AA,25,FALSE),0)</f>
        <v>0</v>
      </c>
      <c r="E665" s="2">
        <f t="shared" si="57"/>
        <v>0</v>
      </c>
      <c r="F665" s="2">
        <f t="shared" si="58"/>
        <v>0</v>
      </c>
      <c r="G665" s="2">
        <f t="shared" si="59"/>
        <v>0</v>
      </c>
      <c r="H665" s="2">
        <f t="shared" si="60"/>
        <v>0</v>
      </c>
      <c r="I665" s="2">
        <f t="shared" si="56"/>
        <v>0</v>
      </c>
      <c r="J665">
        <f>IFERROR(VLOOKUP(B665,'General price list'!C:AI,12,FALSE)*(G665*C665),0)</f>
        <v>0</v>
      </c>
    </row>
    <row r="666" spans="2:10" ht="15" customHeight="1">
      <c r="B666" t="s">
        <v>426</v>
      </c>
      <c r="C666" s="2">
        <f>IFERROR(VLOOKUP(B666,'Deutsche Markt'!C:AA,24,FALSE),"")</f>
        <v>30</v>
      </c>
      <c r="D666" s="2">
        <f>IFERROR(VLOOKUP(B666,'Deutsche Markt'!C:AA,25,FALSE),0)</f>
        <v>0</v>
      </c>
      <c r="E666" s="2">
        <f t="shared" si="57"/>
        <v>0</v>
      </c>
      <c r="F666" s="2">
        <f t="shared" si="58"/>
        <v>0</v>
      </c>
      <c r="G666" s="2">
        <f t="shared" si="59"/>
        <v>0</v>
      </c>
      <c r="H666" s="2">
        <f t="shared" si="60"/>
        <v>0</v>
      </c>
      <c r="I666" s="2">
        <f t="shared" si="56"/>
        <v>0</v>
      </c>
      <c r="J666">
        <f>IFERROR(VLOOKUP(B666,'General price list'!C:AI,12,FALSE)*(G666*C666),0)</f>
        <v>0</v>
      </c>
    </row>
    <row r="667" spans="2:10" ht="15" customHeight="1">
      <c r="B667" t="s">
        <v>430</v>
      </c>
      <c r="C667" s="2">
        <f>IFERROR(VLOOKUP(B667,'Deutsche Markt'!C:AA,24,FALSE),"")</f>
        <v>42</v>
      </c>
      <c r="D667" s="2">
        <f>IFERROR(VLOOKUP(B667,'Deutsche Markt'!C:AA,25,FALSE),0)</f>
        <v>0</v>
      </c>
      <c r="E667" s="2">
        <f t="shared" si="57"/>
        <v>0</v>
      </c>
      <c r="F667" s="2">
        <f t="shared" si="58"/>
        <v>0</v>
      </c>
      <c r="G667" s="2">
        <f t="shared" si="59"/>
        <v>0</v>
      </c>
      <c r="H667" s="2">
        <f t="shared" si="60"/>
        <v>0</v>
      </c>
      <c r="I667" s="2">
        <f t="shared" si="56"/>
        <v>0</v>
      </c>
      <c r="J667">
        <f>IFERROR(VLOOKUP(B667,'General price list'!C:AI,12,FALSE)*(G667*C667),0)</f>
        <v>0</v>
      </c>
    </row>
    <row r="668" spans="2:10" ht="15" customHeight="1">
      <c r="B668" t="s">
        <v>2303</v>
      </c>
      <c r="C668" s="2">
        <f>IFERROR(VLOOKUP(B668,'Deutsche Markt'!C:AA,24,FALSE),"")</f>
        <v>54</v>
      </c>
      <c r="D668" s="2">
        <f>IFERROR(VLOOKUP(B668,'Deutsche Markt'!C:AA,25,FALSE),0)</f>
        <v>0</v>
      </c>
      <c r="E668" s="2">
        <f t="shared" si="57"/>
        <v>0</v>
      </c>
      <c r="F668" s="2">
        <f t="shared" si="58"/>
        <v>0</v>
      </c>
      <c r="G668" s="2">
        <f t="shared" si="59"/>
        <v>0</v>
      </c>
      <c r="H668" s="2">
        <f t="shared" si="60"/>
        <v>0</v>
      </c>
      <c r="I668" s="2">
        <f t="shared" si="56"/>
        <v>0</v>
      </c>
      <c r="J668">
        <f>IFERROR(VLOOKUP(B668,'General price list'!C:AI,12,FALSE)*(G668*C668),0)</f>
        <v>0</v>
      </c>
    </row>
    <row r="669" spans="2:10" ht="15" customHeight="1">
      <c r="B669" t="s">
        <v>418</v>
      </c>
      <c r="C669" s="2" t="str">
        <f>IFERROR(VLOOKUP(B669,'Deutsche Markt'!C:AA,24,FALSE),"")</f>
        <v>16</v>
      </c>
      <c r="D669" s="2">
        <f>IFERROR(VLOOKUP(B669,'Deutsche Markt'!C:AA,25,FALSE),0)</f>
        <v>0</v>
      </c>
      <c r="E669" s="2">
        <f t="shared" si="57"/>
        <v>0</v>
      </c>
      <c r="F669" s="2">
        <f t="shared" si="58"/>
        <v>0</v>
      </c>
      <c r="G669" s="2">
        <f t="shared" si="59"/>
        <v>0</v>
      </c>
      <c r="H669" s="2">
        <f t="shared" si="60"/>
        <v>0</v>
      </c>
      <c r="I669" s="2">
        <f t="shared" si="56"/>
        <v>0</v>
      </c>
      <c r="J669">
        <f>IFERROR(VLOOKUP(B669,'General price list'!C:AI,12,FALSE)*(G669*C669),0)</f>
        <v>0</v>
      </c>
    </row>
    <row r="670" spans="2:10" ht="15" customHeight="1">
      <c r="B670" t="s">
        <v>421</v>
      </c>
      <c r="C670" s="2">
        <f>IFERROR(VLOOKUP(B670,'Deutsche Markt'!C:AA,24,FALSE),"")</f>
        <v>24</v>
      </c>
      <c r="D670" s="2">
        <f>IFERROR(VLOOKUP(B670,'Deutsche Markt'!C:AA,25,FALSE),0)</f>
        <v>0</v>
      </c>
      <c r="E670" s="2">
        <f t="shared" si="57"/>
        <v>0</v>
      </c>
      <c r="F670" s="2">
        <f t="shared" si="58"/>
        <v>0</v>
      </c>
      <c r="G670" s="2">
        <f t="shared" si="59"/>
        <v>0</v>
      </c>
      <c r="H670" s="2">
        <f t="shared" si="60"/>
        <v>0</v>
      </c>
      <c r="I670" s="2">
        <f t="shared" si="56"/>
        <v>0</v>
      </c>
      <c r="J670">
        <f>IFERROR(VLOOKUP(B670,'General price list'!C:AI,12,FALSE)*(G670*C670),0)</f>
        <v>0</v>
      </c>
    </row>
    <row r="671" spans="2:10" ht="15" customHeight="1">
      <c r="B671" t="s">
        <v>12032</v>
      </c>
      <c r="C671" s="2" t="str">
        <f>IFERROR(VLOOKUP(B671,'Deutsche Markt'!C:AA,24,FALSE),"")</f>
        <v/>
      </c>
      <c r="D671" s="2">
        <f>IFERROR(VLOOKUP(B671,'Deutsche Markt'!C:AA,25,FALSE),0)</f>
        <v>0</v>
      </c>
      <c r="E671" s="2">
        <f t="shared" si="57"/>
        <v>0</v>
      </c>
      <c r="F671" s="2">
        <f t="shared" si="58"/>
        <v>0</v>
      </c>
      <c r="G671" s="2">
        <f t="shared" si="59"/>
        <v>0</v>
      </c>
      <c r="H671" s="2">
        <f t="shared" si="60"/>
        <v>0</v>
      </c>
      <c r="I671" s="2">
        <f t="shared" si="56"/>
        <v>0</v>
      </c>
      <c r="J671">
        <f>IFERROR(VLOOKUP(B671,'General price list'!C:AI,12,FALSE)*(G671*C671),0)</f>
        <v>0</v>
      </c>
    </row>
    <row r="672" spans="2:10" ht="15" customHeight="1">
      <c r="B672" t="s">
        <v>475</v>
      </c>
      <c r="C672" s="2" t="str">
        <f>IFERROR(VLOOKUP(B672,'Deutsche Markt'!C:AA,24,FALSE),"")</f>
        <v/>
      </c>
      <c r="D672" s="2">
        <f>IFERROR(VLOOKUP(B672,'Deutsche Markt'!C:AA,25,FALSE),0)</f>
        <v>0</v>
      </c>
      <c r="E672" s="2">
        <f t="shared" si="57"/>
        <v>0</v>
      </c>
      <c r="F672" s="2">
        <f t="shared" si="58"/>
        <v>0</v>
      </c>
      <c r="G672" s="2">
        <f t="shared" si="59"/>
        <v>0</v>
      </c>
      <c r="H672" s="2">
        <f t="shared" si="60"/>
        <v>0</v>
      </c>
      <c r="I672" s="2">
        <f t="shared" si="56"/>
        <v>0</v>
      </c>
      <c r="J672">
        <f>IFERROR(VLOOKUP(B672,'General price list'!C:AI,12,FALSE)*(G672*C672),0)</f>
        <v>0</v>
      </c>
    </row>
    <row r="673" spans="2:10" ht="15" customHeight="1">
      <c r="B673" t="s">
        <v>472</v>
      </c>
      <c r="C673" s="2" t="str">
        <f>IFERROR(VLOOKUP(B673,'Deutsche Markt'!C:AA,24,FALSE),"")</f>
        <v/>
      </c>
      <c r="D673" s="2">
        <f>IFERROR(VLOOKUP(B673,'Deutsche Markt'!C:AA,25,FALSE),0)</f>
        <v>0</v>
      </c>
      <c r="E673" s="2">
        <f t="shared" si="57"/>
        <v>0</v>
      </c>
      <c r="F673" s="2">
        <f t="shared" si="58"/>
        <v>0</v>
      </c>
      <c r="G673" s="2">
        <f t="shared" si="59"/>
        <v>0</v>
      </c>
      <c r="H673" s="2">
        <f t="shared" si="60"/>
        <v>0</v>
      </c>
      <c r="I673" s="2">
        <f t="shared" si="56"/>
        <v>0</v>
      </c>
      <c r="J673">
        <f>IFERROR(VLOOKUP(B673,'General price list'!C:AI,12,FALSE)*(G673*C673),0)</f>
        <v>0</v>
      </c>
    </row>
    <row r="674" spans="2:10" ht="15" customHeight="1">
      <c r="B674" t="s">
        <v>3770</v>
      </c>
      <c r="C674" s="2" t="str">
        <f>IFERROR(VLOOKUP(B674,'Deutsche Markt'!C:AA,24,FALSE),"")</f>
        <v/>
      </c>
      <c r="D674" s="2">
        <f>IFERROR(VLOOKUP(B674,'Deutsche Markt'!C:AA,25,FALSE),0)</f>
        <v>0</v>
      </c>
      <c r="E674" s="2">
        <f t="shared" si="57"/>
        <v>0</v>
      </c>
      <c r="F674" s="2">
        <f t="shared" si="58"/>
        <v>0</v>
      </c>
      <c r="G674" s="2">
        <f t="shared" si="59"/>
        <v>0</v>
      </c>
      <c r="H674" s="2">
        <f t="shared" si="60"/>
        <v>0</v>
      </c>
      <c r="I674" s="2">
        <f t="shared" si="56"/>
        <v>0</v>
      </c>
      <c r="J674">
        <f>IFERROR(VLOOKUP(B674,'General price list'!C:AI,12,FALSE)*(G674*C674),0)</f>
        <v>0</v>
      </c>
    </row>
    <row r="675" spans="2:10" ht="15" customHeight="1">
      <c r="B675" t="s">
        <v>3731</v>
      </c>
      <c r="C675" s="2">
        <f>IFERROR(VLOOKUP(B675,'Deutsche Markt'!C:AA,24,FALSE),"")</f>
        <v>30</v>
      </c>
      <c r="D675" s="2">
        <f>IFERROR(VLOOKUP(B675,'Deutsche Markt'!C:AA,25,FALSE),0)</f>
        <v>0</v>
      </c>
      <c r="E675" s="2">
        <f t="shared" si="57"/>
        <v>0</v>
      </c>
      <c r="F675" s="2">
        <f t="shared" si="58"/>
        <v>0</v>
      </c>
      <c r="G675" s="2">
        <f t="shared" si="59"/>
        <v>0</v>
      </c>
      <c r="H675" s="2">
        <f t="shared" si="60"/>
        <v>0</v>
      </c>
      <c r="I675" s="2">
        <f t="shared" si="56"/>
        <v>0</v>
      </c>
      <c r="J675">
        <f>IFERROR(VLOOKUP(B675,'General price list'!C:AI,12,FALSE)*(G675*C675),0)</f>
        <v>0</v>
      </c>
    </row>
    <row r="676" spans="2:10" ht="15" customHeight="1">
      <c r="B676" t="s">
        <v>381</v>
      </c>
      <c r="C676" s="2">
        <f>IFERROR(VLOOKUP(B676,'Deutsche Markt'!C:AA,24,FALSE),"")</f>
        <v>16</v>
      </c>
      <c r="D676" s="2">
        <f>IFERROR(VLOOKUP(B676,'Deutsche Markt'!C:AA,25,FALSE),0)</f>
        <v>0</v>
      </c>
      <c r="E676" s="2">
        <f t="shared" si="57"/>
        <v>0</v>
      </c>
      <c r="F676" s="2">
        <f t="shared" si="58"/>
        <v>0</v>
      </c>
      <c r="G676" s="2">
        <f t="shared" si="59"/>
        <v>0</v>
      </c>
      <c r="H676" s="2">
        <f t="shared" si="60"/>
        <v>0</v>
      </c>
      <c r="I676" s="2">
        <f t="shared" si="56"/>
        <v>0</v>
      </c>
      <c r="J676">
        <f>IFERROR(VLOOKUP(B676,'General price list'!C:AI,12,FALSE)*(G676*C676),0)</f>
        <v>0</v>
      </c>
    </row>
    <row r="677" spans="2:10" ht="15" customHeight="1">
      <c r="B677" t="s">
        <v>440</v>
      </c>
      <c r="C677" s="2">
        <f>IFERROR(VLOOKUP(B677,'Deutsche Markt'!C:AA,24,FALSE),"")</f>
        <v>32</v>
      </c>
      <c r="D677" s="2">
        <f>IFERROR(VLOOKUP(B677,'Deutsche Markt'!C:AA,25,FALSE),0)</f>
        <v>0</v>
      </c>
      <c r="E677" s="2">
        <f t="shared" si="57"/>
        <v>0</v>
      </c>
      <c r="F677" s="2">
        <f t="shared" si="58"/>
        <v>0</v>
      </c>
      <c r="G677" s="2">
        <f t="shared" si="59"/>
        <v>0</v>
      </c>
      <c r="H677" s="2">
        <f t="shared" si="60"/>
        <v>0</v>
      </c>
      <c r="I677" s="2">
        <f t="shared" si="56"/>
        <v>0</v>
      </c>
      <c r="J677">
        <f>IFERROR(VLOOKUP(B677,'General price list'!C:AI,12,FALSE)*(G677*C677),0)</f>
        <v>0</v>
      </c>
    </row>
    <row r="678" spans="2:10" ht="15" customHeight="1">
      <c r="B678" t="s">
        <v>436</v>
      </c>
      <c r="C678" s="2">
        <f>IFERROR(VLOOKUP(B678,'Deutsche Markt'!C:AA,24,FALSE),"")</f>
        <v>32</v>
      </c>
      <c r="D678" s="2">
        <f>IFERROR(VLOOKUP(B678,'Deutsche Markt'!C:AA,25,FALSE),0)</f>
        <v>0</v>
      </c>
      <c r="E678" s="2">
        <f t="shared" si="57"/>
        <v>0</v>
      </c>
      <c r="F678" s="2">
        <f t="shared" si="58"/>
        <v>0</v>
      </c>
      <c r="G678" s="2">
        <f t="shared" si="59"/>
        <v>0</v>
      </c>
      <c r="H678" s="2">
        <f t="shared" si="60"/>
        <v>0</v>
      </c>
      <c r="I678" s="2">
        <f t="shared" si="56"/>
        <v>0</v>
      </c>
      <c r="J678">
        <f>IFERROR(VLOOKUP(B678,'General price list'!C:AI,12,FALSE)*(G678*C678),0)</f>
        <v>0</v>
      </c>
    </row>
    <row r="679" spans="2:10" ht="15" customHeight="1">
      <c r="B679" t="s">
        <v>431</v>
      </c>
      <c r="C679" s="2">
        <f>IFERROR(VLOOKUP(B679,'Deutsche Markt'!C:AA,24,FALSE),"")</f>
        <v>32</v>
      </c>
      <c r="D679" s="2">
        <f>IFERROR(VLOOKUP(B679,'Deutsche Markt'!C:AA,25,FALSE),0)</f>
        <v>0</v>
      </c>
      <c r="E679" s="2">
        <f t="shared" si="57"/>
        <v>0</v>
      </c>
      <c r="F679" s="2">
        <f t="shared" si="58"/>
        <v>0</v>
      </c>
      <c r="G679" s="2">
        <f t="shared" si="59"/>
        <v>0</v>
      </c>
      <c r="H679" s="2">
        <f t="shared" si="60"/>
        <v>0</v>
      </c>
      <c r="I679" s="2">
        <f t="shared" si="56"/>
        <v>0</v>
      </c>
      <c r="J679">
        <f>IFERROR(VLOOKUP(B679,'General price list'!C:AI,12,FALSE)*(G679*C679),0)</f>
        <v>0</v>
      </c>
    </row>
    <row r="680" spans="2:10" ht="15" customHeight="1">
      <c r="B680" t="s">
        <v>386</v>
      </c>
      <c r="C680" s="2">
        <f>IFERROR(VLOOKUP(B680,'Deutsche Markt'!C:AA,24,FALSE),"")</f>
        <v>20</v>
      </c>
      <c r="D680" s="2">
        <f>IFERROR(VLOOKUP(B680,'Deutsche Markt'!C:AA,25,FALSE),0)</f>
        <v>0</v>
      </c>
      <c r="E680" s="2">
        <f t="shared" si="57"/>
        <v>0</v>
      </c>
      <c r="F680" s="2">
        <f t="shared" si="58"/>
        <v>0</v>
      </c>
      <c r="G680" s="2">
        <f t="shared" si="59"/>
        <v>0</v>
      </c>
      <c r="H680" s="2">
        <f t="shared" si="60"/>
        <v>0</v>
      </c>
      <c r="I680" s="2">
        <f t="shared" si="56"/>
        <v>0</v>
      </c>
      <c r="J680">
        <f>IFERROR(VLOOKUP(B680,'General price list'!C:AI,12,FALSE)*(G680*C680),0)</f>
        <v>0</v>
      </c>
    </row>
    <row r="681" spans="2:10" ht="15" customHeight="1">
      <c r="B681" t="s">
        <v>3698</v>
      </c>
      <c r="C681" s="2">
        <f>IFERROR(VLOOKUP(B681,'Deutsche Markt'!C:AA,24,FALSE),"")</f>
        <v>36</v>
      </c>
      <c r="D681" s="2">
        <f>IFERROR(VLOOKUP(B681,'Deutsche Markt'!C:AA,25,FALSE),0)</f>
        <v>0</v>
      </c>
      <c r="E681" s="2">
        <f t="shared" si="57"/>
        <v>0</v>
      </c>
      <c r="F681" s="2">
        <f t="shared" si="58"/>
        <v>0</v>
      </c>
      <c r="G681" s="2">
        <f t="shared" si="59"/>
        <v>0</v>
      </c>
      <c r="H681" s="2">
        <f t="shared" si="60"/>
        <v>0</v>
      </c>
      <c r="I681" s="2">
        <f t="shared" si="56"/>
        <v>0</v>
      </c>
      <c r="J681">
        <f>IFERROR(VLOOKUP(B681,'General price list'!C:AI,12,FALSE)*(G681*C681),0)</f>
        <v>0</v>
      </c>
    </row>
    <row r="682" spans="2:10" ht="15" customHeight="1">
      <c r="B682" t="s">
        <v>479</v>
      </c>
      <c r="C682" s="2" t="str">
        <f>IFERROR(VLOOKUP(B682,'Deutsche Markt'!C:AA,24,FALSE),"")</f>
        <v/>
      </c>
      <c r="D682" s="2">
        <f>IFERROR(VLOOKUP(B682,'Deutsche Markt'!C:AA,25,FALSE),0)</f>
        <v>0</v>
      </c>
      <c r="E682" s="2">
        <f t="shared" si="57"/>
        <v>0</v>
      </c>
      <c r="F682" s="2">
        <f t="shared" si="58"/>
        <v>0</v>
      </c>
      <c r="G682" s="2">
        <f t="shared" si="59"/>
        <v>0</v>
      </c>
      <c r="H682" s="2">
        <f t="shared" si="60"/>
        <v>0</v>
      </c>
      <c r="I682" s="2">
        <f t="shared" si="56"/>
        <v>0</v>
      </c>
      <c r="J682">
        <f>IFERROR(VLOOKUP(B682,'General price list'!C:AI,12,FALSE)*(G682*C682),0)</f>
        <v>0</v>
      </c>
    </row>
    <row r="683" spans="2:10" ht="15" customHeight="1">
      <c r="B683" t="s">
        <v>456</v>
      </c>
      <c r="C683" s="2" t="str">
        <f>IFERROR(VLOOKUP(B683,'Deutsche Markt'!C:AA,24,FALSE),"")</f>
        <v/>
      </c>
      <c r="D683" s="2">
        <f>IFERROR(VLOOKUP(B683,'Deutsche Markt'!C:AA,25,FALSE),0)</f>
        <v>0</v>
      </c>
      <c r="E683" s="2">
        <f t="shared" si="57"/>
        <v>0</v>
      </c>
      <c r="F683" s="2">
        <f t="shared" si="58"/>
        <v>0</v>
      </c>
      <c r="G683" s="2">
        <f t="shared" si="59"/>
        <v>0</v>
      </c>
      <c r="H683" s="2">
        <f t="shared" si="60"/>
        <v>0</v>
      </c>
      <c r="I683" s="2">
        <f t="shared" si="56"/>
        <v>0</v>
      </c>
      <c r="J683">
        <f>IFERROR(VLOOKUP(B683,'General price list'!C:AI,12,FALSE)*(G683*C683),0)</f>
        <v>0</v>
      </c>
    </row>
    <row r="684" spans="2:10" ht="15" customHeight="1">
      <c r="B684" t="s">
        <v>442</v>
      </c>
      <c r="C684" s="2" t="str">
        <f>IFERROR(VLOOKUP(B684,'Deutsche Markt'!C:AA,24,FALSE),"")</f>
        <v>16</v>
      </c>
      <c r="D684" s="2">
        <f>IFERROR(VLOOKUP(B684,'Deutsche Markt'!C:AA,25,FALSE),0)</f>
        <v>0</v>
      </c>
      <c r="E684" s="2">
        <f t="shared" si="57"/>
        <v>0</v>
      </c>
      <c r="F684" s="2">
        <f t="shared" si="58"/>
        <v>0</v>
      </c>
      <c r="G684" s="2">
        <f t="shared" si="59"/>
        <v>0</v>
      </c>
      <c r="H684" s="2">
        <f t="shared" si="60"/>
        <v>0</v>
      </c>
      <c r="I684" s="2">
        <f t="shared" si="56"/>
        <v>0</v>
      </c>
      <c r="J684">
        <f>IFERROR(VLOOKUP(B684,'General price list'!C:AI,12,FALSE)*(G684*C684),0)</f>
        <v>0</v>
      </c>
    </row>
    <row r="685" spans="2:10" ht="15" customHeight="1">
      <c r="B685" t="s">
        <v>452</v>
      </c>
      <c r="C685" s="2" t="str">
        <f>IFERROR(VLOOKUP(B685,'Deutsche Markt'!C:AA,24,FALSE),"")</f>
        <v/>
      </c>
      <c r="D685" s="2">
        <f>IFERROR(VLOOKUP(B685,'Deutsche Markt'!C:AA,25,FALSE),0)</f>
        <v>0</v>
      </c>
      <c r="E685" s="2">
        <f t="shared" si="57"/>
        <v>0</v>
      </c>
      <c r="F685" s="2">
        <f t="shared" si="58"/>
        <v>0</v>
      </c>
      <c r="G685" s="2">
        <f t="shared" si="59"/>
        <v>0</v>
      </c>
      <c r="H685" s="2">
        <f t="shared" si="60"/>
        <v>0</v>
      </c>
      <c r="I685" s="2">
        <f t="shared" si="56"/>
        <v>0</v>
      </c>
      <c r="J685">
        <f>IFERROR(VLOOKUP(B685,'General price list'!C:AI,12,FALSE)*(G685*C685),0)</f>
        <v>0</v>
      </c>
    </row>
    <row r="686" spans="2:10" ht="15" customHeight="1">
      <c r="B686" t="s">
        <v>397</v>
      </c>
      <c r="C686" s="2">
        <f>IFERROR(VLOOKUP(B686,'Deutsche Markt'!C:AA,24,FALSE),"")</f>
        <v>60</v>
      </c>
      <c r="D686" s="2">
        <f>IFERROR(VLOOKUP(B686,'Deutsche Markt'!C:AA,25,FALSE),0)</f>
        <v>0</v>
      </c>
      <c r="E686" s="2">
        <f t="shared" si="57"/>
        <v>0</v>
      </c>
      <c r="F686" s="2">
        <f t="shared" si="58"/>
        <v>0</v>
      </c>
      <c r="G686" s="2">
        <f t="shared" si="59"/>
        <v>0</v>
      </c>
      <c r="H686" s="2">
        <f t="shared" si="60"/>
        <v>0</v>
      </c>
      <c r="I686" s="2">
        <f t="shared" si="56"/>
        <v>0</v>
      </c>
      <c r="J686">
        <f>IFERROR(VLOOKUP(B686,'General price list'!C:AI,12,FALSE)*(G686*C686),0)</f>
        <v>0</v>
      </c>
    </row>
    <row r="687" spans="2:10" ht="15" customHeight="1">
      <c r="B687" t="s">
        <v>407</v>
      </c>
      <c r="C687" s="2">
        <f>IFERROR(VLOOKUP(B687,'Deutsche Markt'!C:AA,24,FALSE),"")</f>
        <v>24</v>
      </c>
      <c r="D687" s="2">
        <f>IFERROR(VLOOKUP(B687,'Deutsche Markt'!C:AA,25,FALSE),0)</f>
        <v>0</v>
      </c>
      <c r="E687" s="2">
        <f t="shared" si="57"/>
        <v>0</v>
      </c>
      <c r="F687" s="2">
        <f t="shared" si="58"/>
        <v>0</v>
      </c>
      <c r="G687" s="2">
        <f t="shared" si="59"/>
        <v>0</v>
      </c>
      <c r="H687" s="2">
        <f t="shared" si="60"/>
        <v>0</v>
      </c>
      <c r="I687" s="2">
        <f t="shared" si="56"/>
        <v>0</v>
      </c>
      <c r="J687">
        <f>IFERROR(VLOOKUP(B687,'General price list'!C:AI,12,FALSE)*(G687*C687),0)</f>
        <v>0</v>
      </c>
    </row>
    <row r="688" spans="2:10" ht="15" customHeight="1">
      <c r="B688" t="s">
        <v>2300</v>
      </c>
      <c r="C688" s="2" t="str">
        <f>IFERROR(VLOOKUP(B688,'Deutsche Markt'!C:AA,24,FALSE),"")</f>
        <v/>
      </c>
      <c r="D688" s="2">
        <f>IFERROR(VLOOKUP(B688,'Deutsche Markt'!C:AA,25,FALSE),0)</f>
        <v>0</v>
      </c>
      <c r="E688" s="2">
        <f t="shared" si="57"/>
        <v>0</v>
      </c>
      <c r="F688" s="2">
        <f t="shared" si="58"/>
        <v>0</v>
      </c>
      <c r="G688" s="2">
        <f t="shared" si="59"/>
        <v>0</v>
      </c>
      <c r="H688" s="2">
        <f t="shared" si="60"/>
        <v>0</v>
      </c>
      <c r="I688" s="2">
        <f t="shared" si="56"/>
        <v>0</v>
      </c>
      <c r="J688">
        <f>IFERROR(VLOOKUP(B688,'General price list'!C:AI,12,FALSE)*(G688*C688),0)</f>
        <v>0</v>
      </c>
    </row>
    <row r="689" spans="2:10" ht="15" customHeight="1">
      <c r="B689" t="s">
        <v>976</v>
      </c>
      <c r="C689" s="2" t="str">
        <f>IFERROR(VLOOKUP(B689,'Deutsche Markt'!C:AA,24,FALSE),"")</f>
        <v/>
      </c>
      <c r="D689" s="2">
        <f>IFERROR(VLOOKUP(B689,'Deutsche Markt'!C:AA,25,FALSE),0)</f>
        <v>0</v>
      </c>
      <c r="E689" s="2">
        <f t="shared" si="57"/>
        <v>0</v>
      </c>
      <c r="F689" s="2">
        <f t="shared" si="58"/>
        <v>0</v>
      </c>
      <c r="G689" s="2">
        <f t="shared" si="59"/>
        <v>0</v>
      </c>
      <c r="H689" s="2">
        <f t="shared" si="60"/>
        <v>0</v>
      </c>
      <c r="I689" s="2">
        <f t="shared" si="56"/>
        <v>0</v>
      </c>
      <c r="J689">
        <f>IFERROR(VLOOKUP(B689,'General price list'!C:AI,12,FALSE)*(G689*C689),0)</f>
        <v>0</v>
      </c>
    </row>
    <row r="690" spans="2:10" ht="15" customHeight="1">
      <c r="B690" t="s">
        <v>3552</v>
      </c>
      <c r="C690" s="2">
        <f>IFERROR(VLOOKUP(B690,'Deutsche Markt'!C:AA,24,FALSE),"")</f>
        <v>21</v>
      </c>
      <c r="D690" s="2">
        <f>IFERROR(VLOOKUP(B690,'Deutsche Markt'!C:AA,25,FALSE),0)</f>
        <v>0</v>
      </c>
      <c r="E690" s="2">
        <f t="shared" si="57"/>
        <v>0</v>
      </c>
      <c r="F690" s="2">
        <f t="shared" si="58"/>
        <v>0</v>
      </c>
      <c r="G690" s="2">
        <f t="shared" si="59"/>
        <v>0</v>
      </c>
      <c r="H690" s="2">
        <f t="shared" si="60"/>
        <v>0</v>
      </c>
      <c r="I690" s="2">
        <f t="shared" si="56"/>
        <v>0</v>
      </c>
      <c r="J690">
        <f>IFERROR(VLOOKUP(B690,'General price list'!C:AI,12,FALSE)*(G690*C690),0)</f>
        <v>0</v>
      </c>
    </row>
    <row r="691" spans="2:10" ht="15" customHeight="1">
      <c r="B691" t="s">
        <v>3563</v>
      </c>
      <c r="C691" s="2">
        <f>IFERROR(VLOOKUP(B691,'Deutsche Markt'!C:AA,24,FALSE),"")</f>
        <v>21</v>
      </c>
      <c r="D691" s="2">
        <f>IFERROR(VLOOKUP(B691,'Deutsche Markt'!C:AA,25,FALSE),0)</f>
        <v>0</v>
      </c>
      <c r="E691" s="2">
        <f t="shared" si="57"/>
        <v>0</v>
      </c>
      <c r="F691" s="2">
        <f t="shared" si="58"/>
        <v>0</v>
      </c>
      <c r="G691" s="2">
        <f t="shared" si="59"/>
        <v>0</v>
      </c>
      <c r="H691" s="2">
        <f t="shared" si="60"/>
        <v>0</v>
      </c>
      <c r="I691" s="2">
        <f t="shared" si="56"/>
        <v>0</v>
      </c>
      <c r="J691">
        <f>IFERROR(VLOOKUP(B691,'General price list'!C:AI,12,FALSE)*(G691*C691),0)</f>
        <v>0</v>
      </c>
    </row>
    <row r="692" spans="2:10" ht="15" customHeight="1">
      <c r="B692" t="s">
        <v>3618</v>
      </c>
      <c r="C692" s="2">
        <f>IFERROR(VLOOKUP(B692,'Deutsche Markt'!C:AA,24,FALSE),"")</f>
        <v>21</v>
      </c>
      <c r="D692" s="2">
        <f>IFERROR(VLOOKUP(B692,'Deutsche Markt'!C:AA,25,FALSE),0)</f>
        <v>0</v>
      </c>
      <c r="E692" s="2">
        <f t="shared" si="57"/>
        <v>0</v>
      </c>
      <c r="F692" s="2">
        <f t="shared" si="58"/>
        <v>0</v>
      </c>
      <c r="G692" s="2">
        <f t="shared" si="59"/>
        <v>0</v>
      </c>
      <c r="H692" s="2">
        <f t="shared" si="60"/>
        <v>0</v>
      </c>
      <c r="I692" s="2">
        <f t="shared" si="56"/>
        <v>0</v>
      </c>
      <c r="J692">
        <f>IFERROR(VLOOKUP(B692,'General price list'!C:AI,12,FALSE)*(G692*C692),0)</f>
        <v>0</v>
      </c>
    </row>
    <row r="693" spans="2:10" ht="15" customHeight="1">
      <c r="B693" t="s">
        <v>3574</v>
      </c>
      <c r="C693" s="2">
        <f>IFERROR(VLOOKUP(B693,'Deutsche Markt'!C:AA,24,FALSE),"")</f>
        <v>21</v>
      </c>
      <c r="D693" s="2">
        <f>IFERROR(VLOOKUP(B693,'Deutsche Markt'!C:AA,25,FALSE),0)</f>
        <v>0</v>
      </c>
      <c r="E693" s="2">
        <f t="shared" si="57"/>
        <v>0</v>
      </c>
      <c r="F693" s="2">
        <f t="shared" si="58"/>
        <v>0</v>
      </c>
      <c r="G693" s="2">
        <f t="shared" si="59"/>
        <v>0</v>
      </c>
      <c r="H693" s="2">
        <f t="shared" si="60"/>
        <v>0</v>
      </c>
      <c r="I693" s="2">
        <f t="shared" si="56"/>
        <v>0</v>
      </c>
      <c r="J693">
        <f>IFERROR(VLOOKUP(B693,'General price list'!C:AI,12,FALSE)*(G693*C693),0)</f>
        <v>0</v>
      </c>
    </row>
    <row r="694" spans="2:10" ht="15" customHeight="1">
      <c r="B694" t="s">
        <v>3607</v>
      </c>
      <c r="C694" s="2">
        <f>IFERROR(VLOOKUP(B694,'Deutsche Markt'!C:AA,24,FALSE),"")</f>
        <v>21</v>
      </c>
      <c r="D694" s="2">
        <f>IFERROR(VLOOKUP(B694,'Deutsche Markt'!C:AA,25,FALSE),0)</f>
        <v>0</v>
      </c>
      <c r="E694" s="2">
        <f t="shared" si="57"/>
        <v>0</v>
      </c>
      <c r="F694" s="2">
        <f t="shared" si="58"/>
        <v>0</v>
      </c>
      <c r="G694" s="2">
        <f t="shared" si="59"/>
        <v>0</v>
      </c>
      <c r="H694" s="2">
        <f t="shared" si="60"/>
        <v>0</v>
      </c>
      <c r="I694" s="2">
        <f t="shared" si="56"/>
        <v>0</v>
      </c>
      <c r="J694">
        <f>IFERROR(VLOOKUP(B694,'General price list'!C:AI,12,FALSE)*(G694*C694),0)</f>
        <v>0</v>
      </c>
    </row>
    <row r="695" spans="2:10" ht="15" customHeight="1">
      <c r="B695" t="s">
        <v>3596</v>
      </c>
      <c r="C695" s="2">
        <f>IFERROR(VLOOKUP(B695,'Deutsche Markt'!C:AA,24,FALSE),"")</f>
        <v>21</v>
      </c>
      <c r="D695" s="2">
        <f>IFERROR(VLOOKUP(B695,'Deutsche Markt'!C:AA,25,FALSE),0)</f>
        <v>0</v>
      </c>
      <c r="E695" s="2">
        <f t="shared" si="57"/>
        <v>0</v>
      </c>
      <c r="F695" s="2">
        <f t="shared" si="58"/>
        <v>0</v>
      </c>
      <c r="G695" s="2">
        <f t="shared" si="59"/>
        <v>0</v>
      </c>
      <c r="H695" s="2">
        <f t="shared" si="60"/>
        <v>0</v>
      </c>
      <c r="I695" s="2">
        <f t="shared" si="56"/>
        <v>0</v>
      </c>
      <c r="J695">
        <f>IFERROR(VLOOKUP(B695,'General price list'!C:AI,12,FALSE)*(G695*C695),0)</f>
        <v>0</v>
      </c>
    </row>
    <row r="696" spans="2:10" ht="15" customHeight="1">
      <c r="B696" t="s">
        <v>3585</v>
      </c>
      <c r="C696" s="2">
        <f>IFERROR(VLOOKUP(B696,'Deutsche Markt'!C:AA,24,FALSE),"")</f>
        <v>21</v>
      </c>
      <c r="D696" s="2">
        <f>IFERROR(VLOOKUP(B696,'Deutsche Markt'!C:AA,25,FALSE),0)</f>
        <v>0</v>
      </c>
      <c r="E696" s="2">
        <f t="shared" si="57"/>
        <v>0</v>
      </c>
      <c r="F696" s="2">
        <f t="shared" si="58"/>
        <v>0</v>
      </c>
      <c r="G696" s="2">
        <f t="shared" si="59"/>
        <v>0</v>
      </c>
      <c r="H696" s="2">
        <f t="shared" si="60"/>
        <v>0</v>
      </c>
      <c r="I696" s="2">
        <f t="shared" si="56"/>
        <v>0</v>
      </c>
      <c r="J696">
        <f>IFERROR(VLOOKUP(B696,'General price list'!C:AI,12,FALSE)*(G696*C696),0)</f>
        <v>0</v>
      </c>
    </row>
    <row r="697" spans="2:10" ht="15" customHeight="1">
      <c r="B697" t="s">
        <v>2061</v>
      </c>
      <c r="C697" s="2">
        <f>IFERROR(VLOOKUP(B697,'Deutsche Markt'!C:AA,24,FALSE),"")</f>
        <v>70</v>
      </c>
      <c r="D697" s="2">
        <f>IFERROR(VLOOKUP(B697,'Deutsche Markt'!C:AA,25,FALSE),0)</f>
        <v>0</v>
      </c>
      <c r="E697" s="2">
        <f t="shared" si="57"/>
        <v>0</v>
      </c>
      <c r="F697" s="2">
        <f t="shared" si="58"/>
        <v>0</v>
      </c>
      <c r="G697" s="2">
        <f t="shared" si="59"/>
        <v>0</v>
      </c>
      <c r="H697" s="2">
        <f t="shared" si="60"/>
        <v>0</v>
      </c>
      <c r="I697" s="2">
        <f t="shared" si="56"/>
        <v>0</v>
      </c>
      <c r="J697">
        <f>IFERROR(VLOOKUP(B697,'General price list'!C:AI,12,FALSE)*(G697*C697),0)</f>
        <v>0</v>
      </c>
    </row>
    <row r="698" spans="2:10" ht="15" customHeight="1">
      <c r="B698" t="s">
        <v>2066</v>
      </c>
      <c r="C698" s="2">
        <f>IFERROR(VLOOKUP(B698,'Deutsche Markt'!C:AA,24,FALSE),"")</f>
        <v>48</v>
      </c>
      <c r="D698" s="2">
        <f>IFERROR(VLOOKUP(B698,'Deutsche Markt'!C:AA,25,FALSE),0)</f>
        <v>0</v>
      </c>
      <c r="E698" s="2">
        <f t="shared" si="57"/>
        <v>0</v>
      </c>
      <c r="F698" s="2">
        <f t="shared" si="58"/>
        <v>0</v>
      </c>
      <c r="G698" s="2">
        <f t="shared" si="59"/>
        <v>0</v>
      </c>
      <c r="H698" s="2">
        <f t="shared" si="60"/>
        <v>0</v>
      </c>
      <c r="I698" s="2">
        <f t="shared" si="56"/>
        <v>0</v>
      </c>
      <c r="J698">
        <f>IFERROR(VLOOKUP(B698,'General price list'!C:AI,12,FALSE)*(G698*C698),0)</f>
        <v>0</v>
      </c>
    </row>
    <row r="699" spans="2:10" ht="15" customHeight="1">
      <c r="B699" t="s">
        <v>2075</v>
      </c>
      <c r="C699" s="2">
        <f>IFERROR(VLOOKUP(B699,'Deutsche Markt'!C:AA,24,FALSE),"")</f>
        <v>32</v>
      </c>
      <c r="D699" s="2">
        <f>IFERROR(VLOOKUP(B699,'Deutsche Markt'!C:AA,25,FALSE),0)</f>
        <v>0</v>
      </c>
      <c r="E699" s="2">
        <f t="shared" si="57"/>
        <v>0</v>
      </c>
      <c r="F699" s="2">
        <f t="shared" si="58"/>
        <v>0</v>
      </c>
      <c r="G699" s="2">
        <f t="shared" si="59"/>
        <v>0</v>
      </c>
      <c r="H699" s="2">
        <f t="shared" si="60"/>
        <v>0</v>
      </c>
      <c r="I699" s="2">
        <f t="shared" si="56"/>
        <v>0</v>
      </c>
      <c r="J699">
        <f>IFERROR(VLOOKUP(B699,'General price list'!C:AI,12,FALSE)*(G699*C699),0)</f>
        <v>0</v>
      </c>
    </row>
    <row r="700" spans="2:10" ht="15" customHeight="1">
      <c r="B700" t="s">
        <v>2644</v>
      </c>
      <c r="C700" s="2" t="str">
        <f>IFERROR(VLOOKUP(B700,'Deutsche Markt'!C:AA,24,FALSE),"")</f>
        <v>42</v>
      </c>
      <c r="D700" s="2">
        <f>IFERROR(VLOOKUP(B700,'Deutsche Markt'!C:AA,25,FALSE),0)</f>
        <v>0</v>
      </c>
      <c r="E700" s="2">
        <f t="shared" si="57"/>
        <v>0</v>
      </c>
      <c r="F700" s="2">
        <f t="shared" si="58"/>
        <v>0</v>
      </c>
      <c r="G700" s="2">
        <f t="shared" si="59"/>
        <v>0</v>
      </c>
      <c r="H700" s="2">
        <f t="shared" si="60"/>
        <v>0</v>
      </c>
      <c r="I700" s="2">
        <f t="shared" si="56"/>
        <v>0</v>
      </c>
      <c r="J700">
        <f>IFERROR(VLOOKUP(B700,'General price list'!C:AI,12,FALSE)*(G700*C700),0)</f>
        <v>0</v>
      </c>
    </row>
    <row r="701" spans="2:10" ht="15" customHeight="1">
      <c r="B701" t="s">
        <v>2077</v>
      </c>
      <c r="C701" s="2" t="str">
        <f>IFERROR(VLOOKUP(B701,'Deutsche Markt'!C:AA,24,FALSE),"")</f>
        <v/>
      </c>
      <c r="D701" s="2">
        <f>IFERROR(VLOOKUP(B701,'Deutsche Markt'!C:AA,25,FALSE),0)</f>
        <v>0</v>
      </c>
      <c r="E701" s="2">
        <f t="shared" si="57"/>
        <v>0</v>
      </c>
      <c r="F701" s="2">
        <f t="shared" si="58"/>
        <v>0</v>
      </c>
      <c r="G701" s="2">
        <f t="shared" si="59"/>
        <v>0</v>
      </c>
      <c r="H701" s="2">
        <f t="shared" si="60"/>
        <v>0</v>
      </c>
      <c r="I701" s="2">
        <f t="shared" si="56"/>
        <v>0</v>
      </c>
      <c r="J701">
        <f>IFERROR(VLOOKUP(B701,'General price list'!C:AI,12,FALSE)*(G701*C701),0)</f>
        <v>0</v>
      </c>
    </row>
    <row r="702" spans="2:10" ht="15" customHeight="1">
      <c r="B702" t="s">
        <v>2056</v>
      </c>
      <c r="C702" s="2" t="str">
        <f>IFERROR(VLOOKUP(B702,'Deutsche Markt'!C:AA,24,FALSE),"")</f>
        <v/>
      </c>
      <c r="D702" s="2">
        <f>IFERROR(VLOOKUP(B702,'Deutsche Markt'!C:AA,25,FALSE),0)</f>
        <v>0</v>
      </c>
      <c r="E702" s="2">
        <f t="shared" si="57"/>
        <v>0</v>
      </c>
      <c r="F702" s="2">
        <f t="shared" si="58"/>
        <v>0</v>
      </c>
      <c r="G702" s="2">
        <f t="shared" si="59"/>
        <v>0</v>
      </c>
      <c r="H702" s="2">
        <f t="shared" si="60"/>
        <v>0</v>
      </c>
      <c r="I702" s="2">
        <f t="shared" si="56"/>
        <v>0</v>
      </c>
      <c r="J702">
        <f>IFERROR(VLOOKUP(B702,'General price list'!C:AI,12,FALSE)*(G702*C702),0)</f>
        <v>0</v>
      </c>
    </row>
    <row r="703" spans="2:10" ht="15" customHeight="1">
      <c r="B703" t="s">
        <v>746</v>
      </c>
      <c r="C703" s="2" t="str">
        <f>IFERROR(VLOOKUP(B703,'Deutsche Markt'!C:AA,24,FALSE),"")</f>
        <v/>
      </c>
      <c r="D703" s="2">
        <f>IFERROR(VLOOKUP(B703,'Deutsche Markt'!C:AA,25,FALSE),0)</f>
        <v>0</v>
      </c>
      <c r="E703" s="2">
        <f t="shared" si="57"/>
        <v>0</v>
      </c>
      <c r="F703" s="2">
        <f t="shared" si="58"/>
        <v>0</v>
      </c>
      <c r="G703" s="2">
        <f t="shared" si="59"/>
        <v>0</v>
      </c>
      <c r="H703" s="2">
        <f t="shared" si="60"/>
        <v>0</v>
      </c>
      <c r="I703" s="2">
        <f t="shared" si="56"/>
        <v>0</v>
      </c>
      <c r="J703">
        <f>IFERROR(VLOOKUP(B703,'General price list'!C:AI,12,FALSE)*(G703*C703),0)</f>
        <v>0</v>
      </c>
    </row>
    <row r="704" spans="2:10" ht="15" customHeight="1">
      <c r="B704" t="s">
        <v>682</v>
      </c>
      <c r="C704" s="2" t="str">
        <f>IFERROR(VLOOKUP(B704,'Deutsche Markt'!C:AA,24,FALSE),"")</f>
        <v/>
      </c>
      <c r="D704" s="2">
        <f>IFERROR(VLOOKUP(B704,'Deutsche Markt'!C:AA,25,FALSE),0)</f>
        <v>0</v>
      </c>
      <c r="E704" s="2">
        <f t="shared" si="57"/>
        <v>0</v>
      </c>
      <c r="F704" s="2">
        <f t="shared" si="58"/>
        <v>0</v>
      </c>
      <c r="G704" s="2">
        <f t="shared" si="59"/>
        <v>0</v>
      </c>
      <c r="H704" s="2">
        <f t="shared" si="60"/>
        <v>0</v>
      </c>
      <c r="I704" s="2">
        <f t="shared" si="56"/>
        <v>0</v>
      </c>
      <c r="J704">
        <f>IFERROR(VLOOKUP(B704,'General price list'!C:AI,12,FALSE)*(G704*C704),0)</f>
        <v>0</v>
      </c>
    </row>
    <row r="705" spans="2:10" ht="15" customHeight="1">
      <c r="B705" t="s">
        <v>2314</v>
      </c>
      <c r="C705" s="2" t="str">
        <f>IFERROR(VLOOKUP(B705,'Deutsche Markt'!C:AA,24,FALSE),"")</f>
        <v/>
      </c>
      <c r="D705" s="2">
        <f>IFERROR(VLOOKUP(B705,'Deutsche Markt'!C:AA,25,FALSE),0)</f>
        <v>0</v>
      </c>
      <c r="E705" s="2">
        <f t="shared" si="57"/>
        <v>0</v>
      </c>
      <c r="F705" s="2">
        <f t="shared" si="58"/>
        <v>0</v>
      </c>
      <c r="G705" s="2">
        <f t="shared" si="59"/>
        <v>0</v>
      </c>
      <c r="H705" s="2">
        <f t="shared" si="60"/>
        <v>0</v>
      </c>
      <c r="I705" s="2">
        <f t="shared" si="56"/>
        <v>0</v>
      </c>
      <c r="J705">
        <f>IFERROR(VLOOKUP(B705,'General price list'!C:AI,12,FALSE)*(G705*C705),0)</f>
        <v>0</v>
      </c>
    </row>
    <row r="706" spans="2:10" ht="15" customHeight="1">
      <c r="B706" t="s">
        <v>2315</v>
      </c>
      <c r="C706" s="2" t="str">
        <f>IFERROR(VLOOKUP(B706,'Deutsche Markt'!C:AA,24,FALSE),"")</f>
        <v/>
      </c>
      <c r="D706" s="2">
        <f>IFERROR(VLOOKUP(B706,'Deutsche Markt'!C:AA,25,FALSE),0)</f>
        <v>0</v>
      </c>
      <c r="E706" s="2">
        <f t="shared" si="57"/>
        <v>0</v>
      </c>
      <c r="F706" s="2">
        <f t="shared" si="58"/>
        <v>0</v>
      </c>
      <c r="G706" s="2">
        <f t="shared" si="59"/>
        <v>0</v>
      </c>
      <c r="H706" s="2">
        <f t="shared" si="60"/>
        <v>0</v>
      </c>
      <c r="I706" s="2">
        <f t="shared" si="56"/>
        <v>0</v>
      </c>
      <c r="J706">
        <f>IFERROR(VLOOKUP(B706,'General price list'!C:AI,12,FALSE)*(G706*C706),0)</f>
        <v>0</v>
      </c>
    </row>
    <row r="707" spans="2:10" ht="15" customHeight="1">
      <c r="B707" t="s">
        <v>4233</v>
      </c>
      <c r="C707" s="2">
        <f>IFERROR(VLOOKUP(B707,'Deutsche Markt'!C:AA,24,FALSE),"")</f>
        <v>36</v>
      </c>
      <c r="D707" s="2">
        <f>IFERROR(VLOOKUP(B707,'Deutsche Markt'!C:AA,25,FALSE),0)</f>
        <v>0</v>
      </c>
      <c r="E707" s="2">
        <f t="shared" si="57"/>
        <v>0</v>
      </c>
      <c r="F707" s="2">
        <f t="shared" si="58"/>
        <v>0</v>
      </c>
      <c r="G707" s="2">
        <f t="shared" si="59"/>
        <v>0</v>
      </c>
      <c r="H707" s="2">
        <f t="shared" si="60"/>
        <v>0</v>
      </c>
      <c r="I707" s="2">
        <f t="shared" si="56"/>
        <v>0</v>
      </c>
      <c r="J707">
        <f>IFERROR(VLOOKUP(B707,'General price list'!C:AI,12,FALSE)*(G707*C707),0)</f>
        <v>0</v>
      </c>
    </row>
    <row r="708" spans="2:10" ht="15" customHeight="1">
      <c r="B708" t="s">
        <v>696</v>
      </c>
      <c r="C708" s="2" t="str">
        <f>IFERROR(VLOOKUP(B708,'Deutsche Markt'!C:AA,24,FALSE),"")</f>
        <v/>
      </c>
      <c r="D708" s="2">
        <f>IFERROR(VLOOKUP(B708,'Deutsche Markt'!C:AA,25,FALSE),0)</f>
        <v>0</v>
      </c>
      <c r="E708" s="2">
        <f t="shared" si="57"/>
        <v>0</v>
      </c>
      <c r="F708" s="2">
        <f t="shared" si="58"/>
        <v>0</v>
      </c>
      <c r="G708" s="2">
        <f t="shared" si="59"/>
        <v>0</v>
      </c>
      <c r="H708" s="2">
        <f t="shared" si="60"/>
        <v>0</v>
      </c>
      <c r="I708" s="2">
        <f t="shared" ref="I708:I771" si="61">IFERROR(IF(D708=0,0,IF(F708=0,(D708*nextVK)+(prvniVK-nextVK),(G708*C708*nextVK)+(F708*PALzKoje))),0)</f>
        <v>0</v>
      </c>
      <c r="J708">
        <f>IFERROR(VLOOKUP(B708,'General price list'!C:AI,12,FALSE)*(G708*C708),0)</f>
        <v>0</v>
      </c>
    </row>
    <row r="709" spans="2:10" ht="15" customHeight="1">
      <c r="B709" t="s">
        <v>4232</v>
      </c>
      <c r="C709" s="2" t="str">
        <f>IFERROR(VLOOKUP(B709,'Deutsche Markt'!C:AA,24,FALSE),"")</f>
        <v/>
      </c>
      <c r="D709" s="2">
        <f>IFERROR(VLOOKUP(B709,'Deutsche Markt'!C:AA,25,FALSE),0)</f>
        <v>0</v>
      </c>
      <c r="E709" s="2">
        <f t="shared" ref="E709:E772" si="62">IFERROR(D709/C709,0)</f>
        <v>0</v>
      </c>
      <c r="F709" s="2">
        <f t="shared" ref="F709:F772" si="63">IFERROR(FLOOR(IF(E709-1&lt;0,0,E709),1),0)</f>
        <v>0</v>
      </c>
      <c r="G709" s="2">
        <f t="shared" ref="G709:G772" si="64">IFERROR(IF(H709&gt;E709,F709-E709,E709-F709),0)</f>
        <v>0</v>
      </c>
      <c r="H709" s="2">
        <f t="shared" ref="H709:H772" si="65">IFERROR(IF(E709=0,0,F709),0)</f>
        <v>0</v>
      </c>
      <c r="I709" s="2">
        <f t="shared" si="61"/>
        <v>0</v>
      </c>
      <c r="J709">
        <f>IFERROR(VLOOKUP(B709,'General price list'!C:AI,12,FALSE)*(G709*C709),0)</f>
        <v>0</v>
      </c>
    </row>
    <row r="710" spans="2:10" ht="15" customHeight="1">
      <c r="B710" t="s">
        <v>757</v>
      </c>
      <c r="C710" s="2" t="str">
        <f>IFERROR(VLOOKUP(B710,'Deutsche Markt'!C:AA,24,FALSE),"")</f>
        <v/>
      </c>
      <c r="D710" s="2">
        <f>IFERROR(VLOOKUP(B710,'Deutsche Markt'!C:AA,25,FALSE),0)</f>
        <v>0</v>
      </c>
      <c r="E710" s="2">
        <f t="shared" si="62"/>
        <v>0</v>
      </c>
      <c r="F710" s="2">
        <f t="shared" si="63"/>
        <v>0</v>
      </c>
      <c r="G710" s="2">
        <f t="shared" si="64"/>
        <v>0</v>
      </c>
      <c r="H710" s="2">
        <f t="shared" si="65"/>
        <v>0</v>
      </c>
      <c r="I710" s="2">
        <f t="shared" si="61"/>
        <v>0</v>
      </c>
      <c r="J710">
        <f>IFERROR(VLOOKUP(B710,'General price list'!C:AI,12,FALSE)*(G710*C710),0)</f>
        <v>0</v>
      </c>
    </row>
    <row r="711" spans="2:10" ht="15" customHeight="1">
      <c r="B711" t="s">
        <v>767</v>
      </c>
      <c r="C711" s="2" t="str">
        <f>IFERROR(VLOOKUP(B711,'Deutsche Markt'!C:AA,24,FALSE),"")</f>
        <v/>
      </c>
      <c r="D711" s="2">
        <f>IFERROR(VLOOKUP(B711,'Deutsche Markt'!C:AA,25,FALSE),0)</f>
        <v>0</v>
      </c>
      <c r="E711" s="2">
        <f t="shared" si="62"/>
        <v>0</v>
      </c>
      <c r="F711" s="2">
        <f t="shared" si="63"/>
        <v>0</v>
      </c>
      <c r="G711" s="2">
        <f t="shared" si="64"/>
        <v>0</v>
      </c>
      <c r="H711" s="2">
        <f t="shared" si="65"/>
        <v>0</v>
      </c>
      <c r="I711" s="2">
        <f t="shared" si="61"/>
        <v>0</v>
      </c>
      <c r="J711">
        <f>IFERROR(VLOOKUP(B711,'General price list'!C:AI,12,FALSE)*(G711*C711),0)</f>
        <v>0</v>
      </c>
    </row>
    <row r="712" spans="2:10" ht="15" customHeight="1">
      <c r="B712" t="s">
        <v>766</v>
      </c>
      <c r="C712" s="2" t="str">
        <f>IFERROR(VLOOKUP(B712,'Deutsche Markt'!C:AA,24,FALSE),"")</f>
        <v/>
      </c>
      <c r="D712" s="2">
        <f>IFERROR(VLOOKUP(B712,'Deutsche Markt'!C:AA,25,FALSE),0)</f>
        <v>0</v>
      </c>
      <c r="E712" s="2">
        <f t="shared" si="62"/>
        <v>0</v>
      </c>
      <c r="F712" s="2">
        <f t="shared" si="63"/>
        <v>0</v>
      </c>
      <c r="G712" s="2">
        <f t="shared" si="64"/>
        <v>0</v>
      </c>
      <c r="H712" s="2">
        <f t="shared" si="65"/>
        <v>0</v>
      </c>
      <c r="I712" s="2">
        <f t="shared" si="61"/>
        <v>0</v>
      </c>
      <c r="J712">
        <f>IFERROR(VLOOKUP(B712,'General price list'!C:AI,12,FALSE)*(G712*C712),0)</f>
        <v>0</v>
      </c>
    </row>
    <row r="713" spans="2:10" ht="15" customHeight="1">
      <c r="B713" t="s">
        <v>749</v>
      </c>
      <c r="C713" s="2" t="str">
        <f>IFERROR(VLOOKUP(B713,'Deutsche Markt'!C:AA,24,FALSE),"")</f>
        <v/>
      </c>
      <c r="D713" s="2">
        <f>IFERROR(VLOOKUP(B713,'Deutsche Markt'!C:AA,25,FALSE),0)</f>
        <v>0</v>
      </c>
      <c r="E713" s="2">
        <f t="shared" si="62"/>
        <v>0</v>
      </c>
      <c r="F713" s="2">
        <f t="shared" si="63"/>
        <v>0</v>
      </c>
      <c r="G713" s="2">
        <f t="shared" si="64"/>
        <v>0</v>
      </c>
      <c r="H713" s="2">
        <f t="shared" si="65"/>
        <v>0</v>
      </c>
      <c r="I713" s="2">
        <f t="shared" si="61"/>
        <v>0</v>
      </c>
      <c r="J713">
        <f>IFERROR(VLOOKUP(B713,'General price list'!C:AI,12,FALSE)*(G713*C713),0)</f>
        <v>0</v>
      </c>
    </row>
    <row r="714" spans="2:10" ht="15" customHeight="1">
      <c r="B714" t="s">
        <v>744</v>
      </c>
      <c r="C714" s="2" t="str">
        <f>IFERROR(VLOOKUP(B714,'Deutsche Markt'!C:AA,24,FALSE),"")</f>
        <v/>
      </c>
      <c r="D714" s="2">
        <f>IFERROR(VLOOKUP(B714,'Deutsche Markt'!C:AA,25,FALSE),0)</f>
        <v>0</v>
      </c>
      <c r="E714" s="2">
        <f t="shared" si="62"/>
        <v>0</v>
      </c>
      <c r="F714" s="2">
        <f t="shared" si="63"/>
        <v>0</v>
      </c>
      <c r="G714" s="2">
        <f t="shared" si="64"/>
        <v>0</v>
      </c>
      <c r="H714" s="2">
        <f t="shared" si="65"/>
        <v>0</v>
      </c>
      <c r="I714" s="2">
        <f t="shared" si="61"/>
        <v>0</v>
      </c>
      <c r="J714">
        <f>IFERROR(VLOOKUP(B714,'General price list'!C:AI,12,FALSE)*(G714*C714),0)</f>
        <v>0</v>
      </c>
    </row>
    <row r="715" spans="2:10" ht="15" customHeight="1">
      <c r="B715" t="s">
        <v>753</v>
      </c>
      <c r="C715" s="2" t="str">
        <f>IFERROR(VLOOKUP(B715,'Deutsche Markt'!C:AA,24,FALSE),"")</f>
        <v/>
      </c>
      <c r="D715" s="2">
        <f>IFERROR(VLOOKUP(B715,'Deutsche Markt'!C:AA,25,FALSE),0)</f>
        <v>0</v>
      </c>
      <c r="E715" s="2">
        <f t="shared" si="62"/>
        <v>0</v>
      </c>
      <c r="F715" s="2">
        <f t="shared" si="63"/>
        <v>0</v>
      </c>
      <c r="G715" s="2">
        <f t="shared" si="64"/>
        <v>0</v>
      </c>
      <c r="H715" s="2">
        <f t="shared" si="65"/>
        <v>0</v>
      </c>
      <c r="I715" s="2">
        <f t="shared" si="61"/>
        <v>0</v>
      </c>
      <c r="J715">
        <f>IFERROR(VLOOKUP(B715,'General price list'!C:AI,12,FALSE)*(G715*C715),0)</f>
        <v>0</v>
      </c>
    </row>
    <row r="716" spans="2:10" ht="15" customHeight="1">
      <c r="B716" t="s">
        <v>745</v>
      </c>
      <c r="C716" s="2" t="str">
        <f>IFERROR(VLOOKUP(B716,'Deutsche Markt'!C:AA,24,FALSE),"")</f>
        <v/>
      </c>
      <c r="D716" s="2">
        <f>IFERROR(VLOOKUP(B716,'Deutsche Markt'!C:AA,25,FALSE),0)</f>
        <v>0</v>
      </c>
      <c r="E716" s="2">
        <f t="shared" si="62"/>
        <v>0</v>
      </c>
      <c r="F716" s="2">
        <f t="shared" si="63"/>
        <v>0</v>
      </c>
      <c r="G716" s="2">
        <f t="shared" si="64"/>
        <v>0</v>
      </c>
      <c r="H716" s="2">
        <f t="shared" si="65"/>
        <v>0</v>
      </c>
      <c r="I716" s="2">
        <f t="shared" si="61"/>
        <v>0</v>
      </c>
      <c r="J716">
        <f>IFERROR(VLOOKUP(B716,'General price list'!C:AI,12,FALSE)*(G716*C716),0)</f>
        <v>0</v>
      </c>
    </row>
    <row r="717" spans="2:10" ht="15" customHeight="1">
      <c r="B717" t="s">
        <v>11785</v>
      </c>
      <c r="C717" s="2" t="str">
        <f>IFERROR(VLOOKUP(B717,'Deutsche Markt'!C:AA,24,FALSE),"")</f>
        <v/>
      </c>
      <c r="D717" s="2">
        <f>IFERROR(VLOOKUP(B717,'Deutsche Markt'!C:AA,25,FALSE),0)</f>
        <v>0</v>
      </c>
      <c r="E717" s="2">
        <f t="shared" si="62"/>
        <v>0</v>
      </c>
      <c r="F717" s="2">
        <f t="shared" si="63"/>
        <v>0</v>
      </c>
      <c r="G717" s="2">
        <f t="shared" si="64"/>
        <v>0</v>
      </c>
      <c r="H717" s="2">
        <f t="shared" si="65"/>
        <v>0</v>
      </c>
      <c r="I717" s="2">
        <f t="shared" si="61"/>
        <v>0</v>
      </c>
      <c r="J717">
        <f>IFERROR(VLOOKUP(B717,'General price list'!C:AI,12,FALSE)*(G717*C717),0)</f>
        <v>0</v>
      </c>
    </row>
    <row r="718" spans="2:10" ht="15" customHeight="1">
      <c r="B718" t="s">
        <v>11786</v>
      </c>
      <c r="C718" s="2" t="str">
        <f>IFERROR(VLOOKUP(B718,'Deutsche Markt'!C:AA,24,FALSE),"")</f>
        <v/>
      </c>
      <c r="D718" s="2">
        <f>IFERROR(VLOOKUP(B718,'Deutsche Markt'!C:AA,25,FALSE),0)</f>
        <v>0</v>
      </c>
      <c r="E718" s="2">
        <f t="shared" si="62"/>
        <v>0</v>
      </c>
      <c r="F718" s="2">
        <f t="shared" si="63"/>
        <v>0</v>
      </c>
      <c r="G718" s="2">
        <f t="shared" si="64"/>
        <v>0</v>
      </c>
      <c r="H718" s="2">
        <f t="shared" si="65"/>
        <v>0</v>
      </c>
      <c r="I718" s="2">
        <f t="shared" si="61"/>
        <v>0</v>
      </c>
      <c r="J718">
        <f>IFERROR(VLOOKUP(B718,'General price list'!C:AI,12,FALSE)*(G718*C718),0)</f>
        <v>0</v>
      </c>
    </row>
    <row r="719" spans="2:10" ht="15" customHeight="1">
      <c r="B719" t="s">
        <v>11787</v>
      </c>
      <c r="C719" s="2" t="str">
        <f>IFERROR(VLOOKUP(B719,'Deutsche Markt'!C:AA,24,FALSE),"")</f>
        <v/>
      </c>
      <c r="D719" s="2">
        <f>IFERROR(VLOOKUP(B719,'Deutsche Markt'!C:AA,25,FALSE),0)</f>
        <v>0</v>
      </c>
      <c r="E719" s="2">
        <f t="shared" si="62"/>
        <v>0</v>
      </c>
      <c r="F719" s="2">
        <f t="shared" si="63"/>
        <v>0</v>
      </c>
      <c r="G719" s="2">
        <f t="shared" si="64"/>
        <v>0</v>
      </c>
      <c r="H719" s="2">
        <f t="shared" si="65"/>
        <v>0</v>
      </c>
      <c r="I719" s="2">
        <f t="shared" si="61"/>
        <v>0</v>
      </c>
      <c r="J719">
        <f>IFERROR(VLOOKUP(B719,'General price list'!C:AI,12,FALSE)*(G719*C719),0)</f>
        <v>0</v>
      </c>
    </row>
    <row r="720" spans="2:10" ht="15" customHeight="1">
      <c r="B720" t="s">
        <v>11788</v>
      </c>
      <c r="C720" s="2" t="str">
        <f>IFERROR(VLOOKUP(B720,'Deutsche Markt'!C:AA,24,FALSE),"")</f>
        <v/>
      </c>
      <c r="D720" s="2">
        <f>IFERROR(VLOOKUP(B720,'Deutsche Markt'!C:AA,25,FALSE),0)</f>
        <v>0</v>
      </c>
      <c r="E720" s="2">
        <f t="shared" si="62"/>
        <v>0</v>
      </c>
      <c r="F720" s="2">
        <f t="shared" si="63"/>
        <v>0</v>
      </c>
      <c r="G720" s="2">
        <f t="shared" si="64"/>
        <v>0</v>
      </c>
      <c r="H720" s="2">
        <f t="shared" si="65"/>
        <v>0</v>
      </c>
      <c r="I720" s="2">
        <f t="shared" si="61"/>
        <v>0</v>
      </c>
      <c r="J720">
        <f>IFERROR(VLOOKUP(B720,'General price list'!C:AI,12,FALSE)*(G720*C720),0)</f>
        <v>0</v>
      </c>
    </row>
    <row r="721" spans="2:10" ht="15" customHeight="1">
      <c r="B721" t="s">
        <v>11789</v>
      </c>
      <c r="C721" s="2" t="str">
        <f>IFERROR(VLOOKUP(B721,'Deutsche Markt'!C:AA,24,FALSE),"")</f>
        <v/>
      </c>
      <c r="D721" s="2">
        <f>IFERROR(VLOOKUP(B721,'Deutsche Markt'!C:AA,25,FALSE),0)</f>
        <v>0</v>
      </c>
      <c r="E721" s="2">
        <f t="shared" si="62"/>
        <v>0</v>
      </c>
      <c r="F721" s="2">
        <f t="shared" si="63"/>
        <v>0</v>
      </c>
      <c r="G721" s="2">
        <f t="shared" si="64"/>
        <v>0</v>
      </c>
      <c r="H721" s="2">
        <f t="shared" si="65"/>
        <v>0</v>
      </c>
      <c r="I721" s="2">
        <f t="shared" si="61"/>
        <v>0</v>
      </c>
      <c r="J721">
        <f>IFERROR(VLOOKUP(B721,'General price list'!C:AI,12,FALSE)*(G721*C721),0)</f>
        <v>0</v>
      </c>
    </row>
    <row r="722" spans="2:10" ht="15" customHeight="1">
      <c r="B722" t="s">
        <v>11790</v>
      </c>
      <c r="C722" s="2" t="str">
        <f>IFERROR(VLOOKUP(B722,'Deutsche Markt'!C:AA,24,FALSE),"")</f>
        <v/>
      </c>
      <c r="D722" s="2">
        <f>IFERROR(VLOOKUP(B722,'Deutsche Markt'!C:AA,25,FALSE),0)</f>
        <v>0</v>
      </c>
      <c r="E722" s="2">
        <f t="shared" si="62"/>
        <v>0</v>
      </c>
      <c r="F722" s="2">
        <f t="shared" si="63"/>
        <v>0</v>
      </c>
      <c r="G722" s="2">
        <f t="shared" si="64"/>
        <v>0</v>
      </c>
      <c r="H722" s="2">
        <f t="shared" si="65"/>
        <v>0</v>
      </c>
      <c r="I722" s="2">
        <f t="shared" si="61"/>
        <v>0</v>
      </c>
      <c r="J722">
        <f>IFERROR(VLOOKUP(B722,'General price list'!C:AI,12,FALSE)*(G722*C722),0)</f>
        <v>0</v>
      </c>
    </row>
    <row r="723" spans="2:10" ht="15" customHeight="1">
      <c r="B723" t="s">
        <v>11791</v>
      </c>
      <c r="C723" s="2" t="str">
        <f>IFERROR(VLOOKUP(B723,'Deutsche Markt'!C:AA,24,FALSE),"")</f>
        <v/>
      </c>
      <c r="D723" s="2">
        <f>IFERROR(VLOOKUP(B723,'Deutsche Markt'!C:AA,25,FALSE),0)</f>
        <v>0</v>
      </c>
      <c r="E723" s="2">
        <f t="shared" si="62"/>
        <v>0</v>
      </c>
      <c r="F723" s="2">
        <f t="shared" si="63"/>
        <v>0</v>
      </c>
      <c r="G723" s="2">
        <f t="shared" si="64"/>
        <v>0</v>
      </c>
      <c r="H723" s="2">
        <f t="shared" si="65"/>
        <v>0</v>
      </c>
      <c r="I723" s="2">
        <f t="shared" si="61"/>
        <v>0</v>
      </c>
      <c r="J723">
        <f>IFERROR(VLOOKUP(B723,'General price list'!C:AI,12,FALSE)*(G723*C723),0)</f>
        <v>0</v>
      </c>
    </row>
    <row r="724" spans="2:10" ht="15" customHeight="1">
      <c r="B724" t="s">
        <v>11792</v>
      </c>
      <c r="C724" s="2" t="str">
        <f>IFERROR(VLOOKUP(B724,'Deutsche Markt'!C:AA,24,FALSE),"")</f>
        <v/>
      </c>
      <c r="D724" s="2">
        <f>IFERROR(VLOOKUP(B724,'Deutsche Markt'!C:AA,25,FALSE),0)</f>
        <v>0</v>
      </c>
      <c r="E724" s="2">
        <f t="shared" si="62"/>
        <v>0</v>
      </c>
      <c r="F724" s="2">
        <f t="shared" si="63"/>
        <v>0</v>
      </c>
      <c r="G724" s="2">
        <f t="shared" si="64"/>
        <v>0</v>
      </c>
      <c r="H724" s="2">
        <f t="shared" si="65"/>
        <v>0</v>
      </c>
      <c r="I724" s="2">
        <f t="shared" si="61"/>
        <v>0</v>
      </c>
      <c r="J724">
        <f>IFERROR(VLOOKUP(B724,'General price list'!C:AI,12,FALSE)*(G724*C724),0)</f>
        <v>0</v>
      </c>
    </row>
    <row r="725" spans="2:10" ht="15" customHeight="1">
      <c r="B725" t="s">
        <v>11793</v>
      </c>
      <c r="C725" s="2" t="str">
        <f>IFERROR(VLOOKUP(B725,'Deutsche Markt'!C:AA,24,FALSE),"")</f>
        <v/>
      </c>
      <c r="D725" s="2">
        <f>IFERROR(VLOOKUP(B725,'Deutsche Markt'!C:AA,25,FALSE),0)</f>
        <v>0</v>
      </c>
      <c r="E725" s="2">
        <f t="shared" si="62"/>
        <v>0</v>
      </c>
      <c r="F725" s="2">
        <f t="shared" si="63"/>
        <v>0</v>
      </c>
      <c r="G725" s="2">
        <f t="shared" si="64"/>
        <v>0</v>
      </c>
      <c r="H725" s="2">
        <f t="shared" si="65"/>
        <v>0</v>
      </c>
      <c r="I725" s="2">
        <f t="shared" si="61"/>
        <v>0</v>
      </c>
      <c r="J725">
        <f>IFERROR(VLOOKUP(B725,'General price list'!C:AI,12,FALSE)*(G725*C725),0)</f>
        <v>0</v>
      </c>
    </row>
    <row r="726" spans="2:10" ht="15" customHeight="1">
      <c r="B726" t="s">
        <v>11794</v>
      </c>
      <c r="C726" s="2" t="str">
        <f>IFERROR(VLOOKUP(B726,'Deutsche Markt'!C:AA,24,FALSE),"")</f>
        <v/>
      </c>
      <c r="D726" s="2">
        <f>IFERROR(VLOOKUP(B726,'Deutsche Markt'!C:AA,25,FALSE),0)</f>
        <v>0</v>
      </c>
      <c r="E726" s="2">
        <f t="shared" si="62"/>
        <v>0</v>
      </c>
      <c r="F726" s="2">
        <f t="shared" si="63"/>
        <v>0</v>
      </c>
      <c r="G726" s="2">
        <f t="shared" si="64"/>
        <v>0</v>
      </c>
      <c r="H726" s="2">
        <f t="shared" si="65"/>
        <v>0</v>
      </c>
      <c r="I726" s="2">
        <f t="shared" si="61"/>
        <v>0</v>
      </c>
      <c r="J726">
        <f>IFERROR(VLOOKUP(B726,'General price list'!C:AI,12,FALSE)*(G726*C726),0)</f>
        <v>0</v>
      </c>
    </row>
    <row r="727" spans="2:10" ht="15" customHeight="1">
      <c r="B727" t="s">
        <v>11795</v>
      </c>
      <c r="C727" s="2" t="str">
        <f>IFERROR(VLOOKUP(B727,'Deutsche Markt'!C:AA,24,FALSE),"")</f>
        <v/>
      </c>
      <c r="D727" s="2">
        <f>IFERROR(VLOOKUP(B727,'Deutsche Markt'!C:AA,25,FALSE),0)</f>
        <v>0</v>
      </c>
      <c r="E727" s="2">
        <f t="shared" si="62"/>
        <v>0</v>
      </c>
      <c r="F727" s="2">
        <f t="shared" si="63"/>
        <v>0</v>
      </c>
      <c r="G727" s="2">
        <f t="shared" si="64"/>
        <v>0</v>
      </c>
      <c r="H727" s="2">
        <f t="shared" si="65"/>
        <v>0</v>
      </c>
      <c r="I727" s="2">
        <f t="shared" si="61"/>
        <v>0</v>
      </c>
      <c r="J727">
        <f>IFERROR(VLOOKUP(B727,'General price list'!C:AI,12,FALSE)*(G727*C727),0)</f>
        <v>0</v>
      </c>
    </row>
    <row r="728" spans="2:10" ht="15" customHeight="1">
      <c r="B728" t="s">
        <v>11796</v>
      </c>
      <c r="C728" s="2" t="str">
        <f>IFERROR(VLOOKUP(B728,'Deutsche Markt'!C:AA,24,FALSE),"")</f>
        <v/>
      </c>
      <c r="D728" s="2">
        <f>IFERROR(VLOOKUP(B728,'Deutsche Markt'!C:AA,25,FALSE),0)</f>
        <v>0</v>
      </c>
      <c r="E728" s="2">
        <f t="shared" si="62"/>
        <v>0</v>
      </c>
      <c r="F728" s="2">
        <f t="shared" si="63"/>
        <v>0</v>
      </c>
      <c r="G728" s="2">
        <f t="shared" si="64"/>
        <v>0</v>
      </c>
      <c r="H728" s="2">
        <f t="shared" si="65"/>
        <v>0</v>
      </c>
      <c r="I728" s="2">
        <f t="shared" si="61"/>
        <v>0</v>
      </c>
      <c r="J728">
        <f>IFERROR(VLOOKUP(B728,'General price list'!C:AI,12,FALSE)*(G728*C728),0)</f>
        <v>0</v>
      </c>
    </row>
    <row r="729" spans="2:10" ht="15" customHeight="1">
      <c r="B729" t="s">
        <v>11797</v>
      </c>
      <c r="C729" s="2" t="str">
        <f>IFERROR(VLOOKUP(B729,'Deutsche Markt'!C:AA,24,FALSE),"")</f>
        <v/>
      </c>
      <c r="D729" s="2">
        <f>IFERROR(VLOOKUP(B729,'Deutsche Markt'!C:AA,25,FALSE),0)</f>
        <v>0</v>
      </c>
      <c r="E729" s="2">
        <f t="shared" si="62"/>
        <v>0</v>
      </c>
      <c r="F729" s="2">
        <f t="shared" si="63"/>
        <v>0</v>
      </c>
      <c r="G729" s="2">
        <f t="shared" si="64"/>
        <v>0</v>
      </c>
      <c r="H729" s="2">
        <f t="shared" si="65"/>
        <v>0</v>
      </c>
      <c r="I729" s="2">
        <f t="shared" si="61"/>
        <v>0</v>
      </c>
      <c r="J729">
        <f>IFERROR(VLOOKUP(B729,'General price list'!C:AI,12,FALSE)*(G729*C729),0)</f>
        <v>0</v>
      </c>
    </row>
    <row r="730" spans="2:10" ht="15" customHeight="1">
      <c r="B730" t="s">
        <v>11798</v>
      </c>
      <c r="C730" s="2" t="str">
        <f>IFERROR(VLOOKUP(B730,'Deutsche Markt'!C:AA,24,FALSE),"")</f>
        <v/>
      </c>
      <c r="D730" s="2">
        <f>IFERROR(VLOOKUP(B730,'Deutsche Markt'!C:AA,25,FALSE),0)</f>
        <v>0</v>
      </c>
      <c r="E730" s="2">
        <f t="shared" si="62"/>
        <v>0</v>
      </c>
      <c r="F730" s="2">
        <f t="shared" si="63"/>
        <v>0</v>
      </c>
      <c r="G730" s="2">
        <f t="shared" si="64"/>
        <v>0</v>
      </c>
      <c r="H730" s="2">
        <f t="shared" si="65"/>
        <v>0</v>
      </c>
      <c r="I730" s="2">
        <f t="shared" si="61"/>
        <v>0</v>
      </c>
      <c r="J730">
        <f>IFERROR(VLOOKUP(B730,'General price list'!C:AI,12,FALSE)*(G730*C730),0)</f>
        <v>0</v>
      </c>
    </row>
    <row r="731" spans="2:10" ht="15" customHeight="1">
      <c r="B731" t="s">
        <v>11799</v>
      </c>
      <c r="C731" s="2" t="str">
        <f>IFERROR(VLOOKUP(B731,'Deutsche Markt'!C:AA,24,FALSE),"")</f>
        <v/>
      </c>
      <c r="D731" s="2">
        <f>IFERROR(VLOOKUP(B731,'Deutsche Markt'!C:AA,25,FALSE),0)</f>
        <v>0</v>
      </c>
      <c r="E731" s="2">
        <f t="shared" si="62"/>
        <v>0</v>
      </c>
      <c r="F731" s="2">
        <f t="shared" si="63"/>
        <v>0</v>
      </c>
      <c r="G731" s="2">
        <f t="shared" si="64"/>
        <v>0</v>
      </c>
      <c r="H731" s="2">
        <f t="shared" si="65"/>
        <v>0</v>
      </c>
      <c r="I731" s="2">
        <f t="shared" si="61"/>
        <v>0</v>
      </c>
      <c r="J731">
        <f>IFERROR(VLOOKUP(B731,'General price list'!C:AI,12,FALSE)*(G731*C731),0)</f>
        <v>0</v>
      </c>
    </row>
    <row r="732" spans="2:10" ht="15" customHeight="1">
      <c r="B732" t="s">
        <v>11800</v>
      </c>
      <c r="C732" s="2" t="str">
        <f>IFERROR(VLOOKUP(B732,'Deutsche Markt'!C:AA,24,FALSE),"")</f>
        <v/>
      </c>
      <c r="D732" s="2">
        <f>IFERROR(VLOOKUP(B732,'Deutsche Markt'!C:AA,25,FALSE),0)</f>
        <v>0</v>
      </c>
      <c r="E732" s="2">
        <f t="shared" si="62"/>
        <v>0</v>
      </c>
      <c r="F732" s="2">
        <f t="shared" si="63"/>
        <v>0</v>
      </c>
      <c r="G732" s="2">
        <f t="shared" si="64"/>
        <v>0</v>
      </c>
      <c r="H732" s="2">
        <f t="shared" si="65"/>
        <v>0</v>
      </c>
      <c r="I732" s="2">
        <f t="shared" si="61"/>
        <v>0</v>
      </c>
      <c r="J732">
        <f>IFERROR(VLOOKUP(B732,'General price list'!C:AI,12,FALSE)*(G732*C732),0)</f>
        <v>0</v>
      </c>
    </row>
    <row r="733" spans="2:10" ht="15" customHeight="1">
      <c r="B733" t="s">
        <v>11801</v>
      </c>
      <c r="C733" s="2" t="str">
        <f>IFERROR(VLOOKUP(B733,'Deutsche Markt'!C:AA,24,FALSE),"")</f>
        <v/>
      </c>
      <c r="D733" s="2">
        <f>IFERROR(VLOOKUP(B733,'Deutsche Markt'!C:AA,25,FALSE),0)</f>
        <v>0</v>
      </c>
      <c r="E733" s="2">
        <f t="shared" si="62"/>
        <v>0</v>
      </c>
      <c r="F733" s="2">
        <f t="shared" si="63"/>
        <v>0</v>
      </c>
      <c r="G733" s="2">
        <f t="shared" si="64"/>
        <v>0</v>
      </c>
      <c r="H733" s="2">
        <f t="shared" si="65"/>
        <v>0</v>
      </c>
      <c r="I733" s="2">
        <f t="shared" si="61"/>
        <v>0</v>
      </c>
      <c r="J733">
        <f>IFERROR(VLOOKUP(B733,'General price list'!C:AI,12,FALSE)*(G733*C733),0)</f>
        <v>0</v>
      </c>
    </row>
    <row r="734" spans="2:10" ht="15" customHeight="1">
      <c r="B734" t="s">
        <v>11802</v>
      </c>
      <c r="C734" s="2" t="str">
        <f>IFERROR(VLOOKUP(B734,'Deutsche Markt'!C:AA,24,FALSE),"")</f>
        <v/>
      </c>
      <c r="D734" s="2">
        <f>IFERROR(VLOOKUP(B734,'Deutsche Markt'!C:AA,25,FALSE),0)</f>
        <v>0</v>
      </c>
      <c r="E734" s="2">
        <f t="shared" si="62"/>
        <v>0</v>
      </c>
      <c r="F734" s="2">
        <f t="shared" si="63"/>
        <v>0</v>
      </c>
      <c r="G734" s="2">
        <f t="shared" si="64"/>
        <v>0</v>
      </c>
      <c r="H734" s="2">
        <f t="shared" si="65"/>
        <v>0</v>
      </c>
      <c r="I734" s="2">
        <f t="shared" si="61"/>
        <v>0</v>
      </c>
      <c r="J734">
        <f>IFERROR(VLOOKUP(B734,'General price list'!C:AI,12,FALSE)*(G734*C734),0)</f>
        <v>0</v>
      </c>
    </row>
    <row r="735" spans="2:10" ht="15" customHeight="1">
      <c r="B735" t="s">
        <v>11803</v>
      </c>
      <c r="C735" s="2" t="str">
        <f>IFERROR(VLOOKUP(B735,'Deutsche Markt'!C:AA,24,FALSE),"")</f>
        <v/>
      </c>
      <c r="D735" s="2">
        <f>IFERROR(VLOOKUP(B735,'Deutsche Markt'!C:AA,25,FALSE),0)</f>
        <v>0</v>
      </c>
      <c r="E735" s="2">
        <f t="shared" si="62"/>
        <v>0</v>
      </c>
      <c r="F735" s="2">
        <f t="shared" si="63"/>
        <v>0</v>
      </c>
      <c r="G735" s="2">
        <f t="shared" si="64"/>
        <v>0</v>
      </c>
      <c r="H735" s="2">
        <f t="shared" si="65"/>
        <v>0</v>
      </c>
      <c r="I735" s="2">
        <f t="shared" si="61"/>
        <v>0</v>
      </c>
      <c r="J735">
        <f>IFERROR(VLOOKUP(B735,'General price list'!C:AI,12,FALSE)*(G735*C735),0)</f>
        <v>0</v>
      </c>
    </row>
    <row r="736" spans="2:10" ht="15" customHeight="1">
      <c r="B736" t="s">
        <v>11804</v>
      </c>
      <c r="C736" s="2" t="str">
        <f>IFERROR(VLOOKUP(B736,'Deutsche Markt'!C:AA,24,FALSE),"")</f>
        <v/>
      </c>
      <c r="D736" s="2">
        <f>IFERROR(VLOOKUP(B736,'Deutsche Markt'!C:AA,25,FALSE),0)</f>
        <v>0</v>
      </c>
      <c r="E736" s="2">
        <f t="shared" si="62"/>
        <v>0</v>
      </c>
      <c r="F736" s="2">
        <f t="shared" si="63"/>
        <v>0</v>
      </c>
      <c r="G736" s="2">
        <f t="shared" si="64"/>
        <v>0</v>
      </c>
      <c r="H736" s="2">
        <f t="shared" si="65"/>
        <v>0</v>
      </c>
      <c r="I736" s="2">
        <f t="shared" si="61"/>
        <v>0</v>
      </c>
      <c r="J736">
        <f>IFERROR(VLOOKUP(B736,'General price list'!C:AI,12,FALSE)*(G736*C736),0)</f>
        <v>0</v>
      </c>
    </row>
    <row r="737" spans="2:10" ht="15" customHeight="1">
      <c r="B737" t="s">
        <v>11805</v>
      </c>
      <c r="C737" s="2" t="str">
        <f>IFERROR(VLOOKUP(B737,'Deutsche Markt'!C:AA,24,FALSE),"")</f>
        <v/>
      </c>
      <c r="D737" s="2">
        <f>IFERROR(VLOOKUP(B737,'Deutsche Markt'!C:AA,25,FALSE),0)</f>
        <v>0</v>
      </c>
      <c r="E737" s="2">
        <f t="shared" si="62"/>
        <v>0</v>
      </c>
      <c r="F737" s="2">
        <f t="shared" si="63"/>
        <v>0</v>
      </c>
      <c r="G737" s="2">
        <f t="shared" si="64"/>
        <v>0</v>
      </c>
      <c r="H737" s="2">
        <f t="shared" si="65"/>
        <v>0</v>
      </c>
      <c r="I737" s="2">
        <f t="shared" si="61"/>
        <v>0</v>
      </c>
      <c r="J737">
        <f>IFERROR(VLOOKUP(B737,'General price list'!C:AI,12,FALSE)*(G737*C737),0)</f>
        <v>0</v>
      </c>
    </row>
    <row r="738" spans="2:10" ht="15" customHeight="1">
      <c r="B738" t="s">
        <v>11806</v>
      </c>
      <c r="C738" s="2" t="str">
        <f>IFERROR(VLOOKUP(B738,'Deutsche Markt'!C:AA,24,FALSE),"")</f>
        <v/>
      </c>
      <c r="D738" s="2">
        <f>IFERROR(VLOOKUP(B738,'Deutsche Markt'!C:AA,25,FALSE),0)</f>
        <v>0</v>
      </c>
      <c r="E738" s="2">
        <f t="shared" si="62"/>
        <v>0</v>
      </c>
      <c r="F738" s="2">
        <f t="shared" si="63"/>
        <v>0</v>
      </c>
      <c r="G738" s="2">
        <f t="shared" si="64"/>
        <v>0</v>
      </c>
      <c r="H738" s="2">
        <f t="shared" si="65"/>
        <v>0</v>
      </c>
      <c r="I738" s="2">
        <f t="shared" si="61"/>
        <v>0</v>
      </c>
      <c r="J738">
        <f>IFERROR(VLOOKUP(B738,'General price list'!C:AI,12,FALSE)*(G738*C738),0)</f>
        <v>0</v>
      </c>
    </row>
    <row r="739" spans="2:10" ht="15" customHeight="1">
      <c r="B739" t="s">
        <v>11807</v>
      </c>
      <c r="C739" s="2" t="str">
        <f>IFERROR(VLOOKUP(B739,'Deutsche Markt'!C:AA,24,FALSE),"")</f>
        <v/>
      </c>
      <c r="D739" s="2">
        <f>IFERROR(VLOOKUP(B739,'Deutsche Markt'!C:AA,25,FALSE),0)</f>
        <v>0</v>
      </c>
      <c r="E739" s="2">
        <f t="shared" si="62"/>
        <v>0</v>
      </c>
      <c r="F739" s="2">
        <f t="shared" si="63"/>
        <v>0</v>
      </c>
      <c r="G739" s="2">
        <f t="shared" si="64"/>
        <v>0</v>
      </c>
      <c r="H739" s="2">
        <f t="shared" si="65"/>
        <v>0</v>
      </c>
      <c r="I739" s="2">
        <f t="shared" si="61"/>
        <v>0</v>
      </c>
      <c r="J739">
        <f>IFERROR(VLOOKUP(B739,'General price list'!C:AI,12,FALSE)*(G739*C739),0)</f>
        <v>0</v>
      </c>
    </row>
    <row r="740" spans="2:10" ht="15" customHeight="1">
      <c r="B740" t="s">
        <v>12100</v>
      </c>
      <c r="C740" s="2" t="str">
        <f>IFERROR(VLOOKUP(B740,'Deutsche Markt'!C:AA,24,FALSE),"")</f>
        <v/>
      </c>
      <c r="D740" s="2">
        <f>IFERROR(VLOOKUP(B740,'Deutsche Markt'!C:AA,25,FALSE),0)</f>
        <v>0</v>
      </c>
      <c r="E740" s="2">
        <f t="shared" si="62"/>
        <v>0</v>
      </c>
      <c r="F740" s="2">
        <f t="shared" si="63"/>
        <v>0</v>
      </c>
      <c r="G740" s="2">
        <f t="shared" si="64"/>
        <v>0</v>
      </c>
      <c r="H740" s="2">
        <f t="shared" si="65"/>
        <v>0</v>
      </c>
      <c r="I740" s="2">
        <f t="shared" si="61"/>
        <v>0</v>
      </c>
      <c r="J740">
        <f>IFERROR(VLOOKUP(B740,'General price list'!C:AI,12,FALSE)*(G740*C740),0)</f>
        <v>0</v>
      </c>
    </row>
    <row r="741" spans="2:10" ht="15" customHeight="1">
      <c r="B741" t="s">
        <v>11808</v>
      </c>
      <c r="C741" s="2" t="str">
        <f>IFERROR(VLOOKUP(B741,'Deutsche Markt'!C:AA,24,FALSE),"")</f>
        <v/>
      </c>
      <c r="D741" s="2">
        <f>IFERROR(VLOOKUP(B741,'Deutsche Markt'!C:AA,25,FALSE),0)</f>
        <v>0</v>
      </c>
      <c r="E741" s="2">
        <f t="shared" si="62"/>
        <v>0</v>
      </c>
      <c r="F741" s="2">
        <f t="shared" si="63"/>
        <v>0</v>
      </c>
      <c r="G741" s="2">
        <f t="shared" si="64"/>
        <v>0</v>
      </c>
      <c r="H741" s="2">
        <f t="shared" si="65"/>
        <v>0</v>
      </c>
      <c r="I741" s="2">
        <f t="shared" si="61"/>
        <v>0</v>
      </c>
      <c r="J741">
        <f>IFERROR(VLOOKUP(B741,'General price list'!C:AI,12,FALSE)*(G741*C741),0)</f>
        <v>0</v>
      </c>
    </row>
    <row r="742" spans="2:10" ht="15" customHeight="1">
      <c r="B742" t="s">
        <v>11809</v>
      </c>
      <c r="C742" s="2" t="str">
        <f>IFERROR(VLOOKUP(B742,'Deutsche Markt'!C:AA,24,FALSE),"")</f>
        <v/>
      </c>
      <c r="D742" s="2">
        <f>IFERROR(VLOOKUP(B742,'Deutsche Markt'!C:AA,25,FALSE),0)</f>
        <v>0</v>
      </c>
      <c r="E742" s="2">
        <f t="shared" si="62"/>
        <v>0</v>
      </c>
      <c r="F742" s="2">
        <f t="shared" si="63"/>
        <v>0</v>
      </c>
      <c r="G742" s="2">
        <f t="shared" si="64"/>
        <v>0</v>
      </c>
      <c r="H742" s="2">
        <f t="shared" si="65"/>
        <v>0</v>
      </c>
      <c r="I742" s="2">
        <f t="shared" si="61"/>
        <v>0</v>
      </c>
      <c r="J742">
        <f>IFERROR(VLOOKUP(B742,'General price list'!C:AI,12,FALSE)*(G742*C742),0)</f>
        <v>0</v>
      </c>
    </row>
    <row r="743" spans="2:10" ht="15" customHeight="1">
      <c r="B743" t="s">
        <v>11810</v>
      </c>
      <c r="C743" s="2" t="str">
        <f>IFERROR(VLOOKUP(B743,'Deutsche Markt'!C:AA,24,FALSE),"")</f>
        <v/>
      </c>
      <c r="D743" s="2">
        <f>IFERROR(VLOOKUP(B743,'Deutsche Markt'!C:AA,25,FALSE),0)</f>
        <v>0</v>
      </c>
      <c r="E743" s="2">
        <f t="shared" si="62"/>
        <v>0</v>
      </c>
      <c r="F743" s="2">
        <f t="shared" si="63"/>
        <v>0</v>
      </c>
      <c r="G743" s="2">
        <f t="shared" si="64"/>
        <v>0</v>
      </c>
      <c r="H743" s="2">
        <f t="shared" si="65"/>
        <v>0</v>
      </c>
      <c r="I743" s="2">
        <f t="shared" si="61"/>
        <v>0</v>
      </c>
      <c r="J743">
        <f>IFERROR(VLOOKUP(B743,'General price list'!C:AI,12,FALSE)*(G743*C743),0)</f>
        <v>0</v>
      </c>
    </row>
    <row r="744" spans="2:10" ht="15" customHeight="1">
      <c r="B744" t="s">
        <v>12101</v>
      </c>
      <c r="C744" s="2" t="str">
        <f>IFERROR(VLOOKUP(B744,'Deutsche Markt'!C:AA,24,FALSE),"")</f>
        <v/>
      </c>
      <c r="D744" s="2">
        <f>IFERROR(VLOOKUP(B744,'Deutsche Markt'!C:AA,25,FALSE),0)</f>
        <v>0</v>
      </c>
      <c r="E744" s="2">
        <f t="shared" si="62"/>
        <v>0</v>
      </c>
      <c r="F744" s="2">
        <f t="shared" si="63"/>
        <v>0</v>
      </c>
      <c r="G744" s="2">
        <f t="shared" si="64"/>
        <v>0</v>
      </c>
      <c r="H744" s="2">
        <f t="shared" si="65"/>
        <v>0</v>
      </c>
      <c r="I744" s="2">
        <f t="shared" si="61"/>
        <v>0</v>
      </c>
      <c r="J744">
        <f>IFERROR(VLOOKUP(B744,'General price list'!C:AI,12,FALSE)*(G744*C744),0)</f>
        <v>0</v>
      </c>
    </row>
    <row r="745" spans="2:10" ht="15" customHeight="1">
      <c r="B745" t="s">
        <v>11811</v>
      </c>
      <c r="C745" s="2" t="str">
        <f>IFERROR(VLOOKUP(B745,'Deutsche Markt'!C:AA,24,FALSE),"")</f>
        <v/>
      </c>
      <c r="D745" s="2">
        <f>IFERROR(VLOOKUP(B745,'Deutsche Markt'!C:AA,25,FALSE),0)</f>
        <v>0</v>
      </c>
      <c r="E745" s="2">
        <f t="shared" si="62"/>
        <v>0</v>
      </c>
      <c r="F745" s="2">
        <f t="shared" si="63"/>
        <v>0</v>
      </c>
      <c r="G745" s="2">
        <f t="shared" si="64"/>
        <v>0</v>
      </c>
      <c r="H745" s="2">
        <f t="shared" si="65"/>
        <v>0</v>
      </c>
      <c r="I745" s="2">
        <f t="shared" si="61"/>
        <v>0</v>
      </c>
      <c r="J745">
        <f>IFERROR(VLOOKUP(B745,'General price list'!C:AI,12,FALSE)*(G745*C745),0)</f>
        <v>0</v>
      </c>
    </row>
    <row r="746" spans="2:10" ht="15" customHeight="1">
      <c r="B746" t="s">
        <v>11813</v>
      </c>
      <c r="C746" s="2" t="str">
        <f>IFERROR(VLOOKUP(B746,'Deutsche Markt'!C:AA,24,FALSE),"")</f>
        <v/>
      </c>
      <c r="D746" s="2">
        <f>IFERROR(VLOOKUP(B746,'Deutsche Markt'!C:AA,25,FALSE),0)</f>
        <v>0</v>
      </c>
      <c r="E746" s="2">
        <f t="shared" si="62"/>
        <v>0</v>
      </c>
      <c r="F746" s="2">
        <f t="shared" si="63"/>
        <v>0</v>
      </c>
      <c r="G746" s="2">
        <f t="shared" si="64"/>
        <v>0</v>
      </c>
      <c r="H746" s="2">
        <f t="shared" si="65"/>
        <v>0</v>
      </c>
      <c r="I746" s="2">
        <f t="shared" si="61"/>
        <v>0</v>
      </c>
      <c r="J746">
        <f>IFERROR(VLOOKUP(B746,'General price list'!C:AI,12,FALSE)*(G746*C746),0)</f>
        <v>0</v>
      </c>
    </row>
    <row r="747" spans="2:10" ht="15" customHeight="1">
      <c r="B747" t="s">
        <v>11814</v>
      </c>
      <c r="C747" s="2" t="str">
        <f>IFERROR(VLOOKUP(B747,'Deutsche Markt'!C:AA,24,FALSE),"")</f>
        <v/>
      </c>
      <c r="D747" s="2">
        <f>IFERROR(VLOOKUP(B747,'Deutsche Markt'!C:AA,25,FALSE),0)</f>
        <v>0</v>
      </c>
      <c r="E747" s="2">
        <f t="shared" si="62"/>
        <v>0</v>
      </c>
      <c r="F747" s="2">
        <f t="shared" si="63"/>
        <v>0</v>
      </c>
      <c r="G747" s="2">
        <f t="shared" si="64"/>
        <v>0</v>
      </c>
      <c r="H747" s="2">
        <f t="shared" si="65"/>
        <v>0</v>
      </c>
      <c r="I747" s="2">
        <f t="shared" si="61"/>
        <v>0</v>
      </c>
      <c r="J747">
        <f>IFERROR(VLOOKUP(B747,'General price list'!C:AI,12,FALSE)*(G747*C747),0)</f>
        <v>0</v>
      </c>
    </row>
    <row r="748" spans="2:10" ht="15" customHeight="1">
      <c r="B748" t="s">
        <v>12102</v>
      </c>
      <c r="C748" s="2" t="str">
        <f>IFERROR(VLOOKUP(B748,'Deutsche Markt'!C:AA,24,FALSE),"")</f>
        <v/>
      </c>
      <c r="D748" s="2">
        <f>IFERROR(VLOOKUP(B748,'Deutsche Markt'!C:AA,25,FALSE),0)</f>
        <v>0</v>
      </c>
      <c r="E748" s="2">
        <f t="shared" si="62"/>
        <v>0</v>
      </c>
      <c r="F748" s="2">
        <f t="shared" si="63"/>
        <v>0</v>
      </c>
      <c r="G748" s="2">
        <f t="shared" si="64"/>
        <v>0</v>
      </c>
      <c r="H748" s="2">
        <f t="shared" si="65"/>
        <v>0</v>
      </c>
      <c r="I748" s="2">
        <f t="shared" si="61"/>
        <v>0</v>
      </c>
      <c r="J748">
        <f>IFERROR(VLOOKUP(B748,'General price list'!C:AI,12,FALSE)*(G748*C748),0)</f>
        <v>0</v>
      </c>
    </row>
    <row r="749" spans="2:10" ht="15" customHeight="1">
      <c r="B749" t="s">
        <v>11815</v>
      </c>
      <c r="C749" s="2" t="str">
        <f>IFERROR(VLOOKUP(B749,'Deutsche Markt'!C:AA,24,FALSE),"")</f>
        <v/>
      </c>
      <c r="D749" s="2">
        <f>IFERROR(VLOOKUP(B749,'Deutsche Markt'!C:AA,25,FALSE),0)</f>
        <v>0</v>
      </c>
      <c r="E749" s="2">
        <f t="shared" si="62"/>
        <v>0</v>
      </c>
      <c r="F749" s="2">
        <f t="shared" si="63"/>
        <v>0</v>
      </c>
      <c r="G749" s="2">
        <f t="shared" si="64"/>
        <v>0</v>
      </c>
      <c r="H749" s="2">
        <f t="shared" si="65"/>
        <v>0</v>
      </c>
      <c r="I749" s="2">
        <f t="shared" si="61"/>
        <v>0</v>
      </c>
      <c r="J749">
        <f>IFERROR(VLOOKUP(B749,'General price list'!C:AI,12,FALSE)*(G749*C749),0)</f>
        <v>0</v>
      </c>
    </row>
    <row r="750" spans="2:10" ht="15" customHeight="1">
      <c r="B750" t="s">
        <v>11816</v>
      </c>
      <c r="C750" s="2" t="str">
        <f>IFERROR(VLOOKUP(B750,'Deutsche Markt'!C:AA,24,FALSE),"")</f>
        <v/>
      </c>
      <c r="D750" s="2">
        <f>IFERROR(VLOOKUP(B750,'Deutsche Markt'!C:AA,25,FALSE),0)</f>
        <v>0</v>
      </c>
      <c r="E750" s="2">
        <f t="shared" si="62"/>
        <v>0</v>
      </c>
      <c r="F750" s="2">
        <f t="shared" si="63"/>
        <v>0</v>
      </c>
      <c r="G750" s="2">
        <f t="shared" si="64"/>
        <v>0</v>
      </c>
      <c r="H750" s="2">
        <f t="shared" si="65"/>
        <v>0</v>
      </c>
      <c r="I750" s="2">
        <f t="shared" si="61"/>
        <v>0</v>
      </c>
      <c r="J750">
        <f>IFERROR(VLOOKUP(B750,'General price list'!C:AI,12,FALSE)*(G750*C750),0)</f>
        <v>0</v>
      </c>
    </row>
    <row r="751" spans="2:10" ht="15" customHeight="1">
      <c r="B751" t="s">
        <v>12103</v>
      </c>
      <c r="C751" s="2" t="str">
        <f>IFERROR(VLOOKUP(B751,'Deutsche Markt'!C:AA,24,FALSE),"")</f>
        <v/>
      </c>
      <c r="D751" s="2">
        <f>IFERROR(VLOOKUP(B751,'Deutsche Markt'!C:AA,25,FALSE),0)</f>
        <v>0</v>
      </c>
      <c r="E751" s="2">
        <f t="shared" si="62"/>
        <v>0</v>
      </c>
      <c r="F751" s="2">
        <f t="shared" si="63"/>
        <v>0</v>
      </c>
      <c r="G751" s="2">
        <f t="shared" si="64"/>
        <v>0</v>
      </c>
      <c r="H751" s="2">
        <f t="shared" si="65"/>
        <v>0</v>
      </c>
      <c r="I751" s="2">
        <f t="shared" si="61"/>
        <v>0</v>
      </c>
      <c r="J751">
        <f>IFERROR(VLOOKUP(B751,'General price list'!C:AI,12,FALSE)*(G751*C751),0)</f>
        <v>0</v>
      </c>
    </row>
    <row r="752" spans="2:10" ht="15" customHeight="1">
      <c r="B752" t="s">
        <v>11817</v>
      </c>
      <c r="C752" s="2" t="str">
        <f>IFERROR(VLOOKUP(B752,'Deutsche Markt'!C:AA,24,FALSE),"")</f>
        <v/>
      </c>
      <c r="D752" s="2">
        <f>IFERROR(VLOOKUP(B752,'Deutsche Markt'!C:AA,25,FALSE),0)</f>
        <v>0</v>
      </c>
      <c r="E752" s="2">
        <f t="shared" si="62"/>
        <v>0</v>
      </c>
      <c r="F752" s="2">
        <f t="shared" si="63"/>
        <v>0</v>
      </c>
      <c r="G752" s="2">
        <f t="shared" si="64"/>
        <v>0</v>
      </c>
      <c r="H752" s="2">
        <f t="shared" si="65"/>
        <v>0</v>
      </c>
      <c r="I752" s="2">
        <f t="shared" si="61"/>
        <v>0</v>
      </c>
      <c r="J752">
        <f>IFERROR(VLOOKUP(B752,'General price list'!C:AI,12,FALSE)*(G752*C752),0)</f>
        <v>0</v>
      </c>
    </row>
    <row r="753" spans="2:10" ht="15" customHeight="1">
      <c r="B753" t="s">
        <v>11818</v>
      </c>
      <c r="C753" s="2" t="str">
        <f>IFERROR(VLOOKUP(B753,'Deutsche Markt'!C:AA,24,FALSE),"")</f>
        <v/>
      </c>
      <c r="D753" s="2">
        <f>IFERROR(VLOOKUP(B753,'Deutsche Markt'!C:AA,25,FALSE),0)</f>
        <v>0</v>
      </c>
      <c r="E753" s="2">
        <f t="shared" si="62"/>
        <v>0</v>
      </c>
      <c r="F753" s="2">
        <f t="shared" si="63"/>
        <v>0</v>
      </c>
      <c r="G753" s="2">
        <f t="shared" si="64"/>
        <v>0</v>
      </c>
      <c r="H753" s="2">
        <f t="shared" si="65"/>
        <v>0</v>
      </c>
      <c r="I753" s="2">
        <f t="shared" si="61"/>
        <v>0</v>
      </c>
      <c r="J753">
        <f>IFERROR(VLOOKUP(B753,'General price list'!C:AI,12,FALSE)*(G753*C753),0)</f>
        <v>0</v>
      </c>
    </row>
    <row r="754" spans="2:10" ht="15" customHeight="1">
      <c r="B754" t="s">
        <v>11819</v>
      </c>
      <c r="C754" s="2" t="str">
        <f>IFERROR(VLOOKUP(B754,'Deutsche Markt'!C:AA,24,FALSE),"")</f>
        <v/>
      </c>
      <c r="D754" s="2">
        <f>IFERROR(VLOOKUP(B754,'Deutsche Markt'!C:AA,25,FALSE),0)</f>
        <v>0</v>
      </c>
      <c r="E754" s="2">
        <f t="shared" si="62"/>
        <v>0</v>
      </c>
      <c r="F754" s="2">
        <f t="shared" si="63"/>
        <v>0</v>
      </c>
      <c r="G754" s="2">
        <f t="shared" si="64"/>
        <v>0</v>
      </c>
      <c r="H754" s="2">
        <f t="shared" si="65"/>
        <v>0</v>
      </c>
      <c r="I754" s="2">
        <f t="shared" si="61"/>
        <v>0</v>
      </c>
      <c r="J754">
        <f>IFERROR(VLOOKUP(B754,'General price list'!C:AI,12,FALSE)*(G754*C754),0)</f>
        <v>0</v>
      </c>
    </row>
    <row r="755" spans="2:10" ht="15" customHeight="1">
      <c r="B755" t="s">
        <v>11820</v>
      </c>
      <c r="C755" s="2" t="str">
        <f>IFERROR(VLOOKUP(B755,'Deutsche Markt'!C:AA,24,FALSE),"")</f>
        <v/>
      </c>
      <c r="D755" s="2">
        <f>IFERROR(VLOOKUP(B755,'Deutsche Markt'!C:AA,25,FALSE),0)</f>
        <v>0</v>
      </c>
      <c r="E755" s="2">
        <f t="shared" si="62"/>
        <v>0</v>
      </c>
      <c r="F755" s="2">
        <f t="shared" si="63"/>
        <v>0</v>
      </c>
      <c r="G755" s="2">
        <f t="shared" si="64"/>
        <v>0</v>
      </c>
      <c r="H755" s="2">
        <f t="shared" si="65"/>
        <v>0</v>
      </c>
      <c r="I755" s="2">
        <f t="shared" si="61"/>
        <v>0</v>
      </c>
      <c r="J755">
        <f>IFERROR(VLOOKUP(B755,'General price list'!C:AI,12,FALSE)*(G755*C755),0)</f>
        <v>0</v>
      </c>
    </row>
    <row r="756" spans="2:10" ht="15" customHeight="1">
      <c r="B756" t="s">
        <v>11821</v>
      </c>
      <c r="C756" s="2" t="str">
        <f>IFERROR(VLOOKUP(B756,'Deutsche Markt'!C:AA,24,FALSE),"")</f>
        <v/>
      </c>
      <c r="D756" s="2">
        <f>IFERROR(VLOOKUP(B756,'Deutsche Markt'!C:AA,25,FALSE),0)</f>
        <v>0</v>
      </c>
      <c r="E756" s="2">
        <f t="shared" si="62"/>
        <v>0</v>
      </c>
      <c r="F756" s="2">
        <f t="shared" si="63"/>
        <v>0</v>
      </c>
      <c r="G756" s="2">
        <f t="shared" si="64"/>
        <v>0</v>
      </c>
      <c r="H756" s="2">
        <f t="shared" si="65"/>
        <v>0</v>
      </c>
      <c r="I756" s="2">
        <f t="shared" si="61"/>
        <v>0</v>
      </c>
      <c r="J756">
        <f>IFERROR(VLOOKUP(B756,'General price list'!C:AI,12,FALSE)*(G756*C756),0)</f>
        <v>0</v>
      </c>
    </row>
    <row r="757" spans="2:10" ht="15" customHeight="1">
      <c r="B757" t="s">
        <v>11822</v>
      </c>
      <c r="C757" s="2" t="str">
        <f>IFERROR(VLOOKUP(B757,'Deutsche Markt'!C:AA,24,FALSE),"")</f>
        <v/>
      </c>
      <c r="D757" s="2">
        <f>IFERROR(VLOOKUP(B757,'Deutsche Markt'!C:AA,25,FALSE),0)</f>
        <v>0</v>
      </c>
      <c r="E757" s="2">
        <f t="shared" si="62"/>
        <v>0</v>
      </c>
      <c r="F757" s="2">
        <f t="shared" si="63"/>
        <v>0</v>
      </c>
      <c r="G757" s="2">
        <f t="shared" si="64"/>
        <v>0</v>
      </c>
      <c r="H757" s="2">
        <f t="shared" si="65"/>
        <v>0</v>
      </c>
      <c r="I757" s="2">
        <f t="shared" si="61"/>
        <v>0</v>
      </c>
      <c r="J757">
        <f>IFERROR(VLOOKUP(B757,'General price list'!C:AI,12,FALSE)*(G757*C757),0)</f>
        <v>0</v>
      </c>
    </row>
    <row r="758" spans="2:10" ht="15" customHeight="1">
      <c r="B758" t="s">
        <v>11823</v>
      </c>
      <c r="C758" s="2" t="str">
        <f>IFERROR(VLOOKUP(B758,'Deutsche Markt'!C:AA,24,FALSE),"")</f>
        <v/>
      </c>
      <c r="D758" s="2">
        <f>IFERROR(VLOOKUP(B758,'Deutsche Markt'!C:AA,25,FALSE),0)</f>
        <v>0</v>
      </c>
      <c r="E758" s="2">
        <f t="shared" si="62"/>
        <v>0</v>
      </c>
      <c r="F758" s="2">
        <f t="shared" si="63"/>
        <v>0</v>
      </c>
      <c r="G758" s="2">
        <f t="shared" si="64"/>
        <v>0</v>
      </c>
      <c r="H758" s="2">
        <f t="shared" si="65"/>
        <v>0</v>
      </c>
      <c r="I758" s="2">
        <f t="shared" si="61"/>
        <v>0</v>
      </c>
      <c r="J758">
        <f>IFERROR(VLOOKUP(B758,'General price list'!C:AI,12,FALSE)*(G758*C758),0)</f>
        <v>0</v>
      </c>
    </row>
    <row r="759" spans="2:10" ht="15" customHeight="1">
      <c r="B759" t="s">
        <v>11824</v>
      </c>
      <c r="C759" s="2" t="str">
        <f>IFERROR(VLOOKUP(B759,'Deutsche Markt'!C:AA,24,FALSE),"")</f>
        <v/>
      </c>
      <c r="D759" s="2">
        <f>IFERROR(VLOOKUP(B759,'Deutsche Markt'!C:AA,25,FALSE),0)</f>
        <v>0</v>
      </c>
      <c r="E759" s="2">
        <f t="shared" si="62"/>
        <v>0</v>
      </c>
      <c r="F759" s="2">
        <f t="shared" si="63"/>
        <v>0</v>
      </c>
      <c r="G759" s="2">
        <f t="shared" si="64"/>
        <v>0</v>
      </c>
      <c r="H759" s="2">
        <f t="shared" si="65"/>
        <v>0</v>
      </c>
      <c r="I759" s="2">
        <f t="shared" si="61"/>
        <v>0</v>
      </c>
      <c r="J759">
        <f>IFERROR(VLOOKUP(B759,'General price list'!C:AI,12,FALSE)*(G759*C759),0)</f>
        <v>0</v>
      </c>
    </row>
    <row r="760" spans="2:10" ht="15" customHeight="1">
      <c r="B760" t="s">
        <v>11825</v>
      </c>
      <c r="C760" s="2" t="str">
        <f>IFERROR(VLOOKUP(B760,'Deutsche Markt'!C:AA,24,FALSE),"")</f>
        <v/>
      </c>
      <c r="D760" s="2">
        <f>IFERROR(VLOOKUP(B760,'Deutsche Markt'!C:AA,25,FALSE),0)</f>
        <v>0</v>
      </c>
      <c r="E760" s="2">
        <f t="shared" si="62"/>
        <v>0</v>
      </c>
      <c r="F760" s="2">
        <f t="shared" si="63"/>
        <v>0</v>
      </c>
      <c r="G760" s="2">
        <f t="shared" si="64"/>
        <v>0</v>
      </c>
      <c r="H760" s="2">
        <f t="shared" si="65"/>
        <v>0</v>
      </c>
      <c r="I760" s="2">
        <f t="shared" si="61"/>
        <v>0</v>
      </c>
      <c r="J760">
        <f>IFERROR(VLOOKUP(B760,'General price list'!C:AI,12,FALSE)*(G760*C760),0)</f>
        <v>0</v>
      </c>
    </row>
    <row r="761" spans="2:10" ht="15" customHeight="1">
      <c r="B761" t="s">
        <v>11826</v>
      </c>
      <c r="C761" s="2" t="str">
        <f>IFERROR(VLOOKUP(B761,'Deutsche Markt'!C:AA,24,FALSE),"")</f>
        <v/>
      </c>
      <c r="D761" s="2">
        <f>IFERROR(VLOOKUP(B761,'Deutsche Markt'!C:AA,25,FALSE),0)</f>
        <v>0</v>
      </c>
      <c r="E761" s="2">
        <f t="shared" si="62"/>
        <v>0</v>
      </c>
      <c r="F761" s="2">
        <f t="shared" si="63"/>
        <v>0</v>
      </c>
      <c r="G761" s="2">
        <f t="shared" si="64"/>
        <v>0</v>
      </c>
      <c r="H761" s="2">
        <f t="shared" si="65"/>
        <v>0</v>
      </c>
      <c r="I761" s="2">
        <f t="shared" si="61"/>
        <v>0</v>
      </c>
      <c r="J761">
        <f>IFERROR(VLOOKUP(B761,'General price list'!C:AI,12,FALSE)*(G761*C761),0)</f>
        <v>0</v>
      </c>
    </row>
    <row r="762" spans="2:10" ht="15" customHeight="1">
      <c r="B762" t="s">
        <v>11827</v>
      </c>
      <c r="C762" s="2" t="str">
        <f>IFERROR(VLOOKUP(B762,'Deutsche Markt'!C:AA,24,FALSE),"")</f>
        <v/>
      </c>
      <c r="D762" s="2">
        <f>IFERROR(VLOOKUP(B762,'Deutsche Markt'!C:AA,25,FALSE),0)</f>
        <v>0</v>
      </c>
      <c r="E762" s="2">
        <f t="shared" si="62"/>
        <v>0</v>
      </c>
      <c r="F762" s="2">
        <f t="shared" si="63"/>
        <v>0</v>
      </c>
      <c r="G762" s="2">
        <f t="shared" si="64"/>
        <v>0</v>
      </c>
      <c r="H762" s="2">
        <f t="shared" si="65"/>
        <v>0</v>
      </c>
      <c r="I762" s="2">
        <f t="shared" si="61"/>
        <v>0</v>
      </c>
      <c r="J762">
        <f>IFERROR(VLOOKUP(B762,'General price list'!C:AI,12,FALSE)*(G762*C762),0)</f>
        <v>0</v>
      </c>
    </row>
    <row r="763" spans="2:10" ht="15" customHeight="1">
      <c r="B763" t="s">
        <v>12104</v>
      </c>
      <c r="C763" s="2" t="str">
        <f>IFERROR(VLOOKUP(B763,'Deutsche Markt'!C:AA,24,FALSE),"")</f>
        <v/>
      </c>
      <c r="D763" s="2">
        <f>IFERROR(VLOOKUP(B763,'Deutsche Markt'!C:AA,25,FALSE),0)</f>
        <v>0</v>
      </c>
      <c r="E763" s="2">
        <f t="shared" si="62"/>
        <v>0</v>
      </c>
      <c r="F763" s="2">
        <f t="shared" si="63"/>
        <v>0</v>
      </c>
      <c r="G763" s="2">
        <f t="shared" si="64"/>
        <v>0</v>
      </c>
      <c r="H763" s="2">
        <f t="shared" si="65"/>
        <v>0</v>
      </c>
      <c r="I763" s="2">
        <f t="shared" si="61"/>
        <v>0</v>
      </c>
      <c r="J763">
        <f>IFERROR(VLOOKUP(B763,'General price list'!C:AI,12,FALSE)*(G763*C763),0)</f>
        <v>0</v>
      </c>
    </row>
    <row r="764" spans="2:10" ht="15" customHeight="1">
      <c r="B764" t="s">
        <v>11828</v>
      </c>
      <c r="C764" s="2" t="str">
        <f>IFERROR(VLOOKUP(B764,'Deutsche Markt'!C:AA,24,FALSE),"")</f>
        <v/>
      </c>
      <c r="D764" s="2">
        <f>IFERROR(VLOOKUP(B764,'Deutsche Markt'!C:AA,25,FALSE),0)</f>
        <v>0</v>
      </c>
      <c r="E764" s="2">
        <f t="shared" si="62"/>
        <v>0</v>
      </c>
      <c r="F764" s="2">
        <f t="shared" si="63"/>
        <v>0</v>
      </c>
      <c r="G764" s="2">
        <f t="shared" si="64"/>
        <v>0</v>
      </c>
      <c r="H764" s="2">
        <f t="shared" si="65"/>
        <v>0</v>
      </c>
      <c r="I764" s="2">
        <f t="shared" si="61"/>
        <v>0</v>
      </c>
      <c r="J764">
        <f>IFERROR(VLOOKUP(B764,'General price list'!C:AI,12,FALSE)*(G764*C764),0)</f>
        <v>0</v>
      </c>
    </row>
    <row r="765" spans="2:10" ht="15" customHeight="1">
      <c r="B765" t="s">
        <v>11829</v>
      </c>
      <c r="C765" s="2" t="str">
        <f>IFERROR(VLOOKUP(B765,'Deutsche Markt'!C:AA,24,FALSE),"")</f>
        <v/>
      </c>
      <c r="D765" s="2">
        <f>IFERROR(VLOOKUP(B765,'Deutsche Markt'!C:AA,25,FALSE),0)</f>
        <v>0</v>
      </c>
      <c r="E765" s="2">
        <f t="shared" si="62"/>
        <v>0</v>
      </c>
      <c r="F765" s="2">
        <f t="shared" si="63"/>
        <v>0</v>
      </c>
      <c r="G765" s="2">
        <f t="shared" si="64"/>
        <v>0</v>
      </c>
      <c r="H765" s="2">
        <f t="shared" si="65"/>
        <v>0</v>
      </c>
      <c r="I765" s="2">
        <f t="shared" si="61"/>
        <v>0</v>
      </c>
      <c r="J765">
        <f>IFERROR(VLOOKUP(B765,'General price list'!C:AI,12,FALSE)*(G765*C765),0)</f>
        <v>0</v>
      </c>
    </row>
    <row r="766" spans="2:10" ht="15" customHeight="1">
      <c r="B766" t="s">
        <v>12105</v>
      </c>
      <c r="C766" s="2" t="str">
        <f>IFERROR(VLOOKUP(B766,'Deutsche Markt'!C:AA,24,FALSE),"")</f>
        <v/>
      </c>
      <c r="D766" s="2">
        <f>IFERROR(VLOOKUP(B766,'Deutsche Markt'!C:AA,25,FALSE),0)</f>
        <v>0</v>
      </c>
      <c r="E766" s="2">
        <f t="shared" si="62"/>
        <v>0</v>
      </c>
      <c r="F766" s="2">
        <f t="shared" si="63"/>
        <v>0</v>
      </c>
      <c r="G766" s="2">
        <f t="shared" si="64"/>
        <v>0</v>
      </c>
      <c r="H766" s="2">
        <f t="shared" si="65"/>
        <v>0</v>
      </c>
      <c r="I766" s="2">
        <f t="shared" si="61"/>
        <v>0</v>
      </c>
      <c r="J766">
        <f>IFERROR(VLOOKUP(B766,'General price list'!C:AI,12,FALSE)*(G766*C766),0)</f>
        <v>0</v>
      </c>
    </row>
    <row r="767" spans="2:10" ht="15" customHeight="1">
      <c r="B767" t="s">
        <v>11830</v>
      </c>
      <c r="C767" s="2" t="str">
        <f>IFERROR(VLOOKUP(B767,'Deutsche Markt'!C:AA,24,FALSE),"")</f>
        <v/>
      </c>
      <c r="D767" s="2">
        <f>IFERROR(VLOOKUP(B767,'Deutsche Markt'!C:AA,25,FALSE),0)</f>
        <v>0</v>
      </c>
      <c r="E767" s="2">
        <f t="shared" si="62"/>
        <v>0</v>
      </c>
      <c r="F767" s="2">
        <f t="shared" si="63"/>
        <v>0</v>
      </c>
      <c r="G767" s="2">
        <f t="shared" si="64"/>
        <v>0</v>
      </c>
      <c r="H767" s="2">
        <f t="shared" si="65"/>
        <v>0</v>
      </c>
      <c r="I767" s="2">
        <f t="shared" si="61"/>
        <v>0</v>
      </c>
      <c r="J767">
        <f>IFERROR(VLOOKUP(B767,'General price list'!C:AI,12,FALSE)*(G767*C767),0)</f>
        <v>0</v>
      </c>
    </row>
    <row r="768" spans="2:10" ht="15" customHeight="1">
      <c r="B768" t="s">
        <v>11831</v>
      </c>
      <c r="C768" s="2" t="str">
        <f>IFERROR(VLOOKUP(B768,'Deutsche Markt'!C:AA,24,FALSE),"")</f>
        <v/>
      </c>
      <c r="D768" s="2">
        <f>IFERROR(VLOOKUP(B768,'Deutsche Markt'!C:AA,25,FALSE),0)</f>
        <v>0</v>
      </c>
      <c r="E768" s="2">
        <f t="shared" si="62"/>
        <v>0</v>
      </c>
      <c r="F768" s="2">
        <f t="shared" si="63"/>
        <v>0</v>
      </c>
      <c r="G768" s="2">
        <f t="shared" si="64"/>
        <v>0</v>
      </c>
      <c r="H768" s="2">
        <f t="shared" si="65"/>
        <v>0</v>
      </c>
      <c r="I768" s="2">
        <f t="shared" si="61"/>
        <v>0</v>
      </c>
      <c r="J768">
        <f>IFERROR(VLOOKUP(B768,'General price list'!C:AI,12,FALSE)*(G768*C768),0)</f>
        <v>0</v>
      </c>
    </row>
    <row r="769" spans="2:10" ht="15" customHeight="1">
      <c r="B769" t="s">
        <v>11832</v>
      </c>
      <c r="C769" s="2" t="str">
        <f>IFERROR(VLOOKUP(B769,'Deutsche Markt'!C:AA,24,FALSE),"")</f>
        <v/>
      </c>
      <c r="D769" s="2">
        <f>IFERROR(VLOOKUP(B769,'Deutsche Markt'!C:AA,25,FALSE),0)</f>
        <v>0</v>
      </c>
      <c r="E769" s="2">
        <f t="shared" si="62"/>
        <v>0</v>
      </c>
      <c r="F769" s="2">
        <f t="shared" si="63"/>
        <v>0</v>
      </c>
      <c r="G769" s="2">
        <f t="shared" si="64"/>
        <v>0</v>
      </c>
      <c r="H769" s="2">
        <f t="shared" si="65"/>
        <v>0</v>
      </c>
      <c r="I769" s="2">
        <f t="shared" si="61"/>
        <v>0</v>
      </c>
      <c r="J769">
        <f>IFERROR(VLOOKUP(B769,'General price list'!C:AI,12,FALSE)*(G769*C769),0)</f>
        <v>0</v>
      </c>
    </row>
    <row r="770" spans="2:10" ht="15" customHeight="1">
      <c r="B770" t="s">
        <v>11833</v>
      </c>
      <c r="C770" s="2" t="str">
        <f>IFERROR(VLOOKUP(B770,'Deutsche Markt'!C:AA,24,FALSE),"")</f>
        <v/>
      </c>
      <c r="D770" s="2">
        <f>IFERROR(VLOOKUP(B770,'Deutsche Markt'!C:AA,25,FALSE),0)</f>
        <v>0</v>
      </c>
      <c r="E770" s="2">
        <f t="shared" si="62"/>
        <v>0</v>
      </c>
      <c r="F770" s="2">
        <f t="shared" si="63"/>
        <v>0</v>
      </c>
      <c r="G770" s="2">
        <f t="shared" si="64"/>
        <v>0</v>
      </c>
      <c r="H770" s="2">
        <f t="shared" si="65"/>
        <v>0</v>
      </c>
      <c r="I770" s="2">
        <f t="shared" si="61"/>
        <v>0</v>
      </c>
      <c r="J770">
        <f>IFERROR(VLOOKUP(B770,'General price list'!C:AI,12,FALSE)*(G770*C770),0)</f>
        <v>0</v>
      </c>
    </row>
    <row r="771" spans="2:10" ht="15" customHeight="1">
      <c r="B771" t="s">
        <v>11834</v>
      </c>
      <c r="C771" s="2" t="str">
        <f>IFERROR(VLOOKUP(B771,'Deutsche Markt'!C:AA,24,FALSE),"")</f>
        <v/>
      </c>
      <c r="D771" s="2">
        <f>IFERROR(VLOOKUP(B771,'Deutsche Markt'!C:AA,25,FALSE),0)</f>
        <v>0</v>
      </c>
      <c r="E771" s="2">
        <f t="shared" si="62"/>
        <v>0</v>
      </c>
      <c r="F771" s="2">
        <f t="shared" si="63"/>
        <v>0</v>
      </c>
      <c r="G771" s="2">
        <f t="shared" si="64"/>
        <v>0</v>
      </c>
      <c r="H771" s="2">
        <f t="shared" si="65"/>
        <v>0</v>
      </c>
      <c r="I771" s="2">
        <f t="shared" si="61"/>
        <v>0</v>
      </c>
      <c r="J771">
        <f>IFERROR(VLOOKUP(B771,'General price list'!C:AI,12,FALSE)*(G771*C771),0)</f>
        <v>0</v>
      </c>
    </row>
    <row r="772" spans="2:10" ht="15" customHeight="1">
      <c r="B772" t="s">
        <v>13238</v>
      </c>
      <c r="C772" s="2" t="str">
        <f>IFERROR(VLOOKUP(B772,'Deutsche Markt'!C:AA,24,FALSE),"")</f>
        <v/>
      </c>
      <c r="D772" s="2">
        <f>IFERROR(VLOOKUP(B772,'Deutsche Markt'!C:AA,25,FALSE),0)</f>
        <v>0</v>
      </c>
      <c r="E772" s="2">
        <f t="shared" si="62"/>
        <v>0</v>
      </c>
      <c r="F772" s="2">
        <f t="shared" si="63"/>
        <v>0</v>
      </c>
      <c r="G772" s="2">
        <f t="shared" si="64"/>
        <v>0</v>
      </c>
      <c r="H772" s="2">
        <f t="shared" si="65"/>
        <v>0</v>
      </c>
      <c r="I772" s="2">
        <f t="shared" ref="I772:I835" si="66">IFERROR(IF(D772=0,0,IF(F772=0,(D772*nextVK)+(prvniVK-nextVK),(G772*C772*nextVK)+(F772*PALzKoje))),0)</f>
        <v>0</v>
      </c>
      <c r="J772">
        <f>IFERROR(VLOOKUP(B772,'General price list'!C:AI,12,FALSE)*(G772*C772),0)</f>
        <v>0</v>
      </c>
    </row>
    <row r="773" spans="2:10" ht="15" customHeight="1">
      <c r="B773" t="s">
        <v>11835</v>
      </c>
      <c r="C773" s="2" t="str">
        <f>IFERROR(VLOOKUP(B773,'Deutsche Markt'!C:AA,24,FALSE),"")</f>
        <v/>
      </c>
      <c r="D773" s="2">
        <f>IFERROR(VLOOKUP(B773,'Deutsche Markt'!C:AA,25,FALSE),0)</f>
        <v>0</v>
      </c>
      <c r="E773" s="2">
        <f t="shared" ref="E773:E836" si="67">IFERROR(D773/C773,0)</f>
        <v>0</v>
      </c>
      <c r="F773" s="2">
        <f t="shared" ref="F773:F836" si="68">IFERROR(FLOOR(IF(E773-1&lt;0,0,E773),1),0)</f>
        <v>0</v>
      </c>
      <c r="G773" s="2">
        <f t="shared" ref="G773:G836" si="69">IFERROR(IF(H773&gt;E773,F773-E773,E773-F773),0)</f>
        <v>0</v>
      </c>
      <c r="H773" s="2">
        <f t="shared" ref="H773:H836" si="70">IFERROR(IF(E773=0,0,F773),0)</f>
        <v>0</v>
      </c>
      <c r="I773" s="2">
        <f t="shared" si="66"/>
        <v>0</v>
      </c>
      <c r="J773">
        <f>IFERROR(VLOOKUP(B773,'General price list'!C:AI,12,FALSE)*(G773*C773),0)</f>
        <v>0</v>
      </c>
    </row>
    <row r="774" spans="2:10" ht="15" customHeight="1">
      <c r="B774" t="s">
        <v>12106</v>
      </c>
      <c r="C774" s="2" t="str">
        <f>IFERROR(VLOOKUP(B774,'Deutsche Markt'!C:AA,24,FALSE),"")</f>
        <v/>
      </c>
      <c r="D774" s="2">
        <f>IFERROR(VLOOKUP(B774,'Deutsche Markt'!C:AA,25,FALSE),0)</f>
        <v>0</v>
      </c>
      <c r="E774" s="2">
        <f t="shared" si="67"/>
        <v>0</v>
      </c>
      <c r="F774" s="2">
        <f t="shared" si="68"/>
        <v>0</v>
      </c>
      <c r="G774" s="2">
        <f t="shared" si="69"/>
        <v>0</v>
      </c>
      <c r="H774" s="2">
        <f t="shared" si="70"/>
        <v>0</v>
      </c>
      <c r="I774" s="2">
        <f t="shared" si="66"/>
        <v>0</v>
      </c>
      <c r="J774">
        <f>IFERROR(VLOOKUP(B774,'General price list'!C:AI,12,FALSE)*(G774*C774),0)</f>
        <v>0</v>
      </c>
    </row>
    <row r="775" spans="2:10" ht="15" customHeight="1">
      <c r="B775" t="s">
        <v>11836</v>
      </c>
      <c r="C775" s="2" t="str">
        <f>IFERROR(VLOOKUP(B775,'Deutsche Markt'!C:AA,24,FALSE),"")</f>
        <v/>
      </c>
      <c r="D775" s="2">
        <f>IFERROR(VLOOKUP(B775,'Deutsche Markt'!C:AA,25,FALSE),0)</f>
        <v>0</v>
      </c>
      <c r="E775" s="2">
        <f t="shared" si="67"/>
        <v>0</v>
      </c>
      <c r="F775" s="2">
        <f t="shared" si="68"/>
        <v>0</v>
      </c>
      <c r="G775" s="2">
        <f t="shared" si="69"/>
        <v>0</v>
      </c>
      <c r="H775" s="2">
        <f t="shared" si="70"/>
        <v>0</v>
      </c>
      <c r="I775" s="2">
        <f t="shared" si="66"/>
        <v>0</v>
      </c>
      <c r="J775">
        <f>IFERROR(VLOOKUP(B775,'General price list'!C:AI,12,FALSE)*(G775*C775),0)</f>
        <v>0</v>
      </c>
    </row>
    <row r="776" spans="2:10" ht="15" customHeight="1">
      <c r="B776" t="s">
        <v>11837</v>
      </c>
      <c r="C776" s="2" t="str">
        <f>IFERROR(VLOOKUP(B776,'Deutsche Markt'!C:AA,24,FALSE),"")</f>
        <v/>
      </c>
      <c r="D776" s="2">
        <f>IFERROR(VLOOKUP(B776,'Deutsche Markt'!C:AA,25,FALSE),0)</f>
        <v>0</v>
      </c>
      <c r="E776" s="2">
        <f t="shared" si="67"/>
        <v>0</v>
      </c>
      <c r="F776" s="2">
        <f t="shared" si="68"/>
        <v>0</v>
      </c>
      <c r="G776" s="2">
        <f t="shared" si="69"/>
        <v>0</v>
      </c>
      <c r="H776" s="2">
        <f t="shared" si="70"/>
        <v>0</v>
      </c>
      <c r="I776" s="2">
        <f t="shared" si="66"/>
        <v>0</v>
      </c>
      <c r="J776">
        <f>IFERROR(VLOOKUP(B776,'General price list'!C:AI,12,FALSE)*(G776*C776),0)</f>
        <v>0</v>
      </c>
    </row>
    <row r="777" spans="2:10" ht="15" customHeight="1">
      <c r="B777" t="s">
        <v>11838</v>
      </c>
      <c r="C777" s="2" t="str">
        <f>IFERROR(VLOOKUP(B777,'Deutsche Markt'!C:AA,24,FALSE),"")</f>
        <v/>
      </c>
      <c r="D777" s="2">
        <f>IFERROR(VLOOKUP(B777,'Deutsche Markt'!C:AA,25,FALSE),0)</f>
        <v>0</v>
      </c>
      <c r="E777" s="2">
        <f t="shared" si="67"/>
        <v>0</v>
      </c>
      <c r="F777" s="2">
        <f t="shared" si="68"/>
        <v>0</v>
      </c>
      <c r="G777" s="2">
        <f t="shared" si="69"/>
        <v>0</v>
      </c>
      <c r="H777" s="2">
        <f t="shared" si="70"/>
        <v>0</v>
      </c>
      <c r="I777" s="2">
        <f t="shared" si="66"/>
        <v>0</v>
      </c>
      <c r="J777">
        <f>IFERROR(VLOOKUP(B777,'General price list'!C:AI,12,FALSE)*(G777*C777),0)</f>
        <v>0</v>
      </c>
    </row>
    <row r="778" spans="2:10" ht="15" customHeight="1">
      <c r="B778" t="s">
        <v>11839</v>
      </c>
      <c r="C778" s="2" t="str">
        <f>IFERROR(VLOOKUP(B778,'Deutsche Markt'!C:AA,24,FALSE),"")</f>
        <v/>
      </c>
      <c r="D778" s="2">
        <f>IFERROR(VLOOKUP(B778,'Deutsche Markt'!C:AA,25,FALSE),0)</f>
        <v>0</v>
      </c>
      <c r="E778" s="2">
        <f t="shared" si="67"/>
        <v>0</v>
      </c>
      <c r="F778" s="2">
        <f t="shared" si="68"/>
        <v>0</v>
      </c>
      <c r="G778" s="2">
        <f t="shared" si="69"/>
        <v>0</v>
      </c>
      <c r="H778" s="2">
        <f t="shared" si="70"/>
        <v>0</v>
      </c>
      <c r="I778" s="2">
        <f t="shared" si="66"/>
        <v>0</v>
      </c>
      <c r="J778">
        <f>IFERROR(VLOOKUP(B778,'General price list'!C:AI,12,FALSE)*(G778*C778),0)</f>
        <v>0</v>
      </c>
    </row>
    <row r="779" spans="2:10" ht="15" customHeight="1">
      <c r="B779" t="s">
        <v>11840</v>
      </c>
      <c r="C779" s="2" t="str">
        <f>IFERROR(VLOOKUP(B779,'Deutsche Markt'!C:AA,24,FALSE),"")</f>
        <v/>
      </c>
      <c r="D779" s="2">
        <f>IFERROR(VLOOKUP(B779,'Deutsche Markt'!C:AA,25,FALSE),0)</f>
        <v>0</v>
      </c>
      <c r="E779" s="2">
        <f t="shared" si="67"/>
        <v>0</v>
      </c>
      <c r="F779" s="2">
        <f t="shared" si="68"/>
        <v>0</v>
      </c>
      <c r="G779" s="2">
        <f t="shared" si="69"/>
        <v>0</v>
      </c>
      <c r="H779" s="2">
        <f t="shared" si="70"/>
        <v>0</v>
      </c>
      <c r="I779" s="2">
        <f t="shared" si="66"/>
        <v>0</v>
      </c>
      <c r="J779">
        <f>IFERROR(VLOOKUP(B779,'General price list'!C:AI,12,FALSE)*(G779*C779),0)</f>
        <v>0</v>
      </c>
    </row>
    <row r="780" spans="2:10" ht="15" customHeight="1">
      <c r="B780" t="s">
        <v>11841</v>
      </c>
      <c r="C780" s="2" t="str">
        <f>IFERROR(VLOOKUP(B780,'Deutsche Markt'!C:AA,24,FALSE),"")</f>
        <v/>
      </c>
      <c r="D780" s="2">
        <f>IFERROR(VLOOKUP(B780,'Deutsche Markt'!C:AA,25,FALSE),0)</f>
        <v>0</v>
      </c>
      <c r="E780" s="2">
        <f t="shared" si="67"/>
        <v>0</v>
      </c>
      <c r="F780" s="2">
        <f t="shared" si="68"/>
        <v>0</v>
      </c>
      <c r="G780" s="2">
        <f t="shared" si="69"/>
        <v>0</v>
      </c>
      <c r="H780" s="2">
        <f t="shared" si="70"/>
        <v>0</v>
      </c>
      <c r="I780" s="2">
        <f t="shared" si="66"/>
        <v>0</v>
      </c>
      <c r="J780">
        <f>IFERROR(VLOOKUP(B780,'General price list'!C:AI,12,FALSE)*(G780*C780),0)</f>
        <v>0</v>
      </c>
    </row>
    <row r="781" spans="2:10" ht="15" customHeight="1">
      <c r="B781" t="s">
        <v>11842</v>
      </c>
      <c r="C781" s="2" t="str">
        <f>IFERROR(VLOOKUP(B781,'Deutsche Markt'!C:AA,24,FALSE),"")</f>
        <v/>
      </c>
      <c r="D781" s="2">
        <f>IFERROR(VLOOKUP(B781,'Deutsche Markt'!C:AA,25,FALSE),0)</f>
        <v>0</v>
      </c>
      <c r="E781" s="2">
        <f t="shared" si="67"/>
        <v>0</v>
      </c>
      <c r="F781" s="2">
        <f t="shared" si="68"/>
        <v>0</v>
      </c>
      <c r="G781" s="2">
        <f t="shared" si="69"/>
        <v>0</v>
      </c>
      <c r="H781" s="2">
        <f t="shared" si="70"/>
        <v>0</v>
      </c>
      <c r="I781" s="2">
        <f t="shared" si="66"/>
        <v>0</v>
      </c>
      <c r="J781">
        <f>IFERROR(VLOOKUP(B781,'General price list'!C:AI,12,FALSE)*(G781*C781),0)</f>
        <v>0</v>
      </c>
    </row>
    <row r="782" spans="2:10" ht="15" customHeight="1">
      <c r="B782" t="s">
        <v>12107</v>
      </c>
      <c r="C782" s="2" t="str">
        <f>IFERROR(VLOOKUP(B782,'Deutsche Markt'!C:AA,24,FALSE),"")</f>
        <v/>
      </c>
      <c r="D782" s="2">
        <f>IFERROR(VLOOKUP(B782,'Deutsche Markt'!C:AA,25,FALSE),0)</f>
        <v>0</v>
      </c>
      <c r="E782" s="2">
        <f t="shared" si="67"/>
        <v>0</v>
      </c>
      <c r="F782" s="2">
        <f t="shared" si="68"/>
        <v>0</v>
      </c>
      <c r="G782" s="2">
        <f t="shared" si="69"/>
        <v>0</v>
      </c>
      <c r="H782" s="2">
        <f t="shared" si="70"/>
        <v>0</v>
      </c>
      <c r="I782" s="2">
        <f t="shared" si="66"/>
        <v>0</v>
      </c>
      <c r="J782">
        <f>IFERROR(VLOOKUP(B782,'General price list'!C:AI,12,FALSE)*(G782*C782),0)</f>
        <v>0</v>
      </c>
    </row>
    <row r="783" spans="2:10" ht="15" customHeight="1">
      <c r="B783" t="s">
        <v>11843</v>
      </c>
      <c r="C783" s="2" t="str">
        <f>IFERROR(VLOOKUP(B783,'Deutsche Markt'!C:AA,24,FALSE),"")</f>
        <v/>
      </c>
      <c r="D783" s="2">
        <f>IFERROR(VLOOKUP(B783,'Deutsche Markt'!C:AA,25,FALSE),0)</f>
        <v>0</v>
      </c>
      <c r="E783" s="2">
        <f t="shared" si="67"/>
        <v>0</v>
      </c>
      <c r="F783" s="2">
        <f t="shared" si="68"/>
        <v>0</v>
      </c>
      <c r="G783" s="2">
        <f t="shared" si="69"/>
        <v>0</v>
      </c>
      <c r="H783" s="2">
        <f t="shared" si="70"/>
        <v>0</v>
      </c>
      <c r="I783" s="2">
        <f t="shared" si="66"/>
        <v>0</v>
      </c>
      <c r="J783">
        <f>IFERROR(VLOOKUP(B783,'General price list'!C:AI,12,FALSE)*(G783*C783),0)</f>
        <v>0</v>
      </c>
    </row>
    <row r="784" spans="2:10" ht="15" customHeight="1">
      <c r="B784" t="s">
        <v>11845</v>
      </c>
      <c r="C784" s="2" t="str">
        <f>IFERROR(VLOOKUP(B784,'Deutsche Markt'!C:AA,24,FALSE),"")</f>
        <v/>
      </c>
      <c r="D784" s="2">
        <f>IFERROR(VLOOKUP(B784,'Deutsche Markt'!C:AA,25,FALSE),0)</f>
        <v>0</v>
      </c>
      <c r="E784" s="2">
        <f t="shared" si="67"/>
        <v>0</v>
      </c>
      <c r="F784" s="2">
        <f t="shared" si="68"/>
        <v>0</v>
      </c>
      <c r="G784" s="2">
        <f t="shared" si="69"/>
        <v>0</v>
      </c>
      <c r="H784" s="2">
        <f t="shared" si="70"/>
        <v>0</v>
      </c>
      <c r="I784" s="2">
        <f t="shared" si="66"/>
        <v>0</v>
      </c>
      <c r="J784">
        <f>IFERROR(VLOOKUP(B784,'General price list'!C:AI,12,FALSE)*(G784*C784),0)</f>
        <v>0</v>
      </c>
    </row>
    <row r="785" spans="2:10" ht="15" customHeight="1">
      <c r="B785" t="s">
        <v>11846</v>
      </c>
      <c r="C785" s="2" t="str">
        <f>IFERROR(VLOOKUP(B785,'Deutsche Markt'!C:AA,24,FALSE),"")</f>
        <v/>
      </c>
      <c r="D785" s="2">
        <f>IFERROR(VLOOKUP(B785,'Deutsche Markt'!C:AA,25,FALSE),0)</f>
        <v>0</v>
      </c>
      <c r="E785" s="2">
        <f t="shared" si="67"/>
        <v>0</v>
      </c>
      <c r="F785" s="2">
        <f t="shared" si="68"/>
        <v>0</v>
      </c>
      <c r="G785" s="2">
        <f t="shared" si="69"/>
        <v>0</v>
      </c>
      <c r="H785" s="2">
        <f t="shared" si="70"/>
        <v>0</v>
      </c>
      <c r="I785" s="2">
        <f t="shared" si="66"/>
        <v>0</v>
      </c>
      <c r="J785">
        <f>IFERROR(VLOOKUP(B785,'General price list'!C:AI,12,FALSE)*(G785*C785),0)</f>
        <v>0</v>
      </c>
    </row>
    <row r="786" spans="2:10" ht="15" customHeight="1">
      <c r="B786" t="s">
        <v>11847</v>
      </c>
      <c r="C786" s="2" t="str">
        <f>IFERROR(VLOOKUP(B786,'Deutsche Markt'!C:AA,24,FALSE),"")</f>
        <v/>
      </c>
      <c r="D786" s="2">
        <f>IFERROR(VLOOKUP(B786,'Deutsche Markt'!C:AA,25,FALSE),0)</f>
        <v>0</v>
      </c>
      <c r="E786" s="2">
        <f t="shared" si="67"/>
        <v>0</v>
      </c>
      <c r="F786" s="2">
        <f t="shared" si="68"/>
        <v>0</v>
      </c>
      <c r="G786" s="2">
        <f t="shared" si="69"/>
        <v>0</v>
      </c>
      <c r="H786" s="2">
        <f t="shared" si="70"/>
        <v>0</v>
      </c>
      <c r="I786" s="2">
        <f t="shared" si="66"/>
        <v>0</v>
      </c>
      <c r="J786">
        <f>IFERROR(VLOOKUP(B786,'General price list'!C:AI,12,FALSE)*(G786*C786),0)</f>
        <v>0</v>
      </c>
    </row>
    <row r="787" spans="2:10" ht="15" customHeight="1">
      <c r="B787" t="s">
        <v>11848</v>
      </c>
      <c r="C787" s="2" t="str">
        <f>IFERROR(VLOOKUP(B787,'Deutsche Markt'!C:AA,24,FALSE),"")</f>
        <v/>
      </c>
      <c r="D787" s="2">
        <f>IFERROR(VLOOKUP(B787,'Deutsche Markt'!C:AA,25,FALSE),0)</f>
        <v>0</v>
      </c>
      <c r="E787" s="2">
        <f t="shared" si="67"/>
        <v>0</v>
      </c>
      <c r="F787" s="2">
        <f t="shared" si="68"/>
        <v>0</v>
      </c>
      <c r="G787" s="2">
        <f t="shared" si="69"/>
        <v>0</v>
      </c>
      <c r="H787" s="2">
        <f t="shared" si="70"/>
        <v>0</v>
      </c>
      <c r="I787" s="2">
        <f t="shared" si="66"/>
        <v>0</v>
      </c>
      <c r="J787">
        <f>IFERROR(VLOOKUP(B787,'General price list'!C:AI,12,FALSE)*(G787*C787),0)</f>
        <v>0</v>
      </c>
    </row>
    <row r="788" spans="2:10" ht="15" customHeight="1">
      <c r="B788" t="s">
        <v>11849</v>
      </c>
      <c r="C788" s="2" t="str">
        <f>IFERROR(VLOOKUP(B788,'Deutsche Markt'!C:AA,24,FALSE),"")</f>
        <v/>
      </c>
      <c r="D788" s="2">
        <f>IFERROR(VLOOKUP(B788,'Deutsche Markt'!C:AA,25,FALSE),0)</f>
        <v>0</v>
      </c>
      <c r="E788" s="2">
        <f t="shared" si="67"/>
        <v>0</v>
      </c>
      <c r="F788" s="2">
        <f t="shared" si="68"/>
        <v>0</v>
      </c>
      <c r="G788" s="2">
        <f t="shared" si="69"/>
        <v>0</v>
      </c>
      <c r="H788" s="2">
        <f t="shared" si="70"/>
        <v>0</v>
      </c>
      <c r="I788" s="2">
        <f t="shared" si="66"/>
        <v>0</v>
      </c>
      <c r="J788">
        <f>IFERROR(VLOOKUP(B788,'General price list'!C:AI,12,FALSE)*(G788*C788),0)</f>
        <v>0</v>
      </c>
    </row>
    <row r="789" spans="2:10" ht="15" customHeight="1">
      <c r="B789" t="s">
        <v>905</v>
      </c>
      <c r="C789" s="2" t="str">
        <f>IFERROR(VLOOKUP(B789,'Deutsche Markt'!C:AA,24,FALSE),"")</f>
        <v/>
      </c>
      <c r="D789" s="2">
        <f>IFERROR(VLOOKUP(B789,'Deutsche Markt'!C:AA,25,FALSE),0)</f>
        <v>0</v>
      </c>
      <c r="E789" s="2">
        <f t="shared" si="67"/>
        <v>0</v>
      </c>
      <c r="F789" s="2">
        <f t="shared" si="68"/>
        <v>0</v>
      </c>
      <c r="G789" s="2">
        <f t="shared" si="69"/>
        <v>0</v>
      </c>
      <c r="H789" s="2">
        <f t="shared" si="70"/>
        <v>0</v>
      </c>
      <c r="I789" s="2">
        <f t="shared" si="66"/>
        <v>0</v>
      </c>
      <c r="J789">
        <f>IFERROR(VLOOKUP(B789,'General price list'!C:AI,12,FALSE)*(G789*C789),0)</f>
        <v>0</v>
      </c>
    </row>
    <row r="790" spans="2:10" ht="15" customHeight="1">
      <c r="B790" t="s">
        <v>2489</v>
      </c>
      <c r="C790" s="2" t="str">
        <f>IFERROR(VLOOKUP(B790,'Deutsche Markt'!C:AA,24,FALSE),"")</f>
        <v/>
      </c>
      <c r="D790" s="2">
        <f>IFERROR(VLOOKUP(B790,'Deutsche Markt'!C:AA,25,FALSE),0)</f>
        <v>0</v>
      </c>
      <c r="E790" s="2">
        <f t="shared" si="67"/>
        <v>0</v>
      </c>
      <c r="F790" s="2">
        <f t="shared" si="68"/>
        <v>0</v>
      </c>
      <c r="G790" s="2">
        <f t="shared" si="69"/>
        <v>0</v>
      </c>
      <c r="H790" s="2">
        <f t="shared" si="70"/>
        <v>0</v>
      </c>
      <c r="I790" s="2">
        <f t="shared" si="66"/>
        <v>0</v>
      </c>
      <c r="J790">
        <f>IFERROR(VLOOKUP(B790,'General price list'!C:AI,12,FALSE)*(G790*C790),0)</f>
        <v>0</v>
      </c>
    </row>
    <row r="791" spans="2:10" ht="15" customHeight="1">
      <c r="B791" t="s">
        <v>12559</v>
      </c>
      <c r="C791" s="2" t="str">
        <f>IFERROR(VLOOKUP(B791,'Deutsche Markt'!C:AA,24,FALSE),"")</f>
        <v/>
      </c>
      <c r="D791" s="2">
        <f>IFERROR(VLOOKUP(B791,'Deutsche Markt'!C:AA,25,FALSE),0)</f>
        <v>0</v>
      </c>
      <c r="E791" s="2">
        <f t="shared" si="67"/>
        <v>0</v>
      </c>
      <c r="F791" s="2">
        <f t="shared" si="68"/>
        <v>0</v>
      </c>
      <c r="G791" s="2">
        <f t="shared" si="69"/>
        <v>0</v>
      </c>
      <c r="H791" s="2">
        <f t="shared" si="70"/>
        <v>0</v>
      </c>
      <c r="I791" s="2">
        <f t="shared" si="66"/>
        <v>0</v>
      </c>
      <c r="J791">
        <f>IFERROR(VLOOKUP(B791,'General price list'!C:AI,12,FALSE)*(G791*C791),0)</f>
        <v>0</v>
      </c>
    </row>
    <row r="792" spans="2:10" ht="15" customHeight="1">
      <c r="B792" t="s">
        <v>13215</v>
      </c>
      <c r="C792" s="2" t="str">
        <f>IFERROR(VLOOKUP(B792,'Deutsche Markt'!C:AA,24,FALSE),"")</f>
        <v/>
      </c>
      <c r="D792" s="2">
        <f>IFERROR(VLOOKUP(B792,'Deutsche Markt'!C:AA,25,FALSE),0)</f>
        <v>0</v>
      </c>
      <c r="E792" s="2">
        <f t="shared" si="67"/>
        <v>0</v>
      </c>
      <c r="F792" s="2">
        <f t="shared" si="68"/>
        <v>0</v>
      </c>
      <c r="G792" s="2">
        <f t="shared" si="69"/>
        <v>0</v>
      </c>
      <c r="H792" s="2">
        <f t="shared" si="70"/>
        <v>0</v>
      </c>
      <c r="I792" s="2">
        <f t="shared" si="66"/>
        <v>0</v>
      </c>
      <c r="J792">
        <f>IFERROR(VLOOKUP(B792,'General price list'!C:AI,12,FALSE)*(G792*C792),0)</f>
        <v>0</v>
      </c>
    </row>
    <row r="793" spans="2:10" ht="15" customHeight="1">
      <c r="B793" t="s">
        <v>3047</v>
      </c>
      <c r="C793" s="2">
        <f>IFERROR(VLOOKUP(B793,'Deutsche Markt'!C:AA,24,FALSE),"")</f>
        <v>80</v>
      </c>
      <c r="D793" s="2">
        <f>IFERROR(VLOOKUP(B793,'Deutsche Markt'!C:AA,25,FALSE),0)</f>
        <v>0</v>
      </c>
      <c r="E793" s="2">
        <f t="shared" si="67"/>
        <v>0</v>
      </c>
      <c r="F793" s="2">
        <f t="shared" si="68"/>
        <v>0</v>
      </c>
      <c r="G793" s="2">
        <f t="shared" si="69"/>
        <v>0</v>
      </c>
      <c r="H793" s="2">
        <f t="shared" si="70"/>
        <v>0</v>
      </c>
      <c r="I793" s="2">
        <f t="shared" si="66"/>
        <v>0</v>
      </c>
      <c r="J793">
        <f>IFERROR(VLOOKUP(B793,'General price list'!C:AI,12,FALSE)*(G793*C793),0)</f>
        <v>0</v>
      </c>
    </row>
    <row r="794" spans="2:10" ht="15" customHeight="1">
      <c r="B794" t="s">
        <v>11083</v>
      </c>
      <c r="C794" s="2">
        <f>IFERROR(VLOOKUP(B794,'Deutsche Markt'!C:AA,24,FALSE),"")</f>
        <v>80</v>
      </c>
      <c r="D794" s="2">
        <f>IFERROR(VLOOKUP(B794,'Deutsche Markt'!C:AA,25,FALSE),0)</f>
        <v>0</v>
      </c>
      <c r="E794" s="2">
        <f t="shared" si="67"/>
        <v>0</v>
      </c>
      <c r="F794" s="2">
        <f t="shared" si="68"/>
        <v>0</v>
      </c>
      <c r="G794" s="2">
        <f t="shared" si="69"/>
        <v>0</v>
      </c>
      <c r="H794" s="2">
        <f t="shared" si="70"/>
        <v>0</v>
      </c>
      <c r="I794" s="2">
        <f t="shared" si="66"/>
        <v>0</v>
      </c>
      <c r="J794">
        <f>IFERROR(VLOOKUP(B794,'General price list'!C:AI,12,FALSE)*(G794*C794),0)</f>
        <v>0</v>
      </c>
    </row>
    <row r="795" spans="2:10" ht="15" customHeight="1">
      <c r="B795" t="s">
        <v>74</v>
      </c>
      <c r="C795" s="2">
        <f>IFERROR(VLOOKUP(B795,'Deutsche Markt'!C:AA,24,FALSE),"")</f>
        <v>80</v>
      </c>
      <c r="D795" s="2">
        <f>IFERROR(VLOOKUP(B795,'Deutsche Markt'!C:AA,25,FALSE),0)</f>
        <v>0</v>
      </c>
      <c r="E795" s="2">
        <f t="shared" si="67"/>
        <v>0</v>
      </c>
      <c r="F795" s="2">
        <f t="shared" si="68"/>
        <v>0</v>
      </c>
      <c r="G795" s="2">
        <f t="shared" si="69"/>
        <v>0</v>
      </c>
      <c r="H795" s="2">
        <f t="shared" si="70"/>
        <v>0</v>
      </c>
      <c r="I795" s="2">
        <f t="shared" si="66"/>
        <v>0</v>
      </c>
      <c r="J795">
        <f>IFERROR(VLOOKUP(B795,'General price list'!C:AI,12,FALSE)*(G795*C795),0)</f>
        <v>0</v>
      </c>
    </row>
    <row r="796" spans="2:10" ht="15" customHeight="1">
      <c r="B796" t="s">
        <v>69</v>
      </c>
      <c r="C796" s="2">
        <f>IFERROR(VLOOKUP(B796,'Deutsche Markt'!C:AA,24,FALSE),"")</f>
        <v>24</v>
      </c>
      <c r="D796" s="2">
        <f>IFERROR(VLOOKUP(B796,'Deutsche Markt'!C:AA,25,FALSE),0)</f>
        <v>0</v>
      </c>
      <c r="E796" s="2">
        <f t="shared" si="67"/>
        <v>0</v>
      </c>
      <c r="F796" s="2">
        <f t="shared" si="68"/>
        <v>0</v>
      </c>
      <c r="G796" s="2">
        <f t="shared" si="69"/>
        <v>0</v>
      </c>
      <c r="H796" s="2">
        <f t="shared" si="70"/>
        <v>0</v>
      </c>
      <c r="I796" s="2">
        <f t="shared" si="66"/>
        <v>0</v>
      </c>
      <c r="J796">
        <f>IFERROR(VLOOKUP(B796,'General price list'!C:AI,12,FALSE)*(G796*C796),0)</f>
        <v>0</v>
      </c>
    </row>
    <row r="797" spans="2:10" ht="15" customHeight="1">
      <c r="B797" t="s">
        <v>63</v>
      </c>
      <c r="C797" s="2">
        <f>IFERROR(VLOOKUP(B797,'Deutsche Markt'!C:AA,24,FALSE),"")</f>
        <v>42</v>
      </c>
      <c r="D797" s="2">
        <f>IFERROR(VLOOKUP(B797,'Deutsche Markt'!C:AA,25,FALSE),0)</f>
        <v>0</v>
      </c>
      <c r="E797" s="2">
        <f t="shared" si="67"/>
        <v>0</v>
      </c>
      <c r="F797" s="2">
        <f t="shared" si="68"/>
        <v>0</v>
      </c>
      <c r="G797" s="2">
        <f t="shared" si="69"/>
        <v>0</v>
      </c>
      <c r="H797" s="2">
        <f t="shared" si="70"/>
        <v>0</v>
      </c>
      <c r="I797" s="2">
        <f t="shared" si="66"/>
        <v>0</v>
      </c>
      <c r="J797">
        <f>IFERROR(VLOOKUP(B797,'General price list'!C:AI,12,FALSE)*(G797*C797),0)</f>
        <v>0</v>
      </c>
    </row>
    <row r="798" spans="2:10" ht="15" customHeight="1">
      <c r="B798" t="s">
        <v>57</v>
      </c>
      <c r="C798" s="2">
        <f>IFERROR(VLOOKUP(B798,'Deutsche Markt'!C:AA,24,FALSE),"")</f>
        <v>40</v>
      </c>
      <c r="D798" s="2">
        <f>IFERROR(VLOOKUP(B798,'Deutsche Markt'!C:AA,25,FALSE),0)</f>
        <v>0</v>
      </c>
      <c r="E798" s="2">
        <f t="shared" si="67"/>
        <v>0</v>
      </c>
      <c r="F798" s="2">
        <f t="shared" si="68"/>
        <v>0</v>
      </c>
      <c r="G798" s="2">
        <f t="shared" si="69"/>
        <v>0</v>
      </c>
      <c r="H798" s="2">
        <f t="shared" si="70"/>
        <v>0</v>
      </c>
      <c r="I798" s="2">
        <f t="shared" si="66"/>
        <v>0</v>
      </c>
      <c r="J798">
        <f>IFERROR(VLOOKUP(B798,'General price list'!C:AI,12,FALSE)*(G798*C798),0)</f>
        <v>0</v>
      </c>
    </row>
    <row r="799" spans="2:10" ht="15" customHeight="1">
      <c r="B799" t="s">
        <v>51</v>
      </c>
      <c r="C799" s="2" t="str">
        <f>IFERROR(VLOOKUP(B799,'Deutsche Markt'!C:AA,24,FALSE),"")</f>
        <v>40</v>
      </c>
      <c r="D799" s="2">
        <f>IFERROR(VLOOKUP(B799,'Deutsche Markt'!C:AA,25,FALSE),0)</f>
        <v>0</v>
      </c>
      <c r="E799" s="2">
        <f t="shared" si="67"/>
        <v>0</v>
      </c>
      <c r="F799" s="2">
        <f t="shared" si="68"/>
        <v>0</v>
      </c>
      <c r="G799" s="2">
        <f t="shared" si="69"/>
        <v>0</v>
      </c>
      <c r="H799" s="2">
        <f t="shared" si="70"/>
        <v>0</v>
      </c>
      <c r="I799" s="2">
        <f t="shared" si="66"/>
        <v>0</v>
      </c>
      <c r="J799">
        <f>IFERROR(VLOOKUP(B799,'General price list'!C:AI,12,FALSE)*(G799*C799),0)</f>
        <v>0</v>
      </c>
    </row>
    <row r="800" spans="2:10" ht="15" customHeight="1">
      <c r="B800" t="s">
        <v>2291</v>
      </c>
      <c r="C800" s="2">
        <f>IFERROR(VLOOKUP(B800,'Deutsche Markt'!C:AA,24,FALSE),"")</f>
        <v>24</v>
      </c>
      <c r="D800" s="2">
        <f>IFERROR(VLOOKUP(B800,'Deutsche Markt'!C:AA,25,FALSE),0)</f>
        <v>0</v>
      </c>
      <c r="E800" s="2">
        <f t="shared" si="67"/>
        <v>0</v>
      </c>
      <c r="F800" s="2">
        <f t="shared" si="68"/>
        <v>0</v>
      </c>
      <c r="G800" s="2">
        <f t="shared" si="69"/>
        <v>0</v>
      </c>
      <c r="H800" s="2">
        <f t="shared" si="70"/>
        <v>0</v>
      </c>
      <c r="I800" s="2">
        <f t="shared" si="66"/>
        <v>0</v>
      </c>
      <c r="J800">
        <f>IFERROR(VLOOKUP(B800,'General price list'!C:AI,12,FALSE)*(G800*C800),0)</f>
        <v>0</v>
      </c>
    </row>
    <row r="801" spans="2:10" ht="15" customHeight="1">
      <c r="B801" t="s">
        <v>2293</v>
      </c>
      <c r="C801" s="2">
        <f>IFERROR(VLOOKUP(B801,'Deutsche Markt'!C:AA,24,FALSE),"")</f>
        <v>24</v>
      </c>
      <c r="D801" s="2">
        <f>IFERROR(VLOOKUP(B801,'Deutsche Markt'!C:AA,25,FALSE),0)</f>
        <v>0</v>
      </c>
      <c r="E801" s="2">
        <f t="shared" si="67"/>
        <v>0</v>
      </c>
      <c r="F801" s="2">
        <f t="shared" si="68"/>
        <v>0</v>
      </c>
      <c r="G801" s="2">
        <f t="shared" si="69"/>
        <v>0</v>
      </c>
      <c r="H801" s="2">
        <f t="shared" si="70"/>
        <v>0</v>
      </c>
      <c r="I801" s="2">
        <f t="shared" si="66"/>
        <v>0</v>
      </c>
      <c r="J801">
        <f>IFERROR(VLOOKUP(B801,'General price list'!C:AI,12,FALSE)*(G801*C801),0)</f>
        <v>0</v>
      </c>
    </row>
    <row r="802" spans="2:10" ht="15" customHeight="1">
      <c r="B802" t="s">
        <v>2295</v>
      </c>
      <c r="C802" s="2">
        <f>IFERROR(VLOOKUP(B802,'Deutsche Markt'!C:AA,24,FALSE),"")</f>
        <v>30</v>
      </c>
      <c r="D802" s="2">
        <f>IFERROR(VLOOKUP(B802,'Deutsche Markt'!C:AA,25,FALSE),0)</f>
        <v>0</v>
      </c>
      <c r="E802" s="2">
        <f t="shared" si="67"/>
        <v>0</v>
      </c>
      <c r="F802" s="2">
        <f t="shared" si="68"/>
        <v>0</v>
      </c>
      <c r="G802" s="2">
        <f t="shared" si="69"/>
        <v>0</v>
      </c>
      <c r="H802" s="2">
        <f t="shared" si="70"/>
        <v>0</v>
      </c>
      <c r="I802" s="2">
        <f t="shared" si="66"/>
        <v>0</v>
      </c>
      <c r="J802">
        <f>IFERROR(VLOOKUP(B802,'General price list'!C:AI,12,FALSE)*(G802*C802),0)</f>
        <v>0</v>
      </c>
    </row>
    <row r="803" spans="2:10" ht="15" customHeight="1">
      <c r="B803" t="s">
        <v>3105</v>
      </c>
      <c r="C803" s="2" t="str">
        <f>IFERROR(VLOOKUP(B803,'Deutsche Markt'!C:AA,24,FALSE),"")</f>
        <v/>
      </c>
      <c r="D803" s="2">
        <f>IFERROR(VLOOKUP(B803,'Deutsche Markt'!C:AA,25,FALSE),0)</f>
        <v>0</v>
      </c>
      <c r="E803" s="2">
        <f t="shared" si="67"/>
        <v>0</v>
      </c>
      <c r="F803" s="2">
        <f t="shared" si="68"/>
        <v>0</v>
      </c>
      <c r="G803" s="2">
        <f t="shared" si="69"/>
        <v>0</v>
      </c>
      <c r="H803" s="2">
        <f t="shared" si="70"/>
        <v>0</v>
      </c>
      <c r="I803" s="2">
        <f t="shared" si="66"/>
        <v>0</v>
      </c>
      <c r="J803">
        <f>IFERROR(VLOOKUP(B803,'General price list'!C:AI,12,FALSE)*(G803*C803),0)</f>
        <v>0</v>
      </c>
    </row>
    <row r="804" spans="2:10" ht="15" customHeight="1">
      <c r="B804" t="s">
        <v>2024</v>
      </c>
      <c r="C804" s="2" t="str">
        <f>IFERROR(VLOOKUP(B804,'Deutsche Markt'!C:AA,24,FALSE),"")</f>
        <v/>
      </c>
      <c r="D804" s="2">
        <f>IFERROR(VLOOKUP(B804,'Deutsche Markt'!C:AA,25,FALSE),0)</f>
        <v>0</v>
      </c>
      <c r="E804" s="2">
        <f t="shared" si="67"/>
        <v>0</v>
      </c>
      <c r="F804" s="2">
        <f t="shared" si="68"/>
        <v>0</v>
      </c>
      <c r="G804" s="2">
        <f t="shared" si="69"/>
        <v>0</v>
      </c>
      <c r="H804" s="2">
        <f t="shared" si="70"/>
        <v>0</v>
      </c>
      <c r="I804" s="2">
        <f t="shared" si="66"/>
        <v>0</v>
      </c>
      <c r="J804">
        <f>IFERROR(VLOOKUP(B804,'General price list'!C:AI,12,FALSE)*(G804*C804),0)</f>
        <v>0</v>
      </c>
    </row>
    <row r="805" spans="2:10" ht="15" customHeight="1">
      <c r="B805" t="s">
        <v>2029</v>
      </c>
      <c r="C805" s="2" t="str">
        <f>IFERROR(VLOOKUP(B805,'Deutsche Markt'!C:AA,24,FALSE),"")</f>
        <v/>
      </c>
      <c r="D805" s="2">
        <f>IFERROR(VLOOKUP(B805,'Deutsche Markt'!C:AA,25,FALSE),0)</f>
        <v>0</v>
      </c>
      <c r="E805" s="2">
        <f t="shared" si="67"/>
        <v>0</v>
      </c>
      <c r="F805" s="2">
        <f t="shared" si="68"/>
        <v>0</v>
      </c>
      <c r="G805" s="2">
        <f t="shared" si="69"/>
        <v>0</v>
      </c>
      <c r="H805" s="2">
        <f t="shared" si="70"/>
        <v>0</v>
      </c>
      <c r="I805" s="2">
        <f t="shared" si="66"/>
        <v>0</v>
      </c>
      <c r="J805">
        <f>IFERROR(VLOOKUP(B805,'General price list'!C:AI,12,FALSE)*(G805*C805),0)</f>
        <v>0</v>
      </c>
    </row>
    <row r="806" spans="2:10" ht="15" customHeight="1">
      <c r="B806" t="s">
        <v>2033</v>
      </c>
      <c r="C806" s="2" t="str">
        <f>IFERROR(VLOOKUP(B806,'Deutsche Markt'!C:AA,24,FALSE),"")</f>
        <v/>
      </c>
      <c r="D806" s="2">
        <f>IFERROR(VLOOKUP(B806,'Deutsche Markt'!C:AA,25,FALSE),0)</f>
        <v>0</v>
      </c>
      <c r="E806" s="2">
        <f t="shared" si="67"/>
        <v>0</v>
      </c>
      <c r="F806" s="2">
        <f t="shared" si="68"/>
        <v>0</v>
      </c>
      <c r="G806" s="2">
        <f t="shared" si="69"/>
        <v>0</v>
      </c>
      <c r="H806" s="2">
        <f t="shared" si="70"/>
        <v>0</v>
      </c>
      <c r="I806" s="2">
        <f t="shared" si="66"/>
        <v>0</v>
      </c>
      <c r="J806">
        <f>IFERROR(VLOOKUP(B806,'General price list'!C:AI,12,FALSE)*(G806*C806),0)</f>
        <v>0</v>
      </c>
    </row>
    <row r="807" spans="2:10" ht="15" customHeight="1">
      <c r="B807" t="s">
        <v>2038</v>
      </c>
      <c r="C807" s="2" t="str">
        <f>IFERROR(VLOOKUP(B807,'Deutsche Markt'!C:AA,24,FALSE),"")</f>
        <v/>
      </c>
      <c r="D807" s="2">
        <f>IFERROR(VLOOKUP(B807,'Deutsche Markt'!C:AA,25,FALSE),0)</f>
        <v>0</v>
      </c>
      <c r="E807" s="2">
        <f t="shared" si="67"/>
        <v>0</v>
      </c>
      <c r="F807" s="2">
        <f t="shared" si="68"/>
        <v>0</v>
      </c>
      <c r="G807" s="2">
        <f t="shared" si="69"/>
        <v>0</v>
      </c>
      <c r="H807" s="2">
        <f t="shared" si="70"/>
        <v>0</v>
      </c>
      <c r="I807" s="2">
        <f t="shared" si="66"/>
        <v>0</v>
      </c>
      <c r="J807">
        <f>IFERROR(VLOOKUP(B807,'General price list'!C:AI,12,FALSE)*(G807*C807),0)</f>
        <v>0</v>
      </c>
    </row>
    <row r="808" spans="2:10" ht="15" customHeight="1">
      <c r="B808" t="s">
        <v>2042</v>
      </c>
      <c r="C808" s="2" t="str">
        <f>IFERROR(VLOOKUP(B808,'Deutsche Markt'!C:AA,24,FALSE),"")</f>
        <v/>
      </c>
      <c r="D808" s="2">
        <f>IFERROR(VLOOKUP(B808,'Deutsche Markt'!C:AA,25,FALSE),0)</f>
        <v>0</v>
      </c>
      <c r="E808" s="2">
        <f t="shared" si="67"/>
        <v>0</v>
      </c>
      <c r="F808" s="2">
        <f t="shared" si="68"/>
        <v>0</v>
      </c>
      <c r="G808" s="2">
        <f t="shared" si="69"/>
        <v>0</v>
      </c>
      <c r="H808" s="2">
        <f t="shared" si="70"/>
        <v>0</v>
      </c>
      <c r="I808" s="2">
        <f t="shared" si="66"/>
        <v>0</v>
      </c>
      <c r="J808">
        <f>IFERROR(VLOOKUP(B808,'General price list'!C:AI,12,FALSE)*(G808*C808),0)</f>
        <v>0</v>
      </c>
    </row>
    <row r="809" spans="2:10" ht="15" customHeight="1">
      <c r="B809" t="s">
        <v>2047</v>
      </c>
      <c r="C809" s="2" t="str">
        <f>IFERROR(VLOOKUP(B809,'Deutsche Markt'!C:AA,24,FALSE),"")</f>
        <v/>
      </c>
      <c r="D809" s="2">
        <f>IFERROR(VLOOKUP(B809,'Deutsche Markt'!C:AA,25,FALSE),0)</f>
        <v>0</v>
      </c>
      <c r="E809" s="2">
        <f t="shared" si="67"/>
        <v>0</v>
      </c>
      <c r="F809" s="2">
        <f t="shared" si="68"/>
        <v>0</v>
      </c>
      <c r="G809" s="2">
        <f t="shared" si="69"/>
        <v>0</v>
      </c>
      <c r="H809" s="2">
        <f t="shared" si="70"/>
        <v>0</v>
      </c>
      <c r="I809" s="2">
        <f t="shared" si="66"/>
        <v>0</v>
      </c>
      <c r="J809">
        <f>IFERROR(VLOOKUP(B809,'General price list'!C:AI,12,FALSE)*(G809*C809),0)</f>
        <v>0</v>
      </c>
    </row>
    <row r="810" spans="2:10" ht="15" customHeight="1">
      <c r="B810" t="s">
        <v>2483</v>
      </c>
      <c r="C810" s="2" t="str">
        <f>IFERROR(VLOOKUP(B810,'Deutsche Markt'!C:AA,24,FALSE),"")</f>
        <v/>
      </c>
      <c r="D810" s="2">
        <f>IFERROR(VLOOKUP(B810,'Deutsche Markt'!C:AA,25,FALSE),0)</f>
        <v>0</v>
      </c>
      <c r="E810" s="2">
        <f t="shared" si="67"/>
        <v>0</v>
      </c>
      <c r="F810" s="2">
        <f t="shared" si="68"/>
        <v>0</v>
      </c>
      <c r="G810" s="2">
        <f t="shared" si="69"/>
        <v>0</v>
      </c>
      <c r="H810" s="2">
        <f t="shared" si="70"/>
        <v>0</v>
      </c>
      <c r="I810" s="2">
        <f t="shared" si="66"/>
        <v>0</v>
      </c>
      <c r="J810">
        <f>IFERROR(VLOOKUP(B810,'General price list'!C:AI,12,FALSE)*(G810*C810),0)</f>
        <v>0</v>
      </c>
    </row>
    <row r="811" spans="2:10" ht="15" customHeight="1">
      <c r="B811" t="s">
        <v>2481</v>
      </c>
      <c r="C811" s="2" t="str">
        <f>IFERROR(VLOOKUP(B811,'Deutsche Markt'!C:AA,24,FALSE),"")</f>
        <v/>
      </c>
      <c r="D811" s="2">
        <f>IFERROR(VLOOKUP(B811,'Deutsche Markt'!C:AA,25,FALSE),0)</f>
        <v>0</v>
      </c>
      <c r="E811" s="2">
        <f t="shared" si="67"/>
        <v>0</v>
      </c>
      <c r="F811" s="2">
        <f t="shared" si="68"/>
        <v>0</v>
      </c>
      <c r="G811" s="2">
        <f t="shared" si="69"/>
        <v>0</v>
      </c>
      <c r="H811" s="2">
        <f t="shared" si="70"/>
        <v>0</v>
      </c>
      <c r="I811" s="2">
        <f t="shared" si="66"/>
        <v>0</v>
      </c>
      <c r="J811">
        <f>IFERROR(VLOOKUP(B811,'General price list'!C:AI,12,FALSE)*(G811*C811),0)</f>
        <v>0</v>
      </c>
    </row>
    <row r="812" spans="2:10" ht="15" customHeight="1">
      <c r="B812" t="s">
        <v>2485</v>
      </c>
      <c r="C812" s="2" t="str">
        <f>IFERROR(VLOOKUP(B812,'Deutsche Markt'!C:AA,24,FALSE),"")</f>
        <v/>
      </c>
      <c r="D812" s="2">
        <f>IFERROR(VLOOKUP(B812,'Deutsche Markt'!C:AA,25,FALSE),0)</f>
        <v>0</v>
      </c>
      <c r="E812" s="2">
        <f t="shared" si="67"/>
        <v>0</v>
      </c>
      <c r="F812" s="2">
        <f t="shared" si="68"/>
        <v>0</v>
      </c>
      <c r="G812" s="2">
        <f t="shared" si="69"/>
        <v>0</v>
      </c>
      <c r="H812" s="2">
        <f t="shared" si="70"/>
        <v>0</v>
      </c>
      <c r="I812" s="2">
        <f t="shared" si="66"/>
        <v>0</v>
      </c>
      <c r="J812">
        <f>IFERROR(VLOOKUP(B812,'General price list'!C:AI,12,FALSE)*(G812*C812),0)</f>
        <v>0</v>
      </c>
    </row>
    <row r="813" spans="2:10" ht="15" customHeight="1">
      <c r="B813" t="s">
        <v>2487</v>
      </c>
      <c r="C813" s="2" t="str">
        <f>IFERROR(VLOOKUP(B813,'Deutsche Markt'!C:AA,24,FALSE),"")</f>
        <v/>
      </c>
      <c r="D813" s="2">
        <f>IFERROR(VLOOKUP(B813,'Deutsche Markt'!C:AA,25,FALSE),0)</f>
        <v>0</v>
      </c>
      <c r="E813" s="2">
        <f t="shared" si="67"/>
        <v>0</v>
      </c>
      <c r="F813" s="2">
        <f t="shared" si="68"/>
        <v>0</v>
      </c>
      <c r="G813" s="2">
        <f t="shared" si="69"/>
        <v>0</v>
      </c>
      <c r="H813" s="2">
        <f t="shared" si="70"/>
        <v>0</v>
      </c>
      <c r="I813" s="2">
        <f t="shared" si="66"/>
        <v>0</v>
      </c>
      <c r="J813">
        <f>IFERROR(VLOOKUP(B813,'General price list'!C:AI,12,FALSE)*(G813*C813),0)</f>
        <v>0</v>
      </c>
    </row>
    <row r="814" spans="2:10" ht="15" customHeight="1">
      <c r="B814" t="s">
        <v>913</v>
      </c>
      <c r="C814" s="2" t="str">
        <f>IFERROR(VLOOKUP(B814,'Deutsche Markt'!C:AA,24,FALSE),"")</f>
        <v>120</v>
      </c>
      <c r="D814" s="2">
        <f>IFERROR(VLOOKUP(B814,'Deutsche Markt'!C:AA,25,FALSE),0)</f>
        <v>0</v>
      </c>
      <c r="E814" s="2">
        <f t="shared" si="67"/>
        <v>0</v>
      </c>
      <c r="F814" s="2">
        <f t="shared" si="68"/>
        <v>0</v>
      </c>
      <c r="G814" s="2">
        <f t="shared" si="69"/>
        <v>0</v>
      </c>
      <c r="H814" s="2">
        <f t="shared" si="70"/>
        <v>0</v>
      </c>
      <c r="I814" s="2">
        <f t="shared" si="66"/>
        <v>0</v>
      </c>
      <c r="J814">
        <f>IFERROR(VLOOKUP(B814,'General price list'!C:AI,12,FALSE)*(G814*C814),0)</f>
        <v>0</v>
      </c>
    </row>
    <row r="815" spans="2:10" ht="15" customHeight="1">
      <c r="B815" t="s">
        <v>963</v>
      </c>
      <c r="C815" s="2" t="str">
        <f>IFERROR(VLOOKUP(B815,'Deutsche Markt'!C:AA,24,FALSE),"")</f>
        <v/>
      </c>
      <c r="D815" s="2">
        <f>IFERROR(VLOOKUP(B815,'Deutsche Markt'!C:AA,25,FALSE),0)</f>
        <v>0</v>
      </c>
      <c r="E815" s="2">
        <f t="shared" si="67"/>
        <v>0</v>
      </c>
      <c r="F815" s="2">
        <f t="shared" si="68"/>
        <v>0</v>
      </c>
      <c r="G815" s="2">
        <f t="shared" si="69"/>
        <v>0</v>
      </c>
      <c r="H815" s="2">
        <f t="shared" si="70"/>
        <v>0</v>
      </c>
      <c r="I815" s="2">
        <f t="shared" si="66"/>
        <v>0</v>
      </c>
      <c r="J815">
        <f>IFERROR(VLOOKUP(B815,'General price list'!C:AI,12,FALSE)*(G815*C815),0)</f>
        <v>0</v>
      </c>
    </row>
    <row r="816" spans="2:10" ht="15" customHeight="1">
      <c r="B816" t="s">
        <v>994</v>
      </c>
      <c r="C816" s="2" t="str">
        <f>IFERROR(VLOOKUP(B816,'Deutsche Markt'!C:AA,24,FALSE),"")</f>
        <v/>
      </c>
      <c r="D816" s="2">
        <f>IFERROR(VLOOKUP(B816,'Deutsche Markt'!C:AA,25,FALSE),0)</f>
        <v>0</v>
      </c>
      <c r="E816" s="2">
        <f t="shared" si="67"/>
        <v>0</v>
      </c>
      <c r="F816" s="2">
        <f t="shared" si="68"/>
        <v>0</v>
      </c>
      <c r="G816" s="2">
        <f t="shared" si="69"/>
        <v>0</v>
      </c>
      <c r="H816" s="2">
        <f t="shared" si="70"/>
        <v>0</v>
      </c>
      <c r="I816" s="2">
        <f t="shared" si="66"/>
        <v>0</v>
      </c>
      <c r="J816">
        <f>IFERROR(VLOOKUP(B816,'General price list'!C:AI,12,FALSE)*(G816*C816),0)</f>
        <v>0</v>
      </c>
    </row>
    <row r="817" spans="2:10" ht="15" customHeight="1">
      <c r="B817" t="s">
        <v>700</v>
      </c>
      <c r="C817" s="2" t="str">
        <f>IFERROR(VLOOKUP(B817,'Deutsche Markt'!C:AA,24,FALSE),"")</f>
        <v/>
      </c>
      <c r="D817" s="2">
        <f>IFERROR(VLOOKUP(B817,'Deutsche Markt'!C:AA,25,FALSE),0)</f>
        <v>0</v>
      </c>
      <c r="E817" s="2">
        <f t="shared" si="67"/>
        <v>0</v>
      </c>
      <c r="F817" s="2">
        <f t="shared" si="68"/>
        <v>0</v>
      </c>
      <c r="G817" s="2">
        <f t="shared" si="69"/>
        <v>0</v>
      </c>
      <c r="H817" s="2">
        <f t="shared" si="70"/>
        <v>0</v>
      </c>
      <c r="I817" s="2">
        <f t="shared" si="66"/>
        <v>0</v>
      </c>
      <c r="J817">
        <f>IFERROR(VLOOKUP(B817,'General price list'!C:AI,12,FALSE)*(G817*C817),0)</f>
        <v>0</v>
      </c>
    </row>
    <row r="818" spans="2:10" ht="15" customHeight="1">
      <c r="B818" t="s">
        <v>709</v>
      </c>
      <c r="C818" s="2" t="str">
        <f>IFERROR(VLOOKUP(B818,'Deutsche Markt'!C:AA,24,FALSE),"")</f>
        <v/>
      </c>
      <c r="D818" s="2">
        <f>IFERROR(VLOOKUP(B818,'Deutsche Markt'!C:AA,25,FALSE),0)</f>
        <v>0</v>
      </c>
      <c r="E818" s="2">
        <f t="shared" si="67"/>
        <v>0</v>
      </c>
      <c r="F818" s="2">
        <f t="shared" si="68"/>
        <v>0</v>
      </c>
      <c r="G818" s="2">
        <f t="shared" si="69"/>
        <v>0</v>
      </c>
      <c r="H818" s="2">
        <f t="shared" si="70"/>
        <v>0</v>
      </c>
      <c r="I818" s="2">
        <f t="shared" si="66"/>
        <v>0</v>
      </c>
      <c r="J818">
        <f>IFERROR(VLOOKUP(B818,'General price list'!C:AI,12,FALSE)*(G818*C818),0)</f>
        <v>0</v>
      </c>
    </row>
    <row r="819" spans="2:10" ht="15" customHeight="1">
      <c r="B819" t="s">
        <v>713</v>
      </c>
      <c r="C819" s="2" t="str">
        <f>IFERROR(VLOOKUP(B819,'Deutsche Markt'!C:AA,24,FALSE),"")</f>
        <v/>
      </c>
      <c r="D819" s="2">
        <f>IFERROR(VLOOKUP(B819,'Deutsche Markt'!C:AA,25,FALSE),0)</f>
        <v>0</v>
      </c>
      <c r="E819" s="2">
        <f t="shared" si="67"/>
        <v>0</v>
      </c>
      <c r="F819" s="2">
        <f t="shared" si="68"/>
        <v>0</v>
      </c>
      <c r="G819" s="2">
        <f t="shared" si="69"/>
        <v>0</v>
      </c>
      <c r="H819" s="2">
        <f t="shared" si="70"/>
        <v>0</v>
      </c>
      <c r="I819" s="2">
        <f t="shared" si="66"/>
        <v>0</v>
      </c>
      <c r="J819">
        <f>IFERROR(VLOOKUP(B819,'General price list'!C:AI,12,FALSE)*(G819*C819),0)</f>
        <v>0</v>
      </c>
    </row>
    <row r="820" spans="2:10" ht="15" customHeight="1">
      <c r="B820" t="s">
        <v>690</v>
      </c>
      <c r="C820" s="2" t="str">
        <f>IFERROR(VLOOKUP(B820,'Deutsche Markt'!C:AA,24,FALSE),"")</f>
        <v/>
      </c>
      <c r="D820" s="2">
        <f>IFERROR(VLOOKUP(B820,'Deutsche Markt'!C:AA,25,FALSE),0)</f>
        <v>0</v>
      </c>
      <c r="E820" s="2">
        <f t="shared" si="67"/>
        <v>0</v>
      </c>
      <c r="F820" s="2">
        <f t="shared" si="68"/>
        <v>0</v>
      </c>
      <c r="G820" s="2">
        <f t="shared" si="69"/>
        <v>0</v>
      </c>
      <c r="H820" s="2">
        <f t="shared" si="70"/>
        <v>0</v>
      </c>
      <c r="I820" s="2">
        <f t="shared" si="66"/>
        <v>0</v>
      </c>
      <c r="J820">
        <f>IFERROR(VLOOKUP(B820,'General price list'!C:AI,12,FALSE)*(G820*C820),0)</f>
        <v>0</v>
      </c>
    </row>
    <row r="821" spans="2:10" ht="15" customHeight="1">
      <c r="B821" t="s">
        <v>691</v>
      </c>
      <c r="C821" s="2" t="str">
        <f>IFERROR(VLOOKUP(B821,'Deutsche Markt'!C:AA,24,FALSE),"")</f>
        <v/>
      </c>
      <c r="D821" s="2">
        <f>IFERROR(VLOOKUP(B821,'Deutsche Markt'!C:AA,25,FALSE),0)</f>
        <v>0</v>
      </c>
      <c r="E821" s="2">
        <f t="shared" si="67"/>
        <v>0</v>
      </c>
      <c r="F821" s="2">
        <f t="shared" si="68"/>
        <v>0</v>
      </c>
      <c r="G821" s="2">
        <f t="shared" si="69"/>
        <v>0</v>
      </c>
      <c r="H821" s="2">
        <f t="shared" si="70"/>
        <v>0</v>
      </c>
      <c r="I821" s="2">
        <f t="shared" si="66"/>
        <v>0</v>
      </c>
      <c r="J821">
        <f>IFERROR(VLOOKUP(B821,'General price list'!C:AI,12,FALSE)*(G821*C821),0)</f>
        <v>0</v>
      </c>
    </row>
    <row r="822" spans="2:10" ht="15" customHeight="1">
      <c r="B822" t="s">
        <v>695</v>
      </c>
      <c r="C822" s="2" t="str">
        <f>IFERROR(VLOOKUP(B822,'Deutsche Markt'!C:AA,24,FALSE),"")</f>
        <v/>
      </c>
      <c r="D822" s="2">
        <f>IFERROR(VLOOKUP(B822,'Deutsche Markt'!C:AA,25,FALSE),0)</f>
        <v>0</v>
      </c>
      <c r="E822" s="2">
        <f t="shared" si="67"/>
        <v>0</v>
      </c>
      <c r="F822" s="2">
        <f t="shared" si="68"/>
        <v>0</v>
      </c>
      <c r="G822" s="2">
        <f t="shared" si="69"/>
        <v>0</v>
      </c>
      <c r="H822" s="2">
        <f t="shared" si="70"/>
        <v>0</v>
      </c>
      <c r="I822" s="2">
        <f t="shared" si="66"/>
        <v>0</v>
      </c>
      <c r="J822">
        <f>IFERROR(VLOOKUP(B822,'General price list'!C:AI,12,FALSE)*(G822*C822),0)</f>
        <v>0</v>
      </c>
    </row>
    <row r="823" spans="2:10" ht="15" customHeight="1">
      <c r="B823" t="s">
        <v>3640</v>
      </c>
      <c r="C823" s="2" t="str">
        <f>IFERROR(VLOOKUP(B823,'Deutsche Markt'!C:AA,24,FALSE),"")</f>
        <v>60</v>
      </c>
      <c r="D823" s="2">
        <f>IFERROR(VLOOKUP(B823,'Deutsche Markt'!C:AA,25,FALSE),0)</f>
        <v>0</v>
      </c>
      <c r="E823" s="2">
        <f t="shared" si="67"/>
        <v>0</v>
      </c>
      <c r="F823" s="2">
        <f t="shared" si="68"/>
        <v>0</v>
      </c>
      <c r="G823" s="2">
        <f t="shared" si="69"/>
        <v>0</v>
      </c>
      <c r="H823" s="2">
        <f t="shared" si="70"/>
        <v>0</v>
      </c>
      <c r="I823" s="2">
        <f t="shared" si="66"/>
        <v>0</v>
      </c>
      <c r="J823">
        <f>IFERROR(VLOOKUP(B823,'General price list'!C:AI,12,FALSE)*(G823*C823),0)</f>
        <v>0</v>
      </c>
    </row>
    <row r="824" spans="2:10" ht="15" customHeight="1">
      <c r="B824" t="s">
        <v>869</v>
      </c>
      <c r="C824" s="2" t="str">
        <f>IFERROR(VLOOKUP(B824,'Deutsche Markt'!C:AA,24,FALSE),"")</f>
        <v>60</v>
      </c>
      <c r="D824" s="2">
        <f>IFERROR(VLOOKUP(B824,'Deutsche Markt'!C:AA,25,FALSE),0)</f>
        <v>0</v>
      </c>
      <c r="E824" s="2">
        <f t="shared" si="67"/>
        <v>0</v>
      </c>
      <c r="F824" s="2">
        <f t="shared" si="68"/>
        <v>0</v>
      </c>
      <c r="G824" s="2">
        <f t="shared" si="69"/>
        <v>0</v>
      </c>
      <c r="H824" s="2">
        <f t="shared" si="70"/>
        <v>0</v>
      </c>
      <c r="I824" s="2">
        <f t="shared" si="66"/>
        <v>0</v>
      </c>
      <c r="J824">
        <f>IFERROR(VLOOKUP(B824,'General price list'!C:AI,12,FALSE)*(G824*C824),0)</f>
        <v>0</v>
      </c>
    </row>
    <row r="825" spans="2:10" ht="15" customHeight="1">
      <c r="B825" t="s">
        <v>2329</v>
      </c>
      <c r="C825" s="2" t="str">
        <f>IFERROR(VLOOKUP(B825,'Deutsche Markt'!C:AA,24,FALSE),"")</f>
        <v>60</v>
      </c>
      <c r="D825" s="2">
        <f>IFERROR(VLOOKUP(B825,'Deutsche Markt'!C:AA,25,FALSE),0)</f>
        <v>0</v>
      </c>
      <c r="E825" s="2">
        <f t="shared" si="67"/>
        <v>0</v>
      </c>
      <c r="F825" s="2">
        <f t="shared" si="68"/>
        <v>0</v>
      </c>
      <c r="G825" s="2">
        <f t="shared" si="69"/>
        <v>0</v>
      </c>
      <c r="H825" s="2">
        <f t="shared" si="70"/>
        <v>0</v>
      </c>
      <c r="I825" s="2">
        <f t="shared" si="66"/>
        <v>0</v>
      </c>
      <c r="J825">
        <f>IFERROR(VLOOKUP(B825,'General price list'!C:AI,12,FALSE)*(G825*C825),0)</f>
        <v>0</v>
      </c>
    </row>
    <row r="826" spans="2:10" ht="15" customHeight="1">
      <c r="B826" t="s">
        <v>871</v>
      </c>
      <c r="C826" s="2" t="str">
        <f>IFERROR(VLOOKUP(B826,'Deutsche Markt'!C:AA,24,FALSE),"")</f>
        <v>60</v>
      </c>
      <c r="D826" s="2">
        <f>IFERROR(VLOOKUP(B826,'Deutsche Markt'!C:AA,25,FALSE),0)</f>
        <v>0</v>
      </c>
      <c r="E826" s="2">
        <f t="shared" si="67"/>
        <v>0</v>
      </c>
      <c r="F826" s="2">
        <f t="shared" si="68"/>
        <v>0</v>
      </c>
      <c r="G826" s="2">
        <f t="shared" si="69"/>
        <v>0</v>
      </c>
      <c r="H826" s="2">
        <f t="shared" si="70"/>
        <v>0</v>
      </c>
      <c r="I826" s="2">
        <f t="shared" si="66"/>
        <v>0</v>
      </c>
      <c r="J826">
        <f>IFERROR(VLOOKUP(B826,'General price list'!C:AI,12,FALSE)*(G826*C826),0)</f>
        <v>0</v>
      </c>
    </row>
    <row r="827" spans="2:10" ht="15" customHeight="1">
      <c r="B827" t="s">
        <v>872</v>
      </c>
      <c r="C827" s="2" t="str">
        <f>IFERROR(VLOOKUP(B827,'Deutsche Markt'!C:AA,24,FALSE),"")</f>
        <v>60</v>
      </c>
      <c r="D827" s="2">
        <f>IFERROR(VLOOKUP(B827,'Deutsche Markt'!C:AA,25,FALSE),0)</f>
        <v>0</v>
      </c>
      <c r="E827" s="2">
        <f t="shared" si="67"/>
        <v>0</v>
      </c>
      <c r="F827" s="2">
        <f t="shared" si="68"/>
        <v>0</v>
      </c>
      <c r="G827" s="2">
        <f t="shared" si="69"/>
        <v>0</v>
      </c>
      <c r="H827" s="2">
        <f t="shared" si="70"/>
        <v>0</v>
      </c>
      <c r="I827" s="2">
        <f t="shared" si="66"/>
        <v>0</v>
      </c>
      <c r="J827">
        <f>IFERROR(VLOOKUP(B827,'General price list'!C:AI,12,FALSE)*(G827*C827),0)</f>
        <v>0</v>
      </c>
    </row>
    <row r="828" spans="2:10" ht="15" customHeight="1">
      <c r="B828" t="s">
        <v>717</v>
      </c>
      <c r="C828" s="2" t="str">
        <f>IFERROR(VLOOKUP(B828,'Deutsche Markt'!C:AA,24,FALSE),"")</f>
        <v/>
      </c>
      <c r="D828" s="2">
        <f>IFERROR(VLOOKUP(B828,'Deutsche Markt'!C:AA,25,FALSE),0)</f>
        <v>0</v>
      </c>
      <c r="E828" s="2">
        <f t="shared" si="67"/>
        <v>0</v>
      </c>
      <c r="F828" s="2">
        <f t="shared" si="68"/>
        <v>0</v>
      </c>
      <c r="G828" s="2">
        <f t="shared" si="69"/>
        <v>0</v>
      </c>
      <c r="H828" s="2">
        <f t="shared" si="70"/>
        <v>0</v>
      </c>
      <c r="I828" s="2">
        <f t="shared" si="66"/>
        <v>0</v>
      </c>
      <c r="J828">
        <f>IFERROR(VLOOKUP(B828,'General price list'!C:AI,12,FALSE)*(G828*C828),0)</f>
        <v>0</v>
      </c>
    </row>
    <row r="829" spans="2:10" ht="15" customHeight="1">
      <c r="B829" t="s">
        <v>718</v>
      </c>
      <c r="C829" s="2" t="str">
        <f>IFERROR(VLOOKUP(B829,'Deutsche Markt'!C:AA,24,FALSE),"")</f>
        <v/>
      </c>
      <c r="D829" s="2">
        <f>IFERROR(VLOOKUP(B829,'Deutsche Markt'!C:AA,25,FALSE),0)</f>
        <v>0</v>
      </c>
      <c r="E829" s="2">
        <f t="shared" si="67"/>
        <v>0</v>
      </c>
      <c r="F829" s="2">
        <f t="shared" si="68"/>
        <v>0</v>
      </c>
      <c r="G829" s="2">
        <f t="shared" si="69"/>
        <v>0</v>
      </c>
      <c r="H829" s="2">
        <f t="shared" si="70"/>
        <v>0</v>
      </c>
      <c r="I829" s="2">
        <f t="shared" si="66"/>
        <v>0</v>
      </c>
      <c r="J829">
        <f>IFERROR(VLOOKUP(B829,'General price list'!C:AI,12,FALSE)*(G829*C829),0)</f>
        <v>0</v>
      </c>
    </row>
    <row r="830" spans="2:10" ht="15" customHeight="1">
      <c r="B830" t="s">
        <v>725</v>
      </c>
      <c r="C830" s="2">
        <f>IFERROR(VLOOKUP(B830,'Deutsche Markt'!C:AA,24,FALSE),"")</f>
        <v>42</v>
      </c>
      <c r="D830" s="2">
        <f>IFERROR(VLOOKUP(B830,'Deutsche Markt'!C:AA,25,FALSE),0)</f>
        <v>0</v>
      </c>
      <c r="E830" s="2">
        <f t="shared" si="67"/>
        <v>0</v>
      </c>
      <c r="F830" s="2">
        <f t="shared" si="68"/>
        <v>0</v>
      </c>
      <c r="G830" s="2">
        <f t="shared" si="69"/>
        <v>0</v>
      </c>
      <c r="H830" s="2">
        <f t="shared" si="70"/>
        <v>0</v>
      </c>
      <c r="I830" s="2">
        <f t="shared" si="66"/>
        <v>0</v>
      </c>
      <c r="J830">
        <f>IFERROR(VLOOKUP(B830,'General price list'!C:AI,12,FALSE)*(G830*C830),0)</f>
        <v>0</v>
      </c>
    </row>
    <row r="831" spans="2:10" ht="15" customHeight="1">
      <c r="B831" t="s">
        <v>727</v>
      </c>
      <c r="C831" s="2">
        <f>IFERROR(VLOOKUP(B831,'Deutsche Markt'!C:AA,24,FALSE),"")</f>
        <v>42</v>
      </c>
      <c r="D831" s="2">
        <f>IFERROR(VLOOKUP(B831,'Deutsche Markt'!C:AA,25,FALSE),0)</f>
        <v>0</v>
      </c>
      <c r="E831" s="2">
        <f t="shared" si="67"/>
        <v>0</v>
      </c>
      <c r="F831" s="2">
        <f t="shared" si="68"/>
        <v>0</v>
      </c>
      <c r="G831" s="2">
        <f t="shared" si="69"/>
        <v>0</v>
      </c>
      <c r="H831" s="2">
        <f t="shared" si="70"/>
        <v>0</v>
      </c>
      <c r="I831" s="2">
        <f t="shared" si="66"/>
        <v>0</v>
      </c>
      <c r="J831">
        <f>IFERROR(VLOOKUP(B831,'General price list'!C:AI,12,FALSE)*(G831*C831),0)</f>
        <v>0</v>
      </c>
    </row>
    <row r="832" spans="2:10" ht="15" customHeight="1">
      <c r="B832" t="s">
        <v>2318</v>
      </c>
      <c r="C832" s="2" t="str">
        <f>IFERROR(VLOOKUP(B832,'Deutsche Markt'!C:AA,24,FALSE),"")</f>
        <v/>
      </c>
      <c r="D832" s="2">
        <f>IFERROR(VLOOKUP(B832,'Deutsche Markt'!C:AA,25,FALSE),0)</f>
        <v>0</v>
      </c>
      <c r="E832" s="2">
        <f t="shared" si="67"/>
        <v>0</v>
      </c>
      <c r="F832" s="2">
        <f t="shared" si="68"/>
        <v>0</v>
      </c>
      <c r="G832" s="2">
        <f t="shared" si="69"/>
        <v>0</v>
      </c>
      <c r="H832" s="2">
        <f t="shared" si="70"/>
        <v>0</v>
      </c>
      <c r="I832" s="2">
        <f t="shared" si="66"/>
        <v>0</v>
      </c>
      <c r="J832">
        <f>IFERROR(VLOOKUP(B832,'General price list'!C:AI,12,FALSE)*(G832*C832),0)</f>
        <v>0</v>
      </c>
    </row>
    <row r="833" spans="2:10" ht="15" customHeight="1">
      <c r="B833" t="s">
        <v>724</v>
      </c>
      <c r="C833" s="2" t="str">
        <f>IFERROR(VLOOKUP(B833,'Deutsche Markt'!C:AA,24,FALSE),"")</f>
        <v/>
      </c>
      <c r="D833" s="2">
        <f>IFERROR(VLOOKUP(B833,'Deutsche Markt'!C:AA,25,FALSE),0)</f>
        <v>0</v>
      </c>
      <c r="E833" s="2">
        <f t="shared" si="67"/>
        <v>0</v>
      </c>
      <c r="F833" s="2">
        <f t="shared" si="68"/>
        <v>0</v>
      </c>
      <c r="G833" s="2">
        <f t="shared" si="69"/>
        <v>0</v>
      </c>
      <c r="H833" s="2">
        <f t="shared" si="70"/>
        <v>0</v>
      </c>
      <c r="I833" s="2">
        <f t="shared" si="66"/>
        <v>0</v>
      </c>
      <c r="J833">
        <f>IFERROR(VLOOKUP(B833,'General price list'!C:AI,12,FALSE)*(G833*C833),0)</f>
        <v>0</v>
      </c>
    </row>
    <row r="834" spans="2:10" ht="15" customHeight="1">
      <c r="B834" t="s">
        <v>720</v>
      </c>
      <c r="C834" s="2" t="str">
        <f>IFERROR(VLOOKUP(B834,'Deutsche Markt'!C:AA,24,FALSE),"")</f>
        <v/>
      </c>
      <c r="D834" s="2">
        <f>IFERROR(VLOOKUP(B834,'Deutsche Markt'!C:AA,25,FALSE),0)</f>
        <v>0</v>
      </c>
      <c r="E834" s="2">
        <f t="shared" si="67"/>
        <v>0</v>
      </c>
      <c r="F834" s="2">
        <f t="shared" si="68"/>
        <v>0</v>
      </c>
      <c r="G834" s="2">
        <f t="shared" si="69"/>
        <v>0</v>
      </c>
      <c r="H834" s="2">
        <f t="shared" si="70"/>
        <v>0</v>
      </c>
      <c r="I834" s="2">
        <f t="shared" si="66"/>
        <v>0</v>
      </c>
      <c r="J834">
        <f>IFERROR(VLOOKUP(B834,'General price list'!C:AI,12,FALSE)*(G834*C834),0)</f>
        <v>0</v>
      </c>
    </row>
    <row r="835" spans="2:10" ht="15" customHeight="1">
      <c r="B835" t="s">
        <v>4282</v>
      </c>
      <c r="C835" s="2" t="str">
        <f>IFERROR(VLOOKUP(B835,'Deutsche Markt'!C:AA,24,FALSE),"")</f>
        <v/>
      </c>
      <c r="D835" s="2">
        <f>IFERROR(VLOOKUP(B835,'Deutsche Markt'!C:AA,25,FALSE),0)</f>
        <v>0</v>
      </c>
      <c r="E835" s="2">
        <f t="shared" si="67"/>
        <v>0</v>
      </c>
      <c r="F835" s="2">
        <f t="shared" si="68"/>
        <v>0</v>
      </c>
      <c r="G835" s="2">
        <f t="shared" si="69"/>
        <v>0</v>
      </c>
      <c r="H835" s="2">
        <f t="shared" si="70"/>
        <v>0</v>
      </c>
      <c r="I835" s="2">
        <f t="shared" si="66"/>
        <v>0</v>
      </c>
      <c r="J835">
        <f>IFERROR(VLOOKUP(B835,'General price list'!C:AI,12,FALSE)*(G835*C835),0)</f>
        <v>0</v>
      </c>
    </row>
    <row r="836" spans="2:10" ht="15" customHeight="1">
      <c r="B836" t="s">
        <v>4289</v>
      </c>
      <c r="C836" s="2">
        <f>IFERROR(VLOOKUP(B836,'Deutsche Markt'!C:AA,24,FALSE),"")</f>
        <v>26</v>
      </c>
      <c r="D836" s="2">
        <f>IFERROR(VLOOKUP(B836,'Deutsche Markt'!C:AA,25,FALSE),0)</f>
        <v>0</v>
      </c>
      <c r="E836" s="2">
        <f t="shared" si="67"/>
        <v>0</v>
      </c>
      <c r="F836" s="2">
        <f t="shared" si="68"/>
        <v>0</v>
      </c>
      <c r="G836" s="2">
        <f t="shared" si="69"/>
        <v>0</v>
      </c>
      <c r="H836" s="2">
        <f t="shared" si="70"/>
        <v>0</v>
      </c>
      <c r="I836" s="2">
        <f t="shared" ref="I836:I899" si="71">IFERROR(IF(D836=0,0,IF(F836=0,(D836*nextVK)+(prvniVK-nextVK),(G836*C836*nextVK)+(F836*PALzKoje))),0)</f>
        <v>0</v>
      </c>
      <c r="J836">
        <f>IFERROR(VLOOKUP(B836,'General price list'!C:AI,12,FALSE)*(G836*C836),0)</f>
        <v>0</v>
      </c>
    </row>
    <row r="837" spans="2:10" ht="15" customHeight="1">
      <c r="B837" t="s">
        <v>4291</v>
      </c>
      <c r="C837" s="2" t="str">
        <f>IFERROR(VLOOKUP(B837,'Deutsche Markt'!C:AA,24,FALSE),"")</f>
        <v/>
      </c>
      <c r="D837" s="2">
        <f>IFERROR(VLOOKUP(B837,'Deutsche Markt'!C:AA,25,FALSE),0)</f>
        <v>0</v>
      </c>
      <c r="E837" s="2">
        <f t="shared" ref="E837:E900" si="72">IFERROR(D837/C837,0)</f>
        <v>0</v>
      </c>
      <c r="F837" s="2">
        <f t="shared" ref="F837:F900" si="73">IFERROR(FLOOR(IF(E837-1&lt;0,0,E837),1),0)</f>
        <v>0</v>
      </c>
      <c r="G837" s="2">
        <f t="shared" ref="G837:G900" si="74">IFERROR(IF(H837&gt;E837,F837-E837,E837-F837),0)</f>
        <v>0</v>
      </c>
      <c r="H837" s="2">
        <f t="shared" ref="H837:H900" si="75">IFERROR(IF(E837=0,0,F837),0)</f>
        <v>0</v>
      </c>
      <c r="I837" s="2">
        <f t="shared" si="71"/>
        <v>0</v>
      </c>
      <c r="J837">
        <f>IFERROR(VLOOKUP(B837,'General price list'!C:AI,12,FALSE)*(G837*C837),0)</f>
        <v>0</v>
      </c>
    </row>
    <row r="838" spans="2:10" ht="15" customHeight="1">
      <c r="B838" t="s">
        <v>4292</v>
      </c>
      <c r="C838" s="2">
        <f>IFERROR(VLOOKUP(B838,'Deutsche Markt'!C:AA,24,FALSE),"")</f>
        <v>26</v>
      </c>
      <c r="D838" s="2">
        <f>IFERROR(VLOOKUP(B838,'Deutsche Markt'!C:AA,25,FALSE),0)</f>
        <v>0</v>
      </c>
      <c r="E838" s="2">
        <f t="shared" si="72"/>
        <v>0</v>
      </c>
      <c r="F838" s="2">
        <f t="shared" si="73"/>
        <v>0</v>
      </c>
      <c r="G838" s="2">
        <f t="shared" si="74"/>
        <v>0</v>
      </c>
      <c r="H838" s="2">
        <f t="shared" si="75"/>
        <v>0</v>
      </c>
      <c r="I838" s="2">
        <f t="shared" si="71"/>
        <v>0</v>
      </c>
      <c r="J838">
        <f>IFERROR(VLOOKUP(B838,'General price list'!C:AI,12,FALSE)*(G838*C838),0)</f>
        <v>0</v>
      </c>
    </row>
    <row r="839" spans="2:10" ht="15" customHeight="1">
      <c r="B839" t="s">
        <v>4302</v>
      </c>
      <c r="C839" s="2">
        <f>IFERROR(VLOOKUP(B839,'Deutsche Markt'!C:AA,24,FALSE),"")</f>
        <v>26</v>
      </c>
      <c r="D839" s="2">
        <f>IFERROR(VLOOKUP(B839,'Deutsche Markt'!C:AA,25,FALSE),0)</f>
        <v>0</v>
      </c>
      <c r="E839" s="2">
        <f t="shared" si="72"/>
        <v>0</v>
      </c>
      <c r="F839" s="2">
        <f t="shared" si="73"/>
        <v>0</v>
      </c>
      <c r="G839" s="2">
        <f t="shared" si="74"/>
        <v>0</v>
      </c>
      <c r="H839" s="2">
        <f t="shared" si="75"/>
        <v>0</v>
      </c>
      <c r="I839" s="2">
        <f t="shared" si="71"/>
        <v>0</v>
      </c>
      <c r="J839">
        <f>IFERROR(VLOOKUP(B839,'General price list'!C:AI,12,FALSE)*(G839*C839),0)</f>
        <v>0</v>
      </c>
    </row>
    <row r="840" spans="2:10" ht="15" customHeight="1">
      <c r="B840" t="s">
        <v>4253</v>
      </c>
      <c r="C840" s="2" t="str">
        <f>IFERROR(VLOOKUP(B840,'Deutsche Markt'!C:AA,24,FALSE),"")</f>
        <v/>
      </c>
      <c r="D840" s="2">
        <f>IFERROR(VLOOKUP(B840,'Deutsche Markt'!C:AA,25,FALSE),0)</f>
        <v>0</v>
      </c>
      <c r="E840" s="2">
        <f t="shared" si="72"/>
        <v>0</v>
      </c>
      <c r="F840" s="2">
        <f t="shared" si="73"/>
        <v>0</v>
      </c>
      <c r="G840" s="2">
        <f t="shared" si="74"/>
        <v>0</v>
      </c>
      <c r="H840" s="2">
        <f t="shared" si="75"/>
        <v>0</v>
      </c>
      <c r="I840" s="2">
        <f t="shared" si="71"/>
        <v>0</v>
      </c>
      <c r="J840">
        <f>IFERROR(VLOOKUP(B840,'General price list'!C:AI,12,FALSE)*(G840*C840),0)</f>
        <v>0</v>
      </c>
    </row>
    <row r="841" spans="2:10" ht="15" customHeight="1">
      <c r="B841" t="s">
        <v>11876</v>
      </c>
      <c r="C841" s="2" t="str">
        <f>IFERROR(VLOOKUP(B841,'Deutsche Markt'!C:AA,24,FALSE),"")</f>
        <v/>
      </c>
      <c r="D841" s="2">
        <f>IFERROR(VLOOKUP(B841,'Deutsche Markt'!C:AA,25,FALSE),0)</f>
        <v>0</v>
      </c>
      <c r="E841" s="2">
        <f t="shared" si="72"/>
        <v>0</v>
      </c>
      <c r="F841" s="2">
        <f t="shared" si="73"/>
        <v>0</v>
      </c>
      <c r="G841" s="2">
        <f t="shared" si="74"/>
        <v>0</v>
      </c>
      <c r="H841" s="2">
        <f t="shared" si="75"/>
        <v>0</v>
      </c>
      <c r="I841" s="2">
        <f t="shared" si="71"/>
        <v>0</v>
      </c>
      <c r="J841">
        <f>IFERROR(VLOOKUP(B841,'General price list'!C:AI,12,FALSE)*(G841*C841),0)</f>
        <v>0</v>
      </c>
    </row>
    <row r="842" spans="2:10" ht="15" customHeight="1">
      <c r="B842" t="s">
        <v>729</v>
      </c>
      <c r="C842" s="2" t="str">
        <f>IFERROR(VLOOKUP(B842,'Deutsche Markt'!C:AA,24,FALSE),"")</f>
        <v/>
      </c>
      <c r="D842" s="2">
        <f>IFERROR(VLOOKUP(B842,'Deutsche Markt'!C:AA,25,FALSE),0)</f>
        <v>0</v>
      </c>
      <c r="E842" s="2">
        <f t="shared" si="72"/>
        <v>0</v>
      </c>
      <c r="F842" s="2">
        <f t="shared" si="73"/>
        <v>0</v>
      </c>
      <c r="G842" s="2">
        <f t="shared" si="74"/>
        <v>0</v>
      </c>
      <c r="H842" s="2">
        <f t="shared" si="75"/>
        <v>0</v>
      </c>
      <c r="I842" s="2">
        <f t="shared" si="71"/>
        <v>0</v>
      </c>
      <c r="J842">
        <f>IFERROR(VLOOKUP(B842,'General price list'!C:AI,12,FALSE)*(G842*C842),0)</f>
        <v>0</v>
      </c>
    </row>
    <row r="843" spans="2:10" ht="15" customHeight="1">
      <c r="B843" t="s">
        <v>4262</v>
      </c>
      <c r="C843" s="2" t="str">
        <f>IFERROR(VLOOKUP(B843,'Deutsche Markt'!C:AA,24,FALSE),"")</f>
        <v/>
      </c>
      <c r="D843" s="2">
        <f>IFERROR(VLOOKUP(B843,'Deutsche Markt'!C:AA,25,FALSE),0)</f>
        <v>0</v>
      </c>
      <c r="E843" s="2">
        <f t="shared" si="72"/>
        <v>0</v>
      </c>
      <c r="F843" s="2">
        <f t="shared" si="73"/>
        <v>0</v>
      </c>
      <c r="G843" s="2">
        <f t="shared" si="74"/>
        <v>0</v>
      </c>
      <c r="H843" s="2">
        <f t="shared" si="75"/>
        <v>0</v>
      </c>
      <c r="I843" s="2">
        <f t="shared" si="71"/>
        <v>0</v>
      </c>
      <c r="J843">
        <f>IFERROR(VLOOKUP(B843,'General price list'!C:AI,12,FALSE)*(G843*C843),0)</f>
        <v>0</v>
      </c>
    </row>
    <row r="844" spans="2:10" ht="15" customHeight="1">
      <c r="B844" t="s">
        <v>3122</v>
      </c>
      <c r="C844" s="2" t="str">
        <f>IFERROR(VLOOKUP(B844,'Deutsche Markt'!C:AA,24,FALSE),"")</f>
        <v/>
      </c>
      <c r="D844" s="2">
        <f>IFERROR(VLOOKUP(B844,'Deutsche Markt'!C:AA,25,FALSE),0)</f>
        <v>0</v>
      </c>
      <c r="E844" s="2">
        <f t="shared" si="72"/>
        <v>0</v>
      </c>
      <c r="F844" s="2">
        <f t="shared" si="73"/>
        <v>0</v>
      </c>
      <c r="G844" s="2">
        <f t="shared" si="74"/>
        <v>0</v>
      </c>
      <c r="H844" s="2">
        <f t="shared" si="75"/>
        <v>0</v>
      </c>
      <c r="I844" s="2">
        <f t="shared" si="71"/>
        <v>0</v>
      </c>
      <c r="J844">
        <f>IFERROR(VLOOKUP(B844,'General price list'!C:AI,12,FALSE)*(G844*C844),0)</f>
        <v>0</v>
      </c>
    </row>
    <row r="845" spans="2:10" ht="15" customHeight="1">
      <c r="B845" t="s">
        <v>11084</v>
      </c>
      <c r="C845" s="2" t="str">
        <f>IFERROR(VLOOKUP(B845,'Deutsche Markt'!C:AA,24,FALSE),"")</f>
        <v/>
      </c>
      <c r="D845" s="2">
        <f>IFERROR(VLOOKUP(B845,'Deutsche Markt'!C:AA,25,FALSE),0)</f>
        <v>0</v>
      </c>
      <c r="E845" s="2">
        <f t="shared" si="72"/>
        <v>0</v>
      </c>
      <c r="F845" s="2">
        <f t="shared" si="73"/>
        <v>0</v>
      </c>
      <c r="G845" s="2">
        <f t="shared" si="74"/>
        <v>0</v>
      </c>
      <c r="H845" s="2">
        <f t="shared" si="75"/>
        <v>0</v>
      </c>
      <c r="I845" s="2">
        <f t="shared" si="71"/>
        <v>0</v>
      </c>
      <c r="J845">
        <f>IFERROR(VLOOKUP(B845,'General price list'!C:AI,12,FALSE)*(G845*C845),0)</f>
        <v>0</v>
      </c>
    </row>
    <row r="846" spans="2:10" ht="15" customHeight="1">
      <c r="B846" t="s">
        <v>704</v>
      </c>
      <c r="C846" s="2">
        <f>IFERROR(VLOOKUP(B846,'Deutsche Markt'!C:AA,24,FALSE),"")</f>
        <v>28</v>
      </c>
      <c r="D846" s="2">
        <f>IFERROR(VLOOKUP(B846,'Deutsche Markt'!C:AA,25,FALSE),0)</f>
        <v>0</v>
      </c>
      <c r="E846" s="2">
        <f t="shared" si="72"/>
        <v>0</v>
      </c>
      <c r="F846" s="2">
        <f t="shared" si="73"/>
        <v>0</v>
      </c>
      <c r="G846" s="2">
        <f t="shared" si="74"/>
        <v>0</v>
      </c>
      <c r="H846" s="2">
        <f t="shared" si="75"/>
        <v>0</v>
      </c>
      <c r="I846" s="2">
        <f t="shared" si="71"/>
        <v>0</v>
      </c>
      <c r="J846">
        <f>IFERROR(VLOOKUP(B846,'General price list'!C:AI,12,FALSE)*(G846*C846),0)</f>
        <v>0</v>
      </c>
    </row>
    <row r="847" spans="2:10" ht="15" customHeight="1">
      <c r="B847" t="s">
        <v>2433</v>
      </c>
      <c r="C847" s="2" t="str">
        <f>IFERROR(VLOOKUP(B847,'Deutsche Markt'!C:AA,24,FALSE),"")</f>
        <v/>
      </c>
      <c r="D847" s="2">
        <f>IFERROR(VLOOKUP(B847,'Deutsche Markt'!C:AA,25,FALSE),0)</f>
        <v>0</v>
      </c>
      <c r="E847" s="2">
        <f t="shared" si="72"/>
        <v>0</v>
      </c>
      <c r="F847" s="2">
        <f t="shared" si="73"/>
        <v>0</v>
      </c>
      <c r="G847" s="2">
        <f t="shared" si="74"/>
        <v>0</v>
      </c>
      <c r="H847" s="2">
        <f t="shared" si="75"/>
        <v>0</v>
      </c>
      <c r="I847" s="2">
        <f t="shared" si="71"/>
        <v>0</v>
      </c>
      <c r="J847">
        <f>IFERROR(VLOOKUP(B847,'General price list'!C:AI,12,FALSE)*(G847*C847),0)</f>
        <v>0</v>
      </c>
    </row>
    <row r="848" spans="2:10" ht="15" customHeight="1">
      <c r="B848" t="s">
        <v>2117</v>
      </c>
      <c r="C848" s="2" t="str">
        <f>IFERROR(VLOOKUP(B848,'Deutsche Markt'!C:AA,24,FALSE),"")</f>
        <v/>
      </c>
      <c r="D848" s="2">
        <f>IFERROR(VLOOKUP(B848,'Deutsche Markt'!C:AA,25,FALSE),0)</f>
        <v>0</v>
      </c>
      <c r="E848" s="2">
        <f t="shared" si="72"/>
        <v>0</v>
      </c>
      <c r="F848" s="2">
        <f t="shared" si="73"/>
        <v>0</v>
      </c>
      <c r="G848" s="2">
        <f t="shared" si="74"/>
        <v>0</v>
      </c>
      <c r="H848" s="2">
        <f t="shared" si="75"/>
        <v>0</v>
      </c>
      <c r="I848" s="2">
        <f t="shared" si="71"/>
        <v>0</v>
      </c>
      <c r="J848">
        <f>IFERROR(VLOOKUP(B848,'General price list'!C:AI,12,FALSE)*(G848*C848),0)</f>
        <v>0</v>
      </c>
    </row>
    <row r="849" spans="2:10" ht="15" customHeight="1">
      <c r="B849" t="s">
        <v>950</v>
      </c>
      <c r="C849" s="2" t="str">
        <f>IFERROR(VLOOKUP(B849,'Deutsche Markt'!C:AA,24,FALSE),"")</f>
        <v/>
      </c>
      <c r="D849" s="2">
        <f>IFERROR(VLOOKUP(B849,'Deutsche Markt'!C:AA,25,FALSE),0)</f>
        <v>0</v>
      </c>
      <c r="E849" s="2">
        <f t="shared" si="72"/>
        <v>0</v>
      </c>
      <c r="F849" s="2">
        <f t="shared" si="73"/>
        <v>0</v>
      </c>
      <c r="G849" s="2">
        <f t="shared" si="74"/>
        <v>0</v>
      </c>
      <c r="H849" s="2">
        <f t="shared" si="75"/>
        <v>0</v>
      </c>
      <c r="I849" s="2">
        <f t="shared" si="71"/>
        <v>0</v>
      </c>
      <c r="J849">
        <f>IFERROR(VLOOKUP(B849,'General price list'!C:AI,12,FALSE)*(G849*C849),0)</f>
        <v>0</v>
      </c>
    </row>
    <row r="850" spans="2:10" ht="15" customHeight="1">
      <c r="B850" t="s">
        <v>11752</v>
      </c>
      <c r="C850" s="2" t="str">
        <f>IFERROR(VLOOKUP(B850,'Deutsche Markt'!C:AA,24,FALSE),"")</f>
        <v/>
      </c>
      <c r="D850" s="2">
        <f>IFERROR(VLOOKUP(B850,'Deutsche Markt'!C:AA,25,FALSE),0)</f>
        <v>0</v>
      </c>
      <c r="E850" s="2">
        <f t="shared" si="72"/>
        <v>0</v>
      </c>
      <c r="F850" s="2">
        <f t="shared" si="73"/>
        <v>0</v>
      </c>
      <c r="G850" s="2">
        <f t="shared" si="74"/>
        <v>0</v>
      </c>
      <c r="H850" s="2">
        <f t="shared" si="75"/>
        <v>0</v>
      </c>
      <c r="I850" s="2">
        <f t="shared" si="71"/>
        <v>0</v>
      </c>
      <c r="J850">
        <f>IFERROR(VLOOKUP(B850,'General price list'!C:AI,12,FALSE)*(G850*C850),0)</f>
        <v>0</v>
      </c>
    </row>
    <row r="851" spans="2:10" ht="15" customHeight="1">
      <c r="B851" t="s">
        <v>981</v>
      </c>
      <c r="C851" s="2" t="str">
        <f>IFERROR(VLOOKUP(B851,'Deutsche Markt'!C:AA,24,FALSE),"")</f>
        <v/>
      </c>
      <c r="D851" s="2">
        <f>IFERROR(VLOOKUP(B851,'Deutsche Markt'!C:AA,25,FALSE),0)</f>
        <v>0</v>
      </c>
      <c r="E851" s="2">
        <f t="shared" si="72"/>
        <v>0</v>
      </c>
      <c r="F851" s="2">
        <f t="shared" si="73"/>
        <v>0</v>
      </c>
      <c r="G851" s="2">
        <f t="shared" si="74"/>
        <v>0</v>
      </c>
      <c r="H851" s="2">
        <f t="shared" si="75"/>
        <v>0</v>
      </c>
      <c r="I851" s="2">
        <f t="shared" si="71"/>
        <v>0</v>
      </c>
      <c r="J851">
        <f>IFERROR(VLOOKUP(B851,'General price list'!C:AI,12,FALSE)*(G851*C851),0)</f>
        <v>0</v>
      </c>
    </row>
    <row r="852" spans="2:10" ht="15" customHeight="1">
      <c r="B852" t="s">
        <v>2316</v>
      </c>
      <c r="C852" s="2" t="str">
        <f>IFERROR(VLOOKUP(B852,'Deutsche Markt'!C:AA,24,FALSE),"")</f>
        <v/>
      </c>
      <c r="D852" s="2">
        <f>IFERROR(VLOOKUP(B852,'Deutsche Markt'!C:AA,25,FALSE),0)</f>
        <v>0</v>
      </c>
      <c r="E852" s="2">
        <f t="shared" si="72"/>
        <v>0</v>
      </c>
      <c r="F852" s="2">
        <f t="shared" si="73"/>
        <v>0</v>
      </c>
      <c r="G852" s="2">
        <f t="shared" si="74"/>
        <v>0</v>
      </c>
      <c r="H852" s="2">
        <f t="shared" si="75"/>
        <v>0</v>
      </c>
      <c r="I852" s="2">
        <f t="shared" si="71"/>
        <v>0</v>
      </c>
      <c r="J852">
        <f>IFERROR(VLOOKUP(B852,'General price list'!C:AI,12,FALSE)*(G852*C852),0)</f>
        <v>0</v>
      </c>
    </row>
    <row r="853" spans="2:10" ht="15" customHeight="1">
      <c r="B853" t="s">
        <v>4205</v>
      </c>
      <c r="C853" s="2" t="str">
        <f>IFERROR(VLOOKUP(B853,'Deutsche Markt'!C:AA,24,FALSE),"")</f>
        <v/>
      </c>
      <c r="D853" s="2">
        <f>IFERROR(VLOOKUP(B853,'Deutsche Markt'!C:AA,25,FALSE),0)</f>
        <v>0</v>
      </c>
      <c r="E853" s="2">
        <f t="shared" si="72"/>
        <v>0</v>
      </c>
      <c r="F853" s="2">
        <f t="shared" si="73"/>
        <v>0</v>
      </c>
      <c r="G853" s="2">
        <f t="shared" si="74"/>
        <v>0</v>
      </c>
      <c r="H853" s="2">
        <f t="shared" si="75"/>
        <v>0</v>
      </c>
      <c r="I853" s="2">
        <f t="shared" si="71"/>
        <v>0</v>
      </c>
      <c r="J853">
        <f>IFERROR(VLOOKUP(B853,'General price list'!C:AI,12,FALSE)*(G853*C853),0)</f>
        <v>0</v>
      </c>
    </row>
    <row r="854" spans="2:10" ht="15" customHeight="1">
      <c r="B854" t="s">
        <v>2317</v>
      </c>
      <c r="C854" s="2" t="str">
        <f>IFERROR(VLOOKUP(B854,'Deutsche Markt'!C:AA,24,FALSE),"")</f>
        <v/>
      </c>
      <c r="D854" s="2">
        <f>IFERROR(VLOOKUP(B854,'Deutsche Markt'!C:AA,25,FALSE),0)</f>
        <v>0</v>
      </c>
      <c r="E854" s="2">
        <f t="shared" si="72"/>
        <v>0</v>
      </c>
      <c r="F854" s="2">
        <f t="shared" si="73"/>
        <v>0</v>
      </c>
      <c r="G854" s="2">
        <f t="shared" si="74"/>
        <v>0</v>
      </c>
      <c r="H854" s="2">
        <f t="shared" si="75"/>
        <v>0</v>
      </c>
      <c r="I854" s="2">
        <f t="shared" si="71"/>
        <v>0</v>
      </c>
      <c r="J854">
        <f>IFERROR(VLOOKUP(B854,'General price list'!C:AI,12,FALSE)*(G854*C854),0)</f>
        <v>0</v>
      </c>
    </row>
    <row r="855" spans="2:10" ht="15" customHeight="1">
      <c r="B855" t="s">
        <v>644</v>
      </c>
      <c r="C855" s="2">
        <f>IFERROR(VLOOKUP(B855,'Deutsche Markt'!C:AA,24,FALSE),"")</f>
        <v>30</v>
      </c>
      <c r="D855" s="2">
        <f>IFERROR(VLOOKUP(B855,'Deutsche Markt'!C:AA,25,FALSE),0)</f>
        <v>0</v>
      </c>
      <c r="E855" s="2">
        <f t="shared" si="72"/>
        <v>0</v>
      </c>
      <c r="F855" s="2">
        <f t="shared" si="73"/>
        <v>0</v>
      </c>
      <c r="G855" s="2">
        <f t="shared" si="74"/>
        <v>0</v>
      </c>
      <c r="H855" s="2">
        <f t="shared" si="75"/>
        <v>0</v>
      </c>
      <c r="I855" s="2">
        <f t="shared" si="71"/>
        <v>0</v>
      </c>
      <c r="J855">
        <f>IFERROR(VLOOKUP(B855,'General price list'!C:AI,12,FALSE)*(G855*C855),0)</f>
        <v>0</v>
      </c>
    </row>
    <row r="856" spans="2:10" ht="15" customHeight="1">
      <c r="B856" t="s">
        <v>792</v>
      </c>
      <c r="C856" s="2">
        <f>IFERROR(VLOOKUP(B856,'Deutsche Markt'!C:AA,24,FALSE),"")</f>
        <v>24</v>
      </c>
      <c r="D856" s="2">
        <f>IFERROR(VLOOKUP(B856,'Deutsche Markt'!C:AA,25,FALSE),0)</f>
        <v>0</v>
      </c>
      <c r="E856" s="2">
        <f t="shared" si="72"/>
        <v>0</v>
      </c>
      <c r="F856" s="2">
        <f t="shared" si="73"/>
        <v>0</v>
      </c>
      <c r="G856" s="2">
        <f t="shared" si="74"/>
        <v>0</v>
      </c>
      <c r="H856" s="2">
        <f t="shared" si="75"/>
        <v>0</v>
      </c>
      <c r="I856" s="2">
        <f t="shared" si="71"/>
        <v>0</v>
      </c>
      <c r="J856">
        <f>IFERROR(VLOOKUP(B856,'General price list'!C:AI,12,FALSE)*(G856*C856),0)</f>
        <v>0</v>
      </c>
    </row>
    <row r="857" spans="2:10" ht="15" customHeight="1">
      <c r="B857" t="s">
        <v>2321</v>
      </c>
      <c r="C857" s="2" t="str">
        <f>IFERROR(VLOOKUP(B857,'Deutsche Markt'!C:AA,24,FALSE),"")</f>
        <v/>
      </c>
      <c r="D857" s="2">
        <f>IFERROR(VLOOKUP(B857,'Deutsche Markt'!C:AA,25,FALSE),0)</f>
        <v>0</v>
      </c>
      <c r="E857" s="2">
        <f t="shared" si="72"/>
        <v>0</v>
      </c>
      <c r="F857" s="2">
        <f t="shared" si="73"/>
        <v>0</v>
      </c>
      <c r="G857" s="2">
        <f t="shared" si="74"/>
        <v>0</v>
      </c>
      <c r="H857" s="2">
        <f t="shared" si="75"/>
        <v>0</v>
      </c>
      <c r="I857" s="2">
        <f t="shared" si="71"/>
        <v>0</v>
      </c>
      <c r="J857">
        <f>IFERROR(VLOOKUP(B857,'General price list'!C:AI,12,FALSE)*(G857*C857),0)</f>
        <v>0</v>
      </c>
    </row>
    <row r="858" spans="2:10" ht="15" customHeight="1">
      <c r="B858" t="s">
        <v>843</v>
      </c>
      <c r="C858" s="2" t="str">
        <f>IFERROR(VLOOKUP(B858,'Deutsche Markt'!C:AA,24,FALSE),"")</f>
        <v/>
      </c>
      <c r="D858" s="2">
        <f>IFERROR(VLOOKUP(B858,'Deutsche Markt'!C:AA,25,FALSE),0)</f>
        <v>0</v>
      </c>
      <c r="E858" s="2">
        <f t="shared" si="72"/>
        <v>0</v>
      </c>
      <c r="F858" s="2">
        <f t="shared" si="73"/>
        <v>0</v>
      </c>
      <c r="G858" s="2">
        <f t="shared" si="74"/>
        <v>0</v>
      </c>
      <c r="H858" s="2">
        <f t="shared" si="75"/>
        <v>0</v>
      </c>
      <c r="I858" s="2">
        <f t="shared" si="71"/>
        <v>0</v>
      </c>
      <c r="J858">
        <f>IFERROR(VLOOKUP(B858,'General price list'!C:AI,12,FALSE)*(G858*C858),0)</f>
        <v>0</v>
      </c>
    </row>
    <row r="859" spans="2:10" ht="15" customHeight="1">
      <c r="B859" t="s">
        <v>2328</v>
      </c>
      <c r="C859" s="2" t="str">
        <f>IFERROR(VLOOKUP(B859,'Deutsche Markt'!C:AA,24,FALSE),"")</f>
        <v/>
      </c>
      <c r="D859" s="2">
        <f>IFERROR(VLOOKUP(B859,'Deutsche Markt'!C:AA,25,FALSE),0)</f>
        <v>0</v>
      </c>
      <c r="E859" s="2">
        <f t="shared" si="72"/>
        <v>0</v>
      </c>
      <c r="F859" s="2">
        <f t="shared" si="73"/>
        <v>0</v>
      </c>
      <c r="G859" s="2">
        <f t="shared" si="74"/>
        <v>0</v>
      </c>
      <c r="H859" s="2">
        <f t="shared" si="75"/>
        <v>0</v>
      </c>
      <c r="I859" s="2">
        <f t="shared" si="71"/>
        <v>0</v>
      </c>
      <c r="J859">
        <f>IFERROR(VLOOKUP(B859,'General price list'!C:AI,12,FALSE)*(G859*C859),0)</f>
        <v>0</v>
      </c>
    </row>
    <row r="860" spans="2:10" ht="15" customHeight="1">
      <c r="B860" t="s">
        <v>2327</v>
      </c>
      <c r="C860" s="2" t="str">
        <f>IFERROR(VLOOKUP(B860,'Deutsche Markt'!C:AA,24,FALSE),"")</f>
        <v/>
      </c>
      <c r="D860" s="2">
        <f>IFERROR(VLOOKUP(B860,'Deutsche Markt'!C:AA,25,FALSE),0)</f>
        <v>0</v>
      </c>
      <c r="E860" s="2">
        <f t="shared" si="72"/>
        <v>0</v>
      </c>
      <c r="F860" s="2">
        <f t="shared" si="73"/>
        <v>0</v>
      </c>
      <c r="G860" s="2">
        <f t="shared" si="74"/>
        <v>0</v>
      </c>
      <c r="H860" s="2">
        <f t="shared" si="75"/>
        <v>0</v>
      </c>
      <c r="I860" s="2">
        <f t="shared" si="71"/>
        <v>0</v>
      </c>
      <c r="J860">
        <f>IFERROR(VLOOKUP(B860,'General price list'!C:AI,12,FALSE)*(G860*C860),0)</f>
        <v>0</v>
      </c>
    </row>
    <row r="861" spans="2:10" ht="15" customHeight="1">
      <c r="B861" t="s">
        <v>565</v>
      </c>
      <c r="C861" s="2">
        <f>IFERROR(VLOOKUP(B861,'Deutsche Markt'!C:AA,24,FALSE),"")</f>
        <v>56</v>
      </c>
      <c r="D861" s="2">
        <f>IFERROR(VLOOKUP(B861,'Deutsche Markt'!C:AA,25,FALSE),0)</f>
        <v>0</v>
      </c>
      <c r="E861" s="2">
        <f t="shared" si="72"/>
        <v>0</v>
      </c>
      <c r="F861" s="2">
        <f t="shared" si="73"/>
        <v>0</v>
      </c>
      <c r="G861" s="2">
        <f t="shared" si="74"/>
        <v>0</v>
      </c>
      <c r="H861" s="2">
        <f t="shared" si="75"/>
        <v>0</v>
      </c>
      <c r="I861" s="2">
        <f t="shared" si="71"/>
        <v>0</v>
      </c>
      <c r="J861">
        <f>IFERROR(VLOOKUP(B861,'General price list'!C:AI,12,FALSE)*(G861*C861),0)</f>
        <v>0</v>
      </c>
    </row>
    <row r="862" spans="2:10" ht="15" customHeight="1">
      <c r="B862" t="s">
        <v>575</v>
      </c>
      <c r="C862" s="2">
        <f>IFERROR(VLOOKUP(B862,'Deutsche Markt'!C:AA,24,FALSE),"")</f>
        <v>40</v>
      </c>
      <c r="D862" s="2">
        <f>IFERROR(VLOOKUP(B862,'Deutsche Markt'!C:AA,25,FALSE),0)</f>
        <v>0</v>
      </c>
      <c r="E862" s="2">
        <f t="shared" si="72"/>
        <v>0</v>
      </c>
      <c r="F862" s="2">
        <f t="shared" si="73"/>
        <v>0</v>
      </c>
      <c r="G862" s="2">
        <f t="shared" si="74"/>
        <v>0</v>
      </c>
      <c r="H862" s="2">
        <f t="shared" si="75"/>
        <v>0</v>
      </c>
      <c r="I862" s="2">
        <f t="shared" si="71"/>
        <v>0</v>
      </c>
      <c r="J862">
        <f>IFERROR(VLOOKUP(B862,'General price list'!C:AI,12,FALSE)*(G862*C862),0)</f>
        <v>0</v>
      </c>
    </row>
    <row r="863" spans="2:10" ht="15" customHeight="1">
      <c r="B863" t="s">
        <v>581</v>
      </c>
      <c r="C863" s="2">
        <f>IFERROR(VLOOKUP(B863,'Deutsche Markt'!C:AA,24,FALSE),"")</f>
        <v>36</v>
      </c>
      <c r="D863" s="2">
        <f>IFERROR(VLOOKUP(B863,'Deutsche Markt'!C:AA,25,FALSE),0)</f>
        <v>0</v>
      </c>
      <c r="E863" s="2">
        <f t="shared" si="72"/>
        <v>0</v>
      </c>
      <c r="F863" s="2">
        <f t="shared" si="73"/>
        <v>0</v>
      </c>
      <c r="G863" s="2">
        <f t="shared" si="74"/>
        <v>0</v>
      </c>
      <c r="H863" s="2">
        <f t="shared" si="75"/>
        <v>0</v>
      </c>
      <c r="I863" s="2">
        <f t="shared" si="71"/>
        <v>0</v>
      </c>
      <c r="J863">
        <f>IFERROR(VLOOKUP(B863,'General price list'!C:AI,12,FALSE)*(G863*C863),0)</f>
        <v>0</v>
      </c>
    </row>
    <row r="864" spans="2:10" ht="15" customHeight="1">
      <c r="B864" t="s">
        <v>619</v>
      </c>
      <c r="C864" s="2" t="str">
        <f>IFERROR(VLOOKUP(B864,'Deutsche Markt'!C:AA,24,FALSE),"")</f>
        <v/>
      </c>
      <c r="D864" s="2">
        <f>IFERROR(VLOOKUP(B864,'Deutsche Markt'!C:AA,25,FALSE),0)</f>
        <v>0</v>
      </c>
      <c r="E864" s="2">
        <f t="shared" si="72"/>
        <v>0</v>
      </c>
      <c r="F864" s="2">
        <f t="shared" si="73"/>
        <v>0</v>
      </c>
      <c r="G864" s="2">
        <f t="shared" si="74"/>
        <v>0</v>
      </c>
      <c r="H864" s="2">
        <f t="shared" si="75"/>
        <v>0</v>
      </c>
      <c r="I864" s="2">
        <f t="shared" si="71"/>
        <v>0</v>
      </c>
      <c r="J864">
        <f>IFERROR(VLOOKUP(B864,'General price list'!C:AI,12,FALSE)*(G864*C864),0)</f>
        <v>0</v>
      </c>
    </row>
    <row r="865" spans="2:10" ht="15" customHeight="1">
      <c r="B865" t="s">
        <v>623</v>
      </c>
      <c r="C865" s="2" t="str">
        <f>IFERROR(VLOOKUP(B865,'Deutsche Markt'!C:AA,24,FALSE),"")</f>
        <v/>
      </c>
      <c r="D865" s="2">
        <f>IFERROR(VLOOKUP(B865,'Deutsche Markt'!C:AA,25,FALSE),0)</f>
        <v>0</v>
      </c>
      <c r="E865" s="2">
        <f t="shared" si="72"/>
        <v>0</v>
      </c>
      <c r="F865" s="2">
        <f t="shared" si="73"/>
        <v>0</v>
      </c>
      <c r="G865" s="2">
        <f t="shared" si="74"/>
        <v>0</v>
      </c>
      <c r="H865" s="2">
        <f t="shared" si="75"/>
        <v>0</v>
      </c>
      <c r="I865" s="2">
        <f t="shared" si="71"/>
        <v>0</v>
      </c>
      <c r="J865">
        <f>IFERROR(VLOOKUP(B865,'General price list'!C:AI,12,FALSE)*(G865*C865),0)</f>
        <v>0</v>
      </c>
    </row>
    <row r="866" spans="2:10" ht="15" customHeight="1">
      <c r="B866" t="s">
        <v>627</v>
      </c>
      <c r="C866" s="2" t="str">
        <f>IFERROR(VLOOKUP(B866,'Deutsche Markt'!C:AA,24,FALSE),"")</f>
        <v/>
      </c>
      <c r="D866" s="2">
        <f>IFERROR(VLOOKUP(B866,'Deutsche Markt'!C:AA,25,FALSE),0)</f>
        <v>0</v>
      </c>
      <c r="E866" s="2">
        <f t="shared" si="72"/>
        <v>0</v>
      </c>
      <c r="F866" s="2">
        <f t="shared" si="73"/>
        <v>0</v>
      </c>
      <c r="G866" s="2">
        <f t="shared" si="74"/>
        <v>0</v>
      </c>
      <c r="H866" s="2">
        <f t="shared" si="75"/>
        <v>0</v>
      </c>
      <c r="I866" s="2">
        <f t="shared" si="71"/>
        <v>0</v>
      </c>
      <c r="J866">
        <f>IFERROR(VLOOKUP(B866,'General price list'!C:AI,12,FALSE)*(G866*C866),0)</f>
        <v>0</v>
      </c>
    </row>
    <row r="867" spans="2:10" ht="15" customHeight="1">
      <c r="B867" t="s">
        <v>591</v>
      </c>
      <c r="C867" s="2">
        <f>IFERROR(VLOOKUP(B867,'Deutsche Markt'!C:AA,24,FALSE),"")</f>
        <v>36</v>
      </c>
      <c r="D867" s="2">
        <f>IFERROR(VLOOKUP(B867,'Deutsche Markt'!C:AA,25,FALSE),0)</f>
        <v>0</v>
      </c>
      <c r="E867" s="2">
        <f t="shared" si="72"/>
        <v>0</v>
      </c>
      <c r="F867" s="2">
        <f t="shared" si="73"/>
        <v>0</v>
      </c>
      <c r="G867" s="2">
        <f t="shared" si="74"/>
        <v>0</v>
      </c>
      <c r="H867" s="2">
        <f t="shared" si="75"/>
        <v>0</v>
      </c>
      <c r="I867" s="2">
        <f t="shared" si="71"/>
        <v>0</v>
      </c>
      <c r="J867">
        <f>IFERROR(VLOOKUP(B867,'General price list'!C:AI,12,FALSE)*(G867*C867),0)</f>
        <v>0</v>
      </c>
    </row>
    <row r="868" spans="2:10" ht="15" customHeight="1">
      <c r="B868" t="s">
        <v>604</v>
      </c>
      <c r="C868" s="2">
        <f>IFERROR(VLOOKUP(B868,'Deutsche Markt'!C:AA,24,FALSE),"")</f>
        <v>30</v>
      </c>
      <c r="D868" s="2">
        <f>IFERROR(VLOOKUP(B868,'Deutsche Markt'!C:AA,25,FALSE),0)</f>
        <v>0</v>
      </c>
      <c r="E868" s="2">
        <f t="shared" si="72"/>
        <v>0</v>
      </c>
      <c r="F868" s="2">
        <f t="shared" si="73"/>
        <v>0</v>
      </c>
      <c r="G868" s="2">
        <f t="shared" si="74"/>
        <v>0</v>
      </c>
      <c r="H868" s="2">
        <f t="shared" si="75"/>
        <v>0</v>
      </c>
      <c r="I868" s="2">
        <f t="shared" si="71"/>
        <v>0</v>
      </c>
      <c r="J868">
        <f>IFERROR(VLOOKUP(B868,'General price list'!C:AI,12,FALSE)*(G868*C868),0)</f>
        <v>0</v>
      </c>
    </row>
    <row r="869" spans="2:10" ht="15" customHeight="1">
      <c r="B869" t="s">
        <v>2307</v>
      </c>
      <c r="C869" s="2">
        <f>IFERROR(VLOOKUP(B869,'Deutsche Markt'!C:AA,24,FALSE),"")</f>
        <v>30</v>
      </c>
      <c r="D869" s="2">
        <f>IFERROR(VLOOKUP(B869,'Deutsche Markt'!C:AA,25,FALSE),0)</f>
        <v>0</v>
      </c>
      <c r="E869" s="2">
        <f t="shared" si="72"/>
        <v>0</v>
      </c>
      <c r="F869" s="2">
        <f t="shared" si="73"/>
        <v>0</v>
      </c>
      <c r="G869" s="2">
        <f t="shared" si="74"/>
        <v>0</v>
      </c>
      <c r="H869" s="2">
        <f t="shared" si="75"/>
        <v>0</v>
      </c>
      <c r="I869" s="2">
        <f t="shared" si="71"/>
        <v>0</v>
      </c>
      <c r="J869">
        <f>IFERROR(VLOOKUP(B869,'General price list'!C:AI,12,FALSE)*(G869*C869),0)</f>
        <v>0</v>
      </c>
    </row>
    <row r="870" spans="2:10" ht="15" customHeight="1">
      <c r="B870" t="s">
        <v>601</v>
      </c>
      <c r="C870" s="2">
        <f>IFERROR(VLOOKUP(B870,'Deutsche Markt'!C:AA,24,FALSE),"")</f>
        <v>28</v>
      </c>
      <c r="D870" s="2">
        <f>IFERROR(VLOOKUP(B870,'Deutsche Markt'!C:AA,25,FALSE),0)</f>
        <v>0</v>
      </c>
      <c r="E870" s="2">
        <f t="shared" si="72"/>
        <v>0</v>
      </c>
      <c r="F870" s="2">
        <f t="shared" si="73"/>
        <v>0</v>
      </c>
      <c r="G870" s="2">
        <f t="shared" si="74"/>
        <v>0</v>
      </c>
      <c r="H870" s="2">
        <f t="shared" si="75"/>
        <v>0</v>
      </c>
      <c r="I870" s="2">
        <f t="shared" si="71"/>
        <v>0</v>
      </c>
      <c r="J870">
        <f>IFERROR(VLOOKUP(B870,'General price list'!C:AI,12,FALSE)*(G870*C870),0)</f>
        <v>0</v>
      </c>
    </row>
    <row r="871" spans="2:10" ht="15" customHeight="1">
      <c r="B871" t="s">
        <v>587</v>
      </c>
      <c r="C871" s="2">
        <f>IFERROR(VLOOKUP(B871,'Deutsche Markt'!C:AA,24,FALSE),"")</f>
        <v>24</v>
      </c>
      <c r="D871" s="2">
        <f>IFERROR(VLOOKUP(B871,'Deutsche Markt'!C:AA,25,FALSE),0)</f>
        <v>0</v>
      </c>
      <c r="E871" s="2">
        <f t="shared" si="72"/>
        <v>0</v>
      </c>
      <c r="F871" s="2">
        <f t="shared" si="73"/>
        <v>0</v>
      </c>
      <c r="G871" s="2">
        <f t="shared" si="74"/>
        <v>0</v>
      </c>
      <c r="H871" s="2">
        <f t="shared" si="75"/>
        <v>0</v>
      </c>
      <c r="I871" s="2">
        <f t="shared" si="71"/>
        <v>0</v>
      </c>
      <c r="J871">
        <f>IFERROR(VLOOKUP(B871,'General price list'!C:AI,12,FALSE)*(G871*C871),0)</f>
        <v>0</v>
      </c>
    </row>
    <row r="872" spans="2:10" ht="15" customHeight="1">
      <c r="B872" t="s">
        <v>609</v>
      </c>
      <c r="C872" s="2">
        <f>IFERROR(VLOOKUP(B872,'Deutsche Markt'!C:AA,24,FALSE),"")</f>
        <v>27</v>
      </c>
      <c r="D872" s="2">
        <f>IFERROR(VLOOKUP(B872,'Deutsche Markt'!C:AA,25,FALSE),0)</f>
        <v>0</v>
      </c>
      <c r="E872" s="2">
        <f t="shared" si="72"/>
        <v>0</v>
      </c>
      <c r="F872" s="2">
        <f t="shared" si="73"/>
        <v>0</v>
      </c>
      <c r="G872" s="2">
        <f t="shared" si="74"/>
        <v>0</v>
      </c>
      <c r="H872" s="2">
        <f t="shared" si="75"/>
        <v>0</v>
      </c>
      <c r="I872" s="2">
        <f t="shared" si="71"/>
        <v>0</v>
      </c>
      <c r="J872">
        <f>IFERROR(VLOOKUP(B872,'General price list'!C:AI,12,FALSE)*(G872*C872),0)</f>
        <v>0</v>
      </c>
    </row>
    <row r="873" spans="2:10" ht="15" customHeight="1">
      <c r="B873" t="s">
        <v>614</v>
      </c>
      <c r="C873" s="2" t="str">
        <f>IFERROR(VLOOKUP(B873,'Deutsche Markt'!C:AA,24,FALSE),"")</f>
        <v/>
      </c>
      <c r="D873" s="2">
        <f>IFERROR(VLOOKUP(B873,'Deutsche Markt'!C:AA,25,FALSE),0)</f>
        <v>0</v>
      </c>
      <c r="E873" s="2">
        <f t="shared" si="72"/>
        <v>0</v>
      </c>
      <c r="F873" s="2">
        <f t="shared" si="73"/>
        <v>0</v>
      </c>
      <c r="G873" s="2">
        <f t="shared" si="74"/>
        <v>0</v>
      </c>
      <c r="H873" s="2">
        <f t="shared" si="75"/>
        <v>0</v>
      </c>
      <c r="I873" s="2">
        <f t="shared" si="71"/>
        <v>0</v>
      </c>
      <c r="J873">
        <f>IFERROR(VLOOKUP(B873,'General price list'!C:AI,12,FALSE)*(G873*C873),0)</f>
        <v>0</v>
      </c>
    </row>
    <row r="874" spans="2:10" ht="15" customHeight="1">
      <c r="B874" t="s">
        <v>2306</v>
      </c>
      <c r="C874" s="2" t="str">
        <f>IFERROR(VLOOKUP(B874,'Deutsche Markt'!C:AA,24,FALSE),"")</f>
        <v>56</v>
      </c>
      <c r="D874" s="2">
        <f>IFERROR(VLOOKUP(B874,'Deutsche Markt'!C:AA,25,FALSE),0)</f>
        <v>0</v>
      </c>
      <c r="E874" s="2">
        <f t="shared" si="72"/>
        <v>0</v>
      </c>
      <c r="F874" s="2">
        <f t="shared" si="73"/>
        <v>0</v>
      </c>
      <c r="G874" s="2">
        <f t="shared" si="74"/>
        <v>0</v>
      </c>
      <c r="H874" s="2">
        <f t="shared" si="75"/>
        <v>0</v>
      </c>
      <c r="I874" s="2">
        <f t="shared" si="71"/>
        <v>0</v>
      </c>
      <c r="J874">
        <f>IFERROR(VLOOKUP(B874,'General price list'!C:AI,12,FALSE)*(G874*C874),0)</f>
        <v>0</v>
      </c>
    </row>
    <row r="875" spans="2:10" ht="15" customHeight="1">
      <c r="B875" t="s">
        <v>630</v>
      </c>
      <c r="C875" s="2" t="str">
        <f>IFERROR(VLOOKUP(B875,'Deutsche Markt'!C:AA,24,FALSE),"")</f>
        <v/>
      </c>
      <c r="D875" s="2">
        <f>IFERROR(VLOOKUP(B875,'Deutsche Markt'!C:AA,25,FALSE),0)</f>
        <v>0</v>
      </c>
      <c r="E875" s="2">
        <f t="shared" si="72"/>
        <v>0</v>
      </c>
      <c r="F875" s="2">
        <f t="shared" si="73"/>
        <v>0</v>
      </c>
      <c r="G875" s="2">
        <f t="shared" si="74"/>
        <v>0</v>
      </c>
      <c r="H875" s="2">
        <f t="shared" si="75"/>
        <v>0</v>
      </c>
      <c r="I875" s="2">
        <f t="shared" si="71"/>
        <v>0</v>
      </c>
      <c r="J875">
        <f>IFERROR(VLOOKUP(B875,'General price list'!C:AI,12,FALSE)*(G875*C875),0)</f>
        <v>0</v>
      </c>
    </row>
    <row r="876" spans="2:10" ht="15" customHeight="1">
      <c r="B876" t="s">
        <v>4087</v>
      </c>
      <c r="C876" s="2" t="str">
        <f>IFERROR(VLOOKUP(B876,'Deutsche Markt'!C:AA,24,FALSE),"")</f>
        <v/>
      </c>
      <c r="D876" s="2">
        <f>IFERROR(VLOOKUP(B876,'Deutsche Markt'!C:AA,25,FALSE),0)</f>
        <v>0</v>
      </c>
      <c r="E876" s="2">
        <f t="shared" si="72"/>
        <v>0</v>
      </c>
      <c r="F876" s="2">
        <f t="shared" si="73"/>
        <v>0</v>
      </c>
      <c r="G876" s="2">
        <f t="shared" si="74"/>
        <v>0</v>
      </c>
      <c r="H876" s="2">
        <f t="shared" si="75"/>
        <v>0</v>
      </c>
      <c r="I876" s="2">
        <f t="shared" si="71"/>
        <v>0</v>
      </c>
      <c r="J876">
        <f>IFERROR(VLOOKUP(B876,'General price list'!C:AI,12,FALSE)*(G876*C876),0)</f>
        <v>0</v>
      </c>
    </row>
    <row r="877" spans="2:10" ht="15" customHeight="1">
      <c r="B877" t="s">
        <v>1575</v>
      </c>
      <c r="C877" s="2" t="str">
        <f>IFERROR(VLOOKUP(B877,'Deutsche Markt'!C:AA,24,FALSE),"")</f>
        <v/>
      </c>
      <c r="D877" s="2">
        <f>IFERROR(VLOOKUP(B877,'Deutsche Markt'!C:AA,25,FALSE),0)</f>
        <v>0</v>
      </c>
      <c r="E877" s="2">
        <f t="shared" si="72"/>
        <v>0</v>
      </c>
      <c r="F877" s="2">
        <f t="shared" si="73"/>
        <v>0</v>
      </c>
      <c r="G877" s="2">
        <f t="shared" si="74"/>
        <v>0</v>
      </c>
      <c r="H877" s="2">
        <f t="shared" si="75"/>
        <v>0</v>
      </c>
      <c r="I877" s="2">
        <f t="shared" si="71"/>
        <v>0</v>
      </c>
      <c r="J877">
        <f>IFERROR(VLOOKUP(B877,'General price list'!C:AI,12,FALSE)*(G877*C877),0)</f>
        <v>0</v>
      </c>
    </row>
    <row r="878" spans="2:10" ht="15" customHeight="1">
      <c r="B878" t="s">
        <v>639</v>
      </c>
      <c r="C878" s="2" t="str">
        <f>IFERROR(VLOOKUP(B878,'Deutsche Markt'!C:AA,24,FALSE),"")</f>
        <v/>
      </c>
      <c r="D878" s="2">
        <f>IFERROR(VLOOKUP(B878,'Deutsche Markt'!C:AA,25,FALSE),0)</f>
        <v>0</v>
      </c>
      <c r="E878" s="2">
        <f t="shared" si="72"/>
        <v>0</v>
      </c>
      <c r="F878" s="2">
        <f t="shared" si="73"/>
        <v>0</v>
      </c>
      <c r="G878" s="2">
        <f t="shared" si="74"/>
        <v>0</v>
      </c>
      <c r="H878" s="2">
        <f t="shared" si="75"/>
        <v>0</v>
      </c>
      <c r="I878" s="2">
        <f t="shared" si="71"/>
        <v>0</v>
      </c>
      <c r="J878">
        <f>IFERROR(VLOOKUP(B878,'General price list'!C:AI,12,FALSE)*(G878*C878),0)</f>
        <v>0</v>
      </c>
    </row>
    <row r="879" spans="2:10" ht="15" customHeight="1">
      <c r="B879" t="s">
        <v>1577</v>
      </c>
      <c r="C879" s="2" t="str">
        <f>IFERROR(VLOOKUP(B879,'Deutsche Markt'!C:AA,24,FALSE),"")</f>
        <v/>
      </c>
      <c r="D879" s="2">
        <f>IFERROR(VLOOKUP(B879,'Deutsche Markt'!C:AA,25,FALSE),0)</f>
        <v>0</v>
      </c>
      <c r="E879" s="2">
        <f t="shared" si="72"/>
        <v>0</v>
      </c>
      <c r="F879" s="2">
        <f t="shared" si="73"/>
        <v>0</v>
      </c>
      <c r="G879" s="2">
        <f t="shared" si="74"/>
        <v>0</v>
      </c>
      <c r="H879" s="2">
        <f t="shared" si="75"/>
        <v>0</v>
      </c>
      <c r="I879" s="2">
        <f t="shared" si="71"/>
        <v>0</v>
      </c>
      <c r="J879">
        <f>IFERROR(VLOOKUP(B879,'General price list'!C:AI,12,FALSE)*(G879*C879),0)</f>
        <v>0</v>
      </c>
    </row>
    <row r="880" spans="2:10" ht="15" customHeight="1">
      <c r="B880" t="s">
        <v>1581</v>
      </c>
      <c r="C880" s="2" t="str">
        <f>IFERROR(VLOOKUP(B880,'Deutsche Markt'!C:AA,24,FALSE),"")</f>
        <v/>
      </c>
      <c r="D880" s="2">
        <f>IFERROR(VLOOKUP(B880,'Deutsche Markt'!C:AA,25,FALSE),0)</f>
        <v>0</v>
      </c>
      <c r="E880" s="2">
        <f t="shared" si="72"/>
        <v>0</v>
      </c>
      <c r="F880" s="2">
        <f t="shared" si="73"/>
        <v>0</v>
      </c>
      <c r="G880" s="2">
        <f t="shared" si="74"/>
        <v>0</v>
      </c>
      <c r="H880" s="2">
        <f t="shared" si="75"/>
        <v>0</v>
      </c>
      <c r="I880" s="2">
        <f t="shared" si="71"/>
        <v>0</v>
      </c>
      <c r="J880">
        <f>IFERROR(VLOOKUP(B880,'General price list'!C:AI,12,FALSE)*(G880*C880),0)</f>
        <v>0</v>
      </c>
    </row>
    <row r="881" spans="2:10" ht="15" customHeight="1">
      <c r="B881" t="s">
        <v>1583</v>
      </c>
      <c r="C881" s="2" t="str">
        <f>IFERROR(VLOOKUP(B881,'Deutsche Markt'!C:AA,24,FALSE),"")</f>
        <v/>
      </c>
      <c r="D881" s="2">
        <f>IFERROR(VLOOKUP(B881,'Deutsche Markt'!C:AA,25,FALSE),0)</f>
        <v>0</v>
      </c>
      <c r="E881" s="2">
        <f t="shared" si="72"/>
        <v>0</v>
      </c>
      <c r="F881" s="2">
        <f t="shared" si="73"/>
        <v>0</v>
      </c>
      <c r="G881" s="2">
        <f t="shared" si="74"/>
        <v>0</v>
      </c>
      <c r="H881" s="2">
        <f t="shared" si="75"/>
        <v>0</v>
      </c>
      <c r="I881" s="2">
        <f t="shared" si="71"/>
        <v>0</v>
      </c>
      <c r="J881">
        <f>IFERROR(VLOOKUP(B881,'General price list'!C:AI,12,FALSE)*(G881*C881),0)</f>
        <v>0</v>
      </c>
    </row>
    <row r="882" spans="2:10" ht="15" customHeight="1">
      <c r="B882" t="s">
        <v>640</v>
      </c>
      <c r="C882" s="2" t="str">
        <f>IFERROR(VLOOKUP(B882,'Deutsche Markt'!C:AA,24,FALSE),"")</f>
        <v/>
      </c>
      <c r="D882" s="2">
        <f>IFERROR(VLOOKUP(B882,'Deutsche Markt'!C:AA,25,FALSE),0)</f>
        <v>0</v>
      </c>
      <c r="E882" s="2">
        <f t="shared" si="72"/>
        <v>0</v>
      </c>
      <c r="F882" s="2">
        <f t="shared" si="73"/>
        <v>0</v>
      </c>
      <c r="G882" s="2">
        <f t="shared" si="74"/>
        <v>0</v>
      </c>
      <c r="H882" s="2">
        <f t="shared" si="75"/>
        <v>0</v>
      </c>
      <c r="I882" s="2">
        <f t="shared" si="71"/>
        <v>0</v>
      </c>
      <c r="J882">
        <f>IFERROR(VLOOKUP(B882,'General price list'!C:AI,12,FALSE)*(G882*C882),0)</f>
        <v>0</v>
      </c>
    </row>
    <row r="883" spans="2:10" ht="15" customHeight="1">
      <c r="B883" t="s">
        <v>634</v>
      </c>
      <c r="C883" s="2" t="str">
        <f>IFERROR(VLOOKUP(B883,'Deutsche Markt'!C:AA,24,FALSE),"")</f>
        <v/>
      </c>
      <c r="D883" s="2">
        <f>IFERROR(VLOOKUP(B883,'Deutsche Markt'!C:AA,25,FALSE),0)</f>
        <v>0</v>
      </c>
      <c r="E883" s="2">
        <f t="shared" si="72"/>
        <v>0</v>
      </c>
      <c r="F883" s="2">
        <f t="shared" si="73"/>
        <v>0</v>
      </c>
      <c r="G883" s="2">
        <f t="shared" si="74"/>
        <v>0</v>
      </c>
      <c r="H883" s="2">
        <f t="shared" si="75"/>
        <v>0</v>
      </c>
      <c r="I883" s="2">
        <f t="shared" si="71"/>
        <v>0</v>
      </c>
      <c r="J883">
        <f>IFERROR(VLOOKUP(B883,'General price list'!C:AI,12,FALSE)*(G883*C883),0)</f>
        <v>0</v>
      </c>
    </row>
    <row r="884" spans="2:10" ht="15" customHeight="1">
      <c r="B884" t="s">
        <v>136</v>
      </c>
      <c r="C884" s="2" t="str">
        <f>IFERROR(VLOOKUP(B884,'Deutsche Markt'!C:AA,24,FALSE),"")</f>
        <v/>
      </c>
      <c r="D884" s="2">
        <f>IFERROR(VLOOKUP(B884,'Deutsche Markt'!C:AA,25,FALSE),0)</f>
        <v>0</v>
      </c>
      <c r="E884" s="2">
        <f t="shared" si="72"/>
        <v>0</v>
      </c>
      <c r="F884" s="2">
        <f t="shared" si="73"/>
        <v>0</v>
      </c>
      <c r="G884" s="2">
        <f t="shared" si="74"/>
        <v>0</v>
      </c>
      <c r="H884" s="2">
        <f t="shared" si="75"/>
        <v>0</v>
      </c>
      <c r="I884" s="2">
        <f t="shared" si="71"/>
        <v>0</v>
      </c>
      <c r="J884">
        <f>IFERROR(VLOOKUP(B884,'General price list'!C:AI,12,FALSE)*(G884*C884),0)</f>
        <v>0</v>
      </c>
    </row>
    <row r="885" spans="2:10" ht="15" customHeight="1">
      <c r="B885" t="s">
        <v>12558</v>
      </c>
      <c r="C885" s="2" t="str">
        <f>IFERROR(VLOOKUP(B885,'Deutsche Markt'!C:AA,24,FALSE),"")</f>
        <v/>
      </c>
      <c r="D885" s="2">
        <f>IFERROR(VLOOKUP(B885,'Deutsche Markt'!C:AA,25,FALSE),0)</f>
        <v>0</v>
      </c>
      <c r="E885" s="2">
        <f t="shared" si="72"/>
        <v>0</v>
      </c>
      <c r="F885" s="2">
        <f t="shared" si="73"/>
        <v>0</v>
      </c>
      <c r="G885" s="2">
        <f t="shared" si="74"/>
        <v>0</v>
      </c>
      <c r="H885" s="2">
        <f t="shared" si="75"/>
        <v>0</v>
      </c>
      <c r="I885" s="2">
        <f t="shared" si="71"/>
        <v>0</v>
      </c>
      <c r="J885">
        <f>IFERROR(VLOOKUP(B885,'General price list'!C:AI,12,FALSE)*(G885*C885),0)</f>
        <v>0</v>
      </c>
    </row>
    <row r="886" spans="2:10" ht="15" customHeight="1">
      <c r="B886" t="s">
        <v>244</v>
      </c>
      <c r="C886" s="2" t="str">
        <f>IFERROR(VLOOKUP(B886,'Deutsche Markt'!C:AA,24,FALSE),"")</f>
        <v>72</v>
      </c>
      <c r="D886" s="2">
        <f>IFERROR(VLOOKUP(B886,'Deutsche Markt'!C:AA,25,FALSE),0)</f>
        <v>0</v>
      </c>
      <c r="E886" s="2">
        <f t="shared" si="72"/>
        <v>0</v>
      </c>
      <c r="F886" s="2">
        <f t="shared" si="73"/>
        <v>0</v>
      </c>
      <c r="G886" s="2">
        <f t="shared" si="74"/>
        <v>0</v>
      </c>
      <c r="H886" s="2">
        <f t="shared" si="75"/>
        <v>0</v>
      </c>
      <c r="I886" s="2">
        <f t="shared" si="71"/>
        <v>0</v>
      </c>
      <c r="J886">
        <f>IFERROR(VLOOKUP(B886,'General price list'!C:AI,12,FALSE)*(G886*C886),0)</f>
        <v>0</v>
      </c>
    </row>
    <row r="887" spans="2:10" ht="15" customHeight="1">
      <c r="B887" t="s">
        <v>251</v>
      </c>
      <c r="C887" s="2" t="str">
        <f>IFERROR(VLOOKUP(B887,'Deutsche Markt'!C:AA,24,FALSE),"")</f>
        <v>72</v>
      </c>
      <c r="D887" s="2">
        <f>IFERROR(VLOOKUP(B887,'Deutsche Markt'!C:AA,25,FALSE),0)</f>
        <v>0</v>
      </c>
      <c r="E887" s="2">
        <f t="shared" si="72"/>
        <v>0</v>
      </c>
      <c r="F887" s="2">
        <f t="shared" si="73"/>
        <v>0</v>
      </c>
      <c r="G887" s="2">
        <f t="shared" si="74"/>
        <v>0</v>
      </c>
      <c r="H887" s="2">
        <f t="shared" si="75"/>
        <v>0</v>
      </c>
      <c r="I887" s="2">
        <f t="shared" si="71"/>
        <v>0</v>
      </c>
      <c r="J887">
        <f>IFERROR(VLOOKUP(B887,'General price list'!C:AI,12,FALSE)*(G887*C887),0)</f>
        <v>0</v>
      </c>
    </row>
    <row r="888" spans="2:10" ht="15" customHeight="1">
      <c r="B888" t="s">
        <v>351</v>
      </c>
      <c r="C888" s="2" t="str">
        <f>IFERROR(VLOOKUP(B888,'Deutsche Markt'!C:AA,24,FALSE),"")</f>
        <v/>
      </c>
      <c r="D888" s="2">
        <f>IFERROR(VLOOKUP(B888,'Deutsche Markt'!C:AA,25,FALSE),0)</f>
        <v>0</v>
      </c>
      <c r="E888" s="2">
        <f t="shared" si="72"/>
        <v>0</v>
      </c>
      <c r="F888" s="2">
        <f t="shared" si="73"/>
        <v>0</v>
      </c>
      <c r="G888" s="2">
        <f t="shared" si="74"/>
        <v>0</v>
      </c>
      <c r="H888" s="2">
        <f t="shared" si="75"/>
        <v>0</v>
      </c>
      <c r="I888" s="2">
        <f t="shared" si="71"/>
        <v>0</v>
      </c>
      <c r="J888">
        <f>IFERROR(VLOOKUP(B888,'General price list'!C:AI,12,FALSE)*(G888*C888),0)</f>
        <v>0</v>
      </c>
    </row>
    <row r="889" spans="2:10" ht="15" customHeight="1">
      <c r="B889" t="s">
        <v>355</v>
      </c>
      <c r="C889" s="2" t="str">
        <f>IFERROR(VLOOKUP(B889,'Deutsche Markt'!C:AA,24,FALSE),"")</f>
        <v/>
      </c>
      <c r="D889" s="2">
        <f>IFERROR(VLOOKUP(B889,'Deutsche Markt'!C:AA,25,FALSE),0)</f>
        <v>0</v>
      </c>
      <c r="E889" s="2">
        <f t="shared" si="72"/>
        <v>0</v>
      </c>
      <c r="F889" s="2">
        <f t="shared" si="73"/>
        <v>0</v>
      </c>
      <c r="G889" s="2">
        <f t="shared" si="74"/>
        <v>0</v>
      </c>
      <c r="H889" s="2">
        <f t="shared" si="75"/>
        <v>0</v>
      </c>
      <c r="I889" s="2">
        <f t="shared" si="71"/>
        <v>0</v>
      </c>
      <c r="J889">
        <f>IFERROR(VLOOKUP(B889,'General price list'!C:AI,12,FALSE)*(G889*C889),0)</f>
        <v>0</v>
      </c>
    </row>
    <row r="890" spans="2:10" ht="15" customHeight="1">
      <c r="B890" t="s">
        <v>252</v>
      </c>
      <c r="C890" s="2" t="str">
        <f>IFERROR(VLOOKUP(B890,'Deutsche Markt'!C:AA,24,FALSE),"")</f>
        <v>72</v>
      </c>
      <c r="D890" s="2">
        <f>IFERROR(VLOOKUP(B890,'Deutsche Markt'!C:AA,25,FALSE),0)</f>
        <v>0</v>
      </c>
      <c r="E890" s="2">
        <f t="shared" si="72"/>
        <v>0</v>
      </c>
      <c r="F890" s="2">
        <f t="shared" si="73"/>
        <v>0</v>
      </c>
      <c r="G890" s="2">
        <f t="shared" si="74"/>
        <v>0</v>
      </c>
      <c r="H890" s="2">
        <f t="shared" si="75"/>
        <v>0</v>
      </c>
      <c r="I890" s="2">
        <f t="shared" si="71"/>
        <v>0</v>
      </c>
      <c r="J890">
        <f>IFERROR(VLOOKUP(B890,'General price list'!C:AI,12,FALSE)*(G890*C890),0)</f>
        <v>0</v>
      </c>
    </row>
    <row r="891" spans="2:10" ht="15" customHeight="1">
      <c r="B891" t="s">
        <v>257</v>
      </c>
      <c r="C891" s="2" t="str">
        <f>IFERROR(VLOOKUP(B891,'Deutsche Markt'!C:AA,24,FALSE),"")</f>
        <v>72</v>
      </c>
      <c r="D891" s="2">
        <f>IFERROR(VLOOKUP(B891,'Deutsche Markt'!C:AA,25,FALSE),0)</f>
        <v>0</v>
      </c>
      <c r="E891" s="2">
        <f t="shared" si="72"/>
        <v>0</v>
      </c>
      <c r="F891" s="2">
        <f t="shared" si="73"/>
        <v>0</v>
      </c>
      <c r="G891" s="2">
        <f t="shared" si="74"/>
        <v>0</v>
      </c>
      <c r="H891" s="2">
        <f t="shared" si="75"/>
        <v>0</v>
      </c>
      <c r="I891" s="2">
        <f t="shared" si="71"/>
        <v>0</v>
      </c>
      <c r="J891">
        <f>IFERROR(VLOOKUP(B891,'General price list'!C:AI,12,FALSE)*(G891*C891),0)</f>
        <v>0</v>
      </c>
    </row>
    <row r="892" spans="2:10" ht="15" customHeight="1">
      <c r="B892" t="s">
        <v>356</v>
      </c>
      <c r="C892" s="2" t="str">
        <f>IFERROR(VLOOKUP(B892,'Deutsche Markt'!C:AA,24,FALSE),"")</f>
        <v/>
      </c>
      <c r="D892" s="2">
        <f>IFERROR(VLOOKUP(B892,'Deutsche Markt'!C:AA,25,FALSE),0)</f>
        <v>0</v>
      </c>
      <c r="E892" s="2">
        <f t="shared" si="72"/>
        <v>0</v>
      </c>
      <c r="F892" s="2">
        <f t="shared" si="73"/>
        <v>0</v>
      </c>
      <c r="G892" s="2">
        <f t="shared" si="74"/>
        <v>0</v>
      </c>
      <c r="H892" s="2">
        <f t="shared" si="75"/>
        <v>0</v>
      </c>
      <c r="I892" s="2">
        <f t="shared" si="71"/>
        <v>0</v>
      </c>
      <c r="J892">
        <f>IFERROR(VLOOKUP(B892,'General price list'!C:AI,12,FALSE)*(G892*C892),0)</f>
        <v>0</v>
      </c>
    </row>
    <row r="893" spans="2:10" ht="15" customHeight="1">
      <c r="B893" t="s">
        <v>258</v>
      </c>
      <c r="C893" s="2" t="str">
        <f>IFERROR(VLOOKUP(B893,'Deutsche Markt'!C:AA,24,FALSE),"")</f>
        <v>72</v>
      </c>
      <c r="D893" s="2">
        <f>IFERROR(VLOOKUP(B893,'Deutsche Markt'!C:AA,25,FALSE),0)</f>
        <v>0</v>
      </c>
      <c r="E893" s="2">
        <f t="shared" si="72"/>
        <v>0</v>
      </c>
      <c r="F893" s="2">
        <f t="shared" si="73"/>
        <v>0</v>
      </c>
      <c r="G893" s="2">
        <f t="shared" si="74"/>
        <v>0</v>
      </c>
      <c r="H893" s="2">
        <f t="shared" si="75"/>
        <v>0</v>
      </c>
      <c r="I893" s="2">
        <f t="shared" si="71"/>
        <v>0</v>
      </c>
      <c r="J893">
        <f>IFERROR(VLOOKUP(B893,'General price list'!C:AI,12,FALSE)*(G893*C893),0)</f>
        <v>0</v>
      </c>
    </row>
    <row r="894" spans="2:10" ht="15" customHeight="1">
      <c r="B894" t="s">
        <v>263</v>
      </c>
      <c r="C894" s="2" t="str">
        <f>IFERROR(VLOOKUP(B894,'Deutsche Markt'!C:AA,24,FALSE),"")</f>
        <v/>
      </c>
      <c r="D894" s="2">
        <f>IFERROR(VLOOKUP(B894,'Deutsche Markt'!C:AA,25,FALSE),0)</f>
        <v>0</v>
      </c>
      <c r="E894" s="2">
        <f t="shared" si="72"/>
        <v>0</v>
      </c>
      <c r="F894" s="2">
        <f t="shared" si="73"/>
        <v>0</v>
      </c>
      <c r="G894" s="2">
        <f t="shared" si="74"/>
        <v>0</v>
      </c>
      <c r="H894" s="2">
        <f t="shared" si="75"/>
        <v>0</v>
      </c>
      <c r="I894" s="2">
        <f t="shared" si="71"/>
        <v>0</v>
      </c>
      <c r="J894">
        <f>IFERROR(VLOOKUP(B894,'General price list'!C:AI,12,FALSE)*(G894*C894),0)</f>
        <v>0</v>
      </c>
    </row>
    <row r="895" spans="2:10" ht="15" customHeight="1">
      <c r="B895" t="s">
        <v>360</v>
      </c>
      <c r="C895" s="2" t="str">
        <f>IFERROR(VLOOKUP(B895,'Deutsche Markt'!C:AA,24,FALSE),"")</f>
        <v/>
      </c>
      <c r="D895" s="2">
        <f>IFERROR(VLOOKUP(B895,'Deutsche Markt'!C:AA,25,FALSE),0)</f>
        <v>0</v>
      </c>
      <c r="E895" s="2">
        <f t="shared" si="72"/>
        <v>0</v>
      </c>
      <c r="F895" s="2">
        <f t="shared" si="73"/>
        <v>0</v>
      </c>
      <c r="G895" s="2">
        <f t="shared" si="74"/>
        <v>0</v>
      </c>
      <c r="H895" s="2">
        <f t="shared" si="75"/>
        <v>0</v>
      </c>
      <c r="I895" s="2">
        <f t="shared" si="71"/>
        <v>0</v>
      </c>
      <c r="J895">
        <f>IFERROR(VLOOKUP(B895,'General price list'!C:AI,12,FALSE)*(G895*C895),0)</f>
        <v>0</v>
      </c>
    </row>
    <row r="896" spans="2:10" ht="15" customHeight="1">
      <c r="B896" t="s">
        <v>364</v>
      </c>
      <c r="C896" s="2" t="str">
        <f>IFERROR(VLOOKUP(B896,'Deutsche Markt'!C:AA,24,FALSE),"")</f>
        <v/>
      </c>
      <c r="D896" s="2">
        <f>IFERROR(VLOOKUP(B896,'Deutsche Markt'!C:AA,25,FALSE),0)</f>
        <v>0</v>
      </c>
      <c r="E896" s="2">
        <f t="shared" si="72"/>
        <v>0</v>
      </c>
      <c r="F896" s="2">
        <f t="shared" si="73"/>
        <v>0</v>
      </c>
      <c r="G896" s="2">
        <f t="shared" si="74"/>
        <v>0</v>
      </c>
      <c r="H896" s="2">
        <f t="shared" si="75"/>
        <v>0</v>
      </c>
      <c r="I896" s="2">
        <f t="shared" si="71"/>
        <v>0</v>
      </c>
      <c r="J896">
        <f>IFERROR(VLOOKUP(B896,'General price list'!C:AI,12,FALSE)*(G896*C896),0)</f>
        <v>0</v>
      </c>
    </row>
    <row r="897" spans="2:10" ht="15" customHeight="1">
      <c r="B897" t="s">
        <v>276</v>
      </c>
      <c r="C897" s="2" t="str">
        <f>IFERROR(VLOOKUP(B897,'Deutsche Markt'!C:AA,24,FALSE),"")</f>
        <v>72</v>
      </c>
      <c r="D897" s="2">
        <f>IFERROR(VLOOKUP(B897,'Deutsche Markt'!C:AA,25,FALSE),0)</f>
        <v>0</v>
      </c>
      <c r="E897" s="2">
        <f t="shared" si="72"/>
        <v>0</v>
      </c>
      <c r="F897" s="2">
        <f t="shared" si="73"/>
        <v>0</v>
      </c>
      <c r="G897" s="2">
        <f t="shared" si="74"/>
        <v>0</v>
      </c>
      <c r="H897" s="2">
        <f t="shared" si="75"/>
        <v>0</v>
      </c>
      <c r="I897" s="2">
        <f t="shared" si="71"/>
        <v>0</v>
      </c>
      <c r="J897">
        <f>IFERROR(VLOOKUP(B897,'General price list'!C:AI,12,FALSE)*(G897*C897),0)</f>
        <v>0</v>
      </c>
    </row>
    <row r="898" spans="2:10" ht="15" customHeight="1">
      <c r="B898" t="s">
        <v>281</v>
      </c>
      <c r="C898" s="2" t="str">
        <f>IFERROR(VLOOKUP(B898,'Deutsche Markt'!C:AA,24,FALSE),"")</f>
        <v>72</v>
      </c>
      <c r="D898" s="2">
        <f>IFERROR(VLOOKUP(B898,'Deutsche Markt'!C:AA,25,FALSE),0)</f>
        <v>0</v>
      </c>
      <c r="E898" s="2">
        <f t="shared" si="72"/>
        <v>0</v>
      </c>
      <c r="F898" s="2">
        <f t="shared" si="73"/>
        <v>0</v>
      </c>
      <c r="G898" s="2">
        <f t="shared" si="74"/>
        <v>0</v>
      </c>
      <c r="H898" s="2">
        <f t="shared" si="75"/>
        <v>0</v>
      </c>
      <c r="I898" s="2">
        <f t="shared" si="71"/>
        <v>0</v>
      </c>
      <c r="J898">
        <f>IFERROR(VLOOKUP(B898,'General price list'!C:AI,12,FALSE)*(G898*C898),0)</f>
        <v>0</v>
      </c>
    </row>
    <row r="899" spans="2:10" ht="15" customHeight="1">
      <c r="B899" t="s">
        <v>375</v>
      </c>
      <c r="C899" s="2" t="str">
        <f>IFERROR(VLOOKUP(B899,'Deutsche Markt'!C:AA,24,FALSE),"")</f>
        <v/>
      </c>
      <c r="D899" s="2">
        <f>IFERROR(VLOOKUP(B899,'Deutsche Markt'!C:AA,25,FALSE),0)</f>
        <v>0</v>
      </c>
      <c r="E899" s="2">
        <f t="shared" si="72"/>
        <v>0</v>
      </c>
      <c r="F899" s="2">
        <f t="shared" si="73"/>
        <v>0</v>
      </c>
      <c r="G899" s="2">
        <f t="shared" si="74"/>
        <v>0</v>
      </c>
      <c r="H899" s="2">
        <f t="shared" si="75"/>
        <v>0</v>
      </c>
      <c r="I899" s="2">
        <f t="shared" si="71"/>
        <v>0</v>
      </c>
      <c r="J899">
        <f>IFERROR(VLOOKUP(B899,'General price list'!C:AI,12,FALSE)*(G899*C899),0)</f>
        <v>0</v>
      </c>
    </row>
    <row r="900" spans="2:10" ht="15" customHeight="1">
      <c r="B900" t="s">
        <v>379</v>
      </c>
      <c r="C900" s="2" t="str">
        <f>IFERROR(VLOOKUP(B900,'Deutsche Markt'!C:AA,24,FALSE),"")</f>
        <v/>
      </c>
      <c r="D900" s="2">
        <f>IFERROR(VLOOKUP(B900,'Deutsche Markt'!C:AA,25,FALSE),0)</f>
        <v>0</v>
      </c>
      <c r="E900" s="2">
        <f t="shared" si="72"/>
        <v>0</v>
      </c>
      <c r="F900" s="2">
        <f t="shared" si="73"/>
        <v>0</v>
      </c>
      <c r="G900" s="2">
        <f t="shared" si="74"/>
        <v>0</v>
      </c>
      <c r="H900" s="2">
        <f t="shared" si="75"/>
        <v>0</v>
      </c>
      <c r="I900" s="2">
        <f t="shared" ref="I900:I963" si="76">IFERROR(IF(D900=0,0,IF(F900=0,(D900*nextVK)+(prvniVK-nextVK),(G900*C900*nextVK)+(F900*PALzKoje))),0)</f>
        <v>0</v>
      </c>
      <c r="J900">
        <f>IFERROR(VLOOKUP(B900,'General price list'!C:AI,12,FALSE)*(G900*C900),0)</f>
        <v>0</v>
      </c>
    </row>
    <row r="901" spans="2:10" ht="15" customHeight="1">
      <c r="B901" t="s">
        <v>270</v>
      </c>
      <c r="C901" s="2" t="str">
        <f>IFERROR(VLOOKUP(B901,'Deutsche Markt'!C:AA,24,FALSE),"")</f>
        <v>72</v>
      </c>
      <c r="D901" s="2">
        <f>IFERROR(VLOOKUP(B901,'Deutsche Markt'!C:AA,25,FALSE),0)</f>
        <v>0</v>
      </c>
      <c r="E901" s="2">
        <f t="shared" ref="E901:E964" si="77">IFERROR(D901/C901,0)</f>
        <v>0</v>
      </c>
      <c r="F901" s="2">
        <f t="shared" ref="F901:F964" si="78">IFERROR(FLOOR(IF(E901-1&lt;0,0,E901),1),0)</f>
        <v>0</v>
      </c>
      <c r="G901" s="2">
        <f t="shared" ref="G901:G964" si="79">IFERROR(IF(H901&gt;E901,F901-E901,E901-F901),0)</f>
        <v>0</v>
      </c>
      <c r="H901" s="2">
        <f t="shared" ref="H901:H964" si="80">IFERROR(IF(E901=0,0,F901),0)</f>
        <v>0</v>
      </c>
      <c r="I901" s="2">
        <f t="shared" si="76"/>
        <v>0</v>
      </c>
      <c r="J901">
        <f>IFERROR(VLOOKUP(B901,'General price list'!C:AI,12,FALSE)*(G901*C901),0)</f>
        <v>0</v>
      </c>
    </row>
    <row r="902" spans="2:10" ht="15" customHeight="1">
      <c r="B902" t="s">
        <v>275</v>
      </c>
      <c r="C902" s="2" t="str">
        <f>IFERROR(VLOOKUP(B902,'Deutsche Markt'!C:AA,24,FALSE),"")</f>
        <v>72</v>
      </c>
      <c r="D902" s="2">
        <f>IFERROR(VLOOKUP(B902,'Deutsche Markt'!C:AA,25,FALSE),0)</f>
        <v>0</v>
      </c>
      <c r="E902" s="2">
        <f t="shared" si="77"/>
        <v>0</v>
      </c>
      <c r="F902" s="2">
        <f t="shared" si="78"/>
        <v>0</v>
      </c>
      <c r="G902" s="2">
        <f t="shared" si="79"/>
        <v>0</v>
      </c>
      <c r="H902" s="2">
        <f t="shared" si="80"/>
        <v>0</v>
      </c>
      <c r="I902" s="2">
        <f t="shared" si="76"/>
        <v>0</v>
      </c>
      <c r="J902">
        <f>IFERROR(VLOOKUP(B902,'General price list'!C:AI,12,FALSE)*(G902*C902),0)</f>
        <v>0</v>
      </c>
    </row>
    <row r="903" spans="2:10" ht="15" customHeight="1">
      <c r="B903" t="s">
        <v>370</v>
      </c>
      <c r="C903" s="2" t="str">
        <f>IFERROR(VLOOKUP(B903,'Deutsche Markt'!C:AA,24,FALSE),"")</f>
        <v/>
      </c>
      <c r="D903" s="2">
        <f>IFERROR(VLOOKUP(B903,'Deutsche Markt'!C:AA,25,FALSE),0)</f>
        <v>0</v>
      </c>
      <c r="E903" s="2">
        <f t="shared" si="77"/>
        <v>0</v>
      </c>
      <c r="F903" s="2">
        <f t="shared" si="78"/>
        <v>0</v>
      </c>
      <c r="G903" s="2">
        <f t="shared" si="79"/>
        <v>0</v>
      </c>
      <c r="H903" s="2">
        <f t="shared" si="80"/>
        <v>0</v>
      </c>
      <c r="I903" s="2">
        <f t="shared" si="76"/>
        <v>0</v>
      </c>
      <c r="J903">
        <f>IFERROR(VLOOKUP(B903,'General price list'!C:AI,12,FALSE)*(G903*C903),0)</f>
        <v>0</v>
      </c>
    </row>
    <row r="904" spans="2:10" ht="15" customHeight="1">
      <c r="B904" t="s">
        <v>374</v>
      </c>
      <c r="C904" s="2" t="str">
        <f>IFERROR(VLOOKUP(B904,'Deutsche Markt'!C:AA,24,FALSE),"")</f>
        <v/>
      </c>
      <c r="D904" s="2">
        <f>IFERROR(VLOOKUP(B904,'Deutsche Markt'!C:AA,25,FALSE),0)</f>
        <v>0</v>
      </c>
      <c r="E904" s="2">
        <f t="shared" si="77"/>
        <v>0</v>
      </c>
      <c r="F904" s="2">
        <f t="shared" si="78"/>
        <v>0</v>
      </c>
      <c r="G904" s="2">
        <f t="shared" si="79"/>
        <v>0</v>
      </c>
      <c r="H904" s="2">
        <f t="shared" si="80"/>
        <v>0</v>
      </c>
      <c r="I904" s="2">
        <f t="shared" si="76"/>
        <v>0</v>
      </c>
      <c r="J904">
        <f>IFERROR(VLOOKUP(B904,'General price list'!C:AI,12,FALSE)*(G904*C904),0)</f>
        <v>0</v>
      </c>
    </row>
    <row r="905" spans="2:10" ht="15" customHeight="1">
      <c r="B905" t="s">
        <v>264</v>
      </c>
      <c r="C905" s="2" t="str">
        <f>IFERROR(VLOOKUP(B905,'Deutsche Markt'!C:AA,24,FALSE),"")</f>
        <v>72</v>
      </c>
      <c r="D905" s="2">
        <f>IFERROR(VLOOKUP(B905,'Deutsche Markt'!C:AA,25,FALSE),0)</f>
        <v>0</v>
      </c>
      <c r="E905" s="2">
        <f t="shared" si="77"/>
        <v>0</v>
      </c>
      <c r="F905" s="2">
        <f t="shared" si="78"/>
        <v>0</v>
      </c>
      <c r="G905" s="2">
        <f t="shared" si="79"/>
        <v>0</v>
      </c>
      <c r="H905" s="2">
        <f t="shared" si="80"/>
        <v>0</v>
      </c>
      <c r="I905" s="2">
        <f t="shared" si="76"/>
        <v>0</v>
      </c>
      <c r="J905">
        <f>IFERROR(VLOOKUP(B905,'General price list'!C:AI,12,FALSE)*(G905*C905),0)</f>
        <v>0</v>
      </c>
    </row>
    <row r="906" spans="2:10" ht="15" customHeight="1">
      <c r="B906" t="s">
        <v>269</v>
      </c>
      <c r="C906" s="2" t="str">
        <f>IFERROR(VLOOKUP(B906,'Deutsche Markt'!C:AA,24,FALSE),"")</f>
        <v>72</v>
      </c>
      <c r="D906" s="2">
        <f>IFERROR(VLOOKUP(B906,'Deutsche Markt'!C:AA,25,FALSE),0)</f>
        <v>0</v>
      </c>
      <c r="E906" s="2">
        <f t="shared" si="77"/>
        <v>0</v>
      </c>
      <c r="F906" s="2">
        <f t="shared" si="78"/>
        <v>0</v>
      </c>
      <c r="G906" s="2">
        <f t="shared" si="79"/>
        <v>0</v>
      </c>
      <c r="H906" s="2">
        <f t="shared" si="80"/>
        <v>0</v>
      </c>
      <c r="I906" s="2">
        <f t="shared" si="76"/>
        <v>0</v>
      </c>
      <c r="J906">
        <f>IFERROR(VLOOKUP(B906,'General price list'!C:AI,12,FALSE)*(G906*C906),0)</f>
        <v>0</v>
      </c>
    </row>
    <row r="907" spans="2:10" ht="15" customHeight="1">
      <c r="B907" t="s">
        <v>365</v>
      </c>
      <c r="C907" s="2" t="str">
        <f>IFERROR(VLOOKUP(B907,'Deutsche Markt'!C:AA,24,FALSE),"")</f>
        <v/>
      </c>
      <c r="D907" s="2">
        <f>IFERROR(VLOOKUP(B907,'Deutsche Markt'!C:AA,25,FALSE),0)</f>
        <v>0</v>
      </c>
      <c r="E907" s="2">
        <f t="shared" si="77"/>
        <v>0</v>
      </c>
      <c r="F907" s="2">
        <f t="shared" si="78"/>
        <v>0</v>
      </c>
      <c r="G907" s="2">
        <f t="shared" si="79"/>
        <v>0</v>
      </c>
      <c r="H907" s="2">
        <f t="shared" si="80"/>
        <v>0</v>
      </c>
      <c r="I907" s="2">
        <f t="shared" si="76"/>
        <v>0</v>
      </c>
      <c r="J907">
        <f>IFERROR(VLOOKUP(B907,'General price list'!C:AI,12,FALSE)*(G907*C907),0)</f>
        <v>0</v>
      </c>
    </row>
    <row r="908" spans="2:10" ht="15" customHeight="1">
      <c r="B908" t="s">
        <v>369</v>
      </c>
      <c r="C908" s="2" t="str">
        <f>IFERROR(VLOOKUP(B908,'Deutsche Markt'!C:AA,24,FALSE),"")</f>
        <v/>
      </c>
      <c r="D908" s="2">
        <f>IFERROR(VLOOKUP(B908,'Deutsche Markt'!C:AA,25,FALSE),0)</f>
        <v>0</v>
      </c>
      <c r="E908" s="2">
        <f t="shared" si="77"/>
        <v>0</v>
      </c>
      <c r="F908" s="2">
        <f t="shared" si="78"/>
        <v>0</v>
      </c>
      <c r="G908" s="2">
        <f t="shared" si="79"/>
        <v>0</v>
      </c>
      <c r="H908" s="2">
        <f t="shared" si="80"/>
        <v>0</v>
      </c>
      <c r="I908" s="2">
        <f t="shared" si="76"/>
        <v>0</v>
      </c>
      <c r="J908">
        <f>IFERROR(VLOOKUP(B908,'General price list'!C:AI,12,FALSE)*(G908*C908),0)</f>
        <v>0</v>
      </c>
    </row>
    <row r="909" spans="2:10" ht="15" customHeight="1">
      <c r="B909" t="s">
        <v>12120</v>
      </c>
      <c r="C909" s="2" t="str">
        <f>IFERROR(VLOOKUP(B909,'Deutsche Markt'!C:AA,24,FALSE),"")</f>
        <v/>
      </c>
      <c r="D909" s="2">
        <f>IFERROR(VLOOKUP(B909,'Deutsche Markt'!C:AA,25,FALSE),0)</f>
        <v>0</v>
      </c>
      <c r="E909" s="2">
        <f t="shared" si="77"/>
        <v>0</v>
      </c>
      <c r="F909" s="2">
        <f t="shared" si="78"/>
        <v>0</v>
      </c>
      <c r="G909" s="2">
        <f t="shared" si="79"/>
        <v>0</v>
      </c>
      <c r="H909" s="2">
        <f t="shared" si="80"/>
        <v>0</v>
      </c>
      <c r="I909" s="2">
        <f t="shared" si="76"/>
        <v>0</v>
      </c>
      <c r="J909">
        <f>IFERROR(VLOOKUP(B909,'General price list'!C:AI,12,FALSE)*(G909*C909),0)</f>
        <v>0</v>
      </c>
    </row>
    <row r="910" spans="2:10" ht="15" customHeight="1">
      <c r="B910" t="s">
        <v>12126</v>
      </c>
      <c r="C910" s="2" t="str">
        <f>IFERROR(VLOOKUP(B910,'Deutsche Markt'!C:AA,24,FALSE),"")</f>
        <v/>
      </c>
      <c r="D910" s="2">
        <f>IFERROR(VLOOKUP(B910,'Deutsche Markt'!C:AA,25,FALSE),0)</f>
        <v>0</v>
      </c>
      <c r="E910" s="2">
        <f t="shared" si="77"/>
        <v>0</v>
      </c>
      <c r="F910" s="2">
        <f t="shared" si="78"/>
        <v>0</v>
      </c>
      <c r="G910" s="2">
        <f t="shared" si="79"/>
        <v>0</v>
      </c>
      <c r="H910" s="2">
        <f t="shared" si="80"/>
        <v>0</v>
      </c>
      <c r="I910" s="2">
        <f t="shared" si="76"/>
        <v>0</v>
      </c>
      <c r="J910">
        <f>IFERROR(VLOOKUP(B910,'General price list'!C:AI,12,FALSE)*(G910*C910),0)</f>
        <v>0</v>
      </c>
    </row>
    <row r="911" spans="2:10" ht="15" customHeight="1">
      <c r="B911" t="s">
        <v>12122</v>
      </c>
      <c r="C911" s="2" t="str">
        <f>IFERROR(VLOOKUP(B911,'Deutsche Markt'!C:AA,24,FALSE),"")</f>
        <v/>
      </c>
      <c r="D911" s="2">
        <f>IFERROR(VLOOKUP(B911,'Deutsche Markt'!C:AA,25,FALSE),0)</f>
        <v>0</v>
      </c>
      <c r="E911" s="2">
        <f t="shared" si="77"/>
        <v>0</v>
      </c>
      <c r="F911" s="2">
        <f t="shared" si="78"/>
        <v>0</v>
      </c>
      <c r="G911" s="2">
        <f t="shared" si="79"/>
        <v>0</v>
      </c>
      <c r="H911" s="2">
        <f t="shared" si="80"/>
        <v>0</v>
      </c>
      <c r="I911" s="2">
        <f t="shared" si="76"/>
        <v>0</v>
      </c>
      <c r="J911">
        <f>IFERROR(VLOOKUP(B911,'General price list'!C:AI,12,FALSE)*(G911*C911),0)</f>
        <v>0</v>
      </c>
    </row>
    <row r="912" spans="2:10" ht="15" customHeight="1">
      <c r="B912" t="s">
        <v>12125</v>
      </c>
      <c r="C912" s="2" t="str">
        <f>IFERROR(VLOOKUP(B912,'Deutsche Markt'!C:AA,24,FALSE),"")</f>
        <v/>
      </c>
      <c r="D912" s="2">
        <f>IFERROR(VLOOKUP(B912,'Deutsche Markt'!C:AA,25,FALSE),0)</f>
        <v>0</v>
      </c>
      <c r="E912" s="2">
        <f t="shared" si="77"/>
        <v>0</v>
      </c>
      <c r="F912" s="2">
        <f t="shared" si="78"/>
        <v>0</v>
      </c>
      <c r="G912" s="2">
        <f t="shared" si="79"/>
        <v>0</v>
      </c>
      <c r="H912" s="2">
        <f t="shared" si="80"/>
        <v>0</v>
      </c>
      <c r="I912" s="2">
        <f t="shared" si="76"/>
        <v>0</v>
      </c>
      <c r="J912">
        <f>IFERROR(VLOOKUP(B912,'General price list'!C:AI,12,FALSE)*(G912*C912),0)</f>
        <v>0</v>
      </c>
    </row>
    <row r="913" spans="2:10" ht="15" customHeight="1">
      <c r="B913" t="s">
        <v>12124</v>
      </c>
      <c r="C913" s="2" t="str">
        <f>IFERROR(VLOOKUP(B913,'Deutsche Markt'!C:AA,24,FALSE),"")</f>
        <v/>
      </c>
      <c r="D913" s="2">
        <f>IFERROR(VLOOKUP(B913,'Deutsche Markt'!C:AA,25,FALSE),0)</f>
        <v>0</v>
      </c>
      <c r="E913" s="2">
        <f t="shared" si="77"/>
        <v>0</v>
      </c>
      <c r="F913" s="2">
        <f t="shared" si="78"/>
        <v>0</v>
      </c>
      <c r="G913" s="2">
        <f t="shared" si="79"/>
        <v>0</v>
      </c>
      <c r="H913" s="2">
        <f t="shared" si="80"/>
        <v>0</v>
      </c>
      <c r="I913" s="2">
        <f t="shared" si="76"/>
        <v>0</v>
      </c>
      <c r="J913">
        <f>IFERROR(VLOOKUP(B913,'General price list'!C:AI,12,FALSE)*(G913*C913),0)</f>
        <v>0</v>
      </c>
    </row>
    <row r="914" spans="2:10" ht="15" customHeight="1">
      <c r="B914" t="s">
        <v>12123</v>
      </c>
      <c r="C914" s="2" t="str">
        <f>IFERROR(VLOOKUP(B914,'Deutsche Markt'!C:AA,24,FALSE),"")</f>
        <v/>
      </c>
      <c r="D914" s="2">
        <f>IFERROR(VLOOKUP(B914,'Deutsche Markt'!C:AA,25,FALSE),0)</f>
        <v>0</v>
      </c>
      <c r="E914" s="2">
        <f t="shared" si="77"/>
        <v>0</v>
      </c>
      <c r="F914" s="2">
        <f t="shared" si="78"/>
        <v>0</v>
      </c>
      <c r="G914" s="2">
        <f t="shared" si="79"/>
        <v>0</v>
      </c>
      <c r="H914" s="2">
        <f t="shared" si="80"/>
        <v>0</v>
      </c>
      <c r="I914" s="2">
        <f t="shared" si="76"/>
        <v>0</v>
      </c>
      <c r="J914">
        <f>IFERROR(VLOOKUP(B914,'General price list'!C:AI,12,FALSE)*(G914*C914),0)</f>
        <v>0</v>
      </c>
    </row>
    <row r="915" spans="2:10" ht="15" customHeight="1">
      <c r="B915" t="s">
        <v>282</v>
      </c>
      <c r="C915" s="2">
        <f>IFERROR(VLOOKUP(B915,'Deutsche Markt'!C:AA,24,FALSE),"")</f>
        <v>42</v>
      </c>
      <c r="D915" s="2">
        <f>IFERROR(VLOOKUP(B915,'Deutsche Markt'!C:AA,25,FALSE),0)</f>
        <v>0</v>
      </c>
      <c r="E915" s="2">
        <f t="shared" si="77"/>
        <v>0</v>
      </c>
      <c r="F915" s="2">
        <f t="shared" si="78"/>
        <v>0</v>
      </c>
      <c r="G915" s="2">
        <f t="shared" si="79"/>
        <v>0</v>
      </c>
      <c r="H915" s="2">
        <f t="shared" si="80"/>
        <v>0</v>
      </c>
      <c r="I915" s="2">
        <f t="shared" si="76"/>
        <v>0</v>
      </c>
      <c r="J915">
        <f>IFERROR(VLOOKUP(B915,'General price list'!C:AI,12,FALSE)*(G915*C915),0)</f>
        <v>0</v>
      </c>
    </row>
    <row r="916" spans="2:10" ht="15" customHeight="1">
      <c r="B916" t="s">
        <v>287</v>
      </c>
      <c r="C916" s="2">
        <f>IFERROR(VLOOKUP(B916,'Deutsche Markt'!C:AA,24,FALSE),"")</f>
        <v>42</v>
      </c>
      <c r="D916" s="2">
        <f>IFERROR(VLOOKUP(B916,'Deutsche Markt'!C:AA,25,FALSE),0)</f>
        <v>0</v>
      </c>
      <c r="E916" s="2">
        <f t="shared" si="77"/>
        <v>0</v>
      </c>
      <c r="F916" s="2">
        <f t="shared" si="78"/>
        <v>0</v>
      </c>
      <c r="G916" s="2">
        <f t="shared" si="79"/>
        <v>0</v>
      </c>
      <c r="H916" s="2">
        <f t="shared" si="80"/>
        <v>0</v>
      </c>
      <c r="I916" s="2">
        <f t="shared" si="76"/>
        <v>0</v>
      </c>
      <c r="J916">
        <f>IFERROR(VLOOKUP(B916,'General price list'!C:AI,12,FALSE)*(G916*C916),0)</f>
        <v>0</v>
      </c>
    </row>
    <row r="917" spans="2:10" ht="15" customHeight="1">
      <c r="B917" t="s">
        <v>292</v>
      </c>
      <c r="C917" s="2">
        <f>IFERROR(VLOOKUP(B917,'Deutsche Markt'!C:AA,24,FALSE),"")</f>
        <v>42</v>
      </c>
      <c r="D917" s="2">
        <f>IFERROR(VLOOKUP(B917,'Deutsche Markt'!C:AA,25,FALSE),0)</f>
        <v>0</v>
      </c>
      <c r="E917" s="2">
        <f t="shared" si="77"/>
        <v>0</v>
      </c>
      <c r="F917" s="2">
        <f t="shared" si="78"/>
        <v>0</v>
      </c>
      <c r="G917" s="2">
        <f t="shared" si="79"/>
        <v>0</v>
      </c>
      <c r="H917" s="2">
        <f t="shared" si="80"/>
        <v>0</v>
      </c>
      <c r="I917" s="2">
        <f t="shared" si="76"/>
        <v>0</v>
      </c>
      <c r="J917">
        <f>IFERROR(VLOOKUP(B917,'General price list'!C:AI,12,FALSE)*(G917*C917),0)</f>
        <v>0</v>
      </c>
    </row>
    <row r="918" spans="2:10" ht="15" customHeight="1">
      <c r="B918" t="s">
        <v>12113</v>
      </c>
      <c r="C918" s="2" t="str">
        <f>IFERROR(VLOOKUP(B918,'Deutsche Markt'!C:AA,24,FALSE),"")</f>
        <v/>
      </c>
      <c r="D918" s="2">
        <f>IFERROR(VLOOKUP(B918,'Deutsche Markt'!C:AA,25,FALSE),0)</f>
        <v>0</v>
      </c>
      <c r="E918" s="2">
        <f t="shared" si="77"/>
        <v>0</v>
      </c>
      <c r="F918" s="2">
        <f t="shared" si="78"/>
        <v>0</v>
      </c>
      <c r="G918" s="2">
        <f t="shared" si="79"/>
        <v>0</v>
      </c>
      <c r="H918" s="2">
        <f t="shared" si="80"/>
        <v>0</v>
      </c>
      <c r="I918" s="2">
        <f t="shared" si="76"/>
        <v>0</v>
      </c>
      <c r="J918">
        <f>IFERROR(VLOOKUP(B918,'General price list'!C:AI,12,FALSE)*(G918*C918),0)</f>
        <v>0</v>
      </c>
    </row>
    <row r="919" spans="2:10" ht="15" customHeight="1">
      <c r="B919" t="s">
        <v>3405</v>
      </c>
      <c r="C919" s="2">
        <f>IFERROR(VLOOKUP(B919,'Deutsche Markt'!C:AA,24,FALSE),"")</f>
        <v>28</v>
      </c>
      <c r="D919" s="2">
        <f>IFERROR(VLOOKUP(B919,'Deutsche Markt'!C:AA,25,FALSE),0)</f>
        <v>0</v>
      </c>
      <c r="E919" s="2">
        <f t="shared" si="77"/>
        <v>0</v>
      </c>
      <c r="F919" s="2">
        <f t="shared" si="78"/>
        <v>0</v>
      </c>
      <c r="G919" s="2">
        <f t="shared" si="79"/>
        <v>0</v>
      </c>
      <c r="H919" s="2">
        <f t="shared" si="80"/>
        <v>0</v>
      </c>
      <c r="I919" s="2">
        <f t="shared" si="76"/>
        <v>0</v>
      </c>
      <c r="J919">
        <f>IFERROR(VLOOKUP(B919,'General price list'!C:AI,12,FALSE)*(G919*C919),0)</f>
        <v>0</v>
      </c>
    </row>
    <row r="920" spans="2:10" ht="15" customHeight="1">
      <c r="B920" t="s">
        <v>3416</v>
      </c>
      <c r="C920" s="2">
        <f>IFERROR(VLOOKUP(B920,'Deutsche Markt'!C:AA,24,FALSE),"")</f>
        <v>28</v>
      </c>
      <c r="D920" s="2">
        <f>IFERROR(VLOOKUP(B920,'Deutsche Markt'!C:AA,25,FALSE),0)</f>
        <v>0</v>
      </c>
      <c r="E920" s="2">
        <f t="shared" si="77"/>
        <v>0</v>
      </c>
      <c r="F920" s="2">
        <f t="shared" si="78"/>
        <v>0</v>
      </c>
      <c r="G920" s="2">
        <f t="shared" si="79"/>
        <v>0</v>
      </c>
      <c r="H920" s="2">
        <f t="shared" si="80"/>
        <v>0</v>
      </c>
      <c r="I920" s="2">
        <f t="shared" si="76"/>
        <v>0</v>
      </c>
      <c r="J920">
        <f>IFERROR(VLOOKUP(B920,'General price list'!C:AI,12,FALSE)*(G920*C920),0)</f>
        <v>0</v>
      </c>
    </row>
    <row r="921" spans="2:10" ht="15" customHeight="1">
      <c r="B921" t="s">
        <v>12119</v>
      </c>
      <c r="C921" s="2" t="str">
        <f>IFERROR(VLOOKUP(B921,'Deutsche Markt'!C:AA,24,FALSE),"")</f>
        <v/>
      </c>
      <c r="D921" s="2">
        <f>IFERROR(VLOOKUP(B921,'Deutsche Markt'!C:AA,25,FALSE),0)</f>
        <v>0</v>
      </c>
      <c r="E921" s="2">
        <f t="shared" si="77"/>
        <v>0</v>
      </c>
      <c r="F921" s="2">
        <f t="shared" si="78"/>
        <v>0</v>
      </c>
      <c r="G921" s="2">
        <f t="shared" si="79"/>
        <v>0</v>
      </c>
      <c r="H921" s="2">
        <f t="shared" si="80"/>
        <v>0</v>
      </c>
      <c r="I921" s="2">
        <f t="shared" si="76"/>
        <v>0</v>
      </c>
      <c r="J921">
        <f>IFERROR(VLOOKUP(B921,'General price list'!C:AI,12,FALSE)*(G921*C921),0)</f>
        <v>0</v>
      </c>
    </row>
    <row r="922" spans="2:10" ht="15" customHeight="1">
      <c r="B922" t="s">
        <v>3471</v>
      </c>
      <c r="C922" s="2">
        <f>IFERROR(VLOOKUP(B922,'Deutsche Markt'!C:AA,24,FALSE),"")</f>
        <v>36</v>
      </c>
      <c r="D922" s="2">
        <f>IFERROR(VLOOKUP(B922,'Deutsche Markt'!C:AA,25,FALSE),0)</f>
        <v>0</v>
      </c>
      <c r="E922" s="2">
        <f t="shared" si="77"/>
        <v>0</v>
      </c>
      <c r="F922" s="2">
        <f t="shared" si="78"/>
        <v>0</v>
      </c>
      <c r="G922" s="2">
        <f t="shared" si="79"/>
        <v>0</v>
      </c>
      <c r="H922" s="2">
        <f t="shared" si="80"/>
        <v>0</v>
      </c>
      <c r="I922" s="2">
        <f t="shared" si="76"/>
        <v>0</v>
      </c>
      <c r="J922">
        <f>IFERROR(VLOOKUP(B922,'General price list'!C:AI,12,FALSE)*(G922*C922),0)</f>
        <v>0</v>
      </c>
    </row>
    <row r="923" spans="2:10" ht="15" customHeight="1">
      <c r="B923" t="s">
        <v>12115</v>
      </c>
      <c r="C923" s="2" t="str">
        <f>IFERROR(VLOOKUP(B923,'Deutsche Markt'!C:AA,24,FALSE),"")</f>
        <v/>
      </c>
      <c r="D923" s="2">
        <f>IFERROR(VLOOKUP(B923,'Deutsche Markt'!C:AA,25,FALSE),0)</f>
        <v>0</v>
      </c>
      <c r="E923" s="2">
        <f t="shared" si="77"/>
        <v>0</v>
      </c>
      <c r="F923" s="2">
        <f t="shared" si="78"/>
        <v>0</v>
      </c>
      <c r="G923" s="2">
        <f t="shared" si="79"/>
        <v>0</v>
      </c>
      <c r="H923" s="2">
        <f t="shared" si="80"/>
        <v>0</v>
      </c>
      <c r="I923" s="2">
        <f t="shared" si="76"/>
        <v>0</v>
      </c>
      <c r="J923">
        <f>IFERROR(VLOOKUP(B923,'General price list'!C:AI,12,FALSE)*(G923*C923),0)</f>
        <v>0</v>
      </c>
    </row>
    <row r="924" spans="2:10" ht="15" customHeight="1">
      <c r="B924" t="s">
        <v>3427</v>
      </c>
      <c r="C924" s="2">
        <f>IFERROR(VLOOKUP(B924,'Deutsche Markt'!C:AA,24,FALSE),"")</f>
        <v>28</v>
      </c>
      <c r="D924" s="2">
        <f>IFERROR(VLOOKUP(B924,'Deutsche Markt'!C:AA,25,FALSE),0)</f>
        <v>0</v>
      </c>
      <c r="E924" s="2">
        <f t="shared" si="77"/>
        <v>0</v>
      </c>
      <c r="F924" s="2">
        <f t="shared" si="78"/>
        <v>0</v>
      </c>
      <c r="G924" s="2">
        <f t="shared" si="79"/>
        <v>0</v>
      </c>
      <c r="H924" s="2">
        <f t="shared" si="80"/>
        <v>0</v>
      </c>
      <c r="I924" s="2">
        <f t="shared" si="76"/>
        <v>0</v>
      </c>
      <c r="J924">
        <f>IFERROR(VLOOKUP(B924,'General price list'!C:AI,12,FALSE)*(G924*C924),0)</f>
        <v>0</v>
      </c>
    </row>
    <row r="925" spans="2:10" ht="15" customHeight="1">
      <c r="B925" t="s">
        <v>12118</v>
      </c>
      <c r="C925" s="2" t="str">
        <f>IFERROR(VLOOKUP(B925,'Deutsche Markt'!C:AA,24,FALSE),"")</f>
        <v/>
      </c>
      <c r="D925" s="2">
        <f>IFERROR(VLOOKUP(B925,'Deutsche Markt'!C:AA,25,FALSE),0)</f>
        <v>0</v>
      </c>
      <c r="E925" s="2">
        <f t="shared" si="77"/>
        <v>0</v>
      </c>
      <c r="F925" s="2">
        <f t="shared" si="78"/>
        <v>0</v>
      </c>
      <c r="G925" s="2">
        <f t="shared" si="79"/>
        <v>0</v>
      </c>
      <c r="H925" s="2">
        <f t="shared" si="80"/>
        <v>0</v>
      </c>
      <c r="I925" s="2">
        <f t="shared" si="76"/>
        <v>0</v>
      </c>
      <c r="J925">
        <f>IFERROR(VLOOKUP(B925,'General price list'!C:AI,12,FALSE)*(G925*C925),0)</f>
        <v>0</v>
      </c>
    </row>
    <row r="926" spans="2:10" ht="15" customHeight="1">
      <c r="B926" t="s">
        <v>3460</v>
      </c>
      <c r="C926" s="2">
        <f>IFERROR(VLOOKUP(B926,'Deutsche Markt'!C:AA,24,FALSE),"")</f>
        <v>36</v>
      </c>
      <c r="D926" s="2">
        <f>IFERROR(VLOOKUP(B926,'Deutsche Markt'!C:AA,25,FALSE),0)</f>
        <v>0</v>
      </c>
      <c r="E926" s="2">
        <f t="shared" si="77"/>
        <v>0</v>
      </c>
      <c r="F926" s="2">
        <f t="shared" si="78"/>
        <v>0</v>
      </c>
      <c r="G926" s="2">
        <f t="shared" si="79"/>
        <v>0</v>
      </c>
      <c r="H926" s="2">
        <f t="shared" si="80"/>
        <v>0</v>
      </c>
      <c r="I926" s="2">
        <f t="shared" si="76"/>
        <v>0</v>
      </c>
      <c r="J926">
        <f>IFERROR(VLOOKUP(B926,'General price list'!C:AI,12,FALSE)*(G926*C926),0)</f>
        <v>0</v>
      </c>
    </row>
    <row r="927" spans="2:10" ht="15" customHeight="1">
      <c r="B927" t="s">
        <v>3482</v>
      </c>
      <c r="C927" s="2">
        <f>IFERROR(VLOOKUP(B927,'Deutsche Markt'!C:AA,24,FALSE),"")</f>
        <v>36</v>
      </c>
      <c r="D927" s="2">
        <f>IFERROR(VLOOKUP(B927,'Deutsche Markt'!C:AA,25,FALSE),0)</f>
        <v>0</v>
      </c>
      <c r="E927" s="2">
        <f t="shared" si="77"/>
        <v>0</v>
      </c>
      <c r="F927" s="2">
        <f t="shared" si="78"/>
        <v>0</v>
      </c>
      <c r="G927" s="2">
        <f t="shared" si="79"/>
        <v>0</v>
      </c>
      <c r="H927" s="2">
        <f t="shared" si="80"/>
        <v>0</v>
      </c>
      <c r="I927" s="2">
        <f t="shared" si="76"/>
        <v>0</v>
      </c>
      <c r="J927">
        <f>IFERROR(VLOOKUP(B927,'General price list'!C:AI,12,FALSE)*(G927*C927),0)</f>
        <v>0</v>
      </c>
    </row>
    <row r="928" spans="2:10" ht="15" customHeight="1">
      <c r="B928" t="s">
        <v>12117</v>
      </c>
      <c r="C928" s="2" t="str">
        <f>IFERROR(VLOOKUP(B928,'Deutsche Markt'!C:AA,24,FALSE),"")</f>
        <v/>
      </c>
      <c r="D928" s="2">
        <f>IFERROR(VLOOKUP(B928,'Deutsche Markt'!C:AA,25,FALSE),0)</f>
        <v>0</v>
      </c>
      <c r="E928" s="2">
        <f t="shared" si="77"/>
        <v>0</v>
      </c>
      <c r="F928" s="2">
        <f t="shared" si="78"/>
        <v>0</v>
      </c>
      <c r="G928" s="2">
        <f t="shared" si="79"/>
        <v>0</v>
      </c>
      <c r="H928" s="2">
        <f t="shared" si="80"/>
        <v>0</v>
      </c>
      <c r="I928" s="2">
        <f t="shared" si="76"/>
        <v>0</v>
      </c>
      <c r="J928">
        <f>IFERROR(VLOOKUP(B928,'General price list'!C:AI,12,FALSE)*(G928*C928),0)</f>
        <v>0</v>
      </c>
    </row>
    <row r="929" spans="2:10" ht="15" customHeight="1">
      <c r="B929" t="s">
        <v>3449</v>
      </c>
      <c r="C929" s="2">
        <f>IFERROR(VLOOKUP(B929,'Deutsche Markt'!C:AA,24,FALSE),"")</f>
        <v>36</v>
      </c>
      <c r="D929" s="2">
        <f>IFERROR(VLOOKUP(B929,'Deutsche Markt'!C:AA,25,FALSE),0)</f>
        <v>0</v>
      </c>
      <c r="E929" s="2">
        <f t="shared" si="77"/>
        <v>0</v>
      </c>
      <c r="F929" s="2">
        <f t="shared" si="78"/>
        <v>0</v>
      </c>
      <c r="G929" s="2">
        <f t="shared" si="79"/>
        <v>0</v>
      </c>
      <c r="H929" s="2">
        <f t="shared" si="80"/>
        <v>0</v>
      </c>
      <c r="I929" s="2">
        <f t="shared" si="76"/>
        <v>0</v>
      </c>
      <c r="J929">
        <f>IFERROR(VLOOKUP(B929,'General price list'!C:AI,12,FALSE)*(G929*C929),0)</f>
        <v>0</v>
      </c>
    </row>
    <row r="930" spans="2:10" ht="15" customHeight="1">
      <c r="B930" t="s">
        <v>12116</v>
      </c>
      <c r="C930" s="2" t="str">
        <f>IFERROR(VLOOKUP(B930,'Deutsche Markt'!C:AA,24,FALSE),"")</f>
        <v/>
      </c>
      <c r="D930" s="2">
        <f>IFERROR(VLOOKUP(B930,'Deutsche Markt'!C:AA,25,FALSE),0)</f>
        <v>0</v>
      </c>
      <c r="E930" s="2">
        <f t="shared" si="77"/>
        <v>0</v>
      </c>
      <c r="F930" s="2">
        <f t="shared" si="78"/>
        <v>0</v>
      </c>
      <c r="G930" s="2">
        <f t="shared" si="79"/>
        <v>0</v>
      </c>
      <c r="H930" s="2">
        <f t="shared" si="80"/>
        <v>0</v>
      </c>
      <c r="I930" s="2">
        <f t="shared" si="76"/>
        <v>0</v>
      </c>
      <c r="J930">
        <f>IFERROR(VLOOKUP(B930,'General price list'!C:AI,12,FALSE)*(G930*C930),0)</f>
        <v>0</v>
      </c>
    </row>
    <row r="931" spans="2:10" ht="15" customHeight="1">
      <c r="B931" t="s">
        <v>3438</v>
      </c>
      <c r="C931" s="2">
        <f>IFERROR(VLOOKUP(B931,'Deutsche Markt'!C:AA,24,FALSE),"")</f>
        <v>28</v>
      </c>
      <c r="D931" s="2">
        <f>IFERROR(VLOOKUP(B931,'Deutsche Markt'!C:AA,25,FALSE),0)</f>
        <v>0</v>
      </c>
      <c r="E931" s="2">
        <f t="shared" si="77"/>
        <v>0</v>
      </c>
      <c r="F931" s="2">
        <f t="shared" si="78"/>
        <v>0</v>
      </c>
      <c r="G931" s="2">
        <f t="shared" si="79"/>
        <v>0</v>
      </c>
      <c r="H931" s="2">
        <f t="shared" si="80"/>
        <v>0</v>
      </c>
      <c r="I931" s="2">
        <f t="shared" si="76"/>
        <v>0</v>
      </c>
      <c r="J931">
        <f>IFERROR(VLOOKUP(B931,'General price list'!C:AI,12,FALSE)*(G931*C931),0)</f>
        <v>0</v>
      </c>
    </row>
    <row r="932" spans="2:10" ht="15" customHeight="1">
      <c r="B932" t="s">
        <v>12200</v>
      </c>
      <c r="C932" s="2" t="str">
        <f>IFERROR(VLOOKUP(B932,'Deutsche Markt'!C:AA,24,FALSE),"")</f>
        <v/>
      </c>
      <c r="D932" s="2">
        <f>IFERROR(VLOOKUP(B932,'Deutsche Markt'!C:AA,25,FALSE),0)</f>
        <v>0</v>
      </c>
      <c r="E932" s="2">
        <f t="shared" si="77"/>
        <v>0</v>
      </c>
      <c r="F932" s="2">
        <f t="shared" si="78"/>
        <v>0</v>
      </c>
      <c r="G932" s="2">
        <f t="shared" si="79"/>
        <v>0</v>
      </c>
      <c r="H932" s="2">
        <f t="shared" si="80"/>
        <v>0</v>
      </c>
      <c r="I932" s="2">
        <f t="shared" si="76"/>
        <v>0</v>
      </c>
      <c r="J932">
        <f>IFERROR(VLOOKUP(B932,'General price list'!C:AI,12,FALSE)*(G932*C932),0)</f>
        <v>0</v>
      </c>
    </row>
    <row r="933" spans="2:10" ht="15" customHeight="1">
      <c r="B933" t="s">
        <v>12130</v>
      </c>
      <c r="C933" s="2" t="str">
        <f>IFERROR(VLOOKUP(B933,'Deutsche Markt'!C:AA,24,FALSE),"")</f>
        <v/>
      </c>
      <c r="D933" s="2">
        <f>IFERROR(VLOOKUP(B933,'Deutsche Markt'!C:AA,25,FALSE),0)</f>
        <v>0</v>
      </c>
      <c r="E933" s="2">
        <f t="shared" si="77"/>
        <v>0</v>
      </c>
      <c r="F933" s="2">
        <f t="shared" si="78"/>
        <v>0</v>
      </c>
      <c r="G933" s="2">
        <f t="shared" si="79"/>
        <v>0</v>
      </c>
      <c r="H933" s="2">
        <f t="shared" si="80"/>
        <v>0</v>
      </c>
      <c r="I933" s="2">
        <f t="shared" si="76"/>
        <v>0</v>
      </c>
      <c r="J933">
        <f>IFERROR(VLOOKUP(B933,'General price list'!C:AI,12,FALSE)*(G933*C933),0)</f>
        <v>0</v>
      </c>
    </row>
    <row r="934" spans="2:10" ht="15" customHeight="1">
      <c r="B934" t="s">
        <v>12201</v>
      </c>
      <c r="C934" s="2" t="str">
        <f>IFERROR(VLOOKUP(B934,'Deutsche Markt'!C:AA,24,FALSE),"")</f>
        <v/>
      </c>
      <c r="D934" s="2">
        <f>IFERROR(VLOOKUP(B934,'Deutsche Markt'!C:AA,25,FALSE),0)</f>
        <v>0</v>
      </c>
      <c r="E934" s="2">
        <f t="shared" si="77"/>
        <v>0</v>
      </c>
      <c r="F934" s="2">
        <f t="shared" si="78"/>
        <v>0</v>
      </c>
      <c r="G934" s="2">
        <f t="shared" si="79"/>
        <v>0</v>
      </c>
      <c r="H934" s="2">
        <f t="shared" si="80"/>
        <v>0</v>
      </c>
      <c r="I934" s="2">
        <f t="shared" si="76"/>
        <v>0</v>
      </c>
      <c r="J934">
        <f>IFERROR(VLOOKUP(B934,'General price list'!C:AI,12,FALSE)*(G934*C934),0)</f>
        <v>0</v>
      </c>
    </row>
    <row r="935" spans="2:10" ht="15" customHeight="1">
      <c r="B935" t="s">
        <v>12129</v>
      </c>
      <c r="C935" s="2" t="str">
        <f>IFERROR(VLOOKUP(B935,'Deutsche Markt'!C:AA,24,FALSE),"")</f>
        <v/>
      </c>
      <c r="D935" s="2">
        <f>IFERROR(VLOOKUP(B935,'Deutsche Markt'!C:AA,25,FALSE),0)</f>
        <v>0</v>
      </c>
      <c r="E935" s="2">
        <f t="shared" si="77"/>
        <v>0</v>
      </c>
      <c r="F935" s="2">
        <f t="shared" si="78"/>
        <v>0</v>
      </c>
      <c r="G935" s="2">
        <f t="shared" si="79"/>
        <v>0</v>
      </c>
      <c r="H935" s="2">
        <f t="shared" si="80"/>
        <v>0</v>
      </c>
      <c r="I935" s="2">
        <f t="shared" si="76"/>
        <v>0</v>
      </c>
      <c r="J935">
        <f>IFERROR(VLOOKUP(B935,'General price list'!C:AI,12,FALSE)*(G935*C935),0)</f>
        <v>0</v>
      </c>
    </row>
    <row r="936" spans="2:10" ht="15" customHeight="1">
      <c r="B936" t="s">
        <v>873</v>
      </c>
      <c r="C936" s="2" t="str">
        <f>IFERROR(VLOOKUP(B936,'Deutsche Markt'!C:AA,24,FALSE),"")</f>
        <v/>
      </c>
      <c r="D936" s="2">
        <f>IFERROR(VLOOKUP(B936,'Deutsche Markt'!C:AA,25,FALSE),0)</f>
        <v>0</v>
      </c>
      <c r="E936" s="2">
        <f t="shared" si="77"/>
        <v>0</v>
      </c>
      <c r="F936" s="2">
        <f t="shared" si="78"/>
        <v>0</v>
      </c>
      <c r="G936" s="2">
        <f t="shared" si="79"/>
        <v>0</v>
      </c>
      <c r="H936" s="2">
        <f t="shared" si="80"/>
        <v>0</v>
      </c>
      <c r="I936" s="2">
        <f t="shared" si="76"/>
        <v>0</v>
      </c>
      <c r="J936">
        <f>IFERROR(VLOOKUP(B936,'General price list'!C:AI,12,FALSE)*(G936*C936),0)</f>
        <v>0</v>
      </c>
    </row>
    <row r="937" spans="2:10" ht="15" customHeight="1">
      <c r="B937" t="s">
        <v>2312</v>
      </c>
      <c r="C937" s="2" t="str">
        <f>IFERROR(VLOOKUP(B937,'Deutsche Markt'!C:AA,24,FALSE),"")</f>
        <v/>
      </c>
      <c r="D937" s="2">
        <f>IFERROR(VLOOKUP(B937,'Deutsche Markt'!C:AA,25,FALSE),0)</f>
        <v>0</v>
      </c>
      <c r="E937" s="2">
        <f t="shared" si="77"/>
        <v>0</v>
      </c>
      <c r="F937" s="2">
        <f t="shared" si="78"/>
        <v>0</v>
      </c>
      <c r="G937" s="2">
        <f t="shared" si="79"/>
        <v>0</v>
      </c>
      <c r="H937" s="2">
        <f t="shared" si="80"/>
        <v>0</v>
      </c>
      <c r="I937" s="2">
        <f t="shared" si="76"/>
        <v>0</v>
      </c>
      <c r="J937">
        <f>IFERROR(VLOOKUP(B937,'General price list'!C:AI,12,FALSE)*(G937*C937),0)</f>
        <v>0</v>
      </c>
    </row>
    <row r="938" spans="2:10" ht="15" customHeight="1">
      <c r="B938" t="s">
        <v>4157</v>
      </c>
      <c r="C938" s="2" t="str">
        <f>IFERROR(VLOOKUP(B938,'Deutsche Markt'!C:AA,24,FALSE),"")</f>
        <v/>
      </c>
      <c r="D938" s="2">
        <f>IFERROR(VLOOKUP(B938,'Deutsche Markt'!C:AA,25,FALSE),0)</f>
        <v>0</v>
      </c>
      <c r="E938" s="2">
        <f t="shared" si="77"/>
        <v>0</v>
      </c>
      <c r="F938" s="2">
        <f t="shared" si="78"/>
        <v>0</v>
      </c>
      <c r="G938" s="2">
        <f t="shared" si="79"/>
        <v>0</v>
      </c>
      <c r="H938" s="2">
        <f t="shared" si="80"/>
        <v>0</v>
      </c>
      <c r="I938" s="2">
        <f t="shared" si="76"/>
        <v>0</v>
      </c>
      <c r="J938">
        <f>IFERROR(VLOOKUP(B938,'General price list'!C:AI,12,FALSE)*(G938*C938),0)</f>
        <v>0</v>
      </c>
    </row>
    <row r="939" spans="2:10" ht="15" customHeight="1">
      <c r="B939" t="s">
        <v>774</v>
      </c>
      <c r="C939" s="2">
        <f>IFERROR(VLOOKUP(B939,'Deutsche Markt'!C:AA,24,FALSE),"")</f>
        <v>25</v>
      </c>
      <c r="D939" s="2">
        <f>IFERROR(VLOOKUP(B939,'Deutsche Markt'!C:AA,25,FALSE),0)</f>
        <v>0</v>
      </c>
      <c r="E939" s="2">
        <f t="shared" si="77"/>
        <v>0</v>
      </c>
      <c r="F939" s="2">
        <f t="shared" si="78"/>
        <v>0</v>
      </c>
      <c r="G939" s="2">
        <f t="shared" si="79"/>
        <v>0</v>
      </c>
      <c r="H939" s="2">
        <f t="shared" si="80"/>
        <v>0</v>
      </c>
      <c r="I939" s="2">
        <f t="shared" si="76"/>
        <v>0</v>
      </c>
      <c r="J939">
        <f>IFERROR(VLOOKUP(B939,'General price list'!C:AI,12,FALSE)*(G939*C939),0)</f>
        <v>0</v>
      </c>
    </row>
    <row r="940" spans="2:10" ht="15" customHeight="1">
      <c r="B940" t="s">
        <v>837</v>
      </c>
      <c r="C940" s="2" t="str">
        <f>IFERROR(VLOOKUP(B940,'Deutsche Markt'!C:AA,24,FALSE),"")</f>
        <v/>
      </c>
      <c r="D940" s="2">
        <f>IFERROR(VLOOKUP(B940,'Deutsche Markt'!C:AA,25,FALSE),0)</f>
        <v>0</v>
      </c>
      <c r="E940" s="2">
        <f t="shared" si="77"/>
        <v>0</v>
      </c>
      <c r="F940" s="2">
        <f t="shared" si="78"/>
        <v>0</v>
      </c>
      <c r="G940" s="2">
        <f t="shared" si="79"/>
        <v>0</v>
      </c>
      <c r="H940" s="2">
        <f t="shared" si="80"/>
        <v>0</v>
      </c>
      <c r="I940" s="2">
        <f t="shared" si="76"/>
        <v>0</v>
      </c>
      <c r="J940">
        <f>IFERROR(VLOOKUP(B940,'General price list'!C:AI,12,FALSE)*(G940*C940),0)</f>
        <v>0</v>
      </c>
    </row>
    <row r="941" spans="2:10" ht="15" customHeight="1">
      <c r="B941" t="s">
        <v>840</v>
      </c>
      <c r="C941" s="2" t="str">
        <f>IFERROR(VLOOKUP(B941,'Deutsche Markt'!C:AA,24,FALSE),"")</f>
        <v/>
      </c>
      <c r="D941" s="2">
        <f>IFERROR(VLOOKUP(B941,'Deutsche Markt'!C:AA,25,FALSE),0)</f>
        <v>0</v>
      </c>
      <c r="E941" s="2">
        <f t="shared" si="77"/>
        <v>0</v>
      </c>
      <c r="F941" s="2">
        <f t="shared" si="78"/>
        <v>0</v>
      </c>
      <c r="G941" s="2">
        <f t="shared" si="79"/>
        <v>0</v>
      </c>
      <c r="H941" s="2">
        <f t="shared" si="80"/>
        <v>0</v>
      </c>
      <c r="I941" s="2">
        <f t="shared" si="76"/>
        <v>0</v>
      </c>
      <c r="J941">
        <f>IFERROR(VLOOKUP(B941,'General price list'!C:AI,12,FALSE)*(G941*C941),0)</f>
        <v>0</v>
      </c>
    </row>
    <row r="942" spans="2:10" ht="15" customHeight="1">
      <c r="B942" t="s">
        <v>839</v>
      </c>
      <c r="C942" s="2" t="str">
        <f>IFERROR(VLOOKUP(B942,'Deutsche Markt'!C:AA,24,FALSE),"")</f>
        <v/>
      </c>
      <c r="D942" s="2">
        <f>IFERROR(VLOOKUP(B942,'Deutsche Markt'!C:AA,25,FALSE),0)</f>
        <v>0</v>
      </c>
      <c r="E942" s="2">
        <f t="shared" si="77"/>
        <v>0</v>
      </c>
      <c r="F942" s="2">
        <f t="shared" si="78"/>
        <v>0</v>
      </c>
      <c r="G942" s="2">
        <f t="shared" si="79"/>
        <v>0</v>
      </c>
      <c r="H942" s="2">
        <f t="shared" si="80"/>
        <v>0</v>
      </c>
      <c r="I942" s="2">
        <f t="shared" si="76"/>
        <v>0</v>
      </c>
      <c r="J942">
        <f>IFERROR(VLOOKUP(B942,'General price list'!C:AI,12,FALSE)*(G942*C942),0)</f>
        <v>0</v>
      </c>
    </row>
    <row r="943" spans="2:10" ht="15" customHeight="1">
      <c r="B943" t="s">
        <v>2326</v>
      </c>
      <c r="C943" s="2" t="str">
        <f>IFERROR(VLOOKUP(B943,'Deutsche Markt'!C:AA,24,FALSE),"")</f>
        <v/>
      </c>
      <c r="D943" s="2">
        <f>IFERROR(VLOOKUP(B943,'Deutsche Markt'!C:AA,25,FALSE),0)</f>
        <v>0</v>
      </c>
      <c r="E943" s="2">
        <f t="shared" si="77"/>
        <v>0</v>
      </c>
      <c r="F943" s="2">
        <f t="shared" si="78"/>
        <v>0</v>
      </c>
      <c r="G943" s="2">
        <f t="shared" si="79"/>
        <v>0</v>
      </c>
      <c r="H943" s="2">
        <f t="shared" si="80"/>
        <v>0</v>
      </c>
      <c r="I943" s="2">
        <f t="shared" si="76"/>
        <v>0</v>
      </c>
      <c r="J943">
        <f>IFERROR(VLOOKUP(B943,'General price list'!C:AI,12,FALSE)*(G943*C943),0)</f>
        <v>0</v>
      </c>
    </row>
    <row r="944" spans="2:10" ht="15" customHeight="1">
      <c r="B944" t="s">
        <v>2324</v>
      </c>
      <c r="C944" s="2" t="str">
        <f>IFERROR(VLOOKUP(B944,'Deutsche Markt'!C:AA,24,FALSE),"")</f>
        <v/>
      </c>
      <c r="D944" s="2">
        <f>IFERROR(VLOOKUP(B944,'Deutsche Markt'!C:AA,25,FALSE),0)</f>
        <v>0</v>
      </c>
      <c r="E944" s="2">
        <f t="shared" si="77"/>
        <v>0</v>
      </c>
      <c r="F944" s="2">
        <f t="shared" si="78"/>
        <v>0</v>
      </c>
      <c r="G944" s="2">
        <f t="shared" si="79"/>
        <v>0</v>
      </c>
      <c r="H944" s="2">
        <f t="shared" si="80"/>
        <v>0</v>
      </c>
      <c r="I944" s="2">
        <f t="shared" si="76"/>
        <v>0</v>
      </c>
      <c r="J944">
        <f>IFERROR(VLOOKUP(B944,'General price list'!C:AI,12,FALSE)*(G944*C944),0)</f>
        <v>0</v>
      </c>
    </row>
    <row r="945" spans="2:10" ht="15" customHeight="1">
      <c r="B945" t="s">
        <v>841</v>
      </c>
      <c r="C945" s="2" t="str">
        <f>IFERROR(VLOOKUP(B945,'Deutsche Markt'!C:AA,24,FALSE),"")</f>
        <v/>
      </c>
      <c r="D945" s="2">
        <f>IFERROR(VLOOKUP(B945,'Deutsche Markt'!C:AA,25,FALSE),0)</f>
        <v>0</v>
      </c>
      <c r="E945" s="2">
        <f t="shared" si="77"/>
        <v>0</v>
      </c>
      <c r="F945" s="2">
        <f t="shared" si="78"/>
        <v>0</v>
      </c>
      <c r="G945" s="2">
        <f t="shared" si="79"/>
        <v>0</v>
      </c>
      <c r="H945" s="2">
        <f t="shared" si="80"/>
        <v>0</v>
      </c>
      <c r="I945" s="2">
        <f t="shared" si="76"/>
        <v>0</v>
      </c>
      <c r="J945">
        <f>IFERROR(VLOOKUP(B945,'General price list'!C:AI,12,FALSE)*(G945*C945),0)</f>
        <v>0</v>
      </c>
    </row>
    <row r="946" spans="2:10" ht="15" customHeight="1">
      <c r="B946" t="s">
        <v>13229</v>
      </c>
      <c r="C946" s="2" t="str">
        <f>IFERROR(VLOOKUP(B946,'Deutsche Markt'!C:AA,24,FALSE),"")</f>
        <v/>
      </c>
      <c r="D946" s="2">
        <f>IFERROR(VLOOKUP(B946,'Deutsche Markt'!C:AA,25,FALSE),0)</f>
        <v>0</v>
      </c>
      <c r="E946" s="2">
        <f t="shared" si="77"/>
        <v>0</v>
      </c>
      <c r="F946" s="2">
        <f t="shared" si="78"/>
        <v>0</v>
      </c>
      <c r="G946" s="2">
        <f t="shared" si="79"/>
        <v>0</v>
      </c>
      <c r="H946" s="2">
        <f t="shared" si="80"/>
        <v>0</v>
      </c>
      <c r="I946" s="2">
        <f t="shared" si="76"/>
        <v>0</v>
      </c>
      <c r="J946">
        <f>IFERROR(VLOOKUP(B946,'General price list'!C:AI,12,FALSE)*(G946*C946),0)</f>
        <v>0</v>
      </c>
    </row>
    <row r="947" spans="2:10" ht="15" customHeight="1">
      <c r="B947" t="s">
        <v>2325</v>
      </c>
      <c r="C947" s="2" t="str">
        <f>IFERROR(VLOOKUP(B947,'Deutsche Markt'!C:AA,24,FALSE),"")</f>
        <v/>
      </c>
      <c r="D947" s="2">
        <f>IFERROR(VLOOKUP(B947,'Deutsche Markt'!C:AA,25,FALSE),0)</f>
        <v>0</v>
      </c>
      <c r="E947" s="2">
        <f t="shared" si="77"/>
        <v>0</v>
      </c>
      <c r="F947" s="2">
        <f t="shared" si="78"/>
        <v>0</v>
      </c>
      <c r="G947" s="2">
        <f t="shared" si="79"/>
        <v>0</v>
      </c>
      <c r="H947" s="2">
        <f t="shared" si="80"/>
        <v>0</v>
      </c>
      <c r="I947" s="2">
        <f t="shared" si="76"/>
        <v>0</v>
      </c>
      <c r="J947">
        <f>IFERROR(VLOOKUP(B947,'General price list'!C:AI,12,FALSE)*(G947*C947),0)</f>
        <v>0</v>
      </c>
    </row>
    <row r="948" spans="2:10" ht="15" customHeight="1">
      <c r="B948" t="s">
        <v>833</v>
      </c>
      <c r="C948" s="2" t="str">
        <f>IFERROR(VLOOKUP(B948,'Deutsche Markt'!C:AA,24,FALSE),"")</f>
        <v/>
      </c>
      <c r="D948" s="2">
        <f>IFERROR(VLOOKUP(B948,'Deutsche Markt'!C:AA,25,FALSE),0)</f>
        <v>0</v>
      </c>
      <c r="E948" s="2">
        <f t="shared" si="77"/>
        <v>0</v>
      </c>
      <c r="F948" s="2">
        <f t="shared" si="78"/>
        <v>0</v>
      </c>
      <c r="G948" s="2">
        <f t="shared" si="79"/>
        <v>0</v>
      </c>
      <c r="H948" s="2">
        <f t="shared" si="80"/>
        <v>0</v>
      </c>
      <c r="I948" s="2">
        <f t="shared" si="76"/>
        <v>0</v>
      </c>
      <c r="J948">
        <f>IFERROR(VLOOKUP(B948,'General price list'!C:AI,12,FALSE)*(G948*C948),0)</f>
        <v>0</v>
      </c>
    </row>
    <row r="949" spans="2:10" ht="15" customHeight="1">
      <c r="B949" t="s">
        <v>807</v>
      </c>
      <c r="C949" s="2" t="str">
        <f>IFERROR(VLOOKUP(B949,'Deutsche Markt'!C:AA,24,FALSE),"")</f>
        <v/>
      </c>
      <c r="D949" s="2">
        <f>IFERROR(VLOOKUP(B949,'Deutsche Markt'!C:AA,25,FALSE),0)</f>
        <v>0</v>
      </c>
      <c r="E949" s="2">
        <f t="shared" si="77"/>
        <v>0</v>
      </c>
      <c r="F949" s="2">
        <f t="shared" si="78"/>
        <v>0</v>
      </c>
      <c r="G949" s="2">
        <f t="shared" si="79"/>
        <v>0</v>
      </c>
      <c r="H949" s="2">
        <f t="shared" si="80"/>
        <v>0</v>
      </c>
      <c r="I949" s="2">
        <f t="shared" si="76"/>
        <v>0</v>
      </c>
      <c r="J949">
        <f>IFERROR(VLOOKUP(B949,'General price list'!C:AI,12,FALSE)*(G949*C949),0)</f>
        <v>0</v>
      </c>
    </row>
    <row r="950" spans="2:10" ht="15" customHeight="1">
      <c r="B950" t="s">
        <v>2322</v>
      </c>
      <c r="C950" s="2">
        <f>IFERROR(VLOOKUP(B950,'Deutsche Markt'!C:AA,24,FALSE),"")</f>
        <v>22</v>
      </c>
      <c r="D950" s="2">
        <f>IFERROR(VLOOKUP(B950,'Deutsche Markt'!C:AA,25,FALSE),0)</f>
        <v>0</v>
      </c>
      <c r="E950" s="2">
        <f t="shared" si="77"/>
        <v>0</v>
      </c>
      <c r="F950" s="2">
        <f t="shared" si="78"/>
        <v>0</v>
      </c>
      <c r="G950" s="2">
        <f t="shared" si="79"/>
        <v>0</v>
      </c>
      <c r="H950" s="2">
        <f t="shared" si="80"/>
        <v>0</v>
      </c>
      <c r="I950" s="2">
        <f t="shared" si="76"/>
        <v>0</v>
      </c>
      <c r="J950">
        <f>IFERROR(VLOOKUP(B950,'General price list'!C:AI,12,FALSE)*(G950*C950),0)</f>
        <v>0</v>
      </c>
    </row>
    <row r="951" spans="2:10" ht="15" customHeight="1">
      <c r="B951" t="s">
        <v>802</v>
      </c>
      <c r="C951" s="2" t="str">
        <f>IFERROR(VLOOKUP(B951,'Deutsche Markt'!C:AA,24,FALSE),"")</f>
        <v>16</v>
      </c>
      <c r="D951" s="2">
        <f>IFERROR(VLOOKUP(B951,'Deutsche Markt'!C:AA,25,FALSE),0)</f>
        <v>0</v>
      </c>
      <c r="E951" s="2">
        <f t="shared" si="77"/>
        <v>0</v>
      </c>
      <c r="F951" s="2">
        <f t="shared" si="78"/>
        <v>0</v>
      </c>
      <c r="G951" s="2">
        <f t="shared" si="79"/>
        <v>0</v>
      </c>
      <c r="H951" s="2">
        <f t="shared" si="80"/>
        <v>0</v>
      </c>
      <c r="I951" s="2">
        <f t="shared" si="76"/>
        <v>0</v>
      </c>
      <c r="J951">
        <f>IFERROR(VLOOKUP(B951,'General price list'!C:AI,12,FALSE)*(G951*C951),0)</f>
        <v>0</v>
      </c>
    </row>
    <row r="952" spans="2:10" ht="15" customHeight="1">
      <c r="B952" t="s">
        <v>783</v>
      </c>
      <c r="C952" s="2" t="str">
        <f>IFERROR(VLOOKUP(B952,'Deutsche Markt'!C:AA,24,FALSE),"")</f>
        <v/>
      </c>
      <c r="D952" s="2">
        <f>IFERROR(VLOOKUP(B952,'Deutsche Markt'!C:AA,25,FALSE),0)</f>
        <v>0</v>
      </c>
      <c r="E952" s="2">
        <f t="shared" si="77"/>
        <v>0</v>
      </c>
      <c r="F952" s="2">
        <f t="shared" si="78"/>
        <v>0</v>
      </c>
      <c r="G952" s="2">
        <f t="shared" si="79"/>
        <v>0</v>
      </c>
      <c r="H952" s="2">
        <f t="shared" si="80"/>
        <v>0</v>
      </c>
      <c r="I952" s="2">
        <f t="shared" si="76"/>
        <v>0</v>
      </c>
      <c r="J952">
        <f>IFERROR(VLOOKUP(B952,'General price list'!C:AI,12,FALSE)*(G952*C952),0)</f>
        <v>0</v>
      </c>
    </row>
    <row r="953" spans="2:10" ht="15" customHeight="1">
      <c r="B953" t="s">
        <v>779</v>
      </c>
      <c r="C953" s="2">
        <f>IFERROR(VLOOKUP(B953,'Deutsche Markt'!C:AA,24,FALSE),"")</f>
        <v>48</v>
      </c>
      <c r="D953" s="2">
        <f>IFERROR(VLOOKUP(B953,'Deutsche Markt'!C:AA,25,FALSE),0)</f>
        <v>0</v>
      </c>
      <c r="E953" s="2">
        <f t="shared" si="77"/>
        <v>0</v>
      </c>
      <c r="F953" s="2">
        <f t="shared" si="78"/>
        <v>0</v>
      </c>
      <c r="G953" s="2">
        <f t="shared" si="79"/>
        <v>0</v>
      </c>
      <c r="H953" s="2">
        <f t="shared" si="80"/>
        <v>0</v>
      </c>
      <c r="I953" s="2">
        <f t="shared" si="76"/>
        <v>0</v>
      </c>
      <c r="J953">
        <f>IFERROR(VLOOKUP(B953,'General price list'!C:AI,12,FALSE)*(G953*C953),0)</f>
        <v>0</v>
      </c>
    </row>
    <row r="954" spans="2:10" ht="15" customHeight="1">
      <c r="B954" t="s">
        <v>787</v>
      </c>
      <c r="C954" s="2">
        <f>IFERROR(VLOOKUP(B954,'Deutsche Markt'!C:AA,24,FALSE),"")</f>
        <v>63</v>
      </c>
      <c r="D954" s="2">
        <f>IFERROR(VLOOKUP(B954,'Deutsche Markt'!C:AA,25,FALSE),0)</f>
        <v>0</v>
      </c>
      <c r="E954" s="2">
        <f t="shared" si="77"/>
        <v>0</v>
      </c>
      <c r="F954" s="2">
        <f t="shared" si="78"/>
        <v>0</v>
      </c>
      <c r="G954" s="2">
        <f t="shared" si="79"/>
        <v>0</v>
      </c>
      <c r="H954" s="2">
        <f t="shared" si="80"/>
        <v>0</v>
      </c>
      <c r="I954" s="2">
        <f t="shared" si="76"/>
        <v>0</v>
      </c>
      <c r="J954">
        <f>IFERROR(VLOOKUP(B954,'General price list'!C:AI,12,FALSE)*(G954*C954),0)</f>
        <v>0</v>
      </c>
    </row>
    <row r="955" spans="2:10" ht="15" customHeight="1">
      <c r="B955" t="s">
        <v>808</v>
      </c>
      <c r="C955" s="2" t="str">
        <f>IFERROR(VLOOKUP(B955,'Deutsche Markt'!C:AA,24,FALSE),"")</f>
        <v/>
      </c>
      <c r="D955" s="2">
        <f>IFERROR(VLOOKUP(B955,'Deutsche Markt'!C:AA,25,FALSE),0)</f>
        <v>0</v>
      </c>
      <c r="E955" s="2">
        <f t="shared" si="77"/>
        <v>0</v>
      </c>
      <c r="F955" s="2">
        <f t="shared" si="78"/>
        <v>0</v>
      </c>
      <c r="G955" s="2">
        <f t="shared" si="79"/>
        <v>0</v>
      </c>
      <c r="H955" s="2">
        <f t="shared" si="80"/>
        <v>0</v>
      </c>
      <c r="I955" s="2">
        <f t="shared" si="76"/>
        <v>0</v>
      </c>
      <c r="J955">
        <f>IFERROR(VLOOKUP(B955,'General price list'!C:AI,12,FALSE)*(G955*C955),0)</f>
        <v>0</v>
      </c>
    </row>
    <row r="956" spans="2:10" ht="15" customHeight="1">
      <c r="B956" t="s">
        <v>812</v>
      </c>
      <c r="C956" s="2" t="str">
        <f>IFERROR(VLOOKUP(B956,'Deutsche Markt'!C:AA,24,FALSE),"")</f>
        <v/>
      </c>
      <c r="D956" s="2">
        <f>IFERROR(VLOOKUP(B956,'Deutsche Markt'!C:AA,25,FALSE),0)</f>
        <v>0</v>
      </c>
      <c r="E956" s="2">
        <f t="shared" si="77"/>
        <v>0</v>
      </c>
      <c r="F956" s="2">
        <f t="shared" si="78"/>
        <v>0</v>
      </c>
      <c r="G956" s="2">
        <f t="shared" si="79"/>
        <v>0</v>
      </c>
      <c r="H956" s="2">
        <f t="shared" si="80"/>
        <v>0</v>
      </c>
      <c r="I956" s="2">
        <f t="shared" si="76"/>
        <v>0</v>
      </c>
      <c r="J956">
        <f>IFERROR(VLOOKUP(B956,'General price list'!C:AI,12,FALSE)*(G956*C956),0)</f>
        <v>0</v>
      </c>
    </row>
    <row r="957" spans="2:10" ht="15" customHeight="1">
      <c r="B957" t="s">
        <v>2323</v>
      </c>
      <c r="C957" s="2" t="str">
        <f>IFERROR(VLOOKUP(B957,'Deutsche Markt'!C:AA,24,FALSE),"")</f>
        <v/>
      </c>
      <c r="D957" s="2">
        <f>IFERROR(VLOOKUP(B957,'Deutsche Markt'!C:AA,25,FALSE),0)</f>
        <v>0</v>
      </c>
      <c r="E957" s="2">
        <f t="shared" si="77"/>
        <v>0</v>
      </c>
      <c r="F957" s="2">
        <f t="shared" si="78"/>
        <v>0</v>
      </c>
      <c r="G957" s="2">
        <f t="shared" si="79"/>
        <v>0</v>
      </c>
      <c r="H957" s="2">
        <f t="shared" si="80"/>
        <v>0</v>
      </c>
      <c r="I957" s="2">
        <f t="shared" si="76"/>
        <v>0</v>
      </c>
      <c r="J957">
        <f>IFERROR(VLOOKUP(B957,'General price list'!C:AI,12,FALSE)*(G957*C957),0)</f>
        <v>0</v>
      </c>
    </row>
    <row r="958" spans="2:10" ht="15" customHeight="1">
      <c r="B958" t="s">
        <v>817</v>
      </c>
      <c r="C958" s="2" t="str">
        <f>IFERROR(VLOOKUP(B958,'Deutsche Markt'!C:AA,24,FALSE),"")</f>
        <v/>
      </c>
      <c r="D958" s="2">
        <f>IFERROR(VLOOKUP(B958,'Deutsche Markt'!C:AA,25,FALSE),0)</f>
        <v>0</v>
      </c>
      <c r="E958" s="2">
        <f t="shared" si="77"/>
        <v>0</v>
      </c>
      <c r="F958" s="2">
        <f t="shared" si="78"/>
        <v>0</v>
      </c>
      <c r="G958" s="2">
        <f t="shared" si="79"/>
        <v>0</v>
      </c>
      <c r="H958" s="2">
        <f t="shared" si="80"/>
        <v>0</v>
      </c>
      <c r="I958" s="2">
        <f t="shared" si="76"/>
        <v>0</v>
      </c>
      <c r="J958">
        <f>IFERROR(VLOOKUP(B958,'General price list'!C:AI,12,FALSE)*(G958*C958),0)</f>
        <v>0</v>
      </c>
    </row>
    <row r="959" spans="2:10" ht="15" customHeight="1">
      <c r="B959" t="s">
        <v>816</v>
      </c>
      <c r="C959" s="2" t="str">
        <f>IFERROR(VLOOKUP(B959,'Deutsche Markt'!C:AA,24,FALSE),"")</f>
        <v/>
      </c>
      <c r="D959" s="2">
        <f>IFERROR(VLOOKUP(B959,'Deutsche Markt'!C:AA,25,FALSE),0)</f>
        <v>0</v>
      </c>
      <c r="E959" s="2">
        <f t="shared" si="77"/>
        <v>0</v>
      </c>
      <c r="F959" s="2">
        <f t="shared" si="78"/>
        <v>0</v>
      </c>
      <c r="G959" s="2">
        <f t="shared" si="79"/>
        <v>0</v>
      </c>
      <c r="H959" s="2">
        <f t="shared" si="80"/>
        <v>0</v>
      </c>
      <c r="I959" s="2">
        <f t="shared" si="76"/>
        <v>0</v>
      </c>
      <c r="J959">
        <f>IFERROR(VLOOKUP(B959,'General price list'!C:AI,12,FALSE)*(G959*C959),0)</f>
        <v>0</v>
      </c>
    </row>
    <row r="960" spans="2:10" ht="15" customHeight="1">
      <c r="B960" t="s">
        <v>11654</v>
      </c>
      <c r="C960" s="2" t="str">
        <f>IFERROR(VLOOKUP(B960,'Deutsche Markt'!C:AA,24,FALSE),"")</f>
        <v/>
      </c>
      <c r="D960" s="2">
        <f>IFERROR(VLOOKUP(B960,'Deutsche Markt'!C:AA,25,FALSE),0)</f>
        <v>0</v>
      </c>
      <c r="E960" s="2">
        <f t="shared" si="77"/>
        <v>0</v>
      </c>
      <c r="F960" s="2">
        <f t="shared" si="78"/>
        <v>0</v>
      </c>
      <c r="G960" s="2">
        <f t="shared" si="79"/>
        <v>0</v>
      </c>
      <c r="H960" s="2">
        <f t="shared" si="80"/>
        <v>0</v>
      </c>
      <c r="I960" s="2">
        <f t="shared" si="76"/>
        <v>0</v>
      </c>
      <c r="J960">
        <f>IFERROR(VLOOKUP(B960,'General price list'!C:AI,12,FALSE)*(G960*C960),0)</f>
        <v>0</v>
      </c>
    </row>
    <row r="961" spans="2:10" ht="15" customHeight="1">
      <c r="B961" t="s">
        <v>842</v>
      </c>
      <c r="C961" s="2" t="str">
        <f>IFERROR(VLOOKUP(B961,'Deutsche Markt'!C:AA,24,FALSE),"")</f>
        <v/>
      </c>
      <c r="D961" s="2">
        <f>IFERROR(VLOOKUP(B961,'Deutsche Markt'!C:AA,25,FALSE),0)</f>
        <v>0</v>
      </c>
      <c r="E961" s="2">
        <f t="shared" si="77"/>
        <v>0</v>
      </c>
      <c r="F961" s="2">
        <f t="shared" si="78"/>
        <v>0</v>
      </c>
      <c r="G961" s="2">
        <f t="shared" si="79"/>
        <v>0</v>
      </c>
      <c r="H961" s="2">
        <f t="shared" si="80"/>
        <v>0</v>
      </c>
      <c r="I961" s="2">
        <f t="shared" si="76"/>
        <v>0</v>
      </c>
      <c r="J961">
        <f>IFERROR(VLOOKUP(B961,'General price list'!C:AI,12,FALSE)*(G961*C961),0)</f>
        <v>0</v>
      </c>
    </row>
    <row r="962" spans="2:10" ht="15" customHeight="1">
      <c r="B962" t="s">
        <v>831</v>
      </c>
      <c r="C962" s="2" t="str">
        <f>IFERROR(VLOOKUP(B962,'Deutsche Markt'!C:AA,24,FALSE),"")</f>
        <v/>
      </c>
      <c r="D962" s="2">
        <f>IFERROR(VLOOKUP(B962,'Deutsche Markt'!C:AA,25,FALSE),0)</f>
        <v>0</v>
      </c>
      <c r="E962" s="2">
        <f t="shared" si="77"/>
        <v>0</v>
      </c>
      <c r="F962" s="2">
        <f t="shared" si="78"/>
        <v>0</v>
      </c>
      <c r="G962" s="2">
        <f t="shared" si="79"/>
        <v>0</v>
      </c>
      <c r="H962" s="2">
        <f t="shared" si="80"/>
        <v>0</v>
      </c>
      <c r="I962" s="2">
        <f t="shared" si="76"/>
        <v>0</v>
      </c>
      <c r="J962">
        <f>IFERROR(VLOOKUP(B962,'General price list'!C:AI,12,FALSE)*(G962*C962),0)</f>
        <v>0</v>
      </c>
    </row>
    <row r="963" spans="2:10" ht="15" customHeight="1">
      <c r="B963" t="s">
        <v>13228</v>
      </c>
      <c r="C963" s="2" t="str">
        <f>IFERROR(VLOOKUP(B963,'Deutsche Markt'!C:AA,24,FALSE),"")</f>
        <v/>
      </c>
      <c r="D963" s="2">
        <f>IFERROR(VLOOKUP(B963,'Deutsche Markt'!C:AA,25,FALSE),0)</f>
        <v>0</v>
      </c>
      <c r="E963" s="2">
        <f t="shared" si="77"/>
        <v>0</v>
      </c>
      <c r="F963" s="2">
        <f t="shared" si="78"/>
        <v>0</v>
      </c>
      <c r="G963" s="2">
        <f t="shared" si="79"/>
        <v>0</v>
      </c>
      <c r="H963" s="2">
        <f t="shared" si="80"/>
        <v>0</v>
      </c>
      <c r="I963" s="2">
        <f t="shared" si="76"/>
        <v>0</v>
      </c>
      <c r="J963">
        <f>IFERROR(VLOOKUP(B963,'General price list'!C:AI,12,FALSE)*(G963*C963),0)</f>
        <v>0</v>
      </c>
    </row>
    <row r="964" spans="2:10" ht="15" customHeight="1">
      <c r="B964" t="s">
        <v>846</v>
      </c>
      <c r="C964" s="2" t="str">
        <f>IFERROR(VLOOKUP(B964,'Deutsche Markt'!C:AA,24,FALSE),"")</f>
        <v/>
      </c>
      <c r="D964" s="2">
        <f>IFERROR(VLOOKUP(B964,'Deutsche Markt'!C:AA,25,FALSE),0)</f>
        <v>0</v>
      </c>
      <c r="E964" s="2">
        <f t="shared" si="77"/>
        <v>0</v>
      </c>
      <c r="F964" s="2">
        <f t="shared" si="78"/>
        <v>0</v>
      </c>
      <c r="G964" s="2">
        <f t="shared" si="79"/>
        <v>0</v>
      </c>
      <c r="H964" s="2">
        <f t="shared" si="80"/>
        <v>0</v>
      </c>
      <c r="I964" s="2">
        <f t="shared" ref="I964:I1027" si="81">IFERROR(IF(D964=0,0,IF(F964=0,(D964*nextVK)+(prvniVK-nextVK),(G964*C964*nextVK)+(F964*PALzKoje))),0)</f>
        <v>0</v>
      </c>
      <c r="J964">
        <f>IFERROR(VLOOKUP(B964,'General price list'!C:AI,12,FALSE)*(G964*C964),0)</f>
        <v>0</v>
      </c>
    </row>
    <row r="965" spans="2:10" ht="15" customHeight="1">
      <c r="B965" t="s">
        <v>935</v>
      </c>
      <c r="C965" s="2" t="str">
        <f>IFERROR(VLOOKUP(B965,'Deutsche Markt'!C:AA,24,FALSE),"")</f>
        <v/>
      </c>
      <c r="D965" s="2">
        <f>IFERROR(VLOOKUP(B965,'Deutsche Markt'!C:AA,25,FALSE),0)</f>
        <v>0</v>
      </c>
      <c r="E965" s="2">
        <f t="shared" ref="E965:E1028" si="82">IFERROR(D965/C965,0)</f>
        <v>0</v>
      </c>
      <c r="F965" s="2">
        <f t="shared" ref="F965:F1028" si="83">IFERROR(FLOOR(IF(E965-1&lt;0,0,E965),1),0)</f>
        <v>0</v>
      </c>
      <c r="G965" s="2">
        <f t="shared" ref="G965:G1028" si="84">IFERROR(IF(H965&gt;E965,F965-E965,E965-F965),0)</f>
        <v>0</v>
      </c>
      <c r="H965" s="2">
        <f t="shared" ref="H965:H1028" si="85">IFERROR(IF(E965=0,0,F965),0)</f>
        <v>0</v>
      </c>
      <c r="I965" s="2">
        <f t="shared" si="81"/>
        <v>0</v>
      </c>
      <c r="J965">
        <f>IFERROR(VLOOKUP(B965,'General price list'!C:AI,12,FALSE)*(G965*C965),0)</f>
        <v>0</v>
      </c>
    </row>
    <row r="966" spans="2:10" ht="15" customHeight="1">
      <c r="B966" t="s">
        <v>939</v>
      </c>
      <c r="C966" s="2" t="str">
        <f>IFERROR(VLOOKUP(B966,'Deutsche Markt'!C:AA,24,FALSE),"")</f>
        <v/>
      </c>
      <c r="D966" s="2">
        <f>IFERROR(VLOOKUP(B966,'Deutsche Markt'!C:AA,25,FALSE),0)</f>
        <v>0</v>
      </c>
      <c r="E966" s="2">
        <f t="shared" si="82"/>
        <v>0</v>
      </c>
      <c r="F966" s="2">
        <f t="shared" si="83"/>
        <v>0</v>
      </c>
      <c r="G966" s="2">
        <f t="shared" si="84"/>
        <v>0</v>
      </c>
      <c r="H966" s="2">
        <f t="shared" si="85"/>
        <v>0</v>
      </c>
      <c r="I966" s="2">
        <f t="shared" si="81"/>
        <v>0</v>
      </c>
      <c r="J966">
        <f>IFERROR(VLOOKUP(B966,'General price list'!C:AI,12,FALSE)*(G966*C966),0)</f>
        <v>0</v>
      </c>
    </row>
    <row r="967" spans="2:10" ht="15" customHeight="1">
      <c r="B967" t="s">
        <v>922</v>
      </c>
      <c r="C967" s="2" t="str">
        <f>IFERROR(VLOOKUP(B967,'Deutsche Markt'!C:AA,24,FALSE),"")</f>
        <v/>
      </c>
      <c r="D967" s="2">
        <f>IFERROR(VLOOKUP(B967,'Deutsche Markt'!C:AA,25,FALSE),0)</f>
        <v>0</v>
      </c>
      <c r="E967" s="2">
        <f t="shared" si="82"/>
        <v>0</v>
      </c>
      <c r="F967" s="2">
        <f t="shared" si="83"/>
        <v>0</v>
      </c>
      <c r="G967" s="2">
        <f t="shared" si="84"/>
        <v>0</v>
      </c>
      <c r="H967" s="2">
        <f t="shared" si="85"/>
        <v>0</v>
      </c>
      <c r="I967" s="2">
        <f t="shared" si="81"/>
        <v>0</v>
      </c>
      <c r="J967">
        <f>IFERROR(VLOOKUP(B967,'General price list'!C:AI,12,FALSE)*(G967*C967),0)</f>
        <v>0</v>
      </c>
    </row>
    <row r="968" spans="2:10" ht="15" customHeight="1">
      <c r="B968" t="s">
        <v>926</v>
      </c>
      <c r="C968" s="2" t="str">
        <f>IFERROR(VLOOKUP(B968,'Deutsche Markt'!C:AA,24,FALSE),"")</f>
        <v/>
      </c>
      <c r="D968" s="2">
        <f>IFERROR(VLOOKUP(B968,'Deutsche Markt'!C:AA,25,FALSE),0)</f>
        <v>0</v>
      </c>
      <c r="E968" s="2">
        <f t="shared" si="82"/>
        <v>0</v>
      </c>
      <c r="F968" s="2">
        <f t="shared" si="83"/>
        <v>0</v>
      </c>
      <c r="G968" s="2">
        <f t="shared" si="84"/>
        <v>0</v>
      </c>
      <c r="H968" s="2">
        <f t="shared" si="85"/>
        <v>0</v>
      </c>
      <c r="I968" s="2">
        <f t="shared" si="81"/>
        <v>0</v>
      </c>
      <c r="J968">
        <f>IFERROR(VLOOKUP(B968,'General price list'!C:AI,12,FALSE)*(G968*C968),0)</f>
        <v>0</v>
      </c>
    </row>
    <row r="969" spans="2:10" ht="15" customHeight="1">
      <c r="B969" t="s">
        <v>931</v>
      </c>
      <c r="C969" s="2" t="str">
        <f>IFERROR(VLOOKUP(B969,'Deutsche Markt'!C:AA,24,FALSE),"")</f>
        <v/>
      </c>
      <c r="D969" s="2">
        <f>IFERROR(VLOOKUP(B969,'Deutsche Markt'!C:AA,25,FALSE),0)</f>
        <v>0</v>
      </c>
      <c r="E969" s="2">
        <f t="shared" si="82"/>
        <v>0</v>
      </c>
      <c r="F969" s="2">
        <f t="shared" si="83"/>
        <v>0</v>
      </c>
      <c r="G969" s="2">
        <f t="shared" si="84"/>
        <v>0</v>
      </c>
      <c r="H969" s="2">
        <f t="shared" si="85"/>
        <v>0</v>
      </c>
      <c r="I969" s="2">
        <f t="shared" si="81"/>
        <v>0</v>
      </c>
      <c r="J969">
        <f>IFERROR(VLOOKUP(B969,'General price list'!C:AI,12,FALSE)*(G969*C969),0)</f>
        <v>0</v>
      </c>
    </row>
    <row r="970" spans="2:10" ht="15" customHeight="1">
      <c r="B970" t="s">
        <v>113</v>
      </c>
      <c r="C970" s="2" t="str">
        <f>IFERROR(VLOOKUP(B970,'Deutsche Markt'!C:AA,24,FALSE),"")</f>
        <v/>
      </c>
      <c r="D970" s="2">
        <f>IFERROR(VLOOKUP(B970,'Deutsche Markt'!C:AA,25,FALSE),0)</f>
        <v>0</v>
      </c>
      <c r="E970" s="2">
        <f t="shared" si="82"/>
        <v>0</v>
      </c>
      <c r="F970" s="2">
        <f t="shared" si="83"/>
        <v>0</v>
      </c>
      <c r="G970" s="2">
        <f t="shared" si="84"/>
        <v>0</v>
      </c>
      <c r="H970" s="2">
        <f t="shared" si="85"/>
        <v>0</v>
      </c>
      <c r="I970" s="2">
        <f t="shared" si="81"/>
        <v>0</v>
      </c>
      <c r="J970">
        <f>IFERROR(VLOOKUP(B970,'General price list'!C:AI,12,FALSE)*(G970*C970),0)</f>
        <v>0</v>
      </c>
    </row>
    <row r="971" spans="2:10" ht="15" customHeight="1">
      <c r="B971" t="s">
        <v>117</v>
      </c>
      <c r="C971" s="2" t="str">
        <f>IFERROR(VLOOKUP(B971,'Deutsche Markt'!C:AA,24,FALSE),"")</f>
        <v/>
      </c>
      <c r="D971" s="2">
        <f>IFERROR(VLOOKUP(B971,'Deutsche Markt'!C:AA,25,FALSE),0)</f>
        <v>0</v>
      </c>
      <c r="E971" s="2">
        <f t="shared" si="82"/>
        <v>0</v>
      </c>
      <c r="F971" s="2">
        <f t="shared" si="83"/>
        <v>0</v>
      </c>
      <c r="G971" s="2">
        <f t="shared" si="84"/>
        <v>0</v>
      </c>
      <c r="H971" s="2">
        <f t="shared" si="85"/>
        <v>0</v>
      </c>
      <c r="I971" s="2">
        <f t="shared" si="81"/>
        <v>0</v>
      </c>
      <c r="J971">
        <f>IFERROR(VLOOKUP(B971,'General price list'!C:AI,12,FALSE)*(G971*C971),0)</f>
        <v>0</v>
      </c>
    </row>
    <row r="972" spans="2:10" ht="15" customHeight="1">
      <c r="B972" t="s">
        <v>1846</v>
      </c>
      <c r="C972" s="2" t="str">
        <f>IFERROR(VLOOKUP(B972,'Deutsche Markt'!C:AA,24,FALSE),"")</f>
        <v>23</v>
      </c>
      <c r="D972" s="2">
        <f>IFERROR(VLOOKUP(B972,'Deutsche Markt'!C:AA,25,FALSE),0)</f>
        <v>0</v>
      </c>
      <c r="E972" s="2">
        <f t="shared" si="82"/>
        <v>0</v>
      </c>
      <c r="F972" s="2">
        <f t="shared" si="83"/>
        <v>0</v>
      </c>
      <c r="G972" s="2">
        <f t="shared" si="84"/>
        <v>0</v>
      </c>
      <c r="H972" s="2">
        <f t="shared" si="85"/>
        <v>0</v>
      </c>
      <c r="I972" s="2">
        <f t="shared" si="81"/>
        <v>0</v>
      </c>
      <c r="J972">
        <f>IFERROR(VLOOKUP(B972,'General price list'!C:AI,12,FALSE)*(G972*C972),0)</f>
        <v>0</v>
      </c>
    </row>
    <row r="973" spans="2:10" ht="15" customHeight="1">
      <c r="B973" t="s">
        <v>1870</v>
      </c>
      <c r="C973" s="2" t="str">
        <f>IFERROR(VLOOKUP(B973,'Deutsche Markt'!C:AA,24,FALSE),"")</f>
        <v/>
      </c>
      <c r="D973" s="2">
        <f>IFERROR(VLOOKUP(B973,'Deutsche Markt'!C:AA,25,FALSE),0)</f>
        <v>0</v>
      </c>
      <c r="E973" s="2">
        <f t="shared" si="82"/>
        <v>0</v>
      </c>
      <c r="F973" s="2">
        <f t="shared" si="83"/>
        <v>0</v>
      </c>
      <c r="G973" s="2">
        <f t="shared" si="84"/>
        <v>0</v>
      </c>
      <c r="H973" s="2">
        <f t="shared" si="85"/>
        <v>0</v>
      </c>
      <c r="I973" s="2">
        <f t="shared" si="81"/>
        <v>0</v>
      </c>
      <c r="J973">
        <f>IFERROR(VLOOKUP(B973,'General price list'!C:AI,12,FALSE)*(G973*C973),0)</f>
        <v>0</v>
      </c>
    </row>
    <row r="974" spans="2:10" ht="15" customHeight="1">
      <c r="B974" t="s">
        <v>1871</v>
      </c>
      <c r="C974" s="2" t="str">
        <f>IFERROR(VLOOKUP(B974,'Deutsche Markt'!C:AA,24,FALSE),"")</f>
        <v/>
      </c>
      <c r="D974" s="2">
        <f>IFERROR(VLOOKUP(B974,'Deutsche Markt'!C:AA,25,FALSE),0)</f>
        <v>0</v>
      </c>
      <c r="E974" s="2">
        <f t="shared" si="82"/>
        <v>0</v>
      </c>
      <c r="F974" s="2">
        <f t="shared" si="83"/>
        <v>0</v>
      </c>
      <c r="G974" s="2">
        <f t="shared" si="84"/>
        <v>0</v>
      </c>
      <c r="H974" s="2">
        <f t="shared" si="85"/>
        <v>0</v>
      </c>
      <c r="I974" s="2">
        <f t="shared" si="81"/>
        <v>0</v>
      </c>
      <c r="J974">
        <f>IFERROR(VLOOKUP(B974,'General price list'!C:AI,12,FALSE)*(G974*C974),0)</f>
        <v>0</v>
      </c>
    </row>
    <row r="975" spans="2:10" ht="15" customHeight="1">
      <c r="B975" t="s">
        <v>1874</v>
      </c>
      <c r="C975" s="2" t="str">
        <f>IFERROR(VLOOKUP(B975,'Deutsche Markt'!C:AA,24,FALSE),"")</f>
        <v/>
      </c>
      <c r="D975" s="2">
        <f>IFERROR(VLOOKUP(B975,'Deutsche Markt'!C:AA,25,FALSE),0)</f>
        <v>0</v>
      </c>
      <c r="E975" s="2">
        <f t="shared" si="82"/>
        <v>0</v>
      </c>
      <c r="F975" s="2">
        <f t="shared" si="83"/>
        <v>0</v>
      </c>
      <c r="G975" s="2">
        <f t="shared" si="84"/>
        <v>0</v>
      </c>
      <c r="H975" s="2">
        <f t="shared" si="85"/>
        <v>0</v>
      </c>
      <c r="I975" s="2">
        <f t="shared" si="81"/>
        <v>0</v>
      </c>
      <c r="J975">
        <f>IFERROR(VLOOKUP(B975,'General price list'!C:AI,12,FALSE)*(G975*C975),0)</f>
        <v>0</v>
      </c>
    </row>
    <row r="976" spans="2:10" ht="15" customHeight="1">
      <c r="B976" t="s">
        <v>1876</v>
      </c>
      <c r="C976" s="2" t="str">
        <f>IFERROR(VLOOKUP(B976,'Deutsche Markt'!C:AA,24,FALSE),"")</f>
        <v>21</v>
      </c>
      <c r="D976" s="2">
        <f>IFERROR(VLOOKUP(B976,'Deutsche Markt'!C:AA,25,FALSE),0)</f>
        <v>0</v>
      </c>
      <c r="E976" s="2">
        <f t="shared" si="82"/>
        <v>0</v>
      </c>
      <c r="F976" s="2">
        <f t="shared" si="83"/>
        <v>0</v>
      </c>
      <c r="G976" s="2">
        <f t="shared" si="84"/>
        <v>0</v>
      </c>
      <c r="H976" s="2">
        <f t="shared" si="85"/>
        <v>0</v>
      </c>
      <c r="I976" s="2">
        <f t="shared" si="81"/>
        <v>0</v>
      </c>
      <c r="J976">
        <f>IFERROR(VLOOKUP(B976,'General price list'!C:AI,12,FALSE)*(G976*C976),0)</f>
        <v>0</v>
      </c>
    </row>
    <row r="977" spans="2:10" ht="15" customHeight="1">
      <c r="B977" t="s">
        <v>1879</v>
      </c>
      <c r="C977" s="2" t="str">
        <f>IFERROR(VLOOKUP(B977,'Deutsche Markt'!C:AA,24,FALSE),"")</f>
        <v>21</v>
      </c>
      <c r="D977" s="2">
        <f>IFERROR(VLOOKUP(B977,'Deutsche Markt'!C:AA,25,FALSE),0)</f>
        <v>0</v>
      </c>
      <c r="E977" s="2">
        <f t="shared" si="82"/>
        <v>0</v>
      </c>
      <c r="F977" s="2">
        <f t="shared" si="83"/>
        <v>0</v>
      </c>
      <c r="G977" s="2">
        <f t="shared" si="84"/>
        <v>0</v>
      </c>
      <c r="H977" s="2">
        <f t="shared" si="85"/>
        <v>0</v>
      </c>
      <c r="I977" s="2">
        <f t="shared" si="81"/>
        <v>0</v>
      </c>
      <c r="J977">
        <f>IFERROR(VLOOKUP(B977,'General price list'!C:AI,12,FALSE)*(G977*C977),0)</f>
        <v>0</v>
      </c>
    </row>
    <row r="978" spans="2:10" ht="15" customHeight="1">
      <c r="B978" t="s">
        <v>1880</v>
      </c>
      <c r="C978" s="2" t="str">
        <f>IFERROR(VLOOKUP(B978,'Deutsche Markt'!C:AA,24,FALSE),"")</f>
        <v>21</v>
      </c>
      <c r="D978" s="2">
        <f>IFERROR(VLOOKUP(B978,'Deutsche Markt'!C:AA,25,FALSE),0)</f>
        <v>0</v>
      </c>
      <c r="E978" s="2">
        <f t="shared" si="82"/>
        <v>0</v>
      </c>
      <c r="F978" s="2">
        <f t="shared" si="83"/>
        <v>0</v>
      </c>
      <c r="G978" s="2">
        <f t="shared" si="84"/>
        <v>0</v>
      </c>
      <c r="H978" s="2">
        <f t="shared" si="85"/>
        <v>0</v>
      </c>
      <c r="I978" s="2">
        <f t="shared" si="81"/>
        <v>0</v>
      </c>
      <c r="J978">
        <f>IFERROR(VLOOKUP(B978,'General price list'!C:AI,12,FALSE)*(G978*C978),0)</f>
        <v>0</v>
      </c>
    </row>
    <row r="979" spans="2:10" ht="15" customHeight="1">
      <c r="B979" t="s">
        <v>1891</v>
      </c>
      <c r="C979" s="2" t="str">
        <f>IFERROR(VLOOKUP(B979,'Deutsche Markt'!C:AA,24,FALSE),"")</f>
        <v>21</v>
      </c>
      <c r="D979" s="2">
        <f>IFERROR(VLOOKUP(B979,'Deutsche Markt'!C:AA,25,FALSE),0)</f>
        <v>0</v>
      </c>
      <c r="E979" s="2">
        <f t="shared" si="82"/>
        <v>0</v>
      </c>
      <c r="F979" s="2">
        <f t="shared" si="83"/>
        <v>0</v>
      </c>
      <c r="G979" s="2">
        <f t="shared" si="84"/>
        <v>0</v>
      </c>
      <c r="H979" s="2">
        <f t="shared" si="85"/>
        <v>0</v>
      </c>
      <c r="I979" s="2">
        <f t="shared" si="81"/>
        <v>0</v>
      </c>
      <c r="J979">
        <f>IFERROR(VLOOKUP(B979,'General price list'!C:AI,12,FALSE)*(G979*C979),0)</f>
        <v>0</v>
      </c>
    </row>
    <row r="980" spans="2:10" ht="15" customHeight="1">
      <c r="B980" t="s">
        <v>1882</v>
      </c>
      <c r="C980" s="2" t="str">
        <f>IFERROR(VLOOKUP(B980,'Deutsche Markt'!C:AA,24,FALSE),"")</f>
        <v/>
      </c>
      <c r="D980" s="2">
        <f>IFERROR(VLOOKUP(B980,'Deutsche Markt'!C:AA,25,FALSE),0)</f>
        <v>0</v>
      </c>
      <c r="E980" s="2">
        <f t="shared" si="82"/>
        <v>0</v>
      </c>
      <c r="F980" s="2">
        <f t="shared" si="83"/>
        <v>0</v>
      </c>
      <c r="G980" s="2">
        <f t="shared" si="84"/>
        <v>0</v>
      </c>
      <c r="H980" s="2">
        <f t="shared" si="85"/>
        <v>0</v>
      </c>
      <c r="I980" s="2">
        <f t="shared" si="81"/>
        <v>0</v>
      </c>
      <c r="J980">
        <f>IFERROR(VLOOKUP(B980,'General price list'!C:AI,12,FALSE)*(G980*C980),0)</f>
        <v>0</v>
      </c>
    </row>
    <row r="981" spans="2:10" ht="15" customHeight="1">
      <c r="B981" t="s">
        <v>1883</v>
      </c>
      <c r="C981" s="2" t="str">
        <f>IFERROR(VLOOKUP(B981,'Deutsche Markt'!C:AA,24,FALSE),"")</f>
        <v/>
      </c>
      <c r="D981" s="2">
        <f>IFERROR(VLOOKUP(B981,'Deutsche Markt'!C:AA,25,FALSE),0)</f>
        <v>0</v>
      </c>
      <c r="E981" s="2">
        <f t="shared" si="82"/>
        <v>0</v>
      </c>
      <c r="F981" s="2">
        <f t="shared" si="83"/>
        <v>0</v>
      </c>
      <c r="G981" s="2">
        <f t="shared" si="84"/>
        <v>0</v>
      </c>
      <c r="H981" s="2">
        <f t="shared" si="85"/>
        <v>0</v>
      </c>
      <c r="I981" s="2">
        <f t="shared" si="81"/>
        <v>0</v>
      </c>
      <c r="J981">
        <f>IFERROR(VLOOKUP(B981,'General price list'!C:AI,12,FALSE)*(G981*C981),0)</f>
        <v>0</v>
      </c>
    </row>
    <row r="982" spans="2:10" ht="15" customHeight="1">
      <c r="B982" t="s">
        <v>1886</v>
      </c>
      <c r="C982" s="2" t="str">
        <f>IFERROR(VLOOKUP(B982,'Deutsche Markt'!C:AA,24,FALSE),"")</f>
        <v>21</v>
      </c>
      <c r="D982" s="2">
        <f>IFERROR(VLOOKUP(B982,'Deutsche Markt'!C:AA,25,FALSE),0)</f>
        <v>0</v>
      </c>
      <c r="E982" s="2">
        <f t="shared" si="82"/>
        <v>0</v>
      </c>
      <c r="F982" s="2">
        <f t="shared" si="83"/>
        <v>0</v>
      </c>
      <c r="G982" s="2">
        <f t="shared" si="84"/>
        <v>0</v>
      </c>
      <c r="H982" s="2">
        <f t="shared" si="85"/>
        <v>0</v>
      </c>
      <c r="I982" s="2">
        <f t="shared" si="81"/>
        <v>0</v>
      </c>
      <c r="J982">
        <f>IFERROR(VLOOKUP(B982,'General price list'!C:AI,12,FALSE)*(G982*C982),0)</f>
        <v>0</v>
      </c>
    </row>
    <row r="983" spans="2:10" ht="15" customHeight="1">
      <c r="B983" t="s">
        <v>1888</v>
      </c>
      <c r="C983" s="2" t="str">
        <f>IFERROR(VLOOKUP(B983,'Deutsche Markt'!C:AA,24,FALSE),"")</f>
        <v/>
      </c>
      <c r="D983" s="2">
        <f>IFERROR(VLOOKUP(B983,'Deutsche Markt'!C:AA,25,FALSE),0)</f>
        <v>0</v>
      </c>
      <c r="E983" s="2">
        <f t="shared" si="82"/>
        <v>0</v>
      </c>
      <c r="F983" s="2">
        <f t="shared" si="83"/>
        <v>0</v>
      </c>
      <c r="G983" s="2">
        <f t="shared" si="84"/>
        <v>0</v>
      </c>
      <c r="H983" s="2">
        <f t="shared" si="85"/>
        <v>0</v>
      </c>
      <c r="I983" s="2">
        <f t="shared" si="81"/>
        <v>0</v>
      </c>
      <c r="J983">
        <f>IFERROR(VLOOKUP(B983,'General price list'!C:AI,12,FALSE)*(G983*C983),0)</f>
        <v>0</v>
      </c>
    </row>
    <row r="984" spans="2:10" ht="15" customHeight="1">
      <c r="B984" t="s">
        <v>1890</v>
      </c>
      <c r="C984" s="2" t="str">
        <f>IFERROR(VLOOKUP(B984,'Deutsche Markt'!C:AA,24,FALSE),"")</f>
        <v/>
      </c>
      <c r="D984" s="2">
        <f>IFERROR(VLOOKUP(B984,'Deutsche Markt'!C:AA,25,FALSE),0)</f>
        <v>0</v>
      </c>
      <c r="E984" s="2">
        <f t="shared" si="82"/>
        <v>0</v>
      </c>
      <c r="F984" s="2">
        <f t="shared" si="83"/>
        <v>0</v>
      </c>
      <c r="G984" s="2">
        <f t="shared" si="84"/>
        <v>0</v>
      </c>
      <c r="H984" s="2">
        <f t="shared" si="85"/>
        <v>0</v>
      </c>
      <c r="I984" s="2">
        <f t="shared" si="81"/>
        <v>0</v>
      </c>
      <c r="J984">
        <f>IFERROR(VLOOKUP(B984,'General price list'!C:AI,12,FALSE)*(G984*C984),0)</f>
        <v>0</v>
      </c>
    </row>
    <row r="985" spans="2:10" ht="15" customHeight="1">
      <c r="B985" t="s">
        <v>1938</v>
      </c>
      <c r="C985" s="2" t="str">
        <f>IFERROR(VLOOKUP(B985,'Deutsche Markt'!C:AA,24,FALSE),"")</f>
        <v>24</v>
      </c>
      <c r="D985" s="2">
        <f>IFERROR(VLOOKUP(B985,'Deutsche Markt'!C:AA,25,FALSE),0)</f>
        <v>0</v>
      </c>
      <c r="E985" s="2">
        <f t="shared" si="82"/>
        <v>0</v>
      </c>
      <c r="F985" s="2">
        <f t="shared" si="83"/>
        <v>0</v>
      </c>
      <c r="G985" s="2">
        <f t="shared" si="84"/>
        <v>0</v>
      </c>
      <c r="H985" s="2">
        <f t="shared" si="85"/>
        <v>0</v>
      </c>
      <c r="I985" s="2">
        <f t="shared" si="81"/>
        <v>0</v>
      </c>
      <c r="J985">
        <f>IFERROR(VLOOKUP(B985,'General price list'!C:AI,12,FALSE)*(G985*C985),0)</f>
        <v>0</v>
      </c>
    </row>
    <row r="986" spans="2:10" ht="15" customHeight="1">
      <c r="B986" t="s">
        <v>1941</v>
      </c>
      <c r="C986" s="2" t="str">
        <f>IFERROR(VLOOKUP(B986,'Deutsche Markt'!C:AA,24,FALSE),"")</f>
        <v/>
      </c>
      <c r="D986" s="2">
        <f>IFERROR(VLOOKUP(B986,'Deutsche Markt'!C:AA,25,FALSE),0)</f>
        <v>0</v>
      </c>
      <c r="E986" s="2">
        <f t="shared" si="82"/>
        <v>0</v>
      </c>
      <c r="F986" s="2">
        <f t="shared" si="83"/>
        <v>0</v>
      </c>
      <c r="G986" s="2">
        <f t="shared" si="84"/>
        <v>0</v>
      </c>
      <c r="H986" s="2">
        <f t="shared" si="85"/>
        <v>0</v>
      </c>
      <c r="I986" s="2">
        <f t="shared" si="81"/>
        <v>0</v>
      </c>
      <c r="J986">
        <f>IFERROR(VLOOKUP(B986,'General price list'!C:AI,12,FALSE)*(G986*C986),0)</f>
        <v>0</v>
      </c>
    </row>
    <row r="987" spans="2:10" ht="15" customHeight="1">
      <c r="B987" t="s">
        <v>1945</v>
      </c>
      <c r="C987" s="2" t="str">
        <f>IFERROR(VLOOKUP(B987,'Deutsche Markt'!C:AA,24,FALSE),"")</f>
        <v>24</v>
      </c>
      <c r="D987" s="2">
        <f>IFERROR(VLOOKUP(B987,'Deutsche Markt'!C:AA,25,FALSE),0)</f>
        <v>0</v>
      </c>
      <c r="E987" s="2">
        <f t="shared" si="82"/>
        <v>0</v>
      </c>
      <c r="F987" s="2">
        <f t="shared" si="83"/>
        <v>0</v>
      </c>
      <c r="G987" s="2">
        <f t="shared" si="84"/>
        <v>0</v>
      </c>
      <c r="H987" s="2">
        <f t="shared" si="85"/>
        <v>0</v>
      </c>
      <c r="I987" s="2">
        <f t="shared" si="81"/>
        <v>0</v>
      </c>
      <c r="J987">
        <f>IFERROR(VLOOKUP(B987,'General price list'!C:AI,12,FALSE)*(G987*C987),0)</f>
        <v>0</v>
      </c>
    </row>
    <row r="988" spans="2:10" ht="15" customHeight="1">
      <c r="B988" t="s">
        <v>1946</v>
      </c>
      <c r="C988" s="2" t="str">
        <f>IFERROR(VLOOKUP(B988,'Deutsche Markt'!C:AA,24,FALSE),"")</f>
        <v>24</v>
      </c>
      <c r="D988" s="2">
        <f>IFERROR(VLOOKUP(B988,'Deutsche Markt'!C:AA,25,FALSE),0)</f>
        <v>0</v>
      </c>
      <c r="E988" s="2">
        <f t="shared" si="82"/>
        <v>0</v>
      </c>
      <c r="F988" s="2">
        <f t="shared" si="83"/>
        <v>0</v>
      </c>
      <c r="G988" s="2">
        <f t="shared" si="84"/>
        <v>0</v>
      </c>
      <c r="H988" s="2">
        <f t="shared" si="85"/>
        <v>0</v>
      </c>
      <c r="I988" s="2">
        <f t="shared" si="81"/>
        <v>0</v>
      </c>
      <c r="J988">
        <f>IFERROR(VLOOKUP(B988,'General price list'!C:AI,12,FALSE)*(G988*C988),0)</f>
        <v>0</v>
      </c>
    </row>
    <row r="989" spans="2:10" ht="15" customHeight="1">
      <c r="B989" t="s">
        <v>1947</v>
      </c>
      <c r="C989" s="2" t="str">
        <f>IFERROR(VLOOKUP(B989,'Deutsche Markt'!C:AA,24,FALSE),"")</f>
        <v>24</v>
      </c>
      <c r="D989" s="2">
        <f>IFERROR(VLOOKUP(B989,'Deutsche Markt'!C:AA,25,FALSE),0)</f>
        <v>0</v>
      </c>
      <c r="E989" s="2">
        <f t="shared" si="82"/>
        <v>0</v>
      </c>
      <c r="F989" s="2">
        <f t="shared" si="83"/>
        <v>0</v>
      </c>
      <c r="G989" s="2">
        <f t="shared" si="84"/>
        <v>0</v>
      </c>
      <c r="H989" s="2">
        <f t="shared" si="85"/>
        <v>0</v>
      </c>
      <c r="I989" s="2">
        <f t="shared" si="81"/>
        <v>0</v>
      </c>
      <c r="J989">
        <f>IFERROR(VLOOKUP(B989,'General price list'!C:AI,12,FALSE)*(G989*C989),0)</f>
        <v>0</v>
      </c>
    </row>
    <row r="990" spans="2:10" ht="15" customHeight="1">
      <c r="B990" t="s">
        <v>1968</v>
      </c>
      <c r="C990" s="2" t="str">
        <f>IFERROR(VLOOKUP(B990,'Deutsche Markt'!C:AA,24,FALSE),"")</f>
        <v>24</v>
      </c>
      <c r="D990" s="2">
        <f>IFERROR(VLOOKUP(B990,'Deutsche Markt'!C:AA,25,FALSE),0)</f>
        <v>0</v>
      </c>
      <c r="E990" s="2">
        <f t="shared" si="82"/>
        <v>0</v>
      </c>
      <c r="F990" s="2">
        <f t="shared" si="83"/>
        <v>0</v>
      </c>
      <c r="G990" s="2">
        <f t="shared" si="84"/>
        <v>0</v>
      </c>
      <c r="H990" s="2">
        <f t="shared" si="85"/>
        <v>0</v>
      </c>
      <c r="I990" s="2">
        <f t="shared" si="81"/>
        <v>0</v>
      </c>
      <c r="J990">
        <f>IFERROR(VLOOKUP(B990,'General price list'!C:AI,12,FALSE)*(G990*C990),0)</f>
        <v>0</v>
      </c>
    </row>
    <row r="991" spans="2:10" ht="15" customHeight="1">
      <c r="B991" t="s">
        <v>1948</v>
      </c>
      <c r="C991" s="2" t="str">
        <f>IFERROR(VLOOKUP(B991,'Deutsche Markt'!C:AA,24,FALSE),"")</f>
        <v>24</v>
      </c>
      <c r="D991" s="2">
        <f>IFERROR(VLOOKUP(B991,'Deutsche Markt'!C:AA,25,FALSE),0)</f>
        <v>0</v>
      </c>
      <c r="E991" s="2">
        <f t="shared" si="82"/>
        <v>0</v>
      </c>
      <c r="F991" s="2">
        <f t="shared" si="83"/>
        <v>0</v>
      </c>
      <c r="G991" s="2">
        <f t="shared" si="84"/>
        <v>0</v>
      </c>
      <c r="H991" s="2">
        <f t="shared" si="85"/>
        <v>0</v>
      </c>
      <c r="I991" s="2">
        <f t="shared" si="81"/>
        <v>0</v>
      </c>
      <c r="J991">
        <f>IFERROR(VLOOKUP(B991,'General price list'!C:AI,12,FALSE)*(G991*C991),0)</f>
        <v>0</v>
      </c>
    </row>
    <row r="992" spans="2:10" ht="15" customHeight="1">
      <c r="B992" t="s">
        <v>1949</v>
      </c>
      <c r="C992" s="2" t="str">
        <f>IFERROR(VLOOKUP(B992,'Deutsche Markt'!C:AA,24,FALSE),"")</f>
        <v>24</v>
      </c>
      <c r="D992" s="2">
        <f>IFERROR(VLOOKUP(B992,'Deutsche Markt'!C:AA,25,FALSE),0)</f>
        <v>0</v>
      </c>
      <c r="E992" s="2">
        <f t="shared" si="82"/>
        <v>0</v>
      </c>
      <c r="F992" s="2">
        <f t="shared" si="83"/>
        <v>0</v>
      </c>
      <c r="G992" s="2">
        <f t="shared" si="84"/>
        <v>0</v>
      </c>
      <c r="H992" s="2">
        <f t="shared" si="85"/>
        <v>0</v>
      </c>
      <c r="I992" s="2">
        <f t="shared" si="81"/>
        <v>0</v>
      </c>
      <c r="J992">
        <f>IFERROR(VLOOKUP(B992,'General price list'!C:AI,12,FALSE)*(G992*C992),0)</f>
        <v>0</v>
      </c>
    </row>
    <row r="993" spans="2:10" ht="15" customHeight="1">
      <c r="B993" t="s">
        <v>1950</v>
      </c>
      <c r="C993" s="2" t="str">
        <f>IFERROR(VLOOKUP(B993,'Deutsche Markt'!C:AA,24,FALSE),"")</f>
        <v>24</v>
      </c>
      <c r="D993" s="2">
        <f>IFERROR(VLOOKUP(B993,'Deutsche Markt'!C:AA,25,FALSE),0)</f>
        <v>0</v>
      </c>
      <c r="E993" s="2">
        <f t="shared" si="82"/>
        <v>0</v>
      </c>
      <c r="F993" s="2">
        <f t="shared" si="83"/>
        <v>0</v>
      </c>
      <c r="G993" s="2">
        <f t="shared" si="84"/>
        <v>0</v>
      </c>
      <c r="H993" s="2">
        <f t="shared" si="85"/>
        <v>0</v>
      </c>
      <c r="I993" s="2">
        <f t="shared" si="81"/>
        <v>0</v>
      </c>
      <c r="J993">
        <f>IFERROR(VLOOKUP(B993,'General price list'!C:AI,12,FALSE)*(G993*C993),0)</f>
        <v>0</v>
      </c>
    </row>
    <row r="994" spans="2:10" ht="15" customHeight="1">
      <c r="B994" t="s">
        <v>1951</v>
      </c>
      <c r="C994" s="2" t="str">
        <f>IFERROR(VLOOKUP(B994,'Deutsche Markt'!C:AA,24,FALSE),"")</f>
        <v>24</v>
      </c>
      <c r="D994" s="2">
        <f>IFERROR(VLOOKUP(B994,'Deutsche Markt'!C:AA,25,FALSE),0)</f>
        <v>0</v>
      </c>
      <c r="E994" s="2">
        <f t="shared" si="82"/>
        <v>0</v>
      </c>
      <c r="F994" s="2">
        <f t="shared" si="83"/>
        <v>0</v>
      </c>
      <c r="G994" s="2">
        <f t="shared" si="84"/>
        <v>0</v>
      </c>
      <c r="H994" s="2">
        <f t="shared" si="85"/>
        <v>0</v>
      </c>
      <c r="I994" s="2">
        <f t="shared" si="81"/>
        <v>0</v>
      </c>
      <c r="J994">
        <f>IFERROR(VLOOKUP(B994,'General price list'!C:AI,12,FALSE)*(G994*C994),0)</f>
        <v>0</v>
      </c>
    </row>
    <row r="995" spans="2:10" ht="15" customHeight="1">
      <c r="B995" t="s">
        <v>1953</v>
      </c>
      <c r="C995" s="2" t="str">
        <f>IFERROR(VLOOKUP(B995,'Deutsche Markt'!C:AA,24,FALSE),"")</f>
        <v>24</v>
      </c>
      <c r="D995" s="2">
        <f>IFERROR(VLOOKUP(B995,'Deutsche Markt'!C:AA,25,FALSE),0)</f>
        <v>0</v>
      </c>
      <c r="E995" s="2">
        <f t="shared" si="82"/>
        <v>0</v>
      </c>
      <c r="F995" s="2">
        <f t="shared" si="83"/>
        <v>0</v>
      </c>
      <c r="G995" s="2">
        <f t="shared" si="84"/>
        <v>0</v>
      </c>
      <c r="H995" s="2">
        <f t="shared" si="85"/>
        <v>0</v>
      </c>
      <c r="I995" s="2">
        <f t="shared" si="81"/>
        <v>0</v>
      </c>
      <c r="J995">
        <f>IFERROR(VLOOKUP(B995,'General price list'!C:AI,12,FALSE)*(G995*C995),0)</f>
        <v>0</v>
      </c>
    </row>
    <row r="996" spans="2:10" ht="15" customHeight="1">
      <c r="B996" t="s">
        <v>1932</v>
      </c>
      <c r="C996" s="2" t="str">
        <f>IFERROR(VLOOKUP(B996,'Deutsche Markt'!C:AA,24,FALSE),"")</f>
        <v>24</v>
      </c>
      <c r="D996" s="2">
        <f>IFERROR(VLOOKUP(B996,'Deutsche Markt'!C:AA,25,FALSE),0)</f>
        <v>0</v>
      </c>
      <c r="E996" s="2">
        <f t="shared" si="82"/>
        <v>0</v>
      </c>
      <c r="F996" s="2">
        <f t="shared" si="83"/>
        <v>0</v>
      </c>
      <c r="G996" s="2">
        <f t="shared" si="84"/>
        <v>0</v>
      </c>
      <c r="H996" s="2">
        <f t="shared" si="85"/>
        <v>0</v>
      </c>
      <c r="I996" s="2">
        <f t="shared" si="81"/>
        <v>0</v>
      </c>
      <c r="J996">
        <f>IFERROR(VLOOKUP(B996,'General price list'!C:AI,12,FALSE)*(G996*C996),0)</f>
        <v>0</v>
      </c>
    </row>
    <row r="997" spans="2:10" ht="15" customHeight="1">
      <c r="B997" t="s">
        <v>1954</v>
      </c>
      <c r="C997" s="2" t="str">
        <f>IFERROR(VLOOKUP(B997,'Deutsche Markt'!C:AA,24,FALSE),"")</f>
        <v/>
      </c>
      <c r="D997" s="2">
        <f>IFERROR(VLOOKUP(B997,'Deutsche Markt'!C:AA,25,FALSE),0)</f>
        <v>0</v>
      </c>
      <c r="E997" s="2">
        <f t="shared" si="82"/>
        <v>0</v>
      </c>
      <c r="F997" s="2">
        <f t="shared" si="83"/>
        <v>0</v>
      </c>
      <c r="G997" s="2">
        <f t="shared" si="84"/>
        <v>0</v>
      </c>
      <c r="H997" s="2">
        <f t="shared" si="85"/>
        <v>0</v>
      </c>
      <c r="I997" s="2">
        <f t="shared" si="81"/>
        <v>0</v>
      </c>
      <c r="J997">
        <f>IFERROR(VLOOKUP(B997,'General price list'!C:AI,12,FALSE)*(G997*C997),0)</f>
        <v>0</v>
      </c>
    </row>
    <row r="998" spans="2:10" ht="15" customHeight="1">
      <c r="B998" t="s">
        <v>1956</v>
      </c>
      <c r="C998" s="2" t="str">
        <f>IFERROR(VLOOKUP(B998,'Deutsche Markt'!C:AA,24,FALSE),"")</f>
        <v>24</v>
      </c>
      <c r="D998" s="2">
        <f>IFERROR(VLOOKUP(B998,'Deutsche Markt'!C:AA,25,FALSE),0)</f>
        <v>0</v>
      </c>
      <c r="E998" s="2">
        <f t="shared" si="82"/>
        <v>0</v>
      </c>
      <c r="F998" s="2">
        <f t="shared" si="83"/>
        <v>0</v>
      </c>
      <c r="G998" s="2">
        <f t="shared" si="84"/>
        <v>0</v>
      </c>
      <c r="H998" s="2">
        <f t="shared" si="85"/>
        <v>0</v>
      </c>
      <c r="I998" s="2">
        <f t="shared" si="81"/>
        <v>0</v>
      </c>
      <c r="J998">
        <f>IFERROR(VLOOKUP(B998,'General price list'!C:AI,12,FALSE)*(G998*C998),0)</f>
        <v>0</v>
      </c>
    </row>
    <row r="999" spans="2:10" ht="15" customHeight="1">
      <c r="B999" t="s">
        <v>2418</v>
      </c>
      <c r="C999" s="2" t="str">
        <f>IFERROR(VLOOKUP(B999,'Deutsche Markt'!C:AA,24,FALSE),"")</f>
        <v/>
      </c>
      <c r="D999" s="2">
        <f>IFERROR(VLOOKUP(B999,'Deutsche Markt'!C:AA,25,FALSE),0)</f>
        <v>0</v>
      </c>
      <c r="E999" s="2">
        <f t="shared" si="82"/>
        <v>0</v>
      </c>
      <c r="F999" s="2">
        <f t="shared" si="83"/>
        <v>0</v>
      </c>
      <c r="G999" s="2">
        <f t="shared" si="84"/>
        <v>0</v>
      </c>
      <c r="H999" s="2">
        <f t="shared" si="85"/>
        <v>0</v>
      </c>
      <c r="I999" s="2">
        <f t="shared" si="81"/>
        <v>0</v>
      </c>
      <c r="J999">
        <f>IFERROR(VLOOKUP(B999,'General price list'!C:AI,12,FALSE)*(G999*C999),0)</f>
        <v>0</v>
      </c>
    </row>
    <row r="1000" spans="2:10" ht="15" customHeight="1">
      <c r="B1000" t="s">
        <v>2419</v>
      </c>
      <c r="C1000" s="2" t="str">
        <f>IFERROR(VLOOKUP(B1000,'Deutsche Markt'!C:AA,24,FALSE),"")</f>
        <v/>
      </c>
      <c r="D1000" s="2">
        <f>IFERROR(VLOOKUP(B1000,'Deutsche Markt'!C:AA,25,FALSE),0)</f>
        <v>0</v>
      </c>
      <c r="E1000" s="2">
        <f t="shared" si="82"/>
        <v>0</v>
      </c>
      <c r="F1000" s="2">
        <f t="shared" si="83"/>
        <v>0</v>
      </c>
      <c r="G1000" s="2">
        <f t="shared" si="84"/>
        <v>0</v>
      </c>
      <c r="H1000" s="2">
        <f t="shared" si="85"/>
        <v>0</v>
      </c>
      <c r="I1000" s="2">
        <f t="shared" si="81"/>
        <v>0</v>
      </c>
      <c r="J1000">
        <f>IFERROR(VLOOKUP(B1000,'General price list'!C:AI,12,FALSE)*(G1000*C1000),0)</f>
        <v>0</v>
      </c>
    </row>
    <row r="1001" spans="2:10" ht="15" customHeight="1">
      <c r="B1001" t="s">
        <v>1961</v>
      </c>
      <c r="C1001" s="2" t="str">
        <f>IFERROR(VLOOKUP(B1001,'Deutsche Markt'!C:AA,24,FALSE),"")</f>
        <v/>
      </c>
      <c r="D1001" s="2">
        <f>IFERROR(VLOOKUP(B1001,'Deutsche Markt'!C:AA,25,FALSE),0)</f>
        <v>0</v>
      </c>
      <c r="E1001" s="2">
        <f t="shared" si="82"/>
        <v>0</v>
      </c>
      <c r="F1001" s="2">
        <f t="shared" si="83"/>
        <v>0</v>
      </c>
      <c r="G1001" s="2">
        <f t="shared" si="84"/>
        <v>0</v>
      </c>
      <c r="H1001" s="2">
        <f t="shared" si="85"/>
        <v>0</v>
      </c>
      <c r="I1001" s="2">
        <f t="shared" si="81"/>
        <v>0</v>
      </c>
      <c r="J1001">
        <f>IFERROR(VLOOKUP(B1001,'General price list'!C:AI,12,FALSE)*(G1001*C1001),0)</f>
        <v>0</v>
      </c>
    </row>
    <row r="1002" spans="2:10" ht="15" customHeight="1">
      <c r="B1002" t="s">
        <v>1962</v>
      </c>
      <c r="C1002" s="2" t="str">
        <f>IFERROR(VLOOKUP(B1002,'Deutsche Markt'!C:AA,24,FALSE),"")</f>
        <v/>
      </c>
      <c r="D1002" s="2">
        <f>IFERROR(VLOOKUP(B1002,'Deutsche Markt'!C:AA,25,FALSE),0)</f>
        <v>0</v>
      </c>
      <c r="E1002" s="2">
        <f t="shared" si="82"/>
        <v>0</v>
      </c>
      <c r="F1002" s="2">
        <f t="shared" si="83"/>
        <v>0</v>
      </c>
      <c r="G1002" s="2">
        <f t="shared" si="84"/>
        <v>0</v>
      </c>
      <c r="H1002" s="2">
        <f t="shared" si="85"/>
        <v>0</v>
      </c>
      <c r="I1002" s="2">
        <f t="shared" si="81"/>
        <v>0</v>
      </c>
      <c r="J1002">
        <f>IFERROR(VLOOKUP(B1002,'General price list'!C:AI,12,FALSE)*(G1002*C1002),0)</f>
        <v>0</v>
      </c>
    </row>
    <row r="1003" spans="2:10" ht="15" customHeight="1">
      <c r="B1003" t="s">
        <v>1964</v>
      </c>
      <c r="C1003" s="2" t="str">
        <f>IFERROR(VLOOKUP(B1003,'Deutsche Markt'!C:AA,24,FALSE),"")</f>
        <v>24</v>
      </c>
      <c r="D1003" s="2">
        <f>IFERROR(VLOOKUP(B1003,'Deutsche Markt'!C:AA,25,FALSE),0)</f>
        <v>0</v>
      </c>
      <c r="E1003" s="2">
        <f t="shared" si="82"/>
        <v>0</v>
      </c>
      <c r="F1003" s="2">
        <f t="shared" si="83"/>
        <v>0</v>
      </c>
      <c r="G1003" s="2">
        <f t="shared" si="84"/>
        <v>0</v>
      </c>
      <c r="H1003" s="2">
        <f t="shared" si="85"/>
        <v>0</v>
      </c>
      <c r="I1003" s="2">
        <f t="shared" si="81"/>
        <v>0</v>
      </c>
      <c r="J1003">
        <f>IFERROR(VLOOKUP(B1003,'General price list'!C:AI,12,FALSE)*(G1003*C1003),0)</f>
        <v>0</v>
      </c>
    </row>
    <row r="1004" spans="2:10" ht="15" customHeight="1">
      <c r="B1004" t="s">
        <v>1965</v>
      </c>
      <c r="C1004" s="2" t="str">
        <f>IFERROR(VLOOKUP(B1004,'Deutsche Markt'!C:AA,24,FALSE),"")</f>
        <v>24</v>
      </c>
      <c r="D1004" s="2">
        <f>IFERROR(VLOOKUP(B1004,'Deutsche Markt'!C:AA,25,FALSE),0)</f>
        <v>0</v>
      </c>
      <c r="E1004" s="2">
        <f t="shared" si="82"/>
        <v>0</v>
      </c>
      <c r="F1004" s="2">
        <f t="shared" si="83"/>
        <v>0</v>
      </c>
      <c r="G1004" s="2">
        <f t="shared" si="84"/>
        <v>0</v>
      </c>
      <c r="H1004" s="2">
        <f t="shared" si="85"/>
        <v>0</v>
      </c>
      <c r="I1004" s="2">
        <f t="shared" si="81"/>
        <v>0</v>
      </c>
      <c r="J1004">
        <f>IFERROR(VLOOKUP(B1004,'General price list'!C:AI,12,FALSE)*(G1004*C1004),0)</f>
        <v>0</v>
      </c>
    </row>
    <row r="1005" spans="2:10" ht="15" customHeight="1">
      <c r="B1005" t="s">
        <v>1966</v>
      </c>
      <c r="C1005" s="2" t="str">
        <f>IFERROR(VLOOKUP(B1005,'Deutsche Markt'!C:AA,24,FALSE),"")</f>
        <v/>
      </c>
      <c r="D1005" s="2">
        <f>IFERROR(VLOOKUP(B1005,'Deutsche Markt'!C:AA,25,FALSE),0)</f>
        <v>0</v>
      </c>
      <c r="E1005" s="2">
        <f t="shared" si="82"/>
        <v>0</v>
      </c>
      <c r="F1005" s="2">
        <f t="shared" si="83"/>
        <v>0</v>
      </c>
      <c r="G1005" s="2">
        <f t="shared" si="84"/>
        <v>0</v>
      </c>
      <c r="H1005" s="2">
        <f t="shared" si="85"/>
        <v>0</v>
      </c>
      <c r="I1005" s="2">
        <f t="shared" si="81"/>
        <v>0</v>
      </c>
      <c r="J1005">
        <f>IFERROR(VLOOKUP(B1005,'General price list'!C:AI,12,FALSE)*(G1005*C1005),0)</f>
        <v>0</v>
      </c>
    </row>
    <row r="1006" spans="2:10" ht="15" customHeight="1">
      <c r="B1006" t="s">
        <v>1967</v>
      </c>
      <c r="C1006" s="2" t="str">
        <f>IFERROR(VLOOKUP(B1006,'Deutsche Markt'!C:AA,24,FALSE),"")</f>
        <v>24</v>
      </c>
      <c r="D1006" s="2">
        <f>IFERROR(VLOOKUP(B1006,'Deutsche Markt'!C:AA,25,FALSE),0)</f>
        <v>0</v>
      </c>
      <c r="E1006" s="2">
        <f t="shared" si="82"/>
        <v>0</v>
      </c>
      <c r="F1006" s="2">
        <f t="shared" si="83"/>
        <v>0</v>
      </c>
      <c r="G1006" s="2">
        <f t="shared" si="84"/>
        <v>0</v>
      </c>
      <c r="H1006" s="2">
        <f t="shared" si="85"/>
        <v>0</v>
      </c>
      <c r="I1006" s="2">
        <f t="shared" si="81"/>
        <v>0</v>
      </c>
      <c r="J1006">
        <f>IFERROR(VLOOKUP(B1006,'General price list'!C:AI,12,FALSE)*(G1006*C1006),0)</f>
        <v>0</v>
      </c>
    </row>
    <row r="1007" spans="2:10" ht="15" customHeight="1">
      <c r="B1007" t="s">
        <v>1982</v>
      </c>
      <c r="C1007" s="2">
        <f>IFERROR(VLOOKUP(B1007,'Deutsche Markt'!C:AA,24,FALSE),"")</f>
        <v>24</v>
      </c>
      <c r="D1007" s="2">
        <f>IFERROR(VLOOKUP(B1007,'Deutsche Markt'!C:AA,25,FALSE),0)</f>
        <v>0</v>
      </c>
      <c r="E1007" s="2">
        <f t="shared" si="82"/>
        <v>0</v>
      </c>
      <c r="F1007" s="2">
        <f t="shared" si="83"/>
        <v>0</v>
      </c>
      <c r="G1007" s="2">
        <f t="shared" si="84"/>
        <v>0</v>
      </c>
      <c r="H1007" s="2">
        <f t="shared" si="85"/>
        <v>0</v>
      </c>
      <c r="I1007" s="2">
        <f t="shared" si="81"/>
        <v>0</v>
      </c>
      <c r="J1007">
        <f>IFERROR(VLOOKUP(B1007,'General price list'!C:AI,12,FALSE)*(G1007*C1007),0)</f>
        <v>0</v>
      </c>
    </row>
    <row r="1008" spans="2:10" ht="15" customHeight="1">
      <c r="B1008" t="s">
        <v>1985</v>
      </c>
      <c r="C1008" s="2">
        <f>IFERROR(VLOOKUP(B1008,'Deutsche Markt'!C:AA,24,FALSE),"")</f>
        <v>24</v>
      </c>
      <c r="D1008" s="2">
        <f>IFERROR(VLOOKUP(B1008,'Deutsche Markt'!C:AA,25,FALSE),0)</f>
        <v>0</v>
      </c>
      <c r="E1008" s="2">
        <f t="shared" si="82"/>
        <v>0</v>
      </c>
      <c r="F1008" s="2">
        <f t="shared" si="83"/>
        <v>0</v>
      </c>
      <c r="G1008" s="2">
        <f t="shared" si="84"/>
        <v>0</v>
      </c>
      <c r="H1008" s="2">
        <f t="shared" si="85"/>
        <v>0</v>
      </c>
      <c r="I1008" s="2">
        <f t="shared" si="81"/>
        <v>0</v>
      </c>
      <c r="J1008">
        <f>IFERROR(VLOOKUP(B1008,'General price list'!C:AI,12,FALSE)*(G1008*C1008),0)</f>
        <v>0</v>
      </c>
    </row>
    <row r="1009" spans="2:10" ht="15" customHeight="1">
      <c r="B1009" t="s">
        <v>1988</v>
      </c>
      <c r="C1009" s="2">
        <f>IFERROR(VLOOKUP(B1009,'Deutsche Markt'!C:AA,24,FALSE),"")</f>
        <v>24</v>
      </c>
      <c r="D1009" s="2">
        <f>IFERROR(VLOOKUP(B1009,'Deutsche Markt'!C:AA,25,FALSE),0)</f>
        <v>0</v>
      </c>
      <c r="E1009" s="2">
        <f t="shared" si="82"/>
        <v>0</v>
      </c>
      <c r="F1009" s="2">
        <f t="shared" si="83"/>
        <v>0</v>
      </c>
      <c r="G1009" s="2">
        <f t="shared" si="84"/>
        <v>0</v>
      </c>
      <c r="H1009" s="2">
        <f t="shared" si="85"/>
        <v>0</v>
      </c>
      <c r="I1009" s="2">
        <f t="shared" si="81"/>
        <v>0</v>
      </c>
      <c r="J1009">
        <f>IFERROR(VLOOKUP(B1009,'General price list'!C:AI,12,FALSE)*(G1009*C1009),0)</f>
        <v>0</v>
      </c>
    </row>
    <row r="1010" spans="2:10" ht="15" customHeight="1">
      <c r="B1010" t="s">
        <v>1991</v>
      </c>
      <c r="C1010" s="2">
        <f>IFERROR(VLOOKUP(B1010,'Deutsche Markt'!C:AA,24,FALSE),"")</f>
        <v>24</v>
      </c>
      <c r="D1010" s="2">
        <f>IFERROR(VLOOKUP(B1010,'Deutsche Markt'!C:AA,25,FALSE),0)</f>
        <v>0</v>
      </c>
      <c r="E1010" s="2">
        <f t="shared" si="82"/>
        <v>0</v>
      </c>
      <c r="F1010" s="2">
        <f t="shared" si="83"/>
        <v>0</v>
      </c>
      <c r="G1010" s="2">
        <f t="shared" si="84"/>
        <v>0</v>
      </c>
      <c r="H1010" s="2">
        <f t="shared" si="85"/>
        <v>0</v>
      </c>
      <c r="I1010" s="2">
        <f t="shared" si="81"/>
        <v>0</v>
      </c>
      <c r="J1010">
        <f>IFERROR(VLOOKUP(B1010,'General price list'!C:AI,12,FALSE)*(G1010*C1010),0)</f>
        <v>0</v>
      </c>
    </row>
    <row r="1011" spans="2:10" ht="15" customHeight="1">
      <c r="B1011" t="s">
        <v>853</v>
      </c>
      <c r="C1011" s="2" t="str">
        <f>IFERROR(VLOOKUP(B1011,'Deutsche Markt'!C:AA,24,FALSE),"")</f>
        <v>95</v>
      </c>
      <c r="D1011" s="2">
        <f>IFERROR(VLOOKUP(B1011,'Deutsche Markt'!C:AA,25,FALSE),0)</f>
        <v>0</v>
      </c>
      <c r="E1011" s="2">
        <f t="shared" si="82"/>
        <v>0</v>
      </c>
      <c r="F1011" s="2">
        <f t="shared" si="83"/>
        <v>0</v>
      </c>
      <c r="G1011" s="2">
        <f t="shared" si="84"/>
        <v>0</v>
      </c>
      <c r="H1011" s="2">
        <f t="shared" si="85"/>
        <v>0</v>
      </c>
      <c r="I1011" s="2">
        <f t="shared" si="81"/>
        <v>0</v>
      </c>
      <c r="J1011">
        <f>IFERROR(VLOOKUP(B1011,'General price list'!C:AI,12,FALSE)*(G1011*C1011),0)</f>
        <v>0</v>
      </c>
    </row>
    <row r="1012" spans="2:10" ht="15" customHeight="1">
      <c r="B1012" t="s">
        <v>855</v>
      </c>
      <c r="C1012" s="2" t="str">
        <f>IFERROR(VLOOKUP(B1012,'Deutsche Markt'!C:AA,24,FALSE),"")</f>
        <v/>
      </c>
      <c r="D1012" s="2">
        <f>IFERROR(VLOOKUP(B1012,'Deutsche Markt'!C:AA,25,FALSE),0)</f>
        <v>0</v>
      </c>
      <c r="E1012" s="2">
        <f t="shared" si="82"/>
        <v>0</v>
      </c>
      <c r="F1012" s="2">
        <f t="shared" si="83"/>
        <v>0</v>
      </c>
      <c r="G1012" s="2">
        <f t="shared" si="84"/>
        <v>0</v>
      </c>
      <c r="H1012" s="2">
        <f t="shared" si="85"/>
        <v>0</v>
      </c>
      <c r="I1012" s="2">
        <f t="shared" si="81"/>
        <v>0</v>
      </c>
      <c r="J1012">
        <f>IFERROR(VLOOKUP(B1012,'General price list'!C:AI,12,FALSE)*(G1012*C1012),0)</f>
        <v>0</v>
      </c>
    </row>
    <row r="1013" spans="2:10" ht="15" customHeight="1">
      <c r="B1013" t="s">
        <v>2425</v>
      </c>
      <c r="C1013" s="2" t="str">
        <f>IFERROR(VLOOKUP(B1013,'Deutsche Markt'!C:AA,24,FALSE),"")</f>
        <v>24</v>
      </c>
      <c r="D1013" s="2">
        <f>IFERROR(VLOOKUP(B1013,'Deutsche Markt'!C:AA,25,FALSE),0)</f>
        <v>0</v>
      </c>
      <c r="E1013" s="2">
        <f t="shared" si="82"/>
        <v>0</v>
      </c>
      <c r="F1013" s="2">
        <f t="shared" si="83"/>
        <v>0</v>
      </c>
      <c r="G1013" s="2">
        <f t="shared" si="84"/>
        <v>0</v>
      </c>
      <c r="H1013" s="2">
        <f t="shared" si="85"/>
        <v>0</v>
      </c>
      <c r="I1013" s="2">
        <f t="shared" si="81"/>
        <v>0</v>
      </c>
      <c r="J1013">
        <f>IFERROR(VLOOKUP(B1013,'General price list'!C:AI,12,FALSE)*(G1013*C1013),0)</f>
        <v>0</v>
      </c>
    </row>
    <row r="1014" spans="2:10" ht="15" customHeight="1">
      <c r="B1014" t="s">
        <v>2022</v>
      </c>
      <c r="C1014" s="2" t="str">
        <f>IFERROR(VLOOKUP(B1014,'Deutsche Markt'!C:AA,24,FALSE),"")</f>
        <v>24</v>
      </c>
      <c r="D1014" s="2">
        <f>IFERROR(VLOOKUP(B1014,'Deutsche Markt'!C:AA,25,FALSE),0)</f>
        <v>0</v>
      </c>
      <c r="E1014" s="2">
        <f t="shared" si="82"/>
        <v>0</v>
      </c>
      <c r="F1014" s="2">
        <f t="shared" si="83"/>
        <v>0</v>
      </c>
      <c r="G1014" s="2">
        <f t="shared" si="84"/>
        <v>0</v>
      </c>
      <c r="H1014" s="2">
        <f t="shared" si="85"/>
        <v>0</v>
      </c>
      <c r="I1014" s="2">
        <f t="shared" si="81"/>
        <v>0</v>
      </c>
      <c r="J1014">
        <f>IFERROR(VLOOKUP(B1014,'General price list'!C:AI,12,FALSE)*(G1014*C1014),0)</f>
        <v>0</v>
      </c>
    </row>
    <row r="1015" spans="2:10" ht="15" customHeight="1">
      <c r="B1015" t="s">
        <v>2423</v>
      </c>
      <c r="C1015" s="2" t="str">
        <f>IFERROR(VLOOKUP(B1015,'Deutsche Markt'!C:AA,24,FALSE),"")</f>
        <v>24</v>
      </c>
      <c r="D1015" s="2">
        <f>IFERROR(VLOOKUP(B1015,'Deutsche Markt'!C:AA,25,FALSE),0)</f>
        <v>0</v>
      </c>
      <c r="E1015" s="2">
        <f t="shared" si="82"/>
        <v>0</v>
      </c>
      <c r="F1015" s="2">
        <f t="shared" si="83"/>
        <v>0</v>
      </c>
      <c r="G1015" s="2">
        <f t="shared" si="84"/>
        <v>0</v>
      </c>
      <c r="H1015" s="2">
        <f t="shared" si="85"/>
        <v>0</v>
      </c>
      <c r="I1015" s="2">
        <f t="shared" si="81"/>
        <v>0</v>
      </c>
      <c r="J1015">
        <f>IFERROR(VLOOKUP(B1015,'General price list'!C:AI,12,FALSE)*(G1015*C1015),0)</f>
        <v>0</v>
      </c>
    </row>
    <row r="1016" spans="2:10" ht="15" customHeight="1">
      <c r="B1016" t="s">
        <v>2023</v>
      </c>
      <c r="C1016" s="2" t="str">
        <f>IFERROR(VLOOKUP(B1016,'Deutsche Markt'!C:AA,24,FALSE),"")</f>
        <v>24</v>
      </c>
      <c r="D1016" s="2">
        <f>IFERROR(VLOOKUP(B1016,'Deutsche Markt'!C:AA,25,FALSE),0)</f>
        <v>0</v>
      </c>
      <c r="E1016" s="2">
        <f t="shared" si="82"/>
        <v>0</v>
      </c>
      <c r="F1016" s="2">
        <f t="shared" si="83"/>
        <v>0</v>
      </c>
      <c r="G1016" s="2">
        <f t="shared" si="84"/>
        <v>0</v>
      </c>
      <c r="H1016" s="2">
        <f t="shared" si="85"/>
        <v>0</v>
      </c>
      <c r="I1016" s="2">
        <f t="shared" si="81"/>
        <v>0</v>
      </c>
      <c r="J1016">
        <f>IFERROR(VLOOKUP(B1016,'General price list'!C:AI,12,FALSE)*(G1016*C1016),0)</f>
        <v>0</v>
      </c>
    </row>
    <row r="1017" spans="2:10" ht="15" customHeight="1">
      <c r="B1017" t="s">
        <v>2431</v>
      </c>
      <c r="C1017" s="2" t="str">
        <f>IFERROR(VLOOKUP(B1017,'Deutsche Markt'!C:AA,24,FALSE),"")</f>
        <v/>
      </c>
      <c r="D1017" s="2">
        <f>IFERROR(VLOOKUP(B1017,'Deutsche Markt'!C:AA,25,FALSE),0)</f>
        <v>0</v>
      </c>
      <c r="E1017" s="2">
        <f t="shared" si="82"/>
        <v>0</v>
      </c>
      <c r="F1017" s="2">
        <f t="shared" si="83"/>
        <v>0</v>
      </c>
      <c r="G1017" s="2">
        <f t="shared" si="84"/>
        <v>0</v>
      </c>
      <c r="H1017" s="2">
        <f t="shared" si="85"/>
        <v>0</v>
      </c>
      <c r="I1017" s="2">
        <f t="shared" si="81"/>
        <v>0</v>
      </c>
      <c r="J1017">
        <f>IFERROR(VLOOKUP(B1017,'General price list'!C:AI,12,FALSE)*(G1017*C1017),0)</f>
        <v>0</v>
      </c>
    </row>
    <row r="1018" spans="2:10" ht="15" customHeight="1">
      <c r="B1018" t="s">
        <v>847</v>
      </c>
      <c r="C1018" s="2" t="str">
        <f>IFERROR(VLOOKUP(B1018,'Deutsche Markt'!C:AA,24,FALSE),"")</f>
        <v>87</v>
      </c>
      <c r="D1018" s="2">
        <f>IFERROR(VLOOKUP(B1018,'Deutsche Markt'!C:AA,25,FALSE),0)</f>
        <v>0</v>
      </c>
      <c r="E1018" s="2">
        <f t="shared" si="82"/>
        <v>0</v>
      </c>
      <c r="F1018" s="2">
        <f t="shared" si="83"/>
        <v>0</v>
      </c>
      <c r="G1018" s="2">
        <f t="shared" si="84"/>
        <v>0</v>
      </c>
      <c r="H1018" s="2">
        <f t="shared" si="85"/>
        <v>0</v>
      </c>
      <c r="I1018" s="2">
        <f t="shared" si="81"/>
        <v>0</v>
      </c>
      <c r="J1018">
        <f>IFERROR(VLOOKUP(B1018,'General price list'!C:AI,12,FALSE)*(G1018*C1018),0)</f>
        <v>0</v>
      </c>
    </row>
    <row r="1019" spans="2:10" ht="15" customHeight="1">
      <c r="B1019" t="s">
        <v>918</v>
      </c>
      <c r="C1019" s="2" t="str">
        <f>IFERROR(VLOOKUP(B1019,'Deutsche Markt'!C:AA,24,FALSE),"")</f>
        <v/>
      </c>
      <c r="D1019" s="2">
        <f>IFERROR(VLOOKUP(B1019,'Deutsche Markt'!C:AA,25,FALSE),0)</f>
        <v>0</v>
      </c>
      <c r="E1019" s="2">
        <f t="shared" si="82"/>
        <v>0</v>
      </c>
      <c r="F1019" s="2">
        <f t="shared" si="83"/>
        <v>0</v>
      </c>
      <c r="G1019" s="2">
        <f t="shared" si="84"/>
        <v>0</v>
      </c>
      <c r="H1019" s="2">
        <f t="shared" si="85"/>
        <v>0</v>
      </c>
      <c r="I1019" s="2">
        <f t="shared" si="81"/>
        <v>0</v>
      </c>
      <c r="J1019">
        <f>IFERROR(VLOOKUP(B1019,'General price list'!C:AI,12,FALSE)*(G1019*C1019),0)</f>
        <v>0</v>
      </c>
    </row>
    <row r="1020" spans="2:10" ht="15" customHeight="1">
      <c r="B1020" t="s">
        <v>838</v>
      </c>
      <c r="C1020" s="2" t="str">
        <f>IFERROR(VLOOKUP(B1020,'Deutsche Markt'!C:AA,24,FALSE),"")</f>
        <v/>
      </c>
      <c r="D1020" s="2">
        <f>IFERROR(VLOOKUP(B1020,'Deutsche Markt'!C:AA,25,FALSE),0)</f>
        <v>0</v>
      </c>
      <c r="E1020" s="2">
        <f t="shared" si="82"/>
        <v>0</v>
      </c>
      <c r="F1020" s="2">
        <f t="shared" si="83"/>
        <v>0</v>
      </c>
      <c r="G1020" s="2">
        <f t="shared" si="84"/>
        <v>0</v>
      </c>
      <c r="H1020" s="2">
        <f t="shared" si="85"/>
        <v>0</v>
      </c>
      <c r="I1020" s="2">
        <f t="shared" si="81"/>
        <v>0</v>
      </c>
      <c r="J1020">
        <f>IFERROR(VLOOKUP(B1020,'General price list'!C:AI,12,FALSE)*(G1020*C1020),0)</f>
        <v>0</v>
      </c>
    </row>
    <row r="1021" spans="2:10" ht="15" customHeight="1">
      <c r="B1021" t="s">
        <v>2743</v>
      </c>
      <c r="C1021" s="2" t="str">
        <f>IFERROR(VLOOKUP(B1021,'Deutsche Markt'!C:AA,24,FALSE),"")</f>
        <v/>
      </c>
      <c r="D1021" s="2">
        <f>IFERROR(VLOOKUP(B1021,'Deutsche Markt'!C:AA,25,FALSE),0)</f>
        <v>0</v>
      </c>
      <c r="E1021" s="2">
        <f t="shared" si="82"/>
        <v>0</v>
      </c>
      <c r="F1021" s="2">
        <f t="shared" si="83"/>
        <v>0</v>
      </c>
      <c r="G1021" s="2">
        <f t="shared" si="84"/>
        <v>0</v>
      </c>
      <c r="H1021" s="2">
        <f t="shared" si="85"/>
        <v>0</v>
      </c>
      <c r="I1021" s="2">
        <f t="shared" si="81"/>
        <v>0</v>
      </c>
      <c r="J1021">
        <f>IFERROR(VLOOKUP(B1021,'General price list'!C:AI,12,FALSE)*(G1021*C1021),0)</f>
        <v>0</v>
      </c>
    </row>
    <row r="1022" spans="2:10" ht="15" customHeight="1">
      <c r="B1022" t="s">
        <v>1791</v>
      </c>
      <c r="C1022" s="2" t="str">
        <f>IFERROR(VLOOKUP(B1022,'Deutsche Markt'!C:AA,24,FALSE),"")</f>
        <v/>
      </c>
      <c r="D1022" s="2">
        <f>IFERROR(VLOOKUP(B1022,'Deutsche Markt'!C:AA,25,FALSE),0)</f>
        <v>0</v>
      </c>
      <c r="E1022" s="2">
        <f t="shared" si="82"/>
        <v>0</v>
      </c>
      <c r="F1022" s="2">
        <f t="shared" si="83"/>
        <v>0</v>
      </c>
      <c r="G1022" s="2">
        <f t="shared" si="84"/>
        <v>0</v>
      </c>
      <c r="H1022" s="2">
        <f t="shared" si="85"/>
        <v>0</v>
      </c>
      <c r="I1022" s="2">
        <f t="shared" si="81"/>
        <v>0</v>
      </c>
      <c r="J1022">
        <f>IFERROR(VLOOKUP(B1022,'General price list'!C:AI,12,FALSE)*(G1022*C1022),0)</f>
        <v>0</v>
      </c>
    </row>
    <row r="1023" spans="2:10" ht="15" customHeight="1">
      <c r="B1023" t="s">
        <v>1793</v>
      </c>
      <c r="C1023" s="2" t="str">
        <f>IFERROR(VLOOKUP(B1023,'Deutsche Markt'!C:AA,24,FALSE),"")</f>
        <v/>
      </c>
      <c r="D1023" s="2">
        <f>IFERROR(VLOOKUP(B1023,'Deutsche Markt'!C:AA,25,FALSE),0)</f>
        <v>0</v>
      </c>
      <c r="E1023" s="2">
        <f t="shared" si="82"/>
        <v>0</v>
      </c>
      <c r="F1023" s="2">
        <f t="shared" si="83"/>
        <v>0</v>
      </c>
      <c r="G1023" s="2">
        <f t="shared" si="84"/>
        <v>0</v>
      </c>
      <c r="H1023" s="2">
        <f t="shared" si="85"/>
        <v>0</v>
      </c>
      <c r="I1023" s="2">
        <f t="shared" si="81"/>
        <v>0</v>
      </c>
      <c r="J1023">
        <f>IFERROR(VLOOKUP(B1023,'General price list'!C:AI,12,FALSE)*(G1023*C1023),0)</f>
        <v>0</v>
      </c>
    </row>
    <row r="1024" spans="2:10" ht="15" customHeight="1">
      <c r="B1024" t="s">
        <v>1795</v>
      </c>
      <c r="C1024" s="2" t="str">
        <f>IFERROR(VLOOKUP(B1024,'Deutsche Markt'!C:AA,24,FALSE),"")</f>
        <v/>
      </c>
      <c r="D1024" s="2">
        <f>IFERROR(VLOOKUP(B1024,'Deutsche Markt'!C:AA,25,FALSE),0)</f>
        <v>0</v>
      </c>
      <c r="E1024" s="2">
        <f t="shared" si="82"/>
        <v>0</v>
      </c>
      <c r="F1024" s="2">
        <f t="shared" si="83"/>
        <v>0</v>
      </c>
      <c r="G1024" s="2">
        <f t="shared" si="84"/>
        <v>0</v>
      </c>
      <c r="H1024" s="2">
        <f t="shared" si="85"/>
        <v>0</v>
      </c>
      <c r="I1024" s="2">
        <f t="shared" si="81"/>
        <v>0</v>
      </c>
      <c r="J1024">
        <f>IFERROR(VLOOKUP(B1024,'General price list'!C:AI,12,FALSE)*(G1024*C1024),0)</f>
        <v>0</v>
      </c>
    </row>
    <row r="1025" spans="2:10" ht="15" customHeight="1">
      <c r="B1025" t="s">
        <v>1797</v>
      </c>
      <c r="C1025" s="2" t="str">
        <f>IFERROR(VLOOKUP(B1025,'Deutsche Markt'!C:AA,24,FALSE),"")</f>
        <v/>
      </c>
      <c r="D1025" s="2">
        <f>IFERROR(VLOOKUP(B1025,'Deutsche Markt'!C:AA,25,FALSE),0)</f>
        <v>0</v>
      </c>
      <c r="E1025" s="2">
        <f t="shared" si="82"/>
        <v>0</v>
      </c>
      <c r="F1025" s="2">
        <f t="shared" si="83"/>
        <v>0</v>
      </c>
      <c r="G1025" s="2">
        <f t="shared" si="84"/>
        <v>0</v>
      </c>
      <c r="H1025" s="2">
        <f t="shared" si="85"/>
        <v>0</v>
      </c>
      <c r="I1025" s="2">
        <f t="shared" si="81"/>
        <v>0</v>
      </c>
      <c r="J1025">
        <f>IFERROR(VLOOKUP(B1025,'General price list'!C:AI,12,FALSE)*(G1025*C1025),0)</f>
        <v>0</v>
      </c>
    </row>
    <row r="1026" spans="2:10" ht="15" customHeight="1">
      <c r="B1026" t="s">
        <v>1799</v>
      </c>
      <c r="C1026" s="2" t="str">
        <f>IFERROR(VLOOKUP(B1026,'Deutsche Markt'!C:AA,24,FALSE),"")</f>
        <v/>
      </c>
      <c r="D1026" s="2">
        <f>IFERROR(VLOOKUP(B1026,'Deutsche Markt'!C:AA,25,FALSE),0)</f>
        <v>0</v>
      </c>
      <c r="E1026" s="2">
        <f t="shared" si="82"/>
        <v>0</v>
      </c>
      <c r="F1026" s="2">
        <f t="shared" si="83"/>
        <v>0</v>
      </c>
      <c r="G1026" s="2">
        <f t="shared" si="84"/>
        <v>0</v>
      </c>
      <c r="H1026" s="2">
        <f t="shared" si="85"/>
        <v>0</v>
      </c>
      <c r="I1026" s="2">
        <f t="shared" si="81"/>
        <v>0</v>
      </c>
      <c r="J1026">
        <f>IFERROR(VLOOKUP(B1026,'General price list'!C:AI,12,FALSE)*(G1026*C1026),0)</f>
        <v>0</v>
      </c>
    </row>
    <row r="1027" spans="2:10" ht="15" customHeight="1">
      <c r="B1027" t="s">
        <v>1801</v>
      </c>
      <c r="C1027" s="2" t="str">
        <f>IFERROR(VLOOKUP(B1027,'Deutsche Markt'!C:AA,24,FALSE),"")</f>
        <v/>
      </c>
      <c r="D1027" s="2">
        <f>IFERROR(VLOOKUP(B1027,'Deutsche Markt'!C:AA,25,FALSE),0)</f>
        <v>0</v>
      </c>
      <c r="E1027" s="2">
        <f t="shared" si="82"/>
        <v>0</v>
      </c>
      <c r="F1027" s="2">
        <f t="shared" si="83"/>
        <v>0</v>
      </c>
      <c r="G1027" s="2">
        <f t="shared" si="84"/>
        <v>0</v>
      </c>
      <c r="H1027" s="2">
        <f t="shared" si="85"/>
        <v>0</v>
      </c>
      <c r="I1027" s="2">
        <f t="shared" si="81"/>
        <v>0</v>
      </c>
      <c r="J1027">
        <f>IFERROR(VLOOKUP(B1027,'General price list'!C:AI,12,FALSE)*(G1027*C1027),0)</f>
        <v>0</v>
      </c>
    </row>
    <row r="1028" spans="2:10" ht="15" customHeight="1">
      <c r="B1028" t="s">
        <v>1803</v>
      </c>
      <c r="C1028" s="2" t="str">
        <f>IFERROR(VLOOKUP(B1028,'Deutsche Markt'!C:AA,24,FALSE),"")</f>
        <v/>
      </c>
      <c r="D1028" s="2">
        <f>IFERROR(VLOOKUP(B1028,'Deutsche Markt'!C:AA,25,FALSE),0)</f>
        <v>0</v>
      </c>
      <c r="E1028" s="2">
        <f t="shared" si="82"/>
        <v>0</v>
      </c>
      <c r="F1028" s="2">
        <f t="shared" si="83"/>
        <v>0</v>
      </c>
      <c r="G1028" s="2">
        <f t="shared" si="84"/>
        <v>0</v>
      </c>
      <c r="H1028" s="2">
        <f t="shared" si="85"/>
        <v>0</v>
      </c>
      <c r="I1028" s="2">
        <f t="shared" ref="I1028:I1091" si="86">IFERROR(IF(D1028=0,0,IF(F1028=0,(D1028*nextVK)+(prvniVK-nextVK),(G1028*C1028*nextVK)+(F1028*PALzKoje))),0)</f>
        <v>0</v>
      </c>
      <c r="J1028">
        <f>IFERROR(VLOOKUP(B1028,'General price list'!C:AI,12,FALSE)*(G1028*C1028),0)</f>
        <v>0</v>
      </c>
    </row>
    <row r="1029" spans="2:10" ht="15" customHeight="1">
      <c r="B1029" t="s">
        <v>1805</v>
      </c>
      <c r="C1029" s="2" t="str">
        <f>IFERROR(VLOOKUP(B1029,'Deutsche Markt'!C:AA,24,FALSE),"")</f>
        <v/>
      </c>
      <c r="D1029" s="2">
        <f>IFERROR(VLOOKUP(B1029,'Deutsche Markt'!C:AA,25,FALSE),0)</f>
        <v>0</v>
      </c>
      <c r="E1029" s="2">
        <f t="shared" ref="E1029:E1092" si="87">IFERROR(D1029/C1029,0)</f>
        <v>0</v>
      </c>
      <c r="F1029" s="2">
        <f t="shared" ref="F1029:F1092" si="88">IFERROR(FLOOR(IF(E1029-1&lt;0,0,E1029),1),0)</f>
        <v>0</v>
      </c>
      <c r="G1029" s="2">
        <f t="shared" ref="G1029:G1092" si="89">IFERROR(IF(H1029&gt;E1029,F1029-E1029,E1029-F1029),0)</f>
        <v>0</v>
      </c>
      <c r="H1029" s="2">
        <f t="shared" ref="H1029:H1092" si="90">IFERROR(IF(E1029=0,0,F1029),0)</f>
        <v>0</v>
      </c>
      <c r="I1029" s="2">
        <f t="shared" si="86"/>
        <v>0</v>
      </c>
      <c r="J1029">
        <f>IFERROR(VLOOKUP(B1029,'General price list'!C:AI,12,FALSE)*(G1029*C1029),0)</f>
        <v>0</v>
      </c>
    </row>
    <row r="1030" spans="2:10" ht="15" customHeight="1">
      <c r="B1030" t="s">
        <v>1809</v>
      </c>
      <c r="C1030" s="2" t="str">
        <f>IFERROR(VLOOKUP(B1030,'Deutsche Markt'!C:AA,24,FALSE),"")</f>
        <v/>
      </c>
      <c r="D1030" s="2">
        <f>IFERROR(VLOOKUP(B1030,'Deutsche Markt'!C:AA,25,FALSE),0)</f>
        <v>0</v>
      </c>
      <c r="E1030" s="2">
        <f t="shared" si="87"/>
        <v>0</v>
      </c>
      <c r="F1030" s="2">
        <f t="shared" si="88"/>
        <v>0</v>
      </c>
      <c r="G1030" s="2">
        <f t="shared" si="89"/>
        <v>0</v>
      </c>
      <c r="H1030" s="2">
        <f t="shared" si="90"/>
        <v>0</v>
      </c>
      <c r="I1030" s="2">
        <f t="shared" si="86"/>
        <v>0</v>
      </c>
      <c r="J1030">
        <f>IFERROR(VLOOKUP(B1030,'General price list'!C:AI,12,FALSE)*(G1030*C1030),0)</f>
        <v>0</v>
      </c>
    </row>
    <row r="1031" spans="2:10" ht="15" customHeight="1">
      <c r="B1031" t="s">
        <v>1811</v>
      </c>
      <c r="C1031" s="2" t="str">
        <f>IFERROR(VLOOKUP(B1031,'Deutsche Markt'!C:AA,24,FALSE),"")</f>
        <v/>
      </c>
      <c r="D1031" s="2">
        <f>IFERROR(VLOOKUP(B1031,'Deutsche Markt'!C:AA,25,FALSE),0)</f>
        <v>0</v>
      </c>
      <c r="E1031" s="2">
        <f t="shared" si="87"/>
        <v>0</v>
      </c>
      <c r="F1031" s="2">
        <f t="shared" si="88"/>
        <v>0</v>
      </c>
      <c r="G1031" s="2">
        <f t="shared" si="89"/>
        <v>0</v>
      </c>
      <c r="H1031" s="2">
        <f t="shared" si="90"/>
        <v>0</v>
      </c>
      <c r="I1031" s="2">
        <f t="shared" si="86"/>
        <v>0</v>
      </c>
      <c r="J1031">
        <f>IFERROR(VLOOKUP(B1031,'General price list'!C:AI,12,FALSE)*(G1031*C1031),0)</f>
        <v>0</v>
      </c>
    </row>
    <row r="1032" spans="2:10" ht="15" customHeight="1">
      <c r="B1032" t="s">
        <v>1825</v>
      </c>
      <c r="C1032" s="2" t="str">
        <f>IFERROR(VLOOKUP(B1032,'Deutsche Markt'!C:AA,24,FALSE),"")</f>
        <v/>
      </c>
      <c r="D1032" s="2">
        <f>IFERROR(VLOOKUP(B1032,'Deutsche Markt'!C:AA,25,FALSE),0)</f>
        <v>0</v>
      </c>
      <c r="E1032" s="2">
        <f t="shared" si="87"/>
        <v>0</v>
      </c>
      <c r="F1032" s="2">
        <f t="shared" si="88"/>
        <v>0</v>
      </c>
      <c r="G1032" s="2">
        <f t="shared" si="89"/>
        <v>0</v>
      </c>
      <c r="H1032" s="2">
        <f t="shared" si="90"/>
        <v>0</v>
      </c>
      <c r="I1032" s="2">
        <f t="shared" si="86"/>
        <v>0</v>
      </c>
      <c r="J1032">
        <f>IFERROR(VLOOKUP(B1032,'General price list'!C:AI,12,FALSE)*(G1032*C1032),0)</f>
        <v>0</v>
      </c>
    </row>
    <row r="1033" spans="2:10" ht="15" customHeight="1">
      <c r="B1033" t="s">
        <v>1827</v>
      </c>
      <c r="C1033" s="2" t="str">
        <f>IFERROR(VLOOKUP(B1033,'Deutsche Markt'!C:AA,24,FALSE),"")</f>
        <v/>
      </c>
      <c r="D1033" s="2">
        <f>IFERROR(VLOOKUP(B1033,'Deutsche Markt'!C:AA,25,FALSE),0)</f>
        <v>0</v>
      </c>
      <c r="E1033" s="2">
        <f t="shared" si="87"/>
        <v>0</v>
      </c>
      <c r="F1033" s="2">
        <f t="shared" si="88"/>
        <v>0</v>
      </c>
      <c r="G1033" s="2">
        <f t="shared" si="89"/>
        <v>0</v>
      </c>
      <c r="H1033" s="2">
        <f t="shared" si="90"/>
        <v>0</v>
      </c>
      <c r="I1033" s="2">
        <f t="shared" si="86"/>
        <v>0</v>
      </c>
      <c r="J1033">
        <f>IFERROR(VLOOKUP(B1033,'General price list'!C:AI,12,FALSE)*(G1033*C1033),0)</f>
        <v>0</v>
      </c>
    </row>
    <row r="1034" spans="2:10" ht="15" customHeight="1">
      <c r="B1034" t="s">
        <v>649</v>
      </c>
      <c r="C1034" s="2">
        <f>IFERROR(VLOOKUP(B1034,'Deutsche Markt'!C:AA,24,FALSE),"")</f>
        <v>28</v>
      </c>
      <c r="D1034" s="2">
        <f>IFERROR(VLOOKUP(B1034,'Deutsche Markt'!C:AA,25,FALSE),0)</f>
        <v>0</v>
      </c>
      <c r="E1034" s="2">
        <f t="shared" si="87"/>
        <v>0</v>
      </c>
      <c r="F1034" s="2">
        <f t="shared" si="88"/>
        <v>0</v>
      </c>
      <c r="G1034" s="2">
        <f t="shared" si="89"/>
        <v>0</v>
      </c>
      <c r="H1034" s="2">
        <f t="shared" si="90"/>
        <v>0</v>
      </c>
      <c r="I1034" s="2">
        <f t="shared" si="86"/>
        <v>0</v>
      </c>
      <c r="J1034">
        <f>IFERROR(VLOOKUP(B1034,'General price list'!C:AI,12,FALSE)*(G1034*C1034),0)</f>
        <v>0</v>
      </c>
    </row>
    <row r="1035" spans="2:10" ht="15" customHeight="1">
      <c r="B1035" t="s">
        <v>2309</v>
      </c>
      <c r="C1035" s="2">
        <f>IFERROR(VLOOKUP(B1035,'Deutsche Markt'!C:AA,24,FALSE),"")</f>
        <v>36</v>
      </c>
      <c r="D1035" s="2">
        <f>IFERROR(VLOOKUP(B1035,'Deutsche Markt'!C:AA,25,FALSE),0)</f>
        <v>0</v>
      </c>
      <c r="E1035" s="2">
        <f t="shared" si="87"/>
        <v>0</v>
      </c>
      <c r="F1035" s="2">
        <f t="shared" si="88"/>
        <v>0</v>
      </c>
      <c r="G1035" s="2">
        <f t="shared" si="89"/>
        <v>0</v>
      </c>
      <c r="H1035" s="2">
        <f t="shared" si="90"/>
        <v>0</v>
      </c>
      <c r="I1035" s="2">
        <f t="shared" si="86"/>
        <v>0</v>
      </c>
      <c r="J1035">
        <f>IFERROR(VLOOKUP(B1035,'General price list'!C:AI,12,FALSE)*(G1035*C1035),0)</f>
        <v>0</v>
      </c>
    </row>
    <row r="1036" spans="2:10" ht="15" customHeight="1">
      <c r="B1036" t="s">
        <v>668</v>
      </c>
      <c r="C1036" s="2" t="str">
        <f>IFERROR(VLOOKUP(B1036,'Deutsche Markt'!C:AA,24,FALSE),"")</f>
        <v/>
      </c>
      <c r="D1036" s="2">
        <f>IFERROR(VLOOKUP(B1036,'Deutsche Markt'!C:AA,25,FALSE),0)</f>
        <v>0</v>
      </c>
      <c r="E1036" s="2">
        <f t="shared" si="87"/>
        <v>0</v>
      </c>
      <c r="F1036" s="2">
        <f t="shared" si="88"/>
        <v>0</v>
      </c>
      <c r="G1036" s="2">
        <f t="shared" si="89"/>
        <v>0</v>
      </c>
      <c r="H1036" s="2">
        <f t="shared" si="90"/>
        <v>0</v>
      </c>
      <c r="I1036" s="2">
        <f t="shared" si="86"/>
        <v>0</v>
      </c>
      <c r="J1036">
        <f>IFERROR(VLOOKUP(B1036,'General price list'!C:AI,12,FALSE)*(G1036*C1036),0)</f>
        <v>0</v>
      </c>
    </row>
    <row r="1037" spans="2:10" ht="15" customHeight="1">
      <c r="B1037" t="s">
        <v>667</v>
      </c>
      <c r="C1037" s="2" t="str">
        <f>IFERROR(VLOOKUP(B1037,'Deutsche Markt'!C:AA,24,FALSE),"")</f>
        <v/>
      </c>
      <c r="D1037" s="2">
        <f>IFERROR(VLOOKUP(B1037,'Deutsche Markt'!C:AA,25,FALSE),0)</f>
        <v>0</v>
      </c>
      <c r="E1037" s="2">
        <f t="shared" si="87"/>
        <v>0</v>
      </c>
      <c r="F1037" s="2">
        <f t="shared" si="88"/>
        <v>0</v>
      </c>
      <c r="G1037" s="2">
        <f t="shared" si="89"/>
        <v>0</v>
      </c>
      <c r="H1037" s="2">
        <f t="shared" si="90"/>
        <v>0</v>
      </c>
      <c r="I1037" s="2">
        <f t="shared" si="86"/>
        <v>0</v>
      </c>
      <c r="J1037">
        <f>IFERROR(VLOOKUP(B1037,'General price list'!C:AI,12,FALSE)*(G1037*C1037),0)</f>
        <v>0</v>
      </c>
    </row>
    <row r="1038" spans="2:10" ht="15" customHeight="1">
      <c r="B1038" t="s">
        <v>2410</v>
      </c>
      <c r="C1038" s="2" t="str">
        <f>IFERROR(VLOOKUP(B1038,'Deutsche Markt'!C:AA,24,FALSE),"")</f>
        <v/>
      </c>
      <c r="D1038" s="2">
        <f>IFERROR(VLOOKUP(B1038,'Deutsche Markt'!C:AA,25,FALSE),0)</f>
        <v>0</v>
      </c>
      <c r="E1038" s="2">
        <f t="shared" si="87"/>
        <v>0</v>
      </c>
      <c r="F1038" s="2">
        <f t="shared" si="88"/>
        <v>0</v>
      </c>
      <c r="G1038" s="2">
        <f t="shared" si="89"/>
        <v>0</v>
      </c>
      <c r="H1038" s="2">
        <f t="shared" si="90"/>
        <v>0</v>
      </c>
      <c r="I1038" s="2">
        <f t="shared" si="86"/>
        <v>0</v>
      </c>
      <c r="J1038">
        <f>IFERROR(VLOOKUP(B1038,'General price list'!C:AI,12,FALSE)*(G1038*C1038),0)</f>
        <v>0</v>
      </c>
    </row>
    <row r="1039" spans="2:10" ht="15" customHeight="1">
      <c r="B1039" t="s">
        <v>1585</v>
      </c>
      <c r="C1039" s="2" t="str">
        <f>IFERROR(VLOOKUP(B1039,'Deutsche Markt'!C:AA,24,FALSE),"")</f>
        <v/>
      </c>
      <c r="D1039" s="2">
        <f>IFERROR(VLOOKUP(B1039,'Deutsche Markt'!C:AA,25,FALSE),0)</f>
        <v>0</v>
      </c>
      <c r="E1039" s="2">
        <f t="shared" si="87"/>
        <v>0</v>
      </c>
      <c r="F1039" s="2">
        <f t="shared" si="88"/>
        <v>0</v>
      </c>
      <c r="G1039" s="2">
        <f t="shared" si="89"/>
        <v>0</v>
      </c>
      <c r="H1039" s="2">
        <f t="shared" si="90"/>
        <v>0</v>
      </c>
      <c r="I1039" s="2">
        <f t="shared" si="86"/>
        <v>0</v>
      </c>
      <c r="J1039">
        <f>IFERROR(VLOOKUP(B1039,'General price list'!C:AI,12,FALSE)*(G1039*C1039),0)</f>
        <v>0</v>
      </c>
    </row>
    <row r="1040" spans="2:10" ht="15" customHeight="1">
      <c r="B1040" t="s">
        <v>2411</v>
      </c>
      <c r="C1040" s="2" t="str">
        <f>IFERROR(VLOOKUP(B1040,'Deutsche Markt'!C:AA,24,FALSE),"")</f>
        <v/>
      </c>
      <c r="D1040" s="2">
        <f>IFERROR(VLOOKUP(B1040,'Deutsche Markt'!C:AA,25,FALSE),0)</f>
        <v>0</v>
      </c>
      <c r="E1040" s="2">
        <f t="shared" si="87"/>
        <v>0</v>
      </c>
      <c r="F1040" s="2">
        <f t="shared" si="88"/>
        <v>0</v>
      </c>
      <c r="G1040" s="2">
        <f t="shared" si="89"/>
        <v>0</v>
      </c>
      <c r="H1040" s="2">
        <f t="shared" si="90"/>
        <v>0</v>
      </c>
      <c r="I1040" s="2">
        <f t="shared" si="86"/>
        <v>0</v>
      </c>
      <c r="J1040">
        <f>IFERROR(VLOOKUP(B1040,'General price list'!C:AI,12,FALSE)*(G1040*C1040),0)</f>
        <v>0</v>
      </c>
    </row>
    <row r="1041" spans="2:10" ht="15" customHeight="1">
      <c r="B1041" t="s">
        <v>1586</v>
      </c>
      <c r="C1041" s="2" t="str">
        <f>IFERROR(VLOOKUP(B1041,'Deutsche Markt'!C:AA,24,FALSE),"")</f>
        <v/>
      </c>
      <c r="D1041" s="2">
        <f>IFERROR(VLOOKUP(B1041,'Deutsche Markt'!C:AA,25,FALSE),0)</f>
        <v>0</v>
      </c>
      <c r="E1041" s="2">
        <f t="shared" si="87"/>
        <v>0</v>
      </c>
      <c r="F1041" s="2">
        <f t="shared" si="88"/>
        <v>0</v>
      </c>
      <c r="G1041" s="2">
        <f t="shared" si="89"/>
        <v>0</v>
      </c>
      <c r="H1041" s="2">
        <f t="shared" si="90"/>
        <v>0</v>
      </c>
      <c r="I1041" s="2">
        <f t="shared" si="86"/>
        <v>0</v>
      </c>
      <c r="J1041">
        <f>IFERROR(VLOOKUP(B1041,'General price list'!C:AI,12,FALSE)*(G1041*C1041),0)</f>
        <v>0</v>
      </c>
    </row>
    <row r="1042" spans="2:10" ht="15" customHeight="1">
      <c r="B1042" t="s">
        <v>663</v>
      </c>
      <c r="C1042" s="2" t="str">
        <f>IFERROR(VLOOKUP(B1042,'Deutsche Markt'!C:AA,24,FALSE),"")</f>
        <v/>
      </c>
      <c r="D1042" s="2">
        <f>IFERROR(VLOOKUP(B1042,'Deutsche Markt'!C:AA,25,FALSE),0)</f>
        <v>0</v>
      </c>
      <c r="E1042" s="2">
        <f t="shared" si="87"/>
        <v>0</v>
      </c>
      <c r="F1042" s="2">
        <f t="shared" si="88"/>
        <v>0</v>
      </c>
      <c r="G1042" s="2">
        <f t="shared" si="89"/>
        <v>0</v>
      </c>
      <c r="H1042" s="2">
        <f t="shared" si="90"/>
        <v>0</v>
      </c>
      <c r="I1042" s="2">
        <f t="shared" si="86"/>
        <v>0</v>
      </c>
      <c r="J1042">
        <f>IFERROR(VLOOKUP(B1042,'General price list'!C:AI,12,FALSE)*(G1042*C1042),0)</f>
        <v>0</v>
      </c>
    </row>
    <row r="1043" spans="2:10" ht="15" customHeight="1">
      <c r="B1043" t="s">
        <v>660</v>
      </c>
      <c r="C1043" s="2">
        <f>IFERROR(VLOOKUP(B1043,'Deutsche Markt'!C:AA,24,FALSE),"")</f>
        <v>18</v>
      </c>
      <c r="D1043" s="2">
        <f>IFERROR(VLOOKUP(B1043,'Deutsche Markt'!C:AA,25,FALSE),0)</f>
        <v>0</v>
      </c>
      <c r="E1043" s="2">
        <f t="shared" si="87"/>
        <v>0</v>
      </c>
      <c r="F1043" s="2">
        <f t="shared" si="88"/>
        <v>0</v>
      </c>
      <c r="G1043" s="2">
        <f t="shared" si="89"/>
        <v>0</v>
      </c>
      <c r="H1043" s="2">
        <f t="shared" si="90"/>
        <v>0</v>
      </c>
      <c r="I1043" s="2">
        <f t="shared" si="86"/>
        <v>0</v>
      </c>
      <c r="J1043">
        <f>IFERROR(VLOOKUP(B1043,'General price list'!C:AI,12,FALSE)*(G1043*C1043),0)</f>
        <v>0</v>
      </c>
    </row>
    <row r="1044" spans="2:10" ht="15" customHeight="1">
      <c r="B1044" t="s">
        <v>670</v>
      </c>
      <c r="C1044" s="2" t="str">
        <f>IFERROR(VLOOKUP(B1044,'Deutsche Markt'!C:AA,24,FALSE),"")</f>
        <v/>
      </c>
      <c r="D1044" s="2">
        <f>IFERROR(VLOOKUP(B1044,'Deutsche Markt'!C:AA,25,FALSE),0)</f>
        <v>0</v>
      </c>
      <c r="E1044" s="2">
        <f t="shared" si="87"/>
        <v>0</v>
      </c>
      <c r="F1044" s="2">
        <f t="shared" si="88"/>
        <v>0</v>
      </c>
      <c r="G1044" s="2">
        <f t="shared" si="89"/>
        <v>0</v>
      </c>
      <c r="H1044" s="2">
        <f t="shared" si="90"/>
        <v>0</v>
      </c>
      <c r="I1044" s="2">
        <f t="shared" si="86"/>
        <v>0</v>
      </c>
      <c r="J1044">
        <f>IFERROR(VLOOKUP(B1044,'General price list'!C:AI,12,FALSE)*(G1044*C1044),0)</f>
        <v>0</v>
      </c>
    </row>
    <row r="1045" spans="2:10" ht="15" customHeight="1">
      <c r="B1045" t="s">
        <v>2412</v>
      </c>
      <c r="C1045" s="2" t="str">
        <f>IFERROR(VLOOKUP(B1045,'Deutsche Markt'!C:AA,24,FALSE),"")</f>
        <v/>
      </c>
      <c r="D1045" s="2">
        <f>IFERROR(VLOOKUP(B1045,'Deutsche Markt'!C:AA,25,FALSE),0)</f>
        <v>0</v>
      </c>
      <c r="E1045" s="2">
        <f t="shared" si="87"/>
        <v>0</v>
      </c>
      <c r="F1045" s="2">
        <f t="shared" si="88"/>
        <v>0</v>
      </c>
      <c r="G1045" s="2">
        <f t="shared" si="89"/>
        <v>0</v>
      </c>
      <c r="H1045" s="2">
        <f t="shared" si="90"/>
        <v>0</v>
      </c>
      <c r="I1045" s="2">
        <f t="shared" si="86"/>
        <v>0</v>
      </c>
      <c r="J1045">
        <f>IFERROR(VLOOKUP(B1045,'General price list'!C:AI,12,FALSE)*(G1045*C1045),0)</f>
        <v>0</v>
      </c>
    </row>
    <row r="1046" spans="2:10" ht="15" customHeight="1">
      <c r="B1046" t="s">
        <v>2413</v>
      </c>
      <c r="C1046" s="2" t="str">
        <f>IFERROR(VLOOKUP(B1046,'Deutsche Markt'!C:AA,24,FALSE),"")</f>
        <v/>
      </c>
      <c r="D1046" s="2">
        <f>IFERROR(VLOOKUP(B1046,'Deutsche Markt'!C:AA,25,FALSE),0)</f>
        <v>0</v>
      </c>
      <c r="E1046" s="2">
        <f t="shared" si="87"/>
        <v>0</v>
      </c>
      <c r="F1046" s="2">
        <f t="shared" si="88"/>
        <v>0</v>
      </c>
      <c r="G1046" s="2">
        <f t="shared" si="89"/>
        <v>0</v>
      </c>
      <c r="H1046" s="2">
        <f t="shared" si="90"/>
        <v>0</v>
      </c>
      <c r="I1046" s="2">
        <f t="shared" si="86"/>
        <v>0</v>
      </c>
      <c r="J1046">
        <f>IFERROR(VLOOKUP(B1046,'General price list'!C:AI,12,FALSE)*(G1046*C1046),0)</f>
        <v>0</v>
      </c>
    </row>
    <row r="1047" spans="2:10" ht="15" customHeight="1">
      <c r="B1047" t="s">
        <v>1587</v>
      </c>
      <c r="C1047" s="2" t="str">
        <f>IFERROR(VLOOKUP(B1047,'Deutsche Markt'!C:AA,24,FALSE),"")</f>
        <v/>
      </c>
      <c r="D1047" s="2">
        <f>IFERROR(VLOOKUP(B1047,'Deutsche Markt'!C:AA,25,FALSE),0)</f>
        <v>0</v>
      </c>
      <c r="E1047" s="2">
        <f t="shared" si="87"/>
        <v>0</v>
      </c>
      <c r="F1047" s="2">
        <f t="shared" si="88"/>
        <v>0</v>
      </c>
      <c r="G1047" s="2">
        <f t="shared" si="89"/>
        <v>0</v>
      </c>
      <c r="H1047" s="2">
        <f t="shared" si="90"/>
        <v>0</v>
      </c>
      <c r="I1047" s="2">
        <f t="shared" si="86"/>
        <v>0</v>
      </c>
      <c r="J1047">
        <f>IFERROR(VLOOKUP(B1047,'General price list'!C:AI,12,FALSE)*(G1047*C1047),0)</f>
        <v>0</v>
      </c>
    </row>
    <row r="1048" spans="2:10" ht="15" customHeight="1">
      <c r="B1048" t="s">
        <v>2414</v>
      </c>
      <c r="C1048" s="2" t="str">
        <f>IFERROR(VLOOKUP(B1048,'Deutsche Markt'!C:AA,24,FALSE),"")</f>
        <v/>
      </c>
      <c r="D1048" s="2">
        <f>IFERROR(VLOOKUP(B1048,'Deutsche Markt'!C:AA,25,FALSE),0)</f>
        <v>0</v>
      </c>
      <c r="E1048" s="2">
        <f t="shared" si="87"/>
        <v>0</v>
      </c>
      <c r="F1048" s="2">
        <f t="shared" si="88"/>
        <v>0</v>
      </c>
      <c r="G1048" s="2">
        <f t="shared" si="89"/>
        <v>0</v>
      </c>
      <c r="H1048" s="2">
        <f t="shared" si="90"/>
        <v>0</v>
      </c>
      <c r="I1048" s="2">
        <f t="shared" si="86"/>
        <v>0</v>
      </c>
      <c r="J1048">
        <f>IFERROR(VLOOKUP(B1048,'General price list'!C:AI,12,FALSE)*(G1048*C1048),0)</f>
        <v>0</v>
      </c>
    </row>
    <row r="1049" spans="2:10" ht="15" customHeight="1">
      <c r="B1049" t="s">
        <v>671</v>
      </c>
      <c r="C1049" s="2" t="str">
        <f>IFERROR(VLOOKUP(B1049,'Deutsche Markt'!C:AA,24,FALSE),"")</f>
        <v/>
      </c>
      <c r="D1049" s="2">
        <f>IFERROR(VLOOKUP(B1049,'Deutsche Markt'!C:AA,25,FALSE),0)</f>
        <v>0</v>
      </c>
      <c r="E1049" s="2">
        <f t="shared" si="87"/>
        <v>0</v>
      </c>
      <c r="F1049" s="2">
        <f t="shared" si="88"/>
        <v>0</v>
      </c>
      <c r="G1049" s="2">
        <f t="shared" si="89"/>
        <v>0</v>
      </c>
      <c r="H1049" s="2">
        <f t="shared" si="90"/>
        <v>0</v>
      </c>
      <c r="I1049" s="2">
        <f t="shared" si="86"/>
        <v>0</v>
      </c>
      <c r="J1049">
        <f>IFERROR(VLOOKUP(B1049,'General price list'!C:AI,12,FALSE)*(G1049*C1049),0)</f>
        <v>0</v>
      </c>
    </row>
    <row r="1050" spans="2:10" ht="15" customHeight="1">
      <c r="B1050" t="s">
        <v>12108</v>
      </c>
      <c r="C1050" s="2" t="str">
        <f>IFERROR(VLOOKUP(B1050,'Deutsche Markt'!C:AA,24,FALSE),"")</f>
        <v/>
      </c>
      <c r="D1050" s="2">
        <f>IFERROR(VLOOKUP(B1050,'Deutsche Markt'!C:AA,25,FALSE),0)</f>
        <v>0</v>
      </c>
      <c r="E1050" s="2">
        <f t="shared" si="87"/>
        <v>0</v>
      </c>
      <c r="F1050" s="2">
        <f t="shared" si="88"/>
        <v>0</v>
      </c>
      <c r="G1050" s="2">
        <f t="shared" si="89"/>
        <v>0</v>
      </c>
      <c r="H1050" s="2">
        <f t="shared" si="90"/>
        <v>0</v>
      </c>
      <c r="I1050" s="2">
        <f t="shared" si="86"/>
        <v>0</v>
      </c>
      <c r="J1050">
        <f>IFERROR(VLOOKUP(B1050,'General price list'!C:AI,12,FALSE)*(G1050*C1050),0)</f>
        <v>0</v>
      </c>
    </row>
    <row r="1051" spans="2:10" ht="15" customHeight="1">
      <c r="B1051" t="s">
        <v>2415</v>
      </c>
      <c r="C1051" s="2" t="str">
        <f>IFERROR(VLOOKUP(B1051,'Deutsche Markt'!C:AA,24,FALSE),"")</f>
        <v/>
      </c>
      <c r="D1051" s="2">
        <f>IFERROR(VLOOKUP(B1051,'Deutsche Markt'!C:AA,25,FALSE),0)</f>
        <v>0</v>
      </c>
      <c r="E1051" s="2">
        <f t="shared" si="87"/>
        <v>0</v>
      </c>
      <c r="F1051" s="2">
        <f t="shared" si="88"/>
        <v>0</v>
      </c>
      <c r="G1051" s="2">
        <f t="shared" si="89"/>
        <v>0</v>
      </c>
      <c r="H1051" s="2">
        <f t="shared" si="90"/>
        <v>0</v>
      </c>
      <c r="I1051" s="2">
        <f t="shared" si="86"/>
        <v>0</v>
      </c>
      <c r="J1051">
        <f>IFERROR(VLOOKUP(B1051,'General price list'!C:AI,12,FALSE)*(G1051*C1051),0)</f>
        <v>0</v>
      </c>
    </row>
    <row r="1052" spans="2:10" ht="15" customHeight="1">
      <c r="B1052" t="s">
        <v>3107</v>
      </c>
      <c r="C1052" s="2" t="str">
        <f>IFERROR(VLOOKUP(B1052,'Deutsche Markt'!C:AA,24,FALSE),"")</f>
        <v/>
      </c>
      <c r="D1052" s="2">
        <f>IFERROR(VLOOKUP(B1052,'Deutsche Markt'!C:AA,25,FALSE),0)</f>
        <v>0</v>
      </c>
      <c r="E1052" s="2">
        <f t="shared" si="87"/>
        <v>0</v>
      </c>
      <c r="F1052" s="2">
        <f t="shared" si="88"/>
        <v>0</v>
      </c>
      <c r="G1052" s="2">
        <f t="shared" si="89"/>
        <v>0</v>
      </c>
      <c r="H1052" s="2">
        <f t="shared" si="90"/>
        <v>0</v>
      </c>
      <c r="I1052" s="2">
        <f t="shared" si="86"/>
        <v>0</v>
      </c>
      <c r="J1052">
        <f>IFERROR(VLOOKUP(B1052,'General price list'!C:AI,12,FALSE)*(G1052*C1052),0)</f>
        <v>0</v>
      </c>
    </row>
    <row r="1053" spans="2:10" ht="15" customHeight="1">
      <c r="B1053" t="s">
        <v>230</v>
      </c>
      <c r="C1053" s="2" t="str">
        <f>IFERROR(VLOOKUP(B1053,'Deutsche Markt'!C:AA,24,FALSE),"")</f>
        <v/>
      </c>
      <c r="D1053" s="2">
        <f>IFERROR(VLOOKUP(B1053,'Deutsche Markt'!C:AA,25,FALSE),0)</f>
        <v>0</v>
      </c>
      <c r="E1053" s="2">
        <f t="shared" si="87"/>
        <v>0</v>
      </c>
      <c r="F1053" s="2">
        <f t="shared" si="88"/>
        <v>0</v>
      </c>
      <c r="G1053" s="2">
        <f t="shared" si="89"/>
        <v>0</v>
      </c>
      <c r="H1053" s="2">
        <f t="shared" si="90"/>
        <v>0</v>
      </c>
      <c r="I1053" s="2">
        <f t="shared" si="86"/>
        <v>0</v>
      </c>
      <c r="J1053">
        <f>IFERROR(VLOOKUP(B1053,'General price list'!C:AI,12,FALSE)*(G1053*C1053),0)</f>
        <v>0</v>
      </c>
    </row>
    <row r="1054" spans="2:10" ht="15" customHeight="1">
      <c r="B1054" t="s">
        <v>731</v>
      </c>
      <c r="C1054" s="2" t="str">
        <f>IFERROR(VLOOKUP(B1054,'Deutsche Markt'!C:AA,24,FALSE),"")</f>
        <v/>
      </c>
      <c r="D1054" s="2">
        <f>IFERROR(VLOOKUP(B1054,'Deutsche Markt'!C:AA,25,FALSE),0)</f>
        <v>0</v>
      </c>
      <c r="E1054" s="2">
        <f t="shared" si="87"/>
        <v>0</v>
      </c>
      <c r="F1054" s="2">
        <f t="shared" si="88"/>
        <v>0</v>
      </c>
      <c r="G1054" s="2">
        <f t="shared" si="89"/>
        <v>0</v>
      </c>
      <c r="H1054" s="2">
        <f t="shared" si="90"/>
        <v>0</v>
      </c>
      <c r="I1054" s="2">
        <f t="shared" si="86"/>
        <v>0</v>
      </c>
      <c r="J1054">
        <f>IFERROR(VLOOKUP(B1054,'General price list'!C:AI,12,FALSE)*(G1054*C1054),0)</f>
        <v>0</v>
      </c>
    </row>
    <row r="1055" spans="2:10" ht="15" customHeight="1">
      <c r="B1055" t="s">
        <v>880</v>
      </c>
      <c r="C1055" s="2" t="str">
        <f>IFERROR(VLOOKUP(B1055,'Deutsche Markt'!C:AA,24,FALSE),"")</f>
        <v/>
      </c>
      <c r="D1055" s="2">
        <f>IFERROR(VLOOKUP(B1055,'Deutsche Markt'!C:AA,25,FALSE),0)</f>
        <v>0</v>
      </c>
      <c r="E1055" s="2">
        <f t="shared" si="87"/>
        <v>0</v>
      </c>
      <c r="F1055" s="2">
        <f t="shared" si="88"/>
        <v>0</v>
      </c>
      <c r="G1055" s="2">
        <f t="shared" si="89"/>
        <v>0</v>
      </c>
      <c r="H1055" s="2">
        <f t="shared" si="90"/>
        <v>0</v>
      </c>
      <c r="I1055" s="2">
        <f t="shared" si="86"/>
        <v>0</v>
      </c>
      <c r="J1055">
        <f>IFERROR(VLOOKUP(B1055,'General price list'!C:AI,12,FALSE)*(G1055*C1055),0)</f>
        <v>0</v>
      </c>
    </row>
    <row r="1056" spans="2:10" ht="15" customHeight="1">
      <c r="B1056" t="s">
        <v>881</v>
      </c>
      <c r="C1056" s="2" t="str">
        <f>IFERROR(VLOOKUP(B1056,'Deutsche Markt'!C:AA,24,FALSE),"")</f>
        <v/>
      </c>
      <c r="D1056" s="2">
        <f>IFERROR(VLOOKUP(B1056,'Deutsche Markt'!C:AA,25,FALSE),0)</f>
        <v>0</v>
      </c>
      <c r="E1056" s="2">
        <f t="shared" si="87"/>
        <v>0</v>
      </c>
      <c r="F1056" s="2">
        <f t="shared" si="88"/>
        <v>0</v>
      </c>
      <c r="G1056" s="2">
        <f t="shared" si="89"/>
        <v>0</v>
      </c>
      <c r="H1056" s="2">
        <f t="shared" si="90"/>
        <v>0</v>
      </c>
      <c r="I1056" s="2">
        <f t="shared" si="86"/>
        <v>0</v>
      </c>
      <c r="J1056">
        <f>IFERROR(VLOOKUP(B1056,'General price list'!C:AI,12,FALSE)*(G1056*C1056),0)</f>
        <v>0</v>
      </c>
    </row>
    <row r="1057" spans="2:10" ht="15" customHeight="1">
      <c r="B1057" t="s">
        <v>2451</v>
      </c>
      <c r="C1057" s="2" t="str">
        <f>IFERROR(VLOOKUP(B1057,'Deutsche Markt'!C:AA,24,FALSE),"")</f>
        <v/>
      </c>
      <c r="D1057" s="2">
        <f>IFERROR(VLOOKUP(B1057,'Deutsche Markt'!C:AA,25,FALSE),0)</f>
        <v>0</v>
      </c>
      <c r="E1057" s="2">
        <f t="shared" si="87"/>
        <v>0</v>
      </c>
      <c r="F1057" s="2">
        <f t="shared" si="88"/>
        <v>0</v>
      </c>
      <c r="G1057" s="2">
        <f t="shared" si="89"/>
        <v>0</v>
      </c>
      <c r="H1057" s="2">
        <f t="shared" si="90"/>
        <v>0</v>
      </c>
      <c r="I1057" s="2">
        <f t="shared" si="86"/>
        <v>0</v>
      </c>
      <c r="J1057">
        <f>IFERROR(VLOOKUP(B1057,'General price list'!C:AI,12,FALSE)*(G1057*C1057),0)</f>
        <v>0</v>
      </c>
    </row>
    <row r="1058" spans="2:10" ht="15" customHeight="1">
      <c r="B1058" t="s">
        <v>2449</v>
      </c>
      <c r="C1058" s="2" t="str">
        <f>IFERROR(VLOOKUP(B1058,'Deutsche Markt'!C:AA,24,FALSE),"")</f>
        <v/>
      </c>
      <c r="D1058" s="2">
        <f>IFERROR(VLOOKUP(B1058,'Deutsche Markt'!C:AA,25,FALSE),0)</f>
        <v>0</v>
      </c>
      <c r="E1058" s="2">
        <f t="shared" si="87"/>
        <v>0</v>
      </c>
      <c r="F1058" s="2">
        <f t="shared" si="88"/>
        <v>0</v>
      </c>
      <c r="G1058" s="2">
        <f t="shared" si="89"/>
        <v>0</v>
      </c>
      <c r="H1058" s="2">
        <f t="shared" si="90"/>
        <v>0</v>
      </c>
      <c r="I1058" s="2">
        <f t="shared" si="86"/>
        <v>0</v>
      </c>
      <c r="J1058">
        <f>IFERROR(VLOOKUP(B1058,'General price list'!C:AI,12,FALSE)*(G1058*C1058),0)</f>
        <v>0</v>
      </c>
    </row>
    <row r="1059" spans="2:10" ht="15" customHeight="1">
      <c r="B1059" t="s">
        <v>2453</v>
      </c>
      <c r="C1059" s="2" t="str">
        <f>IFERROR(VLOOKUP(B1059,'Deutsche Markt'!C:AA,24,FALSE),"")</f>
        <v/>
      </c>
      <c r="D1059" s="2">
        <f>IFERROR(VLOOKUP(B1059,'Deutsche Markt'!C:AA,25,FALSE),0)</f>
        <v>0</v>
      </c>
      <c r="E1059" s="2">
        <f t="shared" si="87"/>
        <v>0</v>
      </c>
      <c r="F1059" s="2">
        <f t="shared" si="88"/>
        <v>0</v>
      </c>
      <c r="G1059" s="2">
        <f t="shared" si="89"/>
        <v>0</v>
      </c>
      <c r="H1059" s="2">
        <f t="shared" si="90"/>
        <v>0</v>
      </c>
      <c r="I1059" s="2">
        <f t="shared" si="86"/>
        <v>0</v>
      </c>
      <c r="J1059">
        <f>IFERROR(VLOOKUP(B1059,'General price list'!C:AI,12,FALSE)*(G1059*C1059),0)</f>
        <v>0</v>
      </c>
    </row>
    <row r="1060" spans="2:10" ht="15" customHeight="1">
      <c r="B1060" t="s">
        <v>2455</v>
      </c>
      <c r="C1060" s="2" t="str">
        <f>IFERROR(VLOOKUP(B1060,'Deutsche Markt'!C:AA,24,FALSE),"")</f>
        <v/>
      </c>
      <c r="D1060" s="2">
        <f>IFERROR(VLOOKUP(B1060,'Deutsche Markt'!C:AA,25,FALSE),0)</f>
        <v>0</v>
      </c>
      <c r="E1060" s="2">
        <f t="shared" si="87"/>
        <v>0</v>
      </c>
      <c r="F1060" s="2">
        <f t="shared" si="88"/>
        <v>0</v>
      </c>
      <c r="G1060" s="2">
        <f t="shared" si="89"/>
        <v>0</v>
      </c>
      <c r="H1060" s="2">
        <f t="shared" si="90"/>
        <v>0</v>
      </c>
      <c r="I1060" s="2">
        <f t="shared" si="86"/>
        <v>0</v>
      </c>
      <c r="J1060">
        <f>IFERROR(VLOOKUP(B1060,'General price list'!C:AI,12,FALSE)*(G1060*C1060),0)</f>
        <v>0</v>
      </c>
    </row>
    <row r="1061" spans="2:10" ht="15" customHeight="1">
      <c r="B1061" t="s">
        <v>888</v>
      </c>
      <c r="C1061" s="2" t="str">
        <f>IFERROR(VLOOKUP(B1061,'Deutsche Markt'!C:AA,24,FALSE),"")</f>
        <v/>
      </c>
      <c r="D1061" s="2">
        <f>IFERROR(VLOOKUP(B1061,'Deutsche Markt'!C:AA,25,FALSE),0)</f>
        <v>0</v>
      </c>
      <c r="E1061" s="2">
        <f t="shared" si="87"/>
        <v>0</v>
      </c>
      <c r="F1061" s="2">
        <f t="shared" si="88"/>
        <v>0</v>
      </c>
      <c r="G1061" s="2">
        <f t="shared" si="89"/>
        <v>0</v>
      </c>
      <c r="H1061" s="2">
        <f t="shared" si="90"/>
        <v>0</v>
      </c>
      <c r="I1061" s="2">
        <f t="shared" si="86"/>
        <v>0</v>
      </c>
      <c r="J1061">
        <f>IFERROR(VLOOKUP(B1061,'General price list'!C:AI,12,FALSE)*(G1061*C1061),0)</f>
        <v>0</v>
      </c>
    </row>
    <row r="1062" spans="2:10" ht="15" customHeight="1">
      <c r="B1062" t="s">
        <v>885</v>
      </c>
      <c r="C1062" s="2" t="str">
        <f>IFERROR(VLOOKUP(B1062,'Deutsche Markt'!C:AA,24,FALSE),"")</f>
        <v/>
      </c>
      <c r="D1062" s="2">
        <f>IFERROR(VLOOKUP(B1062,'Deutsche Markt'!C:AA,25,FALSE),0)</f>
        <v>0</v>
      </c>
      <c r="E1062" s="2">
        <f t="shared" si="87"/>
        <v>0</v>
      </c>
      <c r="F1062" s="2">
        <f t="shared" si="88"/>
        <v>0</v>
      </c>
      <c r="G1062" s="2">
        <f t="shared" si="89"/>
        <v>0</v>
      </c>
      <c r="H1062" s="2">
        <f t="shared" si="90"/>
        <v>0</v>
      </c>
      <c r="I1062" s="2">
        <f t="shared" si="86"/>
        <v>0</v>
      </c>
      <c r="J1062">
        <f>IFERROR(VLOOKUP(B1062,'General price list'!C:AI,12,FALSE)*(G1062*C1062),0)</f>
        <v>0</v>
      </c>
    </row>
    <row r="1063" spans="2:10" ht="15" customHeight="1">
      <c r="B1063" t="s">
        <v>893</v>
      </c>
      <c r="C1063" s="2" t="str">
        <f>IFERROR(VLOOKUP(B1063,'Deutsche Markt'!C:AA,24,FALSE),"")</f>
        <v/>
      </c>
      <c r="D1063" s="2">
        <f>IFERROR(VLOOKUP(B1063,'Deutsche Markt'!C:AA,25,FALSE),0)</f>
        <v>0</v>
      </c>
      <c r="E1063" s="2">
        <f t="shared" si="87"/>
        <v>0</v>
      </c>
      <c r="F1063" s="2">
        <f t="shared" si="88"/>
        <v>0</v>
      </c>
      <c r="G1063" s="2">
        <f t="shared" si="89"/>
        <v>0</v>
      </c>
      <c r="H1063" s="2">
        <f t="shared" si="90"/>
        <v>0</v>
      </c>
      <c r="I1063" s="2">
        <f t="shared" si="86"/>
        <v>0</v>
      </c>
      <c r="J1063">
        <f>IFERROR(VLOOKUP(B1063,'General price list'!C:AI,12,FALSE)*(G1063*C1063),0)</f>
        <v>0</v>
      </c>
    </row>
    <row r="1064" spans="2:10" ht="15" customHeight="1">
      <c r="B1064" t="s">
        <v>889</v>
      </c>
      <c r="C1064" s="2" t="str">
        <f>IFERROR(VLOOKUP(B1064,'Deutsche Markt'!C:AA,24,FALSE),"")</f>
        <v/>
      </c>
      <c r="D1064" s="2">
        <f>IFERROR(VLOOKUP(B1064,'Deutsche Markt'!C:AA,25,FALSE),0)</f>
        <v>0</v>
      </c>
      <c r="E1064" s="2">
        <f t="shared" si="87"/>
        <v>0</v>
      </c>
      <c r="F1064" s="2">
        <f t="shared" si="88"/>
        <v>0</v>
      </c>
      <c r="G1064" s="2">
        <f t="shared" si="89"/>
        <v>0</v>
      </c>
      <c r="H1064" s="2">
        <f t="shared" si="90"/>
        <v>0</v>
      </c>
      <c r="I1064" s="2">
        <f t="shared" si="86"/>
        <v>0</v>
      </c>
      <c r="J1064">
        <f>IFERROR(VLOOKUP(B1064,'General price list'!C:AI,12,FALSE)*(G1064*C1064),0)</f>
        <v>0</v>
      </c>
    </row>
    <row r="1065" spans="2:10" ht="15" customHeight="1">
      <c r="B1065" t="s">
        <v>895</v>
      </c>
      <c r="C1065" s="2" t="str">
        <f>IFERROR(VLOOKUP(B1065,'Deutsche Markt'!C:AA,24,FALSE),"")</f>
        <v/>
      </c>
      <c r="D1065" s="2">
        <f>IFERROR(VLOOKUP(B1065,'Deutsche Markt'!C:AA,25,FALSE),0)</f>
        <v>0</v>
      </c>
      <c r="E1065" s="2">
        <f t="shared" si="87"/>
        <v>0</v>
      </c>
      <c r="F1065" s="2">
        <f t="shared" si="88"/>
        <v>0</v>
      </c>
      <c r="G1065" s="2">
        <f t="shared" si="89"/>
        <v>0</v>
      </c>
      <c r="H1065" s="2">
        <f t="shared" si="90"/>
        <v>0</v>
      </c>
      <c r="I1065" s="2">
        <f t="shared" si="86"/>
        <v>0</v>
      </c>
      <c r="J1065">
        <f>IFERROR(VLOOKUP(B1065,'General price list'!C:AI,12,FALSE)*(G1065*C1065),0)</f>
        <v>0</v>
      </c>
    </row>
    <row r="1066" spans="2:10" ht="15" customHeight="1">
      <c r="B1066" t="s">
        <v>2459</v>
      </c>
      <c r="C1066" s="2" t="str">
        <f>IFERROR(VLOOKUP(B1066,'Deutsche Markt'!C:AA,24,FALSE),"")</f>
        <v/>
      </c>
      <c r="D1066" s="2">
        <f>IFERROR(VLOOKUP(B1066,'Deutsche Markt'!C:AA,25,FALSE),0)</f>
        <v>0</v>
      </c>
      <c r="E1066" s="2">
        <f t="shared" si="87"/>
        <v>0</v>
      </c>
      <c r="F1066" s="2">
        <f t="shared" si="88"/>
        <v>0</v>
      </c>
      <c r="G1066" s="2">
        <f t="shared" si="89"/>
        <v>0</v>
      </c>
      <c r="H1066" s="2">
        <f t="shared" si="90"/>
        <v>0</v>
      </c>
      <c r="I1066" s="2">
        <f t="shared" si="86"/>
        <v>0</v>
      </c>
      <c r="J1066">
        <f>IFERROR(VLOOKUP(B1066,'General price list'!C:AI,12,FALSE)*(G1066*C1066),0)</f>
        <v>0</v>
      </c>
    </row>
    <row r="1067" spans="2:10" ht="15" customHeight="1">
      <c r="B1067" t="s">
        <v>2457</v>
      </c>
      <c r="C1067" s="2" t="str">
        <f>IFERROR(VLOOKUP(B1067,'Deutsche Markt'!C:AA,24,FALSE),"")</f>
        <v/>
      </c>
      <c r="D1067" s="2">
        <f>IFERROR(VLOOKUP(B1067,'Deutsche Markt'!C:AA,25,FALSE),0)</f>
        <v>0</v>
      </c>
      <c r="E1067" s="2">
        <f t="shared" si="87"/>
        <v>0</v>
      </c>
      <c r="F1067" s="2">
        <f t="shared" si="88"/>
        <v>0</v>
      </c>
      <c r="G1067" s="2">
        <f t="shared" si="89"/>
        <v>0</v>
      </c>
      <c r="H1067" s="2">
        <f t="shared" si="90"/>
        <v>0</v>
      </c>
      <c r="I1067" s="2">
        <f t="shared" si="86"/>
        <v>0</v>
      </c>
      <c r="J1067">
        <f>IFERROR(VLOOKUP(B1067,'General price list'!C:AI,12,FALSE)*(G1067*C1067),0)</f>
        <v>0</v>
      </c>
    </row>
    <row r="1068" spans="2:10" ht="15" customHeight="1">
      <c r="B1068" t="s">
        <v>2461</v>
      </c>
      <c r="C1068" s="2" t="str">
        <f>IFERROR(VLOOKUP(B1068,'Deutsche Markt'!C:AA,24,FALSE),"")</f>
        <v/>
      </c>
      <c r="D1068" s="2">
        <f>IFERROR(VLOOKUP(B1068,'Deutsche Markt'!C:AA,25,FALSE),0)</f>
        <v>0</v>
      </c>
      <c r="E1068" s="2">
        <f t="shared" si="87"/>
        <v>0</v>
      </c>
      <c r="F1068" s="2">
        <f t="shared" si="88"/>
        <v>0</v>
      </c>
      <c r="G1068" s="2">
        <f t="shared" si="89"/>
        <v>0</v>
      </c>
      <c r="H1068" s="2">
        <f t="shared" si="90"/>
        <v>0</v>
      </c>
      <c r="I1068" s="2">
        <f t="shared" si="86"/>
        <v>0</v>
      </c>
      <c r="J1068">
        <f>IFERROR(VLOOKUP(B1068,'General price list'!C:AI,12,FALSE)*(G1068*C1068),0)</f>
        <v>0</v>
      </c>
    </row>
    <row r="1069" spans="2:10" ht="15" customHeight="1">
      <c r="B1069" t="s">
        <v>2463</v>
      </c>
      <c r="C1069" s="2" t="str">
        <f>IFERROR(VLOOKUP(B1069,'Deutsche Markt'!C:AA,24,FALSE),"")</f>
        <v/>
      </c>
      <c r="D1069" s="2">
        <f>IFERROR(VLOOKUP(B1069,'Deutsche Markt'!C:AA,25,FALSE),0)</f>
        <v>0</v>
      </c>
      <c r="E1069" s="2">
        <f t="shared" si="87"/>
        <v>0</v>
      </c>
      <c r="F1069" s="2">
        <f t="shared" si="88"/>
        <v>0</v>
      </c>
      <c r="G1069" s="2">
        <f t="shared" si="89"/>
        <v>0</v>
      </c>
      <c r="H1069" s="2">
        <f t="shared" si="90"/>
        <v>0</v>
      </c>
      <c r="I1069" s="2">
        <f t="shared" si="86"/>
        <v>0</v>
      </c>
      <c r="J1069">
        <f>IFERROR(VLOOKUP(B1069,'General price list'!C:AI,12,FALSE)*(G1069*C1069),0)</f>
        <v>0</v>
      </c>
    </row>
    <row r="1070" spans="2:10" ht="15" customHeight="1">
      <c r="B1070" t="s">
        <v>959</v>
      </c>
      <c r="C1070" s="2" t="str">
        <f>IFERROR(VLOOKUP(B1070,'Deutsche Markt'!C:AA,24,FALSE),"")</f>
        <v/>
      </c>
      <c r="D1070" s="2">
        <f>IFERROR(VLOOKUP(B1070,'Deutsche Markt'!C:AA,25,FALSE),0)</f>
        <v>0</v>
      </c>
      <c r="E1070" s="2">
        <f t="shared" si="87"/>
        <v>0</v>
      </c>
      <c r="F1070" s="2">
        <f t="shared" si="88"/>
        <v>0</v>
      </c>
      <c r="G1070" s="2">
        <f t="shared" si="89"/>
        <v>0</v>
      </c>
      <c r="H1070" s="2">
        <f t="shared" si="90"/>
        <v>0</v>
      </c>
      <c r="I1070" s="2">
        <f t="shared" si="86"/>
        <v>0</v>
      </c>
      <c r="J1070">
        <f>IFERROR(VLOOKUP(B1070,'General price list'!C:AI,12,FALSE)*(G1070*C1070),0)</f>
        <v>0</v>
      </c>
    </row>
    <row r="1071" spans="2:10" ht="15" customHeight="1">
      <c r="B1071" t="s">
        <v>2467</v>
      </c>
      <c r="C1071" s="2" t="str">
        <f>IFERROR(VLOOKUP(B1071,'Deutsche Markt'!C:AA,24,FALSE),"")</f>
        <v/>
      </c>
      <c r="D1071" s="2">
        <f>IFERROR(VLOOKUP(B1071,'Deutsche Markt'!C:AA,25,FALSE),0)</f>
        <v>0</v>
      </c>
      <c r="E1071" s="2">
        <f t="shared" si="87"/>
        <v>0</v>
      </c>
      <c r="F1071" s="2">
        <f t="shared" si="88"/>
        <v>0</v>
      </c>
      <c r="G1071" s="2">
        <f t="shared" si="89"/>
        <v>0</v>
      </c>
      <c r="H1071" s="2">
        <f t="shared" si="90"/>
        <v>0</v>
      </c>
      <c r="I1071" s="2">
        <f t="shared" si="86"/>
        <v>0</v>
      </c>
      <c r="J1071">
        <f>IFERROR(VLOOKUP(B1071,'General price list'!C:AI,12,FALSE)*(G1071*C1071),0)</f>
        <v>0</v>
      </c>
    </row>
    <row r="1072" spans="2:10" ht="15" customHeight="1">
      <c r="B1072" t="s">
        <v>2465</v>
      </c>
      <c r="C1072" s="2" t="str">
        <f>IFERROR(VLOOKUP(B1072,'Deutsche Markt'!C:AA,24,FALSE),"")</f>
        <v/>
      </c>
      <c r="D1072" s="2">
        <f>IFERROR(VLOOKUP(B1072,'Deutsche Markt'!C:AA,25,FALSE),0)</f>
        <v>0</v>
      </c>
      <c r="E1072" s="2">
        <f t="shared" si="87"/>
        <v>0</v>
      </c>
      <c r="F1072" s="2">
        <f t="shared" si="88"/>
        <v>0</v>
      </c>
      <c r="G1072" s="2">
        <f t="shared" si="89"/>
        <v>0</v>
      </c>
      <c r="H1072" s="2">
        <f t="shared" si="90"/>
        <v>0</v>
      </c>
      <c r="I1072" s="2">
        <f t="shared" si="86"/>
        <v>0</v>
      </c>
      <c r="J1072">
        <f>IFERROR(VLOOKUP(B1072,'General price list'!C:AI,12,FALSE)*(G1072*C1072),0)</f>
        <v>0</v>
      </c>
    </row>
    <row r="1073" spans="2:10" ht="15" customHeight="1">
      <c r="B1073" t="s">
        <v>2469</v>
      </c>
      <c r="C1073" s="2" t="str">
        <f>IFERROR(VLOOKUP(B1073,'Deutsche Markt'!C:AA,24,FALSE),"")</f>
        <v/>
      </c>
      <c r="D1073" s="2">
        <f>IFERROR(VLOOKUP(B1073,'Deutsche Markt'!C:AA,25,FALSE),0)</f>
        <v>0</v>
      </c>
      <c r="E1073" s="2">
        <f t="shared" si="87"/>
        <v>0</v>
      </c>
      <c r="F1073" s="2">
        <f t="shared" si="88"/>
        <v>0</v>
      </c>
      <c r="G1073" s="2">
        <f t="shared" si="89"/>
        <v>0</v>
      </c>
      <c r="H1073" s="2">
        <f t="shared" si="90"/>
        <v>0</v>
      </c>
      <c r="I1073" s="2">
        <f t="shared" si="86"/>
        <v>0</v>
      </c>
      <c r="J1073">
        <f>IFERROR(VLOOKUP(B1073,'General price list'!C:AI,12,FALSE)*(G1073*C1073),0)</f>
        <v>0</v>
      </c>
    </row>
    <row r="1074" spans="2:10" ht="15" customHeight="1">
      <c r="B1074" t="s">
        <v>2471</v>
      </c>
      <c r="C1074" s="2" t="str">
        <f>IFERROR(VLOOKUP(B1074,'Deutsche Markt'!C:AA,24,FALSE),"")</f>
        <v/>
      </c>
      <c r="D1074" s="2">
        <f>IFERROR(VLOOKUP(B1074,'Deutsche Markt'!C:AA,25,FALSE),0)</f>
        <v>0</v>
      </c>
      <c r="E1074" s="2">
        <f t="shared" si="87"/>
        <v>0</v>
      </c>
      <c r="F1074" s="2">
        <f t="shared" si="88"/>
        <v>0</v>
      </c>
      <c r="G1074" s="2">
        <f t="shared" si="89"/>
        <v>0</v>
      </c>
      <c r="H1074" s="2">
        <f t="shared" si="90"/>
        <v>0</v>
      </c>
      <c r="I1074" s="2">
        <f t="shared" si="86"/>
        <v>0</v>
      </c>
      <c r="J1074">
        <f>IFERROR(VLOOKUP(B1074,'General price list'!C:AI,12,FALSE)*(G1074*C1074),0)</f>
        <v>0</v>
      </c>
    </row>
    <row r="1075" spans="2:10" ht="15" customHeight="1">
      <c r="B1075" t="s">
        <v>221</v>
      </c>
      <c r="C1075" s="2" t="str">
        <f>IFERROR(VLOOKUP(B1075,'Deutsche Markt'!C:AA,24,FALSE),"")</f>
        <v>54</v>
      </c>
      <c r="D1075" s="2">
        <f>IFERROR(VLOOKUP(B1075,'Deutsche Markt'!C:AA,25,FALSE),0)</f>
        <v>0</v>
      </c>
      <c r="E1075" s="2">
        <f t="shared" si="87"/>
        <v>0</v>
      </c>
      <c r="F1075" s="2">
        <f t="shared" si="88"/>
        <v>0</v>
      </c>
      <c r="G1075" s="2">
        <f t="shared" si="89"/>
        <v>0</v>
      </c>
      <c r="H1075" s="2">
        <f t="shared" si="90"/>
        <v>0</v>
      </c>
      <c r="I1075" s="2">
        <f t="shared" si="86"/>
        <v>0</v>
      </c>
      <c r="J1075">
        <f>IFERROR(VLOOKUP(B1075,'General price list'!C:AI,12,FALSE)*(G1075*C1075),0)</f>
        <v>0</v>
      </c>
    </row>
    <row r="1076" spans="2:10" ht="15" customHeight="1">
      <c r="B1076" t="s">
        <v>204</v>
      </c>
      <c r="C1076" s="2">
        <f>IFERROR(VLOOKUP(B1076,'Deutsche Markt'!C:AA,24,FALSE),"")</f>
        <v>42</v>
      </c>
      <c r="D1076" s="2">
        <f>IFERROR(VLOOKUP(B1076,'Deutsche Markt'!C:AA,25,FALSE),0)</f>
        <v>0</v>
      </c>
      <c r="E1076" s="2">
        <f t="shared" si="87"/>
        <v>0</v>
      </c>
      <c r="F1076" s="2">
        <f t="shared" si="88"/>
        <v>0</v>
      </c>
      <c r="G1076" s="2">
        <f t="shared" si="89"/>
        <v>0</v>
      </c>
      <c r="H1076" s="2">
        <f t="shared" si="90"/>
        <v>0</v>
      </c>
      <c r="I1076" s="2">
        <f t="shared" si="86"/>
        <v>0</v>
      </c>
      <c r="J1076">
        <f>IFERROR(VLOOKUP(B1076,'General price list'!C:AI,12,FALSE)*(G1076*C1076),0)</f>
        <v>0</v>
      </c>
    </row>
    <row r="1077" spans="2:10" ht="15" customHeight="1">
      <c r="B1077" t="s">
        <v>216</v>
      </c>
      <c r="C1077" s="2">
        <f>IFERROR(VLOOKUP(B1077,'Deutsche Markt'!C:AA,24,FALSE),"")</f>
        <v>72</v>
      </c>
      <c r="D1077" s="2">
        <f>IFERROR(VLOOKUP(B1077,'Deutsche Markt'!C:AA,25,FALSE),0)</f>
        <v>0</v>
      </c>
      <c r="E1077" s="2">
        <f t="shared" si="87"/>
        <v>0</v>
      </c>
      <c r="F1077" s="2">
        <f t="shared" si="88"/>
        <v>0</v>
      </c>
      <c r="G1077" s="2">
        <f t="shared" si="89"/>
        <v>0</v>
      </c>
      <c r="H1077" s="2">
        <f t="shared" si="90"/>
        <v>0</v>
      </c>
      <c r="I1077" s="2">
        <f t="shared" si="86"/>
        <v>0</v>
      </c>
      <c r="J1077">
        <f>IFERROR(VLOOKUP(B1077,'General price list'!C:AI,12,FALSE)*(G1077*C1077),0)</f>
        <v>0</v>
      </c>
    </row>
    <row r="1078" spans="2:10" ht="15" customHeight="1">
      <c r="B1078" t="s">
        <v>211</v>
      </c>
      <c r="C1078" s="2">
        <f>IFERROR(VLOOKUP(B1078,'Deutsche Markt'!C:AA,24,FALSE),"")</f>
        <v>72</v>
      </c>
      <c r="D1078" s="2">
        <f>IFERROR(VLOOKUP(B1078,'Deutsche Markt'!C:AA,25,FALSE),0)</f>
        <v>0</v>
      </c>
      <c r="E1078" s="2">
        <f t="shared" si="87"/>
        <v>0</v>
      </c>
      <c r="F1078" s="2">
        <f t="shared" si="88"/>
        <v>0</v>
      </c>
      <c r="G1078" s="2">
        <f t="shared" si="89"/>
        <v>0</v>
      </c>
      <c r="H1078" s="2">
        <f t="shared" si="90"/>
        <v>0</v>
      </c>
      <c r="I1078" s="2">
        <f t="shared" si="86"/>
        <v>0</v>
      </c>
      <c r="J1078">
        <f>IFERROR(VLOOKUP(B1078,'General price list'!C:AI,12,FALSE)*(G1078*C1078),0)</f>
        <v>0</v>
      </c>
    </row>
    <row r="1079" spans="2:10" ht="15" customHeight="1">
      <c r="B1079" t="s">
        <v>184</v>
      </c>
      <c r="C1079" s="2" t="str">
        <f>IFERROR(VLOOKUP(B1079,'Deutsche Markt'!C:AA,24,FALSE),"")</f>
        <v>25</v>
      </c>
      <c r="D1079" s="2">
        <f>IFERROR(VLOOKUP(B1079,'Deutsche Markt'!C:AA,25,FALSE),0)</f>
        <v>0</v>
      </c>
      <c r="E1079" s="2">
        <f t="shared" si="87"/>
        <v>0</v>
      </c>
      <c r="F1079" s="2">
        <f t="shared" si="88"/>
        <v>0</v>
      </c>
      <c r="G1079" s="2">
        <f t="shared" si="89"/>
        <v>0</v>
      </c>
      <c r="H1079" s="2">
        <f t="shared" si="90"/>
        <v>0</v>
      </c>
      <c r="I1079" s="2">
        <f t="shared" si="86"/>
        <v>0</v>
      </c>
      <c r="J1079">
        <f>IFERROR(VLOOKUP(B1079,'General price list'!C:AI,12,FALSE)*(G1079*C1079),0)</f>
        <v>0</v>
      </c>
    </row>
    <row r="1080" spans="2:10" ht="15" customHeight="1">
      <c r="B1080" t="s">
        <v>190</v>
      </c>
      <c r="C1080" s="2" t="str">
        <f>IFERROR(VLOOKUP(B1080,'Deutsche Markt'!C:AA,24,FALSE),"")</f>
        <v>25</v>
      </c>
      <c r="D1080" s="2">
        <f>IFERROR(VLOOKUP(B1080,'Deutsche Markt'!C:AA,25,FALSE),0)</f>
        <v>0</v>
      </c>
      <c r="E1080" s="2">
        <f t="shared" si="87"/>
        <v>0</v>
      </c>
      <c r="F1080" s="2">
        <f t="shared" si="88"/>
        <v>0</v>
      </c>
      <c r="G1080" s="2">
        <f t="shared" si="89"/>
        <v>0</v>
      </c>
      <c r="H1080" s="2">
        <f t="shared" si="90"/>
        <v>0</v>
      </c>
      <c r="I1080" s="2">
        <f t="shared" si="86"/>
        <v>0</v>
      </c>
      <c r="J1080">
        <f>IFERROR(VLOOKUP(B1080,'General price list'!C:AI,12,FALSE)*(G1080*C1080),0)</f>
        <v>0</v>
      </c>
    </row>
    <row r="1081" spans="2:10" ht="15" customHeight="1">
      <c r="B1081" t="s">
        <v>179</v>
      </c>
      <c r="C1081" s="2">
        <f>IFERROR(VLOOKUP(B1081,'Deutsche Markt'!C:AA,24,FALSE),"")</f>
        <v>48</v>
      </c>
      <c r="D1081" s="2">
        <f>IFERROR(VLOOKUP(B1081,'Deutsche Markt'!C:AA,25,FALSE),0)</f>
        <v>0</v>
      </c>
      <c r="E1081" s="2">
        <f t="shared" si="87"/>
        <v>0</v>
      </c>
      <c r="F1081" s="2">
        <f t="shared" si="88"/>
        <v>0</v>
      </c>
      <c r="G1081" s="2">
        <f t="shared" si="89"/>
        <v>0</v>
      </c>
      <c r="H1081" s="2">
        <f t="shared" si="90"/>
        <v>0</v>
      </c>
      <c r="I1081" s="2">
        <f t="shared" si="86"/>
        <v>0</v>
      </c>
      <c r="J1081">
        <f>IFERROR(VLOOKUP(B1081,'General price list'!C:AI,12,FALSE)*(G1081*C1081),0)</f>
        <v>0</v>
      </c>
    </row>
    <row r="1082" spans="2:10" ht="15" customHeight="1">
      <c r="B1082" t="s">
        <v>154</v>
      </c>
      <c r="C1082" s="2" t="str">
        <f>IFERROR(VLOOKUP(B1082,'Deutsche Markt'!C:AA,24,FALSE),"")</f>
        <v>42</v>
      </c>
      <c r="D1082" s="2">
        <f>IFERROR(VLOOKUP(B1082,'Deutsche Markt'!C:AA,25,FALSE),0)</f>
        <v>0</v>
      </c>
      <c r="E1082" s="2">
        <f t="shared" si="87"/>
        <v>0</v>
      </c>
      <c r="F1082" s="2">
        <f t="shared" si="88"/>
        <v>0</v>
      </c>
      <c r="G1082" s="2">
        <f t="shared" si="89"/>
        <v>0</v>
      </c>
      <c r="H1082" s="2">
        <f t="shared" si="90"/>
        <v>0</v>
      </c>
      <c r="I1082" s="2">
        <f t="shared" si="86"/>
        <v>0</v>
      </c>
      <c r="J1082">
        <f>IFERROR(VLOOKUP(B1082,'General price list'!C:AI,12,FALSE)*(G1082*C1082),0)</f>
        <v>0</v>
      </c>
    </row>
    <row r="1083" spans="2:10" ht="15" customHeight="1">
      <c r="B1083" t="s">
        <v>191</v>
      </c>
      <c r="C1083" s="2" t="str">
        <f>IFERROR(VLOOKUP(B1083,'Deutsche Markt'!C:AA,24,FALSE),"")</f>
        <v>24</v>
      </c>
      <c r="D1083" s="2">
        <f>IFERROR(VLOOKUP(B1083,'Deutsche Markt'!C:AA,25,FALSE),0)</f>
        <v>0</v>
      </c>
      <c r="E1083" s="2">
        <f t="shared" si="87"/>
        <v>0</v>
      </c>
      <c r="F1083" s="2">
        <f t="shared" si="88"/>
        <v>0</v>
      </c>
      <c r="G1083" s="2">
        <f t="shared" si="89"/>
        <v>0</v>
      </c>
      <c r="H1083" s="2">
        <f t="shared" si="90"/>
        <v>0</v>
      </c>
      <c r="I1083" s="2">
        <f t="shared" si="86"/>
        <v>0</v>
      </c>
      <c r="J1083">
        <f>IFERROR(VLOOKUP(B1083,'General price list'!C:AI,12,FALSE)*(G1083*C1083),0)</f>
        <v>0</v>
      </c>
    </row>
    <row r="1084" spans="2:10" ht="15" customHeight="1">
      <c r="B1084" t="s">
        <v>172</v>
      </c>
      <c r="C1084" s="2">
        <f>IFERROR(VLOOKUP(B1084,'Deutsche Markt'!C:AA,24,FALSE),"")</f>
        <v>62</v>
      </c>
      <c r="D1084" s="2">
        <f>IFERROR(VLOOKUP(B1084,'Deutsche Markt'!C:AA,25,FALSE),0)</f>
        <v>0</v>
      </c>
      <c r="E1084" s="2">
        <f t="shared" si="87"/>
        <v>0</v>
      </c>
      <c r="F1084" s="2">
        <f t="shared" si="88"/>
        <v>0</v>
      </c>
      <c r="G1084" s="2">
        <f t="shared" si="89"/>
        <v>0</v>
      </c>
      <c r="H1084" s="2">
        <f t="shared" si="90"/>
        <v>0</v>
      </c>
      <c r="I1084" s="2">
        <f t="shared" si="86"/>
        <v>0</v>
      </c>
      <c r="J1084">
        <f>IFERROR(VLOOKUP(B1084,'General price list'!C:AI,12,FALSE)*(G1084*C1084),0)</f>
        <v>0</v>
      </c>
    </row>
    <row r="1085" spans="2:10" ht="15" customHeight="1">
      <c r="B1085" t="s">
        <v>177</v>
      </c>
      <c r="C1085" s="2">
        <f>IFERROR(VLOOKUP(B1085,'Deutsche Markt'!C:AA,24,FALSE),"")</f>
        <v>33</v>
      </c>
      <c r="D1085" s="2">
        <f>IFERROR(VLOOKUP(B1085,'Deutsche Markt'!C:AA,25,FALSE),0)</f>
        <v>0</v>
      </c>
      <c r="E1085" s="2">
        <f t="shared" si="87"/>
        <v>0</v>
      </c>
      <c r="F1085" s="2">
        <f t="shared" si="88"/>
        <v>0</v>
      </c>
      <c r="G1085" s="2">
        <f t="shared" si="89"/>
        <v>0</v>
      </c>
      <c r="H1085" s="2">
        <f t="shared" si="90"/>
        <v>0</v>
      </c>
      <c r="I1085" s="2">
        <f t="shared" si="86"/>
        <v>0</v>
      </c>
      <c r="J1085">
        <f>IFERROR(VLOOKUP(B1085,'General price list'!C:AI,12,FALSE)*(G1085*C1085),0)</f>
        <v>0</v>
      </c>
    </row>
    <row r="1086" spans="2:10" ht="15" customHeight="1">
      <c r="B1086" t="s">
        <v>146</v>
      </c>
      <c r="C1086" s="2">
        <f>IFERROR(VLOOKUP(B1086,'Deutsche Markt'!C:AA,24,FALSE),"")</f>
        <v>60</v>
      </c>
      <c r="D1086" s="2">
        <f>IFERROR(VLOOKUP(B1086,'Deutsche Markt'!C:AA,25,FALSE),0)</f>
        <v>0</v>
      </c>
      <c r="E1086" s="2">
        <f t="shared" si="87"/>
        <v>0</v>
      </c>
      <c r="F1086" s="2">
        <f t="shared" si="88"/>
        <v>0</v>
      </c>
      <c r="G1086" s="2">
        <f t="shared" si="89"/>
        <v>0</v>
      </c>
      <c r="H1086" s="2">
        <f t="shared" si="90"/>
        <v>0</v>
      </c>
      <c r="I1086" s="2">
        <f t="shared" si="86"/>
        <v>0</v>
      </c>
      <c r="J1086">
        <f>IFERROR(VLOOKUP(B1086,'General price list'!C:AI,12,FALSE)*(G1086*C1086),0)</f>
        <v>0</v>
      </c>
    </row>
    <row r="1087" spans="2:10" ht="15" customHeight="1">
      <c r="B1087" t="s">
        <v>194</v>
      </c>
      <c r="C1087" s="2">
        <f>IFERROR(VLOOKUP(B1087,'Deutsche Markt'!C:AA,24,FALSE),"")</f>
        <v>63</v>
      </c>
      <c r="D1087" s="2">
        <f>IFERROR(VLOOKUP(B1087,'Deutsche Markt'!C:AA,25,FALSE),0)</f>
        <v>0</v>
      </c>
      <c r="E1087" s="2">
        <f t="shared" si="87"/>
        <v>0</v>
      </c>
      <c r="F1087" s="2">
        <f t="shared" si="88"/>
        <v>0</v>
      </c>
      <c r="G1087" s="2">
        <f t="shared" si="89"/>
        <v>0</v>
      </c>
      <c r="H1087" s="2">
        <f t="shared" si="90"/>
        <v>0</v>
      </c>
      <c r="I1087" s="2">
        <f t="shared" si="86"/>
        <v>0</v>
      </c>
      <c r="J1087">
        <f>IFERROR(VLOOKUP(B1087,'General price list'!C:AI,12,FALSE)*(G1087*C1087),0)</f>
        <v>0</v>
      </c>
    </row>
    <row r="1088" spans="2:10" ht="15" customHeight="1">
      <c r="B1088" t="s">
        <v>11765</v>
      </c>
      <c r="C1088" s="2">
        <f>IFERROR(VLOOKUP(B1088,'Deutsche Markt'!C:AA,24,FALSE),"")</f>
        <v>62</v>
      </c>
      <c r="D1088" s="2">
        <f>IFERROR(VLOOKUP(B1088,'Deutsche Markt'!C:AA,25,FALSE),0)</f>
        <v>0</v>
      </c>
      <c r="E1088" s="2">
        <f t="shared" si="87"/>
        <v>0</v>
      </c>
      <c r="F1088" s="2">
        <f t="shared" si="88"/>
        <v>0</v>
      </c>
      <c r="G1088" s="2">
        <f t="shared" si="89"/>
        <v>0</v>
      </c>
      <c r="H1088" s="2">
        <f t="shared" si="90"/>
        <v>0</v>
      </c>
      <c r="I1088" s="2">
        <f t="shared" si="86"/>
        <v>0</v>
      </c>
      <c r="J1088">
        <f>IFERROR(VLOOKUP(B1088,'General price list'!C:AI,12,FALSE)*(G1088*C1088),0)</f>
        <v>0</v>
      </c>
    </row>
    <row r="1089" spans="2:10" ht="15" customHeight="1">
      <c r="B1089" t="s">
        <v>166</v>
      </c>
      <c r="C1089" s="2">
        <f>IFERROR(VLOOKUP(B1089,'Deutsche Markt'!C:AA,24,FALSE),"")</f>
        <v>60</v>
      </c>
      <c r="D1089" s="2">
        <f>IFERROR(VLOOKUP(B1089,'Deutsche Markt'!C:AA,25,FALSE),0)</f>
        <v>0</v>
      </c>
      <c r="E1089" s="2">
        <f t="shared" si="87"/>
        <v>0</v>
      </c>
      <c r="F1089" s="2">
        <f t="shared" si="88"/>
        <v>0</v>
      </c>
      <c r="G1089" s="2">
        <f t="shared" si="89"/>
        <v>0</v>
      </c>
      <c r="H1089" s="2">
        <f t="shared" si="90"/>
        <v>0</v>
      </c>
      <c r="I1089" s="2">
        <f t="shared" si="86"/>
        <v>0</v>
      </c>
      <c r="J1089">
        <f>IFERROR(VLOOKUP(B1089,'General price list'!C:AI,12,FALSE)*(G1089*C1089),0)</f>
        <v>0</v>
      </c>
    </row>
    <row r="1090" spans="2:10" ht="15" customHeight="1">
      <c r="B1090" t="s">
        <v>141</v>
      </c>
      <c r="C1090" s="2" t="str">
        <f>IFERROR(VLOOKUP(B1090,'Deutsche Markt'!C:AA,24,FALSE),"")</f>
        <v>38</v>
      </c>
      <c r="D1090" s="2">
        <f>IFERROR(VLOOKUP(B1090,'Deutsche Markt'!C:AA,25,FALSE),0)</f>
        <v>0</v>
      </c>
      <c r="E1090" s="2">
        <f t="shared" si="87"/>
        <v>0</v>
      </c>
      <c r="F1090" s="2">
        <f t="shared" si="88"/>
        <v>0</v>
      </c>
      <c r="G1090" s="2">
        <f t="shared" si="89"/>
        <v>0</v>
      </c>
      <c r="H1090" s="2">
        <f t="shared" si="90"/>
        <v>0</v>
      </c>
      <c r="I1090" s="2">
        <f t="shared" si="86"/>
        <v>0</v>
      </c>
      <c r="J1090">
        <f>IFERROR(VLOOKUP(B1090,'General price list'!C:AI,12,FALSE)*(G1090*C1090),0)</f>
        <v>0</v>
      </c>
    </row>
    <row r="1091" spans="2:10" ht="15" customHeight="1">
      <c r="B1091" t="s">
        <v>11763</v>
      </c>
      <c r="C1091" s="2">
        <f>IFERROR(VLOOKUP(B1091,'Deutsche Markt'!C:AA,24,FALSE),"")</f>
        <v>60</v>
      </c>
      <c r="D1091" s="2">
        <f>IFERROR(VLOOKUP(B1091,'Deutsche Markt'!C:AA,25,FALSE),0)</f>
        <v>0</v>
      </c>
      <c r="E1091" s="2">
        <f t="shared" si="87"/>
        <v>0</v>
      </c>
      <c r="F1091" s="2">
        <f t="shared" si="88"/>
        <v>0</v>
      </c>
      <c r="G1091" s="2">
        <f t="shared" si="89"/>
        <v>0</v>
      </c>
      <c r="H1091" s="2">
        <f t="shared" si="90"/>
        <v>0</v>
      </c>
      <c r="I1091" s="2">
        <f t="shared" si="86"/>
        <v>0</v>
      </c>
      <c r="J1091">
        <f>IFERROR(VLOOKUP(B1091,'General price list'!C:AI,12,FALSE)*(G1091*C1091),0)</f>
        <v>0</v>
      </c>
    </row>
    <row r="1092" spans="2:10" ht="15" customHeight="1">
      <c r="B1092" t="s">
        <v>160</v>
      </c>
      <c r="C1092" s="2">
        <f>IFERROR(VLOOKUP(B1092,'Deutsche Markt'!C:AA,24,FALSE),"")</f>
        <v>36</v>
      </c>
      <c r="D1092" s="2">
        <f>IFERROR(VLOOKUP(B1092,'Deutsche Markt'!C:AA,25,FALSE),0)</f>
        <v>0</v>
      </c>
      <c r="E1092" s="2">
        <f t="shared" si="87"/>
        <v>0</v>
      </c>
      <c r="F1092" s="2">
        <f t="shared" si="88"/>
        <v>0</v>
      </c>
      <c r="G1092" s="2">
        <f t="shared" si="89"/>
        <v>0</v>
      </c>
      <c r="H1092" s="2">
        <f t="shared" si="90"/>
        <v>0</v>
      </c>
      <c r="I1092" s="2">
        <f t="shared" ref="I1092:I1139" si="91">IFERROR(IF(D1092=0,0,IF(F1092=0,(D1092*nextVK)+(prvniVK-nextVK),(G1092*C1092*nextVK)+(F1092*PALzKoje))),0)</f>
        <v>0</v>
      </c>
      <c r="J1092">
        <f>IFERROR(VLOOKUP(B1092,'General price list'!C:AI,12,FALSE)*(G1092*C1092),0)</f>
        <v>0</v>
      </c>
    </row>
    <row r="1093" spans="2:10" ht="15" customHeight="1">
      <c r="B1093" t="s">
        <v>953</v>
      </c>
      <c r="C1093" s="2" t="str">
        <f>IFERROR(VLOOKUP(B1093,'Deutsche Markt'!C:AA,24,FALSE),"")</f>
        <v/>
      </c>
      <c r="D1093" s="2">
        <f>IFERROR(VLOOKUP(B1093,'Deutsche Markt'!C:AA,25,FALSE),0)</f>
        <v>0</v>
      </c>
      <c r="E1093" s="2">
        <f t="shared" ref="E1093:E1139" si="92">IFERROR(D1093/C1093,0)</f>
        <v>0</v>
      </c>
      <c r="F1093" s="2">
        <f t="shared" ref="F1093:F1139" si="93">IFERROR(FLOOR(IF(E1093-1&lt;0,0,E1093),1),0)</f>
        <v>0</v>
      </c>
      <c r="G1093" s="2">
        <f t="shared" ref="G1093:G1139" si="94">IFERROR(IF(H1093&gt;E1093,F1093-E1093,E1093-F1093),0)</f>
        <v>0</v>
      </c>
      <c r="H1093" s="2">
        <f t="shared" ref="H1093:H1139" si="95">IFERROR(IF(E1093=0,0,F1093),0)</f>
        <v>0</v>
      </c>
      <c r="I1093" s="2">
        <f t="shared" si="91"/>
        <v>0</v>
      </c>
      <c r="J1093">
        <f>IFERROR(VLOOKUP(B1093,'General price list'!C:AI,12,FALSE)*(G1093*C1093),0)</f>
        <v>0</v>
      </c>
    </row>
    <row r="1094" spans="2:10" ht="15" customHeight="1">
      <c r="B1094" t="s">
        <v>999</v>
      </c>
      <c r="C1094" s="2" t="str">
        <f>IFERROR(VLOOKUP(B1094,'Deutsche Markt'!C:AA,24,FALSE),"")</f>
        <v/>
      </c>
      <c r="D1094" s="2">
        <f>IFERROR(VLOOKUP(B1094,'Deutsche Markt'!C:AA,25,FALSE),0)</f>
        <v>0</v>
      </c>
      <c r="E1094" s="2">
        <f t="shared" si="92"/>
        <v>0</v>
      </c>
      <c r="F1094" s="2">
        <f t="shared" si="93"/>
        <v>0</v>
      </c>
      <c r="G1094" s="2">
        <f t="shared" si="94"/>
        <v>0</v>
      </c>
      <c r="H1094" s="2">
        <f t="shared" si="95"/>
        <v>0</v>
      </c>
      <c r="I1094" s="2">
        <f t="shared" si="91"/>
        <v>0</v>
      </c>
      <c r="J1094">
        <f>IFERROR(VLOOKUP(B1094,'General price list'!C:AI,12,FALSE)*(G1094*C1094),0)</f>
        <v>0</v>
      </c>
    </row>
    <row r="1095" spans="2:10" ht="15" customHeight="1">
      <c r="B1095" t="s">
        <v>887</v>
      </c>
      <c r="C1095" s="2" t="str">
        <f>IFERROR(VLOOKUP(B1095,'Deutsche Markt'!C:AA,24,FALSE),"")</f>
        <v/>
      </c>
      <c r="D1095" s="2">
        <f>IFERROR(VLOOKUP(B1095,'Deutsche Markt'!C:AA,25,FALSE),0)</f>
        <v>0</v>
      </c>
      <c r="E1095" s="2">
        <f t="shared" si="92"/>
        <v>0</v>
      </c>
      <c r="F1095" s="2">
        <f t="shared" si="93"/>
        <v>0</v>
      </c>
      <c r="G1095" s="2">
        <f t="shared" si="94"/>
        <v>0</v>
      </c>
      <c r="H1095" s="2">
        <f t="shared" si="95"/>
        <v>0</v>
      </c>
      <c r="I1095" s="2">
        <f t="shared" si="91"/>
        <v>0</v>
      </c>
      <c r="J1095">
        <f>IFERROR(VLOOKUP(B1095,'General price list'!C:AI,12,FALSE)*(G1095*C1095),0)</f>
        <v>0</v>
      </c>
    </row>
    <row r="1096" spans="2:10" ht="15" customHeight="1">
      <c r="B1096" t="s">
        <v>13636</v>
      </c>
      <c r="C1096" s="2" t="str">
        <f>IFERROR(VLOOKUP(B1096,'Deutsche Markt'!C:AA,24,FALSE),"")</f>
        <v/>
      </c>
      <c r="D1096" s="2">
        <f>IFERROR(VLOOKUP(B1096,'Deutsche Markt'!C:AA,25,FALSE),0)</f>
        <v>0</v>
      </c>
      <c r="E1096" s="2">
        <f t="shared" si="92"/>
        <v>0</v>
      </c>
      <c r="F1096" s="2">
        <f t="shared" si="93"/>
        <v>0</v>
      </c>
      <c r="G1096" s="2">
        <f t="shared" si="94"/>
        <v>0</v>
      </c>
      <c r="H1096" s="2">
        <f t="shared" si="95"/>
        <v>0</v>
      </c>
      <c r="I1096" s="2">
        <f t="shared" si="91"/>
        <v>0</v>
      </c>
      <c r="J1096">
        <f>IFERROR(VLOOKUP(B1096,'General price list'!C:AI,12,FALSE)*(G1096*C1096),0)</f>
        <v>0</v>
      </c>
    </row>
    <row r="1097" spans="2:10" ht="15" customHeight="1">
      <c r="B1097" t="s">
        <v>13638</v>
      </c>
      <c r="C1097" s="2" t="str">
        <f>IFERROR(VLOOKUP(B1097,'Deutsche Markt'!C:AA,24,FALSE),"")</f>
        <v/>
      </c>
      <c r="D1097" s="2">
        <f>IFERROR(VLOOKUP(B1097,'Deutsche Markt'!C:AA,25,FALSE),0)</f>
        <v>0</v>
      </c>
      <c r="E1097" s="2">
        <f t="shared" si="92"/>
        <v>0</v>
      </c>
      <c r="F1097" s="2">
        <f t="shared" si="93"/>
        <v>0</v>
      </c>
      <c r="G1097" s="2">
        <f t="shared" si="94"/>
        <v>0</v>
      </c>
      <c r="H1097" s="2">
        <f t="shared" si="95"/>
        <v>0</v>
      </c>
      <c r="I1097" s="2">
        <f t="shared" si="91"/>
        <v>0</v>
      </c>
      <c r="J1097">
        <f>IFERROR(VLOOKUP(B1097,'General price list'!C:AI,12,FALSE)*(G1097*C1097),0)</f>
        <v>0</v>
      </c>
    </row>
    <row r="1098" spans="2:10" ht="15" customHeight="1">
      <c r="B1098" t="s">
        <v>13640</v>
      </c>
      <c r="C1098" s="2" t="str">
        <f>IFERROR(VLOOKUP(B1098,'Deutsche Markt'!C:AA,24,FALSE),"")</f>
        <v/>
      </c>
      <c r="D1098" s="2">
        <f>IFERROR(VLOOKUP(B1098,'Deutsche Markt'!C:AA,25,FALSE),0)</f>
        <v>0</v>
      </c>
      <c r="E1098" s="2">
        <f t="shared" si="92"/>
        <v>0</v>
      </c>
      <c r="F1098" s="2">
        <f t="shared" si="93"/>
        <v>0</v>
      </c>
      <c r="G1098" s="2">
        <f t="shared" si="94"/>
        <v>0</v>
      </c>
      <c r="H1098" s="2">
        <f t="shared" si="95"/>
        <v>0</v>
      </c>
      <c r="I1098" s="2">
        <f t="shared" si="91"/>
        <v>0</v>
      </c>
      <c r="J1098">
        <f>IFERROR(VLOOKUP(B1098,'General price list'!C:AI,12,FALSE)*(G1098*C1098),0)</f>
        <v>0</v>
      </c>
    </row>
    <row r="1099" spans="2:10" ht="15" customHeight="1">
      <c r="B1099" t="s">
        <v>13642</v>
      </c>
      <c r="C1099" s="2" t="str">
        <f>IFERROR(VLOOKUP(B1099,'Deutsche Markt'!C:AA,24,FALSE),"")</f>
        <v/>
      </c>
      <c r="D1099" s="2">
        <f>IFERROR(VLOOKUP(B1099,'Deutsche Markt'!C:AA,25,FALSE),0)</f>
        <v>0</v>
      </c>
      <c r="E1099" s="2">
        <f t="shared" si="92"/>
        <v>0</v>
      </c>
      <c r="F1099" s="2">
        <f t="shared" si="93"/>
        <v>0</v>
      </c>
      <c r="G1099" s="2">
        <f t="shared" si="94"/>
        <v>0</v>
      </c>
      <c r="H1099" s="2">
        <f t="shared" si="95"/>
        <v>0</v>
      </c>
      <c r="I1099" s="2">
        <f t="shared" si="91"/>
        <v>0</v>
      </c>
      <c r="J1099">
        <f>IFERROR(VLOOKUP(B1099,'General price list'!C:AI,12,FALSE)*(G1099*C1099),0)</f>
        <v>0</v>
      </c>
    </row>
    <row r="1100" spans="2:10" ht="15" customHeight="1">
      <c r="B1100" t="s">
        <v>13644</v>
      </c>
      <c r="C1100" s="2" t="str">
        <f>IFERROR(VLOOKUP(B1100,'Deutsche Markt'!C:AA,24,FALSE),"")</f>
        <v/>
      </c>
      <c r="D1100" s="2">
        <f>IFERROR(VLOOKUP(B1100,'Deutsche Markt'!C:AA,25,FALSE),0)</f>
        <v>0</v>
      </c>
      <c r="E1100" s="2">
        <f t="shared" si="92"/>
        <v>0</v>
      </c>
      <c r="F1100" s="2">
        <f t="shared" si="93"/>
        <v>0</v>
      </c>
      <c r="G1100" s="2">
        <f t="shared" si="94"/>
        <v>0</v>
      </c>
      <c r="H1100" s="2">
        <f t="shared" si="95"/>
        <v>0</v>
      </c>
      <c r="I1100" s="2">
        <f t="shared" si="91"/>
        <v>0</v>
      </c>
      <c r="J1100">
        <f>IFERROR(VLOOKUP(B1100,'General price list'!C:AI,12,FALSE)*(G1100*C1100),0)</f>
        <v>0</v>
      </c>
    </row>
    <row r="1101" spans="2:10" ht="15" customHeight="1">
      <c r="B1101" t="s">
        <v>13623</v>
      </c>
      <c r="C1101" s="2" t="str">
        <f>IFERROR(VLOOKUP(B1101,'Deutsche Markt'!C:AA,24,FALSE),"")</f>
        <v/>
      </c>
      <c r="D1101" s="2">
        <f>IFERROR(VLOOKUP(B1101,'Deutsche Markt'!C:AA,25,FALSE),0)</f>
        <v>0</v>
      </c>
      <c r="E1101" s="2">
        <f t="shared" si="92"/>
        <v>0</v>
      </c>
      <c r="F1101" s="2">
        <f t="shared" si="93"/>
        <v>0</v>
      </c>
      <c r="G1101" s="2">
        <f t="shared" si="94"/>
        <v>0</v>
      </c>
      <c r="H1101" s="2">
        <f t="shared" si="95"/>
        <v>0</v>
      </c>
      <c r="I1101" s="2">
        <f t="shared" si="91"/>
        <v>0</v>
      </c>
      <c r="J1101">
        <f>IFERROR(VLOOKUP(B1101,'General price list'!C:AI,12,FALSE)*(G1101*C1101),0)</f>
        <v>0</v>
      </c>
    </row>
    <row r="1102" spans="2:10" ht="15" customHeight="1">
      <c r="C1102" s="2" t="str">
        <f>IFERROR(VLOOKUP(B1102,'Deutsche Markt'!C:AA,24,FALSE),"")</f>
        <v/>
      </c>
      <c r="D1102" s="2">
        <f>IFERROR(VLOOKUP(B1102,'Deutsche Markt'!C:AA,25,FALSE),0)</f>
        <v>0</v>
      </c>
      <c r="E1102" s="2">
        <f t="shared" si="92"/>
        <v>0</v>
      </c>
      <c r="F1102" s="2">
        <f t="shared" si="93"/>
        <v>0</v>
      </c>
      <c r="G1102" s="2">
        <f t="shared" si="94"/>
        <v>0</v>
      </c>
      <c r="H1102" s="2">
        <f t="shared" si="95"/>
        <v>0</v>
      </c>
      <c r="I1102" s="2">
        <f t="shared" si="91"/>
        <v>0</v>
      </c>
      <c r="J1102">
        <f>IFERROR(VLOOKUP(B1102,'General price list'!C:AI,12,FALSE)*(G1102*C1102),0)</f>
        <v>0</v>
      </c>
    </row>
    <row r="1103" spans="2:10" ht="15" customHeight="1">
      <c r="C1103" s="2" t="str">
        <f>IFERROR(VLOOKUP(B1103,'Deutsche Markt'!C:AA,24,FALSE),"")</f>
        <v/>
      </c>
      <c r="D1103" s="2">
        <f>IFERROR(VLOOKUP(B1103,'Deutsche Markt'!C:AA,25,FALSE),0)</f>
        <v>0</v>
      </c>
      <c r="E1103" s="2">
        <f t="shared" si="92"/>
        <v>0</v>
      </c>
      <c r="F1103" s="2">
        <f t="shared" si="93"/>
        <v>0</v>
      </c>
      <c r="G1103" s="2">
        <f t="shared" si="94"/>
        <v>0</v>
      </c>
      <c r="H1103" s="2">
        <f t="shared" si="95"/>
        <v>0</v>
      </c>
      <c r="I1103" s="2">
        <f t="shared" si="91"/>
        <v>0</v>
      </c>
      <c r="J1103">
        <f>IFERROR(VLOOKUP(B1103,'General price list'!C:AI,12,FALSE)*(G1103*C1103),0)</f>
        <v>0</v>
      </c>
    </row>
    <row r="1104" spans="2:10" ht="15" customHeight="1">
      <c r="C1104" s="2" t="str">
        <f>IFERROR(VLOOKUP(B1104,'Deutsche Markt'!C:AA,24,FALSE),"")</f>
        <v/>
      </c>
      <c r="D1104" s="2">
        <f>IFERROR(VLOOKUP(B1104,'Deutsche Markt'!C:AA,25,FALSE),0)</f>
        <v>0</v>
      </c>
      <c r="E1104" s="2">
        <f t="shared" si="92"/>
        <v>0</v>
      </c>
      <c r="F1104" s="2">
        <f t="shared" si="93"/>
        <v>0</v>
      </c>
      <c r="G1104" s="2">
        <f t="shared" si="94"/>
        <v>0</v>
      </c>
      <c r="H1104" s="2">
        <f t="shared" si="95"/>
        <v>0</v>
      </c>
      <c r="I1104" s="2">
        <f t="shared" si="91"/>
        <v>0</v>
      </c>
      <c r="J1104">
        <f>IFERROR(VLOOKUP(B1104,'General price list'!C:AI,12,FALSE)*(G1104*C1104),0)</f>
        <v>0</v>
      </c>
    </row>
    <row r="1105" spans="3:10" ht="15" customHeight="1">
      <c r="C1105" s="2" t="str">
        <f>IFERROR(VLOOKUP(B1105,'Deutsche Markt'!C:AA,24,FALSE),"")</f>
        <v/>
      </c>
      <c r="D1105" s="2">
        <f>IFERROR(VLOOKUP(B1105,'Deutsche Markt'!C:AA,25,FALSE),0)</f>
        <v>0</v>
      </c>
      <c r="E1105" s="2">
        <f t="shared" si="92"/>
        <v>0</v>
      </c>
      <c r="F1105" s="2">
        <f t="shared" si="93"/>
        <v>0</v>
      </c>
      <c r="G1105" s="2">
        <f t="shared" si="94"/>
        <v>0</v>
      </c>
      <c r="H1105" s="2">
        <f t="shared" si="95"/>
        <v>0</v>
      </c>
      <c r="I1105" s="2">
        <f t="shared" si="91"/>
        <v>0</v>
      </c>
      <c r="J1105">
        <f>IFERROR(VLOOKUP(B1105,'General price list'!C:AI,12,FALSE)*(G1105*C1105),0)</f>
        <v>0</v>
      </c>
    </row>
    <row r="1106" spans="3:10" ht="15" customHeight="1">
      <c r="C1106" s="2" t="str">
        <f>IFERROR(VLOOKUP(B1106,'Deutsche Markt'!C:AA,24,FALSE),"")</f>
        <v/>
      </c>
      <c r="D1106" s="2">
        <f>IFERROR(VLOOKUP(B1106,'Deutsche Markt'!C:AA,25,FALSE),0)</f>
        <v>0</v>
      </c>
      <c r="E1106" s="2">
        <f t="shared" si="92"/>
        <v>0</v>
      </c>
      <c r="F1106" s="2">
        <f t="shared" si="93"/>
        <v>0</v>
      </c>
      <c r="G1106" s="2">
        <f t="shared" si="94"/>
        <v>0</v>
      </c>
      <c r="H1106" s="2">
        <f t="shared" si="95"/>
        <v>0</v>
      </c>
      <c r="I1106" s="2">
        <f t="shared" si="91"/>
        <v>0</v>
      </c>
      <c r="J1106">
        <f>IFERROR(VLOOKUP(B1106,'General price list'!C:AI,12,FALSE)*(G1106*C1106),0)</f>
        <v>0</v>
      </c>
    </row>
    <row r="1107" spans="3:10" ht="15" customHeight="1">
      <c r="C1107" s="2" t="str">
        <f>IFERROR(VLOOKUP(B1107,'Deutsche Markt'!C:AA,24,FALSE),"")</f>
        <v/>
      </c>
      <c r="D1107" s="2">
        <f>IFERROR(VLOOKUP(B1107,'Deutsche Markt'!C:AA,25,FALSE),0)</f>
        <v>0</v>
      </c>
      <c r="E1107" s="2">
        <f t="shared" si="92"/>
        <v>0</v>
      </c>
      <c r="F1107" s="2">
        <f t="shared" si="93"/>
        <v>0</v>
      </c>
      <c r="G1107" s="2">
        <f t="shared" si="94"/>
        <v>0</v>
      </c>
      <c r="H1107" s="2">
        <f t="shared" si="95"/>
        <v>0</v>
      </c>
      <c r="I1107" s="2">
        <f t="shared" si="91"/>
        <v>0</v>
      </c>
      <c r="J1107">
        <f>IFERROR(VLOOKUP(B1107,'General price list'!C:AI,12,FALSE)*(G1107*C1107),0)</f>
        <v>0</v>
      </c>
    </row>
    <row r="1108" spans="3:10" ht="15" customHeight="1">
      <c r="C1108" s="2" t="str">
        <f>IFERROR(VLOOKUP(B1108,'Deutsche Markt'!C:AA,24,FALSE),"")</f>
        <v/>
      </c>
      <c r="D1108" s="2">
        <f>IFERROR(VLOOKUP(B1108,'Deutsche Markt'!C:AA,25,FALSE),0)</f>
        <v>0</v>
      </c>
      <c r="E1108" s="2">
        <f t="shared" si="92"/>
        <v>0</v>
      </c>
      <c r="F1108" s="2">
        <f t="shared" si="93"/>
        <v>0</v>
      </c>
      <c r="G1108" s="2">
        <f t="shared" si="94"/>
        <v>0</v>
      </c>
      <c r="H1108" s="2">
        <f t="shared" si="95"/>
        <v>0</v>
      </c>
      <c r="I1108" s="2">
        <f t="shared" si="91"/>
        <v>0</v>
      </c>
      <c r="J1108">
        <f>IFERROR(VLOOKUP(B1108,'General price list'!C:AI,12,FALSE)*(G1108*C1108),0)</f>
        <v>0</v>
      </c>
    </row>
    <row r="1109" spans="3:10" ht="15" customHeight="1">
      <c r="C1109" s="2" t="str">
        <f>IFERROR(VLOOKUP(B1109,'Deutsche Markt'!C:AA,24,FALSE),"")</f>
        <v/>
      </c>
      <c r="D1109" s="2">
        <f>IFERROR(VLOOKUP(B1109,'Deutsche Markt'!C:AA,25,FALSE),0)</f>
        <v>0</v>
      </c>
      <c r="E1109" s="2">
        <f t="shared" si="92"/>
        <v>0</v>
      </c>
      <c r="F1109" s="2">
        <f t="shared" si="93"/>
        <v>0</v>
      </c>
      <c r="G1109" s="2">
        <f t="shared" si="94"/>
        <v>0</v>
      </c>
      <c r="H1109" s="2">
        <f t="shared" si="95"/>
        <v>0</v>
      </c>
      <c r="I1109" s="2">
        <f t="shared" si="91"/>
        <v>0</v>
      </c>
      <c r="J1109">
        <f>IFERROR(VLOOKUP(B1109,'General price list'!C:AI,12,FALSE)*(G1109*C1109),0)</f>
        <v>0</v>
      </c>
    </row>
    <row r="1110" spans="3:10" ht="15" customHeight="1">
      <c r="C1110" s="2" t="str">
        <f>IFERROR(VLOOKUP(B1110,'Deutsche Markt'!C:AA,24,FALSE),"")</f>
        <v/>
      </c>
      <c r="D1110" s="2">
        <f>IFERROR(VLOOKUP(B1110,'Deutsche Markt'!C:AA,25,FALSE),0)</f>
        <v>0</v>
      </c>
      <c r="E1110" s="2">
        <f t="shared" si="92"/>
        <v>0</v>
      </c>
      <c r="F1110" s="2">
        <f t="shared" si="93"/>
        <v>0</v>
      </c>
      <c r="G1110" s="2">
        <f t="shared" si="94"/>
        <v>0</v>
      </c>
      <c r="H1110" s="2">
        <f t="shared" si="95"/>
        <v>0</v>
      </c>
      <c r="I1110" s="2">
        <f t="shared" si="91"/>
        <v>0</v>
      </c>
      <c r="J1110">
        <f>IFERROR(VLOOKUP(B1110,'General price list'!C:AI,12,FALSE)*(G1110*C1110),0)</f>
        <v>0</v>
      </c>
    </row>
    <row r="1111" spans="3:10" ht="15" customHeight="1">
      <c r="C1111" s="2" t="str">
        <f>IFERROR(VLOOKUP(B1111,'Deutsche Markt'!C:AA,24,FALSE),"")</f>
        <v/>
      </c>
      <c r="D1111" s="2">
        <f>IFERROR(VLOOKUP(B1111,'Deutsche Markt'!C:AA,25,FALSE),0)</f>
        <v>0</v>
      </c>
      <c r="E1111" s="2">
        <f t="shared" si="92"/>
        <v>0</v>
      </c>
      <c r="F1111" s="2">
        <f t="shared" si="93"/>
        <v>0</v>
      </c>
      <c r="G1111" s="2">
        <f t="shared" si="94"/>
        <v>0</v>
      </c>
      <c r="H1111" s="2">
        <f t="shared" si="95"/>
        <v>0</v>
      </c>
      <c r="I1111" s="2">
        <f t="shared" si="91"/>
        <v>0</v>
      </c>
      <c r="J1111">
        <f>IFERROR(VLOOKUP(B1111,'General price list'!C:AI,12,FALSE)*(G1111*C1111),0)</f>
        <v>0</v>
      </c>
    </row>
    <row r="1112" spans="3:10" ht="15" customHeight="1">
      <c r="C1112" s="2" t="str">
        <f>IFERROR(VLOOKUP(B1112,'Deutsche Markt'!C:AA,24,FALSE),"")</f>
        <v/>
      </c>
      <c r="D1112" s="2">
        <f>IFERROR(VLOOKUP(B1112,'Deutsche Markt'!C:AA,25,FALSE),0)</f>
        <v>0</v>
      </c>
      <c r="E1112" s="2">
        <f t="shared" si="92"/>
        <v>0</v>
      </c>
      <c r="F1112" s="2">
        <f t="shared" si="93"/>
        <v>0</v>
      </c>
      <c r="G1112" s="2">
        <f t="shared" si="94"/>
        <v>0</v>
      </c>
      <c r="H1112" s="2">
        <f t="shared" si="95"/>
        <v>0</v>
      </c>
      <c r="I1112" s="2">
        <f t="shared" si="91"/>
        <v>0</v>
      </c>
      <c r="J1112">
        <f>IFERROR(VLOOKUP(B1112,'General price list'!C:AI,12,FALSE)*(G1112*C1112),0)</f>
        <v>0</v>
      </c>
    </row>
    <row r="1113" spans="3:10" ht="15" customHeight="1">
      <c r="C1113" s="2" t="str">
        <f>IFERROR(VLOOKUP(B1113,'Deutsche Markt'!C:AA,24,FALSE),"")</f>
        <v/>
      </c>
      <c r="D1113" s="2">
        <f>IFERROR(VLOOKUP(B1113,'Deutsche Markt'!C:AA,25,FALSE),0)</f>
        <v>0</v>
      </c>
      <c r="E1113" s="2">
        <f t="shared" si="92"/>
        <v>0</v>
      </c>
      <c r="F1113" s="2">
        <f t="shared" si="93"/>
        <v>0</v>
      </c>
      <c r="G1113" s="2">
        <f t="shared" si="94"/>
        <v>0</v>
      </c>
      <c r="H1113" s="2">
        <f t="shared" si="95"/>
        <v>0</v>
      </c>
      <c r="I1113" s="2">
        <f t="shared" si="91"/>
        <v>0</v>
      </c>
      <c r="J1113">
        <f>IFERROR(VLOOKUP(B1113,'General price list'!C:AI,12,FALSE)*(G1113*C1113),0)</f>
        <v>0</v>
      </c>
    </row>
    <row r="1114" spans="3:10" ht="15" customHeight="1">
      <c r="C1114" s="2" t="str">
        <f>IFERROR(VLOOKUP(B1114,'Deutsche Markt'!C:AA,24,FALSE),"")</f>
        <v/>
      </c>
      <c r="D1114" s="2">
        <f>IFERROR(VLOOKUP(B1114,'Deutsche Markt'!C:AA,25,FALSE),0)</f>
        <v>0</v>
      </c>
      <c r="E1114" s="2">
        <f t="shared" si="92"/>
        <v>0</v>
      </c>
      <c r="F1114" s="2">
        <f t="shared" si="93"/>
        <v>0</v>
      </c>
      <c r="G1114" s="2">
        <f t="shared" si="94"/>
        <v>0</v>
      </c>
      <c r="H1114" s="2">
        <f t="shared" si="95"/>
        <v>0</v>
      </c>
      <c r="I1114" s="2">
        <f t="shared" si="91"/>
        <v>0</v>
      </c>
      <c r="J1114">
        <f>IFERROR(VLOOKUP(B1114,'General price list'!C:AI,12,FALSE)*(G1114*C1114),0)</f>
        <v>0</v>
      </c>
    </row>
    <row r="1115" spans="3:10" ht="15" customHeight="1">
      <c r="C1115" s="2" t="str">
        <f>IFERROR(VLOOKUP(B1115,'Deutsche Markt'!C:AA,24,FALSE),"")</f>
        <v/>
      </c>
      <c r="D1115" s="2">
        <f>IFERROR(VLOOKUP(B1115,'Deutsche Markt'!C:AA,25,FALSE),0)</f>
        <v>0</v>
      </c>
      <c r="E1115" s="2">
        <f t="shared" si="92"/>
        <v>0</v>
      </c>
      <c r="F1115" s="2">
        <f t="shared" si="93"/>
        <v>0</v>
      </c>
      <c r="G1115" s="2">
        <f t="shared" si="94"/>
        <v>0</v>
      </c>
      <c r="H1115" s="2">
        <f t="shared" si="95"/>
        <v>0</v>
      </c>
      <c r="I1115" s="2">
        <f t="shared" si="91"/>
        <v>0</v>
      </c>
      <c r="J1115">
        <f>IFERROR(VLOOKUP(B1115,'General price list'!C:AI,12,FALSE)*(G1115*C1115),0)</f>
        <v>0</v>
      </c>
    </row>
    <row r="1116" spans="3:10" ht="15" customHeight="1">
      <c r="C1116" s="2" t="str">
        <f>IFERROR(VLOOKUP(B1116,'Deutsche Markt'!C:AA,24,FALSE),"")</f>
        <v/>
      </c>
      <c r="D1116" s="2">
        <f>IFERROR(VLOOKUP(B1116,'Deutsche Markt'!C:AA,25,FALSE),0)</f>
        <v>0</v>
      </c>
      <c r="E1116" s="2">
        <f t="shared" si="92"/>
        <v>0</v>
      </c>
      <c r="F1116" s="2">
        <f t="shared" si="93"/>
        <v>0</v>
      </c>
      <c r="G1116" s="2">
        <f t="shared" si="94"/>
        <v>0</v>
      </c>
      <c r="H1116" s="2">
        <f t="shared" si="95"/>
        <v>0</v>
      </c>
      <c r="I1116" s="2">
        <f t="shared" si="91"/>
        <v>0</v>
      </c>
      <c r="J1116">
        <f>IFERROR(VLOOKUP(B1116,'General price list'!C:AI,12,FALSE)*(G1116*C1116),0)</f>
        <v>0</v>
      </c>
    </row>
    <row r="1117" spans="3:10" ht="15" customHeight="1">
      <c r="C1117" s="2" t="str">
        <f>IFERROR(VLOOKUP(B1117,'Deutsche Markt'!C:AA,24,FALSE),"")</f>
        <v/>
      </c>
      <c r="D1117" s="2">
        <f>IFERROR(VLOOKUP(B1117,'Deutsche Markt'!C:AA,25,FALSE),0)</f>
        <v>0</v>
      </c>
      <c r="E1117" s="2">
        <f t="shared" si="92"/>
        <v>0</v>
      </c>
      <c r="F1117" s="2">
        <f t="shared" si="93"/>
        <v>0</v>
      </c>
      <c r="G1117" s="2">
        <f t="shared" si="94"/>
        <v>0</v>
      </c>
      <c r="H1117" s="2">
        <f t="shared" si="95"/>
        <v>0</v>
      </c>
      <c r="I1117" s="2">
        <f t="shared" si="91"/>
        <v>0</v>
      </c>
      <c r="J1117">
        <f>IFERROR(VLOOKUP(B1117,'General price list'!C:AI,12,FALSE)*(G1117*C1117),0)</f>
        <v>0</v>
      </c>
    </row>
    <row r="1118" spans="3:10" ht="15" customHeight="1">
      <c r="C1118" s="2" t="str">
        <f>IFERROR(VLOOKUP(B1118,'Deutsche Markt'!C:AA,24,FALSE),"")</f>
        <v/>
      </c>
      <c r="D1118" s="2">
        <f>IFERROR(VLOOKUP(B1118,'Deutsche Markt'!C:AA,25,FALSE),0)</f>
        <v>0</v>
      </c>
      <c r="E1118" s="2">
        <f t="shared" si="92"/>
        <v>0</v>
      </c>
      <c r="F1118" s="2">
        <f t="shared" si="93"/>
        <v>0</v>
      </c>
      <c r="G1118" s="2">
        <f t="shared" si="94"/>
        <v>0</v>
      </c>
      <c r="H1118" s="2">
        <f t="shared" si="95"/>
        <v>0</v>
      </c>
      <c r="I1118" s="2">
        <f t="shared" si="91"/>
        <v>0</v>
      </c>
      <c r="J1118">
        <f>IFERROR(VLOOKUP(B1118,'General price list'!C:AI,12,FALSE)*(G1118*C1118),0)</f>
        <v>0</v>
      </c>
    </row>
    <row r="1119" spans="3:10" ht="15" customHeight="1">
      <c r="C1119" s="2" t="str">
        <f>IFERROR(VLOOKUP(B1119,'Deutsche Markt'!C:AA,24,FALSE),"")</f>
        <v/>
      </c>
      <c r="D1119" s="2">
        <f>IFERROR(VLOOKUP(B1119,'Deutsche Markt'!C:AA,25,FALSE),0)</f>
        <v>0</v>
      </c>
      <c r="E1119" s="2">
        <f t="shared" si="92"/>
        <v>0</v>
      </c>
      <c r="F1119" s="2">
        <f t="shared" si="93"/>
        <v>0</v>
      </c>
      <c r="G1119" s="2">
        <f t="shared" si="94"/>
        <v>0</v>
      </c>
      <c r="H1119" s="2">
        <f t="shared" si="95"/>
        <v>0</v>
      </c>
      <c r="I1119" s="2">
        <f t="shared" si="91"/>
        <v>0</v>
      </c>
      <c r="J1119">
        <f>IFERROR(VLOOKUP(B1119,'General price list'!C:AI,12,FALSE)*(G1119*C1119),0)</f>
        <v>0</v>
      </c>
    </row>
    <row r="1120" spans="3:10" ht="15" customHeight="1">
      <c r="C1120" s="2" t="str">
        <f>IFERROR(VLOOKUP(B1120,'Deutsche Markt'!C:AA,24,FALSE),"")</f>
        <v/>
      </c>
      <c r="D1120" s="2">
        <f>IFERROR(VLOOKUP(B1120,'Deutsche Markt'!C:AA,25,FALSE),0)</f>
        <v>0</v>
      </c>
      <c r="E1120" s="2">
        <f t="shared" si="92"/>
        <v>0</v>
      </c>
      <c r="F1120" s="2">
        <f t="shared" si="93"/>
        <v>0</v>
      </c>
      <c r="G1120" s="2">
        <f t="shared" si="94"/>
        <v>0</v>
      </c>
      <c r="H1120" s="2">
        <f t="shared" si="95"/>
        <v>0</v>
      </c>
      <c r="I1120" s="2">
        <f t="shared" si="91"/>
        <v>0</v>
      </c>
      <c r="J1120">
        <f>IFERROR(VLOOKUP(B1120,'General price list'!C:AI,12,FALSE)*(G1120*C1120),0)</f>
        <v>0</v>
      </c>
    </row>
    <row r="1121" spans="3:10" ht="15" customHeight="1">
      <c r="C1121" s="2" t="str">
        <f>IFERROR(VLOOKUP(B1121,'Deutsche Markt'!C:AA,24,FALSE),"")</f>
        <v/>
      </c>
      <c r="D1121" s="2">
        <f>IFERROR(VLOOKUP(B1121,'Deutsche Markt'!C:AA,25,FALSE),0)</f>
        <v>0</v>
      </c>
      <c r="E1121" s="2">
        <f t="shared" si="92"/>
        <v>0</v>
      </c>
      <c r="F1121" s="2">
        <f t="shared" si="93"/>
        <v>0</v>
      </c>
      <c r="G1121" s="2">
        <f t="shared" si="94"/>
        <v>0</v>
      </c>
      <c r="H1121" s="2">
        <f t="shared" si="95"/>
        <v>0</v>
      </c>
      <c r="I1121" s="2">
        <f t="shared" si="91"/>
        <v>0</v>
      </c>
      <c r="J1121">
        <f>IFERROR(VLOOKUP(B1121,'General price list'!C:AI,12,FALSE)*(G1121*C1121),0)</f>
        <v>0</v>
      </c>
    </row>
    <row r="1122" spans="3:10" ht="15" customHeight="1">
      <c r="C1122" s="2" t="str">
        <f>IFERROR(VLOOKUP(B1122,'Deutsche Markt'!C:AA,24,FALSE),"")</f>
        <v/>
      </c>
      <c r="D1122" s="2">
        <f>IFERROR(VLOOKUP(B1122,'Deutsche Markt'!C:AA,25,FALSE),0)</f>
        <v>0</v>
      </c>
      <c r="E1122" s="2">
        <f t="shared" si="92"/>
        <v>0</v>
      </c>
      <c r="F1122" s="2">
        <f t="shared" si="93"/>
        <v>0</v>
      </c>
      <c r="G1122" s="2">
        <f t="shared" si="94"/>
        <v>0</v>
      </c>
      <c r="H1122" s="2">
        <f t="shared" si="95"/>
        <v>0</v>
      </c>
      <c r="I1122" s="2">
        <f t="shared" si="91"/>
        <v>0</v>
      </c>
      <c r="J1122">
        <f>IFERROR(VLOOKUP(B1122,'General price list'!C:AI,12,FALSE)*(G1122*C1122),0)</f>
        <v>0</v>
      </c>
    </row>
    <row r="1123" spans="3:10" ht="15" customHeight="1">
      <c r="C1123" s="2" t="str">
        <f>IFERROR(VLOOKUP(B1123,'Deutsche Markt'!C:AA,24,FALSE),"")</f>
        <v/>
      </c>
      <c r="D1123" s="2">
        <f>IFERROR(VLOOKUP(B1123,'Deutsche Markt'!C:AA,25,FALSE),0)</f>
        <v>0</v>
      </c>
      <c r="E1123" s="2">
        <f t="shared" si="92"/>
        <v>0</v>
      </c>
      <c r="F1123" s="2">
        <f t="shared" si="93"/>
        <v>0</v>
      </c>
      <c r="G1123" s="2">
        <f t="shared" si="94"/>
        <v>0</v>
      </c>
      <c r="H1123" s="2">
        <f t="shared" si="95"/>
        <v>0</v>
      </c>
      <c r="I1123" s="2">
        <f t="shared" si="91"/>
        <v>0</v>
      </c>
      <c r="J1123">
        <f>IFERROR(VLOOKUP(B1123,'General price list'!C:AI,12,FALSE)*(G1123*C1123),0)</f>
        <v>0</v>
      </c>
    </row>
    <row r="1124" spans="3:10" ht="15" customHeight="1">
      <c r="C1124" s="2" t="str">
        <f>IFERROR(VLOOKUP(B1124,'Deutsche Markt'!C:AA,24,FALSE),"")</f>
        <v/>
      </c>
      <c r="D1124" s="2">
        <f>IFERROR(VLOOKUP(B1124,'Deutsche Markt'!C:AA,25,FALSE),0)</f>
        <v>0</v>
      </c>
      <c r="E1124" s="2">
        <f t="shared" si="92"/>
        <v>0</v>
      </c>
      <c r="F1124" s="2">
        <f t="shared" si="93"/>
        <v>0</v>
      </c>
      <c r="G1124" s="2">
        <f t="shared" si="94"/>
        <v>0</v>
      </c>
      <c r="H1124" s="2">
        <f t="shared" si="95"/>
        <v>0</v>
      </c>
      <c r="I1124" s="2">
        <f t="shared" si="91"/>
        <v>0</v>
      </c>
      <c r="J1124">
        <f>IFERROR(VLOOKUP(B1124,'General price list'!C:AI,12,FALSE)*(G1124*C1124),0)</f>
        <v>0</v>
      </c>
    </row>
    <row r="1125" spans="3:10" ht="15" customHeight="1">
      <c r="C1125" s="2" t="str">
        <f>IFERROR(VLOOKUP(B1125,'Deutsche Markt'!C:AA,24,FALSE),"")</f>
        <v/>
      </c>
      <c r="D1125" s="2">
        <f>IFERROR(VLOOKUP(B1125,'Deutsche Markt'!C:AA,25,FALSE),0)</f>
        <v>0</v>
      </c>
      <c r="E1125" s="2">
        <f t="shared" si="92"/>
        <v>0</v>
      </c>
      <c r="F1125" s="2">
        <f t="shared" si="93"/>
        <v>0</v>
      </c>
      <c r="G1125" s="2">
        <f t="shared" si="94"/>
        <v>0</v>
      </c>
      <c r="H1125" s="2">
        <f t="shared" si="95"/>
        <v>0</v>
      </c>
      <c r="I1125" s="2">
        <f t="shared" si="91"/>
        <v>0</v>
      </c>
      <c r="J1125">
        <f>IFERROR(VLOOKUP(B1125,'General price list'!C:AI,12,FALSE)*(G1125*C1125),0)</f>
        <v>0</v>
      </c>
    </row>
    <row r="1126" spans="3:10" ht="15" customHeight="1">
      <c r="C1126" s="2" t="str">
        <f>IFERROR(VLOOKUP(B1126,'Deutsche Markt'!C:AA,24,FALSE),"")</f>
        <v/>
      </c>
      <c r="D1126" s="2">
        <f>IFERROR(VLOOKUP(B1126,'Deutsche Markt'!C:AA,25,FALSE),0)</f>
        <v>0</v>
      </c>
      <c r="E1126" s="2">
        <f t="shared" si="92"/>
        <v>0</v>
      </c>
      <c r="F1126" s="2">
        <f t="shared" si="93"/>
        <v>0</v>
      </c>
      <c r="G1126" s="2">
        <f t="shared" si="94"/>
        <v>0</v>
      </c>
      <c r="H1126" s="2">
        <f t="shared" si="95"/>
        <v>0</v>
      </c>
      <c r="I1126" s="2">
        <f t="shared" si="91"/>
        <v>0</v>
      </c>
      <c r="J1126">
        <f>IFERROR(VLOOKUP(B1126,'General price list'!C:AI,12,FALSE)*(G1126*C1126),0)</f>
        <v>0</v>
      </c>
    </row>
    <row r="1127" spans="3:10" ht="15" customHeight="1">
      <c r="C1127" s="2" t="str">
        <f>IFERROR(VLOOKUP(B1127,'Deutsche Markt'!C:AA,24,FALSE),"")</f>
        <v/>
      </c>
      <c r="D1127" s="2">
        <f>IFERROR(VLOOKUP(B1127,'Deutsche Markt'!C:AA,25,FALSE),0)</f>
        <v>0</v>
      </c>
      <c r="E1127" s="2">
        <f t="shared" si="92"/>
        <v>0</v>
      </c>
      <c r="F1127" s="2">
        <f t="shared" si="93"/>
        <v>0</v>
      </c>
      <c r="G1127" s="2">
        <f t="shared" si="94"/>
        <v>0</v>
      </c>
      <c r="H1127" s="2">
        <f t="shared" si="95"/>
        <v>0</v>
      </c>
      <c r="I1127" s="2">
        <f t="shared" si="91"/>
        <v>0</v>
      </c>
      <c r="J1127">
        <f>IFERROR(VLOOKUP(B1127,'General price list'!C:AI,12,FALSE)*(G1127*C1127),0)</f>
        <v>0</v>
      </c>
    </row>
    <row r="1128" spans="3:10" ht="15" customHeight="1">
      <c r="C1128" s="2" t="str">
        <f>IFERROR(VLOOKUP(B1128,'Deutsche Markt'!C:AA,24,FALSE),"")</f>
        <v/>
      </c>
      <c r="D1128" s="2">
        <f>IFERROR(VLOOKUP(B1128,'Deutsche Markt'!C:AA,25,FALSE),0)</f>
        <v>0</v>
      </c>
      <c r="E1128" s="2">
        <f t="shared" si="92"/>
        <v>0</v>
      </c>
      <c r="F1128" s="2">
        <f t="shared" si="93"/>
        <v>0</v>
      </c>
      <c r="G1128" s="2">
        <f t="shared" si="94"/>
        <v>0</v>
      </c>
      <c r="H1128" s="2">
        <f t="shared" si="95"/>
        <v>0</v>
      </c>
      <c r="I1128" s="2">
        <f t="shared" si="91"/>
        <v>0</v>
      </c>
      <c r="J1128">
        <f>IFERROR(VLOOKUP(B1128,'General price list'!C:AI,12,FALSE)*(G1128*C1128),0)</f>
        <v>0</v>
      </c>
    </row>
    <row r="1129" spans="3:10" ht="15" customHeight="1">
      <c r="C1129" s="2" t="str">
        <f>IFERROR(VLOOKUP(B1129,'Deutsche Markt'!C:AA,24,FALSE),"")</f>
        <v/>
      </c>
      <c r="D1129" s="2">
        <f>IFERROR(VLOOKUP(B1129,'Deutsche Markt'!C:AA,25,FALSE),0)</f>
        <v>0</v>
      </c>
      <c r="E1129" s="2">
        <f t="shared" si="92"/>
        <v>0</v>
      </c>
      <c r="F1129" s="2">
        <f t="shared" si="93"/>
        <v>0</v>
      </c>
      <c r="G1129" s="2">
        <f t="shared" si="94"/>
        <v>0</v>
      </c>
      <c r="H1129" s="2">
        <f t="shared" si="95"/>
        <v>0</v>
      </c>
      <c r="I1129" s="2">
        <f t="shared" si="91"/>
        <v>0</v>
      </c>
      <c r="J1129">
        <f>IFERROR(VLOOKUP(B1129,'General price list'!C:AI,12,FALSE)*(G1129*C1129),0)</f>
        <v>0</v>
      </c>
    </row>
    <row r="1130" spans="3:10" ht="15" customHeight="1">
      <c r="C1130" s="2" t="str">
        <f>IFERROR(VLOOKUP(B1130,'Deutsche Markt'!C:AA,24,FALSE),"")</f>
        <v/>
      </c>
      <c r="D1130" s="2">
        <f>IFERROR(VLOOKUP(B1130,'Deutsche Markt'!C:AA,25,FALSE),0)</f>
        <v>0</v>
      </c>
      <c r="E1130" s="2">
        <f t="shared" si="92"/>
        <v>0</v>
      </c>
      <c r="F1130" s="2">
        <f t="shared" si="93"/>
        <v>0</v>
      </c>
      <c r="G1130" s="2">
        <f t="shared" si="94"/>
        <v>0</v>
      </c>
      <c r="H1130" s="2">
        <f t="shared" si="95"/>
        <v>0</v>
      </c>
      <c r="I1130" s="2">
        <f t="shared" si="91"/>
        <v>0</v>
      </c>
      <c r="J1130">
        <f>IFERROR(VLOOKUP(B1130,'General price list'!C:AI,12,FALSE)*(G1130*C1130),0)</f>
        <v>0</v>
      </c>
    </row>
    <row r="1131" spans="3:10" ht="15" customHeight="1">
      <c r="C1131" s="2" t="str">
        <f>IFERROR(VLOOKUP(B1131,'Deutsche Markt'!C:AA,24,FALSE),"")</f>
        <v/>
      </c>
      <c r="D1131" s="2">
        <f>IFERROR(VLOOKUP(B1131,'Deutsche Markt'!C:AA,25,FALSE),0)</f>
        <v>0</v>
      </c>
      <c r="E1131" s="2">
        <f t="shared" si="92"/>
        <v>0</v>
      </c>
      <c r="F1131" s="2">
        <f t="shared" si="93"/>
        <v>0</v>
      </c>
      <c r="G1131" s="2">
        <f t="shared" si="94"/>
        <v>0</v>
      </c>
      <c r="H1131" s="2">
        <f t="shared" si="95"/>
        <v>0</v>
      </c>
      <c r="I1131" s="2">
        <f t="shared" si="91"/>
        <v>0</v>
      </c>
      <c r="J1131">
        <f>IFERROR(VLOOKUP(B1131,'General price list'!C:AI,12,FALSE)*(G1131*C1131),0)</f>
        <v>0</v>
      </c>
    </row>
    <row r="1132" spans="3:10" ht="15" customHeight="1">
      <c r="C1132" s="2" t="str">
        <f>IFERROR(VLOOKUP(B1132,'Deutsche Markt'!C:AA,24,FALSE),"")</f>
        <v/>
      </c>
      <c r="D1132" s="2">
        <f>IFERROR(VLOOKUP(B1132,'Deutsche Markt'!C:AA,25,FALSE),0)</f>
        <v>0</v>
      </c>
      <c r="E1132" s="2">
        <f t="shared" si="92"/>
        <v>0</v>
      </c>
      <c r="F1132" s="2">
        <f t="shared" si="93"/>
        <v>0</v>
      </c>
      <c r="G1132" s="2">
        <f t="shared" si="94"/>
        <v>0</v>
      </c>
      <c r="H1132" s="2">
        <f t="shared" si="95"/>
        <v>0</v>
      </c>
      <c r="I1132" s="2">
        <f t="shared" si="91"/>
        <v>0</v>
      </c>
      <c r="J1132">
        <f>IFERROR(VLOOKUP(B1132,'General price list'!C:AI,12,FALSE)*(G1132*C1132),0)</f>
        <v>0</v>
      </c>
    </row>
    <row r="1133" spans="3:10" ht="15" customHeight="1">
      <c r="C1133" s="2" t="str">
        <f>IFERROR(VLOOKUP(B1133,'Deutsche Markt'!C:AA,24,FALSE),"")</f>
        <v/>
      </c>
      <c r="D1133" s="2">
        <f>IFERROR(VLOOKUP(B1133,'Deutsche Markt'!C:AA,25,FALSE),0)</f>
        <v>0</v>
      </c>
      <c r="E1133" s="2">
        <f t="shared" si="92"/>
        <v>0</v>
      </c>
      <c r="F1133" s="2">
        <f t="shared" si="93"/>
        <v>0</v>
      </c>
      <c r="G1133" s="2">
        <f t="shared" si="94"/>
        <v>0</v>
      </c>
      <c r="H1133" s="2">
        <f t="shared" si="95"/>
        <v>0</v>
      </c>
      <c r="I1133" s="2">
        <f t="shared" si="91"/>
        <v>0</v>
      </c>
      <c r="J1133">
        <f>IFERROR(VLOOKUP(B1133,'General price list'!C:AI,12,FALSE)*(G1133*C1133),0)</f>
        <v>0</v>
      </c>
    </row>
    <row r="1134" spans="3:10" ht="15" customHeight="1">
      <c r="C1134" s="2" t="str">
        <f>IFERROR(VLOOKUP(B1134,'Deutsche Markt'!C:AA,24,FALSE),"")</f>
        <v/>
      </c>
      <c r="D1134" s="2">
        <f>IFERROR(VLOOKUP(B1134,'Deutsche Markt'!C:AA,25,FALSE),0)</f>
        <v>0</v>
      </c>
      <c r="E1134" s="2">
        <f t="shared" si="92"/>
        <v>0</v>
      </c>
      <c r="F1134" s="2">
        <f t="shared" si="93"/>
        <v>0</v>
      </c>
      <c r="G1134" s="2">
        <f t="shared" si="94"/>
        <v>0</v>
      </c>
      <c r="H1134" s="2">
        <f t="shared" si="95"/>
        <v>0</v>
      </c>
      <c r="I1134" s="2">
        <f t="shared" si="91"/>
        <v>0</v>
      </c>
      <c r="J1134">
        <f>IFERROR(VLOOKUP(B1134,'General price list'!C:AI,12,FALSE)*(G1134*C1134),0)</f>
        <v>0</v>
      </c>
    </row>
    <row r="1135" spans="3:10" ht="15" customHeight="1">
      <c r="C1135" s="2" t="str">
        <f>IFERROR(VLOOKUP(B1135,'Deutsche Markt'!C:AA,24,FALSE),"")</f>
        <v/>
      </c>
      <c r="D1135" s="2">
        <f>IFERROR(VLOOKUP(B1135,'Deutsche Markt'!C:AA,25,FALSE),0)</f>
        <v>0</v>
      </c>
      <c r="E1135" s="2">
        <f t="shared" si="92"/>
        <v>0</v>
      </c>
      <c r="F1135" s="2">
        <f t="shared" si="93"/>
        <v>0</v>
      </c>
      <c r="G1135" s="2">
        <f t="shared" si="94"/>
        <v>0</v>
      </c>
      <c r="H1135" s="2">
        <f t="shared" si="95"/>
        <v>0</v>
      </c>
      <c r="I1135" s="2">
        <f t="shared" si="91"/>
        <v>0</v>
      </c>
      <c r="J1135">
        <f>IFERROR(VLOOKUP(B1135,'General price list'!C:AI,12,FALSE)*(G1135*C1135),0)</f>
        <v>0</v>
      </c>
    </row>
    <row r="1136" spans="3:10" ht="15" customHeight="1">
      <c r="C1136" s="2" t="str">
        <f>IFERROR(VLOOKUP(B1136,'Deutsche Markt'!C:AA,24,FALSE),"")</f>
        <v/>
      </c>
      <c r="D1136" s="2">
        <f>IFERROR(VLOOKUP(B1136,'Deutsche Markt'!C:AA,25,FALSE),0)</f>
        <v>0</v>
      </c>
      <c r="E1136" s="2">
        <f t="shared" si="92"/>
        <v>0</v>
      </c>
      <c r="F1136" s="2">
        <f t="shared" si="93"/>
        <v>0</v>
      </c>
      <c r="G1136" s="2">
        <f t="shared" si="94"/>
        <v>0</v>
      </c>
      <c r="H1136" s="2">
        <f t="shared" si="95"/>
        <v>0</v>
      </c>
      <c r="I1136" s="2">
        <f t="shared" si="91"/>
        <v>0</v>
      </c>
      <c r="J1136">
        <f>IFERROR(VLOOKUP(B1136,'General price list'!C:AI,12,FALSE)*(G1136*C1136),0)</f>
        <v>0</v>
      </c>
    </row>
    <row r="1137" spans="3:10" ht="15" customHeight="1">
      <c r="C1137" s="2" t="str">
        <f>IFERROR(VLOOKUP(B1137,'Deutsche Markt'!C:AA,24,FALSE),"")</f>
        <v/>
      </c>
      <c r="D1137" s="2">
        <f>IFERROR(VLOOKUP(B1137,'Deutsche Markt'!C:AA,25,FALSE),0)</f>
        <v>0</v>
      </c>
      <c r="E1137" s="2">
        <f t="shared" si="92"/>
        <v>0</v>
      </c>
      <c r="F1137" s="2">
        <f t="shared" si="93"/>
        <v>0</v>
      </c>
      <c r="G1137" s="2">
        <f t="shared" si="94"/>
        <v>0</v>
      </c>
      <c r="H1137" s="2">
        <f t="shared" si="95"/>
        <v>0</v>
      </c>
      <c r="I1137" s="2">
        <f t="shared" si="91"/>
        <v>0</v>
      </c>
      <c r="J1137">
        <f>IFERROR(VLOOKUP(B1137,'General price list'!C:AI,12,FALSE)*(G1137*C1137),0)</f>
        <v>0</v>
      </c>
    </row>
    <row r="1138" spans="3:10" ht="15" customHeight="1">
      <c r="C1138" s="2" t="str">
        <f>IFERROR(VLOOKUP(B1138,'Deutsche Markt'!C:AA,24,FALSE),"")</f>
        <v/>
      </c>
      <c r="D1138" s="2">
        <f>IFERROR(VLOOKUP(B1138,'Deutsche Markt'!C:AA,25,FALSE),0)</f>
        <v>0</v>
      </c>
      <c r="E1138" s="2">
        <f t="shared" si="92"/>
        <v>0</v>
      </c>
      <c r="F1138" s="2">
        <f t="shared" si="93"/>
        <v>0</v>
      </c>
      <c r="G1138" s="2">
        <f t="shared" si="94"/>
        <v>0</v>
      </c>
      <c r="H1138" s="2">
        <f t="shared" si="95"/>
        <v>0</v>
      </c>
      <c r="I1138" s="2">
        <f t="shared" si="91"/>
        <v>0</v>
      </c>
      <c r="J1138">
        <f>IFERROR(VLOOKUP(B1138,'General price list'!C:AI,12,FALSE)*(G1138*C1138),0)</f>
        <v>0</v>
      </c>
    </row>
    <row r="1139" spans="3:10" s="26" customFormat="1" ht="15" customHeight="1">
      <c r="C1139" s="2" t="str">
        <f>IFERROR(VLOOKUP(B1139,'Deutsche Markt'!C:AA,24,FALSE),"")</f>
        <v/>
      </c>
      <c r="D1139" s="2">
        <f>IFERROR(VLOOKUP(B1139,'Deutsche Markt'!C:AA,25,FALSE),0)</f>
        <v>0</v>
      </c>
      <c r="E1139" s="977">
        <f t="shared" si="92"/>
        <v>0</v>
      </c>
      <c r="F1139" s="977">
        <f t="shared" si="93"/>
        <v>0</v>
      </c>
      <c r="G1139" s="977">
        <f t="shared" si="94"/>
        <v>0</v>
      </c>
      <c r="H1139" s="977">
        <f t="shared" si="95"/>
        <v>0</v>
      </c>
      <c r="I1139" s="977">
        <f t="shared" si="91"/>
        <v>0</v>
      </c>
      <c r="J1139" s="26">
        <f>IFERROR(VLOOKUP(B1139,'General price list'!C:AI,12,FALSE)*(G1139*C1139),0)</f>
        <v>0</v>
      </c>
    </row>
  </sheetData>
  <mergeCells count="24">
    <mergeCell ref="F2:H2"/>
    <mergeCell ref="R2:AB2"/>
    <mergeCell ref="X3:Z3"/>
    <mergeCell ref="S15:T15"/>
    <mergeCell ref="U15:V15"/>
    <mergeCell ref="W15:X15"/>
    <mergeCell ref="AD2:AE2"/>
    <mergeCell ref="AF2:AG2"/>
    <mergeCell ref="AP37:AQ37"/>
    <mergeCell ref="S16:X16"/>
    <mergeCell ref="S18:T18"/>
    <mergeCell ref="S19:T19"/>
    <mergeCell ref="AJ23:AK23"/>
    <mergeCell ref="S17:T17"/>
    <mergeCell ref="O21:V22"/>
    <mergeCell ref="W21:Z22"/>
    <mergeCell ref="AL23:AM23"/>
    <mergeCell ref="T25:X27"/>
    <mergeCell ref="T24:X24"/>
    <mergeCell ref="AR26:AS26"/>
    <mergeCell ref="AS25:AT25"/>
    <mergeCell ref="AP24:AT24"/>
    <mergeCell ref="AP38:AQ38"/>
    <mergeCell ref="AP39:AQ39"/>
  </mergeCells>
  <conditionalFormatting sqref="B1:B1048576">
    <cfRule type="duplicateValues" dxfId="1" priority="1"/>
  </conditionalFormatting>
  <pageMargins left="0.7" right="0.7" top="0.78740157499999996" bottom="0.78740157499999996" header="0.3" footer="0.3"/>
  <legacyDrawing r:id="rId1"/>
  <extLst>
    <ext xmlns:x14="http://schemas.microsoft.com/office/spreadsheetml/2009/9/main" uri="{78C0D931-6437-407d-A8EE-F0AAD7539E65}">
      <x14:conditionalFormattings>
        <x14:conditionalFormatting xmlns:xm="http://schemas.microsoft.com/office/excel/2006/main">
          <x14:cfRule type="expression" priority="1718" id="{0980F202-5996-437F-B90D-1F905FA96FF0}">
            <xm:f>'General price list'!$AB$6=1</xm:f>
            <x14:dxf>
              <fill>
                <patternFill>
                  <bgColor theme="0"/>
                </patternFill>
              </fill>
              <border>
                <left/>
                <right/>
                <top/>
                <bottom/>
                <vertical/>
                <horizontal/>
              </border>
            </x14:dxf>
          </x14:cfRule>
          <xm:sqref>T24:X27</xm:sqref>
        </x14:conditionalFormatting>
      </x14:conditionalFormatting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List8"/>
  <dimension ref="A1:AQ1874"/>
  <sheetViews>
    <sheetView workbookViewId="0">
      <selection activeCell="O39" sqref="O39"/>
    </sheetView>
  </sheetViews>
  <sheetFormatPr defaultColWidth="9.140625" defaultRowHeight="15" customHeight="1"/>
  <cols>
    <col min="1" max="1" width="10.85546875" bestFit="1" customWidth="1"/>
    <col min="2" max="2" width="8" bestFit="1" customWidth="1"/>
  </cols>
  <sheetData>
    <row r="1" spans="1:12">
      <c r="A1" s="10" t="s">
        <v>2282</v>
      </c>
      <c r="F1" s="1045">
        <f>SUM(L:L)</f>
        <v>24.579000000000001</v>
      </c>
    </row>
    <row r="2" spans="1:12"/>
    <row r="3" spans="1:12">
      <c r="A3" t="s">
        <v>2224</v>
      </c>
      <c r="J3" s="1045" t="str">
        <f>IF(A3="Devizy","Devizy","")</f>
        <v/>
      </c>
      <c r="K3" s="1045" t="str">
        <f>IFERROR(IF(AND(J3="Devizy",FIND("Nakupujeme ",A3)=1),RIGHT(A3,7),""),"")</f>
        <v/>
      </c>
      <c r="L3" s="1045" t="str">
        <f>IFERROR(K3+M3,"")</f>
        <v/>
      </c>
    </row>
    <row r="4" spans="1:12">
      <c r="A4" t="s">
        <v>2231</v>
      </c>
      <c r="J4" s="1045" t="str">
        <f>IF(OR(A4="Devizy",J3="Devizy"),"Devizy","")</f>
        <v/>
      </c>
      <c r="K4" s="1045" t="str">
        <f>IFERROR(IF(AND(J4="Devizy",FIND("Nakupujeme ",A4)=1),RIGHT(A4,7),""),"")</f>
        <v/>
      </c>
      <c r="L4" s="1045" t="str">
        <f>IFERROR(K4+M4,"")</f>
        <v/>
      </c>
    </row>
    <row r="5" spans="1:12">
      <c r="A5" t="s">
        <v>13625</v>
      </c>
      <c r="J5" s="1045" t="str">
        <f t="shared" ref="J5:J68" si="0">IF(OR(A5="Devizy",J4="Devizy"),"Devizy","")</f>
        <v/>
      </c>
      <c r="K5" s="1045" t="str">
        <f t="shared" ref="K5:K68" si="1">IFERROR(IF(AND(J5="Devizy",FIND("Nakupujeme ",A5)=1),RIGHT(A5,7),""),"")</f>
        <v/>
      </c>
      <c r="L5" s="1045" t="str">
        <f t="shared" ref="L5:L68" si="2">IFERROR(K5+M5,"")</f>
        <v/>
      </c>
    </row>
    <row r="6" spans="1:12">
      <c r="A6" t="s">
        <v>13533</v>
      </c>
      <c r="J6" s="1045" t="str">
        <f t="shared" si="0"/>
        <v/>
      </c>
      <c r="K6" s="1045" t="str">
        <f t="shared" si="1"/>
        <v/>
      </c>
      <c r="L6" s="1045" t="str">
        <f t="shared" si="2"/>
        <v/>
      </c>
    </row>
    <row r="7" spans="1:12">
      <c r="J7" s="1045" t="str">
        <f t="shared" si="0"/>
        <v/>
      </c>
      <c r="K7" s="1045" t="str">
        <f t="shared" si="1"/>
        <v/>
      </c>
      <c r="L7" s="1045" t="str">
        <f t="shared" si="2"/>
        <v/>
      </c>
    </row>
    <row r="8" spans="1:12">
      <c r="A8" t="s">
        <v>2240</v>
      </c>
      <c r="J8" s="1045" t="str">
        <f t="shared" si="0"/>
        <v/>
      </c>
      <c r="K8" s="1045" t="str">
        <f t="shared" si="1"/>
        <v/>
      </c>
      <c r="L8" s="1045" t="str">
        <f t="shared" si="2"/>
        <v/>
      </c>
    </row>
    <row r="9" spans="1:12">
      <c r="J9" s="1045" t="str">
        <f t="shared" si="0"/>
        <v/>
      </c>
      <c r="K9" s="1045" t="str">
        <f t="shared" si="1"/>
        <v/>
      </c>
      <c r="L9" s="1045" t="str">
        <f t="shared" si="2"/>
        <v/>
      </c>
    </row>
    <row r="10" spans="1:12">
      <c r="A10" t="s">
        <v>13534</v>
      </c>
      <c r="J10" s="1045" t="str">
        <f t="shared" si="0"/>
        <v/>
      </c>
      <c r="K10" s="1045" t="str">
        <f t="shared" si="1"/>
        <v/>
      </c>
      <c r="L10" s="1045" t="str">
        <f t="shared" si="2"/>
        <v/>
      </c>
    </row>
    <row r="11" spans="1:12">
      <c r="A11" t="s">
        <v>13627</v>
      </c>
      <c r="J11" s="1045" t="str">
        <f t="shared" si="0"/>
        <v/>
      </c>
      <c r="K11" s="1045" t="str">
        <f t="shared" si="1"/>
        <v/>
      </c>
      <c r="L11" s="1045" t="str">
        <f t="shared" si="2"/>
        <v/>
      </c>
    </row>
    <row r="12" spans="1:12">
      <c r="A12" t="s">
        <v>13565</v>
      </c>
      <c r="J12" s="1045" t="str">
        <f t="shared" si="0"/>
        <v/>
      </c>
      <c r="K12" s="1045" t="str">
        <f t="shared" si="1"/>
        <v/>
      </c>
      <c r="L12" s="1045" t="str">
        <f t="shared" si="2"/>
        <v/>
      </c>
    </row>
    <row r="13" spans="1:12">
      <c r="A13" t="s">
        <v>13559</v>
      </c>
      <c r="J13" s="1045" t="str">
        <f t="shared" si="0"/>
        <v/>
      </c>
      <c r="K13" s="1045" t="str">
        <f t="shared" si="1"/>
        <v/>
      </c>
      <c r="L13" s="1045" t="str">
        <f t="shared" si="2"/>
        <v/>
      </c>
    </row>
    <row r="14" spans="1:12">
      <c r="A14" t="s">
        <v>13560</v>
      </c>
      <c r="J14" s="1045" t="str">
        <f t="shared" si="0"/>
        <v/>
      </c>
      <c r="K14" s="1045" t="str">
        <f t="shared" si="1"/>
        <v/>
      </c>
      <c r="L14" s="1045" t="str">
        <f t="shared" si="2"/>
        <v/>
      </c>
    </row>
    <row r="15" spans="1:12">
      <c r="A15" t="s">
        <v>13534</v>
      </c>
      <c r="J15" s="1045" t="str">
        <f t="shared" si="0"/>
        <v/>
      </c>
      <c r="K15" s="1045" t="str">
        <f t="shared" si="1"/>
        <v/>
      </c>
      <c r="L15" s="1045" t="str">
        <f t="shared" si="2"/>
        <v/>
      </c>
    </row>
    <row r="16" spans="1:12">
      <c r="A16" t="s">
        <v>13535</v>
      </c>
      <c r="J16" s="1045" t="str">
        <f t="shared" si="0"/>
        <v/>
      </c>
      <c r="K16" s="1045" t="str">
        <f t="shared" si="1"/>
        <v/>
      </c>
      <c r="L16" s="1045" t="str">
        <f t="shared" si="2"/>
        <v/>
      </c>
    </row>
    <row r="17" spans="1:43">
      <c r="J17" s="1045" t="str">
        <f t="shared" si="0"/>
        <v/>
      </c>
      <c r="K17" s="1045" t="str">
        <f t="shared" si="1"/>
        <v/>
      </c>
      <c r="L17" s="1045" t="str">
        <f t="shared" si="2"/>
        <v/>
      </c>
    </row>
    <row r="18" spans="1:43">
      <c r="A18" t="s">
        <v>2225</v>
      </c>
      <c r="J18" s="1045" t="str">
        <f t="shared" si="0"/>
        <v/>
      </c>
      <c r="K18" s="1045" t="str">
        <f t="shared" si="1"/>
        <v/>
      </c>
      <c r="L18" s="1045" t="str">
        <f t="shared" si="2"/>
        <v/>
      </c>
    </row>
    <row r="19" spans="1:43">
      <c r="J19" s="1045" t="str">
        <f t="shared" si="0"/>
        <v/>
      </c>
      <c r="K19" s="1045" t="str">
        <f t="shared" si="1"/>
        <v/>
      </c>
      <c r="L19" s="1045" t="str">
        <f t="shared" si="2"/>
        <v/>
      </c>
    </row>
    <row r="20" spans="1:43">
      <c r="J20" s="1045" t="str">
        <f t="shared" si="0"/>
        <v/>
      </c>
      <c r="K20" s="1045" t="str">
        <f t="shared" si="1"/>
        <v/>
      </c>
      <c r="L20" s="1045" t="str">
        <f t="shared" si="2"/>
        <v/>
      </c>
    </row>
    <row r="21" spans="1:43">
      <c r="A21" t="s">
        <v>13536</v>
      </c>
      <c r="J21" s="1045" t="str">
        <f t="shared" si="0"/>
        <v/>
      </c>
      <c r="K21" s="1045" t="str">
        <f t="shared" si="1"/>
        <v/>
      </c>
      <c r="L21" s="1045" t="str">
        <f t="shared" si="2"/>
        <v/>
      </c>
    </row>
    <row r="22" spans="1:43">
      <c r="A22" t="s">
        <v>13537</v>
      </c>
      <c r="J22" s="1045" t="str">
        <f t="shared" si="0"/>
        <v/>
      </c>
      <c r="K22" s="1045" t="str">
        <f t="shared" si="1"/>
        <v/>
      </c>
      <c r="L22" s="1045" t="str">
        <f t="shared" si="2"/>
        <v/>
      </c>
      <c r="AQ22" t="str">
        <f>IF($AK$3=1,"",IF(OR(AA22&lt;&gt;"",AA22&lt;&gt;0),IF(OR(AB22="SKLADEM",AB22=$V$3,AB22=$V$9),$V$10,""),""))</f>
        <v/>
      </c>
    </row>
    <row r="23" spans="1:43">
      <c r="A23" t="s">
        <v>13628</v>
      </c>
      <c r="J23" s="1045" t="str">
        <f t="shared" si="0"/>
        <v/>
      </c>
      <c r="K23" s="1045" t="str">
        <f t="shared" si="1"/>
        <v/>
      </c>
      <c r="L23" s="1045" t="str">
        <f t="shared" si="2"/>
        <v/>
      </c>
    </row>
    <row r="24" spans="1:43">
      <c r="A24" s="3" t="s">
        <v>13538</v>
      </c>
      <c r="J24" s="1045" t="str">
        <f t="shared" si="0"/>
        <v/>
      </c>
      <c r="K24" s="1045" t="str">
        <f t="shared" si="1"/>
        <v/>
      </c>
      <c r="L24" s="1045" t="str">
        <f t="shared" si="2"/>
        <v/>
      </c>
    </row>
    <row r="25" spans="1:43">
      <c r="A25" t="s">
        <v>13539</v>
      </c>
      <c r="J25" s="1045" t="str">
        <f t="shared" si="0"/>
        <v/>
      </c>
      <c r="K25" s="1045" t="str">
        <f t="shared" si="1"/>
        <v/>
      </c>
      <c r="L25" s="1045" t="str">
        <f t="shared" si="2"/>
        <v/>
      </c>
    </row>
    <row r="26" spans="1:43">
      <c r="A26" s="3"/>
      <c r="J26" s="1045" t="str">
        <f t="shared" si="0"/>
        <v/>
      </c>
      <c r="K26" s="1045" t="str">
        <f t="shared" si="1"/>
        <v/>
      </c>
      <c r="L26" s="1045" t="str">
        <f t="shared" si="2"/>
        <v/>
      </c>
    </row>
    <row r="27" spans="1:43">
      <c r="A27" t="s">
        <v>2226</v>
      </c>
      <c r="J27" s="1045" t="str">
        <f t="shared" si="0"/>
        <v/>
      </c>
      <c r="K27" s="1045" t="str">
        <f t="shared" si="1"/>
        <v/>
      </c>
      <c r="L27" s="1045" t="str">
        <f t="shared" si="2"/>
        <v/>
      </c>
    </row>
    <row r="28" spans="1:43">
      <c r="J28" s="1045" t="str">
        <f t="shared" si="0"/>
        <v/>
      </c>
      <c r="K28" s="1045" t="str">
        <f t="shared" si="1"/>
        <v/>
      </c>
      <c r="L28" s="1045" t="str">
        <f t="shared" si="2"/>
        <v/>
      </c>
    </row>
    <row r="29" spans="1:43">
      <c r="J29" s="1045" t="str">
        <f t="shared" si="0"/>
        <v/>
      </c>
      <c r="K29" s="1045" t="str">
        <f t="shared" si="1"/>
        <v/>
      </c>
      <c r="L29" s="1045" t="str">
        <f t="shared" si="2"/>
        <v/>
      </c>
      <c r="W29" s="26"/>
    </row>
    <row r="30" spans="1:43">
      <c r="A30" t="s">
        <v>13540</v>
      </c>
      <c r="C30" s="138"/>
      <c r="J30" s="1045" t="str">
        <f t="shared" si="0"/>
        <v/>
      </c>
      <c r="K30" s="1045" t="str">
        <f t="shared" si="1"/>
        <v/>
      </c>
      <c r="L30" s="1045" t="str">
        <f t="shared" si="2"/>
        <v/>
      </c>
    </row>
    <row r="31" spans="1:43">
      <c r="A31" t="s">
        <v>13541</v>
      </c>
      <c r="J31" s="1045" t="str">
        <f t="shared" si="0"/>
        <v/>
      </c>
      <c r="K31" s="1045" t="str">
        <f t="shared" si="1"/>
        <v/>
      </c>
      <c r="L31" s="1045" t="str">
        <f t="shared" si="2"/>
        <v/>
      </c>
    </row>
    <row r="32" spans="1:43">
      <c r="J32" s="1045" t="str">
        <f t="shared" si="0"/>
        <v/>
      </c>
      <c r="K32" s="1045" t="str">
        <f t="shared" si="1"/>
        <v/>
      </c>
      <c r="L32" s="1045" t="str">
        <f t="shared" si="2"/>
        <v/>
      </c>
    </row>
    <row r="33" spans="1:12">
      <c r="A33" t="s">
        <v>2227</v>
      </c>
      <c r="J33" s="1045" t="str">
        <f t="shared" si="0"/>
        <v/>
      </c>
      <c r="K33" s="1045" t="str">
        <f t="shared" si="1"/>
        <v/>
      </c>
      <c r="L33" s="1045" t="str">
        <f t="shared" si="2"/>
        <v/>
      </c>
    </row>
    <row r="34" spans="1:12">
      <c r="J34" s="1045" t="str">
        <f t="shared" si="0"/>
        <v/>
      </c>
      <c r="K34" s="1045" t="str">
        <f t="shared" si="1"/>
        <v/>
      </c>
      <c r="L34" s="1045" t="str">
        <f t="shared" si="2"/>
        <v/>
      </c>
    </row>
    <row r="35" spans="1:12">
      <c r="J35" s="1045" t="str">
        <f t="shared" si="0"/>
        <v/>
      </c>
      <c r="K35" s="1045" t="str">
        <f t="shared" si="1"/>
        <v/>
      </c>
      <c r="L35" s="1045" t="str">
        <f t="shared" si="2"/>
        <v/>
      </c>
    </row>
    <row r="36" spans="1:12">
      <c r="A36" t="s">
        <v>13629</v>
      </c>
      <c r="J36" s="1045" t="str">
        <f t="shared" si="0"/>
        <v/>
      </c>
      <c r="K36" s="1045" t="str">
        <f t="shared" si="1"/>
        <v/>
      </c>
      <c r="L36" s="1045" t="str">
        <f t="shared" si="2"/>
        <v/>
      </c>
    </row>
    <row r="37" spans="1:12">
      <c r="A37" t="s">
        <v>13542</v>
      </c>
      <c r="J37" s="1045" t="str">
        <f t="shared" si="0"/>
        <v/>
      </c>
      <c r="K37" s="1045" t="str">
        <f t="shared" si="1"/>
        <v/>
      </c>
      <c r="L37" s="1045" t="str">
        <f t="shared" si="2"/>
        <v/>
      </c>
    </row>
    <row r="38" spans="1:12">
      <c r="A38" t="s">
        <v>13543</v>
      </c>
      <c r="J38" s="1045" t="str">
        <f t="shared" si="0"/>
        <v/>
      </c>
      <c r="K38" s="1045" t="str">
        <f t="shared" si="1"/>
        <v/>
      </c>
      <c r="L38" s="1045" t="str">
        <f t="shared" si="2"/>
        <v/>
      </c>
    </row>
    <row r="39" spans="1:12">
      <c r="A39" s="3" t="s">
        <v>13630</v>
      </c>
      <c r="J39" s="1045" t="str">
        <f t="shared" si="0"/>
        <v/>
      </c>
      <c r="K39" s="1045" t="str">
        <f t="shared" si="1"/>
        <v/>
      </c>
      <c r="L39" s="1045" t="str">
        <f t="shared" si="2"/>
        <v/>
      </c>
    </row>
    <row r="40" spans="1:12">
      <c r="A40" t="s">
        <v>13539</v>
      </c>
      <c r="J40" s="1045" t="str">
        <f t="shared" si="0"/>
        <v/>
      </c>
      <c r="K40" s="1045" t="str">
        <f t="shared" si="1"/>
        <v/>
      </c>
      <c r="L40" s="1045" t="str">
        <f t="shared" si="2"/>
        <v/>
      </c>
    </row>
    <row r="41" spans="1:12">
      <c r="A41" s="3"/>
      <c r="J41" s="1045" t="str">
        <f t="shared" si="0"/>
        <v/>
      </c>
      <c r="K41" s="1045" t="str">
        <f t="shared" si="1"/>
        <v/>
      </c>
      <c r="L41" s="1045" t="str">
        <f t="shared" si="2"/>
        <v/>
      </c>
    </row>
    <row r="42" spans="1:12">
      <c r="A42" t="s">
        <v>2228</v>
      </c>
      <c r="J42" s="1045" t="str">
        <f t="shared" si="0"/>
        <v/>
      </c>
      <c r="K42" s="1045" t="str">
        <f t="shared" si="1"/>
        <v/>
      </c>
      <c r="L42" s="1045" t="str">
        <f t="shared" si="2"/>
        <v/>
      </c>
    </row>
    <row r="43" spans="1:12">
      <c r="J43" s="1045" t="str">
        <f t="shared" si="0"/>
        <v/>
      </c>
      <c r="K43" s="1045" t="str">
        <f t="shared" si="1"/>
        <v/>
      </c>
      <c r="L43" s="1045" t="str">
        <f t="shared" si="2"/>
        <v/>
      </c>
    </row>
    <row r="44" spans="1:12">
      <c r="J44" s="1045" t="str">
        <f t="shared" si="0"/>
        <v/>
      </c>
      <c r="K44" s="1045" t="str">
        <f t="shared" si="1"/>
        <v/>
      </c>
      <c r="L44" s="1045" t="str">
        <f t="shared" si="2"/>
        <v/>
      </c>
    </row>
    <row r="45" spans="1:12">
      <c r="A45" s="3" t="s">
        <v>13544</v>
      </c>
      <c r="J45" s="1045" t="str">
        <f t="shared" si="0"/>
        <v/>
      </c>
      <c r="K45" s="1045" t="str">
        <f t="shared" si="1"/>
        <v/>
      </c>
      <c r="L45" s="1045" t="str">
        <f t="shared" si="2"/>
        <v/>
      </c>
    </row>
    <row r="46" spans="1:12">
      <c r="A46" t="s">
        <v>13545</v>
      </c>
      <c r="J46" s="1045" t="str">
        <f t="shared" si="0"/>
        <v/>
      </c>
      <c r="K46" s="1045" t="str">
        <f t="shared" si="1"/>
        <v/>
      </c>
      <c r="L46" s="1045" t="str">
        <f t="shared" si="2"/>
        <v/>
      </c>
    </row>
    <row r="47" spans="1:12">
      <c r="A47" t="s">
        <v>13546</v>
      </c>
      <c r="J47" s="1045" t="str">
        <f t="shared" si="0"/>
        <v/>
      </c>
      <c r="K47" s="1045" t="str">
        <f t="shared" si="1"/>
        <v/>
      </c>
      <c r="L47" s="1045" t="str">
        <f t="shared" si="2"/>
        <v/>
      </c>
    </row>
    <row r="48" spans="1:12">
      <c r="A48" t="s">
        <v>13547</v>
      </c>
      <c r="J48" s="1045" t="str">
        <f t="shared" si="0"/>
        <v/>
      </c>
      <c r="K48" s="1045" t="str">
        <f t="shared" si="1"/>
        <v/>
      </c>
      <c r="L48" s="1045" t="str">
        <f t="shared" si="2"/>
        <v/>
      </c>
    </row>
    <row r="49" spans="1:12">
      <c r="A49" t="s">
        <v>13539</v>
      </c>
      <c r="J49" s="1045" t="str">
        <f t="shared" si="0"/>
        <v/>
      </c>
      <c r="K49" s="1045" t="str">
        <f t="shared" si="1"/>
        <v/>
      </c>
      <c r="L49" s="1045" t="str">
        <f t="shared" si="2"/>
        <v/>
      </c>
    </row>
    <row r="50" spans="1:12">
      <c r="A50" s="3"/>
      <c r="J50" s="1045" t="str">
        <f t="shared" si="0"/>
        <v/>
      </c>
      <c r="K50" s="1045" t="str">
        <f t="shared" si="1"/>
        <v/>
      </c>
      <c r="L50" s="1045" t="str">
        <f t="shared" si="2"/>
        <v/>
      </c>
    </row>
    <row r="51" spans="1:12">
      <c r="A51" t="s">
        <v>2229</v>
      </c>
      <c r="J51" s="1045" t="str">
        <f t="shared" si="0"/>
        <v/>
      </c>
      <c r="K51" s="1045" t="str">
        <f t="shared" si="1"/>
        <v/>
      </c>
      <c r="L51" s="1045" t="str">
        <f t="shared" si="2"/>
        <v/>
      </c>
    </row>
    <row r="52" spans="1:12">
      <c r="J52" s="1045" t="str">
        <f t="shared" si="0"/>
        <v/>
      </c>
      <c r="K52" s="1045" t="str">
        <f t="shared" si="1"/>
        <v/>
      </c>
      <c r="L52" s="1045" t="str">
        <f t="shared" si="2"/>
        <v/>
      </c>
    </row>
    <row r="53" spans="1:12">
      <c r="J53" s="1045" t="str">
        <f t="shared" si="0"/>
        <v/>
      </c>
      <c r="K53" s="1045" t="str">
        <f t="shared" si="1"/>
        <v/>
      </c>
      <c r="L53" s="1045" t="str">
        <f t="shared" si="2"/>
        <v/>
      </c>
    </row>
    <row r="54" spans="1:12">
      <c r="A54" t="s">
        <v>13548</v>
      </c>
      <c r="J54" s="1045" t="str">
        <f t="shared" si="0"/>
        <v/>
      </c>
      <c r="K54" s="1045" t="str">
        <f t="shared" si="1"/>
        <v/>
      </c>
      <c r="L54" s="1045" t="str">
        <f t="shared" si="2"/>
        <v/>
      </c>
    </row>
    <row r="55" spans="1:12">
      <c r="A55" t="s">
        <v>13549</v>
      </c>
      <c r="J55" s="1045" t="str">
        <f t="shared" si="0"/>
        <v/>
      </c>
      <c r="K55" s="1045" t="str">
        <f t="shared" si="1"/>
        <v/>
      </c>
      <c r="L55" s="1045" t="str">
        <f t="shared" si="2"/>
        <v/>
      </c>
    </row>
    <row r="56" spans="1:12">
      <c r="A56" t="s">
        <v>13550</v>
      </c>
      <c r="J56" s="1045" t="str">
        <f t="shared" si="0"/>
        <v/>
      </c>
      <c r="K56" s="1045" t="str">
        <f t="shared" si="1"/>
        <v/>
      </c>
      <c r="L56" s="1045" t="str">
        <f t="shared" si="2"/>
        <v/>
      </c>
    </row>
    <row r="57" spans="1:12">
      <c r="A57" t="s">
        <v>13551</v>
      </c>
      <c r="J57" s="1045" t="str">
        <f t="shared" si="0"/>
        <v/>
      </c>
      <c r="K57" s="1045" t="str">
        <f t="shared" si="1"/>
        <v/>
      </c>
      <c r="L57" s="1045" t="str">
        <f t="shared" si="2"/>
        <v/>
      </c>
    </row>
    <row r="58" spans="1:12">
      <c r="A58" s="3" t="s">
        <v>13539</v>
      </c>
      <c r="J58" s="1045" t="str">
        <f t="shared" si="0"/>
        <v/>
      </c>
      <c r="K58" s="1045" t="str">
        <f t="shared" si="1"/>
        <v/>
      </c>
      <c r="L58" s="1045" t="str">
        <f t="shared" si="2"/>
        <v/>
      </c>
    </row>
    <row r="59" spans="1:12">
      <c r="J59" s="1045" t="str">
        <f t="shared" si="0"/>
        <v/>
      </c>
      <c r="K59" s="1045" t="str">
        <f t="shared" si="1"/>
        <v/>
      </c>
      <c r="L59" s="1045" t="str">
        <f t="shared" si="2"/>
        <v/>
      </c>
    </row>
    <row r="60" spans="1:12">
      <c r="A60" s="3" t="s">
        <v>2230</v>
      </c>
      <c r="J60" s="1045" t="str">
        <f t="shared" si="0"/>
        <v/>
      </c>
      <c r="K60" s="1045" t="str">
        <f t="shared" si="1"/>
        <v/>
      </c>
      <c r="L60" s="1045" t="str">
        <f t="shared" si="2"/>
        <v/>
      </c>
    </row>
    <row r="61" spans="1:12">
      <c r="A61" s="3"/>
      <c r="J61" s="1045" t="str">
        <f t="shared" si="0"/>
        <v/>
      </c>
      <c r="K61" s="1045" t="str">
        <f t="shared" si="1"/>
        <v/>
      </c>
      <c r="L61" s="1045" t="str">
        <f t="shared" si="2"/>
        <v/>
      </c>
    </row>
    <row r="62" spans="1:12">
      <c r="A62" s="3"/>
      <c r="J62" s="1045" t="str">
        <f t="shared" si="0"/>
        <v/>
      </c>
      <c r="K62" s="1045" t="str">
        <f t="shared" si="1"/>
        <v/>
      </c>
      <c r="L62" s="1045" t="str">
        <f t="shared" si="2"/>
        <v/>
      </c>
    </row>
    <row r="63" spans="1:12">
      <c r="A63" t="s">
        <v>13552</v>
      </c>
      <c r="J63" s="1045" t="str">
        <f t="shared" si="0"/>
        <v/>
      </c>
      <c r="K63" s="1045" t="str">
        <f t="shared" si="1"/>
        <v/>
      </c>
      <c r="L63" s="1045" t="str">
        <f t="shared" si="2"/>
        <v/>
      </c>
    </row>
    <row r="64" spans="1:12">
      <c r="A64" s="3" t="s">
        <v>13553</v>
      </c>
      <c r="J64" s="1045" t="str">
        <f t="shared" si="0"/>
        <v/>
      </c>
      <c r="K64" s="1045" t="str">
        <f t="shared" si="1"/>
        <v/>
      </c>
      <c r="L64" s="1045" t="str">
        <f t="shared" si="2"/>
        <v/>
      </c>
    </row>
    <row r="65" spans="1:12">
      <c r="A65" s="3" t="s">
        <v>13554</v>
      </c>
      <c r="J65" s="1045" t="str">
        <f t="shared" si="0"/>
        <v/>
      </c>
      <c r="K65" s="1045" t="str">
        <f t="shared" si="1"/>
        <v/>
      </c>
      <c r="L65" s="1045" t="str">
        <f t="shared" si="2"/>
        <v/>
      </c>
    </row>
    <row r="66" spans="1:12">
      <c r="A66" s="3" t="s">
        <v>13555</v>
      </c>
      <c r="J66" s="1045" t="str">
        <f t="shared" si="0"/>
        <v/>
      </c>
      <c r="K66" s="1045" t="str">
        <f t="shared" si="1"/>
        <v/>
      </c>
      <c r="L66" s="1045" t="str">
        <f t="shared" si="2"/>
        <v/>
      </c>
    </row>
    <row r="67" spans="1:12">
      <c r="A67" t="s">
        <v>13539</v>
      </c>
      <c r="J67" s="1045" t="str">
        <f t="shared" si="0"/>
        <v/>
      </c>
      <c r="K67" s="1045" t="str">
        <f t="shared" si="1"/>
        <v/>
      </c>
      <c r="L67" s="1045" t="str">
        <f t="shared" si="2"/>
        <v/>
      </c>
    </row>
    <row r="68" spans="1:12">
      <c r="A68" s="3"/>
      <c r="J68" s="1045" t="str">
        <f t="shared" si="0"/>
        <v/>
      </c>
      <c r="K68" s="1045" t="str">
        <f t="shared" si="1"/>
        <v/>
      </c>
      <c r="L68" s="1045" t="str">
        <f t="shared" si="2"/>
        <v/>
      </c>
    </row>
    <row r="69" spans="1:12">
      <c r="A69" s="3" t="s">
        <v>13556</v>
      </c>
      <c r="J69" s="1045" t="str">
        <f t="shared" ref="J69:J132" si="3">IF(OR(A69="Devizy",J68="Devizy"),"Devizy","")</f>
        <v/>
      </c>
      <c r="K69" s="1045" t="str">
        <f t="shared" ref="K69:K132" si="4">IFERROR(IF(AND(J69="Devizy",FIND("Nakupujeme ",A69)=1),RIGHT(A69,7),""),"")</f>
        <v/>
      </c>
      <c r="L69" s="1045" t="str">
        <f t="shared" ref="L69:L132" si="5">IFERROR(K69+M69,"")</f>
        <v/>
      </c>
    </row>
    <row r="70" spans="1:12">
      <c r="A70" s="4" t="s">
        <v>13557</v>
      </c>
      <c r="J70" s="1045" t="str">
        <f t="shared" si="3"/>
        <v/>
      </c>
      <c r="K70" s="1045" t="str">
        <f t="shared" si="4"/>
        <v/>
      </c>
      <c r="L70" s="1045" t="str">
        <f t="shared" si="5"/>
        <v/>
      </c>
    </row>
    <row r="71" spans="1:12">
      <c r="J71" s="1045" t="str">
        <f t="shared" si="3"/>
        <v/>
      </c>
      <c r="K71" s="1045" t="str">
        <f t="shared" si="4"/>
        <v/>
      </c>
      <c r="L71" s="1045" t="str">
        <f t="shared" si="5"/>
        <v/>
      </c>
    </row>
    <row r="72" spans="1:12">
      <c r="A72" t="s">
        <v>13558</v>
      </c>
      <c r="J72" s="1045" t="str">
        <f t="shared" si="3"/>
        <v/>
      </c>
      <c r="K72" s="1045" t="str">
        <f t="shared" si="4"/>
        <v/>
      </c>
      <c r="L72" s="1045" t="str">
        <f t="shared" si="5"/>
        <v/>
      </c>
    </row>
    <row r="73" spans="1:12">
      <c r="A73" t="s">
        <v>13559</v>
      </c>
      <c r="J73" s="1045" t="str">
        <f t="shared" si="3"/>
        <v/>
      </c>
      <c r="K73" s="1045" t="str">
        <f t="shared" si="4"/>
        <v/>
      </c>
      <c r="L73" s="1045" t="str">
        <f t="shared" si="5"/>
        <v/>
      </c>
    </row>
    <row r="74" spans="1:12">
      <c r="J74" s="1045" t="str">
        <f t="shared" si="3"/>
        <v/>
      </c>
      <c r="K74" s="1045" t="str">
        <f t="shared" si="4"/>
        <v/>
      </c>
      <c r="L74" s="1045" t="str">
        <f t="shared" si="5"/>
        <v/>
      </c>
    </row>
    <row r="75" spans="1:12">
      <c r="A75" s="4" t="s">
        <v>13560</v>
      </c>
      <c r="J75" s="1045" t="str">
        <f t="shared" si="3"/>
        <v/>
      </c>
      <c r="K75" s="1045" t="str">
        <f t="shared" si="4"/>
        <v/>
      </c>
      <c r="L75" s="1045" t="str">
        <f t="shared" si="5"/>
        <v/>
      </c>
    </row>
    <row r="76" spans="1:12">
      <c r="A76" t="s">
        <v>13815</v>
      </c>
      <c r="J76" s="1045" t="str">
        <f t="shared" si="3"/>
        <v/>
      </c>
      <c r="K76" s="1045" t="str">
        <f t="shared" si="4"/>
        <v/>
      </c>
      <c r="L76" s="1045" t="str">
        <f t="shared" si="5"/>
        <v/>
      </c>
    </row>
    <row r="77" spans="1:12">
      <c r="A77" t="s">
        <v>13815</v>
      </c>
      <c r="J77" s="1045" t="str">
        <f t="shared" si="3"/>
        <v/>
      </c>
      <c r="K77" s="1045" t="str">
        <f t="shared" si="4"/>
        <v/>
      </c>
      <c r="L77" s="1045" t="str">
        <f t="shared" si="5"/>
        <v/>
      </c>
    </row>
    <row r="78" spans="1:12">
      <c r="A78" s="4" t="s">
        <v>13631</v>
      </c>
      <c r="J78" s="1045" t="str">
        <f t="shared" si="3"/>
        <v/>
      </c>
      <c r="K78" s="1045" t="str">
        <f t="shared" si="4"/>
        <v/>
      </c>
      <c r="L78" s="1045" t="str">
        <f t="shared" si="5"/>
        <v/>
      </c>
    </row>
    <row r="79" spans="1:12">
      <c r="A79" t="s">
        <v>13562</v>
      </c>
      <c r="J79" s="1045" t="str">
        <f t="shared" si="3"/>
        <v/>
      </c>
      <c r="K79" s="1045" t="str">
        <f t="shared" si="4"/>
        <v/>
      </c>
      <c r="L79" s="1045" t="str">
        <f t="shared" si="5"/>
        <v/>
      </c>
    </row>
    <row r="80" spans="1:12">
      <c r="A80" s="3"/>
      <c r="J80" s="1045" t="str">
        <f t="shared" si="3"/>
        <v/>
      </c>
      <c r="K80" s="1045" t="str">
        <f t="shared" si="4"/>
        <v/>
      </c>
      <c r="L80" s="1045" t="str">
        <f t="shared" si="5"/>
        <v/>
      </c>
    </row>
    <row r="81" spans="1:12">
      <c r="A81" s="3" t="s">
        <v>13563</v>
      </c>
      <c r="J81" s="1045" t="str">
        <f t="shared" si="3"/>
        <v/>
      </c>
      <c r="K81" s="1045" t="str">
        <f t="shared" si="4"/>
        <v/>
      </c>
      <c r="L81" s="1045" t="str">
        <f t="shared" si="5"/>
        <v/>
      </c>
    </row>
    <row r="82" spans="1:12">
      <c r="J82" s="1045" t="str">
        <f t="shared" si="3"/>
        <v/>
      </c>
      <c r="K82" s="1045" t="str">
        <f t="shared" si="4"/>
        <v/>
      </c>
      <c r="L82" s="1045" t="str">
        <f t="shared" si="5"/>
        <v/>
      </c>
    </row>
    <row r="83" spans="1:12">
      <c r="A83" s="4"/>
      <c r="J83" s="1045" t="str">
        <f t="shared" si="3"/>
        <v/>
      </c>
      <c r="K83" s="1045" t="str">
        <f t="shared" si="4"/>
        <v/>
      </c>
      <c r="L83" s="1045" t="str">
        <f t="shared" si="5"/>
        <v/>
      </c>
    </row>
    <row r="84" spans="1:12">
      <c r="A84" s="3" t="s">
        <v>13564</v>
      </c>
      <c r="J84" s="1045" t="str">
        <f t="shared" si="3"/>
        <v/>
      </c>
      <c r="K84" s="1045" t="str">
        <f t="shared" si="4"/>
        <v/>
      </c>
      <c r="L84" s="1045" t="str">
        <f t="shared" si="5"/>
        <v/>
      </c>
    </row>
    <row r="85" spans="1:12">
      <c r="A85" s="3" t="s">
        <v>13565</v>
      </c>
      <c r="J85" s="1045" t="str">
        <f t="shared" si="3"/>
        <v/>
      </c>
      <c r="K85" s="1045" t="str">
        <f t="shared" si="4"/>
        <v/>
      </c>
      <c r="L85" s="1045" t="str">
        <f t="shared" si="5"/>
        <v/>
      </c>
    </row>
    <row r="86" spans="1:12">
      <c r="A86" s="3" t="s">
        <v>13566</v>
      </c>
      <c r="J86" s="1045" t="str">
        <f t="shared" si="3"/>
        <v/>
      </c>
      <c r="K86" s="1045" t="str">
        <f t="shared" si="4"/>
        <v/>
      </c>
      <c r="L86" s="1045" t="str">
        <f t="shared" si="5"/>
        <v/>
      </c>
    </row>
    <row r="87" spans="1:12">
      <c r="A87" t="s">
        <v>13567</v>
      </c>
      <c r="J87" s="1045" t="str">
        <f t="shared" si="3"/>
        <v/>
      </c>
      <c r="K87" s="1045" t="str">
        <f t="shared" si="4"/>
        <v/>
      </c>
      <c r="L87" s="1045" t="str">
        <f t="shared" si="5"/>
        <v/>
      </c>
    </row>
    <row r="88" spans="1:12">
      <c r="A88" s="3"/>
      <c r="J88" s="1045" t="str">
        <f t="shared" si="3"/>
        <v/>
      </c>
      <c r="K88" s="1045" t="str">
        <f t="shared" si="4"/>
        <v/>
      </c>
      <c r="L88" s="1045" t="str">
        <f t="shared" si="5"/>
        <v/>
      </c>
    </row>
    <row r="89" spans="1:12">
      <c r="A89" s="3" t="s">
        <v>13568</v>
      </c>
      <c r="J89" s="1045" t="str">
        <f t="shared" si="3"/>
        <v/>
      </c>
      <c r="K89" s="1045" t="str">
        <f t="shared" si="4"/>
        <v/>
      </c>
      <c r="L89" s="1045" t="str">
        <f t="shared" si="5"/>
        <v/>
      </c>
    </row>
    <row r="90" spans="1:12">
      <c r="A90" t="s">
        <v>13569</v>
      </c>
      <c r="J90" s="1045" t="str">
        <f t="shared" si="3"/>
        <v/>
      </c>
      <c r="K90" s="1045" t="str">
        <f t="shared" si="4"/>
        <v/>
      </c>
      <c r="L90" s="1045" t="str">
        <f t="shared" si="5"/>
        <v/>
      </c>
    </row>
    <row r="91" spans="1:12">
      <c r="A91" s="4" t="s">
        <v>13570</v>
      </c>
      <c r="J91" s="1045" t="str">
        <f t="shared" si="3"/>
        <v/>
      </c>
      <c r="K91" s="1045" t="str">
        <f t="shared" si="4"/>
        <v/>
      </c>
      <c r="L91" s="1045" t="str">
        <f t="shared" si="5"/>
        <v/>
      </c>
    </row>
    <row r="92" spans="1:12">
      <c r="J92" s="1045" t="str">
        <f t="shared" si="3"/>
        <v/>
      </c>
      <c r="K92" s="1045" t="str">
        <f t="shared" si="4"/>
        <v/>
      </c>
      <c r="L92" s="1045" t="str">
        <f t="shared" si="5"/>
        <v/>
      </c>
    </row>
    <row r="93" spans="1:12">
      <c r="A93" t="s">
        <v>13571</v>
      </c>
      <c r="J93" s="1045" t="str">
        <f t="shared" si="3"/>
        <v/>
      </c>
      <c r="K93" s="1045" t="str">
        <f t="shared" si="4"/>
        <v/>
      </c>
      <c r="L93" s="1045" t="str">
        <f t="shared" si="5"/>
        <v/>
      </c>
    </row>
    <row r="94" spans="1:12">
      <c r="A94" t="s">
        <v>13572</v>
      </c>
      <c r="J94" s="1045" t="str">
        <f t="shared" si="3"/>
        <v/>
      </c>
      <c r="K94" s="1045" t="str">
        <f t="shared" si="4"/>
        <v/>
      </c>
      <c r="L94" s="1045" t="str">
        <f t="shared" si="5"/>
        <v/>
      </c>
    </row>
    <row r="95" spans="1:12">
      <c r="A95" t="s">
        <v>13617</v>
      </c>
      <c r="J95" s="1045" t="str">
        <f t="shared" si="3"/>
        <v/>
      </c>
      <c r="K95" s="1045" t="str">
        <f t="shared" si="4"/>
        <v/>
      </c>
      <c r="L95" s="1045" t="str">
        <f t="shared" si="5"/>
        <v/>
      </c>
    </row>
    <row r="96" spans="1:12">
      <c r="A96" t="s">
        <v>11545</v>
      </c>
      <c r="J96" s="1045" t="str">
        <f t="shared" si="3"/>
        <v/>
      </c>
      <c r="K96" s="1045" t="str">
        <f t="shared" si="4"/>
        <v/>
      </c>
      <c r="L96" s="1045" t="str">
        <f t="shared" si="5"/>
        <v/>
      </c>
    </row>
    <row r="97" spans="1:12">
      <c r="A97" s="4" t="s">
        <v>11545</v>
      </c>
      <c r="J97" s="1045" t="str">
        <f t="shared" si="3"/>
        <v/>
      </c>
      <c r="K97" s="1045" t="str">
        <f t="shared" si="4"/>
        <v/>
      </c>
      <c r="L97" s="1045" t="str">
        <f t="shared" si="5"/>
        <v/>
      </c>
    </row>
    <row r="98" spans="1:12">
      <c r="A98" t="s">
        <v>13561</v>
      </c>
      <c r="J98" s="1045" t="str">
        <f t="shared" si="3"/>
        <v/>
      </c>
      <c r="K98" s="1045" t="str">
        <f t="shared" si="4"/>
        <v/>
      </c>
      <c r="L98" s="1045" t="str">
        <f t="shared" si="5"/>
        <v/>
      </c>
    </row>
    <row r="99" spans="1:12">
      <c r="A99" s="4" t="s">
        <v>13573</v>
      </c>
      <c r="J99" s="1045" t="str">
        <f t="shared" si="3"/>
        <v/>
      </c>
      <c r="K99" s="1045" t="str">
        <f t="shared" si="4"/>
        <v/>
      </c>
      <c r="L99" s="1045" t="str">
        <f t="shared" si="5"/>
        <v/>
      </c>
    </row>
    <row r="100" spans="1:12">
      <c r="A100" s="5" t="s">
        <v>13574</v>
      </c>
      <c r="J100" s="1045" t="str">
        <f t="shared" si="3"/>
        <v/>
      </c>
      <c r="K100" s="1045" t="str">
        <f t="shared" si="4"/>
        <v/>
      </c>
      <c r="L100" s="1045" t="str">
        <f t="shared" si="5"/>
        <v/>
      </c>
    </row>
    <row r="101" spans="1:12">
      <c r="J101" s="1045" t="str">
        <f t="shared" si="3"/>
        <v/>
      </c>
      <c r="K101" s="1045" t="str">
        <f t="shared" si="4"/>
        <v/>
      </c>
      <c r="L101" s="1045" t="str">
        <f t="shared" si="5"/>
        <v/>
      </c>
    </row>
    <row r="102" spans="1:12">
      <c r="A102" t="s">
        <v>13618</v>
      </c>
      <c r="J102" s="1045" t="str">
        <f t="shared" si="3"/>
        <v/>
      </c>
      <c r="K102" s="1045" t="str">
        <f t="shared" si="4"/>
        <v/>
      </c>
      <c r="L102" s="1045" t="str">
        <f t="shared" si="5"/>
        <v/>
      </c>
    </row>
    <row r="103" spans="1:12">
      <c r="A103" t="s">
        <v>13619</v>
      </c>
      <c r="J103" s="1045" t="str">
        <f t="shared" si="3"/>
        <v/>
      </c>
      <c r="K103" s="1045" t="str">
        <f t="shared" si="4"/>
        <v/>
      </c>
      <c r="L103" s="1045" t="str">
        <f t="shared" si="5"/>
        <v/>
      </c>
    </row>
    <row r="104" spans="1:12">
      <c r="A104" s="5" t="s">
        <v>13620</v>
      </c>
      <c r="J104" s="1045" t="str">
        <f t="shared" si="3"/>
        <v/>
      </c>
      <c r="K104" s="1045" t="str">
        <f t="shared" si="4"/>
        <v/>
      </c>
      <c r="L104" s="1045" t="str">
        <f t="shared" si="5"/>
        <v/>
      </c>
    </row>
    <row r="105" spans="1:12">
      <c r="A105" s="5" t="s">
        <v>11754</v>
      </c>
      <c r="J105" s="1045" t="str">
        <f t="shared" si="3"/>
        <v/>
      </c>
      <c r="K105" s="1045" t="str">
        <f t="shared" si="4"/>
        <v/>
      </c>
      <c r="L105" s="1045" t="str">
        <f t="shared" si="5"/>
        <v/>
      </c>
    </row>
    <row r="106" spans="1:12">
      <c r="A106" t="s">
        <v>13575</v>
      </c>
      <c r="J106" s="1045" t="str">
        <f t="shared" si="3"/>
        <v/>
      </c>
      <c r="K106" s="1045" t="str">
        <f t="shared" si="4"/>
        <v/>
      </c>
      <c r="L106" s="1045" t="str">
        <f t="shared" si="5"/>
        <v/>
      </c>
    </row>
    <row r="107" spans="1:12">
      <c r="J107" s="1045" t="str">
        <f t="shared" si="3"/>
        <v/>
      </c>
      <c r="K107" s="1045" t="str">
        <f t="shared" si="4"/>
        <v/>
      </c>
      <c r="L107" s="1045" t="str">
        <f t="shared" si="5"/>
        <v/>
      </c>
    </row>
    <row r="108" spans="1:12">
      <c r="A108" s="4" t="s">
        <v>2240</v>
      </c>
      <c r="J108" s="1045" t="str">
        <f t="shared" si="3"/>
        <v/>
      </c>
      <c r="K108" s="1045" t="str">
        <f t="shared" si="4"/>
        <v/>
      </c>
      <c r="L108" s="1045" t="str">
        <f t="shared" si="5"/>
        <v/>
      </c>
    </row>
    <row r="109" spans="1:12">
      <c r="A109" s="4"/>
      <c r="J109" s="1045" t="str">
        <f t="shared" si="3"/>
        <v/>
      </c>
      <c r="K109" s="1045" t="str">
        <f t="shared" si="4"/>
        <v/>
      </c>
      <c r="L109" s="1045" t="str">
        <f t="shared" si="5"/>
        <v/>
      </c>
    </row>
    <row r="110" spans="1:12">
      <c r="A110" t="s">
        <v>13534</v>
      </c>
      <c r="J110" s="1045" t="str">
        <f t="shared" si="3"/>
        <v/>
      </c>
      <c r="K110" s="1045" t="str">
        <f t="shared" si="4"/>
        <v/>
      </c>
      <c r="L110" s="1045" t="str">
        <f t="shared" si="5"/>
        <v/>
      </c>
    </row>
    <row r="111" spans="1:12">
      <c r="A111" s="4" t="s">
        <v>13627</v>
      </c>
      <c r="J111" s="1045" t="str">
        <f t="shared" si="3"/>
        <v/>
      </c>
      <c r="K111" s="1045" t="str">
        <f t="shared" si="4"/>
        <v/>
      </c>
      <c r="L111" s="1045" t="str">
        <f t="shared" si="5"/>
        <v/>
      </c>
    </row>
    <row r="112" spans="1:12">
      <c r="A112" s="4" t="s">
        <v>13565</v>
      </c>
      <c r="J112" s="1045" t="str">
        <f t="shared" si="3"/>
        <v/>
      </c>
      <c r="K112" s="1045" t="str">
        <f t="shared" si="4"/>
        <v/>
      </c>
      <c r="L112" s="1045" t="str">
        <f t="shared" si="5"/>
        <v/>
      </c>
    </row>
    <row r="113" spans="1:12">
      <c r="A113" s="4" t="s">
        <v>13559</v>
      </c>
      <c r="J113" s="1045" t="str">
        <f t="shared" si="3"/>
        <v/>
      </c>
      <c r="K113" s="1045" t="str">
        <f t="shared" si="4"/>
        <v/>
      </c>
      <c r="L113" s="1045" t="str">
        <f t="shared" si="5"/>
        <v/>
      </c>
    </row>
    <row r="114" spans="1:12">
      <c r="A114" t="s">
        <v>13560</v>
      </c>
      <c r="J114" s="1045" t="str">
        <f t="shared" si="3"/>
        <v/>
      </c>
      <c r="K114" s="1045" t="str">
        <f t="shared" si="4"/>
        <v/>
      </c>
      <c r="L114" s="1045" t="str">
        <f t="shared" si="5"/>
        <v/>
      </c>
    </row>
    <row r="115" spans="1:12">
      <c r="A115" s="4" t="s">
        <v>13576</v>
      </c>
      <c r="J115" s="1045" t="str">
        <f t="shared" si="3"/>
        <v/>
      </c>
      <c r="K115" s="1045" t="str">
        <f t="shared" si="4"/>
        <v/>
      </c>
      <c r="L115" s="1045" t="str">
        <f t="shared" si="5"/>
        <v/>
      </c>
    </row>
    <row r="116" spans="1:12">
      <c r="A116" s="4" t="s">
        <v>13577</v>
      </c>
      <c r="J116" s="1045" t="str">
        <f t="shared" si="3"/>
        <v/>
      </c>
      <c r="K116" s="1045" t="str">
        <f t="shared" si="4"/>
        <v/>
      </c>
      <c r="L116" s="1045" t="str">
        <f t="shared" si="5"/>
        <v/>
      </c>
    </row>
    <row r="117" spans="1:12">
      <c r="A117" s="4" t="s">
        <v>13626</v>
      </c>
      <c r="J117" s="1045" t="str">
        <f t="shared" si="3"/>
        <v/>
      </c>
      <c r="K117" s="1045" t="str">
        <f t="shared" si="4"/>
        <v/>
      </c>
      <c r="L117" s="1045" t="str">
        <f t="shared" si="5"/>
        <v/>
      </c>
    </row>
    <row r="118" spans="1:12">
      <c r="A118" s="4" t="s">
        <v>13534</v>
      </c>
      <c r="J118" s="1045" t="str">
        <f t="shared" si="3"/>
        <v/>
      </c>
      <c r="K118" s="1045" t="str">
        <f t="shared" si="4"/>
        <v/>
      </c>
      <c r="L118" s="1045" t="str">
        <f t="shared" si="5"/>
        <v/>
      </c>
    </row>
    <row r="119" spans="1:12">
      <c r="A119" s="4" t="s">
        <v>13579</v>
      </c>
      <c r="J119" s="1045" t="str">
        <f t="shared" si="3"/>
        <v/>
      </c>
      <c r="K119" s="1045" t="str">
        <f t="shared" si="4"/>
        <v/>
      </c>
      <c r="L119" s="1045" t="str">
        <f t="shared" si="5"/>
        <v/>
      </c>
    </row>
    <row r="120" spans="1:12">
      <c r="A120" s="4" t="s">
        <v>13536</v>
      </c>
      <c r="J120" s="1045" t="str">
        <f t="shared" si="3"/>
        <v/>
      </c>
      <c r="K120" s="1045" t="str">
        <f t="shared" si="4"/>
        <v/>
      </c>
      <c r="L120" s="1045" t="str">
        <f t="shared" si="5"/>
        <v/>
      </c>
    </row>
    <row r="121" spans="1:12">
      <c r="A121" s="4" t="s">
        <v>13537</v>
      </c>
      <c r="J121" s="1045" t="str">
        <f t="shared" si="3"/>
        <v/>
      </c>
      <c r="K121" s="1045" t="str">
        <f t="shared" si="4"/>
        <v/>
      </c>
      <c r="L121" s="1045" t="str">
        <f t="shared" si="5"/>
        <v/>
      </c>
    </row>
    <row r="122" spans="1:12">
      <c r="A122" t="s">
        <v>13628</v>
      </c>
      <c r="J122" s="1045" t="str">
        <f t="shared" si="3"/>
        <v/>
      </c>
      <c r="K122" s="1045" t="str">
        <f t="shared" si="4"/>
        <v/>
      </c>
      <c r="L122" s="1045" t="str">
        <f t="shared" si="5"/>
        <v/>
      </c>
    </row>
    <row r="123" spans="1:12">
      <c r="A123" s="4" t="s">
        <v>13538</v>
      </c>
      <c r="J123" s="1045" t="str">
        <f t="shared" si="3"/>
        <v/>
      </c>
      <c r="K123" s="1045" t="str">
        <f t="shared" si="4"/>
        <v/>
      </c>
      <c r="L123" s="1045" t="str">
        <f t="shared" si="5"/>
        <v/>
      </c>
    </row>
    <row r="124" spans="1:12">
      <c r="A124" s="4" t="s">
        <v>13539</v>
      </c>
      <c r="J124" s="1045" t="str">
        <f t="shared" si="3"/>
        <v/>
      </c>
      <c r="K124" s="1045" t="str">
        <f t="shared" si="4"/>
        <v/>
      </c>
      <c r="L124" s="1045" t="str">
        <f t="shared" si="5"/>
        <v/>
      </c>
    </row>
    <row r="125" spans="1:12">
      <c r="A125" s="4" t="s">
        <v>13580</v>
      </c>
      <c r="J125" s="1045" t="str">
        <f t="shared" si="3"/>
        <v/>
      </c>
      <c r="K125" s="1045" t="str">
        <f t="shared" si="4"/>
        <v/>
      </c>
      <c r="L125" s="1045" t="str">
        <f t="shared" si="5"/>
        <v/>
      </c>
    </row>
    <row r="126" spans="1:12">
      <c r="A126" s="4" t="s">
        <v>13540</v>
      </c>
      <c r="J126" s="1045" t="str">
        <f t="shared" si="3"/>
        <v/>
      </c>
      <c r="K126" s="1045" t="str">
        <f t="shared" si="4"/>
        <v/>
      </c>
      <c r="L126" s="1045" t="str">
        <f t="shared" si="5"/>
        <v/>
      </c>
    </row>
    <row r="127" spans="1:12">
      <c r="A127" s="4" t="s">
        <v>13541</v>
      </c>
      <c r="J127" s="1045" t="str">
        <f t="shared" si="3"/>
        <v/>
      </c>
      <c r="K127" s="1045" t="str">
        <f t="shared" si="4"/>
        <v/>
      </c>
      <c r="L127" s="1045" t="str">
        <f t="shared" si="5"/>
        <v/>
      </c>
    </row>
    <row r="128" spans="1:12">
      <c r="A128" s="4" t="s">
        <v>13581</v>
      </c>
      <c r="J128" s="1045" t="str">
        <f t="shared" si="3"/>
        <v/>
      </c>
      <c r="K128" s="1045" t="str">
        <f t="shared" si="4"/>
        <v/>
      </c>
      <c r="L128" s="1045" t="str">
        <f t="shared" si="5"/>
        <v/>
      </c>
    </row>
    <row r="129" spans="1:12">
      <c r="A129" s="4" t="s">
        <v>13629</v>
      </c>
      <c r="J129" s="1045" t="str">
        <f t="shared" si="3"/>
        <v/>
      </c>
      <c r="K129" s="1045" t="str">
        <f t="shared" si="4"/>
        <v/>
      </c>
      <c r="L129" s="1045" t="str">
        <f t="shared" si="5"/>
        <v/>
      </c>
    </row>
    <row r="130" spans="1:12">
      <c r="A130" t="s">
        <v>13542</v>
      </c>
      <c r="J130" s="1045" t="str">
        <f t="shared" si="3"/>
        <v/>
      </c>
      <c r="K130" s="1045" t="str">
        <f t="shared" si="4"/>
        <v/>
      </c>
      <c r="L130" s="1045" t="str">
        <f t="shared" si="5"/>
        <v/>
      </c>
    </row>
    <row r="131" spans="1:12">
      <c r="A131" s="4" t="s">
        <v>13543</v>
      </c>
      <c r="J131" s="1045" t="str">
        <f t="shared" si="3"/>
        <v/>
      </c>
      <c r="K131" s="1045" t="str">
        <f t="shared" si="4"/>
        <v/>
      </c>
      <c r="L131" s="1045" t="str">
        <f t="shared" si="5"/>
        <v/>
      </c>
    </row>
    <row r="132" spans="1:12">
      <c r="A132" s="4" t="s">
        <v>13630</v>
      </c>
      <c r="J132" s="1045" t="str">
        <f t="shared" si="3"/>
        <v/>
      </c>
      <c r="K132" s="1045" t="str">
        <f t="shared" si="4"/>
        <v/>
      </c>
      <c r="L132" s="1045" t="str">
        <f t="shared" si="5"/>
        <v/>
      </c>
    </row>
    <row r="133" spans="1:12">
      <c r="A133" t="s">
        <v>13539</v>
      </c>
      <c r="J133" s="1045" t="str">
        <f t="shared" ref="J133:J196" si="6">IF(OR(A133="Devizy",J132="Devizy"),"Devizy","")</f>
        <v/>
      </c>
      <c r="K133" s="1045" t="str">
        <f t="shared" ref="K133:K196" si="7">IFERROR(IF(AND(J133="Devizy",FIND("Nakupujeme ",A133)=1),RIGHT(A133,7),""),"")</f>
        <v/>
      </c>
      <c r="L133" s="1045" t="str">
        <f t="shared" ref="L133:L196" si="8">IFERROR(K133+M133,"")</f>
        <v/>
      </c>
    </row>
    <row r="134" spans="1:12">
      <c r="A134" s="4" t="s">
        <v>13582</v>
      </c>
      <c r="J134" s="1045" t="str">
        <f t="shared" si="6"/>
        <v/>
      </c>
      <c r="K134" s="1045" t="str">
        <f t="shared" si="7"/>
        <v/>
      </c>
      <c r="L134" s="1045" t="str">
        <f t="shared" si="8"/>
        <v/>
      </c>
    </row>
    <row r="135" spans="1:12">
      <c r="A135" t="s">
        <v>13544</v>
      </c>
      <c r="J135" s="1045" t="str">
        <f t="shared" si="6"/>
        <v/>
      </c>
      <c r="K135" s="1045" t="str">
        <f t="shared" si="7"/>
        <v/>
      </c>
      <c r="L135" s="1045" t="str">
        <f t="shared" si="8"/>
        <v/>
      </c>
    </row>
    <row r="136" spans="1:12">
      <c r="A136" t="s">
        <v>13545</v>
      </c>
      <c r="J136" s="1045" t="str">
        <f t="shared" si="6"/>
        <v/>
      </c>
      <c r="K136" s="1045" t="str">
        <f t="shared" si="7"/>
        <v/>
      </c>
      <c r="L136" s="1045" t="str">
        <f t="shared" si="8"/>
        <v/>
      </c>
    </row>
    <row r="137" spans="1:12">
      <c r="A137" t="s">
        <v>13546</v>
      </c>
      <c r="J137" s="1045" t="str">
        <f t="shared" si="6"/>
        <v/>
      </c>
      <c r="K137" s="1045" t="str">
        <f t="shared" si="7"/>
        <v/>
      </c>
      <c r="L137" s="1045" t="str">
        <f t="shared" si="8"/>
        <v/>
      </c>
    </row>
    <row r="138" spans="1:12">
      <c r="A138" s="5" t="s">
        <v>13547</v>
      </c>
      <c r="J138" s="1045" t="str">
        <f t="shared" si="6"/>
        <v/>
      </c>
      <c r="K138" s="1045" t="str">
        <f t="shared" si="7"/>
        <v/>
      </c>
      <c r="L138" s="1045" t="str">
        <f t="shared" si="8"/>
        <v/>
      </c>
    </row>
    <row r="139" spans="1:12">
      <c r="A139" s="5" t="s">
        <v>13539</v>
      </c>
      <c r="J139" s="1045" t="str">
        <f t="shared" si="6"/>
        <v/>
      </c>
      <c r="K139" s="1045" t="str">
        <f t="shared" si="7"/>
        <v/>
      </c>
      <c r="L139" s="1045" t="str">
        <f t="shared" si="8"/>
        <v/>
      </c>
    </row>
    <row r="140" spans="1:12">
      <c r="A140" t="s">
        <v>13583</v>
      </c>
      <c r="J140" s="1045" t="str">
        <f t="shared" si="6"/>
        <v/>
      </c>
      <c r="K140" s="1045" t="str">
        <f t="shared" si="7"/>
        <v/>
      </c>
      <c r="L140" s="1045" t="str">
        <f t="shared" si="8"/>
        <v/>
      </c>
    </row>
    <row r="141" spans="1:12">
      <c r="A141" s="5" t="s">
        <v>13548</v>
      </c>
      <c r="J141" s="1045" t="str">
        <f t="shared" si="6"/>
        <v/>
      </c>
      <c r="K141" s="1045" t="str">
        <f t="shared" si="7"/>
        <v/>
      </c>
      <c r="L141" s="1045" t="str">
        <f t="shared" si="8"/>
        <v/>
      </c>
    </row>
    <row r="142" spans="1:12">
      <c r="A142" s="5" t="s">
        <v>13549</v>
      </c>
      <c r="J142" s="1045" t="str">
        <f t="shared" si="6"/>
        <v/>
      </c>
      <c r="K142" s="1045" t="str">
        <f t="shared" si="7"/>
        <v/>
      </c>
      <c r="L142" s="1045" t="str">
        <f t="shared" si="8"/>
        <v/>
      </c>
    </row>
    <row r="143" spans="1:12">
      <c r="A143" s="5" t="s">
        <v>13550</v>
      </c>
      <c r="J143" s="1045" t="str">
        <f t="shared" si="6"/>
        <v/>
      </c>
      <c r="K143" s="1045" t="str">
        <f t="shared" si="7"/>
        <v/>
      </c>
      <c r="L143" s="1045" t="str">
        <f t="shared" si="8"/>
        <v/>
      </c>
    </row>
    <row r="144" spans="1:12">
      <c r="A144" t="s">
        <v>13551</v>
      </c>
      <c r="J144" s="1045" t="str">
        <f t="shared" si="6"/>
        <v/>
      </c>
      <c r="K144" s="1045" t="str">
        <f t="shared" si="7"/>
        <v/>
      </c>
      <c r="L144" s="1045" t="str">
        <f t="shared" si="8"/>
        <v/>
      </c>
    </row>
    <row r="145" spans="1:12">
      <c r="A145" s="5" t="s">
        <v>13539</v>
      </c>
      <c r="J145" s="1045" t="str">
        <f t="shared" si="6"/>
        <v/>
      </c>
      <c r="K145" s="1045" t="str">
        <f t="shared" si="7"/>
        <v/>
      </c>
      <c r="L145" s="1045" t="str">
        <f t="shared" si="8"/>
        <v/>
      </c>
    </row>
    <row r="146" spans="1:12">
      <c r="A146" s="5" t="s">
        <v>13584</v>
      </c>
      <c r="J146" s="1045" t="str">
        <f t="shared" si="6"/>
        <v/>
      </c>
      <c r="K146" s="1045" t="str">
        <f t="shared" si="7"/>
        <v/>
      </c>
      <c r="L146" s="1045" t="str">
        <f t="shared" si="8"/>
        <v/>
      </c>
    </row>
    <row r="147" spans="1:12">
      <c r="A147" s="5" t="s">
        <v>13552</v>
      </c>
      <c r="J147" s="1045" t="str">
        <f t="shared" si="6"/>
        <v/>
      </c>
      <c r="K147" s="1045" t="str">
        <f t="shared" si="7"/>
        <v/>
      </c>
      <c r="L147" s="1045" t="str">
        <f t="shared" si="8"/>
        <v/>
      </c>
    </row>
    <row r="148" spans="1:12">
      <c r="A148" s="5" t="s">
        <v>13553</v>
      </c>
      <c r="J148" s="1045" t="str">
        <f t="shared" si="6"/>
        <v/>
      </c>
      <c r="K148" s="1045" t="str">
        <f t="shared" si="7"/>
        <v/>
      </c>
      <c r="L148" s="1045" t="str">
        <f t="shared" si="8"/>
        <v/>
      </c>
    </row>
    <row r="149" spans="1:12">
      <c r="A149" s="5" t="s">
        <v>13554</v>
      </c>
      <c r="J149" s="1045" t="str">
        <f t="shared" si="6"/>
        <v/>
      </c>
      <c r="K149" s="1045" t="str">
        <f t="shared" si="7"/>
        <v/>
      </c>
      <c r="L149" s="1045" t="str">
        <f t="shared" si="8"/>
        <v/>
      </c>
    </row>
    <row r="150" spans="1:12">
      <c r="A150" s="5" t="s">
        <v>13555</v>
      </c>
      <c r="J150" s="1045" t="str">
        <f t="shared" si="6"/>
        <v/>
      </c>
      <c r="K150" s="1045" t="str">
        <f t="shared" si="7"/>
        <v/>
      </c>
      <c r="L150" s="1045" t="str">
        <f t="shared" si="8"/>
        <v/>
      </c>
    </row>
    <row r="151" spans="1:12">
      <c r="A151" s="5" t="s">
        <v>13539</v>
      </c>
      <c r="J151" s="1045" t="str">
        <f t="shared" si="6"/>
        <v/>
      </c>
      <c r="K151" s="1045" t="str">
        <f t="shared" si="7"/>
        <v/>
      </c>
      <c r="L151" s="1045" t="str">
        <f t="shared" si="8"/>
        <v/>
      </c>
    </row>
    <row r="152" spans="1:12">
      <c r="A152" s="5" t="s">
        <v>13562</v>
      </c>
      <c r="J152" s="1045" t="str">
        <f t="shared" si="6"/>
        <v/>
      </c>
      <c r="K152" s="1045" t="str">
        <f t="shared" si="7"/>
        <v/>
      </c>
      <c r="L152" s="1045" t="str">
        <f t="shared" si="8"/>
        <v/>
      </c>
    </row>
    <row r="153" spans="1:12">
      <c r="A153" s="5" t="s">
        <v>13566</v>
      </c>
      <c r="J153" s="1045" t="str">
        <f t="shared" si="6"/>
        <v/>
      </c>
      <c r="K153" s="1045" t="str">
        <f t="shared" si="7"/>
        <v/>
      </c>
      <c r="L153" s="1045" t="str">
        <f t="shared" si="8"/>
        <v/>
      </c>
    </row>
    <row r="154" spans="1:12">
      <c r="A154" s="5" t="s">
        <v>13564</v>
      </c>
      <c r="J154" s="1045" t="str">
        <f t="shared" si="6"/>
        <v/>
      </c>
      <c r="K154" s="1045" t="str">
        <f t="shared" si="7"/>
        <v/>
      </c>
      <c r="L154" s="1045" t="str">
        <f t="shared" si="8"/>
        <v/>
      </c>
    </row>
    <row r="155" spans="1:12">
      <c r="A155" t="s">
        <v>13565</v>
      </c>
      <c r="J155" s="1045" t="str">
        <f t="shared" si="6"/>
        <v/>
      </c>
      <c r="K155" s="1045" t="str">
        <f t="shared" si="7"/>
        <v/>
      </c>
      <c r="L155" s="1045" t="str">
        <f t="shared" si="8"/>
        <v/>
      </c>
    </row>
    <row r="156" spans="1:12">
      <c r="A156" s="5" t="s">
        <v>13567</v>
      </c>
      <c r="J156" s="1045" t="str">
        <f t="shared" si="6"/>
        <v/>
      </c>
      <c r="K156" s="1045" t="str">
        <f t="shared" si="7"/>
        <v/>
      </c>
      <c r="L156" s="1045" t="str">
        <f t="shared" si="8"/>
        <v/>
      </c>
    </row>
    <row r="157" spans="1:12">
      <c r="A157" s="3" t="s">
        <v>13570</v>
      </c>
      <c r="J157" s="1045" t="str">
        <f t="shared" si="6"/>
        <v/>
      </c>
      <c r="K157" s="1045" t="str">
        <f t="shared" si="7"/>
        <v/>
      </c>
      <c r="L157" s="1045" t="str">
        <f t="shared" si="8"/>
        <v/>
      </c>
    </row>
    <row r="158" spans="1:12">
      <c r="A158" t="s">
        <v>13569</v>
      </c>
      <c r="J158" s="1045" t="str">
        <f t="shared" si="6"/>
        <v/>
      </c>
      <c r="K158" s="1045" t="str">
        <f t="shared" si="7"/>
        <v/>
      </c>
      <c r="L158" s="1045" t="str">
        <f t="shared" si="8"/>
        <v/>
      </c>
    </row>
    <row r="159" spans="1:12">
      <c r="A159" t="s">
        <v>13568</v>
      </c>
      <c r="J159" s="1045" t="str">
        <f t="shared" si="6"/>
        <v/>
      </c>
      <c r="K159" s="1045" t="str">
        <f t="shared" si="7"/>
        <v/>
      </c>
      <c r="L159" s="1045" t="str">
        <f t="shared" si="8"/>
        <v/>
      </c>
    </row>
    <row r="160" spans="1:12">
      <c r="A160" s="3" t="s">
        <v>13572</v>
      </c>
      <c r="J160" s="1045" t="str">
        <f t="shared" si="6"/>
        <v/>
      </c>
      <c r="K160" s="1045" t="str">
        <f t="shared" si="7"/>
        <v/>
      </c>
      <c r="L160" s="1045" t="str">
        <f t="shared" si="8"/>
        <v/>
      </c>
    </row>
    <row r="161" spans="1:12">
      <c r="A161" s="3" t="s">
        <v>13571</v>
      </c>
      <c r="J161" s="1045" t="str">
        <f t="shared" si="6"/>
        <v/>
      </c>
      <c r="K161" s="1045" t="str">
        <f t="shared" si="7"/>
        <v/>
      </c>
      <c r="L161" s="1045" t="str">
        <f t="shared" si="8"/>
        <v/>
      </c>
    </row>
    <row r="162" spans="1:12">
      <c r="A162" s="3" t="s">
        <v>13617</v>
      </c>
      <c r="J162" s="1045" t="str">
        <f t="shared" si="6"/>
        <v/>
      </c>
      <c r="K162" s="1045" t="str">
        <f t="shared" si="7"/>
        <v/>
      </c>
      <c r="L162" s="1045" t="str">
        <f t="shared" si="8"/>
        <v/>
      </c>
    </row>
    <row r="163" spans="1:12">
      <c r="A163" s="3" t="s">
        <v>13585</v>
      </c>
      <c r="J163" s="1045" t="str">
        <f t="shared" si="6"/>
        <v/>
      </c>
      <c r="K163" s="1045" t="str">
        <f t="shared" si="7"/>
        <v/>
      </c>
      <c r="L163" s="1045" t="str">
        <f t="shared" si="8"/>
        <v/>
      </c>
    </row>
    <row r="164" spans="1:12">
      <c r="A164" t="s">
        <v>13621</v>
      </c>
      <c r="J164" s="1045" t="str">
        <f t="shared" si="6"/>
        <v/>
      </c>
      <c r="K164" s="1045" t="str">
        <f t="shared" si="7"/>
        <v/>
      </c>
      <c r="L164" s="1045" t="str">
        <f t="shared" si="8"/>
        <v/>
      </c>
    </row>
    <row r="165" spans="1:12">
      <c r="A165" t="s">
        <v>13586</v>
      </c>
      <c r="J165" s="1045" t="str">
        <f t="shared" si="6"/>
        <v/>
      </c>
      <c r="K165" s="1045" t="str">
        <f t="shared" si="7"/>
        <v/>
      </c>
      <c r="L165" s="1045" t="str">
        <f t="shared" si="8"/>
        <v/>
      </c>
    </row>
    <row r="166" spans="1:12">
      <c r="A166" t="s">
        <v>13577</v>
      </c>
      <c r="J166" s="1045" t="str">
        <f t="shared" si="6"/>
        <v/>
      </c>
      <c r="K166" s="1045" t="str">
        <f t="shared" si="7"/>
        <v/>
      </c>
      <c r="L166" s="1045" t="str">
        <f t="shared" si="8"/>
        <v/>
      </c>
    </row>
    <row r="167" spans="1:12">
      <c r="A167" t="s">
        <v>13626</v>
      </c>
      <c r="J167" s="1045" t="str">
        <f t="shared" si="6"/>
        <v/>
      </c>
      <c r="K167" s="1045" t="str">
        <f t="shared" si="7"/>
        <v/>
      </c>
      <c r="L167" s="1045" t="str">
        <f t="shared" si="8"/>
        <v/>
      </c>
    </row>
    <row r="168" spans="1:12">
      <c r="A168" t="s">
        <v>13587</v>
      </c>
      <c r="J168" s="1045" t="str">
        <f t="shared" si="6"/>
        <v/>
      </c>
      <c r="K168" s="1045" t="str">
        <f t="shared" si="7"/>
        <v/>
      </c>
      <c r="L168" s="1045" t="str">
        <f t="shared" si="8"/>
        <v/>
      </c>
    </row>
    <row r="169" spans="1:12">
      <c r="A169" t="s">
        <v>13588</v>
      </c>
      <c r="J169" s="1045" t="str">
        <f t="shared" si="6"/>
        <v/>
      </c>
      <c r="K169" s="1045" t="str">
        <f t="shared" si="7"/>
        <v/>
      </c>
      <c r="L169" s="1045" t="str">
        <f t="shared" si="8"/>
        <v/>
      </c>
    </row>
    <row r="170" spans="1:12">
      <c r="A170" t="s">
        <v>13589</v>
      </c>
      <c r="J170" s="1045" t="str">
        <f t="shared" si="6"/>
        <v/>
      </c>
      <c r="K170" s="1045" t="str">
        <f t="shared" si="7"/>
        <v/>
      </c>
      <c r="L170" s="1045" t="str">
        <f t="shared" si="8"/>
        <v/>
      </c>
    </row>
    <row r="171" spans="1:12">
      <c r="A171" t="s">
        <v>2233</v>
      </c>
      <c r="J171" s="1045" t="str">
        <f t="shared" si="6"/>
        <v/>
      </c>
      <c r="K171" s="1045" t="str">
        <f t="shared" si="7"/>
        <v/>
      </c>
      <c r="L171" s="1045" t="str">
        <f t="shared" si="8"/>
        <v/>
      </c>
    </row>
    <row r="172" spans="1:12">
      <c r="A172" t="s">
        <v>2234</v>
      </c>
      <c r="J172" s="1045" t="str">
        <f t="shared" si="6"/>
        <v/>
      </c>
      <c r="K172" s="1045" t="str">
        <f t="shared" si="7"/>
        <v/>
      </c>
      <c r="L172" s="1045" t="str">
        <f t="shared" si="8"/>
        <v/>
      </c>
    </row>
    <row r="173" spans="1:12">
      <c r="J173" s="1045" t="str">
        <f t="shared" si="6"/>
        <v/>
      </c>
      <c r="K173" s="1045" t="str">
        <f t="shared" si="7"/>
        <v/>
      </c>
      <c r="L173" s="1045" t="str">
        <f t="shared" si="8"/>
        <v/>
      </c>
    </row>
    <row r="174" spans="1:12">
      <c r="A174" t="s">
        <v>13590</v>
      </c>
      <c r="J174" s="1045" t="str">
        <f t="shared" si="6"/>
        <v/>
      </c>
      <c r="K174" s="1045" t="str">
        <f t="shared" si="7"/>
        <v/>
      </c>
      <c r="L174" s="1045" t="str">
        <f t="shared" si="8"/>
        <v/>
      </c>
    </row>
    <row r="175" spans="1:12">
      <c r="J175" s="1045" t="str">
        <f t="shared" si="6"/>
        <v/>
      </c>
      <c r="K175" s="1045" t="str">
        <f t="shared" si="7"/>
        <v/>
      </c>
      <c r="L175" s="1045" t="str">
        <f t="shared" si="8"/>
        <v/>
      </c>
    </row>
    <row r="176" spans="1:12">
      <c r="A176" t="s">
        <v>13591</v>
      </c>
      <c r="J176" s="1045" t="str">
        <f t="shared" si="6"/>
        <v/>
      </c>
      <c r="K176" s="1045" t="str">
        <f t="shared" si="7"/>
        <v/>
      </c>
      <c r="L176" s="1045" t="str">
        <f t="shared" si="8"/>
        <v/>
      </c>
    </row>
    <row r="177" spans="1:12">
      <c r="J177" s="1045" t="str">
        <f t="shared" si="6"/>
        <v/>
      </c>
      <c r="K177" s="1045" t="str">
        <f t="shared" si="7"/>
        <v/>
      </c>
      <c r="L177" s="1045" t="str">
        <f t="shared" si="8"/>
        <v/>
      </c>
    </row>
    <row r="178" spans="1:12">
      <c r="A178" t="s">
        <v>13944</v>
      </c>
      <c r="J178" s="1045" t="str">
        <f t="shared" si="6"/>
        <v/>
      </c>
      <c r="K178" s="1045" t="str">
        <f t="shared" si="7"/>
        <v/>
      </c>
      <c r="L178" s="1045" t="str">
        <f t="shared" si="8"/>
        <v/>
      </c>
    </row>
    <row r="179" spans="1:12">
      <c r="J179" s="1045" t="str">
        <f t="shared" si="6"/>
        <v/>
      </c>
      <c r="K179" s="1045" t="str">
        <f t="shared" si="7"/>
        <v/>
      </c>
      <c r="L179" s="1045" t="str">
        <f t="shared" si="8"/>
        <v/>
      </c>
    </row>
    <row r="180" spans="1:12">
      <c r="A180" t="s">
        <v>2236</v>
      </c>
      <c r="J180" s="1045" t="str">
        <f t="shared" si="6"/>
        <v/>
      </c>
      <c r="K180" s="1045" t="str">
        <f t="shared" si="7"/>
        <v/>
      </c>
      <c r="L180" s="1045" t="str">
        <f t="shared" si="8"/>
        <v/>
      </c>
    </row>
    <row r="181" spans="1:12">
      <c r="J181" s="1045" t="str">
        <f t="shared" si="6"/>
        <v/>
      </c>
      <c r="K181" s="1045" t="str">
        <f t="shared" si="7"/>
        <v/>
      </c>
      <c r="L181" s="1045" t="str">
        <f t="shared" si="8"/>
        <v/>
      </c>
    </row>
    <row r="182" spans="1:12">
      <c r="A182" t="s">
        <v>13945</v>
      </c>
      <c r="J182" s="1045" t="str">
        <f t="shared" si="6"/>
        <v/>
      </c>
      <c r="K182" s="1045" t="str">
        <f t="shared" si="7"/>
        <v/>
      </c>
      <c r="L182" s="1045" t="str">
        <f t="shared" si="8"/>
        <v/>
      </c>
    </row>
    <row r="183" spans="1:12">
      <c r="A183" t="s">
        <v>13946</v>
      </c>
      <c r="J183" s="1045" t="str">
        <f t="shared" si="6"/>
        <v/>
      </c>
      <c r="K183" s="1045" t="str">
        <f t="shared" si="7"/>
        <v/>
      </c>
      <c r="L183" s="1045" t="str">
        <f t="shared" si="8"/>
        <v/>
      </c>
    </row>
    <row r="184" spans="1:12">
      <c r="J184" s="1045" t="str">
        <f t="shared" si="6"/>
        <v/>
      </c>
      <c r="K184" s="1045" t="str">
        <f t="shared" si="7"/>
        <v/>
      </c>
      <c r="L184" s="1045" t="str">
        <f t="shared" si="8"/>
        <v/>
      </c>
    </row>
    <row r="185" spans="1:12">
      <c r="A185" t="s">
        <v>2237</v>
      </c>
      <c r="J185" s="1045" t="str">
        <f t="shared" si="6"/>
        <v/>
      </c>
      <c r="K185" s="1045" t="str">
        <f t="shared" si="7"/>
        <v/>
      </c>
      <c r="L185" s="1045" t="str">
        <f t="shared" si="8"/>
        <v/>
      </c>
    </row>
    <row r="186" spans="1:12">
      <c r="J186" s="1045" t="str">
        <f t="shared" si="6"/>
        <v/>
      </c>
      <c r="K186" s="1045" t="str">
        <f t="shared" si="7"/>
        <v/>
      </c>
      <c r="L186" s="1045" t="str">
        <f t="shared" si="8"/>
        <v/>
      </c>
    </row>
    <row r="187" spans="1:12">
      <c r="A187" t="s">
        <v>13947</v>
      </c>
      <c r="J187" s="1045" t="str">
        <f t="shared" si="6"/>
        <v/>
      </c>
      <c r="K187" s="1045" t="str">
        <f t="shared" si="7"/>
        <v/>
      </c>
      <c r="L187" s="1045" t="str">
        <f t="shared" si="8"/>
        <v/>
      </c>
    </row>
    <row r="188" spans="1:12">
      <c r="A188" t="s">
        <v>13948</v>
      </c>
      <c r="J188" s="1045" t="str">
        <f t="shared" si="6"/>
        <v/>
      </c>
      <c r="K188" s="1045" t="str">
        <f t="shared" si="7"/>
        <v/>
      </c>
      <c r="L188" s="1045" t="str">
        <f t="shared" si="8"/>
        <v/>
      </c>
    </row>
    <row r="189" spans="1:12">
      <c r="J189" s="1045" t="str">
        <f t="shared" si="6"/>
        <v/>
      </c>
      <c r="K189" s="1045" t="str">
        <f t="shared" si="7"/>
        <v/>
      </c>
      <c r="L189" s="1045" t="str">
        <f t="shared" si="8"/>
        <v/>
      </c>
    </row>
    <row r="190" spans="1:12">
      <c r="A190" t="s">
        <v>2238</v>
      </c>
      <c r="J190" s="1045" t="str">
        <f t="shared" si="6"/>
        <v>Devizy</v>
      </c>
      <c r="K190" s="1045" t="str">
        <f t="shared" si="7"/>
        <v/>
      </c>
      <c r="L190" s="1045" t="str">
        <f t="shared" si="8"/>
        <v/>
      </c>
    </row>
    <row r="191" spans="1:12">
      <c r="J191" s="1045" t="str">
        <f t="shared" si="6"/>
        <v>Devizy</v>
      </c>
      <c r="K191" s="1045" t="str">
        <f t="shared" si="7"/>
        <v/>
      </c>
      <c r="L191" s="1045" t="str">
        <f t="shared" si="8"/>
        <v/>
      </c>
    </row>
    <row r="192" spans="1:12">
      <c r="A192" t="s">
        <v>13949</v>
      </c>
      <c r="J192" s="1045" t="str">
        <f t="shared" si="6"/>
        <v>Devizy</v>
      </c>
      <c r="K192" s="1045" t="str">
        <f t="shared" si="7"/>
        <v>24,5790</v>
      </c>
      <c r="L192" s="1045">
        <f t="shared" si="8"/>
        <v>24.579000000000001</v>
      </c>
    </row>
    <row r="193" spans="1:12">
      <c r="A193" t="s">
        <v>13950</v>
      </c>
      <c r="J193" s="1045" t="str">
        <f t="shared" si="6"/>
        <v>Devizy</v>
      </c>
      <c r="K193" s="1045" t="str">
        <f t="shared" si="7"/>
        <v/>
      </c>
      <c r="L193" s="1045" t="str">
        <f t="shared" si="8"/>
        <v/>
      </c>
    </row>
    <row r="194" spans="1:12">
      <c r="J194" s="1045" t="str">
        <f t="shared" si="6"/>
        <v>Devizy</v>
      </c>
      <c r="K194" s="1045" t="str">
        <f t="shared" si="7"/>
        <v/>
      </c>
      <c r="L194" s="1045" t="str">
        <f t="shared" si="8"/>
        <v/>
      </c>
    </row>
    <row r="195" spans="1:12">
      <c r="A195" t="s">
        <v>13592</v>
      </c>
      <c r="J195" s="1045" t="str">
        <f t="shared" si="6"/>
        <v>Devizy</v>
      </c>
      <c r="K195" s="1045" t="str">
        <f t="shared" si="7"/>
        <v/>
      </c>
      <c r="L195" s="1045" t="str">
        <f t="shared" si="8"/>
        <v/>
      </c>
    </row>
    <row r="196" spans="1:12">
      <c r="J196" s="1045" t="str">
        <f t="shared" si="6"/>
        <v>Devizy</v>
      </c>
      <c r="K196" s="1045" t="str">
        <f t="shared" si="7"/>
        <v/>
      </c>
      <c r="L196" s="1045" t="str">
        <f t="shared" si="8"/>
        <v/>
      </c>
    </row>
    <row r="197" spans="1:12">
      <c r="A197" t="s">
        <v>13561</v>
      </c>
      <c r="J197" s="1045" t="str">
        <f t="shared" ref="J197:J260" si="9">IF(OR(A197="Devizy",J196="Devizy"),"Devizy","")</f>
        <v>Devizy</v>
      </c>
      <c r="K197" s="1045" t="str">
        <f t="shared" ref="K197:K260" si="10">IFERROR(IF(AND(J197="Devizy",FIND("Nakupujeme ",A197)=1),RIGHT(A197,7),""),"")</f>
        <v/>
      </c>
      <c r="L197" s="1045" t="str">
        <f t="shared" ref="L197:L260" si="11">IFERROR(K197+M197,"")</f>
        <v/>
      </c>
    </row>
    <row r="198" spans="1:12">
      <c r="J198" s="1045" t="str">
        <f t="shared" si="9"/>
        <v>Devizy</v>
      </c>
      <c r="K198" s="1045" t="str">
        <f t="shared" si="10"/>
        <v/>
      </c>
      <c r="L198" s="1045" t="str">
        <f t="shared" si="11"/>
        <v/>
      </c>
    </row>
    <row r="199" spans="1:12">
      <c r="A199" t="s">
        <v>13593</v>
      </c>
      <c r="J199" s="1045" t="str">
        <f t="shared" si="9"/>
        <v>Devizy</v>
      </c>
      <c r="K199" s="1045" t="str">
        <f t="shared" si="10"/>
        <v/>
      </c>
      <c r="L199" s="1045" t="str">
        <f t="shared" si="11"/>
        <v/>
      </c>
    </row>
    <row r="200" spans="1:12">
      <c r="J200" s="1045" t="str">
        <f t="shared" si="9"/>
        <v>Devizy</v>
      </c>
      <c r="K200" s="1045" t="str">
        <f t="shared" si="10"/>
        <v/>
      </c>
      <c r="L200" s="1045" t="str">
        <f t="shared" si="11"/>
        <v/>
      </c>
    </row>
    <row r="201" spans="1:12">
      <c r="A201" t="s">
        <v>13561</v>
      </c>
      <c r="J201" s="1045" t="str">
        <f t="shared" si="9"/>
        <v>Devizy</v>
      </c>
      <c r="K201" s="1045" t="str">
        <f t="shared" si="10"/>
        <v/>
      </c>
      <c r="L201" s="1045" t="str">
        <f t="shared" si="11"/>
        <v/>
      </c>
    </row>
    <row r="202" spans="1:12">
      <c r="J202" s="1045" t="str">
        <f t="shared" si="9"/>
        <v>Devizy</v>
      </c>
      <c r="K202" s="1045" t="str">
        <f t="shared" si="10"/>
        <v/>
      </c>
      <c r="L202" s="1045" t="str">
        <f t="shared" si="11"/>
        <v/>
      </c>
    </row>
    <row r="203" spans="1:12">
      <c r="A203" t="s">
        <v>13594</v>
      </c>
      <c r="J203" s="1045" t="str">
        <f t="shared" si="9"/>
        <v>Devizy</v>
      </c>
      <c r="K203" s="1045" t="str">
        <f t="shared" si="10"/>
        <v/>
      </c>
      <c r="L203" s="1045" t="str">
        <f t="shared" si="11"/>
        <v/>
      </c>
    </row>
    <row r="204" spans="1:12">
      <c r="A204" s="3"/>
      <c r="J204" s="1045" t="str">
        <f t="shared" si="9"/>
        <v>Devizy</v>
      </c>
      <c r="K204" s="1045" t="str">
        <f t="shared" si="10"/>
        <v/>
      </c>
      <c r="L204" s="1045" t="str">
        <f t="shared" si="11"/>
        <v/>
      </c>
    </row>
    <row r="205" spans="1:12">
      <c r="A205" s="3" t="s">
        <v>13595</v>
      </c>
      <c r="J205" s="1045" t="str">
        <f t="shared" si="9"/>
        <v>Devizy</v>
      </c>
      <c r="K205" s="1045" t="str">
        <f t="shared" si="10"/>
        <v/>
      </c>
      <c r="L205" s="1045" t="str">
        <f t="shared" si="11"/>
        <v/>
      </c>
    </row>
    <row r="206" spans="1:12">
      <c r="A206" s="3"/>
      <c r="J206" s="1045" t="str">
        <f t="shared" si="9"/>
        <v>Devizy</v>
      </c>
      <c r="K206" s="1045" t="str">
        <f t="shared" si="10"/>
        <v/>
      </c>
      <c r="L206" s="1045" t="str">
        <f t="shared" si="11"/>
        <v/>
      </c>
    </row>
    <row r="207" spans="1:12">
      <c r="A207" t="s">
        <v>11755</v>
      </c>
      <c r="J207" s="1045" t="str">
        <f t="shared" si="9"/>
        <v>Devizy</v>
      </c>
      <c r="K207" s="1045" t="str">
        <f t="shared" si="10"/>
        <v/>
      </c>
      <c r="L207" s="1045" t="str">
        <f t="shared" si="11"/>
        <v/>
      </c>
    </row>
    <row r="208" spans="1:12">
      <c r="A208" s="3"/>
      <c r="J208" s="1045" t="str">
        <f t="shared" si="9"/>
        <v>Devizy</v>
      </c>
      <c r="K208" s="1045" t="str">
        <f t="shared" si="10"/>
        <v/>
      </c>
      <c r="L208" s="1045" t="str">
        <f t="shared" si="11"/>
        <v/>
      </c>
    </row>
    <row r="209" spans="1:12">
      <c r="A209" s="3">
        <v>800521521</v>
      </c>
      <c r="J209" s="1045" t="str">
        <f t="shared" si="9"/>
        <v>Devizy</v>
      </c>
      <c r="K209" s="1045" t="str">
        <f t="shared" si="10"/>
        <v/>
      </c>
      <c r="L209" s="1045" t="str">
        <f t="shared" si="11"/>
        <v/>
      </c>
    </row>
    <row r="210" spans="1:12">
      <c r="J210" s="1045" t="str">
        <f t="shared" si="9"/>
        <v>Devizy</v>
      </c>
      <c r="K210" s="1045" t="str">
        <f t="shared" si="10"/>
        <v/>
      </c>
      <c r="L210" s="1045" t="str">
        <f t="shared" si="11"/>
        <v/>
      </c>
    </row>
    <row r="211" spans="1:12">
      <c r="A211" s="3" t="s">
        <v>13596</v>
      </c>
      <c r="J211" s="1045" t="str">
        <f t="shared" si="9"/>
        <v>Devizy</v>
      </c>
      <c r="K211" s="1045" t="str">
        <f t="shared" si="10"/>
        <v/>
      </c>
      <c r="L211" s="1045" t="str">
        <f t="shared" si="11"/>
        <v/>
      </c>
    </row>
    <row r="212" spans="1:12">
      <c r="J212" s="1045" t="str">
        <f t="shared" si="9"/>
        <v>Devizy</v>
      </c>
      <c r="K212" s="1045" t="str">
        <f t="shared" si="10"/>
        <v/>
      </c>
      <c r="L212" s="1045" t="str">
        <f t="shared" si="11"/>
        <v/>
      </c>
    </row>
    <row r="213" spans="1:12">
      <c r="A213" t="s">
        <v>13597</v>
      </c>
      <c r="J213" s="1045" t="str">
        <f t="shared" si="9"/>
        <v>Devizy</v>
      </c>
      <c r="K213" s="1045" t="str">
        <f t="shared" si="10"/>
        <v/>
      </c>
      <c r="L213" s="1045" t="str">
        <f t="shared" si="11"/>
        <v/>
      </c>
    </row>
    <row r="214" spans="1:12">
      <c r="A214" t="s">
        <v>13577</v>
      </c>
      <c r="J214" s="1045" t="str">
        <f t="shared" si="9"/>
        <v>Devizy</v>
      </c>
      <c r="K214" s="1045" t="str">
        <f t="shared" si="10"/>
        <v/>
      </c>
      <c r="L214" s="1045" t="str">
        <f t="shared" si="11"/>
        <v/>
      </c>
    </row>
    <row r="215" spans="1:12">
      <c r="A215" t="s">
        <v>13578</v>
      </c>
      <c r="J215" s="1045" t="str">
        <f t="shared" si="9"/>
        <v>Devizy</v>
      </c>
      <c r="K215" s="1045" t="str">
        <f t="shared" si="10"/>
        <v/>
      </c>
      <c r="L215" s="1045" t="str">
        <f t="shared" si="11"/>
        <v/>
      </c>
    </row>
    <row r="216" spans="1:12">
      <c r="A216" t="s">
        <v>13598</v>
      </c>
      <c r="J216" s="1045" t="str">
        <f t="shared" si="9"/>
        <v>Devizy</v>
      </c>
      <c r="K216" s="1045" t="str">
        <f t="shared" si="10"/>
        <v/>
      </c>
      <c r="L216" s="1045" t="str">
        <f t="shared" si="11"/>
        <v/>
      </c>
    </row>
    <row r="217" spans="1:12">
      <c r="A217" t="s">
        <v>13599</v>
      </c>
      <c r="J217" s="1045" t="str">
        <f t="shared" si="9"/>
        <v>Devizy</v>
      </c>
      <c r="K217" s="1045" t="str">
        <f t="shared" si="10"/>
        <v/>
      </c>
      <c r="L217" s="1045" t="str">
        <f t="shared" si="11"/>
        <v/>
      </c>
    </row>
    <row r="218" spans="1:12">
      <c r="J218" s="1045" t="str">
        <f t="shared" si="9"/>
        <v>Devizy</v>
      </c>
      <c r="K218" s="1045" t="str">
        <f t="shared" si="10"/>
        <v/>
      </c>
      <c r="L218" s="1045" t="str">
        <f t="shared" si="11"/>
        <v/>
      </c>
    </row>
    <row r="219" spans="1:12">
      <c r="A219" t="s">
        <v>13600</v>
      </c>
      <c r="J219" s="1045" t="str">
        <f t="shared" si="9"/>
        <v>Devizy</v>
      </c>
      <c r="K219" s="1045" t="str">
        <f t="shared" si="10"/>
        <v/>
      </c>
      <c r="L219" s="1045" t="str">
        <f t="shared" si="11"/>
        <v/>
      </c>
    </row>
    <row r="220" spans="1:12">
      <c r="J220" s="1045" t="str">
        <f t="shared" si="9"/>
        <v>Devizy</v>
      </c>
      <c r="K220" s="1045" t="str">
        <f t="shared" si="10"/>
        <v/>
      </c>
      <c r="L220" s="1045" t="str">
        <f t="shared" si="11"/>
        <v/>
      </c>
    </row>
    <row r="221" spans="1:12">
      <c r="A221" t="s">
        <v>13588</v>
      </c>
      <c r="J221" s="1045" t="str">
        <f t="shared" si="9"/>
        <v>Devizy</v>
      </c>
      <c r="K221" s="1045" t="str">
        <f t="shared" si="10"/>
        <v/>
      </c>
      <c r="L221" s="1045" t="str">
        <f t="shared" si="11"/>
        <v/>
      </c>
    </row>
    <row r="222" spans="1:12">
      <c r="A222" t="s">
        <v>13556</v>
      </c>
      <c r="J222" s="1045" t="str">
        <f t="shared" si="9"/>
        <v>Devizy</v>
      </c>
      <c r="K222" s="1045" t="str">
        <f t="shared" si="10"/>
        <v/>
      </c>
      <c r="L222" s="1045" t="str">
        <f t="shared" si="11"/>
        <v/>
      </c>
    </row>
    <row r="223" spans="1:12">
      <c r="A223" t="s">
        <v>13559</v>
      </c>
      <c r="J223" s="1045" t="str">
        <f t="shared" si="9"/>
        <v>Devizy</v>
      </c>
      <c r="K223" s="1045" t="str">
        <f t="shared" si="10"/>
        <v/>
      </c>
      <c r="L223" s="1045" t="str">
        <f t="shared" si="11"/>
        <v/>
      </c>
    </row>
    <row r="224" spans="1:12">
      <c r="A224" t="s">
        <v>13571</v>
      </c>
      <c r="J224" s="1045" t="str">
        <f t="shared" si="9"/>
        <v>Devizy</v>
      </c>
      <c r="K224" s="1045" t="str">
        <f t="shared" si="10"/>
        <v/>
      </c>
      <c r="L224" s="1045" t="str">
        <f t="shared" si="11"/>
        <v/>
      </c>
    </row>
    <row r="225" spans="1:12">
      <c r="A225" t="s">
        <v>13560</v>
      </c>
      <c r="J225" s="1045" t="str">
        <f t="shared" si="9"/>
        <v>Devizy</v>
      </c>
      <c r="K225" s="1045" t="str">
        <f t="shared" si="10"/>
        <v/>
      </c>
      <c r="L225" s="1045" t="str">
        <f t="shared" si="11"/>
        <v/>
      </c>
    </row>
    <row r="226" spans="1:12">
      <c r="J226" s="1045" t="str">
        <f t="shared" si="9"/>
        <v>Devizy</v>
      </c>
      <c r="K226" s="1045" t="str">
        <f t="shared" si="10"/>
        <v/>
      </c>
      <c r="L226" s="1045" t="str">
        <f t="shared" si="11"/>
        <v/>
      </c>
    </row>
    <row r="227" spans="1:12">
      <c r="A227" t="s">
        <v>13562</v>
      </c>
      <c r="J227" s="1045" t="str">
        <f t="shared" si="9"/>
        <v>Devizy</v>
      </c>
      <c r="K227" s="1045" t="str">
        <f t="shared" si="10"/>
        <v/>
      </c>
      <c r="L227" s="1045" t="str">
        <f t="shared" si="11"/>
        <v/>
      </c>
    </row>
    <row r="228" spans="1:12">
      <c r="J228" s="1045" t="str">
        <f t="shared" si="9"/>
        <v>Devizy</v>
      </c>
      <c r="K228" s="1045" t="str">
        <f t="shared" si="10"/>
        <v/>
      </c>
      <c r="L228" s="1045" t="str">
        <f t="shared" si="11"/>
        <v/>
      </c>
    </row>
    <row r="229" spans="1:12">
      <c r="A229" t="s">
        <v>13566</v>
      </c>
      <c r="J229" s="1045" t="str">
        <f t="shared" si="9"/>
        <v>Devizy</v>
      </c>
      <c r="K229" s="1045" t="str">
        <f t="shared" si="10"/>
        <v/>
      </c>
      <c r="L229" s="1045" t="str">
        <f t="shared" si="11"/>
        <v/>
      </c>
    </row>
    <row r="230" spans="1:12">
      <c r="A230" t="s">
        <v>13601</v>
      </c>
      <c r="J230" s="1045" t="str">
        <f t="shared" si="9"/>
        <v>Devizy</v>
      </c>
      <c r="K230" s="1045" t="str">
        <f t="shared" si="10"/>
        <v/>
      </c>
      <c r="L230" s="1045" t="str">
        <f t="shared" si="11"/>
        <v/>
      </c>
    </row>
    <row r="231" spans="1:12">
      <c r="A231" t="s">
        <v>13602</v>
      </c>
      <c r="J231" s="1045" t="str">
        <f t="shared" si="9"/>
        <v>Devizy</v>
      </c>
      <c r="K231" s="1045" t="str">
        <f t="shared" si="10"/>
        <v/>
      </c>
      <c r="L231" s="1045" t="str">
        <f t="shared" si="11"/>
        <v/>
      </c>
    </row>
    <row r="232" spans="1:12">
      <c r="A232" t="s">
        <v>13569</v>
      </c>
      <c r="J232" s="1045" t="str">
        <f t="shared" si="9"/>
        <v>Devizy</v>
      </c>
      <c r="K232" s="1045" t="str">
        <f t="shared" si="10"/>
        <v/>
      </c>
      <c r="L232" s="1045" t="str">
        <f t="shared" si="11"/>
        <v/>
      </c>
    </row>
    <row r="233" spans="1:12">
      <c r="A233" t="s">
        <v>13564</v>
      </c>
      <c r="J233" s="1045" t="str">
        <f t="shared" si="9"/>
        <v>Devizy</v>
      </c>
      <c r="K233" s="1045" t="str">
        <f t="shared" si="10"/>
        <v/>
      </c>
      <c r="L233" s="1045" t="str">
        <f t="shared" si="11"/>
        <v/>
      </c>
    </row>
    <row r="234" spans="1:12">
      <c r="A234" t="s">
        <v>2232</v>
      </c>
      <c r="J234" s="1045" t="str">
        <f t="shared" si="9"/>
        <v>Devizy</v>
      </c>
      <c r="K234" s="1045" t="str">
        <f t="shared" si="10"/>
        <v/>
      </c>
      <c r="L234" s="1045" t="str">
        <f t="shared" si="11"/>
        <v/>
      </c>
    </row>
    <row r="235" spans="1:12">
      <c r="A235" t="s">
        <v>13615</v>
      </c>
      <c r="J235" s="1045" t="str">
        <f t="shared" si="9"/>
        <v>Devizy</v>
      </c>
      <c r="K235" s="1045" t="str">
        <f t="shared" si="10"/>
        <v/>
      </c>
      <c r="L235" s="1045" t="str">
        <f t="shared" si="11"/>
        <v/>
      </c>
    </row>
    <row r="236" spans="1:12">
      <c r="A236" t="s">
        <v>11756</v>
      </c>
      <c r="J236" s="1045" t="str">
        <f t="shared" si="9"/>
        <v>Devizy</v>
      </c>
      <c r="K236" s="1045" t="str">
        <f t="shared" si="10"/>
        <v/>
      </c>
      <c r="L236" s="1045" t="str">
        <f t="shared" si="11"/>
        <v/>
      </c>
    </row>
    <row r="237" spans="1:12">
      <c r="A237" t="s">
        <v>13603</v>
      </c>
      <c r="J237" s="1045" t="str">
        <f t="shared" si="9"/>
        <v>Devizy</v>
      </c>
      <c r="K237" s="1045" t="str">
        <f t="shared" si="10"/>
        <v/>
      </c>
      <c r="L237" s="1045" t="str">
        <f t="shared" si="11"/>
        <v/>
      </c>
    </row>
    <row r="238" spans="1:12">
      <c r="J238" s="1045" t="str">
        <f t="shared" si="9"/>
        <v>Devizy</v>
      </c>
      <c r="K238" s="1045" t="str">
        <f t="shared" si="10"/>
        <v/>
      </c>
      <c r="L238" s="1045" t="str">
        <f t="shared" si="11"/>
        <v/>
      </c>
    </row>
    <row r="239" spans="1:12">
      <c r="A239" t="s">
        <v>13604</v>
      </c>
      <c r="J239" s="1045" t="str">
        <f t="shared" si="9"/>
        <v>Devizy</v>
      </c>
      <c r="K239" s="1045" t="str">
        <f t="shared" si="10"/>
        <v/>
      </c>
      <c r="L239" s="1045" t="str">
        <f t="shared" si="11"/>
        <v/>
      </c>
    </row>
    <row r="240" spans="1:12">
      <c r="J240" s="1045" t="str">
        <f t="shared" si="9"/>
        <v>Devizy</v>
      </c>
      <c r="K240" s="1045" t="str">
        <f t="shared" si="10"/>
        <v/>
      </c>
      <c r="L240" s="1045" t="str">
        <f t="shared" si="11"/>
        <v/>
      </c>
    </row>
    <row r="241" spans="1:12">
      <c r="A241" t="s">
        <v>13597</v>
      </c>
      <c r="J241" s="1045" t="str">
        <f t="shared" si="9"/>
        <v>Devizy</v>
      </c>
      <c r="K241" s="1045" t="str">
        <f t="shared" si="10"/>
        <v/>
      </c>
      <c r="L241" s="1045" t="str">
        <f t="shared" si="11"/>
        <v/>
      </c>
    </row>
    <row r="242" spans="1:12">
      <c r="A242" t="s">
        <v>13577</v>
      </c>
      <c r="J242" s="1045" t="str">
        <f t="shared" si="9"/>
        <v>Devizy</v>
      </c>
      <c r="K242" s="1045" t="str">
        <f t="shared" si="10"/>
        <v/>
      </c>
      <c r="L242" s="1045" t="str">
        <f t="shared" si="11"/>
        <v/>
      </c>
    </row>
    <row r="243" spans="1:12">
      <c r="A243" t="s">
        <v>13578</v>
      </c>
      <c r="J243" s="1045" t="str">
        <f t="shared" si="9"/>
        <v>Devizy</v>
      </c>
      <c r="K243" s="1045" t="str">
        <f t="shared" si="10"/>
        <v/>
      </c>
      <c r="L243" s="1045" t="str">
        <f t="shared" si="11"/>
        <v/>
      </c>
    </row>
    <row r="244" spans="1:12">
      <c r="A244" t="s">
        <v>13598</v>
      </c>
      <c r="J244" s="1045" t="str">
        <f t="shared" si="9"/>
        <v>Devizy</v>
      </c>
      <c r="K244" s="1045" t="str">
        <f t="shared" si="10"/>
        <v/>
      </c>
      <c r="L244" s="1045" t="str">
        <f t="shared" si="11"/>
        <v/>
      </c>
    </row>
    <row r="245" spans="1:12">
      <c r="A245" t="s">
        <v>13599</v>
      </c>
      <c r="J245" s="1045" t="str">
        <f t="shared" si="9"/>
        <v>Devizy</v>
      </c>
      <c r="K245" s="1045" t="str">
        <f t="shared" si="10"/>
        <v/>
      </c>
      <c r="L245" s="1045" t="str">
        <f t="shared" si="11"/>
        <v/>
      </c>
    </row>
    <row r="246" spans="1:12">
      <c r="J246" s="1045" t="str">
        <f t="shared" si="9"/>
        <v>Devizy</v>
      </c>
      <c r="K246" s="1045" t="str">
        <f t="shared" si="10"/>
        <v/>
      </c>
      <c r="L246" s="1045" t="str">
        <f t="shared" si="11"/>
        <v/>
      </c>
    </row>
    <row r="247" spans="1:12">
      <c r="A247" t="s">
        <v>13605</v>
      </c>
      <c r="J247" s="1045" t="str">
        <f t="shared" si="9"/>
        <v>Devizy</v>
      </c>
      <c r="K247" s="1045" t="str">
        <f t="shared" si="10"/>
        <v/>
      </c>
      <c r="L247" s="1045" t="str">
        <f t="shared" si="11"/>
        <v/>
      </c>
    </row>
    <row r="248" spans="1:12">
      <c r="J248" s="1045" t="str">
        <f t="shared" si="9"/>
        <v>Devizy</v>
      </c>
      <c r="K248" s="1045" t="str">
        <f t="shared" si="10"/>
        <v/>
      </c>
      <c r="L248" s="1045" t="str">
        <f t="shared" si="11"/>
        <v/>
      </c>
    </row>
    <row r="249" spans="1:12">
      <c r="A249" t="s">
        <v>13588</v>
      </c>
      <c r="J249" s="1045" t="str">
        <f t="shared" si="9"/>
        <v>Devizy</v>
      </c>
      <c r="K249" s="1045" t="str">
        <f t="shared" si="10"/>
        <v/>
      </c>
      <c r="L249" s="1045" t="str">
        <f t="shared" si="11"/>
        <v/>
      </c>
    </row>
    <row r="250" spans="1:12">
      <c r="A250" t="s">
        <v>13556</v>
      </c>
      <c r="J250" s="1045" t="str">
        <f t="shared" si="9"/>
        <v>Devizy</v>
      </c>
      <c r="K250" s="1045" t="str">
        <f t="shared" si="10"/>
        <v/>
      </c>
      <c r="L250" s="1045" t="str">
        <f t="shared" si="11"/>
        <v/>
      </c>
    </row>
    <row r="251" spans="1:12">
      <c r="A251" t="s">
        <v>13559</v>
      </c>
      <c r="J251" s="1045" t="str">
        <f t="shared" si="9"/>
        <v>Devizy</v>
      </c>
      <c r="K251" s="1045" t="str">
        <f t="shared" si="10"/>
        <v/>
      </c>
      <c r="L251" s="1045" t="str">
        <f t="shared" si="11"/>
        <v/>
      </c>
    </row>
    <row r="252" spans="1:12" hidden="1">
      <c r="A252" t="s">
        <v>13571</v>
      </c>
      <c r="J252" s="1045" t="str">
        <f t="shared" si="9"/>
        <v>Devizy</v>
      </c>
      <c r="K252" s="1045" t="str">
        <f t="shared" si="10"/>
        <v/>
      </c>
      <c r="L252" s="1045" t="str">
        <f t="shared" si="11"/>
        <v/>
      </c>
    </row>
    <row r="253" spans="1:12">
      <c r="A253" t="s">
        <v>13560</v>
      </c>
      <c r="J253" s="1045" t="str">
        <f t="shared" si="9"/>
        <v>Devizy</v>
      </c>
      <c r="K253" s="1045" t="str">
        <f t="shared" si="10"/>
        <v/>
      </c>
      <c r="L253" s="1045" t="str">
        <f t="shared" si="11"/>
        <v/>
      </c>
    </row>
    <row r="254" spans="1:12">
      <c r="J254" s="1045" t="str">
        <f t="shared" si="9"/>
        <v>Devizy</v>
      </c>
      <c r="K254" s="1045" t="str">
        <f t="shared" si="10"/>
        <v/>
      </c>
      <c r="L254" s="1045" t="str">
        <f t="shared" si="11"/>
        <v/>
      </c>
    </row>
    <row r="255" spans="1:12">
      <c r="A255" t="s">
        <v>13563</v>
      </c>
      <c r="J255" s="1045" t="str">
        <f t="shared" si="9"/>
        <v>Devizy</v>
      </c>
      <c r="K255" s="1045" t="str">
        <f t="shared" si="10"/>
        <v/>
      </c>
      <c r="L255" s="1045" t="str">
        <f t="shared" si="11"/>
        <v/>
      </c>
    </row>
    <row r="256" spans="1:12">
      <c r="J256" s="1045" t="str">
        <f t="shared" si="9"/>
        <v>Devizy</v>
      </c>
      <c r="K256" s="1045" t="str">
        <f t="shared" si="10"/>
        <v/>
      </c>
      <c r="L256" s="1045" t="str">
        <f t="shared" si="11"/>
        <v/>
      </c>
    </row>
    <row r="257" spans="1:12">
      <c r="A257" t="s">
        <v>13566</v>
      </c>
      <c r="J257" s="1045" t="str">
        <f t="shared" si="9"/>
        <v>Devizy</v>
      </c>
      <c r="K257" s="1045" t="str">
        <f t="shared" si="10"/>
        <v/>
      </c>
      <c r="L257" s="1045" t="str">
        <f t="shared" si="11"/>
        <v/>
      </c>
    </row>
    <row r="258" spans="1:12">
      <c r="A258" t="s">
        <v>13601</v>
      </c>
      <c r="J258" s="1045" t="str">
        <f t="shared" si="9"/>
        <v>Devizy</v>
      </c>
      <c r="K258" s="1045" t="str">
        <f t="shared" si="10"/>
        <v/>
      </c>
      <c r="L258" s="1045" t="str">
        <f t="shared" si="11"/>
        <v/>
      </c>
    </row>
    <row r="259" spans="1:12">
      <c r="A259" t="s">
        <v>13602</v>
      </c>
      <c r="J259" s="1045" t="str">
        <f t="shared" si="9"/>
        <v>Devizy</v>
      </c>
      <c r="K259" s="1045" t="str">
        <f t="shared" si="10"/>
        <v/>
      </c>
      <c r="L259" s="1045" t="str">
        <f t="shared" si="11"/>
        <v/>
      </c>
    </row>
    <row r="260" spans="1:12">
      <c r="A260" s="3" t="s">
        <v>13569</v>
      </c>
      <c r="J260" s="1045" t="str">
        <f t="shared" si="9"/>
        <v>Devizy</v>
      </c>
      <c r="K260" s="1045" t="str">
        <f t="shared" si="10"/>
        <v/>
      </c>
      <c r="L260" s="1045" t="str">
        <f t="shared" si="11"/>
        <v/>
      </c>
    </row>
    <row r="261" spans="1:12">
      <c r="A261" s="3" t="s">
        <v>13564</v>
      </c>
      <c r="J261" s="1045" t="str">
        <f t="shared" ref="J261:J277" si="12">IF(OR(A261="Devizy",J260="Devizy"),"Devizy","")</f>
        <v>Devizy</v>
      </c>
      <c r="K261" s="1045" t="str">
        <f t="shared" ref="K261:K277" si="13">IFERROR(IF(AND(J261="Devizy",FIND("Nakupujeme ",A261)=1),RIGHT(A261,7),""),"")</f>
        <v/>
      </c>
      <c r="L261" s="1045" t="str">
        <f t="shared" ref="L261:L324" si="14">IFERROR(K261+M261,"")</f>
        <v/>
      </c>
    </row>
    <row r="262" spans="1:12">
      <c r="A262" s="3"/>
      <c r="J262" s="1045" t="str">
        <f t="shared" si="12"/>
        <v>Devizy</v>
      </c>
      <c r="K262" s="1045" t="str">
        <f t="shared" si="13"/>
        <v/>
      </c>
      <c r="L262" s="1045" t="str">
        <f t="shared" si="14"/>
        <v/>
      </c>
    </row>
    <row r="263" spans="1:12">
      <c r="A263" t="s">
        <v>11755</v>
      </c>
      <c r="J263" s="1045" t="str">
        <f t="shared" si="12"/>
        <v>Devizy</v>
      </c>
      <c r="K263" s="1045" t="str">
        <f t="shared" si="13"/>
        <v/>
      </c>
      <c r="L263" s="1045" t="str">
        <f t="shared" si="14"/>
        <v/>
      </c>
    </row>
    <row r="264" spans="1:12">
      <c r="A264" s="3"/>
      <c r="J264" s="1045" t="str">
        <f t="shared" si="12"/>
        <v>Devizy</v>
      </c>
      <c r="K264" s="1045" t="str">
        <f t="shared" si="13"/>
        <v/>
      </c>
      <c r="L264" s="1045" t="str">
        <f t="shared" si="14"/>
        <v/>
      </c>
    </row>
    <row r="265" spans="1:12">
      <c r="A265" s="3">
        <v>800521521</v>
      </c>
      <c r="J265" s="1045" t="str">
        <f t="shared" si="12"/>
        <v>Devizy</v>
      </c>
      <c r="K265" s="1045" t="str">
        <f t="shared" si="13"/>
        <v/>
      </c>
      <c r="L265" s="1045" t="str">
        <f t="shared" si="14"/>
        <v/>
      </c>
    </row>
    <row r="266" spans="1:12">
      <c r="A266" t="s">
        <v>13565</v>
      </c>
      <c r="J266" s="1045" t="str">
        <f t="shared" si="12"/>
        <v>Devizy</v>
      </c>
      <c r="K266" s="1045" t="str">
        <f t="shared" si="13"/>
        <v/>
      </c>
      <c r="L266" s="1045" t="str">
        <f t="shared" si="14"/>
        <v/>
      </c>
    </row>
    <row r="267" spans="1:12">
      <c r="A267" s="3" t="s">
        <v>13616</v>
      </c>
      <c r="J267" s="1045" t="str">
        <f t="shared" si="12"/>
        <v>Devizy</v>
      </c>
      <c r="K267" s="1045" t="str">
        <f t="shared" si="13"/>
        <v/>
      </c>
      <c r="L267" s="1045" t="str">
        <f t="shared" si="14"/>
        <v/>
      </c>
    </row>
    <row r="268" spans="1:12">
      <c r="A268" t="s">
        <v>13568</v>
      </c>
      <c r="J268" s="1045" t="str">
        <f t="shared" si="12"/>
        <v>Devizy</v>
      </c>
      <c r="K268" s="1045" t="str">
        <f t="shared" si="13"/>
        <v/>
      </c>
      <c r="L268" s="1045" t="str">
        <f t="shared" si="14"/>
        <v/>
      </c>
    </row>
    <row r="269" spans="1:12">
      <c r="A269" t="s">
        <v>13606</v>
      </c>
      <c r="J269" s="1045" t="str">
        <f t="shared" si="12"/>
        <v>Devizy</v>
      </c>
      <c r="K269" s="1045" t="str">
        <f t="shared" si="13"/>
        <v/>
      </c>
      <c r="L269" s="1045" t="str">
        <f t="shared" si="14"/>
        <v/>
      </c>
    </row>
    <row r="270" spans="1:12">
      <c r="A270" t="s">
        <v>13814</v>
      </c>
      <c r="J270" s="1045" t="str">
        <f t="shared" si="12"/>
        <v>Devizy</v>
      </c>
      <c r="K270" s="1045" t="str">
        <f t="shared" si="13"/>
        <v/>
      </c>
      <c r="L270" s="1045" t="str">
        <f t="shared" si="14"/>
        <v/>
      </c>
    </row>
    <row r="271" spans="1:12">
      <c r="J271" s="1045" t="str">
        <f t="shared" si="12"/>
        <v>Devizy</v>
      </c>
      <c r="K271" s="1045" t="str">
        <f t="shared" si="13"/>
        <v/>
      </c>
      <c r="L271" s="1045" t="str">
        <f t="shared" si="14"/>
        <v/>
      </c>
    </row>
    <row r="272" spans="1:12">
      <c r="A272" t="s">
        <v>13607</v>
      </c>
      <c r="J272" s="1045" t="str">
        <f t="shared" si="12"/>
        <v>Devizy</v>
      </c>
      <c r="K272" s="1045" t="str">
        <f t="shared" si="13"/>
        <v/>
      </c>
      <c r="L272" s="1045" t="str">
        <f t="shared" si="14"/>
        <v/>
      </c>
    </row>
    <row r="273" spans="1:12">
      <c r="J273" s="1045" t="str">
        <f t="shared" si="12"/>
        <v>Devizy</v>
      </c>
      <c r="K273" s="1045" t="str">
        <f t="shared" si="13"/>
        <v/>
      </c>
      <c r="L273" s="1045" t="str">
        <f t="shared" si="14"/>
        <v/>
      </c>
    </row>
    <row r="274" spans="1:12">
      <c r="A274" t="s">
        <v>13608</v>
      </c>
      <c r="J274" s="1045" t="str">
        <f t="shared" si="12"/>
        <v>Devizy</v>
      </c>
      <c r="K274" s="1045" t="str">
        <f t="shared" si="13"/>
        <v/>
      </c>
      <c r="L274" s="1045" t="str">
        <f t="shared" si="14"/>
        <v/>
      </c>
    </row>
    <row r="275" spans="1:12">
      <c r="A275" t="s">
        <v>13609</v>
      </c>
      <c r="J275" s="1045" t="str">
        <f t="shared" si="12"/>
        <v>Devizy</v>
      </c>
      <c r="K275" s="1045" t="str">
        <f t="shared" si="13"/>
        <v/>
      </c>
      <c r="L275" s="1045" t="str">
        <f t="shared" si="14"/>
        <v/>
      </c>
    </row>
    <row r="276" spans="1:12">
      <c r="A276" t="s">
        <v>13610</v>
      </c>
      <c r="J276" s="1045" t="str">
        <f t="shared" si="12"/>
        <v>Devizy</v>
      </c>
      <c r="K276" s="1045" t="str">
        <f t="shared" si="13"/>
        <v/>
      </c>
      <c r="L276" s="1045" t="str">
        <f t="shared" si="14"/>
        <v/>
      </c>
    </row>
    <row r="277" spans="1:12">
      <c r="A277" t="s">
        <v>13611</v>
      </c>
      <c r="J277" s="1045" t="str">
        <f t="shared" si="12"/>
        <v>Devizy</v>
      </c>
      <c r="K277" s="1045" t="str">
        <f t="shared" si="13"/>
        <v/>
      </c>
      <c r="L277" s="1045" t="str">
        <f t="shared" si="14"/>
        <v/>
      </c>
    </row>
    <row r="278" spans="1:12">
      <c r="A278" t="s">
        <v>13612</v>
      </c>
      <c r="J278" s="1045" t="str">
        <f t="shared" ref="J278:J341" si="15">IF(OR(A282="Devizy",J277="Devizy"),"Devizy","")</f>
        <v>Devizy</v>
      </c>
      <c r="K278" s="1045" t="str">
        <f t="shared" ref="K278:K341" si="16">IFERROR(IF(AND(J278="Devizy",FIND("Nakupujeme ",A282)=1),RIGHT(A282,7),""),"")</f>
        <v/>
      </c>
      <c r="L278" s="1045" t="str">
        <f t="shared" si="14"/>
        <v/>
      </c>
    </row>
    <row r="279" spans="1:12">
      <c r="A279" t="s">
        <v>13632</v>
      </c>
      <c r="J279" s="1045" t="str">
        <f t="shared" si="15"/>
        <v>Devizy</v>
      </c>
      <c r="K279" s="1045" t="str">
        <f t="shared" si="16"/>
        <v/>
      </c>
      <c r="L279" s="1045" t="str">
        <f t="shared" si="14"/>
        <v/>
      </c>
    </row>
    <row r="280" spans="1:12">
      <c r="A280" t="s">
        <v>13613</v>
      </c>
      <c r="J280" s="1045" t="str">
        <f t="shared" si="15"/>
        <v>Devizy</v>
      </c>
      <c r="K280" s="1045" t="str">
        <f t="shared" si="16"/>
        <v/>
      </c>
      <c r="L280" s="1045" t="str">
        <f t="shared" si="14"/>
        <v/>
      </c>
    </row>
    <row r="281" spans="1:12">
      <c r="A281" t="s">
        <v>13614</v>
      </c>
      <c r="J281" s="1045" t="str">
        <f t="shared" si="15"/>
        <v>Devizy</v>
      </c>
      <c r="K281" s="1045" t="str">
        <f t="shared" si="16"/>
        <v/>
      </c>
      <c r="L281" s="1045" t="str">
        <f t="shared" si="14"/>
        <v/>
      </c>
    </row>
    <row r="282" spans="1:12">
      <c r="A282" s="26" t="s">
        <v>13210</v>
      </c>
      <c r="J282" s="1045" t="str">
        <f t="shared" si="15"/>
        <v>Devizy</v>
      </c>
      <c r="K282" s="1045" t="str">
        <f t="shared" si="16"/>
        <v/>
      </c>
      <c r="L282" s="1045" t="str">
        <f t="shared" si="14"/>
        <v/>
      </c>
    </row>
    <row r="283" spans="1:12">
      <c r="A283" s="12" t="s">
        <v>24</v>
      </c>
      <c r="J283" s="1045" t="str">
        <f t="shared" si="15"/>
        <v>Devizy</v>
      </c>
      <c r="K283" s="1045" t="str">
        <f t="shared" si="16"/>
        <v/>
      </c>
      <c r="L283" s="1045" t="str">
        <f t="shared" si="14"/>
        <v/>
      </c>
    </row>
    <row r="284" spans="1:12">
      <c r="A284" s="12" t="s">
        <v>24</v>
      </c>
      <c r="J284" s="1045" t="str">
        <f t="shared" si="15"/>
        <v>Devizy</v>
      </c>
      <c r="K284" s="1045" t="str">
        <f t="shared" si="16"/>
        <v/>
      </c>
      <c r="L284" s="1045" t="str">
        <f t="shared" si="14"/>
        <v/>
      </c>
    </row>
    <row r="285" spans="1:12">
      <c r="A285" s="12" t="s">
        <v>24</v>
      </c>
      <c r="J285" s="1045" t="str">
        <f t="shared" si="15"/>
        <v>Devizy</v>
      </c>
      <c r="K285" s="1045" t="str">
        <f t="shared" si="16"/>
        <v/>
      </c>
      <c r="L285" s="1045" t="str">
        <f t="shared" si="14"/>
        <v/>
      </c>
    </row>
    <row r="286" spans="1:12">
      <c r="A286" s="12" t="s">
        <v>24</v>
      </c>
      <c r="J286" s="1045" t="str">
        <f t="shared" si="15"/>
        <v>Devizy</v>
      </c>
      <c r="K286" s="1045" t="str">
        <f t="shared" si="16"/>
        <v/>
      </c>
      <c r="L286" s="1045" t="str">
        <f t="shared" si="14"/>
        <v/>
      </c>
    </row>
    <row r="287" spans="1:12">
      <c r="A287" s="12" t="s">
        <v>24</v>
      </c>
      <c r="J287" s="1045" t="str">
        <f t="shared" si="15"/>
        <v>Devizy</v>
      </c>
      <c r="K287" s="1045" t="str">
        <f t="shared" si="16"/>
        <v/>
      </c>
      <c r="L287" s="1045" t="str">
        <f t="shared" si="14"/>
        <v/>
      </c>
    </row>
    <row r="288" spans="1:12">
      <c r="A288" s="12" t="s">
        <v>24</v>
      </c>
      <c r="J288" s="1045" t="str">
        <f t="shared" si="15"/>
        <v>Devizy</v>
      </c>
      <c r="K288" s="1045" t="str">
        <f t="shared" si="16"/>
        <v/>
      </c>
      <c r="L288" s="1045" t="str">
        <f t="shared" si="14"/>
        <v/>
      </c>
    </row>
    <row r="289" spans="1:12">
      <c r="A289" s="12" t="s">
        <v>24</v>
      </c>
      <c r="J289" s="1045" t="str">
        <f t="shared" si="15"/>
        <v>Devizy</v>
      </c>
      <c r="K289" s="1045" t="str">
        <f t="shared" si="16"/>
        <v/>
      </c>
      <c r="L289" s="1045" t="str">
        <f t="shared" si="14"/>
        <v/>
      </c>
    </row>
    <row r="290" spans="1:12">
      <c r="A290" s="12" t="s">
        <v>24</v>
      </c>
      <c r="J290" s="1045" t="str">
        <f t="shared" si="15"/>
        <v>Devizy</v>
      </c>
      <c r="K290" s="1045" t="str">
        <f t="shared" si="16"/>
        <v/>
      </c>
      <c r="L290" s="1045" t="str">
        <f t="shared" si="14"/>
        <v/>
      </c>
    </row>
    <row r="291" spans="1:12">
      <c r="A291" s="12" t="s">
        <v>24</v>
      </c>
      <c r="J291" s="1045" t="str">
        <f t="shared" si="15"/>
        <v>Devizy</v>
      </c>
      <c r="K291" s="1045" t="str">
        <f t="shared" si="16"/>
        <v/>
      </c>
      <c r="L291" s="1045" t="str">
        <f t="shared" si="14"/>
        <v/>
      </c>
    </row>
    <row r="292" spans="1:12">
      <c r="A292" s="12" t="s">
        <v>24</v>
      </c>
      <c r="J292" s="1045" t="str">
        <f t="shared" si="15"/>
        <v>Devizy</v>
      </c>
      <c r="K292" s="1045" t="str">
        <f t="shared" si="16"/>
        <v/>
      </c>
      <c r="L292" s="1045" t="str">
        <f t="shared" si="14"/>
        <v/>
      </c>
    </row>
    <row r="293" spans="1:12">
      <c r="A293" s="12" t="s">
        <v>24</v>
      </c>
      <c r="J293" s="1045" t="str">
        <f t="shared" si="15"/>
        <v>Devizy</v>
      </c>
      <c r="K293" s="1045" t="str">
        <f t="shared" si="16"/>
        <v/>
      </c>
      <c r="L293" s="1045" t="str">
        <f t="shared" si="14"/>
        <v/>
      </c>
    </row>
    <row r="294" spans="1:12">
      <c r="A294" s="12" t="s">
        <v>24</v>
      </c>
      <c r="J294" s="1045" t="str">
        <f t="shared" si="15"/>
        <v>Devizy</v>
      </c>
      <c r="K294" s="1045" t="str">
        <f t="shared" si="16"/>
        <v/>
      </c>
      <c r="L294" s="1045" t="str">
        <f t="shared" si="14"/>
        <v/>
      </c>
    </row>
    <row r="295" spans="1:12">
      <c r="A295" s="12" t="s">
        <v>24</v>
      </c>
      <c r="J295" s="1045" t="str">
        <f t="shared" si="15"/>
        <v>Devizy</v>
      </c>
      <c r="K295" s="1045" t="str">
        <f t="shared" si="16"/>
        <v/>
      </c>
      <c r="L295" s="1045" t="str">
        <f t="shared" si="14"/>
        <v/>
      </c>
    </row>
    <row r="296" spans="1:12">
      <c r="A296" s="12" t="s">
        <v>24</v>
      </c>
      <c r="J296" s="1045" t="str">
        <f t="shared" si="15"/>
        <v>Devizy</v>
      </c>
      <c r="K296" s="1045" t="str">
        <f t="shared" si="16"/>
        <v/>
      </c>
      <c r="L296" s="1045" t="str">
        <f t="shared" si="14"/>
        <v/>
      </c>
    </row>
    <row r="297" spans="1:12">
      <c r="A297" s="12" t="s">
        <v>24</v>
      </c>
      <c r="J297" s="1045" t="str">
        <f t="shared" si="15"/>
        <v>Devizy</v>
      </c>
      <c r="K297" s="1045" t="str">
        <f t="shared" si="16"/>
        <v/>
      </c>
      <c r="L297" s="1045" t="str">
        <f t="shared" si="14"/>
        <v/>
      </c>
    </row>
    <row r="298" spans="1:12">
      <c r="A298" s="12" t="s">
        <v>24</v>
      </c>
      <c r="J298" s="1045" t="str">
        <f t="shared" si="15"/>
        <v>Devizy</v>
      </c>
      <c r="K298" s="1045" t="str">
        <f t="shared" si="16"/>
        <v/>
      </c>
      <c r="L298" s="1045" t="str">
        <f t="shared" si="14"/>
        <v/>
      </c>
    </row>
    <row r="299" spans="1:12">
      <c r="A299" s="12" t="s">
        <v>24</v>
      </c>
      <c r="J299" s="1045" t="str">
        <f t="shared" si="15"/>
        <v>Devizy</v>
      </c>
      <c r="K299" s="1045" t="str">
        <f t="shared" si="16"/>
        <v/>
      </c>
      <c r="L299" s="1045" t="str">
        <f t="shared" si="14"/>
        <v/>
      </c>
    </row>
    <row r="300" spans="1:12">
      <c r="A300" s="12" t="s">
        <v>24</v>
      </c>
      <c r="J300" s="1045" t="str">
        <f t="shared" si="15"/>
        <v>Devizy</v>
      </c>
      <c r="K300" s="1045" t="str">
        <f t="shared" si="16"/>
        <v/>
      </c>
      <c r="L300" s="1045" t="str">
        <f t="shared" si="14"/>
        <v/>
      </c>
    </row>
    <row r="301" spans="1:12">
      <c r="A301" s="12" t="s">
        <v>24</v>
      </c>
      <c r="J301" s="1045" t="str">
        <f t="shared" si="15"/>
        <v>Devizy</v>
      </c>
      <c r="K301" s="1045" t="str">
        <f t="shared" si="16"/>
        <v/>
      </c>
      <c r="L301" s="1045" t="str">
        <f t="shared" si="14"/>
        <v/>
      </c>
    </row>
    <row r="302" spans="1:12">
      <c r="A302" s="12" t="s">
        <v>24</v>
      </c>
      <c r="J302" s="1045" t="str">
        <f t="shared" si="15"/>
        <v>Devizy</v>
      </c>
      <c r="K302" s="1045" t="str">
        <f t="shared" si="16"/>
        <v/>
      </c>
      <c r="L302" s="1045" t="str">
        <f t="shared" si="14"/>
        <v/>
      </c>
    </row>
    <row r="303" spans="1:12">
      <c r="A303" s="12" t="s">
        <v>24</v>
      </c>
      <c r="J303" s="1045" t="str">
        <f t="shared" si="15"/>
        <v>Devizy</v>
      </c>
      <c r="K303" s="1045" t="str">
        <f t="shared" si="16"/>
        <v/>
      </c>
      <c r="L303" s="1045" t="str">
        <f t="shared" si="14"/>
        <v/>
      </c>
    </row>
    <row r="304" spans="1:12">
      <c r="A304" s="12" t="s">
        <v>24</v>
      </c>
      <c r="J304" s="1045" t="str">
        <f t="shared" si="15"/>
        <v>Devizy</v>
      </c>
      <c r="K304" s="1045" t="str">
        <f t="shared" si="16"/>
        <v/>
      </c>
      <c r="L304" s="1045" t="str">
        <f t="shared" si="14"/>
        <v/>
      </c>
    </row>
    <row r="305" spans="1:12">
      <c r="A305" s="12" t="s">
        <v>24</v>
      </c>
      <c r="J305" s="1045" t="str">
        <f t="shared" si="15"/>
        <v>Devizy</v>
      </c>
      <c r="K305" s="1045" t="str">
        <f t="shared" si="16"/>
        <v/>
      </c>
      <c r="L305" s="1045" t="str">
        <f t="shared" si="14"/>
        <v/>
      </c>
    </row>
    <row r="306" spans="1:12">
      <c r="A306" s="12" t="s">
        <v>24</v>
      </c>
      <c r="J306" s="1045" t="str">
        <f t="shared" si="15"/>
        <v>Devizy</v>
      </c>
      <c r="K306" s="1045" t="str">
        <f t="shared" si="16"/>
        <v/>
      </c>
      <c r="L306" s="1045" t="str">
        <f t="shared" si="14"/>
        <v/>
      </c>
    </row>
    <row r="307" spans="1:12">
      <c r="A307" s="12" t="s">
        <v>24</v>
      </c>
      <c r="J307" s="1045" t="str">
        <f t="shared" si="15"/>
        <v>Devizy</v>
      </c>
      <c r="K307" s="1045" t="str">
        <f t="shared" si="16"/>
        <v/>
      </c>
      <c r="L307" s="1045" t="str">
        <f t="shared" si="14"/>
        <v/>
      </c>
    </row>
    <row r="308" spans="1:12">
      <c r="A308" s="12" t="s">
        <v>24</v>
      </c>
      <c r="J308" s="1045" t="str">
        <f t="shared" si="15"/>
        <v>Devizy</v>
      </c>
      <c r="K308" s="1045" t="str">
        <f t="shared" si="16"/>
        <v/>
      </c>
      <c r="L308" s="1045" t="str">
        <f t="shared" si="14"/>
        <v/>
      </c>
    </row>
    <row r="309" spans="1:12">
      <c r="A309" s="12" t="s">
        <v>24</v>
      </c>
      <c r="J309" s="1045" t="str">
        <f t="shared" si="15"/>
        <v>Devizy</v>
      </c>
      <c r="K309" s="1045" t="str">
        <f t="shared" si="16"/>
        <v/>
      </c>
      <c r="L309" s="1045" t="str">
        <f t="shared" si="14"/>
        <v/>
      </c>
    </row>
    <row r="310" spans="1:12">
      <c r="A310" s="12"/>
      <c r="J310" s="1045" t="str">
        <f t="shared" si="15"/>
        <v>Devizy</v>
      </c>
      <c r="K310" s="1045" t="str">
        <f t="shared" si="16"/>
        <v/>
      </c>
      <c r="L310" s="1045" t="str">
        <f t="shared" si="14"/>
        <v/>
      </c>
    </row>
    <row r="311" spans="1:12">
      <c r="A311" s="12" t="s">
        <v>24</v>
      </c>
      <c r="J311" s="1045" t="str">
        <f t="shared" si="15"/>
        <v>Devizy</v>
      </c>
      <c r="K311" s="1045" t="str">
        <f t="shared" si="16"/>
        <v/>
      </c>
      <c r="L311" s="1045" t="str">
        <f t="shared" si="14"/>
        <v/>
      </c>
    </row>
    <row r="312" spans="1:12">
      <c r="A312" s="12" t="s">
        <v>24</v>
      </c>
      <c r="J312" s="1045" t="str">
        <f t="shared" si="15"/>
        <v>Devizy</v>
      </c>
      <c r="K312" s="1045" t="str">
        <f t="shared" si="16"/>
        <v/>
      </c>
      <c r="L312" s="1045" t="str">
        <f t="shared" si="14"/>
        <v/>
      </c>
    </row>
    <row r="313" spans="1:12">
      <c r="A313" s="12" t="s">
        <v>24</v>
      </c>
      <c r="J313" s="1045" t="str">
        <f t="shared" si="15"/>
        <v>Devizy</v>
      </c>
      <c r="K313" s="1045" t="str">
        <f t="shared" si="16"/>
        <v/>
      </c>
      <c r="L313" s="1045" t="str">
        <f t="shared" si="14"/>
        <v/>
      </c>
    </row>
    <row r="314" spans="1:12">
      <c r="A314" s="12" t="s">
        <v>24</v>
      </c>
      <c r="J314" s="1045" t="str">
        <f t="shared" si="15"/>
        <v>Devizy</v>
      </c>
      <c r="K314" s="1045" t="str">
        <f t="shared" si="16"/>
        <v/>
      </c>
      <c r="L314" s="1045" t="str">
        <f t="shared" si="14"/>
        <v/>
      </c>
    </row>
    <row r="315" spans="1:12">
      <c r="A315" s="12" t="s">
        <v>24</v>
      </c>
      <c r="J315" s="1045" t="str">
        <f t="shared" si="15"/>
        <v>Devizy</v>
      </c>
      <c r="K315" s="1045" t="str">
        <f t="shared" si="16"/>
        <v/>
      </c>
      <c r="L315" s="1045" t="str">
        <f t="shared" si="14"/>
        <v/>
      </c>
    </row>
    <row r="316" spans="1:12">
      <c r="A316" s="12" t="s">
        <v>24</v>
      </c>
      <c r="J316" s="1045" t="str">
        <f t="shared" si="15"/>
        <v>Devizy</v>
      </c>
      <c r="K316" s="1045" t="str">
        <f t="shared" si="16"/>
        <v/>
      </c>
      <c r="L316" s="1045" t="str">
        <f t="shared" si="14"/>
        <v/>
      </c>
    </row>
    <row r="317" spans="1:12">
      <c r="A317" s="12" t="s">
        <v>24</v>
      </c>
      <c r="J317" s="1045" t="str">
        <f t="shared" si="15"/>
        <v>Devizy</v>
      </c>
      <c r="K317" s="1045" t="str">
        <f t="shared" si="16"/>
        <v/>
      </c>
      <c r="L317" s="1045" t="str">
        <f t="shared" si="14"/>
        <v/>
      </c>
    </row>
    <row r="318" spans="1:12">
      <c r="A318" s="12"/>
      <c r="J318" s="1045" t="str">
        <f t="shared" si="15"/>
        <v>Devizy</v>
      </c>
      <c r="K318" s="1045" t="str">
        <f t="shared" si="16"/>
        <v/>
      </c>
      <c r="L318" s="1045" t="str">
        <f t="shared" si="14"/>
        <v/>
      </c>
    </row>
    <row r="319" spans="1:12">
      <c r="A319" s="12" t="s">
        <v>24</v>
      </c>
      <c r="J319" s="1045" t="str">
        <f t="shared" si="15"/>
        <v>Devizy</v>
      </c>
      <c r="K319" s="1045" t="str">
        <f t="shared" si="16"/>
        <v/>
      </c>
      <c r="L319" s="1045" t="str">
        <f t="shared" si="14"/>
        <v/>
      </c>
    </row>
    <row r="320" spans="1:12">
      <c r="A320" s="12" t="s">
        <v>24</v>
      </c>
      <c r="J320" s="1045" t="str">
        <f t="shared" si="15"/>
        <v>Devizy</v>
      </c>
      <c r="K320" s="1045" t="str">
        <f t="shared" si="16"/>
        <v/>
      </c>
      <c r="L320" s="1045" t="str">
        <f t="shared" si="14"/>
        <v/>
      </c>
    </row>
    <row r="321" spans="1:12">
      <c r="A321" s="12" t="s">
        <v>24</v>
      </c>
      <c r="J321" s="1045" t="str">
        <f t="shared" si="15"/>
        <v>Devizy</v>
      </c>
      <c r="K321" s="1045" t="str">
        <f t="shared" si="16"/>
        <v/>
      </c>
      <c r="L321" s="1045" t="str">
        <f t="shared" si="14"/>
        <v/>
      </c>
    </row>
    <row r="322" spans="1:12">
      <c r="A322" s="12"/>
      <c r="J322" s="1045" t="str">
        <f t="shared" si="15"/>
        <v>Devizy</v>
      </c>
      <c r="K322" s="1045" t="str">
        <f t="shared" si="16"/>
        <v/>
      </c>
      <c r="L322" s="1045" t="str">
        <f t="shared" si="14"/>
        <v/>
      </c>
    </row>
    <row r="323" spans="1:12">
      <c r="A323" s="12" t="s">
        <v>24</v>
      </c>
      <c r="J323" s="1045" t="str">
        <f t="shared" si="15"/>
        <v>Devizy</v>
      </c>
      <c r="K323" s="1045" t="str">
        <f t="shared" si="16"/>
        <v/>
      </c>
      <c r="L323" s="1045" t="str">
        <f t="shared" si="14"/>
        <v/>
      </c>
    </row>
    <row r="324" spans="1:12">
      <c r="A324" s="12" t="s">
        <v>24</v>
      </c>
      <c r="J324" s="1045" t="str">
        <f t="shared" si="15"/>
        <v>Devizy</v>
      </c>
      <c r="K324" s="1045" t="str">
        <f t="shared" si="16"/>
        <v/>
      </c>
      <c r="L324" s="1045" t="str">
        <f t="shared" si="14"/>
        <v/>
      </c>
    </row>
    <row r="325" spans="1:12">
      <c r="A325" s="12" t="s">
        <v>24</v>
      </c>
      <c r="J325" s="1045" t="str">
        <f t="shared" si="15"/>
        <v>Devizy</v>
      </c>
      <c r="K325" s="1045" t="str">
        <f t="shared" si="16"/>
        <v/>
      </c>
      <c r="L325" s="1045" t="str">
        <f t="shared" ref="L325:L388" si="17">IFERROR(K325+M325,"")</f>
        <v/>
      </c>
    </row>
    <row r="326" spans="1:12">
      <c r="A326" s="12" t="s">
        <v>24</v>
      </c>
      <c r="J326" s="1045" t="str">
        <f t="shared" si="15"/>
        <v>Devizy</v>
      </c>
      <c r="K326" s="1045" t="str">
        <f t="shared" si="16"/>
        <v/>
      </c>
      <c r="L326" s="1045" t="str">
        <f t="shared" si="17"/>
        <v/>
      </c>
    </row>
    <row r="327" spans="1:12">
      <c r="A327" s="12" t="s">
        <v>24</v>
      </c>
      <c r="J327" s="1045" t="str">
        <f t="shared" si="15"/>
        <v>Devizy</v>
      </c>
      <c r="K327" s="1045" t="str">
        <f t="shared" si="16"/>
        <v/>
      </c>
      <c r="L327" s="1045" t="str">
        <f t="shared" si="17"/>
        <v/>
      </c>
    </row>
    <row r="328" spans="1:12">
      <c r="A328" s="12" t="s">
        <v>24</v>
      </c>
      <c r="J328" s="1045" t="str">
        <f t="shared" si="15"/>
        <v>Devizy</v>
      </c>
      <c r="K328" s="1045" t="str">
        <f t="shared" si="16"/>
        <v/>
      </c>
      <c r="L328" s="1045" t="str">
        <f t="shared" si="17"/>
        <v/>
      </c>
    </row>
    <row r="329" spans="1:12">
      <c r="A329" s="12" t="s">
        <v>24</v>
      </c>
      <c r="J329" s="1045" t="str">
        <f t="shared" si="15"/>
        <v>Devizy</v>
      </c>
      <c r="K329" s="1045" t="str">
        <f t="shared" si="16"/>
        <v/>
      </c>
      <c r="L329" s="1045" t="str">
        <f t="shared" si="17"/>
        <v/>
      </c>
    </row>
    <row r="330" spans="1:12">
      <c r="A330" s="12" t="s">
        <v>24</v>
      </c>
      <c r="J330" s="1045" t="str">
        <f t="shared" si="15"/>
        <v>Devizy</v>
      </c>
      <c r="K330" s="1045" t="str">
        <f t="shared" si="16"/>
        <v/>
      </c>
      <c r="L330" s="1045" t="str">
        <f t="shared" si="17"/>
        <v/>
      </c>
    </row>
    <row r="331" spans="1:12">
      <c r="A331" s="12" t="s">
        <v>24</v>
      </c>
      <c r="J331" s="1045" t="str">
        <f t="shared" si="15"/>
        <v>Devizy</v>
      </c>
      <c r="K331" s="1045" t="str">
        <f t="shared" si="16"/>
        <v/>
      </c>
      <c r="L331" s="1045" t="str">
        <f t="shared" si="17"/>
        <v/>
      </c>
    </row>
    <row r="332" spans="1:12">
      <c r="A332" s="12"/>
      <c r="J332" s="1045" t="str">
        <f t="shared" si="15"/>
        <v>Devizy</v>
      </c>
      <c r="K332" s="1045" t="str">
        <f t="shared" si="16"/>
        <v/>
      </c>
      <c r="L332" s="1045" t="str">
        <f t="shared" si="17"/>
        <v/>
      </c>
    </row>
    <row r="333" spans="1:12">
      <c r="A333" s="12" t="s">
        <v>24</v>
      </c>
      <c r="J333" s="1045" t="str">
        <f t="shared" si="15"/>
        <v>Devizy</v>
      </c>
      <c r="K333" s="1045" t="str">
        <f t="shared" si="16"/>
        <v/>
      </c>
      <c r="L333" s="1045" t="str">
        <f t="shared" si="17"/>
        <v/>
      </c>
    </row>
    <row r="334" spans="1:12">
      <c r="A334" s="12" t="s">
        <v>24</v>
      </c>
      <c r="J334" s="1045" t="str">
        <f t="shared" si="15"/>
        <v>Devizy</v>
      </c>
      <c r="K334" s="1045" t="str">
        <f t="shared" si="16"/>
        <v/>
      </c>
      <c r="L334" s="1045" t="str">
        <f t="shared" si="17"/>
        <v/>
      </c>
    </row>
    <row r="335" spans="1:12">
      <c r="A335" s="12" t="s">
        <v>24</v>
      </c>
      <c r="J335" s="1045" t="str">
        <f t="shared" si="15"/>
        <v>Devizy</v>
      </c>
      <c r="K335" s="1045" t="str">
        <f t="shared" si="16"/>
        <v/>
      </c>
      <c r="L335" s="1045" t="str">
        <f t="shared" si="17"/>
        <v/>
      </c>
    </row>
    <row r="336" spans="1:12">
      <c r="A336" s="12" t="s">
        <v>24</v>
      </c>
      <c r="J336" s="1045" t="str">
        <f t="shared" si="15"/>
        <v>Devizy</v>
      </c>
      <c r="K336" s="1045" t="str">
        <f t="shared" si="16"/>
        <v/>
      </c>
      <c r="L336" s="1045" t="str">
        <f t="shared" si="17"/>
        <v/>
      </c>
    </row>
    <row r="337" spans="1:12">
      <c r="A337" s="12" t="s">
        <v>24</v>
      </c>
      <c r="J337" s="1045" t="str">
        <f t="shared" si="15"/>
        <v>Devizy</v>
      </c>
      <c r="K337" s="1045" t="str">
        <f t="shared" si="16"/>
        <v/>
      </c>
      <c r="L337" s="1045" t="str">
        <f t="shared" si="17"/>
        <v/>
      </c>
    </row>
    <row r="338" spans="1:12">
      <c r="A338" s="12" t="s">
        <v>24</v>
      </c>
      <c r="J338" s="1045" t="str">
        <f t="shared" si="15"/>
        <v>Devizy</v>
      </c>
      <c r="K338" s="1045" t="str">
        <f t="shared" si="16"/>
        <v/>
      </c>
      <c r="L338" s="1045" t="str">
        <f t="shared" si="17"/>
        <v/>
      </c>
    </row>
    <row r="339" spans="1:12">
      <c r="A339" s="12" t="s">
        <v>24</v>
      </c>
      <c r="J339" s="1045" t="str">
        <f t="shared" si="15"/>
        <v>Devizy</v>
      </c>
      <c r="K339" s="1045" t="str">
        <f t="shared" si="16"/>
        <v/>
      </c>
      <c r="L339" s="1045" t="str">
        <f t="shared" si="17"/>
        <v/>
      </c>
    </row>
    <row r="340" spans="1:12">
      <c r="A340" s="12" t="s">
        <v>24</v>
      </c>
      <c r="J340" s="1045" t="str">
        <f t="shared" si="15"/>
        <v>Devizy</v>
      </c>
      <c r="K340" s="1045" t="str">
        <f t="shared" si="16"/>
        <v/>
      </c>
      <c r="L340" s="1045" t="str">
        <f t="shared" si="17"/>
        <v/>
      </c>
    </row>
    <row r="341" spans="1:12">
      <c r="A341" s="12"/>
      <c r="J341" s="1045" t="str">
        <f t="shared" si="15"/>
        <v>Devizy</v>
      </c>
      <c r="K341" s="1045" t="str">
        <f t="shared" si="16"/>
        <v/>
      </c>
      <c r="L341" s="1045" t="str">
        <f t="shared" si="17"/>
        <v/>
      </c>
    </row>
    <row r="342" spans="1:12">
      <c r="A342" s="12" t="s">
        <v>24</v>
      </c>
      <c r="J342" s="1045" t="str">
        <f t="shared" ref="J342:J405" si="18">IF(OR(A346="Devizy",J341="Devizy"),"Devizy","")</f>
        <v>Devizy</v>
      </c>
      <c r="K342" s="1045" t="str">
        <f t="shared" ref="K342:K405" si="19">IFERROR(IF(AND(J342="Devizy",FIND("Nakupujeme ",A346)=1),RIGHT(A346,7),""),"")</f>
        <v/>
      </c>
      <c r="L342" s="1045" t="str">
        <f t="shared" si="17"/>
        <v/>
      </c>
    </row>
    <row r="343" spans="1:12">
      <c r="A343" s="12" t="s">
        <v>24</v>
      </c>
      <c r="J343" s="1045" t="str">
        <f t="shared" si="18"/>
        <v>Devizy</v>
      </c>
      <c r="K343" s="1045" t="str">
        <f t="shared" si="19"/>
        <v/>
      </c>
      <c r="L343" s="1045" t="str">
        <f t="shared" si="17"/>
        <v/>
      </c>
    </row>
    <row r="344" spans="1:12">
      <c r="A344" s="12" t="s">
        <v>24</v>
      </c>
      <c r="J344" s="1045" t="str">
        <f t="shared" si="18"/>
        <v>Devizy</v>
      </c>
      <c r="K344" s="1045" t="str">
        <f t="shared" si="19"/>
        <v/>
      </c>
      <c r="L344" s="1045" t="str">
        <f t="shared" si="17"/>
        <v/>
      </c>
    </row>
    <row r="345" spans="1:12">
      <c r="A345" s="12" t="s">
        <v>24</v>
      </c>
      <c r="J345" s="1045" t="str">
        <f t="shared" si="18"/>
        <v>Devizy</v>
      </c>
      <c r="K345" s="1045" t="str">
        <f t="shared" si="19"/>
        <v/>
      </c>
      <c r="L345" s="1045" t="str">
        <f t="shared" si="17"/>
        <v/>
      </c>
    </row>
    <row r="346" spans="1:12">
      <c r="A346" s="12" t="s">
        <v>24</v>
      </c>
      <c r="J346" s="1045" t="str">
        <f t="shared" si="18"/>
        <v>Devizy</v>
      </c>
      <c r="K346" s="1045" t="str">
        <f t="shared" si="19"/>
        <v/>
      </c>
      <c r="L346" s="1045" t="str">
        <f t="shared" si="17"/>
        <v/>
      </c>
    </row>
    <row r="347" spans="1:12">
      <c r="A347" s="12" t="s">
        <v>24</v>
      </c>
      <c r="J347" s="1045" t="str">
        <f t="shared" si="18"/>
        <v>Devizy</v>
      </c>
      <c r="K347" s="1045" t="str">
        <f t="shared" si="19"/>
        <v/>
      </c>
      <c r="L347" s="1045" t="str">
        <f t="shared" si="17"/>
        <v/>
      </c>
    </row>
    <row r="348" spans="1:12">
      <c r="A348" s="12" t="s">
        <v>24</v>
      </c>
      <c r="J348" s="1045" t="str">
        <f t="shared" si="18"/>
        <v>Devizy</v>
      </c>
      <c r="K348" s="1045" t="str">
        <f t="shared" si="19"/>
        <v/>
      </c>
      <c r="L348" s="1045" t="str">
        <f t="shared" si="17"/>
        <v/>
      </c>
    </row>
    <row r="349" spans="1:12">
      <c r="A349" s="12" t="s">
        <v>24</v>
      </c>
      <c r="J349" s="1045" t="str">
        <f t="shared" si="18"/>
        <v>Devizy</v>
      </c>
      <c r="K349" s="1045" t="str">
        <f t="shared" si="19"/>
        <v/>
      </c>
      <c r="L349" s="1045" t="str">
        <f t="shared" si="17"/>
        <v/>
      </c>
    </row>
    <row r="350" spans="1:12">
      <c r="A350" s="12" t="s">
        <v>24</v>
      </c>
      <c r="J350" s="1045" t="str">
        <f t="shared" si="18"/>
        <v>Devizy</v>
      </c>
      <c r="K350" s="1045" t="str">
        <f t="shared" si="19"/>
        <v/>
      </c>
      <c r="L350" s="1045" t="str">
        <f t="shared" si="17"/>
        <v/>
      </c>
    </row>
    <row r="351" spans="1:12">
      <c r="A351" s="12" t="s">
        <v>24</v>
      </c>
      <c r="J351" s="1045" t="str">
        <f t="shared" si="18"/>
        <v>Devizy</v>
      </c>
      <c r="K351" s="1045" t="str">
        <f t="shared" si="19"/>
        <v/>
      </c>
      <c r="L351" s="1045" t="str">
        <f t="shared" si="17"/>
        <v/>
      </c>
    </row>
    <row r="352" spans="1:12">
      <c r="A352" s="12" t="s">
        <v>24</v>
      </c>
      <c r="J352" s="1045" t="str">
        <f t="shared" si="18"/>
        <v>Devizy</v>
      </c>
      <c r="K352" s="1045" t="str">
        <f t="shared" si="19"/>
        <v/>
      </c>
      <c r="L352" s="1045" t="str">
        <f t="shared" si="17"/>
        <v/>
      </c>
    </row>
    <row r="353" spans="1:12">
      <c r="A353" s="12" t="s">
        <v>24</v>
      </c>
      <c r="J353" s="1045" t="str">
        <f t="shared" si="18"/>
        <v>Devizy</v>
      </c>
      <c r="K353" s="1045" t="str">
        <f t="shared" si="19"/>
        <v/>
      </c>
      <c r="L353" s="1045" t="str">
        <f t="shared" si="17"/>
        <v/>
      </c>
    </row>
    <row r="354" spans="1:12">
      <c r="A354" s="12" t="s">
        <v>24</v>
      </c>
      <c r="J354" s="1045" t="str">
        <f t="shared" si="18"/>
        <v>Devizy</v>
      </c>
      <c r="K354" s="1045" t="str">
        <f t="shared" si="19"/>
        <v/>
      </c>
      <c r="L354" s="1045" t="str">
        <f t="shared" si="17"/>
        <v/>
      </c>
    </row>
    <row r="355" spans="1:12">
      <c r="A355" s="12" t="s">
        <v>24</v>
      </c>
      <c r="J355" s="1045" t="str">
        <f t="shared" si="18"/>
        <v>Devizy</v>
      </c>
      <c r="K355" s="1045" t="str">
        <f t="shared" si="19"/>
        <v/>
      </c>
      <c r="L355" s="1045" t="str">
        <f t="shared" si="17"/>
        <v/>
      </c>
    </row>
    <row r="356" spans="1:12">
      <c r="A356" s="12" t="s">
        <v>24</v>
      </c>
      <c r="J356" s="1045" t="str">
        <f t="shared" si="18"/>
        <v>Devizy</v>
      </c>
      <c r="K356" s="1045" t="str">
        <f t="shared" si="19"/>
        <v/>
      </c>
      <c r="L356" s="1045" t="str">
        <f t="shared" si="17"/>
        <v/>
      </c>
    </row>
    <row r="357" spans="1:12">
      <c r="A357" s="12" t="s">
        <v>24</v>
      </c>
      <c r="J357" s="1045" t="str">
        <f t="shared" si="18"/>
        <v>Devizy</v>
      </c>
      <c r="K357" s="1045" t="str">
        <f t="shared" si="19"/>
        <v/>
      </c>
      <c r="L357" s="1045" t="str">
        <f t="shared" si="17"/>
        <v/>
      </c>
    </row>
    <row r="358" spans="1:12">
      <c r="A358" s="12" t="s">
        <v>24</v>
      </c>
      <c r="J358" s="1045" t="str">
        <f t="shared" si="18"/>
        <v>Devizy</v>
      </c>
      <c r="K358" s="1045" t="str">
        <f t="shared" si="19"/>
        <v/>
      </c>
      <c r="L358" s="1045" t="str">
        <f t="shared" si="17"/>
        <v/>
      </c>
    </row>
    <row r="359" spans="1:12">
      <c r="A359" s="12" t="s">
        <v>24</v>
      </c>
      <c r="J359" s="1045" t="str">
        <f t="shared" si="18"/>
        <v>Devizy</v>
      </c>
      <c r="K359" s="1045" t="str">
        <f t="shared" si="19"/>
        <v/>
      </c>
      <c r="L359" s="1045" t="str">
        <f t="shared" si="17"/>
        <v/>
      </c>
    </row>
    <row r="360" spans="1:12">
      <c r="A360" s="12" t="s">
        <v>24</v>
      </c>
      <c r="J360" s="1045" t="str">
        <f t="shared" si="18"/>
        <v>Devizy</v>
      </c>
      <c r="K360" s="1045" t="str">
        <f t="shared" si="19"/>
        <v/>
      </c>
      <c r="L360" s="1045" t="str">
        <f t="shared" si="17"/>
        <v/>
      </c>
    </row>
    <row r="361" spans="1:12">
      <c r="A361" s="12" t="s">
        <v>24</v>
      </c>
      <c r="J361" s="1045" t="str">
        <f t="shared" si="18"/>
        <v>Devizy</v>
      </c>
      <c r="K361" s="1045" t="str">
        <f t="shared" si="19"/>
        <v/>
      </c>
      <c r="L361" s="1045" t="str">
        <f t="shared" si="17"/>
        <v/>
      </c>
    </row>
    <row r="362" spans="1:12">
      <c r="A362" s="12" t="s">
        <v>24</v>
      </c>
      <c r="J362" s="1045" t="str">
        <f t="shared" si="18"/>
        <v>Devizy</v>
      </c>
      <c r="K362" s="1045" t="str">
        <f t="shared" si="19"/>
        <v/>
      </c>
      <c r="L362" s="1045" t="str">
        <f t="shared" si="17"/>
        <v/>
      </c>
    </row>
    <row r="363" spans="1:12">
      <c r="A363" s="12" t="s">
        <v>24</v>
      </c>
      <c r="J363" s="1045" t="str">
        <f t="shared" si="18"/>
        <v>Devizy</v>
      </c>
      <c r="K363" s="1045" t="str">
        <f t="shared" si="19"/>
        <v/>
      </c>
      <c r="L363" s="1045" t="str">
        <f t="shared" si="17"/>
        <v/>
      </c>
    </row>
    <row r="364" spans="1:12">
      <c r="A364" s="12" t="s">
        <v>24</v>
      </c>
      <c r="J364" s="1045" t="str">
        <f t="shared" si="18"/>
        <v>Devizy</v>
      </c>
      <c r="K364" s="1045" t="str">
        <f t="shared" si="19"/>
        <v/>
      </c>
      <c r="L364" s="1045" t="str">
        <f t="shared" si="17"/>
        <v/>
      </c>
    </row>
    <row r="365" spans="1:12">
      <c r="A365" s="12" t="s">
        <v>24</v>
      </c>
      <c r="J365" s="1045" t="str">
        <f t="shared" si="18"/>
        <v>Devizy</v>
      </c>
      <c r="K365" s="1045" t="str">
        <f t="shared" si="19"/>
        <v/>
      </c>
      <c r="L365" s="1045" t="str">
        <f t="shared" si="17"/>
        <v/>
      </c>
    </row>
    <row r="366" spans="1:12">
      <c r="A366" s="12" t="s">
        <v>24</v>
      </c>
      <c r="J366" s="1045" t="str">
        <f t="shared" si="18"/>
        <v>Devizy</v>
      </c>
      <c r="K366" s="1045" t="str">
        <f t="shared" si="19"/>
        <v/>
      </c>
      <c r="L366" s="1045" t="str">
        <f t="shared" si="17"/>
        <v/>
      </c>
    </row>
    <row r="367" spans="1:12">
      <c r="A367" s="12" t="s">
        <v>24</v>
      </c>
      <c r="J367" s="1045" t="str">
        <f t="shared" si="18"/>
        <v>Devizy</v>
      </c>
      <c r="K367" s="1045" t="str">
        <f t="shared" si="19"/>
        <v/>
      </c>
      <c r="L367" s="1045" t="str">
        <f t="shared" si="17"/>
        <v/>
      </c>
    </row>
    <row r="368" spans="1:12">
      <c r="A368" s="12" t="s">
        <v>24</v>
      </c>
      <c r="J368" s="1045" t="str">
        <f t="shared" si="18"/>
        <v>Devizy</v>
      </c>
      <c r="K368" s="1045" t="str">
        <f t="shared" si="19"/>
        <v/>
      </c>
      <c r="L368" s="1045" t="str">
        <f t="shared" si="17"/>
        <v/>
      </c>
    </row>
    <row r="369" spans="1:12">
      <c r="A369" s="12" t="s">
        <v>24</v>
      </c>
      <c r="J369" s="1045" t="str">
        <f t="shared" si="18"/>
        <v>Devizy</v>
      </c>
      <c r="K369" s="1045" t="str">
        <f t="shared" si="19"/>
        <v/>
      </c>
      <c r="L369" s="1045" t="str">
        <f t="shared" si="17"/>
        <v/>
      </c>
    </row>
    <row r="370" spans="1:12">
      <c r="A370" s="12" t="s">
        <v>24</v>
      </c>
      <c r="J370" s="1045" t="str">
        <f t="shared" si="18"/>
        <v>Devizy</v>
      </c>
      <c r="K370" s="1045" t="str">
        <f t="shared" si="19"/>
        <v/>
      </c>
      <c r="L370" s="1045" t="str">
        <f t="shared" si="17"/>
        <v/>
      </c>
    </row>
    <row r="371" spans="1:12">
      <c r="A371" s="12" t="s">
        <v>24</v>
      </c>
      <c r="J371" s="1045" t="str">
        <f t="shared" si="18"/>
        <v>Devizy</v>
      </c>
      <c r="K371" s="1045" t="str">
        <f t="shared" si="19"/>
        <v/>
      </c>
      <c r="L371" s="1045" t="str">
        <f t="shared" si="17"/>
        <v/>
      </c>
    </row>
    <row r="372" spans="1:12">
      <c r="A372" s="12" t="s">
        <v>24</v>
      </c>
      <c r="J372" s="1045" t="str">
        <f t="shared" si="18"/>
        <v>Devizy</v>
      </c>
      <c r="K372" s="1045" t="str">
        <f t="shared" si="19"/>
        <v/>
      </c>
      <c r="L372" s="1045" t="str">
        <f t="shared" si="17"/>
        <v/>
      </c>
    </row>
    <row r="373" spans="1:12">
      <c r="A373" s="12" t="s">
        <v>24</v>
      </c>
      <c r="J373" s="1045" t="str">
        <f t="shared" si="18"/>
        <v>Devizy</v>
      </c>
      <c r="K373" s="1045" t="str">
        <f t="shared" si="19"/>
        <v/>
      </c>
      <c r="L373" s="1045" t="str">
        <f t="shared" si="17"/>
        <v/>
      </c>
    </row>
    <row r="374" spans="1:12">
      <c r="A374" s="12" t="s">
        <v>24</v>
      </c>
      <c r="J374" s="1045" t="str">
        <f t="shared" si="18"/>
        <v>Devizy</v>
      </c>
      <c r="K374" s="1045" t="str">
        <f t="shared" si="19"/>
        <v/>
      </c>
      <c r="L374" s="1045" t="str">
        <f t="shared" si="17"/>
        <v/>
      </c>
    </row>
    <row r="375" spans="1:12">
      <c r="A375" s="12" t="s">
        <v>24</v>
      </c>
      <c r="J375" s="1045" t="str">
        <f t="shared" si="18"/>
        <v>Devizy</v>
      </c>
      <c r="K375" s="1045" t="str">
        <f t="shared" si="19"/>
        <v/>
      </c>
      <c r="L375" s="1045" t="str">
        <f t="shared" si="17"/>
        <v/>
      </c>
    </row>
    <row r="376" spans="1:12">
      <c r="A376" s="12" t="s">
        <v>24</v>
      </c>
      <c r="J376" s="1045" t="str">
        <f t="shared" si="18"/>
        <v>Devizy</v>
      </c>
      <c r="K376" s="1045" t="str">
        <f t="shared" si="19"/>
        <v/>
      </c>
      <c r="L376" s="1045" t="str">
        <f t="shared" si="17"/>
        <v/>
      </c>
    </row>
    <row r="377" spans="1:12">
      <c r="A377" s="12" t="s">
        <v>24</v>
      </c>
      <c r="J377" s="1045" t="str">
        <f t="shared" si="18"/>
        <v>Devizy</v>
      </c>
      <c r="K377" s="1045" t="str">
        <f t="shared" si="19"/>
        <v/>
      </c>
      <c r="L377" s="1045" t="str">
        <f t="shared" si="17"/>
        <v/>
      </c>
    </row>
    <row r="378" spans="1:12">
      <c r="A378" s="12" t="s">
        <v>24</v>
      </c>
      <c r="J378" s="1045" t="str">
        <f t="shared" si="18"/>
        <v>Devizy</v>
      </c>
      <c r="K378" s="1045" t="str">
        <f t="shared" si="19"/>
        <v/>
      </c>
      <c r="L378" s="1045" t="str">
        <f t="shared" si="17"/>
        <v/>
      </c>
    </row>
    <row r="379" spans="1:12">
      <c r="A379" s="12" t="s">
        <v>24</v>
      </c>
      <c r="J379" s="1045" t="str">
        <f t="shared" si="18"/>
        <v>Devizy</v>
      </c>
      <c r="K379" s="1045" t="str">
        <f t="shared" si="19"/>
        <v/>
      </c>
      <c r="L379" s="1045" t="str">
        <f t="shared" si="17"/>
        <v/>
      </c>
    </row>
    <row r="380" spans="1:12">
      <c r="A380" s="12" t="s">
        <v>24</v>
      </c>
      <c r="J380" s="1045" t="str">
        <f t="shared" si="18"/>
        <v>Devizy</v>
      </c>
      <c r="K380" s="1045" t="str">
        <f t="shared" si="19"/>
        <v/>
      </c>
      <c r="L380" s="1045" t="str">
        <f t="shared" si="17"/>
        <v/>
      </c>
    </row>
    <row r="381" spans="1:12">
      <c r="A381" s="12" t="s">
        <v>24</v>
      </c>
      <c r="J381" s="1045" t="str">
        <f t="shared" si="18"/>
        <v>Devizy</v>
      </c>
      <c r="K381" s="1045" t="str">
        <f t="shared" si="19"/>
        <v/>
      </c>
      <c r="L381" s="1045" t="str">
        <f t="shared" si="17"/>
        <v/>
      </c>
    </row>
    <row r="382" spans="1:12">
      <c r="A382" s="12" t="s">
        <v>24</v>
      </c>
      <c r="J382" s="1045" t="str">
        <f t="shared" si="18"/>
        <v>Devizy</v>
      </c>
      <c r="K382" s="1045" t="str">
        <f t="shared" si="19"/>
        <v/>
      </c>
      <c r="L382" s="1045" t="str">
        <f t="shared" si="17"/>
        <v/>
      </c>
    </row>
    <row r="383" spans="1:12">
      <c r="A383" s="12" t="s">
        <v>24</v>
      </c>
      <c r="J383" s="1045" t="str">
        <f t="shared" si="18"/>
        <v>Devizy</v>
      </c>
      <c r="K383" s="1045" t="str">
        <f t="shared" si="19"/>
        <v/>
      </c>
      <c r="L383" s="1045" t="str">
        <f t="shared" si="17"/>
        <v/>
      </c>
    </row>
    <row r="384" spans="1:12">
      <c r="A384" s="12" t="s">
        <v>24</v>
      </c>
      <c r="J384" s="1045" t="str">
        <f t="shared" si="18"/>
        <v>Devizy</v>
      </c>
      <c r="K384" s="1045" t="str">
        <f t="shared" si="19"/>
        <v/>
      </c>
      <c r="L384" s="1045" t="str">
        <f t="shared" si="17"/>
        <v/>
      </c>
    </row>
    <row r="385" spans="1:12">
      <c r="A385" s="12" t="s">
        <v>24</v>
      </c>
      <c r="J385" s="1045" t="str">
        <f t="shared" si="18"/>
        <v>Devizy</v>
      </c>
      <c r="K385" s="1045" t="str">
        <f t="shared" si="19"/>
        <v/>
      </c>
      <c r="L385" s="1045" t="str">
        <f t="shared" si="17"/>
        <v/>
      </c>
    </row>
    <row r="386" spans="1:12">
      <c r="A386" s="12" t="s">
        <v>24</v>
      </c>
      <c r="J386" s="1045" t="str">
        <f t="shared" si="18"/>
        <v>Devizy</v>
      </c>
      <c r="K386" s="1045" t="str">
        <f t="shared" si="19"/>
        <v/>
      </c>
      <c r="L386" s="1045" t="str">
        <f t="shared" si="17"/>
        <v/>
      </c>
    </row>
    <row r="387" spans="1:12">
      <c r="A387" s="12" t="s">
        <v>24</v>
      </c>
      <c r="J387" s="1045" t="str">
        <f t="shared" si="18"/>
        <v>Devizy</v>
      </c>
      <c r="K387" s="1045" t="str">
        <f t="shared" si="19"/>
        <v/>
      </c>
      <c r="L387" s="1045" t="str">
        <f t="shared" si="17"/>
        <v/>
      </c>
    </row>
    <row r="388" spans="1:12">
      <c r="A388" s="12" t="s">
        <v>24</v>
      </c>
      <c r="J388" s="1045" t="str">
        <f t="shared" si="18"/>
        <v>Devizy</v>
      </c>
      <c r="K388" s="1045" t="str">
        <f t="shared" si="19"/>
        <v/>
      </c>
      <c r="L388" s="1045" t="str">
        <f t="shared" si="17"/>
        <v/>
      </c>
    </row>
    <row r="389" spans="1:12">
      <c r="A389" s="12" t="s">
        <v>24</v>
      </c>
      <c r="J389" s="1045" t="str">
        <f t="shared" si="18"/>
        <v>Devizy</v>
      </c>
      <c r="K389" s="1045" t="str">
        <f t="shared" si="19"/>
        <v/>
      </c>
      <c r="L389" s="1045" t="str">
        <f t="shared" ref="L389:L452" si="20">IFERROR(K389+M389,"")</f>
        <v/>
      </c>
    </row>
    <row r="390" spans="1:12">
      <c r="A390" s="12" t="s">
        <v>24</v>
      </c>
      <c r="J390" s="1045" t="str">
        <f t="shared" si="18"/>
        <v>Devizy</v>
      </c>
      <c r="K390" s="1045" t="str">
        <f t="shared" si="19"/>
        <v/>
      </c>
      <c r="L390" s="1045" t="str">
        <f t="shared" si="20"/>
        <v/>
      </c>
    </row>
    <row r="391" spans="1:12">
      <c r="A391" s="12" t="s">
        <v>24</v>
      </c>
      <c r="J391" s="1045" t="str">
        <f t="shared" si="18"/>
        <v>Devizy</v>
      </c>
      <c r="K391" s="1045" t="str">
        <f t="shared" si="19"/>
        <v/>
      </c>
      <c r="L391" s="1045" t="str">
        <f t="shared" si="20"/>
        <v/>
      </c>
    </row>
    <row r="392" spans="1:12">
      <c r="A392" s="12" t="s">
        <v>24</v>
      </c>
      <c r="J392" s="1045" t="str">
        <f t="shared" si="18"/>
        <v>Devizy</v>
      </c>
      <c r="K392" s="1045" t="str">
        <f t="shared" si="19"/>
        <v/>
      </c>
      <c r="L392" s="1045" t="str">
        <f t="shared" si="20"/>
        <v/>
      </c>
    </row>
    <row r="393" spans="1:12">
      <c r="A393" s="12" t="s">
        <v>24</v>
      </c>
      <c r="J393" s="1045" t="str">
        <f t="shared" si="18"/>
        <v>Devizy</v>
      </c>
      <c r="K393" s="1045" t="str">
        <f t="shared" si="19"/>
        <v/>
      </c>
      <c r="L393" s="1045" t="str">
        <f t="shared" si="20"/>
        <v/>
      </c>
    </row>
    <row r="394" spans="1:12">
      <c r="A394" s="12"/>
      <c r="J394" s="1045" t="str">
        <f t="shared" si="18"/>
        <v>Devizy</v>
      </c>
      <c r="K394" s="1045" t="str">
        <f t="shared" si="19"/>
        <v/>
      </c>
      <c r="L394" s="1045" t="str">
        <f t="shared" si="20"/>
        <v/>
      </c>
    </row>
    <row r="395" spans="1:12">
      <c r="A395" s="12" t="s">
        <v>24</v>
      </c>
      <c r="J395" s="1045" t="str">
        <f t="shared" si="18"/>
        <v>Devizy</v>
      </c>
      <c r="K395" s="1045" t="str">
        <f t="shared" si="19"/>
        <v/>
      </c>
      <c r="L395" s="1045" t="str">
        <f t="shared" si="20"/>
        <v/>
      </c>
    </row>
    <row r="396" spans="1:12">
      <c r="A396" s="12" t="s">
        <v>24</v>
      </c>
      <c r="J396" s="1045" t="str">
        <f t="shared" si="18"/>
        <v>Devizy</v>
      </c>
      <c r="K396" s="1045" t="str">
        <f t="shared" si="19"/>
        <v/>
      </c>
      <c r="L396" s="1045" t="str">
        <f t="shared" si="20"/>
        <v/>
      </c>
    </row>
    <row r="397" spans="1:12">
      <c r="A397" s="12" t="s">
        <v>24</v>
      </c>
      <c r="J397" s="1045" t="str">
        <f t="shared" si="18"/>
        <v>Devizy</v>
      </c>
      <c r="K397" s="1045" t="str">
        <f t="shared" si="19"/>
        <v/>
      </c>
      <c r="L397" s="1045" t="str">
        <f t="shared" si="20"/>
        <v/>
      </c>
    </row>
    <row r="398" spans="1:12">
      <c r="A398" s="12" t="s">
        <v>24</v>
      </c>
      <c r="J398" s="1045" t="str">
        <f t="shared" si="18"/>
        <v>Devizy</v>
      </c>
      <c r="K398" s="1045" t="str">
        <f t="shared" si="19"/>
        <v/>
      </c>
      <c r="L398" s="1045" t="str">
        <f t="shared" si="20"/>
        <v/>
      </c>
    </row>
    <row r="399" spans="1:12">
      <c r="A399" s="12" t="s">
        <v>24</v>
      </c>
      <c r="J399" s="1045" t="str">
        <f t="shared" si="18"/>
        <v>Devizy</v>
      </c>
      <c r="K399" s="1045" t="str">
        <f t="shared" si="19"/>
        <v/>
      </c>
      <c r="L399" s="1045" t="str">
        <f t="shared" si="20"/>
        <v/>
      </c>
    </row>
    <row r="400" spans="1:12">
      <c r="A400" s="12" t="s">
        <v>24</v>
      </c>
      <c r="J400" s="1045" t="str">
        <f t="shared" si="18"/>
        <v>Devizy</v>
      </c>
      <c r="K400" s="1045" t="str">
        <f t="shared" si="19"/>
        <v/>
      </c>
      <c r="L400" s="1045" t="str">
        <f t="shared" si="20"/>
        <v/>
      </c>
    </row>
    <row r="401" spans="1:12">
      <c r="A401" s="12" t="s">
        <v>24</v>
      </c>
      <c r="J401" s="1045" t="str">
        <f t="shared" si="18"/>
        <v>Devizy</v>
      </c>
      <c r="K401" s="1045" t="str">
        <f t="shared" si="19"/>
        <v/>
      </c>
      <c r="L401" s="1045" t="str">
        <f t="shared" si="20"/>
        <v/>
      </c>
    </row>
    <row r="402" spans="1:12">
      <c r="A402" s="12" t="s">
        <v>24</v>
      </c>
      <c r="J402" s="1045" t="str">
        <f t="shared" si="18"/>
        <v>Devizy</v>
      </c>
      <c r="K402" s="1045" t="str">
        <f t="shared" si="19"/>
        <v/>
      </c>
      <c r="L402" s="1045" t="str">
        <f t="shared" si="20"/>
        <v/>
      </c>
    </row>
    <row r="403" spans="1:12">
      <c r="A403" s="12" t="s">
        <v>24</v>
      </c>
      <c r="J403" s="1045" t="str">
        <f t="shared" si="18"/>
        <v>Devizy</v>
      </c>
      <c r="K403" s="1045" t="str">
        <f t="shared" si="19"/>
        <v/>
      </c>
      <c r="L403" s="1045" t="str">
        <f t="shared" si="20"/>
        <v/>
      </c>
    </row>
    <row r="404" spans="1:12">
      <c r="A404" s="12" t="s">
        <v>24</v>
      </c>
      <c r="J404" s="1045" t="str">
        <f t="shared" si="18"/>
        <v>Devizy</v>
      </c>
      <c r="K404" s="1045" t="str">
        <f t="shared" si="19"/>
        <v/>
      </c>
      <c r="L404" s="1045" t="str">
        <f t="shared" si="20"/>
        <v/>
      </c>
    </row>
    <row r="405" spans="1:12">
      <c r="A405" s="12" t="s">
        <v>24</v>
      </c>
      <c r="J405" s="1045" t="str">
        <f t="shared" si="18"/>
        <v>Devizy</v>
      </c>
      <c r="K405" s="1045" t="str">
        <f t="shared" si="19"/>
        <v/>
      </c>
      <c r="L405" s="1045" t="str">
        <f t="shared" si="20"/>
        <v/>
      </c>
    </row>
    <row r="406" spans="1:12">
      <c r="A406" s="12" t="s">
        <v>24</v>
      </c>
      <c r="J406" s="1045" t="str">
        <f t="shared" ref="J406:J469" si="21">IF(OR(A410="Devizy",J405="Devizy"),"Devizy","")</f>
        <v>Devizy</v>
      </c>
      <c r="K406" s="1045" t="str">
        <f t="shared" ref="K406:K469" si="22">IFERROR(IF(AND(J406="Devizy",FIND("Nakupujeme ",A410)=1),RIGHT(A410,7),""),"")</f>
        <v/>
      </c>
      <c r="L406" s="1045" t="str">
        <f t="shared" si="20"/>
        <v/>
      </c>
    </row>
    <row r="407" spans="1:12">
      <c r="A407" s="12" t="s">
        <v>24</v>
      </c>
      <c r="J407" s="1045" t="str">
        <f t="shared" si="21"/>
        <v>Devizy</v>
      </c>
      <c r="K407" s="1045" t="str">
        <f t="shared" si="22"/>
        <v/>
      </c>
      <c r="L407" s="1045" t="str">
        <f t="shared" si="20"/>
        <v/>
      </c>
    </row>
    <row r="408" spans="1:12">
      <c r="A408" s="12"/>
      <c r="J408" s="1045" t="str">
        <f t="shared" si="21"/>
        <v>Devizy</v>
      </c>
      <c r="K408" s="1045" t="str">
        <f t="shared" si="22"/>
        <v/>
      </c>
      <c r="L408" s="1045" t="str">
        <f t="shared" si="20"/>
        <v/>
      </c>
    </row>
    <row r="409" spans="1:12">
      <c r="A409" s="12" t="s">
        <v>24</v>
      </c>
      <c r="J409" s="1045" t="str">
        <f t="shared" si="21"/>
        <v>Devizy</v>
      </c>
      <c r="K409" s="1045" t="str">
        <f t="shared" si="22"/>
        <v/>
      </c>
      <c r="L409" s="1045" t="str">
        <f t="shared" si="20"/>
        <v/>
      </c>
    </row>
    <row r="410" spans="1:12">
      <c r="A410" s="12" t="s">
        <v>24</v>
      </c>
      <c r="J410" s="1045" t="str">
        <f t="shared" si="21"/>
        <v>Devizy</v>
      </c>
      <c r="K410" s="1045" t="str">
        <f t="shared" si="22"/>
        <v/>
      </c>
      <c r="L410" s="1045" t="str">
        <f t="shared" si="20"/>
        <v/>
      </c>
    </row>
    <row r="411" spans="1:12">
      <c r="A411" s="12" t="s">
        <v>24</v>
      </c>
      <c r="J411" s="1045" t="str">
        <f t="shared" si="21"/>
        <v>Devizy</v>
      </c>
      <c r="K411" s="1045" t="str">
        <f t="shared" si="22"/>
        <v/>
      </c>
      <c r="L411" s="1045" t="str">
        <f t="shared" si="20"/>
        <v/>
      </c>
    </row>
    <row r="412" spans="1:12">
      <c r="A412" s="12" t="s">
        <v>24</v>
      </c>
      <c r="J412" s="1045" t="str">
        <f t="shared" si="21"/>
        <v>Devizy</v>
      </c>
      <c r="K412" s="1045" t="str">
        <f t="shared" si="22"/>
        <v/>
      </c>
      <c r="L412" s="1045" t="str">
        <f t="shared" si="20"/>
        <v/>
      </c>
    </row>
    <row r="413" spans="1:12">
      <c r="A413" s="12" t="s">
        <v>24</v>
      </c>
      <c r="J413" s="1045" t="str">
        <f t="shared" si="21"/>
        <v>Devizy</v>
      </c>
      <c r="K413" s="1045" t="str">
        <f t="shared" si="22"/>
        <v/>
      </c>
      <c r="L413" s="1045" t="str">
        <f t="shared" si="20"/>
        <v/>
      </c>
    </row>
    <row r="414" spans="1:12">
      <c r="A414" s="12" t="s">
        <v>24</v>
      </c>
      <c r="J414" s="1045" t="str">
        <f t="shared" si="21"/>
        <v>Devizy</v>
      </c>
      <c r="K414" s="1045" t="str">
        <f t="shared" si="22"/>
        <v/>
      </c>
      <c r="L414" s="1045" t="str">
        <f t="shared" si="20"/>
        <v/>
      </c>
    </row>
    <row r="415" spans="1:12">
      <c r="A415" s="12" t="s">
        <v>24</v>
      </c>
      <c r="J415" s="1045" t="str">
        <f t="shared" si="21"/>
        <v>Devizy</v>
      </c>
      <c r="K415" s="1045" t="str">
        <f t="shared" si="22"/>
        <v/>
      </c>
      <c r="L415" s="1045" t="str">
        <f t="shared" si="20"/>
        <v/>
      </c>
    </row>
    <row r="416" spans="1:12">
      <c r="A416" s="12" t="s">
        <v>24</v>
      </c>
      <c r="J416" s="1045" t="str">
        <f t="shared" si="21"/>
        <v>Devizy</v>
      </c>
      <c r="K416" s="1045" t="str">
        <f t="shared" si="22"/>
        <v/>
      </c>
      <c r="L416" s="1045" t="str">
        <f t="shared" si="20"/>
        <v/>
      </c>
    </row>
    <row r="417" spans="1:12">
      <c r="A417" s="12" t="s">
        <v>24</v>
      </c>
      <c r="J417" s="1045" t="str">
        <f t="shared" si="21"/>
        <v>Devizy</v>
      </c>
      <c r="K417" s="1045" t="str">
        <f t="shared" si="22"/>
        <v/>
      </c>
      <c r="L417" s="1045" t="str">
        <f t="shared" si="20"/>
        <v/>
      </c>
    </row>
    <row r="418" spans="1:12">
      <c r="A418" s="12" t="s">
        <v>24</v>
      </c>
      <c r="J418" s="1045" t="str">
        <f t="shared" si="21"/>
        <v>Devizy</v>
      </c>
      <c r="K418" s="1045" t="str">
        <f t="shared" si="22"/>
        <v/>
      </c>
      <c r="L418" s="1045" t="str">
        <f t="shared" si="20"/>
        <v/>
      </c>
    </row>
    <row r="419" spans="1:12">
      <c r="A419" s="12" t="s">
        <v>24</v>
      </c>
      <c r="J419" s="1045" t="str">
        <f t="shared" si="21"/>
        <v>Devizy</v>
      </c>
      <c r="K419" s="1045" t="str">
        <f t="shared" si="22"/>
        <v/>
      </c>
      <c r="L419" s="1045" t="str">
        <f t="shared" si="20"/>
        <v/>
      </c>
    </row>
    <row r="420" spans="1:12">
      <c r="A420" s="12" t="s">
        <v>24</v>
      </c>
      <c r="J420" s="1045" t="str">
        <f t="shared" si="21"/>
        <v>Devizy</v>
      </c>
      <c r="K420" s="1045" t="str">
        <f t="shared" si="22"/>
        <v/>
      </c>
      <c r="L420" s="1045" t="str">
        <f t="shared" si="20"/>
        <v/>
      </c>
    </row>
    <row r="421" spans="1:12">
      <c r="A421" s="12" t="s">
        <v>24</v>
      </c>
      <c r="J421" s="1045" t="str">
        <f t="shared" si="21"/>
        <v>Devizy</v>
      </c>
      <c r="K421" s="1045" t="str">
        <f t="shared" si="22"/>
        <v/>
      </c>
      <c r="L421" s="1045" t="str">
        <f t="shared" si="20"/>
        <v/>
      </c>
    </row>
    <row r="422" spans="1:12">
      <c r="A422" s="12" t="s">
        <v>24</v>
      </c>
      <c r="J422" s="1045" t="str">
        <f t="shared" si="21"/>
        <v>Devizy</v>
      </c>
      <c r="K422" s="1045" t="str">
        <f t="shared" si="22"/>
        <v/>
      </c>
      <c r="L422" s="1045" t="str">
        <f t="shared" si="20"/>
        <v/>
      </c>
    </row>
    <row r="423" spans="1:12">
      <c r="A423" s="12" t="s">
        <v>24</v>
      </c>
      <c r="J423" s="1045" t="str">
        <f t="shared" si="21"/>
        <v>Devizy</v>
      </c>
      <c r="K423" s="1045" t="str">
        <f t="shared" si="22"/>
        <v/>
      </c>
      <c r="L423" s="1045" t="str">
        <f t="shared" si="20"/>
        <v/>
      </c>
    </row>
    <row r="424" spans="1:12">
      <c r="A424" s="12" t="s">
        <v>24</v>
      </c>
      <c r="J424" s="1045" t="str">
        <f t="shared" si="21"/>
        <v>Devizy</v>
      </c>
      <c r="K424" s="1045" t="str">
        <f t="shared" si="22"/>
        <v/>
      </c>
      <c r="L424" s="1045" t="str">
        <f t="shared" si="20"/>
        <v/>
      </c>
    </row>
    <row r="425" spans="1:12">
      <c r="A425" s="12"/>
      <c r="J425" s="1045" t="str">
        <f t="shared" si="21"/>
        <v>Devizy</v>
      </c>
      <c r="K425" s="1045" t="str">
        <f t="shared" si="22"/>
        <v/>
      </c>
      <c r="L425" s="1045" t="str">
        <f t="shared" si="20"/>
        <v/>
      </c>
    </row>
    <row r="426" spans="1:12">
      <c r="A426" s="12" t="s">
        <v>24</v>
      </c>
      <c r="J426" s="1045" t="str">
        <f t="shared" si="21"/>
        <v>Devizy</v>
      </c>
      <c r="K426" s="1045" t="str">
        <f t="shared" si="22"/>
        <v/>
      </c>
      <c r="L426" s="1045" t="str">
        <f t="shared" si="20"/>
        <v/>
      </c>
    </row>
    <row r="427" spans="1:12">
      <c r="A427" s="12" t="s">
        <v>24</v>
      </c>
      <c r="J427" s="1045" t="str">
        <f t="shared" si="21"/>
        <v>Devizy</v>
      </c>
      <c r="K427" s="1045" t="str">
        <f t="shared" si="22"/>
        <v/>
      </c>
      <c r="L427" s="1045" t="str">
        <f t="shared" si="20"/>
        <v/>
      </c>
    </row>
    <row r="428" spans="1:12">
      <c r="A428" s="12" t="s">
        <v>24</v>
      </c>
      <c r="J428" s="1045" t="str">
        <f t="shared" si="21"/>
        <v>Devizy</v>
      </c>
      <c r="K428" s="1045" t="str">
        <f t="shared" si="22"/>
        <v/>
      </c>
      <c r="L428" s="1045" t="str">
        <f t="shared" si="20"/>
        <v/>
      </c>
    </row>
    <row r="429" spans="1:12">
      <c r="A429" s="12" t="s">
        <v>24</v>
      </c>
      <c r="J429" s="1045" t="str">
        <f t="shared" si="21"/>
        <v>Devizy</v>
      </c>
      <c r="K429" s="1045" t="str">
        <f t="shared" si="22"/>
        <v/>
      </c>
      <c r="L429" s="1045" t="str">
        <f t="shared" si="20"/>
        <v/>
      </c>
    </row>
    <row r="430" spans="1:12">
      <c r="A430" s="12" t="s">
        <v>24</v>
      </c>
      <c r="J430" s="1045" t="str">
        <f t="shared" si="21"/>
        <v>Devizy</v>
      </c>
      <c r="K430" s="1045" t="str">
        <f t="shared" si="22"/>
        <v/>
      </c>
      <c r="L430" s="1045" t="str">
        <f t="shared" si="20"/>
        <v/>
      </c>
    </row>
    <row r="431" spans="1:12">
      <c r="A431" s="12" t="s">
        <v>24</v>
      </c>
      <c r="J431" s="1045" t="str">
        <f t="shared" si="21"/>
        <v>Devizy</v>
      </c>
      <c r="K431" s="1045" t="str">
        <f t="shared" si="22"/>
        <v/>
      </c>
      <c r="L431" s="1045" t="str">
        <f t="shared" si="20"/>
        <v/>
      </c>
    </row>
    <row r="432" spans="1:12">
      <c r="A432" s="12" t="s">
        <v>24</v>
      </c>
      <c r="J432" s="1045" t="str">
        <f t="shared" si="21"/>
        <v>Devizy</v>
      </c>
      <c r="K432" s="1045" t="str">
        <f t="shared" si="22"/>
        <v/>
      </c>
      <c r="L432" s="1045" t="str">
        <f t="shared" si="20"/>
        <v/>
      </c>
    </row>
    <row r="433" spans="1:12">
      <c r="A433" s="12" t="s">
        <v>24</v>
      </c>
      <c r="J433" s="1045" t="str">
        <f t="shared" si="21"/>
        <v>Devizy</v>
      </c>
      <c r="K433" s="1045" t="str">
        <f t="shared" si="22"/>
        <v/>
      </c>
      <c r="L433" s="1045" t="str">
        <f t="shared" si="20"/>
        <v/>
      </c>
    </row>
    <row r="434" spans="1:12">
      <c r="A434" s="12" t="s">
        <v>24</v>
      </c>
      <c r="J434" s="1045" t="str">
        <f t="shared" si="21"/>
        <v>Devizy</v>
      </c>
      <c r="K434" s="1045" t="str">
        <f t="shared" si="22"/>
        <v/>
      </c>
      <c r="L434" s="1045" t="str">
        <f t="shared" si="20"/>
        <v/>
      </c>
    </row>
    <row r="435" spans="1:12">
      <c r="A435" s="12" t="s">
        <v>24</v>
      </c>
      <c r="J435" s="1045" t="str">
        <f t="shared" si="21"/>
        <v>Devizy</v>
      </c>
      <c r="K435" s="1045" t="str">
        <f t="shared" si="22"/>
        <v/>
      </c>
      <c r="L435" s="1045" t="str">
        <f t="shared" si="20"/>
        <v/>
      </c>
    </row>
    <row r="436" spans="1:12">
      <c r="A436" s="12" t="s">
        <v>24</v>
      </c>
      <c r="J436" s="1045" t="str">
        <f t="shared" si="21"/>
        <v>Devizy</v>
      </c>
      <c r="K436" s="1045" t="str">
        <f t="shared" si="22"/>
        <v/>
      </c>
      <c r="L436" s="1045" t="str">
        <f t="shared" si="20"/>
        <v/>
      </c>
    </row>
    <row r="437" spans="1:12">
      <c r="A437" s="12" t="s">
        <v>24</v>
      </c>
      <c r="J437" s="1045" t="str">
        <f t="shared" si="21"/>
        <v>Devizy</v>
      </c>
      <c r="K437" s="1045" t="str">
        <f t="shared" si="22"/>
        <v/>
      </c>
      <c r="L437" s="1045" t="str">
        <f t="shared" si="20"/>
        <v/>
      </c>
    </row>
    <row r="438" spans="1:12">
      <c r="A438" s="12" t="s">
        <v>24</v>
      </c>
      <c r="J438" s="1045" t="str">
        <f t="shared" si="21"/>
        <v>Devizy</v>
      </c>
      <c r="K438" s="1045" t="str">
        <f t="shared" si="22"/>
        <v/>
      </c>
      <c r="L438" s="1045" t="str">
        <f t="shared" si="20"/>
        <v/>
      </c>
    </row>
    <row r="439" spans="1:12">
      <c r="A439" s="12" t="s">
        <v>24</v>
      </c>
      <c r="J439" s="1045" t="str">
        <f t="shared" si="21"/>
        <v>Devizy</v>
      </c>
      <c r="K439" s="1045" t="str">
        <f t="shared" si="22"/>
        <v/>
      </c>
      <c r="L439" s="1045" t="str">
        <f t="shared" si="20"/>
        <v/>
      </c>
    </row>
    <row r="440" spans="1:12">
      <c r="A440" s="12" t="s">
        <v>24</v>
      </c>
      <c r="J440" s="1045" t="str">
        <f t="shared" si="21"/>
        <v>Devizy</v>
      </c>
      <c r="K440" s="1045" t="str">
        <f t="shared" si="22"/>
        <v/>
      </c>
      <c r="L440" s="1045" t="str">
        <f t="shared" si="20"/>
        <v/>
      </c>
    </row>
    <row r="441" spans="1:12">
      <c r="A441" s="12" t="s">
        <v>24</v>
      </c>
      <c r="J441" s="1045" t="str">
        <f t="shared" si="21"/>
        <v>Devizy</v>
      </c>
      <c r="K441" s="1045" t="str">
        <f t="shared" si="22"/>
        <v/>
      </c>
      <c r="L441" s="1045" t="str">
        <f t="shared" si="20"/>
        <v/>
      </c>
    </row>
    <row r="442" spans="1:12">
      <c r="A442" s="12" t="s">
        <v>24</v>
      </c>
      <c r="J442" s="1045" t="str">
        <f t="shared" si="21"/>
        <v>Devizy</v>
      </c>
      <c r="K442" s="1045" t="str">
        <f t="shared" si="22"/>
        <v/>
      </c>
      <c r="L442" s="1045" t="str">
        <f t="shared" si="20"/>
        <v/>
      </c>
    </row>
    <row r="443" spans="1:12">
      <c r="A443" s="12" t="s">
        <v>24</v>
      </c>
      <c r="J443" s="1045" t="str">
        <f t="shared" si="21"/>
        <v>Devizy</v>
      </c>
      <c r="K443" s="1045" t="str">
        <f t="shared" si="22"/>
        <v/>
      </c>
      <c r="L443" s="1045" t="str">
        <f t="shared" si="20"/>
        <v/>
      </c>
    </row>
    <row r="444" spans="1:12">
      <c r="A444" s="12"/>
      <c r="J444" s="1045" t="str">
        <f t="shared" si="21"/>
        <v>Devizy</v>
      </c>
      <c r="K444" s="1045" t="str">
        <f t="shared" si="22"/>
        <v/>
      </c>
      <c r="L444" s="1045" t="str">
        <f t="shared" si="20"/>
        <v/>
      </c>
    </row>
    <row r="445" spans="1:12">
      <c r="A445" s="12" t="s">
        <v>24</v>
      </c>
      <c r="J445" s="1045" t="str">
        <f t="shared" si="21"/>
        <v>Devizy</v>
      </c>
      <c r="K445" s="1045" t="str">
        <f t="shared" si="22"/>
        <v/>
      </c>
      <c r="L445" s="1045" t="str">
        <f t="shared" si="20"/>
        <v/>
      </c>
    </row>
    <row r="446" spans="1:12">
      <c r="A446" s="12" t="s">
        <v>24</v>
      </c>
      <c r="J446" s="1045" t="str">
        <f t="shared" si="21"/>
        <v>Devizy</v>
      </c>
      <c r="K446" s="1045" t="str">
        <f t="shared" si="22"/>
        <v/>
      </c>
      <c r="L446" s="1045" t="str">
        <f t="shared" si="20"/>
        <v/>
      </c>
    </row>
    <row r="447" spans="1:12">
      <c r="A447" s="12" t="s">
        <v>24</v>
      </c>
      <c r="J447" s="1045" t="str">
        <f t="shared" si="21"/>
        <v>Devizy</v>
      </c>
      <c r="K447" s="1045" t="str">
        <f t="shared" si="22"/>
        <v/>
      </c>
      <c r="L447" s="1045" t="str">
        <f t="shared" si="20"/>
        <v/>
      </c>
    </row>
    <row r="448" spans="1:12">
      <c r="A448" s="12" t="s">
        <v>24</v>
      </c>
      <c r="J448" s="1045" t="str">
        <f t="shared" si="21"/>
        <v>Devizy</v>
      </c>
      <c r="K448" s="1045" t="str">
        <f t="shared" si="22"/>
        <v/>
      </c>
      <c r="L448" s="1045" t="str">
        <f t="shared" si="20"/>
        <v/>
      </c>
    </row>
    <row r="449" spans="1:12">
      <c r="A449" s="12" t="s">
        <v>24</v>
      </c>
      <c r="J449" s="1045" t="str">
        <f t="shared" si="21"/>
        <v>Devizy</v>
      </c>
      <c r="K449" s="1045" t="str">
        <f t="shared" si="22"/>
        <v/>
      </c>
      <c r="L449" s="1045" t="str">
        <f t="shared" si="20"/>
        <v/>
      </c>
    </row>
    <row r="450" spans="1:12">
      <c r="A450" s="12" t="s">
        <v>24</v>
      </c>
      <c r="J450" s="1045" t="str">
        <f t="shared" si="21"/>
        <v>Devizy</v>
      </c>
      <c r="K450" s="1045" t="str">
        <f t="shared" si="22"/>
        <v/>
      </c>
      <c r="L450" s="1045" t="str">
        <f t="shared" si="20"/>
        <v/>
      </c>
    </row>
    <row r="451" spans="1:12">
      <c r="A451" s="12" t="s">
        <v>24</v>
      </c>
      <c r="J451" s="1045" t="str">
        <f t="shared" si="21"/>
        <v>Devizy</v>
      </c>
      <c r="K451" s="1045" t="str">
        <f t="shared" si="22"/>
        <v/>
      </c>
      <c r="L451" s="1045" t="str">
        <f t="shared" si="20"/>
        <v/>
      </c>
    </row>
    <row r="452" spans="1:12">
      <c r="A452" s="12"/>
      <c r="J452" s="1045" t="str">
        <f t="shared" si="21"/>
        <v>Devizy</v>
      </c>
      <c r="K452" s="1045" t="str">
        <f t="shared" si="22"/>
        <v/>
      </c>
      <c r="L452" s="1045" t="str">
        <f t="shared" si="20"/>
        <v/>
      </c>
    </row>
    <row r="453" spans="1:12">
      <c r="A453" s="12" t="s">
        <v>24</v>
      </c>
      <c r="J453" s="1045" t="str">
        <f t="shared" si="21"/>
        <v>Devizy</v>
      </c>
      <c r="K453" s="1045" t="str">
        <f t="shared" si="22"/>
        <v/>
      </c>
      <c r="L453" s="1045" t="str">
        <f t="shared" ref="L453:L516" si="23">IFERROR(K453+M453,"")</f>
        <v/>
      </c>
    </row>
    <row r="454" spans="1:12">
      <c r="A454" s="12"/>
      <c r="J454" s="1045" t="str">
        <f t="shared" si="21"/>
        <v>Devizy</v>
      </c>
      <c r="K454" s="1045" t="str">
        <f t="shared" si="22"/>
        <v/>
      </c>
      <c r="L454" s="1045" t="str">
        <f t="shared" si="23"/>
        <v/>
      </c>
    </row>
    <row r="455" spans="1:12">
      <c r="A455" s="12" t="s">
        <v>24</v>
      </c>
      <c r="J455" s="1045" t="str">
        <f t="shared" si="21"/>
        <v>Devizy</v>
      </c>
      <c r="K455" s="1045" t="str">
        <f t="shared" si="22"/>
        <v/>
      </c>
      <c r="L455" s="1045" t="str">
        <f t="shared" si="23"/>
        <v/>
      </c>
    </row>
    <row r="456" spans="1:12">
      <c r="A456" s="12" t="s">
        <v>24</v>
      </c>
      <c r="J456" s="1045" t="str">
        <f t="shared" si="21"/>
        <v>Devizy</v>
      </c>
      <c r="K456" s="1045" t="str">
        <f t="shared" si="22"/>
        <v/>
      </c>
      <c r="L456" s="1045" t="str">
        <f t="shared" si="23"/>
        <v/>
      </c>
    </row>
    <row r="457" spans="1:12">
      <c r="A457" s="12" t="s">
        <v>24</v>
      </c>
      <c r="J457" s="1045" t="str">
        <f t="shared" si="21"/>
        <v>Devizy</v>
      </c>
      <c r="K457" s="1045" t="str">
        <f t="shared" si="22"/>
        <v/>
      </c>
      <c r="L457" s="1045" t="str">
        <f t="shared" si="23"/>
        <v/>
      </c>
    </row>
    <row r="458" spans="1:12">
      <c r="A458" s="12" t="s">
        <v>24</v>
      </c>
      <c r="J458" s="1045" t="str">
        <f t="shared" si="21"/>
        <v>Devizy</v>
      </c>
      <c r="K458" s="1045" t="str">
        <f t="shared" si="22"/>
        <v/>
      </c>
      <c r="L458" s="1045" t="str">
        <f t="shared" si="23"/>
        <v/>
      </c>
    </row>
    <row r="459" spans="1:12">
      <c r="A459" s="12" t="s">
        <v>24</v>
      </c>
      <c r="J459" s="1045" t="str">
        <f t="shared" si="21"/>
        <v>Devizy</v>
      </c>
      <c r="K459" s="1045" t="str">
        <f t="shared" si="22"/>
        <v/>
      </c>
      <c r="L459" s="1045" t="str">
        <f t="shared" si="23"/>
        <v/>
      </c>
    </row>
    <row r="460" spans="1:12">
      <c r="A460" s="12" t="s">
        <v>24</v>
      </c>
      <c r="J460" s="1045" t="str">
        <f t="shared" si="21"/>
        <v>Devizy</v>
      </c>
      <c r="K460" s="1045" t="str">
        <f t="shared" si="22"/>
        <v/>
      </c>
      <c r="L460" s="1045" t="str">
        <f t="shared" si="23"/>
        <v/>
      </c>
    </row>
    <row r="461" spans="1:12">
      <c r="A461" s="12" t="s">
        <v>24</v>
      </c>
      <c r="J461" s="1045" t="str">
        <f t="shared" si="21"/>
        <v>Devizy</v>
      </c>
      <c r="K461" s="1045" t="str">
        <f t="shared" si="22"/>
        <v/>
      </c>
      <c r="L461" s="1045" t="str">
        <f t="shared" si="23"/>
        <v/>
      </c>
    </row>
    <row r="462" spans="1:12">
      <c r="A462" s="12" t="s">
        <v>24</v>
      </c>
      <c r="J462" s="1045" t="str">
        <f t="shared" si="21"/>
        <v>Devizy</v>
      </c>
      <c r="K462" s="1045" t="str">
        <f t="shared" si="22"/>
        <v/>
      </c>
      <c r="L462" s="1045" t="str">
        <f t="shared" si="23"/>
        <v/>
      </c>
    </row>
    <row r="463" spans="1:12">
      <c r="A463" s="12" t="s">
        <v>24</v>
      </c>
      <c r="J463" s="1045" t="str">
        <f t="shared" si="21"/>
        <v>Devizy</v>
      </c>
      <c r="K463" s="1045" t="str">
        <f t="shared" si="22"/>
        <v/>
      </c>
      <c r="L463" s="1045" t="str">
        <f t="shared" si="23"/>
        <v/>
      </c>
    </row>
    <row r="464" spans="1:12">
      <c r="A464" s="12" t="s">
        <v>24</v>
      </c>
      <c r="J464" s="1045" t="str">
        <f t="shared" si="21"/>
        <v>Devizy</v>
      </c>
      <c r="K464" s="1045" t="str">
        <f t="shared" si="22"/>
        <v/>
      </c>
      <c r="L464" s="1045" t="str">
        <f t="shared" si="23"/>
        <v/>
      </c>
    </row>
    <row r="465" spans="1:12">
      <c r="A465" s="12" t="s">
        <v>24</v>
      </c>
      <c r="J465" s="1045" t="str">
        <f t="shared" si="21"/>
        <v>Devizy</v>
      </c>
      <c r="K465" s="1045" t="str">
        <f t="shared" si="22"/>
        <v/>
      </c>
      <c r="L465" s="1045" t="str">
        <f t="shared" si="23"/>
        <v/>
      </c>
    </row>
    <row r="466" spans="1:12">
      <c r="A466" s="12"/>
      <c r="J466" s="1045" t="str">
        <f t="shared" si="21"/>
        <v>Devizy</v>
      </c>
      <c r="K466" s="1045" t="str">
        <f t="shared" si="22"/>
        <v/>
      </c>
      <c r="L466" s="1045" t="str">
        <f t="shared" si="23"/>
        <v/>
      </c>
    </row>
    <row r="467" spans="1:12">
      <c r="A467" s="12" t="s">
        <v>24</v>
      </c>
      <c r="J467" s="1045" t="str">
        <f t="shared" si="21"/>
        <v>Devizy</v>
      </c>
      <c r="K467" s="1045" t="str">
        <f t="shared" si="22"/>
        <v/>
      </c>
      <c r="L467" s="1045" t="str">
        <f t="shared" si="23"/>
        <v/>
      </c>
    </row>
    <row r="468" spans="1:12">
      <c r="A468" s="12" t="s">
        <v>24</v>
      </c>
      <c r="J468" s="1045" t="str">
        <f t="shared" si="21"/>
        <v>Devizy</v>
      </c>
      <c r="K468" s="1045" t="str">
        <f t="shared" si="22"/>
        <v/>
      </c>
      <c r="L468" s="1045" t="str">
        <f t="shared" si="23"/>
        <v/>
      </c>
    </row>
    <row r="469" spans="1:12">
      <c r="A469" s="12" t="s">
        <v>24</v>
      </c>
      <c r="J469" s="1045" t="str">
        <f t="shared" si="21"/>
        <v>Devizy</v>
      </c>
      <c r="K469" s="1045" t="str">
        <f t="shared" si="22"/>
        <v/>
      </c>
      <c r="L469" s="1045" t="str">
        <f t="shared" si="23"/>
        <v/>
      </c>
    </row>
    <row r="470" spans="1:12">
      <c r="A470" s="12" t="s">
        <v>24</v>
      </c>
      <c r="J470" s="1045" t="str">
        <f t="shared" ref="J470:J530" si="24">IF(OR(A474="Devizy",J469="Devizy"),"Devizy","")</f>
        <v>Devizy</v>
      </c>
      <c r="K470" s="1045" t="str">
        <f t="shared" ref="K470:K530" si="25">IFERROR(IF(AND(J470="Devizy",FIND("Nakupujeme ",A474)=1),RIGHT(A474,7),""),"")</f>
        <v/>
      </c>
      <c r="L470" s="1045" t="str">
        <f t="shared" si="23"/>
        <v/>
      </c>
    </row>
    <row r="471" spans="1:12">
      <c r="A471" s="12"/>
      <c r="J471" s="1045" t="str">
        <f t="shared" si="24"/>
        <v>Devizy</v>
      </c>
      <c r="K471" s="1045" t="str">
        <f t="shared" si="25"/>
        <v/>
      </c>
      <c r="L471" s="1045" t="str">
        <f t="shared" si="23"/>
        <v/>
      </c>
    </row>
    <row r="472" spans="1:12">
      <c r="A472" s="12" t="s">
        <v>24</v>
      </c>
      <c r="J472" s="1045" t="str">
        <f t="shared" si="24"/>
        <v>Devizy</v>
      </c>
      <c r="K472" s="1045" t="str">
        <f t="shared" si="25"/>
        <v/>
      </c>
      <c r="L472" s="1045" t="str">
        <f t="shared" si="23"/>
        <v/>
      </c>
    </row>
    <row r="473" spans="1:12">
      <c r="A473" s="12" t="s">
        <v>24</v>
      </c>
      <c r="J473" s="1045" t="str">
        <f t="shared" si="24"/>
        <v>Devizy</v>
      </c>
      <c r="K473" s="1045" t="str">
        <f t="shared" si="25"/>
        <v/>
      </c>
      <c r="L473" s="1045" t="str">
        <f t="shared" si="23"/>
        <v/>
      </c>
    </row>
    <row r="474" spans="1:12">
      <c r="A474" s="12" t="s">
        <v>24</v>
      </c>
      <c r="J474" s="1045" t="str">
        <f t="shared" si="24"/>
        <v>Devizy</v>
      </c>
      <c r="K474" s="1045" t="str">
        <f t="shared" si="25"/>
        <v/>
      </c>
      <c r="L474" s="1045" t="str">
        <f t="shared" si="23"/>
        <v/>
      </c>
    </row>
    <row r="475" spans="1:12">
      <c r="A475" s="12"/>
      <c r="J475" s="1045" t="str">
        <f t="shared" si="24"/>
        <v>Devizy</v>
      </c>
      <c r="K475" s="1045" t="str">
        <f t="shared" si="25"/>
        <v/>
      </c>
      <c r="L475" s="1045" t="str">
        <f t="shared" si="23"/>
        <v/>
      </c>
    </row>
    <row r="476" spans="1:12">
      <c r="A476" s="12" t="s">
        <v>24</v>
      </c>
      <c r="J476" s="1045" t="str">
        <f t="shared" si="24"/>
        <v>Devizy</v>
      </c>
      <c r="K476" s="1045" t="str">
        <f t="shared" si="25"/>
        <v/>
      </c>
      <c r="L476" s="1045" t="str">
        <f t="shared" si="23"/>
        <v/>
      </c>
    </row>
    <row r="477" spans="1:12">
      <c r="A477" s="12"/>
      <c r="J477" s="1045" t="str">
        <f t="shared" si="24"/>
        <v>Devizy</v>
      </c>
      <c r="K477" s="1045" t="str">
        <f t="shared" si="25"/>
        <v/>
      </c>
      <c r="L477" s="1045" t="str">
        <f t="shared" si="23"/>
        <v/>
      </c>
    </row>
    <row r="478" spans="1:12">
      <c r="A478" s="12" t="s">
        <v>24</v>
      </c>
      <c r="J478" s="1045" t="str">
        <f t="shared" si="24"/>
        <v>Devizy</v>
      </c>
      <c r="K478" s="1045" t="str">
        <f t="shared" si="25"/>
        <v/>
      </c>
      <c r="L478" s="1045" t="str">
        <f t="shared" si="23"/>
        <v/>
      </c>
    </row>
    <row r="479" spans="1:12">
      <c r="A479" s="12" t="s">
        <v>24</v>
      </c>
      <c r="J479" s="1045" t="str">
        <f t="shared" si="24"/>
        <v>Devizy</v>
      </c>
      <c r="K479" s="1045" t="str">
        <f t="shared" si="25"/>
        <v/>
      </c>
      <c r="L479" s="1045" t="str">
        <f t="shared" si="23"/>
        <v/>
      </c>
    </row>
    <row r="480" spans="1:12">
      <c r="A480" s="12" t="s">
        <v>24</v>
      </c>
      <c r="J480" s="1045" t="str">
        <f t="shared" si="24"/>
        <v>Devizy</v>
      </c>
      <c r="K480" s="1045" t="str">
        <f t="shared" si="25"/>
        <v/>
      </c>
      <c r="L480" s="1045" t="str">
        <f t="shared" si="23"/>
        <v/>
      </c>
    </row>
    <row r="481" spans="1:12">
      <c r="A481" s="12" t="s">
        <v>24</v>
      </c>
      <c r="J481" s="1045" t="str">
        <f t="shared" si="24"/>
        <v>Devizy</v>
      </c>
      <c r="K481" s="1045" t="str">
        <f t="shared" si="25"/>
        <v/>
      </c>
      <c r="L481" s="1045" t="str">
        <f t="shared" si="23"/>
        <v/>
      </c>
    </row>
    <row r="482" spans="1:12">
      <c r="A482" s="12" t="s">
        <v>24</v>
      </c>
      <c r="J482" s="1045" t="str">
        <f t="shared" si="24"/>
        <v>Devizy</v>
      </c>
      <c r="K482" s="1045" t="str">
        <f t="shared" si="25"/>
        <v/>
      </c>
      <c r="L482" s="1045" t="str">
        <f t="shared" si="23"/>
        <v/>
      </c>
    </row>
    <row r="483" spans="1:12">
      <c r="A483" s="12"/>
      <c r="J483" s="1045" t="str">
        <f t="shared" si="24"/>
        <v>Devizy</v>
      </c>
      <c r="K483" s="1045" t="str">
        <f t="shared" si="25"/>
        <v/>
      </c>
      <c r="L483" s="1045" t="str">
        <f t="shared" si="23"/>
        <v/>
      </c>
    </row>
    <row r="484" spans="1:12">
      <c r="A484" s="12" t="s">
        <v>24</v>
      </c>
      <c r="J484" s="1045" t="str">
        <f t="shared" si="24"/>
        <v>Devizy</v>
      </c>
      <c r="K484" s="1045" t="str">
        <f t="shared" si="25"/>
        <v/>
      </c>
      <c r="L484" s="1045" t="str">
        <f t="shared" si="23"/>
        <v/>
      </c>
    </row>
    <row r="485" spans="1:12">
      <c r="A485" s="12" t="s">
        <v>24</v>
      </c>
      <c r="J485" s="1045" t="str">
        <f t="shared" si="24"/>
        <v>Devizy</v>
      </c>
      <c r="K485" s="1045" t="str">
        <f t="shared" si="25"/>
        <v/>
      </c>
      <c r="L485" s="1045" t="str">
        <f t="shared" si="23"/>
        <v/>
      </c>
    </row>
    <row r="486" spans="1:12">
      <c r="A486" s="12" t="s">
        <v>24</v>
      </c>
      <c r="J486" s="1045" t="str">
        <f t="shared" si="24"/>
        <v>Devizy</v>
      </c>
      <c r="K486" s="1045" t="str">
        <f t="shared" si="25"/>
        <v/>
      </c>
      <c r="L486" s="1045" t="str">
        <f t="shared" si="23"/>
        <v/>
      </c>
    </row>
    <row r="487" spans="1:12">
      <c r="A487" s="12" t="s">
        <v>24</v>
      </c>
      <c r="J487" s="1045" t="str">
        <f t="shared" si="24"/>
        <v>Devizy</v>
      </c>
      <c r="K487" s="1045" t="str">
        <f t="shared" si="25"/>
        <v/>
      </c>
      <c r="L487" s="1045" t="str">
        <f t="shared" si="23"/>
        <v/>
      </c>
    </row>
    <row r="488" spans="1:12">
      <c r="A488" s="12" t="s">
        <v>24</v>
      </c>
      <c r="J488" s="1045" t="str">
        <f t="shared" si="24"/>
        <v>Devizy</v>
      </c>
      <c r="K488" s="1045" t="str">
        <f t="shared" si="25"/>
        <v/>
      </c>
      <c r="L488" s="1045" t="str">
        <f t="shared" si="23"/>
        <v/>
      </c>
    </row>
    <row r="489" spans="1:12">
      <c r="A489" s="12"/>
      <c r="J489" s="1045" t="str">
        <f t="shared" si="24"/>
        <v>Devizy</v>
      </c>
      <c r="K489" s="1045" t="str">
        <f t="shared" si="25"/>
        <v/>
      </c>
      <c r="L489" s="1045" t="str">
        <f t="shared" si="23"/>
        <v/>
      </c>
    </row>
    <row r="490" spans="1:12">
      <c r="A490" s="12" t="s">
        <v>24</v>
      </c>
      <c r="J490" s="1045" t="str">
        <f t="shared" si="24"/>
        <v>Devizy</v>
      </c>
      <c r="K490" s="1045" t="str">
        <f t="shared" si="25"/>
        <v/>
      </c>
      <c r="L490" s="1045" t="str">
        <f t="shared" si="23"/>
        <v/>
      </c>
    </row>
    <row r="491" spans="1:12">
      <c r="A491" s="12" t="s">
        <v>24</v>
      </c>
      <c r="J491" s="1045" t="str">
        <f t="shared" si="24"/>
        <v>Devizy</v>
      </c>
      <c r="K491" s="1045" t="str">
        <f t="shared" si="25"/>
        <v/>
      </c>
      <c r="L491" s="1045" t="str">
        <f t="shared" si="23"/>
        <v/>
      </c>
    </row>
    <row r="492" spans="1:12">
      <c r="A492" s="12"/>
      <c r="J492" s="1045" t="str">
        <f t="shared" si="24"/>
        <v>Devizy</v>
      </c>
      <c r="K492" s="1045" t="str">
        <f t="shared" si="25"/>
        <v/>
      </c>
      <c r="L492" s="1045" t="str">
        <f t="shared" si="23"/>
        <v/>
      </c>
    </row>
    <row r="493" spans="1:12">
      <c r="A493" s="12" t="s">
        <v>24</v>
      </c>
      <c r="J493" s="1045" t="str">
        <f t="shared" si="24"/>
        <v>Devizy</v>
      </c>
      <c r="K493" s="1045" t="str">
        <f t="shared" si="25"/>
        <v/>
      </c>
      <c r="L493" s="1045" t="str">
        <f t="shared" si="23"/>
        <v/>
      </c>
    </row>
    <row r="494" spans="1:12">
      <c r="A494" s="12" t="s">
        <v>24</v>
      </c>
      <c r="J494" s="1045" t="str">
        <f t="shared" si="24"/>
        <v>Devizy</v>
      </c>
      <c r="K494" s="1045" t="str">
        <f t="shared" si="25"/>
        <v/>
      </c>
      <c r="L494" s="1045" t="str">
        <f t="shared" si="23"/>
        <v/>
      </c>
    </row>
    <row r="495" spans="1:12">
      <c r="A495" s="12" t="s">
        <v>24</v>
      </c>
      <c r="J495" s="1045" t="str">
        <f t="shared" si="24"/>
        <v>Devizy</v>
      </c>
      <c r="K495" s="1045" t="str">
        <f t="shared" si="25"/>
        <v/>
      </c>
      <c r="L495" s="1045" t="str">
        <f t="shared" si="23"/>
        <v/>
      </c>
    </row>
    <row r="496" spans="1:12">
      <c r="A496" s="12"/>
      <c r="J496" s="1045" t="str">
        <f t="shared" si="24"/>
        <v>Devizy</v>
      </c>
      <c r="K496" s="1045" t="str">
        <f t="shared" si="25"/>
        <v/>
      </c>
      <c r="L496" s="1045" t="str">
        <f t="shared" si="23"/>
        <v/>
      </c>
    </row>
    <row r="497" spans="1:12">
      <c r="A497" s="12" t="s">
        <v>24</v>
      </c>
      <c r="J497" s="1045" t="str">
        <f t="shared" si="24"/>
        <v>Devizy</v>
      </c>
      <c r="K497" s="1045" t="str">
        <f t="shared" si="25"/>
        <v/>
      </c>
      <c r="L497" s="1045" t="str">
        <f t="shared" si="23"/>
        <v/>
      </c>
    </row>
    <row r="498" spans="1:12">
      <c r="A498" s="12" t="s">
        <v>24</v>
      </c>
      <c r="J498" s="1045" t="str">
        <f t="shared" si="24"/>
        <v>Devizy</v>
      </c>
      <c r="K498" s="1045" t="str">
        <f t="shared" si="25"/>
        <v/>
      </c>
      <c r="L498" s="1045" t="str">
        <f t="shared" si="23"/>
        <v/>
      </c>
    </row>
    <row r="499" spans="1:12">
      <c r="A499" s="12" t="s">
        <v>24</v>
      </c>
      <c r="J499" s="1045" t="str">
        <f t="shared" si="24"/>
        <v>Devizy</v>
      </c>
      <c r="K499" s="1045" t="str">
        <f t="shared" si="25"/>
        <v/>
      </c>
      <c r="L499" s="1045" t="str">
        <f t="shared" si="23"/>
        <v/>
      </c>
    </row>
    <row r="500" spans="1:12">
      <c r="A500" s="12" t="s">
        <v>24</v>
      </c>
      <c r="J500" s="1045" t="str">
        <f t="shared" si="24"/>
        <v>Devizy</v>
      </c>
      <c r="K500" s="1045" t="str">
        <f t="shared" si="25"/>
        <v/>
      </c>
      <c r="L500" s="1045" t="str">
        <f t="shared" si="23"/>
        <v/>
      </c>
    </row>
    <row r="501" spans="1:12">
      <c r="A501" s="12" t="s">
        <v>24</v>
      </c>
      <c r="J501" s="1045" t="str">
        <f t="shared" si="24"/>
        <v>Devizy</v>
      </c>
      <c r="K501" s="1045" t="str">
        <f t="shared" si="25"/>
        <v/>
      </c>
      <c r="L501" s="1045" t="str">
        <f t="shared" si="23"/>
        <v/>
      </c>
    </row>
    <row r="502" spans="1:12">
      <c r="A502" s="12" t="s">
        <v>24</v>
      </c>
      <c r="J502" s="1045" t="str">
        <f t="shared" si="24"/>
        <v>Devizy</v>
      </c>
      <c r="K502" s="1045" t="str">
        <f t="shared" si="25"/>
        <v/>
      </c>
      <c r="L502" s="1045" t="str">
        <f t="shared" si="23"/>
        <v/>
      </c>
    </row>
    <row r="503" spans="1:12">
      <c r="A503" s="12" t="s">
        <v>24</v>
      </c>
      <c r="J503" s="1045" t="str">
        <f t="shared" si="24"/>
        <v>Devizy</v>
      </c>
      <c r="K503" s="1045" t="str">
        <f t="shared" si="25"/>
        <v/>
      </c>
      <c r="L503" s="1045" t="str">
        <f t="shared" si="23"/>
        <v/>
      </c>
    </row>
    <row r="504" spans="1:12">
      <c r="A504" s="12"/>
      <c r="J504" s="1045" t="str">
        <f t="shared" si="24"/>
        <v>Devizy</v>
      </c>
      <c r="K504" s="1045" t="str">
        <f t="shared" si="25"/>
        <v/>
      </c>
      <c r="L504" s="1045" t="str">
        <f t="shared" si="23"/>
        <v/>
      </c>
    </row>
    <row r="505" spans="1:12">
      <c r="A505" s="12" t="s">
        <v>24</v>
      </c>
      <c r="J505" s="1045" t="str">
        <f t="shared" si="24"/>
        <v>Devizy</v>
      </c>
      <c r="K505" s="1045" t="str">
        <f t="shared" si="25"/>
        <v/>
      </c>
      <c r="L505" s="1045" t="str">
        <f t="shared" si="23"/>
        <v/>
      </c>
    </row>
    <row r="506" spans="1:12">
      <c r="A506" s="12" t="s">
        <v>24</v>
      </c>
      <c r="J506" s="1045" t="str">
        <f t="shared" si="24"/>
        <v>Devizy</v>
      </c>
      <c r="K506" s="1045" t="str">
        <f t="shared" si="25"/>
        <v/>
      </c>
      <c r="L506" s="1045" t="str">
        <f t="shared" si="23"/>
        <v/>
      </c>
    </row>
    <row r="507" spans="1:12">
      <c r="A507" s="12" t="s">
        <v>24</v>
      </c>
      <c r="J507" s="1045" t="str">
        <f t="shared" si="24"/>
        <v>Devizy</v>
      </c>
      <c r="K507" s="1045" t="str">
        <f t="shared" si="25"/>
        <v/>
      </c>
      <c r="L507" s="1045" t="str">
        <f t="shared" si="23"/>
        <v/>
      </c>
    </row>
    <row r="508" spans="1:12">
      <c r="A508" s="12" t="s">
        <v>24</v>
      </c>
      <c r="J508" s="1045" t="str">
        <f t="shared" si="24"/>
        <v>Devizy</v>
      </c>
      <c r="K508" s="1045" t="str">
        <f t="shared" si="25"/>
        <v/>
      </c>
      <c r="L508" s="1045" t="str">
        <f t="shared" si="23"/>
        <v/>
      </c>
    </row>
    <row r="509" spans="1:12">
      <c r="A509" s="12" t="s">
        <v>24</v>
      </c>
      <c r="J509" s="1045" t="str">
        <f t="shared" si="24"/>
        <v>Devizy</v>
      </c>
      <c r="K509" s="1045" t="str">
        <f t="shared" si="25"/>
        <v/>
      </c>
      <c r="L509" s="1045" t="str">
        <f t="shared" si="23"/>
        <v/>
      </c>
    </row>
    <row r="510" spans="1:12">
      <c r="A510" s="12" t="s">
        <v>24</v>
      </c>
      <c r="J510" s="1045" t="str">
        <f t="shared" si="24"/>
        <v>Devizy</v>
      </c>
      <c r="K510" s="1045" t="str">
        <f t="shared" si="25"/>
        <v/>
      </c>
      <c r="L510" s="1045" t="str">
        <f t="shared" si="23"/>
        <v/>
      </c>
    </row>
    <row r="511" spans="1:12">
      <c r="A511" s="12" t="s">
        <v>24</v>
      </c>
      <c r="J511" s="1045" t="str">
        <f t="shared" si="24"/>
        <v>Devizy</v>
      </c>
      <c r="K511" s="1045" t="str">
        <f t="shared" si="25"/>
        <v/>
      </c>
      <c r="L511" s="1045" t="str">
        <f t="shared" si="23"/>
        <v/>
      </c>
    </row>
    <row r="512" spans="1:12">
      <c r="A512" s="12" t="s">
        <v>24</v>
      </c>
      <c r="J512" s="1045" t="str">
        <f t="shared" si="24"/>
        <v>Devizy</v>
      </c>
      <c r="K512" s="1045" t="str">
        <f t="shared" si="25"/>
        <v/>
      </c>
      <c r="L512" s="1045" t="str">
        <f t="shared" si="23"/>
        <v/>
      </c>
    </row>
    <row r="513" spans="1:12">
      <c r="A513" s="12" t="s">
        <v>24</v>
      </c>
      <c r="J513" s="1045" t="str">
        <f t="shared" si="24"/>
        <v>Devizy</v>
      </c>
      <c r="K513" s="1045" t="str">
        <f t="shared" si="25"/>
        <v/>
      </c>
      <c r="L513" s="1045" t="str">
        <f t="shared" si="23"/>
        <v/>
      </c>
    </row>
    <row r="514" spans="1:12">
      <c r="A514" s="12" t="s">
        <v>24</v>
      </c>
      <c r="J514" s="1045" t="str">
        <f t="shared" si="24"/>
        <v>Devizy</v>
      </c>
      <c r="K514" s="1045" t="str">
        <f t="shared" si="25"/>
        <v/>
      </c>
      <c r="L514" s="1045" t="str">
        <f t="shared" si="23"/>
        <v/>
      </c>
    </row>
    <row r="515" spans="1:12">
      <c r="A515" s="12"/>
      <c r="J515" s="1045" t="str">
        <f t="shared" si="24"/>
        <v>Devizy</v>
      </c>
      <c r="K515" s="1045" t="str">
        <f t="shared" si="25"/>
        <v/>
      </c>
      <c r="L515" s="1045" t="str">
        <f t="shared" si="23"/>
        <v/>
      </c>
    </row>
    <row r="516" spans="1:12">
      <c r="A516" s="12" t="s">
        <v>24</v>
      </c>
      <c r="J516" s="1045" t="str">
        <f t="shared" si="24"/>
        <v>Devizy</v>
      </c>
      <c r="K516" s="1045" t="str">
        <f t="shared" si="25"/>
        <v/>
      </c>
      <c r="L516" s="1045" t="str">
        <f t="shared" si="23"/>
        <v/>
      </c>
    </row>
    <row r="517" spans="1:12">
      <c r="A517" s="12" t="s">
        <v>24</v>
      </c>
      <c r="J517" s="1045" t="str">
        <f t="shared" si="24"/>
        <v>Devizy</v>
      </c>
      <c r="K517" s="1045" t="str">
        <f t="shared" si="25"/>
        <v/>
      </c>
      <c r="L517" s="1045" t="str">
        <f t="shared" ref="L517:L530" si="26">IFERROR(K517+M517,"")</f>
        <v/>
      </c>
    </row>
    <row r="518" spans="1:12">
      <c r="A518" s="12" t="s">
        <v>24</v>
      </c>
      <c r="J518" s="1045" t="str">
        <f t="shared" si="24"/>
        <v>Devizy</v>
      </c>
      <c r="K518" s="1045" t="str">
        <f t="shared" si="25"/>
        <v/>
      </c>
      <c r="L518" s="1045" t="str">
        <f t="shared" si="26"/>
        <v/>
      </c>
    </row>
    <row r="519" spans="1:12">
      <c r="A519" s="12"/>
      <c r="J519" s="1045" t="str">
        <f t="shared" si="24"/>
        <v>Devizy</v>
      </c>
      <c r="K519" s="1045" t="str">
        <f t="shared" si="25"/>
        <v/>
      </c>
      <c r="L519" s="1045" t="str">
        <f t="shared" si="26"/>
        <v/>
      </c>
    </row>
    <row r="520" spans="1:12">
      <c r="A520" s="12" t="s">
        <v>24</v>
      </c>
      <c r="J520" s="1045" t="str">
        <f t="shared" si="24"/>
        <v>Devizy</v>
      </c>
      <c r="K520" s="1045" t="str">
        <f t="shared" si="25"/>
        <v/>
      </c>
      <c r="L520" s="1045" t="str">
        <f t="shared" si="26"/>
        <v/>
      </c>
    </row>
    <row r="521" spans="1:12">
      <c r="A521" s="12" t="s">
        <v>24</v>
      </c>
      <c r="J521" s="1045" t="str">
        <f t="shared" si="24"/>
        <v>Devizy</v>
      </c>
      <c r="K521" s="1045" t="str">
        <f t="shared" si="25"/>
        <v/>
      </c>
      <c r="L521" s="1045" t="str">
        <f t="shared" si="26"/>
        <v/>
      </c>
    </row>
    <row r="522" spans="1:12">
      <c r="A522" s="12" t="s">
        <v>24</v>
      </c>
      <c r="J522" s="1045" t="str">
        <f t="shared" si="24"/>
        <v>Devizy</v>
      </c>
      <c r="K522" s="1045" t="str">
        <f t="shared" si="25"/>
        <v/>
      </c>
      <c r="L522" s="1045" t="str">
        <f t="shared" si="26"/>
        <v/>
      </c>
    </row>
    <row r="523" spans="1:12">
      <c r="A523" s="12" t="s">
        <v>24</v>
      </c>
      <c r="J523" s="1045" t="str">
        <f t="shared" si="24"/>
        <v>Devizy</v>
      </c>
      <c r="K523" s="1045" t="str">
        <f t="shared" si="25"/>
        <v/>
      </c>
      <c r="L523" s="1045" t="str">
        <f t="shared" si="26"/>
        <v/>
      </c>
    </row>
    <row r="524" spans="1:12">
      <c r="A524" s="12" t="s">
        <v>24</v>
      </c>
      <c r="J524" s="1045" t="str">
        <f t="shared" si="24"/>
        <v>Devizy</v>
      </c>
      <c r="K524" s="1045" t="str">
        <f t="shared" si="25"/>
        <v/>
      </c>
      <c r="L524" s="1045" t="str">
        <f t="shared" si="26"/>
        <v/>
      </c>
    </row>
    <row r="525" spans="1:12">
      <c r="A525" s="12" t="s">
        <v>24</v>
      </c>
      <c r="J525" s="1045" t="str">
        <f t="shared" si="24"/>
        <v>Devizy</v>
      </c>
      <c r="K525" s="1045" t="str">
        <f t="shared" si="25"/>
        <v/>
      </c>
      <c r="L525" s="1045" t="str">
        <f t="shared" si="26"/>
        <v/>
      </c>
    </row>
    <row r="526" spans="1:12">
      <c r="A526" s="12"/>
      <c r="J526" s="1045" t="str">
        <f t="shared" si="24"/>
        <v>Devizy</v>
      </c>
      <c r="K526" s="1045" t="str">
        <f t="shared" si="25"/>
        <v/>
      </c>
      <c r="L526" s="1045" t="str">
        <f t="shared" si="26"/>
        <v/>
      </c>
    </row>
    <row r="527" spans="1:12">
      <c r="A527" s="12" t="s">
        <v>24</v>
      </c>
      <c r="J527" s="1045" t="str">
        <f t="shared" si="24"/>
        <v>Devizy</v>
      </c>
      <c r="K527" s="1045" t="str">
        <f t="shared" si="25"/>
        <v/>
      </c>
      <c r="L527" s="1045" t="str">
        <f t="shared" si="26"/>
        <v/>
      </c>
    </row>
    <row r="528" spans="1:12">
      <c r="A528" s="12" t="s">
        <v>24</v>
      </c>
      <c r="J528" s="1045" t="str">
        <f t="shared" si="24"/>
        <v>Devizy</v>
      </c>
      <c r="K528" s="1045" t="str">
        <f t="shared" si="25"/>
        <v/>
      </c>
      <c r="L528" s="1045" t="str">
        <f t="shared" si="26"/>
        <v/>
      </c>
    </row>
    <row r="529" spans="1:12">
      <c r="A529" s="12" t="s">
        <v>24</v>
      </c>
      <c r="J529" s="1045" t="str">
        <f t="shared" si="24"/>
        <v>Devizy</v>
      </c>
      <c r="K529" s="1045" t="str">
        <f t="shared" si="25"/>
        <v/>
      </c>
      <c r="L529" s="1045" t="str">
        <f t="shared" si="26"/>
        <v/>
      </c>
    </row>
    <row r="530" spans="1:12">
      <c r="A530" s="12" t="s">
        <v>24</v>
      </c>
      <c r="J530" s="1045" t="str">
        <f t="shared" si="24"/>
        <v>Devizy</v>
      </c>
      <c r="K530" s="1045" t="str">
        <f t="shared" si="25"/>
        <v/>
      </c>
      <c r="L530" s="1045" t="str">
        <f t="shared" si="26"/>
        <v/>
      </c>
    </row>
    <row r="531" spans="1:12">
      <c r="A531" s="12" t="s">
        <v>24</v>
      </c>
    </row>
    <row r="532" spans="1:12">
      <c r="A532" s="12" t="s">
        <v>24</v>
      </c>
    </row>
    <row r="533" spans="1:12">
      <c r="A533" s="12" t="s">
        <v>24</v>
      </c>
    </row>
    <row r="534" spans="1:12">
      <c r="A534" s="12" t="s">
        <v>24</v>
      </c>
    </row>
    <row r="535" spans="1:12">
      <c r="A535" s="12"/>
    </row>
    <row r="536" spans="1:12">
      <c r="A536" s="12" t="s">
        <v>24</v>
      </c>
    </row>
    <row r="537" spans="1:12">
      <c r="A537" s="12" t="s">
        <v>24</v>
      </c>
    </row>
    <row r="538" spans="1:12">
      <c r="A538" s="12" t="s">
        <v>24</v>
      </c>
    </row>
    <row r="539" spans="1:12">
      <c r="A539" s="12" t="s">
        <v>24</v>
      </c>
    </row>
    <row r="540" spans="1:12">
      <c r="A540" s="12" t="s">
        <v>24</v>
      </c>
    </row>
    <row r="541" spans="1:12">
      <c r="A541" s="12" t="s">
        <v>24</v>
      </c>
    </row>
    <row r="542" spans="1:12">
      <c r="A542" s="12" t="s">
        <v>24</v>
      </c>
    </row>
    <row r="543" spans="1:12">
      <c r="A543" s="12" t="s">
        <v>24</v>
      </c>
    </row>
    <row r="544" spans="1:12">
      <c r="A544" s="12" t="s">
        <v>24</v>
      </c>
    </row>
    <row r="545" spans="1:1">
      <c r="A545" s="12" t="s">
        <v>24</v>
      </c>
    </row>
    <row r="546" spans="1:1">
      <c r="A546" s="12" t="s">
        <v>24</v>
      </c>
    </row>
    <row r="547" spans="1:1">
      <c r="A547" s="12" t="s">
        <v>24</v>
      </c>
    </row>
    <row r="548" spans="1:1">
      <c r="A548" s="12"/>
    </row>
    <row r="549" spans="1:1">
      <c r="A549" s="12" t="s">
        <v>24</v>
      </c>
    </row>
    <row r="550" spans="1:1">
      <c r="A550" s="12" t="s">
        <v>24</v>
      </c>
    </row>
    <row r="551" spans="1:1">
      <c r="A551" s="12" t="s">
        <v>24</v>
      </c>
    </row>
    <row r="552" spans="1:1">
      <c r="A552" s="12" t="s">
        <v>24</v>
      </c>
    </row>
    <row r="553" spans="1:1">
      <c r="A553" s="12" t="s">
        <v>24</v>
      </c>
    </row>
    <row r="554" spans="1:1">
      <c r="A554" s="12" t="s">
        <v>24</v>
      </c>
    </row>
    <row r="555" spans="1:1">
      <c r="A555" s="12" t="s">
        <v>24</v>
      </c>
    </row>
    <row r="556" spans="1:1">
      <c r="A556" s="12" t="s">
        <v>24</v>
      </c>
    </row>
    <row r="557" spans="1:1">
      <c r="A557" s="12" t="s">
        <v>24</v>
      </c>
    </row>
    <row r="558" spans="1:1">
      <c r="A558" s="12" t="s">
        <v>24</v>
      </c>
    </row>
    <row r="559" spans="1:1">
      <c r="A559" s="12" t="s">
        <v>24</v>
      </c>
    </row>
    <row r="560" spans="1:1">
      <c r="A560" s="12" t="s">
        <v>24</v>
      </c>
    </row>
    <row r="561" spans="1:1">
      <c r="A561" s="12" t="s">
        <v>24</v>
      </c>
    </row>
    <row r="562" spans="1:1">
      <c r="A562" s="12" t="s">
        <v>24</v>
      </c>
    </row>
    <row r="563" spans="1:1">
      <c r="A563" s="12" t="s">
        <v>24</v>
      </c>
    </row>
    <row r="564" spans="1:1">
      <c r="A564" s="12"/>
    </row>
    <row r="565" spans="1:1">
      <c r="A565" s="12" t="s">
        <v>24</v>
      </c>
    </row>
    <row r="566" spans="1:1">
      <c r="A566" s="12" t="s">
        <v>24</v>
      </c>
    </row>
    <row r="567" spans="1:1">
      <c r="A567" s="12" t="s">
        <v>24</v>
      </c>
    </row>
    <row r="568" spans="1:1">
      <c r="A568" s="12" t="s">
        <v>24</v>
      </c>
    </row>
    <row r="569" spans="1:1">
      <c r="A569" s="12" t="s">
        <v>24</v>
      </c>
    </row>
    <row r="570" spans="1:1">
      <c r="A570" s="12" t="s">
        <v>24</v>
      </c>
    </row>
    <row r="571" spans="1:1">
      <c r="A571" s="12" t="s">
        <v>24</v>
      </c>
    </row>
    <row r="572" spans="1:1">
      <c r="A572" s="12" t="s">
        <v>24</v>
      </c>
    </row>
    <row r="573" spans="1:1">
      <c r="A573" s="12" t="s">
        <v>24</v>
      </c>
    </row>
    <row r="574" spans="1:1">
      <c r="A574" s="12" t="s">
        <v>24</v>
      </c>
    </row>
    <row r="575" spans="1:1">
      <c r="A575" s="12" t="s">
        <v>24</v>
      </c>
    </row>
    <row r="576" spans="1:1">
      <c r="A576" s="12"/>
    </row>
    <row r="577" spans="1:1">
      <c r="A577" s="12" t="s">
        <v>24</v>
      </c>
    </row>
    <row r="578" spans="1:1">
      <c r="A578" s="12" t="s">
        <v>24</v>
      </c>
    </row>
    <row r="579" spans="1:1">
      <c r="A579" s="12" t="s">
        <v>24</v>
      </c>
    </row>
    <row r="580" spans="1:1">
      <c r="A580" s="12" t="s">
        <v>24</v>
      </c>
    </row>
    <row r="581" spans="1:1">
      <c r="A581" s="12" t="s">
        <v>24</v>
      </c>
    </row>
    <row r="582" spans="1:1">
      <c r="A582" s="12" t="s">
        <v>24</v>
      </c>
    </row>
    <row r="583" spans="1:1">
      <c r="A583" s="12" t="s">
        <v>24</v>
      </c>
    </row>
    <row r="584" spans="1:1">
      <c r="A584" s="12" t="s">
        <v>24</v>
      </c>
    </row>
    <row r="585" spans="1:1">
      <c r="A585" s="12" t="s">
        <v>24</v>
      </c>
    </row>
    <row r="586" spans="1:1">
      <c r="A586" s="12" t="s">
        <v>24</v>
      </c>
    </row>
    <row r="587" spans="1:1">
      <c r="A587" s="12" t="s">
        <v>24</v>
      </c>
    </row>
    <row r="588" spans="1:1">
      <c r="A588" s="12" t="s">
        <v>24</v>
      </c>
    </row>
    <row r="589" spans="1:1">
      <c r="A589" s="12" t="s">
        <v>24</v>
      </c>
    </row>
    <row r="590" spans="1:1">
      <c r="A590" s="12" t="s">
        <v>24</v>
      </c>
    </row>
    <row r="591" spans="1:1">
      <c r="A591" s="12" t="s">
        <v>24</v>
      </c>
    </row>
    <row r="592" spans="1:1">
      <c r="A592" s="12" t="s">
        <v>24</v>
      </c>
    </row>
    <row r="593" spans="1:1">
      <c r="A593" s="12" t="s">
        <v>24</v>
      </c>
    </row>
    <row r="594" spans="1:1">
      <c r="A594" s="12" t="s">
        <v>24</v>
      </c>
    </row>
    <row r="595" spans="1:1">
      <c r="A595" s="12" t="s">
        <v>24</v>
      </c>
    </row>
    <row r="596" spans="1:1">
      <c r="A596" s="12" t="s">
        <v>24</v>
      </c>
    </row>
    <row r="597" spans="1:1">
      <c r="A597" s="12"/>
    </row>
    <row r="598" spans="1:1">
      <c r="A598" s="12" t="s">
        <v>24</v>
      </c>
    </row>
    <row r="599" spans="1:1">
      <c r="A599" s="12" t="s">
        <v>24</v>
      </c>
    </row>
    <row r="600" spans="1:1">
      <c r="A600" s="12" t="s">
        <v>24</v>
      </c>
    </row>
    <row r="601" spans="1:1">
      <c r="A601" s="12" t="s">
        <v>24</v>
      </c>
    </row>
    <row r="602" spans="1:1">
      <c r="A602" s="12" t="s">
        <v>24</v>
      </c>
    </row>
    <row r="603" spans="1:1">
      <c r="A603" s="12" t="s">
        <v>24</v>
      </c>
    </row>
    <row r="604" spans="1:1">
      <c r="A604" s="12" t="s">
        <v>24</v>
      </c>
    </row>
    <row r="605" spans="1:1">
      <c r="A605" s="12" t="s">
        <v>24</v>
      </c>
    </row>
    <row r="606" spans="1:1">
      <c r="A606" s="12" t="s">
        <v>24</v>
      </c>
    </row>
    <row r="607" spans="1:1">
      <c r="A607" s="12" t="s">
        <v>24</v>
      </c>
    </row>
    <row r="608" spans="1:1">
      <c r="A608" s="12" t="s">
        <v>24</v>
      </c>
    </row>
    <row r="609" spans="1:1">
      <c r="A609" s="12" t="s">
        <v>24</v>
      </c>
    </row>
    <row r="610" spans="1:1">
      <c r="A610" s="12" t="s">
        <v>24</v>
      </c>
    </row>
    <row r="611" spans="1:1">
      <c r="A611" s="12" t="s">
        <v>24</v>
      </c>
    </row>
    <row r="612" spans="1:1">
      <c r="A612" s="12" t="s">
        <v>24</v>
      </c>
    </row>
    <row r="613" spans="1:1">
      <c r="A613" s="12" t="s">
        <v>24</v>
      </c>
    </row>
    <row r="614" spans="1:1">
      <c r="A614" s="12" t="s">
        <v>24</v>
      </c>
    </row>
    <row r="615" spans="1:1">
      <c r="A615" s="12" t="s">
        <v>24</v>
      </c>
    </row>
    <row r="616" spans="1:1">
      <c r="A616" s="12" t="s">
        <v>24</v>
      </c>
    </row>
    <row r="617" spans="1:1">
      <c r="A617" s="12" t="s">
        <v>24</v>
      </c>
    </row>
    <row r="618" spans="1:1">
      <c r="A618" s="12" t="s">
        <v>24</v>
      </c>
    </row>
    <row r="619" spans="1:1">
      <c r="A619" s="12" t="s">
        <v>24</v>
      </c>
    </row>
    <row r="620" spans="1:1">
      <c r="A620" s="12" t="s">
        <v>24</v>
      </c>
    </row>
    <row r="621" spans="1:1">
      <c r="A621" s="12"/>
    </row>
    <row r="622" spans="1:1">
      <c r="A622" s="12" t="s">
        <v>24</v>
      </c>
    </row>
    <row r="623" spans="1:1">
      <c r="A623" s="12" t="s">
        <v>24</v>
      </c>
    </row>
    <row r="624" spans="1:1">
      <c r="A624" s="12" t="s">
        <v>24</v>
      </c>
    </row>
    <row r="625" spans="1:1">
      <c r="A625" s="12" t="s">
        <v>24</v>
      </c>
    </row>
    <row r="626" spans="1:1">
      <c r="A626" s="12"/>
    </row>
    <row r="627" spans="1:1">
      <c r="A627" s="12" t="s">
        <v>24</v>
      </c>
    </row>
    <row r="628" spans="1:1">
      <c r="A628" s="12"/>
    </row>
    <row r="629" spans="1:1">
      <c r="A629" s="12" t="s">
        <v>24</v>
      </c>
    </row>
    <row r="630" spans="1:1">
      <c r="A630" s="12"/>
    </row>
    <row r="631" spans="1:1">
      <c r="A631" s="12" t="s">
        <v>24</v>
      </c>
    </row>
    <row r="632" spans="1:1">
      <c r="A632" s="12"/>
    </row>
    <row r="633" spans="1:1">
      <c r="A633" s="12" t="s">
        <v>24</v>
      </c>
    </row>
    <row r="634" spans="1:1">
      <c r="A634" s="12"/>
    </row>
    <row r="635" spans="1:1">
      <c r="A635" s="12" t="s">
        <v>24</v>
      </c>
    </row>
    <row r="636" spans="1:1">
      <c r="A636" s="12" t="s">
        <v>24</v>
      </c>
    </row>
    <row r="637" spans="1:1">
      <c r="A637" s="12"/>
    </row>
    <row r="638" spans="1:1">
      <c r="A638" s="12" t="s">
        <v>24</v>
      </c>
    </row>
    <row r="639" spans="1:1">
      <c r="A639" s="12" t="s">
        <v>24</v>
      </c>
    </row>
    <row r="640" spans="1:1">
      <c r="A640" s="12"/>
    </row>
    <row r="641" spans="1:1">
      <c r="A641" s="12" t="s">
        <v>24</v>
      </c>
    </row>
    <row r="642" spans="1:1">
      <c r="A642" s="12" t="s">
        <v>24</v>
      </c>
    </row>
    <row r="643" spans="1:1">
      <c r="A643" s="12"/>
    </row>
    <row r="644" spans="1:1">
      <c r="A644" s="12" t="s">
        <v>24</v>
      </c>
    </row>
    <row r="645" spans="1:1">
      <c r="A645" s="12" t="s">
        <v>24</v>
      </c>
    </row>
    <row r="646" spans="1:1">
      <c r="A646" s="12"/>
    </row>
    <row r="647" spans="1:1">
      <c r="A647" s="12" t="s">
        <v>24</v>
      </c>
    </row>
    <row r="648" spans="1:1">
      <c r="A648" s="12" t="s">
        <v>24</v>
      </c>
    </row>
    <row r="649" spans="1:1">
      <c r="A649" s="12" t="s">
        <v>24</v>
      </c>
    </row>
    <row r="650" spans="1:1">
      <c r="A650" s="12" t="s">
        <v>24</v>
      </c>
    </row>
    <row r="651" spans="1:1">
      <c r="A651" s="12" t="s">
        <v>24</v>
      </c>
    </row>
    <row r="652" spans="1:1">
      <c r="A652" s="12" t="s">
        <v>24</v>
      </c>
    </row>
    <row r="653" spans="1:1">
      <c r="A653" s="12"/>
    </row>
    <row r="654" spans="1:1">
      <c r="A654" s="12" t="s">
        <v>24</v>
      </c>
    </row>
    <row r="655" spans="1:1">
      <c r="A655" s="12" t="s">
        <v>24</v>
      </c>
    </row>
    <row r="656" spans="1:1">
      <c r="A656" s="12" t="s">
        <v>24</v>
      </c>
    </row>
    <row r="657" spans="1:1">
      <c r="A657" s="12" t="s">
        <v>24</v>
      </c>
    </row>
    <row r="658" spans="1:1">
      <c r="A658" s="12" t="s">
        <v>24</v>
      </c>
    </row>
    <row r="659" spans="1:1">
      <c r="A659" s="12" t="s">
        <v>24</v>
      </c>
    </row>
    <row r="660" spans="1:1">
      <c r="A660" s="12"/>
    </row>
    <row r="661" spans="1:1">
      <c r="A661" s="12" t="s">
        <v>24</v>
      </c>
    </row>
    <row r="662" spans="1:1">
      <c r="A662" s="12" t="s">
        <v>24</v>
      </c>
    </row>
    <row r="663" spans="1:1">
      <c r="A663" s="12" t="s">
        <v>24</v>
      </c>
    </row>
    <row r="664" spans="1:1">
      <c r="A664" s="12" t="s">
        <v>24</v>
      </c>
    </row>
    <row r="665" spans="1:1">
      <c r="A665" s="12" t="s">
        <v>24</v>
      </c>
    </row>
    <row r="666" spans="1:1">
      <c r="A666" s="12" t="s">
        <v>24</v>
      </c>
    </row>
    <row r="667" spans="1:1">
      <c r="A667" s="12" t="s">
        <v>24</v>
      </c>
    </row>
    <row r="668" spans="1:1">
      <c r="A668" s="12" t="s">
        <v>24</v>
      </c>
    </row>
    <row r="669" spans="1:1">
      <c r="A669" s="12"/>
    </row>
    <row r="670" spans="1:1">
      <c r="A670" s="12" t="s">
        <v>24</v>
      </c>
    </row>
    <row r="671" spans="1:1">
      <c r="A671" s="12" t="s">
        <v>24</v>
      </c>
    </row>
    <row r="672" spans="1:1">
      <c r="A672" s="12" t="s">
        <v>24</v>
      </c>
    </row>
    <row r="673" spans="1:1">
      <c r="A673" s="12" t="s">
        <v>24</v>
      </c>
    </row>
    <row r="674" spans="1:1">
      <c r="A674" s="12" t="s">
        <v>24</v>
      </c>
    </row>
    <row r="675" spans="1:1">
      <c r="A675" s="12" t="s">
        <v>24</v>
      </c>
    </row>
    <row r="676" spans="1:1">
      <c r="A676" s="12" t="s">
        <v>24</v>
      </c>
    </row>
    <row r="677" spans="1:1">
      <c r="A677" s="12"/>
    </row>
    <row r="678" spans="1:1">
      <c r="A678" s="12" t="s">
        <v>24</v>
      </c>
    </row>
    <row r="679" spans="1:1">
      <c r="A679" s="12" t="s">
        <v>24</v>
      </c>
    </row>
    <row r="680" spans="1:1">
      <c r="A680" s="12" t="s">
        <v>24</v>
      </c>
    </row>
    <row r="681" spans="1:1">
      <c r="A681" s="12" t="s">
        <v>24</v>
      </c>
    </row>
    <row r="682" spans="1:1">
      <c r="A682" s="12" t="s">
        <v>24</v>
      </c>
    </row>
    <row r="683" spans="1:1">
      <c r="A683" s="12"/>
    </row>
    <row r="684" spans="1:1">
      <c r="A684" s="12" t="s">
        <v>24</v>
      </c>
    </row>
    <row r="685" spans="1:1">
      <c r="A685" s="12" t="s">
        <v>24</v>
      </c>
    </row>
    <row r="686" spans="1:1">
      <c r="A686" s="12" t="s">
        <v>24</v>
      </c>
    </row>
    <row r="687" spans="1:1">
      <c r="A687" s="12" t="s">
        <v>24</v>
      </c>
    </row>
    <row r="688" spans="1:1">
      <c r="A688" s="12"/>
    </row>
    <row r="689" spans="1:1">
      <c r="A689" s="12" t="s">
        <v>24</v>
      </c>
    </row>
    <row r="690" spans="1:1">
      <c r="A690" s="12" t="s">
        <v>24</v>
      </c>
    </row>
    <row r="691" spans="1:1">
      <c r="A691" s="12" t="s">
        <v>24</v>
      </c>
    </row>
    <row r="692" spans="1:1">
      <c r="A692" s="12" t="s">
        <v>24</v>
      </c>
    </row>
    <row r="693" spans="1:1">
      <c r="A693" s="12" t="s">
        <v>24</v>
      </c>
    </row>
    <row r="694" spans="1:1">
      <c r="A694" s="12" t="s">
        <v>24</v>
      </c>
    </row>
    <row r="695" spans="1:1">
      <c r="A695" s="12"/>
    </row>
    <row r="696" spans="1:1">
      <c r="A696" s="12" t="s">
        <v>24</v>
      </c>
    </row>
    <row r="697" spans="1:1">
      <c r="A697" s="12" t="s">
        <v>24</v>
      </c>
    </row>
    <row r="698" spans="1:1">
      <c r="A698" s="12" t="s">
        <v>24</v>
      </c>
    </row>
    <row r="699" spans="1:1">
      <c r="A699" s="12" t="s">
        <v>24</v>
      </c>
    </row>
    <row r="700" spans="1:1">
      <c r="A700" s="12" t="s">
        <v>24</v>
      </c>
    </row>
    <row r="701" spans="1:1">
      <c r="A701" s="12"/>
    </row>
    <row r="702" spans="1:1">
      <c r="A702" s="12" t="s">
        <v>24</v>
      </c>
    </row>
    <row r="703" spans="1:1">
      <c r="A703" s="12" t="s">
        <v>24</v>
      </c>
    </row>
    <row r="704" spans="1:1">
      <c r="A704" s="12" t="s">
        <v>24</v>
      </c>
    </row>
    <row r="705" spans="1:1">
      <c r="A705" s="12"/>
    </row>
    <row r="706" spans="1:1">
      <c r="A706" s="12" t="s">
        <v>24</v>
      </c>
    </row>
    <row r="707" spans="1:1">
      <c r="A707" s="12" t="s">
        <v>24</v>
      </c>
    </row>
    <row r="708" spans="1:1">
      <c r="A708" s="12"/>
    </row>
    <row r="709" spans="1:1">
      <c r="A709" s="12" t="s">
        <v>24</v>
      </c>
    </row>
    <row r="710" spans="1:1">
      <c r="A710" s="12" t="s">
        <v>24</v>
      </c>
    </row>
    <row r="711" spans="1:1">
      <c r="A711" s="12"/>
    </row>
    <row r="712" spans="1:1">
      <c r="A712" s="12" t="s">
        <v>24</v>
      </c>
    </row>
    <row r="713" spans="1:1">
      <c r="A713" s="12"/>
    </row>
    <row r="714" spans="1:1">
      <c r="A714" s="12" t="s">
        <v>24</v>
      </c>
    </row>
    <row r="715" spans="1:1">
      <c r="A715" s="12" t="s">
        <v>24</v>
      </c>
    </row>
    <row r="716" spans="1:1">
      <c r="A716" s="12" t="s">
        <v>24</v>
      </c>
    </row>
    <row r="717" spans="1:1">
      <c r="A717" s="12" t="s">
        <v>24</v>
      </c>
    </row>
    <row r="718" spans="1:1">
      <c r="A718" s="12"/>
    </row>
    <row r="719" spans="1:1">
      <c r="A719" s="12" t="s">
        <v>24</v>
      </c>
    </row>
    <row r="720" spans="1:1">
      <c r="A720" s="12" t="s">
        <v>24</v>
      </c>
    </row>
    <row r="721" spans="1:1">
      <c r="A721" s="12"/>
    </row>
    <row r="722" spans="1:1">
      <c r="A722" s="12" t="s">
        <v>24</v>
      </c>
    </row>
    <row r="723" spans="1:1">
      <c r="A723" s="12" t="s">
        <v>24</v>
      </c>
    </row>
    <row r="724" spans="1:1">
      <c r="A724" s="12" t="s">
        <v>24</v>
      </c>
    </row>
    <row r="725" spans="1:1">
      <c r="A725" s="12"/>
    </row>
    <row r="726" spans="1:1">
      <c r="A726" s="12" t="s">
        <v>24</v>
      </c>
    </row>
    <row r="727" spans="1:1">
      <c r="A727" s="12" t="s">
        <v>24</v>
      </c>
    </row>
    <row r="728" spans="1:1">
      <c r="A728" s="12" t="s">
        <v>24</v>
      </c>
    </row>
    <row r="729" spans="1:1">
      <c r="A729" s="12" t="s">
        <v>24</v>
      </c>
    </row>
    <row r="730" spans="1:1">
      <c r="A730" s="12"/>
    </row>
    <row r="731" spans="1:1">
      <c r="A731" s="12" t="s">
        <v>24</v>
      </c>
    </row>
    <row r="732" spans="1:1">
      <c r="A732" s="12" t="s">
        <v>24</v>
      </c>
    </row>
    <row r="733" spans="1:1">
      <c r="A733" s="12" t="s">
        <v>24</v>
      </c>
    </row>
    <row r="734" spans="1:1">
      <c r="A734" s="12" t="s">
        <v>24</v>
      </c>
    </row>
    <row r="735" spans="1:1">
      <c r="A735" s="12"/>
    </row>
    <row r="736" spans="1:1">
      <c r="A736" s="12" t="s">
        <v>24</v>
      </c>
    </row>
    <row r="737" spans="1:1">
      <c r="A737" s="12" t="s">
        <v>24</v>
      </c>
    </row>
    <row r="738" spans="1:1">
      <c r="A738" s="12" t="s">
        <v>24</v>
      </c>
    </row>
    <row r="739" spans="1:1">
      <c r="A739" s="12"/>
    </row>
    <row r="740" spans="1:1">
      <c r="A740" s="12" t="s">
        <v>24</v>
      </c>
    </row>
    <row r="741" spans="1:1">
      <c r="A741" s="12" t="s">
        <v>24</v>
      </c>
    </row>
    <row r="742" spans="1:1">
      <c r="A742" s="12"/>
    </row>
    <row r="743" spans="1:1">
      <c r="A743" s="12" t="s">
        <v>24</v>
      </c>
    </row>
    <row r="744" spans="1:1">
      <c r="A744" s="12" t="s">
        <v>24</v>
      </c>
    </row>
    <row r="745" spans="1:1">
      <c r="A745" s="12" t="s">
        <v>24</v>
      </c>
    </row>
    <row r="746" spans="1:1">
      <c r="A746" s="12" t="s">
        <v>24</v>
      </c>
    </row>
    <row r="747" spans="1:1">
      <c r="A747" s="12"/>
    </row>
    <row r="748" spans="1:1">
      <c r="A748" s="12" t="s">
        <v>24</v>
      </c>
    </row>
    <row r="749" spans="1:1">
      <c r="A749" s="12" t="s">
        <v>24</v>
      </c>
    </row>
    <row r="750" spans="1:1">
      <c r="A750" s="12"/>
    </row>
    <row r="751" spans="1:1">
      <c r="A751" s="12" t="s">
        <v>24</v>
      </c>
    </row>
    <row r="752" spans="1:1">
      <c r="A752" s="12"/>
    </row>
    <row r="753" spans="1:1">
      <c r="A753" s="12" t="s">
        <v>24</v>
      </c>
    </row>
    <row r="754" spans="1:1">
      <c r="A754" s="12" t="s">
        <v>24</v>
      </c>
    </row>
    <row r="755" spans="1:1">
      <c r="A755" s="12"/>
    </row>
    <row r="756" spans="1:1">
      <c r="A756" s="12" t="s">
        <v>24</v>
      </c>
    </row>
    <row r="757" spans="1:1">
      <c r="A757" s="12" t="s">
        <v>24</v>
      </c>
    </row>
    <row r="758" spans="1:1">
      <c r="A758" s="12" t="s">
        <v>24</v>
      </c>
    </row>
    <row r="759" spans="1:1">
      <c r="A759" s="12" t="s">
        <v>24</v>
      </c>
    </row>
    <row r="760" spans="1:1">
      <c r="A760" s="12" t="s">
        <v>24</v>
      </c>
    </row>
    <row r="761" spans="1:1">
      <c r="A761" s="12" t="s">
        <v>24</v>
      </c>
    </row>
    <row r="762" spans="1:1">
      <c r="A762" s="12" t="s">
        <v>24</v>
      </c>
    </row>
    <row r="763" spans="1:1">
      <c r="A763" s="12" t="s">
        <v>24</v>
      </c>
    </row>
    <row r="764" spans="1:1">
      <c r="A764" s="12"/>
    </row>
    <row r="765" spans="1:1">
      <c r="A765" s="12" t="s">
        <v>24</v>
      </c>
    </row>
    <row r="766" spans="1:1">
      <c r="A766" s="12" t="s">
        <v>24</v>
      </c>
    </row>
    <row r="767" spans="1:1">
      <c r="A767" s="12" t="s">
        <v>24</v>
      </c>
    </row>
    <row r="768" spans="1:1">
      <c r="A768" s="12" t="s">
        <v>24</v>
      </c>
    </row>
    <row r="769" spans="1:1">
      <c r="A769" s="12" t="s">
        <v>24</v>
      </c>
    </row>
    <row r="770" spans="1:1">
      <c r="A770" s="12" t="s">
        <v>24</v>
      </c>
    </row>
    <row r="771" spans="1:1">
      <c r="A771" s="12" t="s">
        <v>24</v>
      </c>
    </row>
    <row r="772" spans="1:1">
      <c r="A772" s="12" t="s">
        <v>24</v>
      </c>
    </row>
    <row r="773" spans="1:1">
      <c r="A773" s="12"/>
    </row>
    <row r="774" spans="1:1">
      <c r="A774" s="12" t="s">
        <v>24</v>
      </c>
    </row>
    <row r="775" spans="1:1">
      <c r="A775" s="12" t="s">
        <v>24</v>
      </c>
    </row>
    <row r="776" spans="1:1">
      <c r="A776" s="12" t="s">
        <v>24</v>
      </c>
    </row>
    <row r="777" spans="1:1">
      <c r="A777" s="12" t="s">
        <v>24</v>
      </c>
    </row>
    <row r="778" spans="1:1">
      <c r="A778" s="12" t="s">
        <v>24</v>
      </c>
    </row>
    <row r="779" spans="1:1">
      <c r="A779" s="12" t="s">
        <v>24</v>
      </c>
    </row>
    <row r="780" spans="1:1">
      <c r="A780" s="12" t="s">
        <v>24</v>
      </c>
    </row>
    <row r="781" spans="1:1">
      <c r="A781" s="12" t="s">
        <v>24</v>
      </c>
    </row>
    <row r="782" spans="1:1">
      <c r="A782" s="12" t="s">
        <v>24</v>
      </c>
    </row>
    <row r="783" spans="1:1">
      <c r="A783" s="12"/>
    </row>
    <row r="784" spans="1:1">
      <c r="A784" s="12" t="s">
        <v>24</v>
      </c>
    </row>
    <row r="785" spans="1:1">
      <c r="A785" s="12" t="s">
        <v>24</v>
      </c>
    </row>
    <row r="786" spans="1:1">
      <c r="A786" s="12" t="s">
        <v>24</v>
      </c>
    </row>
    <row r="787" spans="1:1">
      <c r="A787" s="12" t="s">
        <v>24</v>
      </c>
    </row>
    <row r="788" spans="1:1">
      <c r="A788" s="12" t="s">
        <v>24</v>
      </c>
    </row>
    <row r="789" spans="1:1">
      <c r="A789" s="12"/>
    </row>
    <row r="790" spans="1:1">
      <c r="A790" s="12" t="s">
        <v>24</v>
      </c>
    </row>
    <row r="791" spans="1:1">
      <c r="A791" s="12" t="s">
        <v>24</v>
      </c>
    </row>
    <row r="792" spans="1:1">
      <c r="A792" s="12" t="s">
        <v>24</v>
      </c>
    </row>
    <row r="793" spans="1:1">
      <c r="A793" s="12"/>
    </row>
    <row r="794" spans="1:1">
      <c r="A794" s="12" t="s">
        <v>24</v>
      </c>
    </row>
    <row r="795" spans="1:1">
      <c r="A795" s="12" t="s">
        <v>24</v>
      </c>
    </row>
    <row r="796" spans="1:1">
      <c r="A796" s="12" t="s">
        <v>24</v>
      </c>
    </row>
    <row r="797" spans="1:1">
      <c r="A797" s="12" t="s">
        <v>24</v>
      </c>
    </row>
    <row r="798" spans="1:1">
      <c r="A798" s="12" t="s">
        <v>24</v>
      </c>
    </row>
    <row r="799" spans="1:1">
      <c r="A799" s="12" t="s">
        <v>24</v>
      </c>
    </row>
    <row r="800" spans="1:1">
      <c r="A800" s="12"/>
    </row>
    <row r="801" spans="1:1">
      <c r="A801" s="12" t="s">
        <v>24</v>
      </c>
    </row>
    <row r="802" spans="1:1">
      <c r="A802" s="12" t="s">
        <v>24</v>
      </c>
    </row>
    <row r="803" spans="1:1">
      <c r="A803" s="12" t="s">
        <v>24</v>
      </c>
    </row>
    <row r="804" spans="1:1">
      <c r="A804" s="12" t="s">
        <v>24</v>
      </c>
    </row>
    <row r="805" spans="1:1">
      <c r="A805" s="12"/>
    </row>
    <row r="806" spans="1:1">
      <c r="A806" s="12" t="s">
        <v>24</v>
      </c>
    </row>
    <row r="807" spans="1:1">
      <c r="A807" s="12" t="s">
        <v>24</v>
      </c>
    </row>
    <row r="808" spans="1:1">
      <c r="A808" s="12" t="s">
        <v>24</v>
      </c>
    </row>
    <row r="809" spans="1:1">
      <c r="A809" s="12"/>
    </row>
    <row r="810" spans="1:1">
      <c r="A810" s="12" t="s">
        <v>24</v>
      </c>
    </row>
    <row r="811" spans="1:1">
      <c r="A811" s="12" t="s">
        <v>24</v>
      </c>
    </row>
    <row r="812" spans="1:1">
      <c r="A812" s="12"/>
    </row>
    <row r="813" spans="1:1">
      <c r="A813" s="12" t="s">
        <v>24</v>
      </c>
    </row>
    <row r="814" spans="1:1">
      <c r="A814" s="12" t="s">
        <v>24</v>
      </c>
    </row>
    <row r="815" spans="1:1">
      <c r="A815" s="12"/>
    </row>
    <row r="816" spans="1:1">
      <c r="A816" s="12" t="s">
        <v>24</v>
      </c>
    </row>
    <row r="817" spans="1:1">
      <c r="A817" s="12" t="s">
        <v>24</v>
      </c>
    </row>
    <row r="818" spans="1:1">
      <c r="A818" s="12" t="s">
        <v>24</v>
      </c>
    </row>
    <row r="819" spans="1:1">
      <c r="A819" s="12"/>
    </row>
    <row r="820" spans="1:1">
      <c r="A820" s="12" t="s">
        <v>24</v>
      </c>
    </row>
    <row r="821" spans="1:1">
      <c r="A821" s="12" t="s">
        <v>24</v>
      </c>
    </row>
    <row r="822" spans="1:1">
      <c r="A822" s="12" t="s">
        <v>24</v>
      </c>
    </row>
    <row r="823" spans="1:1">
      <c r="A823" s="12"/>
    </row>
    <row r="824" spans="1:1">
      <c r="A824" s="12" t="s">
        <v>24</v>
      </c>
    </row>
    <row r="825" spans="1:1">
      <c r="A825" s="12" t="s">
        <v>24</v>
      </c>
    </row>
    <row r="826" spans="1:1">
      <c r="A826" s="12" t="s">
        <v>24</v>
      </c>
    </row>
    <row r="827" spans="1:1">
      <c r="A827" s="12" t="s">
        <v>24</v>
      </c>
    </row>
    <row r="828" spans="1:1">
      <c r="A828" s="12" t="s">
        <v>24</v>
      </c>
    </row>
    <row r="829" spans="1:1">
      <c r="A829" s="12"/>
    </row>
    <row r="830" spans="1:1">
      <c r="A830" s="12" t="s">
        <v>24</v>
      </c>
    </row>
    <row r="831" spans="1:1">
      <c r="A831" s="12" t="s">
        <v>24</v>
      </c>
    </row>
    <row r="832" spans="1:1">
      <c r="A832" s="12"/>
    </row>
    <row r="833" spans="1:1">
      <c r="A833" s="12" t="s">
        <v>24</v>
      </c>
    </row>
    <row r="834" spans="1:1">
      <c r="A834" s="12" t="s">
        <v>24</v>
      </c>
    </row>
    <row r="835" spans="1:1">
      <c r="A835" s="12" t="s">
        <v>24</v>
      </c>
    </row>
    <row r="836" spans="1:1">
      <c r="A836" s="12" t="s">
        <v>24</v>
      </c>
    </row>
    <row r="837" spans="1:1">
      <c r="A837" s="12"/>
    </row>
    <row r="838" spans="1:1">
      <c r="A838" s="12" t="s">
        <v>24</v>
      </c>
    </row>
    <row r="839" spans="1:1">
      <c r="A839" s="12" t="s">
        <v>24</v>
      </c>
    </row>
    <row r="840" spans="1:1">
      <c r="A840" s="12" t="s">
        <v>24</v>
      </c>
    </row>
    <row r="841" spans="1:1">
      <c r="A841" s="12"/>
    </row>
    <row r="842" spans="1:1">
      <c r="A842" s="12" t="s">
        <v>24</v>
      </c>
    </row>
    <row r="843" spans="1:1">
      <c r="A843" s="12" t="s">
        <v>24</v>
      </c>
    </row>
    <row r="844" spans="1:1">
      <c r="A844" s="12" t="s">
        <v>24</v>
      </c>
    </row>
    <row r="845" spans="1:1">
      <c r="A845" s="12" t="s">
        <v>24</v>
      </c>
    </row>
    <row r="846" spans="1:1">
      <c r="A846" s="12"/>
    </row>
    <row r="847" spans="1:1">
      <c r="A847" s="12" t="s">
        <v>24</v>
      </c>
    </row>
    <row r="848" spans="1:1">
      <c r="A848" s="12" t="s">
        <v>24</v>
      </c>
    </row>
    <row r="849" spans="1:1">
      <c r="A849" s="12" t="s">
        <v>24</v>
      </c>
    </row>
    <row r="850" spans="1:1">
      <c r="A850" s="12" t="s">
        <v>24</v>
      </c>
    </row>
    <row r="851" spans="1:1">
      <c r="A851" s="12" t="s">
        <v>24</v>
      </c>
    </row>
    <row r="852" spans="1:1">
      <c r="A852" s="12"/>
    </row>
    <row r="853" spans="1:1">
      <c r="A853" s="12" t="s">
        <v>24</v>
      </c>
    </row>
    <row r="854" spans="1:1">
      <c r="A854" s="12" t="s">
        <v>24</v>
      </c>
    </row>
    <row r="855" spans="1:1">
      <c r="A855" s="12" t="s">
        <v>24</v>
      </c>
    </row>
    <row r="856" spans="1:1">
      <c r="A856" s="12"/>
    </row>
    <row r="857" spans="1:1">
      <c r="A857" s="12" t="s">
        <v>24</v>
      </c>
    </row>
    <row r="858" spans="1:1">
      <c r="A858" s="12" t="s">
        <v>24</v>
      </c>
    </row>
    <row r="859" spans="1:1">
      <c r="A859" s="12" t="s">
        <v>24</v>
      </c>
    </row>
    <row r="860" spans="1:1">
      <c r="A860" s="12" t="s">
        <v>24</v>
      </c>
    </row>
    <row r="861" spans="1:1">
      <c r="A861" s="12" t="s">
        <v>24</v>
      </c>
    </row>
    <row r="862" spans="1:1">
      <c r="A862" s="12" t="s">
        <v>24</v>
      </c>
    </row>
    <row r="863" spans="1:1">
      <c r="A863" s="12" t="s">
        <v>24</v>
      </c>
    </row>
    <row r="864" spans="1:1">
      <c r="A864" s="12" t="s">
        <v>24</v>
      </c>
    </row>
    <row r="865" spans="1:1">
      <c r="A865" s="12" t="s">
        <v>24</v>
      </c>
    </row>
    <row r="866" spans="1:1">
      <c r="A866" s="12" t="s">
        <v>24</v>
      </c>
    </row>
    <row r="867" spans="1:1">
      <c r="A867" s="12" t="s">
        <v>24</v>
      </c>
    </row>
    <row r="868" spans="1:1">
      <c r="A868" s="12"/>
    </row>
    <row r="869" spans="1:1">
      <c r="A869" s="12" t="s">
        <v>24</v>
      </c>
    </row>
    <row r="870" spans="1:1">
      <c r="A870" s="12"/>
    </row>
    <row r="871" spans="1:1">
      <c r="A871" s="12" t="s">
        <v>24</v>
      </c>
    </row>
    <row r="872" spans="1:1">
      <c r="A872" s="12" t="s">
        <v>24</v>
      </c>
    </row>
    <row r="873" spans="1:1">
      <c r="A873" s="12" t="s">
        <v>24</v>
      </c>
    </row>
    <row r="874" spans="1:1">
      <c r="A874" s="12" t="s">
        <v>24</v>
      </c>
    </row>
    <row r="875" spans="1:1">
      <c r="A875" s="12" t="s">
        <v>24</v>
      </c>
    </row>
    <row r="876" spans="1:1">
      <c r="A876" s="12" t="s">
        <v>24</v>
      </c>
    </row>
    <row r="877" spans="1:1">
      <c r="A877" s="12"/>
    </row>
    <row r="878" spans="1:1">
      <c r="A878" s="12" t="s">
        <v>24</v>
      </c>
    </row>
    <row r="879" spans="1:1">
      <c r="A879" s="12" t="s">
        <v>24</v>
      </c>
    </row>
    <row r="880" spans="1:1">
      <c r="A880" s="12" t="s">
        <v>24</v>
      </c>
    </row>
    <row r="881" spans="1:1">
      <c r="A881" s="12" t="s">
        <v>24</v>
      </c>
    </row>
    <row r="882" spans="1:1">
      <c r="A882" s="12"/>
    </row>
    <row r="883" spans="1:1">
      <c r="A883" s="12" t="s">
        <v>24</v>
      </c>
    </row>
    <row r="884" spans="1:1">
      <c r="A884" s="12" t="s">
        <v>24</v>
      </c>
    </row>
    <row r="885" spans="1:1">
      <c r="A885" s="12" t="s">
        <v>24</v>
      </c>
    </row>
    <row r="886" spans="1:1">
      <c r="A886" s="12" t="s">
        <v>24</v>
      </c>
    </row>
    <row r="887" spans="1:1">
      <c r="A887" s="12" t="s">
        <v>24</v>
      </c>
    </row>
    <row r="888" spans="1:1">
      <c r="A888" s="12"/>
    </row>
    <row r="889" spans="1:1">
      <c r="A889" s="12" t="s">
        <v>24</v>
      </c>
    </row>
    <row r="890" spans="1:1">
      <c r="A890" s="12" t="s">
        <v>24</v>
      </c>
    </row>
    <row r="891" spans="1:1">
      <c r="A891" s="12"/>
    </row>
    <row r="892" spans="1:1">
      <c r="A892" s="12" t="s">
        <v>24</v>
      </c>
    </row>
    <row r="893" spans="1:1">
      <c r="A893" s="12" t="s">
        <v>24</v>
      </c>
    </row>
    <row r="894" spans="1:1">
      <c r="A894" s="12" t="s">
        <v>24</v>
      </c>
    </row>
    <row r="895" spans="1:1">
      <c r="A895" s="12" t="s">
        <v>24</v>
      </c>
    </row>
    <row r="896" spans="1:1">
      <c r="A896" s="12" t="s">
        <v>24</v>
      </c>
    </row>
    <row r="897" spans="1:1">
      <c r="A897" s="12"/>
    </row>
    <row r="898" spans="1:1">
      <c r="A898" s="12" t="s">
        <v>24</v>
      </c>
    </row>
    <row r="899" spans="1:1">
      <c r="A899" s="12"/>
    </row>
    <row r="900" spans="1:1">
      <c r="A900" s="12" t="s">
        <v>24</v>
      </c>
    </row>
    <row r="901" spans="1:1">
      <c r="A901" s="12" t="s">
        <v>24</v>
      </c>
    </row>
    <row r="902" spans="1:1">
      <c r="A902" s="12" t="s">
        <v>24</v>
      </c>
    </row>
    <row r="903" spans="1:1">
      <c r="A903" s="12"/>
    </row>
    <row r="904" spans="1:1">
      <c r="A904" s="12" t="s">
        <v>24</v>
      </c>
    </row>
    <row r="905" spans="1:1">
      <c r="A905" s="12" t="s">
        <v>24</v>
      </c>
    </row>
    <row r="906" spans="1:1">
      <c r="A906" s="12"/>
    </row>
    <row r="907" spans="1:1">
      <c r="A907" s="12" t="s">
        <v>24</v>
      </c>
    </row>
    <row r="908" spans="1:1">
      <c r="A908" s="12" t="s">
        <v>24</v>
      </c>
    </row>
    <row r="909" spans="1:1">
      <c r="A909" s="12" t="s">
        <v>24</v>
      </c>
    </row>
    <row r="910" spans="1:1">
      <c r="A910" s="12"/>
    </row>
    <row r="911" spans="1:1">
      <c r="A911" s="12" t="s">
        <v>24</v>
      </c>
    </row>
    <row r="912" spans="1:1">
      <c r="A912" s="12" t="s">
        <v>24</v>
      </c>
    </row>
    <row r="913" spans="1:1">
      <c r="A913" s="12" t="s">
        <v>24</v>
      </c>
    </row>
    <row r="914" spans="1:1">
      <c r="A914" s="12" t="s">
        <v>24</v>
      </c>
    </row>
    <row r="915" spans="1:1">
      <c r="A915" s="12" t="s">
        <v>24</v>
      </c>
    </row>
    <row r="916" spans="1:1">
      <c r="A916" s="12" t="s">
        <v>24</v>
      </c>
    </row>
    <row r="917" spans="1:1">
      <c r="A917" s="12" t="s">
        <v>24</v>
      </c>
    </row>
    <row r="918" spans="1:1">
      <c r="A918" s="12" t="s">
        <v>24</v>
      </c>
    </row>
    <row r="919" spans="1:1">
      <c r="A919" s="12" t="s">
        <v>24</v>
      </c>
    </row>
    <row r="920" spans="1:1">
      <c r="A920" s="12" t="s">
        <v>24</v>
      </c>
    </row>
    <row r="921" spans="1:1">
      <c r="A921" s="12" t="s">
        <v>24</v>
      </c>
    </row>
    <row r="922" spans="1:1">
      <c r="A922" s="12"/>
    </row>
    <row r="923" spans="1:1">
      <c r="A923" s="12" t="s">
        <v>24</v>
      </c>
    </row>
    <row r="924" spans="1:1">
      <c r="A924" s="12"/>
    </row>
    <row r="925" spans="1:1">
      <c r="A925" s="12" t="s">
        <v>24</v>
      </c>
    </row>
    <row r="926" spans="1:1">
      <c r="A926" s="12" t="s">
        <v>24</v>
      </c>
    </row>
    <row r="927" spans="1:1">
      <c r="A927" s="12" t="s">
        <v>24</v>
      </c>
    </row>
    <row r="928" spans="1:1">
      <c r="A928" s="12" t="s">
        <v>24</v>
      </c>
    </row>
    <row r="929" spans="1:1">
      <c r="A929" s="12"/>
    </row>
    <row r="930" spans="1:1">
      <c r="A930" s="12" t="s">
        <v>24</v>
      </c>
    </row>
    <row r="931" spans="1:1">
      <c r="A931" s="12"/>
    </row>
    <row r="932" spans="1:1">
      <c r="A932" s="12" t="s">
        <v>24</v>
      </c>
    </row>
    <row r="933" spans="1:1">
      <c r="A933" s="12" t="s">
        <v>24</v>
      </c>
    </row>
    <row r="934" spans="1:1">
      <c r="A934" s="12" t="s">
        <v>24</v>
      </c>
    </row>
    <row r="935" spans="1:1">
      <c r="A935" s="12"/>
    </row>
    <row r="936" spans="1:1">
      <c r="A936" s="12" t="s">
        <v>24</v>
      </c>
    </row>
    <row r="937" spans="1:1">
      <c r="A937" s="12" t="s">
        <v>24</v>
      </c>
    </row>
    <row r="938" spans="1:1">
      <c r="A938" s="12"/>
    </row>
    <row r="939" spans="1:1">
      <c r="A939" s="12" t="s">
        <v>24</v>
      </c>
    </row>
    <row r="940" spans="1:1">
      <c r="A940" s="12" t="s">
        <v>24</v>
      </c>
    </row>
    <row r="941" spans="1:1">
      <c r="A941" s="12"/>
    </row>
    <row r="942" spans="1:1">
      <c r="A942" s="12" t="s">
        <v>24</v>
      </c>
    </row>
    <row r="943" spans="1:1">
      <c r="A943" s="12" t="s">
        <v>24</v>
      </c>
    </row>
    <row r="944" spans="1:1">
      <c r="A944" s="12" t="s">
        <v>24</v>
      </c>
    </row>
    <row r="945" spans="1:1">
      <c r="A945" s="12" t="s">
        <v>24</v>
      </c>
    </row>
    <row r="946" spans="1:1">
      <c r="A946" s="12" t="s">
        <v>24</v>
      </c>
    </row>
    <row r="947" spans="1:1">
      <c r="A947" s="12"/>
    </row>
    <row r="948" spans="1:1">
      <c r="A948" s="12" t="s">
        <v>24</v>
      </c>
    </row>
    <row r="949" spans="1:1">
      <c r="A949" s="12" t="s">
        <v>24</v>
      </c>
    </row>
    <row r="950" spans="1:1">
      <c r="A950" s="12"/>
    </row>
    <row r="951" spans="1:1">
      <c r="A951" s="12" t="s">
        <v>24</v>
      </c>
    </row>
    <row r="952" spans="1:1">
      <c r="A952" s="12" t="s">
        <v>24</v>
      </c>
    </row>
    <row r="953" spans="1:1">
      <c r="A953" s="12"/>
    </row>
    <row r="954" spans="1:1">
      <c r="A954" s="12" t="s">
        <v>24</v>
      </c>
    </row>
    <row r="955" spans="1:1">
      <c r="A955" s="12" t="s">
        <v>24</v>
      </c>
    </row>
    <row r="956" spans="1:1">
      <c r="A956" s="12" t="s">
        <v>24</v>
      </c>
    </row>
    <row r="957" spans="1:1">
      <c r="A957" s="12" t="s">
        <v>24</v>
      </c>
    </row>
    <row r="958" spans="1:1">
      <c r="A958" s="12" t="s">
        <v>24</v>
      </c>
    </row>
    <row r="959" spans="1:1">
      <c r="A959" s="12" t="s">
        <v>24</v>
      </c>
    </row>
    <row r="960" spans="1:1">
      <c r="A960" s="12"/>
    </row>
    <row r="961" spans="1:1">
      <c r="A961" s="12" t="s">
        <v>24</v>
      </c>
    </row>
    <row r="962" spans="1:1">
      <c r="A962" s="12" t="s">
        <v>24</v>
      </c>
    </row>
    <row r="963" spans="1:1">
      <c r="A963" s="12" t="s">
        <v>24</v>
      </c>
    </row>
    <row r="964" spans="1:1">
      <c r="A964" s="12" t="s">
        <v>24</v>
      </c>
    </row>
    <row r="965" spans="1:1">
      <c r="A965" s="12" t="s">
        <v>24</v>
      </c>
    </row>
    <row r="966" spans="1:1">
      <c r="A966" s="12" t="s">
        <v>24</v>
      </c>
    </row>
    <row r="967" spans="1:1">
      <c r="A967" s="12"/>
    </row>
    <row r="968" spans="1:1">
      <c r="A968" s="12" t="s">
        <v>24</v>
      </c>
    </row>
    <row r="969" spans="1:1">
      <c r="A969" s="12" t="s">
        <v>24</v>
      </c>
    </row>
    <row r="970" spans="1:1">
      <c r="A970" s="12" t="s">
        <v>24</v>
      </c>
    </row>
    <row r="971" spans="1:1">
      <c r="A971" s="12" t="s">
        <v>24</v>
      </c>
    </row>
    <row r="972" spans="1:1">
      <c r="A972" s="12"/>
    </row>
    <row r="973" spans="1:1">
      <c r="A973" s="12" t="s">
        <v>24</v>
      </c>
    </row>
    <row r="974" spans="1:1">
      <c r="A974" s="12"/>
    </row>
    <row r="975" spans="1:1">
      <c r="A975" s="12" t="s">
        <v>24</v>
      </c>
    </row>
    <row r="976" spans="1:1">
      <c r="A976" s="12" t="s">
        <v>24</v>
      </c>
    </row>
    <row r="977" spans="1:1">
      <c r="A977" s="12" t="s">
        <v>24</v>
      </c>
    </row>
    <row r="978" spans="1:1">
      <c r="A978" s="12" t="s">
        <v>24</v>
      </c>
    </row>
    <row r="979" spans="1:1">
      <c r="A979" s="12" t="s">
        <v>24</v>
      </c>
    </row>
    <row r="980" spans="1:1">
      <c r="A980" s="12" t="s">
        <v>24</v>
      </c>
    </row>
    <row r="981" spans="1:1">
      <c r="A981" s="12" t="s">
        <v>24</v>
      </c>
    </row>
    <row r="982" spans="1:1">
      <c r="A982" s="12" t="s">
        <v>24</v>
      </c>
    </row>
    <row r="983" spans="1:1">
      <c r="A983" s="12"/>
    </row>
    <row r="984" spans="1:1">
      <c r="A984" s="12" t="s">
        <v>24</v>
      </c>
    </row>
    <row r="985" spans="1:1">
      <c r="A985" s="12" t="s">
        <v>24</v>
      </c>
    </row>
    <row r="986" spans="1:1">
      <c r="A986" s="12" t="s">
        <v>24</v>
      </c>
    </row>
    <row r="987" spans="1:1">
      <c r="A987" s="12" t="s">
        <v>24</v>
      </c>
    </row>
    <row r="988" spans="1:1">
      <c r="A988" s="12" t="s">
        <v>24</v>
      </c>
    </row>
    <row r="989" spans="1:1">
      <c r="A989" s="12"/>
    </row>
    <row r="990" spans="1:1">
      <c r="A990" s="12" t="s">
        <v>24</v>
      </c>
    </row>
    <row r="991" spans="1:1">
      <c r="A991" s="12" t="s">
        <v>24</v>
      </c>
    </row>
    <row r="992" spans="1:1">
      <c r="A992" s="12" t="s">
        <v>24</v>
      </c>
    </row>
    <row r="993" spans="1:1">
      <c r="A993" s="12"/>
    </row>
    <row r="994" spans="1:1">
      <c r="A994" s="12" t="s">
        <v>24</v>
      </c>
    </row>
    <row r="995" spans="1:1">
      <c r="A995" s="12"/>
    </row>
    <row r="996" spans="1:1">
      <c r="A996" s="12" t="s">
        <v>24</v>
      </c>
    </row>
    <row r="997" spans="1:1">
      <c r="A997" s="12" t="s">
        <v>24</v>
      </c>
    </row>
    <row r="998" spans="1:1">
      <c r="A998" s="12"/>
    </row>
    <row r="999" spans="1:1">
      <c r="A999" s="12" t="s">
        <v>24</v>
      </c>
    </row>
    <row r="1000" spans="1:1">
      <c r="A1000" s="12" t="s">
        <v>24</v>
      </c>
    </row>
    <row r="1001" spans="1:1">
      <c r="A1001" s="12" t="s">
        <v>24</v>
      </c>
    </row>
    <row r="1002" spans="1:1">
      <c r="A1002" s="12" t="s">
        <v>24</v>
      </c>
    </row>
    <row r="1003" spans="1:1">
      <c r="A1003" s="12" t="s">
        <v>24</v>
      </c>
    </row>
    <row r="1004" spans="1:1">
      <c r="A1004" s="12" t="s">
        <v>24</v>
      </c>
    </row>
    <row r="1005" spans="1:1">
      <c r="A1005" s="12" t="s">
        <v>24</v>
      </c>
    </row>
    <row r="1006" spans="1:1">
      <c r="A1006" s="12" t="s">
        <v>24</v>
      </c>
    </row>
    <row r="1007" spans="1:1">
      <c r="A1007" s="12" t="s">
        <v>24</v>
      </c>
    </row>
    <row r="1008" spans="1:1">
      <c r="A1008" s="12" t="s">
        <v>24</v>
      </c>
    </row>
    <row r="1009" spans="1:1">
      <c r="A1009" s="12" t="s">
        <v>24</v>
      </c>
    </row>
    <row r="1010" spans="1:1">
      <c r="A1010" s="12"/>
    </row>
    <row r="1011" spans="1:1">
      <c r="A1011" s="12" t="s">
        <v>24</v>
      </c>
    </row>
    <row r="1012" spans="1:1">
      <c r="A1012" s="12" t="s">
        <v>24</v>
      </c>
    </row>
    <row r="1013" spans="1:1">
      <c r="A1013" s="12" t="s">
        <v>24</v>
      </c>
    </row>
    <row r="1014" spans="1:1">
      <c r="A1014" s="12" t="s">
        <v>24</v>
      </c>
    </row>
    <row r="1015" spans="1:1">
      <c r="A1015" s="12" t="s">
        <v>24</v>
      </c>
    </row>
    <row r="1016" spans="1:1">
      <c r="A1016" s="12" t="s">
        <v>24</v>
      </c>
    </row>
    <row r="1017" spans="1:1">
      <c r="A1017" s="12" t="s">
        <v>24</v>
      </c>
    </row>
    <row r="1018" spans="1:1">
      <c r="A1018" s="12" t="s">
        <v>24</v>
      </c>
    </row>
    <row r="1019" spans="1:1">
      <c r="A1019" s="12" t="s">
        <v>24</v>
      </c>
    </row>
    <row r="1020" spans="1:1">
      <c r="A1020" s="12" t="s">
        <v>24</v>
      </c>
    </row>
    <row r="1021" spans="1:1">
      <c r="A1021" s="12" t="s">
        <v>24</v>
      </c>
    </row>
    <row r="1022" spans="1:1">
      <c r="A1022" s="12" t="s">
        <v>24</v>
      </c>
    </row>
    <row r="1023" spans="1:1">
      <c r="A1023" s="12" t="s">
        <v>24</v>
      </c>
    </row>
    <row r="1024" spans="1:1">
      <c r="A1024" s="12" t="s">
        <v>24</v>
      </c>
    </row>
    <row r="1025" spans="1:1">
      <c r="A1025" s="12" t="s">
        <v>24</v>
      </c>
    </row>
    <row r="1026" spans="1:1">
      <c r="A1026" s="12" t="s">
        <v>24</v>
      </c>
    </row>
    <row r="1027" spans="1:1">
      <c r="A1027" s="12" t="s">
        <v>24</v>
      </c>
    </row>
    <row r="1028" spans="1:1">
      <c r="A1028" s="12" t="s">
        <v>24</v>
      </c>
    </row>
    <row r="1029" spans="1:1">
      <c r="A1029" s="12" t="s">
        <v>24</v>
      </c>
    </row>
    <row r="1030" spans="1:1">
      <c r="A1030" s="12" t="s">
        <v>24</v>
      </c>
    </row>
    <row r="1031" spans="1:1">
      <c r="A1031" s="12" t="s">
        <v>24</v>
      </c>
    </row>
    <row r="1032" spans="1:1">
      <c r="A1032" s="12" t="s">
        <v>24</v>
      </c>
    </row>
    <row r="1033" spans="1:1">
      <c r="A1033" s="12"/>
    </row>
    <row r="1034" spans="1:1">
      <c r="A1034" s="12" t="s">
        <v>24</v>
      </c>
    </row>
    <row r="1035" spans="1:1">
      <c r="A1035" s="12"/>
    </row>
    <row r="1036" spans="1:1">
      <c r="A1036" s="12" t="s">
        <v>24</v>
      </c>
    </row>
    <row r="1037" spans="1:1">
      <c r="A1037" s="12"/>
    </row>
    <row r="1038" spans="1:1">
      <c r="A1038" s="12" t="s">
        <v>24</v>
      </c>
    </row>
    <row r="1039" spans="1:1">
      <c r="A1039" s="12" t="s">
        <v>24</v>
      </c>
    </row>
    <row r="1040" spans="1:1">
      <c r="A1040" s="12" t="s">
        <v>24</v>
      </c>
    </row>
    <row r="1041" spans="1:1">
      <c r="A1041" s="12" t="s">
        <v>24</v>
      </c>
    </row>
    <row r="1042" spans="1:1">
      <c r="A1042" s="12"/>
    </row>
    <row r="1043" spans="1:1">
      <c r="A1043" s="12" t="s">
        <v>24</v>
      </c>
    </row>
    <row r="1044" spans="1:1">
      <c r="A1044" s="12" t="s">
        <v>24</v>
      </c>
    </row>
    <row r="1045" spans="1:1">
      <c r="A1045" s="12" t="s">
        <v>24</v>
      </c>
    </row>
    <row r="1046" spans="1:1">
      <c r="A1046" s="12" t="s">
        <v>24</v>
      </c>
    </row>
    <row r="1047" spans="1:1">
      <c r="A1047" s="12"/>
    </row>
    <row r="1048" spans="1:1">
      <c r="A1048" s="12" t="s">
        <v>24</v>
      </c>
    </row>
    <row r="1049" spans="1:1">
      <c r="A1049" s="12" t="s">
        <v>24</v>
      </c>
    </row>
    <row r="1050" spans="1:1">
      <c r="A1050" s="12" t="s">
        <v>24</v>
      </c>
    </row>
    <row r="1051" spans="1:1">
      <c r="A1051" s="12"/>
    </row>
    <row r="1052" spans="1:1">
      <c r="A1052" s="12" t="s">
        <v>24</v>
      </c>
    </row>
    <row r="1053" spans="1:1">
      <c r="A1053" s="12" t="s">
        <v>24</v>
      </c>
    </row>
    <row r="1054" spans="1:1">
      <c r="A1054" s="12" t="s">
        <v>24</v>
      </c>
    </row>
    <row r="1055" spans="1:1">
      <c r="A1055" s="12"/>
    </row>
    <row r="1056" spans="1:1">
      <c r="A1056" s="12" t="s">
        <v>24</v>
      </c>
    </row>
    <row r="1057" spans="1:1">
      <c r="A1057" s="12"/>
    </row>
    <row r="1058" spans="1:1">
      <c r="A1058" s="12" t="s">
        <v>24</v>
      </c>
    </row>
    <row r="1059" spans="1:1">
      <c r="A1059" s="12" t="s">
        <v>24</v>
      </c>
    </row>
    <row r="1060" spans="1:1">
      <c r="A1060" s="12"/>
    </row>
    <row r="1061" spans="1:1">
      <c r="A1061" s="12" t="s">
        <v>24</v>
      </c>
    </row>
    <row r="1062" spans="1:1">
      <c r="A1062" s="12"/>
    </row>
    <row r="1063" spans="1:1">
      <c r="A1063" s="12" t="s">
        <v>24</v>
      </c>
    </row>
    <row r="1064" spans="1:1">
      <c r="A1064" s="12" t="s">
        <v>24</v>
      </c>
    </row>
    <row r="1065" spans="1:1">
      <c r="A1065" s="12"/>
    </row>
    <row r="1066" spans="1:1">
      <c r="A1066" s="12" t="s">
        <v>24</v>
      </c>
    </row>
    <row r="1067" spans="1:1">
      <c r="A1067" s="12"/>
    </row>
    <row r="1068" spans="1:1">
      <c r="A1068" s="12" t="s">
        <v>24</v>
      </c>
    </row>
    <row r="1069" spans="1:1">
      <c r="A1069" s="12"/>
    </row>
    <row r="1070" spans="1:1">
      <c r="A1070" s="12" t="s">
        <v>24</v>
      </c>
    </row>
    <row r="1071" spans="1:1">
      <c r="A1071" s="12" t="s">
        <v>24</v>
      </c>
    </row>
    <row r="1072" spans="1:1">
      <c r="A1072" s="12"/>
    </row>
    <row r="1073" spans="1:1">
      <c r="A1073" s="12" t="s">
        <v>24</v>
      </c>
    </row>
    <row r="1074" spans="1:1">
      <c r="A1074" s="12" t="s">
        <v>24</v>
      </c>
    </row>
    <row r="1075" spans="1:1">
      <c r="A1075" s="12"/>
    </row>
    <row r="1076" spans="1:1">
      <c r="A1076" s="12" t="s">
        <v>24</v>
      </c>
    </row>
    <row r="1077" spans="1:1">
      <c r="A1077" s="12"/>
    </row>
    <row r="1078" spans="1:1">
      <c r="A1078" s="12" t="s">
        <v>24</v>
      </c>
    </row>
    <row r="1079" spans="1:1">
      <c r="A1079" s="12"/>
    </row>
    <row r="1080" spans="1:1">
      <c r="A1080" s="12" t="s">
        <v>24</v>
      </c>
    </row>
    <row r="1081" spans="1:1">
      <c r="A1081" s="12"/>
    </row>
    <row r="1082" spans="1:1">
      <c r="A1082" s="12" t="s">
        <v>24</v>
      </c>
    </row>
    <row r="1083" spans="1:1">
      <c r="A1083" s="12"/>
    </row>
    <row r="1084" spans="1:1">
      <c r="A1084" s="12" t="s">
        <v>24</v>
      </c>
    </row>
    <row r="1085" spans="1:1">
      <c r="A1085" s="12"/>
    </row>
    <row r="1086" spans="1:1">
      <c r="A1086" s="12" t="s">
        <v>24</v>
      </c>
    </row>
    <row r="1087" spans="1:1">
      <c r="A1087" s="12"/>
    </row>
    <row r="1088" spans="1:1">
      <c r="A1088" s="12" t="s">
        <v>24</v>
      </c>
    </row>
    <row r="1089" spans="1:1">
      <c r="A1089" s="12"/>
    </row>
    <row r="1090" spans="1:1">
      <c r="A1090" s="12" t="s">
        <v>24</v>
      </c>
    </row>
    <row r="1091" spans="1:1">
      <c r="A1091" s="12" t="s">
        <v>24</v>
      </c>
    </row>
    <row r="1092" spans="1:1">
      <c r="A1092" s="12" t="s">
        <v>24</v>
      </c>
    </row>
    <row r="1093" spans="1:1">
      <c r="A1093" s="12"/>
    </row>
    <row r="1094" spans="1:1">
      <c r="A1094" s="12" t="s">
        <v>24</v>
      </c>
    </row>
    <row r="1095" spans="1:1">
      <c r="A1095" s="12" t="s">
        <v>24</v>
      </c>
    </row>
    <row r="1096" spans="1:1">
      <c r="A1096" s="12" t="s">
        <v>24</v>
      </c>
    </row>
    <row r="1097" spans="1:1">
      <c r="A1097" s="12"/>
    </row>
    <row r="1098" spans="1:1">
      <c r="A1098" s="12" t="s">
        <v>24</v>
      </c>
    </row>
    <row r="1099" spans="1:1">
      <c r="A1099" s="12" t="s">
        <v>24</v>
      </c>
    </row>
    <row r="1100" spans="1:1">
      <c r="A1100" s="12"/>
    </row>
    <row r="1101" spans="1:1">
      <c r="A1101" s="12" t="s">
        <v>24</v>
      </c>
    </row>
    <row r="1102" spans="1:1">
      <c r="A1102" s="12" t="s">
        <v>24</v>
      </c>
    </row>
    <row r="1103" spans="1:1">
      <c r="A1103" s="12" t="s">
        <v>24</v>
      </c>
    </row>
    <row r="1104" spans="1:1">
      <c r="A1104" s="12"/>
    </row>
    <row r="1105" spans="1:1">
      <c r="A1105" s="12" t="s">
        <v>24</v>
      </c>
    </row>
    <row r="1106" spans="1:1">
      <c r="A1106" s="12" t="s">
        <v>24</v>
      </c>
    </row>
    <row r="1107" spans="1:1">
      <c r="A1107" s="12" t="s">
        <v>24</v>
      </c>
    </row>
    <row r="1108" spans="1:1">
      <c r="A1108" s="12"/>
    </row>
    <row r="1109" spans="1:1">
      <c r="A1109" s="12" t="s">
        <v>24</v>
      </c>
    </row>
    <row r="1110" spans="1:1">
      <c r="A1110" s="12" t="s">
        <v>24</v>
      </c>
    </row>
    <row r="1111" spans="1:1">
      <c r="A1111" s="12"/>
    </row>
    <row r="1112" spans="1:1">
      <c r="A1112" s="12" t="s">
        <v>24</v>
      </c>
    </row>
    <row r="1113" spans="1:1">
      <c r="A1113" s="12" t="s">
        <v>24</v>
      </c>
    </row>
    <row r="1114" spans="1:1">
      <c r="A1114" s="12"/>
    </row>
    <row r="1115" spans="1:1">
      <c r="A1115" s="12" t="s">
        <v>24</v>
      </c>
    </row>
    <row r="1116" spans="1:1">
      <c r="A1116" s="12" t="s">
        <v>24</v>
      </c>
    </row>
    <row r="1117" spans="1:1">
      <c r="A1117" s="12"/>
    </row>
    <row r="1118" spans="1:1">
      <c r="A1118" s="12" t="s">
        <v>24</v>
      </c>
    </row>
    <row r="1119" spans="1:1">
      <c r="A1119" s="12" t="s">
        <v>24</v>
      </c>
    </row>
    <row r="1120" spans="1:1">
      <c r="A1120" s="12"/>
    </row>
    <row r="1121" spans="1:1">
      <c r="A1121" s="12" t="s">
        <v>24</v>
      </c>
    </row>
    <row r="1122" spans="1:1">
      <c r="A1122" s="12" t="s">
        <v>24</v>
      </c>
    </row>
    <row r="1123" spans="1:1">
      <c r="A1123" s="12"/>
    </row>
    <row r="1124" spans="1:1">
      <c r="A1124" s="12" t="s">
        <v>24</v>
      </c>
    </row>
    <row r="1125" spans="1:1">
      <c r="A1125" s="12" t="s">
        <v>24</v>
      </c>
    </row>
    <row r="1126" spans="1:1">
      <c r="A1126" s="12"/>
    </row>
    <row r="1127" spans="1:1">
      <c r="A1127" s="12" t="s">
        <v>24</v>
      </c>
    </row>
    <row r="1128" spans="1:1">
      <c r="A1128" s="12"/>
    </row>
    <row r="1129" spans="1:1">
      <c r="A1129" s="12" t="s">
        <v>24</v>
      </c>
    </row>
    <row r="1130" spans="1:1">
      <c r="A1130" s="12" t="s">
        <v>24</v>
      </c>
    </row>
    <row r="1131" spans="1:1">
      <c r="A1131" s="12"/>
    </row>
    <row r="1132" spans="1:1">
      <c r="A1132" s="12" t="s">
        <v>24</v>
      </c>
    </row>
    <row r="1133" spans="1:1">
      <c r="A1133" s="12"/>
    </row>
    <row r="1134" spans="1:1">
      <c r="A1134" s="12" t="s">
        <v>24</v>
      </c>
    </row>
    <row r="1135" spans="1:1">
      <c r="A1135" s="12" t="s">
        <v>24</v>
      </c>
    </row>
    <row r="1136" spans="1:1">
      <c r="A1136" s="12"/>
    </row>
    <row r="1137" spans="1:1">
      <c r="A1137" s="12" t="s">
        <v>24</v>
      </c>
    </row>
    <row r="1138" spans="1:1">
      <c r="A1138" s="12" t="s">
        <v>24</v>
      </c>
    </row>
    <row r="1139" spans="1:1">
      <c r="A1139" s="12"/>
    </row>
    <row r="1140" spans="1:1">
      <c r="A1140" s="12" t="s">
        <v>24</v>
      </c>
    </row>
    <row r="1141" spans="1:1">
      <c r="A1141" s="12" t="s">
        <v>24</v>
      </c>
    </row>
    <row r="1142" spans="1:1">
      <c r="A1142" s="12"/>
    </row>
    <row r="1143" spans="1:1">
      <c r="A1143" s="12" t="s">
        <v>24</v>
      </c>
    </row>
    <row r="1144" spans="1:1">
      <c r="A1144" s="12" t="s">
        <v>24</v>
      </c>
    </row>
    <row r="1145" spans="1:1">
      <c r="A1145" s="12" t="s">
        <v>24</v>
      </c>
    </row>
    <row r="1146" spans="1:1">
      <c r="A1146" s="12" t="s">
        <v>24</v>
      </c>
    </row>
    <row r="1147" spans="1:1">
      <c r="A1147" s="12" t="s">
        <v>24</v>
      </c>
    </row>
    <row r="1148" spans="1:1">
      <c r="A1148" s="12"/>
    </row>
    <row r="1149" spans="1:1">
      <c r="A1149" s="12" t="s">
        <v>24</v>
      </c>
    </row>
    <row r="1150" spans="1:1">
      <c r="A1150" s="12" t="s">
        <v>24</v>
      </c>
    </row>
    <row r="1151" spans="1:1">
      <c r="A1151" s="12" t="s">
        <v>24</v>
      </c>
    </row>
    <row r="1152" spans="1:1">
      <c r="A1152" s="12" t="s">
        <v>24</v>
      </c>
    </row>
    <row r="1153" spans="1:1">
      <c r="A1153" s="12" t="s">
        <v>24</v>
      </c>
    </row>
    <row r="1154" spans="1:1">
      <c r="A1154" s="12" t="s">
        <v>24</v>
      </c>
    </row>
    <row r="1155" spans="1:1">
      <c r="A1155" s="12" t="s">
        <v>24</v>
      </c>
    </row>
    <row r="1156" spans="1:1">
      <c r="A1156" s="12"/>
    </row>
    <row r="1157" spans="1:1">
      <c r="A1157" s="12" t="s">
        <v>24</v>
      </c>
    </row>
    <row r="1158" spans="1:1">
      <c r="A1158" s="12" t="s">
        <v>24</v>
      </c>
    </row>
    <row r="1159" spans="1:1">
      <c r="A1159" s="12" t="s">
        <v>24</v>
      </c>
    </row>
    <row r="1160" spans="1:1">
      <c r="A1160" s="12" t="s">
        <v>24</v>
      </c>
    </row>
    <row r="1161" spans="1:1">
      <c r="A1161" s="12" t="s">
        <v>24</v>
      </c>
    </row>
    <row r="1162" spans="1:1">
      <c r="A1162" s="12" t="s">
        <v>24</v>
      </c>
    </row>
    <row r="1163" spans="1:1">
      <c r="A1163" s="12" t="s">
        <v>24</v>
      </c>
    </row>
    <row r="1164" spans="1:1">
      <c r="A1164" s="12"/>
    </row>
    <row r="1165" spans="1:1">
      <c r="A1165" s="12" t="s">
        <v>24</v>
      </c>
    </row>
    <row r="1166" spans="1:1">
      <c r="A1166" s="12" t="s">
        <v>24</v>
      </c>
    </row>
    <row r="1167" spans="1:1">
      <c r="A1167" s="12" t="s">
        <v>24</v>
      </c>
    </row>
    <row r="1168" spans="1:1">
      <c r="A1168" s="12" t="s">
        <v>24</v>
      </c>
    </row>
    <row r="1169" spans="1:1">
      <c r="A1169" s="12" t="s">
        <v>24</v>
      </c>
    </row>
    <row r="1170" spans="1:1">
      <c r="A1170" s="12" t="s">
        <v>24</v>
      </c>
    </row>
    <row r="1171" spans="1:1">
      <c r="A1171" s="12" t="s">
        <v>24</v>
      </c>
    </row>
    <row r="1172" spans="1:1">
      <c r="A1172" s="12" t="s">
        <v>24</v>
      </c>
    </row>
    <row r="1173" spans="1:1">
      <c r="A1173" s="12" t="s">
        <v>24</v>
      </c>
    </row>
    <row r="1174" spans="1:1">
      <c r="A1174" s="12" t="s">
        <v>24</v>
      </c>
    </row>
    <row r="1175" spans="1:1">
      <c r="A1175" s="12" t="s">
        <v>24</v>
      </c>
    </row>
    <row r="1176" spans="1:1">
      <c r="A1176" s="12"/>
    </row>
    <row r="1177" spans="1:1">
      <c r="A1177" s="12" t="s">
        <v>24</v>
      </c>
    </row>
    <row r="1178" spans="1:1">
      <c r="A1178" s="12" t="s">
        <v>24</v>
      </c>
    </row>
    <row r="1179" spans="1:1">
      <c r="A1179" s="12" t="s">
        <v>24</v>
      </c>
    </row>
    <row r="1180" spans="1:1">
      <c r="A1180" s="12" t="s">
        <v>24</v>
      </c>
    </row>
    <row r="1181" spans="1:1">
      <c r="A1181" s="12" t="s">
        <v>24</v>
      </c>
    </row>
    <row r="1182" spans="1:1">
      <c r="A1182" s="12" t="s">
        <v>24</v>
      </c>
    </row>
    <row r="1183" spans="1:1">
      <c r="A1183" s="12"/>
    </row>
    <row r="1184" spans="1:1">
      <c r="A1184" s="12"/>
    </row>
    <row r="1185" spans="1:1">
      <c r="A1185" s="12" t="s">
        <v>24</v>
      </c>
    </row>
    <row r="1186" spans="1:1">
      <c r="A1186" s="12" t="s">
        <v>24</v>
      </c>
    </row>
    <row r="1187" spans="1:1">
      <c r="A1187" s="12" t="s">
        <v>24</v>
      </c>
    </row>
    <row r="1188" spans="1:1">
      <c r="A1188" s="12" t="s">
        <v>24</v>
      </c>
    </row>
    <row r="1189" spans="1:1">
      <c r="A1189" s="12" t="s">
        <v>24</v>
      </c>
    </row>
    <row r="1190" spans="1:1">
      <c r="A1190" s="12" t="s">
        <v>24</v>
      </c>
    </row>
    <row r="1191" spans="1:1">
      <c r="A1191" s="12" t="s">
        <v>24</v>
      </c>
    </row>
    <row r="1192" spans="1:1">
      <c r="A1192" s="12" t="s">
        <v>24</v>
      </c>
    </row>
    <row r="1193" spans="1:1">
      <c r="A1193" s="12"/>
    </row>
    <row r="1194" spans="1:1">
      <c r="A1194" s="12" t="s">
        <v>24</v>
      </c>
    </row>
    <row r="1195" spans="1:1">
      <c r="A1195" s="12" t="s">
        <v>24</v>
      </c>
    </row>
    <row r="1196" spans="1:1">
      <c r="A1196" s="12"/>
    </row>
    <row r="1197" spans="1:1">
      <c r="A1197" s="12" t="s">
        <v>24</v>
      </c>
    </row>
    <row r="1198" spans="1:1">
      <c r="A1198" s="12" t="s">
        <v>24</v>
      </c>
    </row>
    <row r="1199" spans="1:1">
      <c r="A1199" s="12" t="s">
        <v>24</v>
      </c>
    </row>
    <row r="1200" spans="1:1">
      <c r="A1200" s="12" t="s">
        <v>24</v>
      </c>
    </row>
    <row r="1201" spans="1:1">
      <c r="A1201" s="12"/>
    </row>
    <row r="1202" spans="1:1">
      <c r="A1202" s="12" t="s">
        <v>24</v>
      </c>
    </row>
    <row r="1203" spans="1:1">
      <c r="A1203" s="12" t="s">
        <v>24</v>
      </c>
    </row>
    <row r="1204" spans="1:1">
      <c r="A1204" s="12" t="s">
        <v>24</v>
      </c>
    </row>
    <row r="1205" spans="1:1">
      <c r="A1205" s="12" t="s">
        <v>24</v>
      </c>
    </row>
    <row r="1206" spans="1:1">
      <c r="A1206" s="12" t="s">
        <v>24</v>
      </c>
    </row>
    <row r="1207" spans="1:1">
      <c r="A1207" s="12" t="s">
        <v>24</v>
      </c>
    </row>
    <row r="1208" spans="1:1">
      <c r="A1208" s="12" t="s">
        <v>24</v>
      </c>
    </row>
    <row r="1209" spans="1:1">
      <c r="A1209" s="12" t="s">
        <v>24</v>
      </c>
    </row>
    <row r="1210" spans="1:1">
      <c r="A1210" s="12" t="s">
        <v>24</v>
      </c>
    </row>
    <row r="1211" spans="1:1">
      <c r="A1211" s="12" t="s">
        <v>24</v>
      </c>
    </row>
    <row r="1212" spans="1:1">
      <c r="A1212" s="12" t="s">
        <v>24</v>
      </c>
    </row>
    <row r="1213" spans="1:1">
      <c r="A1213" s="12" t="s">
        <v>24</v>
      </c>
    </row>
    <row r="1214" spans="1:1">
      <c r="A1214" s="12"/>
    </row>
    <row r="1215" spans="1:1">
      <c r="A1215" s="12" t="s">
        <v>24</v>
      </c>
    </row>
    <row r="1216" spans="1:1">
      <c r="A1216" s="12" t="s">
        <v>24</v>
      </c>
    </row>
    <row r="1217" spans="1:1">
      <c r="A1217" s="12" t="s">
        <v>24</v>
      </c>
    </row>
    <row r="1218" spans="1:1">
      <c r="A1218" s="12" t="s">
        <v>24</v>
      </c>
    </row>
    <row r="1219" spans="1:1">
      <c r="A1219" s="12" t="s">
        <v>24</v>
      </c>
    </row>
    <row r="1220" spans="1:1">
      <c r="A1220" s="12" t="s">
        <v>24</v>
      </c>
    </row>
    <row r="1221" spans="1:1">
      <c r="A1221" s="12"/>
    </row>
    <row r="1222" spans="1:1">
      <c r="A1222" s="12" t="s">
        <v>24</v>
      </c>
    </row>
    <row r="1223" spans="1:1">
      <c r="A1223" s="12" t="s">
        <v>24</v>
      </c>
    </row>
    <row r="1224" spans="1:1">
      <c r="A1224" s="12" t="s">
        <v>24</v>
      </c>
    </row>
    <row r="1225" spans="1:1">
      <c r="A1225" s="12"/>
    </row>
    <row r="1226" spans="1:1">
      <c r="A1226" s="12" t="s">
        <v>24</v>
      </c>
    </row>
    <row r="1227" spans="1:1">
      <c r="A1227" s="12" t="s">
        <v>24</v>
      </c>
    </row>
    <row r="1228" spans="1:1">
      <c r="A1228" s="12" t="s">
        <v>24</v>
      </c>
    </row>
    <row r="1229" spans="1:1">
      <c r="A1229" s="12" t="s">
        <v>24</v>
      </c>
    </row>
    <row r="1230" spans="1:1">
      <c r="A1230" s="12" t="s">
        <v>24</v>
      </c>
    </row>
    <row r="1231" spans="1:1">
      <c r="A1231" s="12" t="s">
        <v>24</v>
      </c>
    </row>
    <row r="1232" spans="1:1">
      <c r="A1232" s="12" t="s">
        <v>24</v>
      </c>
    </row>
    <row r="1233" spans="1:1">
      <c r="A1233" s="12" t="s">
        <v>24</v>
      </c>
    </row>
    <row r="1234" spans="1:1">
      <c r="A1234" s="12" t="s">
        <v>24</v>
      </c>
    </row>
    <row r="1235" spans="1:1">
      <c r="A1235" s="12" t="s">
        <v>24</v>
      </c>
    </row>
    <row r="1236" spans="1:1">
      <c r="A1236" s="12" t="s">
        <v>24</v>
      </c>
    </row>
    <row r="1237" spans="1:1">
      <c r="A1237" s="12" t="s">
        <v>24</v>
      </c>
    </row>
    <row r="1238" spans="1:1">
      <c r="A1238" s="12" t="s">
        <v>24</v>
      </c>
    </row>
    <row r="1239" spans="1:1">
      <c r="A1239" s="12" t="s">
        <v>24</v>
      </c>
    </row>
    <row r="1240" spans="1:1">
      <c r="A1240" s="12" t="s">
        <v>24</v>
      </c>
    </row>
    <row r="1241" spans="1:1">
      <c r="A1241" s="12" t="s">
        <v>24</v>
      </c>
    </row>
    <row r="1242" spans="1:1">
      <c r="A1242" s="12"/>
    </row>
    <row r="1243" spans="1:1">
      <c r="A1243" s="12" t="s">
        <v>24</v>
      </c>
    </row>
    <row r="1244" spans="1:1">
      <c r="A1244" s="12" t="s">
        <v>24</v>
      </c>
    </row>
    <row r="1245" spans="1:1">
      <c r="A1245" s="12" t="s">
        <v>24</v>
      </c>
    </row>
    <row r="1246" spans="1:1">
      <c r="A1246" s="12" t="s">
        <v>24</v>
      </c>
    </row>
    <row r="1247" spans="1:1">
      <c r="A1247" s="12" t="s">
        <v>24</v>
      </c>
    </row>
    <row r="1248" spans="1:1">
      <c r="A1248" s="12" t="s">
        <v>24</v>
      </c>
    </row>
    <row r="1249" spans="1:1">
      <c r="A1249" s="12" t="s">
        <v>24</v>
      </c>
    </row>
    <row r="1250" spans="1:1">
      <c r="A1250" s="12" t="s">
        <v>24</v>
      </c>
    </row>
    <row r="1251" spans="1:1">
      <c r="A1251" s="12" t="s">
        <v>24</v>
      </c>
    </row>
    <row r="1252" spans="1:1">
      <c r="A1252" s="12" t="s">
        <v>24</v>
      </c>
    </row>
    <row r="1253" spans="1:1">
      <c r="A1253" s="12" t="s">
        <v>24</v>
      </c>
    </row>
    <row r="1254" spans="1:1">
      <c r="A1254" s="12" t="s">
        <v>24</v>
      </c>
    </row>
    <row r="1255" spans="1:1">
      <c r="A1255" s="12" t="s">
        <v>24</v>
      </c>
    </row>
    <row r="1256" spans="1:1">
      <c r="A1256" s="12" t="s">
        <v>24</v>
      </c>
    </row>
    <row r="1257" spans="1:1">
      <c r="A1257" s="12" t="s">
        <v>24</v>
      </c>
    </row>
    <row r="1258" spans="1:1">
      <c r="A1258" s="12" t="s">
        <v>24</v>
      </c>
    </row>
    <row r="1259" spans="1:1">
      <c r="A1259" s="12" t="s">
        <v>24</v>
      </c>
    </row>
    <row r="1260" spans="1:1">
      <c r="A1260" s="12" t="s">
        <v>24</v>
      </c>
    </row>
    <row r="1261" spans="1:1">
      <c r="A1261" s="12" t="s">
        <v>24</v>
      </c>
    </row>
    <row r="1262" spans="1:1">
      <c r="A1262" s="12" t="s">
        <v>24</v>
      </c>
    </row>
    <row r="1263" spans="1:1">
      <c r="A1263" s="12" t="s">
        <v>24</v>
      </c>
    </row>
    <row r="1264" spans="1:1">
      <c r="A1264" s="12" t="s">
        <v>24</v>
      </c>
    </row>
    <row r="1265" spans="1:1">
      <c r="A1265" s="12" t="s">
        <v>24</v>
      </c>
    </row>
    <row r="1266" spans="1:1">
      <c r="A1266" s="12" t="s">
        <v>24</v>
      </c>
    </row>
    <row r="1267" spans="1:1">
      <c r="A1267" s="12" t="s">
        <v>24</v>
      </c>
    </row>
    <row r="1268" spans="1:1">
      <c r="A1268" s="12" t="s">
        <v>24</v>
      </c>
    </row>
    <row r="1269" spans="1:1">
      <c r="A1269" s="12" t="s">
        <v>24</v>
      </c>
    </row>
    <row r="1270" spans="1:1">
      <c r="A1270" s="12" t="s">
        <v>24</v>
      </c>
    </row>
    <row r="1271" spans="1:1">
      <c r="A1271" s="12" t="s">
        <v>24</v>
      </c>
    </row>
    <row r="1272" spans="1:1">
      <c r="A1272" s="12" t="s">
        <v>24</v>
      </c>
    </row>
    <row r="1273" spans="1:1">
      <c r="A1273" s="12" t="s">
        <v>24</v>
      </c>
    </row>
    <row r="1274" spans="1:1">
      <c r="A1274" s="12"/>
    </row>
    <row r="1275" spans="1:1">
      <c r="A1275" s="12" t="s">
        <v>24</v>
      </c>
    </row>
    <row r="1276" spans="1:1">
      <c r="A1276" s="12" t="s">
        <v>24</v>
      </c>
    </row>
    <row r="1277" spans="1:1">
      <c r="A1277" s="12" t="s">
        <v>24</v>
      </c>
    </row>
    <row r="1278" spans="1:1">
      <c r="A1278" s="12" t="s">
        <v>24</v>
      </c>
    </row>
    <row r="1279" spans="1:1">
      <c r="A1279" s="12" t="s">
        <v>24</v>
      </c>
    </row>
    <row r="1280" spans="1:1">
      <c r="A1280" s="12" t="s">
        <v>24</v>
      </c>
    </row>
    <row r="1281" spans="1:1">
      <c r="A1281" s="12" t="s">
        <v>24</v>
      </c>
    </row>
    <row r="1282" spans="1:1">
      <c r="A1282" s="12" t="s">
        <v>24</v>
      </c>
    </row>
    <row r="1283" spans="1:1">
      <c r="A1283" s="12" t="s">
        <v>24</v>
      </c>
    </row>
    <row r="1284" spans="1:1">
      <c r="A1284" s="12" t="s">
        <v>24</v>
      </c>
    </row>
    <row r="1285" spans="1:1">
      <c r="A1285" s="12" t="s">
        <v>24</v>
      </c>
    </row>
    <row r="1286" spans="1:1">
      <c r="A1286" s="12" t="s">
        <v>24</v>
      </c>
    </row>
    <row r="1287" spans="1:1">
      <c r="A1287" s="12" t="s">
        <v>24</v>
      </c>
    </row>
    <row r="1288" spans="1:1">
      <c r="A1288" s="12" t="s">
        <v>24</v>
      </c>
    </row>
    <row r="1289" spans="1:1">
      <c r="A1289" s="12" t="s">
        <v>24</v>
      </c>
    </row>
    <row r="1290" spans="1:1">
      <c r="A1290" s="12" t="s">
        <v>24</v>
      </c>
    </row>
    <row r="1291" spans="1:1">
      <c r="A1291" s="12" t="s">
        <v>24</v>
      </c>
    </row>
    <row r="1292" spans="1:1">
      <c r="A1292" s="12" t="s">
        <v>24</v>
      </c>
    </row>
    <row r="1293" spans="1:1">
      <c r="A1293" s="12" t="s">
        <v>24</v>
      </c>
    </row>
    <row r="1294" spans="1:1">
      <c r="A1294" s="12" t="s">
        <v>24</v>
      </c>
    </row>
    <row r="1295" spans="1:1">
      <c r="A1295" s="12" t="s">
        <v>24</v>
      </c>
    </row>
    <row r="1296" spans="1:1">
      <c r="A1296" s="12" t="s">
        <v>24</v>
      </c>
    </row>
    <row r="1297" spans="1:1">
      <c r="A1297" s="12" t="s">
        <v>24</v>
      </c>
    </row>
    <row r="1298" spans="1:1">
      <c r="A1298" s="12" t="s">
        <v>24</v>
      </c>
    </row>
    <row r="1299" spans="1:1">
      <c r="A1299" s="12" t="s">
        <v>24</v>
      </c>
    </row>
    <row r="1300" spans="1:1">
      <c r="A1300" s="12" t="s">
        <v>24</v>
      </c>
    </row>
    <row r="1301" spans="1:1">
      <c r="A1301" s="12" t="s">
        <v>24</v>
      </c>
    </row>
    <row r="1302" spans="1:1">
      <c r="A1302" s="12" t="s">
        <v>24</v>
      </c>
    </row>
    <row r="1303" spans="1:1">
      <c r="A1303" s="12"/>
    </row>
    <row r="1304" spans="1:1">
      <c r="A1304" s="12" t="s">
        <v>24</v>
      </c>
    </row>
    <row r="1305" spans="1:1">
      <c r="A1305" s="12" t="s">
        <v>24</v>
      </c>
    </row>
    <row r="1306" spans="1:1">
      <c r="A1306" s="12" t="s">
        <v>24</v>
      </c>
    </row>
    <row r="1307" spans="1:1">
      <c r="A1307" s="12" t="s">
        <v>24</v>
      </c>
    </row>
    <row r="1308" spans="1:1">
      <c r="A1308" s="12" t="s">
        <v>24</v>
      </c>
    </row>
    <row r="1309" spans="1:1">
      <c r="A1309" s="12" t="s">
        <v>24</v>
      </c>
    </row>
    <row r="1310" spans="1:1">
      <c r="A1310" s="12"/>
    </row>
    <row r="1311" spans="1:1">
      <c r="A1311" s="12" t="s">
        <v>24</v>
      </c>
    </row>
    <row r="1312" spans="1:1">
      <c r="A1312" s="12" t="s">
        <v>24</v>
      </c>
    </row>
    <row r="1313" spans="1:1">
      <c r="A1313" s="12"/>
    </row>
    <row r="1314" spans="1:1">
      <c r="A1314" s="12" t="s">
        <v>24</v>
      </c>
    </row>
    <row r="1315" spans="1:1">
      <c r="A1315" s="12" t="s">
        <v>24</v>
      </c>
    </row>
    <row r="1316" spans="1:1">
      <c r="A1316" s="12"/>
    </row>
    <row r="1317" spans="1:1">
      <c r="A1317" s="12" t="s">
        <v>24</v>
      </c>
    </row>
    <row r="1318" spans="1:1">
      <c r="A1318" s="12"/>
    </row>
    <row r="1319" spans="1:1">
      <c r="A1319" s="12" t="s">
        <v>24</v>
      </c>
    </row>
    <row r="1320" spans="1:1">
      <c r="A1320" s="12" t="s">
        <v>24</v>
      </c>
    </row>
    <row r="1321" spans="1:1">
      <c r="A1321" s="12" t="s">
        <v>24</v>
      </c>
    </row>
    <row r="1322" spans="1:1">
      <c r="A1322" s="12" t="s">
        <v>24</v>
      </c>
    </row>
    <row r="1323" spans="1:1">
      <c r="A1323" s="12" t="s">
        <v>24</v>
      </c>
    </row>
    <row r="1324" spans="1:1">
      <c r="A1324" s="12"/>
    </row>
    <row r="1325" spans="1:1">
      <c r="A1325" s="12" t="s">
        <v>24</v>
      </c>
    </row>
    <row r="1326" spans="1:1">
      <c r="A1326" s="12" t="s">
        <v>24</v>
      </c>
    </row>
    <row r="1327" spans="1:1">
      <c r="A1327" s="12" t="s">
        <v>24</v>
      </c>
    </row>
    <row r="1328" spans="1:1">
      <c r="A1328" s="12" t="s">
        <v>24</v>
      </c>
    </row>
    <row r="1329" spans="1:1">
      <c r="A1329" s="12" t="s">
        <v>24</v>
      </c>
    </row>
    <row r="1330" spans="1:1">
      <c r="A1330" s="12" t="s">
        <v>24</v>
      </c>
    </row>
    <row r="1331" spans="1:1">
      <c r="A1331" s="12" t="s">
        <v>24</v>
      </c>
    </row>
    <row r="1332" spans="1:1">
      <c r="A1332" s="12" t="s">
        <v>24</v>
      </c>
    </row>
    <row r="1333" spans="1:1">
      <c r="A1333" s="12" t="s">
        <v>24</v>
      </c>
    </row>
    <row r="1334" spans="1:1">
      <c r="A1334" s="12" t="s">
        <v>24</v>
      </c>
    </row>
    <row r="1335" spans="1:1">
      <c r="A1335" s="12" t="s">
        <v>24</v>
      </c>
    </row>
    <row r="1336" spans="1:1">
      <c r="A1336" s="12" t="s">
        <v>24</v>
      </c>
    </row>
    <row r="1337" spans="1:1">
      <c r="A1337" s="12" t="s">
        <v>24</v>
      </c>
    </row>
    <row r="1338" spans="1:1">
      <c r="A1338" s="12" t="s">
        <v>24</v>
      </c>
    </row>
    <row r="1339" spans="1:1">
      <c r="A1339" s="12" t="s">
        <v>24</v>
      </c>
    </row>
    <row r="1340" spans="1:1">
      <c r="A1340" s="12" t="s">
        <v>24</v>
      </c>
    </row>
    <row r="1341" spans="1:1">
      <c r="A1341" s="12" t="s">
        <v>24</v>
      </c>
    </row>
    <row r="1342" spans="1:1">
      <c r="A1342" s="12" t="s">
        <v>24</v>
      </c>
    </row>
    <row r="1343" spans="1:1">
      <c r="A1343" s="12"/>
    </row>
    <row r="1344" spans="1:1">
      <c r="A1344" s="12" t="s">
        <v>24</v>
      </c>
    </row>
    <row r="1345" spans="1:1">
      <c r="A1345" s="12" t="s">
        <v>24</v>
      </c>
    </row>
    <row r="1346" spans="1:1">
      <c r="A1346" s="12" t="s">
        <v>24</v>
      </c>
    </row>
    <row r="1347" spans="1:1">
      <c r="A1347" s="12" t="s">
        <v>24</v>
      </c>
    </row>
    <row r="1348" spans="1:1">
      <c r="A1348" s="12" t="s">
        <v>24</v>
      </c>
    </row>
    <row r="1349" spans="1:1">
      <c r="A1349" s="12" t="s">
        <v>24</v>
      </c>
    </row>
    <row r="1350" spans="1:1">
      <c r="A1350" s="12" t="s">
        <v>24</v>
      </c>
    </row>
    <row r="1351" spans="1:1">
      <c r="A1351" s="12"/>
    </row>
    <row r="1352" spans="1:1">
      <c r="A1352" s="12" t="s">
        <v>24</v>
      </c>
    </row>
    <row r="1353" spans="1:1">
      <c r="A1353" s="12" t="s">
        <v>24</v>
      </c>
    </row>
    <row r="1354" spans="1:1">
      <c r="A1354" s="12" t="s">
        <v>24</v>
      </c>
    </row>
    <row r="1355" spans="1:1">
      <c r="A1355" s="12" t="s">
        <v>24</v>
      </c>
    </row>
    <row r="1356" spans="1:1">
      <c r="A1356" s="12" t="s">
        <v>24</v>
      </c>
    </row>
    <row r="1357" spans="1:1">
      <c r="A1357" s="12" t="s">
        <v>24</v>
      </c>
    </row>
    <row r="1358" spans="1:1">
      <c r="A1358" s="12" t="s">
        <v>24</v>
      </c>
    </row>
    <row r="1359" spans="1:1">
      <c r="A1359" s="12" t="s">
        <v>24</v>
      </c>
    </row>
    <row r="1360" spans="1:1">
      <c r="A1360" s="12" t="s">
        <v>24</v>
      </c>
    </row>
    <row r="1361" spans="1:1">
      <c r="A1361" s="12" t="s">
        <v>24</v>
      </c>
    </row>
    <row r="1362" spans="1:1">
      <c r="A1362" s="12" t="s">
        <v>24</v>
      </c>
    </row>
    <row r="1363" spans="1:1">
      <c r="A1363" s="12"/>
    </row>
    <row r="1364" spans="1:1">
      <c r="A1364" s="12" t="s">
        <v>24</v>
      </c>
    </row>
    <row r="1365" spans="1:1">
      <c r="A1365" s="12" t="s">
        <v>24</v>
      </c>
    </row>
    <row r="1366" spans="1:1">
      <c r="A1366" s="12" t="s">
        <v>24</v>
      </c>
    </row>
    <row r="1367" spans="1:1">
      <c r="A1367" s="12"/>
    </row>
    <row r="1368" spans="1:1">
      <c r="A1368" s="12" t="s">
        <v>24</v>
      </c>
    </row>
    <row r="1369" spans="1:1">
      <c r="A1369" s="12" t="s">
        <v>24</v>
      </c>
    </row>
    <row r="1370" spans="1:1">
      <c r="A1370" s="12" t="s">
        <v>24</v>
      </c>
    </row>
    <row r="1371" spans="1:1">
      <c r="A1371" s="12" t="s">
        <v>24</v>
      </c>
    </row>
    <row r="1372" spans="1:1">
      <c r="A1372" s="12" t="s">
        <v>24</v>
      </c>
    </row>
    <row r="1373" spans="1:1">
      <c r="A1373" s="12" t="s">
        <v>24</v>
      </c>
    </row>
    <row r="1374" spans="1:1">
      <c r="A1374" s="12" t="s">
        <v>24</v>
      </c>
    </row>
    <row r="1375" spans="1:1">
      <c r="A1375" s="12" t="s">
        <v>24</v>
      </c>
    </row>
    <row r="1376" spans="1:1">
      <c r="A1376" s="12" t="s">
        <v>24</v>
      </c>
    </row>
    <row r="1377" spans="1:1">
      <c r="A1377" s="12" t="s">
        <v>24</v>
      </c>
    </row>
    <row r="1378" spans="1:1">
      <c r="A1378" s="12" t="s">
        <v>24</v>
      </c>
    </row>
    <row r="1379" spans="1:1">
      <c r="A1379" s="12" t="s">
        <v>24</v>
      </c>
    </row>
    <row r="1380" spans="1:1">
      <c r="A1380" s="12" t="s">
        <v>24</v>
      </c>
    </row>
    <row r="1381" spans="1:1">
      <c r="A1381" s="12" t="s">
        <v>24</v>
      </c>
    </row>
    <row r="1382" spans="1:1">
      <c r="A1382" s="12" t="s">
        <v>24</v>
      </c>
    </row>
    <row r="1383" spans="1:1">
      <c r="A1383" s="12" t="s">
        <v>24</v>
      </c>
    </row>
    <row r="1384" spans="1:1">
      <c r="A1384" s="12" t="s">
        <v>24</v>
      </c>
    </row>
    <row r="1385" spans="1:1">
      <c r="A1385" s="12" t="s">
        <v>24</v>
      </c>
    </row>
    <row r="1386" spans="1:1">
      <c r="A1386" s="12" t="s">
        <v>24</v>
      </c>
    </row>
    <row r="1387" spans="1:1">
      <c r="A1387" s="12" t="s">
        <v>24</v>
      </c>
    </row>
    <row r="1388" spans="1:1">
      <c r="A1388" s="12"/>
    </row>
    <row r="1389" spans="1:1">
      <c r="A1389" s="12" t="s">
        <v>24</v>
      </c>
    </row>
    <row r="1390" spans="1:1">
      <c r="A1390" s="12" t="s">
        <v>24</v>
      </c>
    </row>
    <row r="1391" spans="1:1">
      <c r="A1391" s="12"/>
    </row>
    <row r="1392" spans="1:1">
      <c r="A1392" s="12" t="s">
        <v>24</v>
      </c>
    </row>
    <row r="1393" spans="1:1">
      <c r="A1393" s="12" t="s">
        <v>24</v>
      </c>
    </row>
    <row r="1394" spans="1:1">
      <c r="A1394" s="12" t="s">
        <v>24</v>
      </c>
    </row>
    <row r="1395" spans="1:1">
      <c r="A1395" s="12" t="s">
        <v>24</v>
      </c>
    </row>
    <row r="1396" spans="1:1">
      <c r="A1396" s="12" t="s">
        <v>24</v>
      </c>
    </row>
    <row r="1397" spans="1:1">
      <c r="A1397" s="12" t="s">
        <v>24</v>
      </c>
    </row>
    <row r="1398" spans="1:1">
      <c r="A1398" s="12" t="s">
        <v>24</v>
      </c>
    </row>
    <row r="1399" spans="1:1">
      <c r="A1399" s="12" t="s">
        <v>24</v>
      </c>
    </row>
    <row r="1400" spans="1:1">
      <c r="A1400" s="12" t="s">
        <v>24</v>
      </c>
    </row>
    <row r="1401" spans="1:1">
      <c r="A1401" s="12" t="s">
        <v>24</v>
      </c>
    </row>
    <row r="1402" spans="1:1">
      <c r="A1402" s="12" t="s">
        <v>24</v>
      </c>
    </row>
    <row r="1403" spans="1:1">
      <c r="A1403" s="12" t="s">
        <v>24</v>
      </c>
    </row>
    <row r="1404" spans="1:1">
      <c r="A1404" s="12" t="s">
        <v>24</v>
      </c>
    </row>
    <row r="1405" spans="1:1">
      <c r="A1405" s="12" t="s">
        <v>24</v>
      </c>
    </row>
    <row r="1406" spans="1:1">
      <c r="A1406" s="12" t="s">
        <v>24</v>
      </c>
    </row>
    <row r="1407" spans="1:1">
      <c r="A1407" s="12" t="s">
        <v>24</v>
      </c>
    </row>
    <row r="1408" spans="1:1">
      <c r="A1408" s="12" t="s">
        <v>24</v>
      </c>
    </row>
    <row r="1409" spans="1:1">
      <c r="A1409" s="12" t="s">
        <v>24</v>
      </c>
    </row>
    <row r="1410" spans="1:1">
      <c r="A1410" s="12" t="s">
        <v>24</v>
      </c>
    </row>
    <row r="1411" spans="1:1">
      <c r="A1411" s="12" t="s">
        <v>24</v>
      </c>
    </row>
    <row r="1412" spans="1:1">
      <c r="A1412" s="12" t="s">
        <v>24</v>
      </c>
    </row>
    <row r="1413" spans="1:1">
      <c r="A1413" s="12" t="s">
        <v>24</v>
      </c>
    </row>
    <row r="1414" spans="1:1">
      <c r="A1414" s="12" t="s">
        <v>24</v>
      </c>
    </row>
    <row r="1415" spans="1:1">
      <c r="A1415" s="12" t="s">
        <v>24</v>
      </c>
    </row>
    <row r="1416" spans="1:1">
      <c r="A1416" s="12" t="s">
        <v>24</v>
      </c>
    </row>
    <row r="1417" spans="1:1">
      <c r="A1417" s="12" t="s">
        <v>24</v>
      </c>
    </row>
    <row r="1418" spans="1:1">
      <c r="A1418" s="12" t="s">
        <v>24</v>
      </c>
    </row>
    <row r="1419" spans="1:1">
      <c r="A1419" s="12" t="s">
        <v>24</v>
      </c>
    </row>
    <row r="1420" spans="1:1">
      <c r="A1420" s="12" t="s">
        <v>24</v>
      </c>
    </row>
    <row r="1421" spans="1:1">
      <c r="A1421" s="12" t="s">
        <v>24</v>
      </c>
    </row>
    <row r="1422" spans="1:1">
      <c r="A1422" s="12" t="s">
        <v>24</v>
      </c>
    </row>
    <row r="1423" spans="1:1">
      <c r="A1423" s="12" t="s">
        <v>24</v>
      </c>
    </row>
    <row r="1424" spans="1:1">
      <c r="A1424" s="12" t="s">
        <v>24</v>
      </c>
    </row>
    <row r="1425" spans="1:1">
      <c r="A1425" s="12"/>
    </row>
    <row r="1426" spans="1:1">
      <c r="A1426" s="12" t="s">
        <v>24</v>
      </c>
    </row>
    <row r="1427" spans="1:1">
      <c r="A1427" s="12" t="s">
        <v>24</v>
      </c>
    </row>
    <row r="1428" spans="1:1">
      <c r="A1428" s="12" t="s">
        <v>24</v>
      </c>
    </row>
    <row r="1429" spans="1:1">
      <c r="A1429" s="12" t="s">
        <v>24</v>
      </c>
    </row>
    <row r="1430" spans="1:1">
      <c r="A1430" s="12" t="s">
        <v>24</v>
      </c>
    </row>
    <row r="1431" spans="1:1">
      <c r="A1431" s="12" t="s">
        <v>24</v>
      </c>
    </row>
    <row r="1432" spans="1:1">
      <c r="A1432" s="12" t="s">
        <v>24</v>
      </c>
    </row>
    <row r="1433" spans="1:1">
      <c r="A1433" s="12" t="s">
        <v>24</v>
      </c>
    </row>
    <row r="1434" spans="1:1">
      <c r="A1434" s="12" t="s">
        <v>24</v>
      </c>
    </row>
    <row r="1435" spans="1:1">
      <c r="A1435" s="12" t="s">
        <v>24</v>
      </c>
    </row>
    <row r="1436" spans="1:1">
      <c r="A1436" s="12"/>
    </row>
    <row r="1437" spans="1:1">
      <c r="A1437" s="12" t="s">
        <v>24</v>
      </c>
    </row>
    <row r="1438" spans="1:1">
      <c r="A1438" s="12"/>
    </row>
    <row r="1439" spans="1:1">
      <c r="A1439" s="12" t="s">
        <v>24</v>
      </c>
    </row>
    <row r="1440" spans="1:1">
      <c r="A1440" s="12" t="s">
        <v>24</v>
      </c>
    </row>
    <row r="1441" spans="1:1">
      <c r="A1441" s="12" t="s">
        <v>24</v>
      </c>
    </row>
    <row r="1442" spans="1:1">
      <c r="A1442" s="12" t="s">
        <v>24</v>
      </c>
    </row>
    <row r="1443" spans="1:1">
      <c r="A1443" s="12" t="s">
        <v>24</v>
      </c>
    </row>
    <row r="1444" spans="1:1">
      <c r="A1444" s="12" t="s">
        <v>24</v>
      </c>
    </row>
    <row r="1445" spans="1:1">
      <c r="A1445" s="12" t="s">
        <v>24</v>
      </c>
    </row>
    <row r="1446" spans="1:1">
      <c r="A1446" s="12" t="s">
        <v>24</v>
      </c>
    </row>
    <row r="1447" spans="1:1">
      <c r="A1447" s="12" t="s">
        <v>24</v>
      </c>
    </row>
    <row r="1448" spans="1:1">
      <c r="A1448" s="12" t="s">
        <v>24</v>
      </c>
    </row>
    <row r="1449" spans="1:1">
      <c r="A1449" s="12" t="s">
        <v>24</v>
      </c>
    </row>
    <row r="1450" spans="1:1">
      <c r="A1450" s="12" t="s">
        <v>24</v>
      </c>
    </row>
    <row r="1451" spans="1:1">
      <c r="A1451" s="12" t="s">
        <v>24</v>
      </c>
    </row>
    <row r="1452" spans="1:1">
      <c r="A1452" s="12" t="s">
        <v>24</v>
      </c>
    </row>
    <row r="1453" spans="1:1">
      <c r="A1453" s="12" t="s">
        <v>24</v>
      </c>
    </row>
    <row r="1454" spans="1:1">
      <c r="A1454" s="12" t="s">
        <v>24</v>
      </c>
    </row>
    <row r="1455" spans="1:1">
      <c r="A1455" s="12" t="s">
        <v>24</v>
      </c>
    </row>
    <row r="1456" spans="1:1">
      <c r="A1456" s="12"/>
    </row>
    <row r="1457" spans="1:1">
      <c r="A1457" s="12" t="s">
        <v>24</v>
      </c>
    </row>
    <row r="1458" spans="1:1">
      <c r="A1458" s="12" t="s">
        <v>24</v>
      </c>
    </row>
    <row r="1459" spans="1:1">
      <c r="A1459" s="12" t="s">
        <v>24</v>
      </c>
    </row>
    <row r="1460" spans="1:1">
      <c r="A1460" s="12" t="s">
        <v>24</v>
      </c>
    </row>
    <row r="1461" spans="1:1">
      <c r="A1461" s="12"/>
    </row>
    <row r="1462" spans="1:1">
      <c r="A1462" s="12" t="s">
        <v>24</v>
      </c>
    </row>
    <row r="1463" spans="1:1">
      <c r="A1463" s="12" t="s">
        <v>24</v>
      </c>
    </row>
    <row r="1464" spans="1:1">
      <c r="A1464" s="12" t="s">
        <v>24</v>
      </c>
    </row>
    <row r="1465" spans="1:1">
      <c r="A1465" s="12" t="s">
        <v>24</v>
      </c>
    </row>
    <row r="1466" spans="1:1">
      <c r="A1466" s="12" t="s">
        <v>24</v>
      </c>
    </row>
    <row r="1467" spans="1:1">
      <c r="A1467" s="12" t="s">
        <v>24</v>
      </c>
    </row>
    <row r="1468" spans="1:1">
      <c r="A1468" s="12"/>
    </row>
    <row r="1469" spans="1:1">
      <c r="A1469" s="12" t="s">
        <v>24</v>
      </c>
    </row>
    <row r="1470" spans="1:1">
      <c r="A1470" s="12" t="s">
        <v>24</v>
      </c>
    </row>
    <row r="1471" spans="1:1">
      <c r="A1471" s="12" t="s">
        <v>24</v>
      </c>
    </row>
    <row r="1472" spans="1:1">
      <c r="A1472" s="12" t="s">
        <v>24</v>
      </c>
    </row>
    <row r="1473" spans="1:1">
      <c r="A1473" s="12" t="s">
        <v>24</v>
      </c>
    </row>
    <row r="1474" spans="1:1">
      <c r="A1474" s="12" t="s">
        <v>24</v>
      </c>
    </row>
    <row r="1475" spans="1:1">
      <c r="A1475" s="12" t="s">
        <v>24</v>
      </c>
    </row>
    <row r="1476" spans="1:1">
      <c r="A1476" s="12" t="s">
        <v>24</v>
      </c>
    </row>
    <row r="1477" spans="1:1">
      <c r="A1477" s="12"/>
    </row>
    <row r="1478" spans="1:1">
      <c r="A1478" s="12" t="s">
        <v>24</v>
      </c>
    </row>
    <row r="1479" spans="1:1">
      <c r="A1479" s="12" t="s">
        <v>24</v>
      </c>
    </row>
    <row r="1480" spans="1:1">
      <c r="A1480" s="12" t="s">
        <v>24</v>
      </c>
    </row>
    <row r="1481" spans="1:1">
      <c r="A1481" s="12" t="s">
        <v>24</v>
      </c>
    </row>
    <row r="1482" spans="1:1">
      <c r="A1482" s="12" t="s">
        <v>24</v>
      </c>
    </row>
    <row r="1483" spans="1:1">
      <c r="A1483" s="12" t="s">
        <v>24</v>
      </c>
    </row>
    <row r="1484" spans="1:1">
      <c r="A1484" s="12" t="s">
        <v>24</v>
      </c>
    </row>
    <row r="1485" spans="1:1">
      <c r="A1485" s="12" t="s">
        <v>24</v>
      </c>
    </row>
    <row r="1486" spans="1:1">
      <c r="A1486" s="12"/>
    </row>
    <row r="1487" spans="1:1">
      <c r="A1487" s="12" t="s">
        <v>24</v>
      </c>
    </row>
    <row r="1488" spans="1:1">
      <c r="A1488" s="12" t="s">
        <v>24</v>
      </c>
    </row>
    <row r="1489" spans="1:1">
      <c r="A1489" s="12"/>
    </row>
    <row r="1490" spans="1:1">
      <c r="A1490" s="12"/>
    </row>
    <row r="1491" spans="1:1">
      <c r="A1491" s="12" t="s">
        <v>24</v>
      </c>
    </row>
    <row r="1492" spans="1:1">
      <c r="A1492" s="12" t="s">
        <v>24</v>
      </c>
    </row>
    <row r="1493" spans="1:1">
      <c r="A1493" s="12"/>
    </row>
    <row r="1494" spans="1:1">
      <c r="A1494" s="12" t="s">
        <v>24</v>
      </c>
    </row>
    <row r="1495" spans="1:1">
      <c r="A1495" s="12"/>
    </row>
    <row r="1496" spans="1:1">
      <c r="A1496" s="12" t="s">
        <v>24</v>
      </c>
    </row>
    <row r="1497" spans="1:1">
      <c r="A1497" s="12"/>
    </row>
    <row r="1498" spans="1:1">
      <c r="A1498" s="12" t="s">
        <v>24</v>
      </c>
    </row>
    <row r="1499" spans="1:1">
      <c r="A1499" s="12"/>
    </row>
    <row r="1500" spans="1:1">
      <c r="A1500" s="12" t="s">
        <v>24</v>
      </c>
    </row>
    <row r="1501" spans="1:1">
      <c r="A1501" s="12" t="s">
        <v>24</v>
      </c>
    </row>
    <row r="1502" spans="1:1">
      <c r="A1502" s="12" t="s">
        <v>24</v>
      </c>
    </row>
    <row r="1503" spans="1:1">
      <c r="A1503" s="12" t="s">
        <v>24</v>
      </c>
    </row>
    <row r="1504" spans="1:1">
      <c r="A1504" s="12" t="s">
        <v>24</v>
      </c>
    </row>
    <row r="1505" spans="1:1">
      <c r="A1505" s="12"/>
    </row>
    <row r="1506" spans="1:1">
      <c r="A1506" s="12" t="s">
        <v>24</v>
      </c>
    </row>
    <row r="1507" spans="1:1">
      <c r="A1507" s="12"/>
    </row>
    <row r="1508" spans="1:1">
      <c r="A1508" s="12" t="s">
        <v>24</v>
      </c>
    </row>
    <row r="1509" spans="1:1">
      <c r="A1509" s="12"/>
    </row>
    <row r="1510" spans="1:1">
      <c r="A1510" s="12" t="s">
        <v>24</v>
      </c>
    </row>
    <row r="1511" spans="1:1">
      <c r="A1511" s="12" t="s">
        <v>24</v>
      </c>
    </row>
    <row r="1512" spans="1:1">
      <c r="A1512" s="12"/>
    </row>
    <row r="1513" spans="1:1">
      <c r="A1513" s="12" t="s">
        <v>24</v>
      </c>
    </row>
    <row r="1514" spans="1:1">
      <c r="A1514" s="12"/>
    </row>
    <row r="1515" spans="1:1">
      <c r="A1515" s="12" t="s">
        <v>24</v>
      </c>
    </row>
    <row r="1516" spans="1:1">
      <c r="A1516" s="12" t="s">
        <v>24</v>
      </c>
    </row>
    <row r="1517" spans="1:1">
      <c r="A1517" s="12" t="s">
        <v>24</v>
      </c>
    </row>
    <row r="1518" spans="1:1">
      <c r="A1518" s="12"/>
    </row>
    <row r="1519" spans="1:1">
      <c r="A1519" s="12" t="s">
        <v>24</v>
      </c>
    </row>
    <row r="1520" spans="1:1">
      <c r="A1520" s="12" t="s">
        <v>24</v>
      </c>
    </row>
    <row r="1521" spans="1:1">
      <c r="A1521" s="12" t="s">
        <v>24</v>
      </c>
    </row>
    <row r="1522" spans="1:1">
      <c r="A1522" s="12" t="s">
        <v>24</v>
      </c>
    </row>
    <row r="1523" spans="1:1">
      <c r="A1523" s="12" t="s">
        <v>24</v>
      </c>
    </row>
    <row r="1524" spans="1:1">
      <c r="A1524" s="12"/>
    </row>
    <row r="1525" spans="1:1">
      <c r="A1525" s="12" t="s">
        <v>24</v>
      </c>
    </row>
    <row r="1526" spans="1:1">
      <c r="A1526" s="12"/>
    </row>
    <row r="1527" spans="1:1">
      <c r="A1527" s="12" t="s">
        <v>24</v>
      </c>
    </row>
    <row r="1528" spans="1:1">
      <c r="A1528" s="12"/>
    </row>
    <row r="1529" spans="1:1">
      <c r="A1529" s="12" t="s">
        <v>24</v>
      </c>
    </row>
    <row r="1530" spans="1:1">
      <c r="A1530" s="12" t="s">
        <v>24</v>
      </c>
    </row>
    <row r="1531" spans="1:1">
      <c r="A1531" s="12" t="s">
        <v>24</v>
      </c>
    </row>
    <row r="1532" spans="1:1">
      <c r="A1532" s="12"/>
    </row>
    <row r="1533" spans="1:1">
      <c r="A1533" s="12" t="s">
        <v>24</v>
      </c>
    </row>
    <row r="1534" spans="1:1">
      <c r="A1534" s="12"/>
    </row>
    <row r="1535" spans="1:1">
      <c r="A1535" s="12" t="s">
        <v>24</v>
      </c>
    </row>
    <row r="1536" spans="1:1">
      <c r="A1536" s="12" t="s">
        <v>24</v>
      </c>
    </row>
    <row r="1537" spans="1:1">
      <c r="A1537" s="12" t="s">
        <v>24</v>
      </c>
    </row>
    <row r="1538" spans="1:1">
      <c r="A1538" s="12" t="s">
        <v>24</v>
      </c>
    </row>
    <row r="1539" spans="1:1">
      <c r="A1539" s="12"/>
    </row>
    <row r="1540" spans="1:1">
      <c r="A1540" s="12" t="s">
        <v>24</v>
      </c>
    </row>
    <row r="1541" spans="1:1">
      <c r="A1541" s="12"/>
    </row>
    <row r="1542" spans="1:1">
      <c r="A1542" s="12" t="s">
        <v>24</v>
      </c>
    </row>
    <row r="1543" spans="1:1">
      <c r="A1543" s="12" t="s">
        <v>24</v>
      </c>
    </row>
    <row r="1544" spans="1:1">
      <c r="A1544" s="12" t="s">
        <v>24</v>
      </c>
    </row>
    <row r="1545" spans="1:1">
      <c r="A1545" s="12" t="s">
        <v>24</v>
      </c>
    </row>
    <row r="1546" spans="1:1">
      <c r="A1546" s="12"/>
    </row>
    <row r="1547" spans="1:1">
      <c r="A1547" s="12" t="s">
        <v>24</v>
      </c>
    </row>
    <row r="1548" spans="1:1">
      <c r="A1548" s="12" t="s">
        <v>24</v>
      </c>
    </row>
    <row r="1549" spans="1:1">
      <c r="A1549" s="12"/>
    </row>
    <row r="1550" spans="1:1">
      <c r="A1550" s="12" t="s">
        <v>24</v>
      </c>
    </row>
    <row r="1551" spans="1:1">
      <c r="A1551" s="12" t="s">
        <v>24</v>
      </c>
    </row>
    <row r="1552" spans="1:1">
      <c r="A1552" s="12" t="s">
        <v>24</v>
      </c>
    </row>
    <row r="1553" spans="1:1">
      <c r="A1553" s="12" t="s">
        <v>24</v>
      </c>
    </row>
    <row r="1554" spans="1:1">
      <c r="A1554" s="12"/>
    </row>
    <row r="1555" spans="1:1">
      <c r="A1555" s="12" t="s">
        <v>24</v>
      </c>
    </row>
    <row r="1556" spans="1:1">
      <c r="A1556" s="12" t="s">
        <v>24</v>
      </c>
    </row>
    <row r="1557" spans="1:1">
      <c r="A1557" s="12"/>
    </row>
    <row r="1558" spans="1:1">
      <c r="A1558" s="12" t="s">
        <v>24</v>
      </c>
    </row>
    <row r="1559" spans="1:1">
      <c r="A1559" s="12"/>
    </row>
    <row r="1560" spans="1:1">
      <c r="A1560" s="12" t="s">
        <v>24</v>
      </c>
    </row>
    <row r="1561" spans="1:1">
      <c r="A1561" s="12"/>
    </row>
    <row r="1562" spans="1:1">
      <c r="A1562" s="12" t="s">
        <v>24</v>
      </c>
    </row>
    <row r="1563" spans="1:1">
      <c r="A1563" s="12"/>
    </row>
    <row r="1564" spans="1:1">
      <c r="A1564" s="12" t="s">
        <v>24</v>
      </c>
    </row>
    <row r="1565" spans="1:1">
      <c r="A1565" s="12"/>
    </row>
    <row r="1566" spans="1:1">
      <c r="A1566" s="12" t="s">
        <v>24</v>
      </c>
    </row>
    <row r="1567" spans="1:1">
      <c r="A1567" s="12"/>
    </row>
    <row r="1568" spans="1:1">
      <c r="A1568" s="12" t="s">
        <v>24</v>
      </c>
    </row>
    <row r="1569" spans="1:1">
      <c r="A1569" s="12" t="s">
        <v>24</v>
      </c>
    </row>
    <row r="1570" spans="1:1">
      <c r="A1570" s="12"/>
    </row>
    <row r="1571" spans="1:1">
      <c r="A1571" s="12" t="s">
        <v>24</v>
      </c>
    </row>
    <row r="1572" spans="1:1">
      <c r="A1572" s="12"/>
    </row>
    <row r="1573" spans="1:1">
      <c r="A1573" s="12" t="s">
        <v>24</v>
      </c>
    </row>
    <row r="1574" spans="1:1">
      <c r="A1574" s="12"/>
    </row>
    <row r="1575" spans="1:1">
      <c r="A1575" s="12" t="s">
        <v>24</v>
      </c>
    </row>
    <row r="1576" spans="1:1">
      <c r="A1576" s="12"/>
    </row>
    <row r="1577" spans="1:1">
      <c r="A1577" s="12" t="s">
        <v>24</v>
      </c>
    </row>
    <row r="1578" spans="1:1">
      <c r="A1578" s="12"/>
    </row>
    <row r="1579" spans="1:1">
      <c r="A1579" s="12" t="s">
        <v>24</v>
      </c>
    </row>
    <row r="1580" spans="1:1">
      <c r="A1580" s="12" t="s">
        <v>24</v>
      </c>
    </row>
    <row r="1581" spans="1:1">
      <c r="A1581" s="12" t="s">
        <v>24</v>
      </c>
    </row>
    <row r="1582" spans="1:1">
      <c r="A1582" s="12"/>
    </row>
    <row r="1583" spans="1:1">
      <c r="A1583" s="12" t="s">
        <v>24</v>
      </c>
    </row>
    <row r="1584" spans="1:1">
      <c r="A1584" s="12" t="s">
        <v>24</v>
      </c>
    </row>
    <row r="1585" spans="1:1">
      <c r="A1585" s="12" t="s">
        <v>24</v>
      </c>
    </row>
    <row r="1586" spans="1:1">
      <c r="A1586" s="12"/>
    </row>
    <row r="1587" spans="1:1">
      <c r="A1587" s="12" t="s">
        <v>24</v>
      </c>
    </row>
    <row r="1588" spans="1:1">
      <c r="A1588" s="12" t="s">
        <v>24</v>
      </c>
    </row>
    <row r="1589" spans="1:1">
      <c r="A1589" s="12" t="s">
        <v>24</v>
      </c>
    </row>
    <row r="1590" spans="1:1">
      <c r="A1590" s="12" t="s">
        <v>24</v>
      </c>
    </row>
    <row r="1591" spans="1:1">
      <c r="A1591" s="12"/>
    </row>
    <row r="1592" spans="1:1">
      <c r="A1592" s="12" t="s">
        <v>24</v>
      </c>
    </row>
    <row r="1593" spans="1:1">
      <c r="A1593" s="12" t="s">
        <v>24</v>
      </c>
    </row>
    <row r="1594" spans="1:1">
      <c r="A1594" s="12" t="s">
        <v>24</v>
      </c>
    </row>
    <row r="1595" spans="1:1">
      <c r="A1595" s="12"/>
    </row>
    <row r="1596" spans="1:1">
      <c r="A1596" s="12" t="s">
        <v>24</v>
      </c>
    </row>
    <row r="1597" spans="1:1">
      <c r="A1597" s="12"/>
    </row>
    <row r="1598" spans="1:1">
      <c r="A1598" s="12" t="s">
        <v>24</v>
      </c>
    </row>
    <row r="1599" spans="1:1">
      <c r="A1599" s="12" t="s">
        <v>24</v>
      </c>
    </row>
    <row r="1600" spans="1:1">
      <c r="A1600" s="12" t="s">
        <v>24</v>
      </c>
    </row>
    <row r="1601" spans="1:1">
      <c r="A1601" s="12" t="s">
        <v>24</v>
      </c>
    </row>
    <row r="1602" spans="1:1">
      <c r="A1602" s="12" t="s">
        <v>24</v>
      </c>
    </row>
    <row r="1603" spans="1:1">
      <c r="A1603" s="12"/>
    </row>
    <row r="1604" spans="1:1">
      <c r="A1604" s="12" t="s">
        <v>24</v>
      </c>
    </row>
    <row r="1605" spans="1:1">
      <c r="A1605" s="12" t="s">
        <v>24</v>
      </c>
    </row>
    <row r="1606" spans="1:1">
      <c r="A1606" s="12"/>
    </row>
    <row r="1607" spans="1:1">
      <c r="A1607" s="12" t="s">
        <v>24</v>
      </c>
    </row>
    <row r="1608" spans="1:1">
      <c r="A1608" s="12" t="s">
        <v>24</v>
      </c>
    </row>
    <row r="1609" spans="1:1">
      <c r="A1609" s="12"/>
    </row>
    <row r="1610" spans="1:1">
      <c r="A1610" s="12" t="s">
        <v>24</v>
      </c>
    </row>
    <row r="1611" spans="1:1">
      <c r="A1611" s="12"/>
    </row>
    <row r="1612" spans="1:1">
      <c r="A1612" s="12" t="s">
        <v>24</v>
      </c>
    </row>
    <row r="1613" spans="1:1">
      <c r="A1613" s="12" t="s">
        <v>24</v>
      </c>
    </row>
    <row r="1614" spans="1:1">
      <c r="A1614" s="12"/>
    </row>
    <row r="1615" spans="1:1">
      <c r="A1615" s="12" t="s">
        <v>24</v>
      </c>
    </row>
    <row r="1616" spans="1:1">
      <c r="A1616" s="12" t="s">
        <v>24</v>
      </c>
    </row>
    <row r="1617" spans="1:1">
      <c r="A1617" s="12" t="s">
        <v>24</v>
      </c>
    </row>
    <row r="1618" spans="1:1">
      <c r="A1618" s="12"/>
    </row>
    <row r="1619" spans="1:1">
      <c r="A1619" s="12" t="s">
        <v>24</v>
      </c>
    </row>
    <row r="1620" spans="1:1">
      <c r="A1620" s="12"/>
    </row>
    <row r="1621" spans="1:1">
      <c r="A1621" s="12" t="s">
        <v>24</v>
      </c>
    </row>
    <row r="1622" spans="1:1">
      <c r="A1622" s="12" t="s">
        <v>24</v>
      </c>
    </row>
    <row r="1623" spans="1:1">
      <c r="A1623" s="12"/>
    </row>
    <row r="1624" spans="1:1">
      <c r="A1624" s="12" t="s">
        <v>24</v>
      </c>
    </row>
    <row r="1625" spans="1:1">
      <c r="A1625" s="12"/>
    </row>
    <row r="1626" spans="1:1">
      <c r="A1626" s="12" t="s">
        <v>24</v>
      </c>
    </row>
    <row r="1627" spans="1:1">
      <c r="A1627" s="12" t="s">
        <v>24</v>
      </c>
    </row>
    <row r="1628" spans="1:1">
      <c r="A1628" s="12"/>
    </row>
    <row r="1629" spans="1:1">
      <c r="A1629" s="12" t="s">
        <v>24</v>
      </c>
    </row>
    <row r="1630" spans="1:1">
      <c r="A1630" s="12" t="s">
        <v>24</v>
      </c>
    </row>
    <row r="1631" spans="1:1">
      <c r="A1631" s="12"/>
    </row>
    <row r="1632" spans="1:1">
      <c r="A1632" s="12" t="s">
        <v>24</v>
      </c>
    </row>
    <row r="1633" spans="1:1">
      <c r="A1633" s="12"/>
    </row>
    <row r="1634" spans="1:1">
      <c r="A1634" s="12" t="s">
        <v>24</v>
      </c>
    </row>
    <row r="1635" spans="1:1">
      <c r="A1635" s="12"/>
    </row>
    <row r="1636" spans="1:1">
      <c r="A1636" s="12" t="s">
        <v>24</v>
      </c>
    </row>
    <row r="1637" spans="1:1">
      <c r="A1637" s="12"/>
    </row>
    <row r="1638" spans="1:1">
      <c r="A1638" s="12" t="s">
        <v>24</v>
      </c>
    </row>
    <row r="1639" spans="1:1">
      <c r="A1639" s="12" t="s">
        <v>24</v>
      </c>
    </row>
    <row r="1640" spans="1:1">
      <c r="A1640" s="12" t="s">
        <v>24</v>
      </c>
    </row>
    <row r="1641" spans="1:1">
      <c r="A1641" s="12"/>
    </row>
    <row r="1642" spans="1:1">
      <c r="A1642" s="12" t="s">
        <v>24</v>
      </c>
    </row>
    <row r="1643" spans="1:1">
      <c r="A1643" s="12" t="s">
        <v>24</v>
      </c>
    </row>
    <row r="1644" spans="1:1">
      <c r="A1644" s="12" t="s">
        <v>24</v>
      </c>
    </row>
    <row r="1645" spans="1:1">
      <c r="A1645" s="12" t="s">
        <v>24</v>
      </c>
    </row>
    <row r="1646" spans="1:1">
      <c r="A1646" s="12" t="s">
        <v>24</v>
      </c>
    </row>
    <row r="1647" spans="1:1">
      <c r="A1647" s="12"/>
    </row>
    <row r="1648" spans="1:1">
      <c r="A1648" s="12" t="s">
        <v>24</v>
      </c>
    </row>
    <row r="1649" spans="1:1">
      <c r="A1649" s="12"/>
    </row>
    <row r="1650" spans="1:1">
      <c r="A1650" s="12" t="s">
        <v>24</v>
      </c>
    </row>
    <row r="1651" spans="1:1">
      <c r="A1651" s="12"/>
    </row>
    <row r="1652" spans="1:1">
      <c r="A1652" s="12" t="s">
        <v>24</v>
      </c>
    </row>
    <row r="1653" spans="1:1">
      <c r="A1653" s="12"/>
    </row>
    <row r="1654" spans="1:1">
      <c r="A1654" s="12" t="s">
        <v>24</v>
      </c>
    </row>
    <row r="1655" spans="1:1">
      <c r="A1655" s="12"/>
    </row>
    <row r="1656" spans="1:1">
      <c r="A1656" s="12" t="s">
        <v>24</v>
      </c>
    </row>
    <row r="1657" spans="1:1">
      <c r="A1657" s="12" t="s">
        <v>24</v>
      </c>
    </row>
    <row r="1658" spans="1:1">
      <c r="A1658" s="12"/>
    </row>
    <row r="1659" spans="1:1">
      <c r="A1659" s="12" t="s">
        <v>24</v>
      </c>
    </row>
    <row r="1660" spans="1:1">
      <c r="A1660" s="12"/>
    </row>
    <row r="1661" spans="1:1">
      <c r="A1661" s="12" t="s">
        <v>24</v>
      </c>
    </row>
    <row r="1662" spans="1:1">
      <c r="A1662" s="12" t="s">
        <v>24</v>
      </c>
    </row>
    <row r="1663" spans="1:1">
      <c r="A1663" s="12" t="s">
        <v>24</v>
      </c>
    </row>
    <row r="1664" spans="1:1">
      <c r="A1664" s="12" t="s">
        <v>24</v>
      </c>
    </row>
    <row r="1665" spans="1:1">
      <c r="A1665" s="12" t="s">
        <v>24</v>
      </c>
    </row>
    <row r="1666" spans="1:1">
      <c r="A1666" s="12"/>
    </row>
    <row r="1667" spans="1:1">
      <c r="A1667" s="12" t="s">
        <v>24</v>
      </c>
    </row>
    <row r="1668" spans="1:1">
      <c r="A1668" s="12"/>
    </row>
    <row r="1669" spans="1:1">
      <c r="A1669" s="12" t="s">
        <v>24</v>
      </c>
    </row>
    <row r="1670" spans="1:1">
      <c r="A1670" s="12"/>
    </row>
    <row r="1671" spans="1:1">
      <c r="A1671" s="12" t="s">
        <v>24</v>
      </c>
    </row>
    <row r="1672" spans="1:1">
      <c r="A1672" s="12"/>
    </row>
    <row r="1673" spans="1:1">
      <c r="A1673" s="12" t="s">
        <v>24</v>
      </c>
    </row>
    <row r="1674" spans="1:1">
      <c r="A1674" s="12" t="s">
        <v>24</v>
      </c>
    </row>
    <row r="1675" spans="1:1">
      <c r="A1675" s="12"/>
    </row>
    <row r="1676" spans="1:1">
      <c r="A1676" s="12" t="s">
        <v>24</v>
      </c>
    </row>
    <row r="1677" spans="1:1">
      <c r="A1677" s="12"/>
    </row>
    <row r="1678" spans="1:1">
      <c r="A1678" s="12" t="s">
        <v>24</v>
      </c>
    </row>
    <row r="1679" spans="1:1">
      <c r="A1679" s="12" t="s">
        <v>24</v>
      </c>
    </row>
    <row r="1680" spans="1:1">
      <c r="A1680" s="12"/>
    </row>
    <row r="1681" spans="1:27">
      <c r="A1681" s="12" t="s">
        <v>24</v>
      </c>
    </row>
    <row r="1682" spans="1:27">
      <c r="A1682" s="12" t="s">
        <v>24</v>
      </c>
    </row>
    <row r="1683" spans="1:27">
      <c r="A1683" s="12"/>
    </row>
    <row r="1684" spans="1:27">
      <c r="A1684" s="12" t="s">
        <v>24</v>
      </c>
    </row>
    <row r="1685" spans="1:27">
      <c r="A1685" s="12"/>
    </row>
    <row r="1686" spans="1:27">
      <c r="A1686" s="12" t="s">
        <v>24</v>
      </c>
    </row>
    <row r="1687" spans="1:27">
      <c r="A1687" s="12"/>
    </row>
    <row r="1688" spans="1:27">
      <c r="A1688" s="12" t="s">
        <v>24</v>
      </c>
    </row>
    <row r="1689" spans="1:27">
      <c r="A1689" s="12"/>
    </row>
    <row r="1690" spans="1:27">
      <c r="A1690" s="12" t="s">
        <v>24</v>
      </c>
    </row>
    <row r="1691" spans="1:27">
      <c r="A1691" s="12" t="s">
        <v>24</v>
      </c>
    </row>
    <row r="1692" spans="1:27">
      <c r="A1692" s="12"/>
    </row>
    <row r="1693" spans="1:27">
      <c r="A1693" s="12" t="s">
        <v>24</v>
      </c>
      <c r="AA1693" t="s">
        <v>2748</v>
      </c>
    </row>
    <row r="1694" spans="1:27" ht="15" customHeight="1">
      <c r="A1694" s="12" t="s">
        <v>24</v>
      </c>
    </row>
    <row r="1695" spans="1:27" ht="15" customHeight="1">
      <c r="A1695" s="12" t="s">
        <v>24</v>
      </c>
    </row>
    <row r="1696" spans="1:27" ht="15" customHeight="1">
      <c r="A1696" s="12"/>
    </row>
    <row r="1697" spans="1:1" ht="15" customHeight="1">
      <c r="A1697" s="12" t="s">
        <v>24</v>
      </c>
    </row>
    <row r="1698" spans="1:1" ht="15" customHeight="1">
      <c r="A1698" s="12"/>
    </row>
    <row r="1699" spans="1:1" ht="15" customHeight="1">
      <c r="A1699" s="12"/>
    </row>
    <row r="1700" spans="1:1" ht="15" customHeight="1">
      <c r="A1700" s="12" t="s">
        <v>24</v>
      </c>
    </row>
    <row r="1701" spans="1:1" ht="15" customHeight="1">
      <c r="A1701" s="12"/>
    </row>
    <row r="1702" spans="1:1" ht="15" customHeight="1">
      <c r="A1702" s="12" t="s">
        <v>24</v>
      </c>
    </row>
    <row r="1703" spans="1:1" ht="15" customHeight="1">
      <c r="A1703" s="12" t="s">
        <v>24</v>
      </c>
    </row>
    <row r="1704" spans="1:1" ht="15" customHeight="1">
      <c r="A1704" s="12" t="s">
        <v>24</v>
      </c>
    </row>
    <row r="1705" spans="1:1" ht="15" customHeight="1">
      <c r="A1705" t="s">
        <v>2241</v>
      </c>
    </row>
    <row r="1722" spans="1:1" ht="15" customHeight="1">
      <c r="A1722" s="10" t="s">
        <v>2284</v>
      </c>
    </row>
    <row r="1724" spans="1:1" ht="15" customHeight="1">
      <c r="A1724" s="10" t="s">
        <v>2283</v>
      </c>
    </row>
    <row r="1779" spans="2:18" ht="15" customHeight="1">
      <c r="B1779" s="212"/>
    </row>
    <row r="1781" spans="2:18" ht="15" customHeight="1">
      <c r="C1781" s="212"/>
      <c r="D1781" s="212"/>
      <c r="E1781" s="212"/>
      <c r="F1781" s="212"/>
      <c r="G1781" s="212"/>
      <c r="H1781" s="212"/>
      <c r="I1781" s="212"/>
      <c r="J1781" s="212"/>
      <c r="K1781" s="212"/>
      <c r="L1781" s="212"/>
      <c r="M1781" s="212"/>
      <c r="N1781" s="212"/>
      <c r="O1781" s="212"/>
      <c r="P1781" s="212"/>
      <c r="Q1781" s="212"/>
      <c r="R1781" s="212"/>
    </row>
    <row r="1874" spans="1:1" ht="15" customHeight="1">
      <c r="A1874" s="212"/>
    </row>
  </sheetData>
  <pageMargins left="0.7" right="0.7" top="0.78740157499999996" bottom="0.78740157499999996" header="0.3" footer="0.3"/>
  <pageSetup paperSize="9" orientation="portrait" r:id="rId1"/>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8161B8-2071-42C6-881D-3838A7115A8B}">
  <sheetPr>
    <tabColor rgb="FFFFFF00"/>
  </sheetPr>
  <dimension ref="A1:BE620"/>
  <sheetViews>
    <sheetView showGridLines="0" tabSelected="1" zoomScale="87" zoomScaleNormal="87" workbookViewId="0">
      <pane xSplit="3" ySplit="20" topLeftCell="D21" activePane="bottomRight" state="frozen"/>
      <selection pane="topRight" activeCell="D1" sqref="D1"/>
      <selection pane="bottomLeft" activeCell="A21" sqref="A21"/>
      <selection pane="bottomRight" activeCell="C12" sqref="C12"/>
    </sheetView>
  </sheetViews>
  <sheetFormatPr defaultColWidth="9.140625" defaultRowHeight="15" customHeight="1"/>
  <cols>
    <col min="1" max="1" width="4.140625" style="292" customWidth="1"/>
    <col min="2" max="2" width="3.140625" style="292" hidden="1" customWidth="1"/>
    <col min="3" max="3" width="19.5703125" style="292" customWidth="1"/>
    <col min="4" max="4" width="42.140625" style="292" customWidth="1"/>
    <col min="5" max="5" width="11" style="292" customWidth="1"/>
    <col min="6" max="6" width="7.85546875" style="377" customWidth="1"/>
    <col min="7" max="8" width="7.85546875" style="292" customWidth="1"/>
    <col min="9" max="9" width="4" style="842" hidden="1" customWidth="1"/>
    <col min="10" max="10" width="8.85546875" style="292" customWidth="1"/>
    <col min="11" max="12" width="11" style="842" hidden="1" customWidth="1"/>
    <col min="13" max="13" width="4.7109375" style="292" customWidth="1"/>
    <col min="14" max="16" width="11" style="842" hidden="1" customWidth="1"/>
    <col min="17" max="17" width="23.42578125" style="378" customWidth="1"/>
    <col min="18" max="18" width="15.42578125" style="292" customWidth="1"/>
    <col min="19" max="19" width="7" style="292" customWidth="1"/>
    <col min="20" max="20" width="9.42578125" style="292" customWidth="1"/>
    <col min="21" max="21" width="4.140625" style="842" hidden="1" customWidth="1"/>
    <col min="22" max="22" width="4.140625" style="292" customWidth="1"/>
    <col min="23" max="23" width="42.85546875" style="292" customWidth="1"/>
    <col min="24" max="24" width="22.7109375" style="842" hidden="1" customWidth="1"/>
    <col min="25" max="25" width="11" style="842" hidden="1" customWidth="1"/>
    <col min="26" max="26" width="8" style="292" customWidth="1"/>
    <col min="27" max="27" width="10.28515625" style="292" customWidth="1"/>
    <col min="28" max="28" width="13" style="842" hidden="1" customWidth="1"/>
    <col min="29" max="29" width="24.42578125" style="842" hidden="1" customWidth="1"/>
    <col min="30" max="30" width="24.5703125" style="292" customWidth="1"/>
    <col min="31" max="33" width="13.7109375" style="292" customWidth="1"/>
    <col min="34" max="35" width="11.5703125" style="292" customWidth="1"/>
    <col min="36" max="39" width="11.28515625" style="292" customWidth="1"/>
    <col min="40" max="40" width="46.42578125" style="383" customWidth="1"/>
    <col min="41" max="42" width="9.140625" style="292" hidden="1" customWidth="1"/>
    <col min="43" max="48" width="9.140625" style="291" hidden="1" customWidth="1"/>
    <col min="49" max="49" width="15.7109375" style="291" hidden="1" customWidth="1"/>
    <col min="50" max="50" width="9.140625" style="291" hidden="1" customWidth="1"/>
    <col min="51" max="51" width="0" style="291" hidden="1" customWidth="1"/>
    <col min="52" max="57" width="9.140625" style="291"/>
    <col min="58" max="16384" width="9.140625" style="292"/>
  </cols>
  <sheetData>
    <row r="1" spans="1:42" s="265" customFormat="1" ht="12.95" customHeight="1">
      <c r="A1" s="410" t="s">
        <v>11473</v>
      </c>
      <c r="B1" s="411" t="s">
        <v>12593</v>
      </c>
      <c r="C1" s="412"/>
      <c r="D1" s="1154" t="str">
        <f>UPPER(IF($W$17=$AB$1,"interaktivní",IFERROR(VLOOKUP("interaktivní",Jazyky_ceník!A:Q,MATCH(W17,Jazyky_ceník!A1:Q1,0),FALSE),"---------------")))</f>
        <v>INTERAKTIV</v>
      </c>
      <c r="E1" s="1155" t="str">
        <f>"i-"&amp;PROPER(IF($W$17=$AB$1,"ceník",IFERROR(VLOOKUP("ceník",Jazyky_ceník!A:Q,MATCH(W17,Jazyky_ceník!A1:Q1,0),FALSE),"---------------")))&amp;" 2022"</f>
        <v>i-Preisliste 2022</v>
      </c>
      <c r="F1" s="1155"/>
      <c r="G1" s="1155"/>
      <c r="H1" s="264"/>
      <c r="I1" s="413"/>
      <c r="J1" s="414" t="str">
        <f>IF($W$17=$AB$1,"Odběr nad",IFERROR(VLOOKUP("Odběr nad",Jazyky_ceník!A:Q,MATCH(W17,Jazyky_ceník!A1:Q1,0),FALSE),"---------------"))</f>
        <v>Wert oben</v>
      </c>
      <c r="K1" s="1156" t="s">
        <v>11471</v>
      </c>
      <c r="L1" s="1157"/>
      <c r="M1" s="1158" t="str">
        <f>C19</f>
        <v>Rabatt</v>
      </c>
      <c r="N1" s="1159"/>
      <c r="O1" s="1160"/>
      <c r="P1" s="415">
        <v>0</v>
      </c>
      <c r="Q1" s="411"/>
      <c r="R1" s="264" t="str">
        <f>D1&amp;" "&amp;E1</f>
        <v>INTERAKTIV i-Preisliste 2022</v>
      </c>
      <c r="S1" s="264"/>
      <c r="T1" s="264"/>
      <c r="U1" s="264"/>
      <c r="V1" s="445" t="str">
        <f>IF($W$17=$AB$1,"VK",IFERROR(VLOOKUP("VK",Jazyky_ceník!A:Q,MATCH(W17,Jazyky_ceník!A1:Q1,0),FALSE),"!!!"))</f>
        <v>KTN</v>
      </c>
      <c r="W1" s="264"/>
      <c r="X1" s="264"/>
      <c r="Y1" s="446" t="s">
        <v>11932</v>
      </c>
      <c r="Z1" s="454" t="str">
        <f>IF($W$17=$AB$1,"KLIKNUTÍM ZDE VYBERTE MOŽNOST!",IFERROR(VLOOKUP("KLIKNUTÍM ZDE VYBERTE MOŽNOST!",Jazyky_ceník!A:Q,MATCH(W17,Jazyky_ceník!A1:Q1,0),FALSE),"!!!"))</f>
        <v>KLICKEN UM EINE OPTION AUSZUWÄHLEN!</v>
      </c>
      <c r="AA1" s="482">
        <v>1</v>
      </c>
      <c r="AB1" s="900" t="s">
        <v>2861</v>
      </c>
      <c r="AC1" s="901"/>
      <c r="AD1" s="424"/>
      <c r="AE1" s="424"/>
      <c r="AF1" s="454"/>
      <c r="AG1" s="449"/>
      <c r="AH1" s="979" t="b">
        <v>0</v>
      </c>
      <c r="AI1" s="454"/>
      <c r="AJ1" s="264"/>
      <c r="AK1" s="424"/>
      <c r="AL1" s="424"/>
      <c r="AM1" s="1043"/>
      <c r="AN1" s="379"/>
      <c r="AO1" s="1046">
        <v>1</v>
      </c>
    </row>
    <row r="2" spans="1:42" s="265" customFormat="1" ht="16.5" customHeight="1" thickBot="1">
      <c r="A2" s="410"/>
      <c r="B2" s="411" t="s">
        <v>12594</v>
      </c>
      <c r="C2" s="412"/>
      <c r="D2" s="1154"/>
      <c r="E2" s="1155"/>
      <c r="F2" s="1155"/>
      <c r="G2" s="1155"/>
      <c r="H2" s="264"/>
      <c r="I2" s="416"/>
      <c r="J2" s="999">
        <f>IF($AO$1=1,F19*4000,F19*10000)</f>
        <v>98316</v>
      </c>
      <c r="K2" s="417"/>
      <c r="L2" s="417"/>
      <c r="M2" s="418">
        <v>-0.05</v>
      </c>
      <c r="N2" s="419">
        <f t="shared" ref="N2:N15" si="0">(J2/(100-O2))*100</f>
        <v>140451.42857142858</v>
      </c>
      <c r="O2" s="420">
        <f>IF($AO$1=1,30,36)</f>
        <v>30</v>
      </c>
      <c r="P2" s="415">
        <f>IF($Z$2&gt;N2,O2,P1)</f>
        <v>0</v>
      </c>
      <c r="Q2" s="411"/>
      <c r="R2" s="264" t="str">
        <f>IF($W$17=$AB$1,"REZERVAČNÍ ceník",IFERROR(VLOOKUP("REZERVAČNÍ ceník",Jazyky_ceník!A:Q,MATCH(W17,Jazyky_ceník!A1:Q1,0),FALSE),"---------------"))</f>
        <v>RESERVIERUNGSPREISLISTE</v>
      </c>
      <c r="S2" s="264"/>
      <c r="T2" s="264"/>
      <c r="U2" s="415"/>
      <c r="V2" s="445" t="str">
        <f>IF($W$17=$AB$1,"POSLEDNÍCH",IFERROR(VLOOKUP("POSLEDNÍCH",Jazyky_ceník!A:Q,MATCH(W17,Jazyky_ceník!A1:Q1,0),FALSE),"!!!"))</f>
        <v>LETZTE</v>
      </c>
      <c r="W2" s="264"/>
      <c r="X2" s="264"/>
      <c r="Y2" s="446" t="s">
        <v>11933</v>
      </c>
      <c r="Z2" s="483">
        <f>SUMPRODUCT(F22:F1380,I22:I1380,AA22:AA1380)</f>
        <v>0</v>
      </c>
      <c r="AA2" s="482">
        <v>2</v>
      </c>
      <c r="AB2" s="900" t="s">
        <v>2863</v>
      </c>
      <c r="AC2" s="901"/>
      <c r="AD2" s="330" t="str">
        <f>IF(Z6=2,"                                    "&amp;Z8&amp;" "&amp;AD3&amp;" "&amp;Z9&amp;"  (± "&amp;'Výpočet času'!Q4&amp;")","                                    "&amp;Z8&amp;" "&amp;AD3&amp;" "&amp;Z10)</f>
        <v xml:space="preserve">                                    Sie bestellen 0 Warenkartons, die wir auf Paletten verpacken.  (± 0)</v>
      </c>
      <c r="AF2" s="268"/>
      <c r="AG2" s="480"/>
      <c r="AH2" s="266"/>
      <c r="AI2" s="268"/>
      <c r="AJ2" s="267"/>
      <c r="AM2" s="481"/>
      <c r="AN2" s="379"/>
      <c r="AO2" s="1046" t="s">
        <v>13526</v>
      </c>
    </row>
    <row r="3" spans="1:42" s="265" customFormat="1" ht="18.75">
      <c r="A3" s="410"/>
      <c r="B3" s="411"/>
      <c r="C3" s="412"/>
      <c r="D3" s="1161" t="s">
        <v>11474</v>
      </c>
      <c r="E3" s="1161"/>
      <c r="F3" s="1161"/>
      <c r="G3" s="264"/>
      <c r="H3" s="264"/>
      <c r="I3" s="416"/>
      <c r="J3" s="999">
        <f>IF($AO$1=1,F19*10000,F19*15000)</f>
        <v>245790</v>
      </c>
      <c r="K3" s="417"/>
      <c r="L3" s="417"/>
      <c r="M3" s="418">
        <v>-0.1</v>
      </c>
      <c r="N3" s="419">
        <f t="shared" si="0"/>
        <v>446890.90909090912</v>
      </c>
      <c r="O3" s="420">
        <f>IF($AO$1=1,45,40)</f>
        <v>45</v>
      </c>
      <c r="P3" s="415">
        <f t="shared" ref="P3:P15" si="1">IF($Z$2&gt;N3,O3,P2)</f>
        <v>0</v>
      </c>
      <c r="Q3" s="411"/>
      <c r="R3" s="426">
        <v>1</v>
      </c>
      <c r="S3" s="264"/>
      <c r="T3" s="264"/>
      <c r="U3" s="415"/>
      <c r="V3" s="445" t="str">
        <f>IF($W$17=$AB$1,"DOCHÁZÍ",IFERROR(VLOOKUP("DOCHÁZÍ",Jazyky_ceník!A:Q,MATCH(W17,Jazyky_ceník!A1:Q1,0),FALSE),"!!!"))</f>
        <v>LETZTE STÜCKE</v>
      </c>
      <c r="W3" s="264"/>
      <c r="X3" s="264"/>
      <c r="Y3" s="446"/>
      <c r="Z3" s="1261">
        <f>IF(Z2&gt;N12,O12,P11)</f>
        <v>0</v>
      </c>
      <c r="AA3" s="482">
        <v>3</v>
      </c>
      <c r="AB3" s="900" t="s">
        <v>8685</v>
      </c>
      <c r="AC3" s="901"/>
      <c r="AD3" s="453">
        <f>SUM(AA22:AA604)</f>
        <v>0</v>
      </c>
      <c r="AE3" s="337">
        <f t="shared" ref="AE3:AM3" ca="1" si="2">SUM(AE22:AE604)</f>
        <v>0</v>
      </c>
      <c r="AF3" s="337">
        <f t="shared" ca="1" si="2"/>
        <v>0</v>
      </c>
      <c r="AG3" s="337">
        <f t="shared" ca="1" si="2"/>
        <v>0</v>
      </c>
      <c r="AH3" s="337">
        <f t="shared" ca="1" si="2"/>
        <v>0</v>
      </c>
      <c r="AI3" s="338">
        <f t="shared" ca="1" si="2"/>
        <v>0</v>
      </c>
      <c r="AJ3" s="338">
        <f t="shared" ca="1" si="2"/>
        <v>0</v>
      </c>
      <c r="AK3" s="338">
        <f t="shared" ca="1" si="2"/>
        <v>0</v>
      </c>
      <c r="AL3" s="338">
        <f t="shared" ca="1" si="2"/>
        <v>0</v>
      </c>
      <c r="AM3" s="339">
        <f t="shared" ca="1" si="2"/>
        <v>0</v>
      </c>
      <c r="AN3" s="379"/>
      <c r="AO3" s="1046" t="s">
        <v>13512</v>
      </c>
    </row>
    <row r="4" spans="1:42" s="265" customFormat="1" ht="12.95" customHeight="1">
      <c r="A4" s="410"/>
      <c r="B4" s="411"/>
      <c r="C4" s="412"/>
      <c r="D4" s="264"/>
      <c r="E4" s="415"/>
      <c r="F4" s="421"/>
      <c r="G4" s="264"/>
      <c r="H4" s="264"/>
      <c r="I4" s="416"/>
      <c r="J4" s="999">
        <f>IF($AO$1=1,F19*15000,F19*30000)</f>
        <v>368685</v>
      </c>
      <c r="K4" s="417"/>
      <c r="L4" s="417"/>
      <c r="M4" s="418">
        <v>-0.2</v>
      </c>
      <c r="N4" s="419">
        <f t="shared" si="0"/>
        <v>709009.61538461538</v>
      </c>
      <c r="O4" s="420">
        <f>IF($AO$1=1,48,44)</f>
        <v>48</v>
      </c>
      <c r="P4" s="415">
        <f t="shared" si="1"/>
        <v>0</v>
      </c>
      <c r="Q4" s="411"/>
      <c r="R4" s="451" t="s">
        <v>12138</v>
      </c>
      <c r="S4" s="264"/>
      <c r="T4" s="264"/>
      <c r="U4" s="415"/>
      <c r="V4" s="451" t="str">
        <f>IF($W$17=$AB$1,"DORAZÍ",IFERROR(VLOOKUP("DORAZÍ",Jazyky_ceník!A:Q,MATCH(W17,Jazyky_ceník!A1:Q1,0),FALSE),"!!!"))&amp;" "</f>
        <v xml:space="preserve">KOMMT </v>
      </c>
      <c r="W4" s="264"/>
      <c r="X4" s="264"/>
      <c r="Y4" s="446"/>
      <c r="Z4" s="454" t="str">
        <f>IF($W$17=$AB$1,"BEZ PALET",IFERROR(VLOOKUP("BEZ PALET",Jazyky_ceník!A:Q,MATCH(W17,Jazyky_ceník!A1:Q1,0),FALSE),"!!!"))</f>
        <v>OHNE PALETTEN</v>
      </c>
      <c r="AA4" s="482">
        <v>4</v>
      </c>
      <c r="AB4" s="900" t="s">
        <v>2862</v>
      </c>
      <c r="AC4" s="901"/>
      <c r="AD4" s="1152" t="str">
        <f>IF($W$17=$AB$1,"Objednáno kartonů",IFERROR(VLOOKUP("Objednáno kartonů",Jazyky_ceník!A:Q,MATCH(W17,Jazyky_ceník!A1:Q1,0),FALSE),"---------------"))</f>
        <v>Bestellte Kartons</v>
      </c>
      <c r="AE4" s="340" t="str">
        <f>IF($W$17=$AB$1,"celkem",IFERROR(VLOOKUP("celkem",Jazyky_ceník!A:Q,MATCH(W17,Jazyky_ceník!A1:Q1,0),FALSE),"!!!"))</f>
        <v>insgesamt</v>
      </c>
      <c r="AF4" s="341" t="str">
        <f>IF($W$17=$AB$1,"celkem",IFERROR(VLOOKUP("celkem",Jazyky_ceník!A:Q,MATCH(W17,Jazyky_ceník!A1:Q1,0),FALSE),"!!!"))</f>
        <v>insgesamt</v>
      </c>
      <c r="AG4" s="342" t="str">
        <f>IF($W$17=$AB$1,"celkem",IFERROR(VLOOKUP("celkem",Jazyky_ceník!A:Q,MATCH(W17,Jazyky_ceník!A1:Q1,0),FALSE),"!!!"))</f>
        <v>insgesamt</v>
      </c>
      <c r="AH4" s="343" t="str">
        <f>IF($W$17=$AB$1,"celkem",IFERROR(VLOOKUP("celkem",Jazyky_ceník!A:Q,MATCH(W17,Jazyky_ceník!A1:Q1,0),FALSE),"!!!"))</f>
        <v>insgesamt</v>
      </c>
      <c r="AI4" s="343" t="str">
        <f>IF($W$17=$AB$1,"celkem",IFERROR(VLOOKUP("celkem",Jazyky_ceník!A:Q,MATCH(W17,Jazyky_ceník!A1:Q1,0),FALSE),"!!!"))</f>
        <v>insgesamt</v>
      </c>
      <c r="AJ4" s="343" t="s">
        <v>11</v>
      </c>
      <c r="AK4" s="343" t="s">
        <v>12</v>
      </c>
      <c r="AL4" s="344" t="s">
        <v>13</v>
      </c>
      <c r="AM4" s="345" t="str">
        <f>IF($W$17=$AB$1,"celkem",IFERROR(VLOOKUP("celkem",Jazyky_ceník!A:Q,MATCH(W17,Jazyky_ceník!A1:Q1,0),FALSE),"!!!"))</f>
        <v>insgesamt</v>
      </c>
      <c r="AN4" s="379"/>
    </row>
    <row r="5" spans="1:42" s="265" customFormat="1" ht="12.95" customHeight="1" thickBot="1">
      <c r="A5" s="410"/>
      <c r="B5" s="411"/>
      <c r="C5" s="422"/>
      <c r="D5" s="423"/>
      <c r="E5" s="423"/>
      <c r="F5" s="423"/>
      <c r="G5" s="423"/>
      <c r="H5" s="264"/>
      <c r="I5" s="416"/>
      <c r="J5" s="999">
        <f>IF($AO$1=1,F19*30000,F19*40000)</f>
        <v>737370</v>
      </c>
      <c r="K5" s="417"/>
      <c r="L5" s="417"/>
      <c r="M5" s="418">
        <v>-0.25</v>
      </c>
      <c r="N5" s="419">
        <f t="shared" si="0"/>
        <v>1474740</v>
      </c>
      <c r="O5" s="420">
        <f>IF($AO$1=1,50,46)</f>
        <v>50</v>
      </c>
      <c r="P5" s="415">
        <f t="shared" si="1"/>
        <v>0</v>
      </c>
      <c r="Q5" s="411"/>
      <c r="R5" s="451" t="s">
        <v>12139</v>
      </c>
      <c r="S5" s="264"/>
      <c r="T5" s="264"/>
      <c r="U5" s="415"/>
      <c r="V5" s="451" t="str">
        <f>IF($W$17=$AB$1,"DATUM",IFERROR(VLOOKUP("DATUM",Jazyky_ceník!A:Q,MATCH(W17,Jazyky_ceník!A1:Q1,0),FALSE),"!!!"))</f>
        <v>Datum</v>
      </c>
      <c r="W5" s="264" t="str">
        <f>IF($W$17=$AB$1,"Termín další dostupnosti zboží",IFERROR(VLOOKUP("Termín další dostupnosti zboží",Jazyky_ceník!A:Q,MATCH(W17,Jazyky_ceník!A1:Q1,0),FALSE),"!!!"))</f>
        <v>Das Datum der weiteren Warenverfügbarkeit</v>
      </c>
      <c r="X5" s="264"/>
      <c r="Y5" s="446"/>
      <c r="Z5" s="454" t="str">
        <f>IF($W$17=$AB$1,"NA PALETÁCH",IFERROR(VLOOKUP("NA PALETÁCH",Jazyky_ceník!A:Q,MATCH(W17,Jazyky_ceník!A1:Q1,0),FALSE),"!!!"))</f>
        <v>AUF PALETTEN</v>
      </c>
      <c r="AA5" s="482">
        <v>5</v>
      </c>
      <c r="AB5" s="900" t="s">
        <v>8332</v>
      </c>
      <c r="AC5" s="901"/>
      <c r="AD5" s="1153"/>
      <c r="AE5" s="346" t="str">
        <f>AE18&amp;AE19</f>
        <v>CZK(ohne MWSt.)</v>
      </c>
      <c r="AF5" s="347" t="str">
        <f>"CZK"&amp;IF($W$17=$AB$1,"(vč. DPH)",IFERROR(VLOOKUP("(vč. DPH)",Jazyky_ceník!A:Q,MATCH(W17,Jazyky_ceník!A1:Q1,0),FALSE),"!!!"))</f>
        <v>CZK(mit MWSt.)</v>
      </c>
      <c r="AG5" s="348" t="str">
        <f>"EUR"&amp;IF($W$17=$AB$1,"(bez DPH)",IFERROR(VLOOKUP("(bez DPH)",Jazyky_ceník!A:Q,MATCH(W17,Jazyky_ceník!A1:Q1,0),FALSE),"!!!"))</f>
        <v>EUR(ohne MWSt.)</v>
      </c>
      <c r="AH5" s="349" t="s">
        <v>2654</v>
      </c>
      <c r="AI5" s="349" t="s">
        <v>2655</v>
      </c>
      <c r="AJ5" s="349" t="s">
        <v>2905</v>
      </c>
      <c r="AK5" s="349" t="s">
        <v>2905</v>
      </c>
      <c r="AL5" s="350" t="s">
        <v>2905</v>
      </c>
      <c r="AM5" s="351" t="s">
        <v>2905</v>
      </c>
      <c r="AN5" s="379"/>
    </row>
    <row r="6" spans="1:42" s="265" customFormat="1" ht="16.5" thickBot="1">
      <c r="A6" s="410"/>
      <c r="B6" s="411"/>
      <c r="C6" s="424"/>
      <c r="D6" s="425" t="s">
        <v>11658</v>
      </c>
      <c r="E6" s="264"/>
      <c r="F6" s="426"/>
      <c r="G6" s="264"/>
      <c r="H6" s="264"/>
      <c r="I6" s="416"/>
      <c r="J6" s="999">
        <f>IF($AO$1=1,F19*40000,F19*60000)</f>
        <v>983160</v>
      </c>
      <c r="K6" s="417"/>
      <c r="L6" s="417"/>
      <c r="M6" s="418">
        <v>-0.3</v>
      </c>
      <c r="N6" s="419">
        <f t="shared" si="0"/>
        <v>2048250</v>
      </c>
      <c r="O6" s="420">
        <f>IF($AO$1=1,52,48)</f>
        <v>52</v>
      </c>
      <c r="P6" s="415">
        <f t="shared" si="1"/>
        <v>0</v>
      </c>
      <c r="Q6" s="411"/>
      <c r="R6" s="451" t="s">
        <v>12140</v>
      </c>
      <c r="S6" s="264"/>
      <c r="T6" s="264"/>
      <c r="U6" s="415"/>
      <c r="V6" s="445" t="str">
        <f>IF($W$17=$AB$1,"SKLADEM",IFERROR(VLOOKUP("SKLADEM",Jazyky_ceník!A:Q,MATCH(W17,Jazyky_ceník!A1:Q1,0),FALSE),"!!!"))</f>
        <v>AUF LAGER</v>
      </c>
      <c r="W6" s="447" t="str">
        <f>IF($W$17=$AB$1,"Lze objednat libovolný počet.",IFERROR(VLOOKUP("Lze objednat libovolný počet.",Jazyky_ceník!A:Q,MATCH(W17,Jazyky_ceník!A1:Q1,0),FALSE),"!!!"))</f>
        <v xml:space="preserve">Es kann jede beliebige Nummer bestellt werden. </v>
      </c>
      <c r="X6" s="447"/>
      <c r="Y6" s="446"/>
      <c r="Z6" s="484">
        <v>2</v>
      </c>
      <c r="AA6" s="482">
        <v>6</v>
      </c>
      <c r="AB6" s="900" t="s">
        <v>8329</v>
      </c>
      <c r="AC6" s="1162" t="str">
        <f>IF($W$17=$AB$1,"Maximální výška palety = 180 cm!",IFERROR(VLOOKUP("Maximální výška palety = 180 cm!",Jazyky_ceník!A:Q,MATCH(W17,Jazyky_ceník!A1:Q1,0),FALSE),"!!!"))</f>
        <v>Maximale Palettenhöhe = 180 cm!</v>
      </c>
      <c r="AD6" s="1162"/>
      <c r="AE6" s="1162"/>
      <c r="AF6" s="268"/>
      <c r="AG6" s="480"/>
      <c r="AH6" s="266"/>
      <c r="AI6" s="268"/>
      <c r="AJ6" s="267"/>
      <c r="AL6" s="267"/>
      <c r="AM6" s="481"/>
      <c r="AN6" s="379"/>
    </row>
    <row r="7" spans="1:42" s="265" customFormat="1" ht="12.95" customHeight="1" thickBot="1">
      <c r="A7" s="1151"/>
      <c r="B7" s="1151"/>
      <c r="C7" s="1151"/>
      <c r="D7" s="427" t="str">
        <f>IF($W$17=$AB$1,Jazyky_ceník!A85,IFERROR(VLOOKUP(Jazyky_ceník!A85,Jazyky_ceník!A:Q,MATCH($W$17,Jazyky_ceník!$A$1:$Q$1,0),FALSE),"---------------"))</f>
        <v>SENDEN SIE ALLE BESTELLUNGEN NUR AN DIE E-MAIL-ADRESSE:</v>
      </c>
      <c r="E7" s="427"/>
      <c r="F7" s="421"/>
      <c r="G7" s="264"/>
      <c r="H7" s="264"/>
      <c r="I7" s="416"/>
      <c r="J7" s="999">
        <f>IF($AO$1=1,F19*60000,F19*60000)</f>
        <v>1474740</v>
      </c>
      <c r="K7" s="417"/>
      <c r="L7" s="417"/>
      <c r="M7" s="418">
        <v>-0.4</v>
      </c>
      <c r="N7" s="419">
        <f t="shared" si="0"/>
        <v>3205956.5217391304</v>
      </c>
      <c r="O7" s="420">
        <f>IF($AO$1=1,54,48)</f>
        <v>54</v>
      </c>
      <c r="P7" s="415">
        <f t="shared" si="1"/>
        <v>0</v>
      </c>
      <c r="Q7" s="411"/>
      <c r="R7" s="264"/>
      <c r="S7" s="264" t="s">
        <v>11931</v>
      </c>
      <c r="T7" s="264"/>
      <c r="U7" s="415"/>
      <c r="V7" s="445" t="str">
        <f>V2&amp;" … "&amp;V1</f>
        <v>LETZTE … KTN</v>
      </c>
      <c r="W7" s="447" t="str">
        <f>IF($W$17=$AB$1,"Lze objednat maximálně toto množství.",IFERROR(VLOOKUP("Lze objednat maximálně toto množství.",Jazyky_ceník!A:Q,MATCH(W17,Jazyky_ceník!A1:Q1,0),FALSE),"!!!"))</f>
        <v xml:space="preserve">Maximal kann diese Menge bestellt werden. </v>
      </c>
      <c r="X7" s="447"/>
      <c r="Y7" s="446"/>
      <c r="Z7" s="484">
        <v>2</v>
      </c>
      <c r="AA7" s="482">
        <v>7</v>
      </c>
      <c r="AB7" s="900" t="s">
        <v>2864</v>
      </c>
      <c r="AC7" s="901"/>
      <c r="AD7" s="424"/>
      <c r="AE7" s="424"/>
      <c r="AF7" s="1134" t="str">
        <f>IF($W$17=$AB$1,"Výpočet bodů podle ADR:",IFERROR(VLOOKUP("Výpočet bodů podle ADR:",Jazyky_ceník!A:Q,MATCH(W17,Jazyky_ceník!A1:Q1,0),FALSE),"---------------"))</f>
        <v>Punkteberechnung nach ADR:</v>
      </c>
      <c r="AG7" s="1135"/>
      <c r="AH7" s="1135"/>
      <c r="AI7" s="1135"/>
      <c r="AJ7" s="1138">
        <f ca="1">(AJ3*50)</f>
        <v>0</v>
      </c>
      <c r="AK7" s="1140">
        <f ca="1">(AK3*50)</f>
        <v>0</v>
      </c>
      <c r="AL7" s="1138">
        <f ca="1">(AL3*3)</f>
        <v>0</v>
      </c>
      <c r="AM7" s="1120">
        <f ca="1">SUM(AJ7:AL7)</f>
        <v>0</v>
      </c>
      <c r="AN7" s="379"/>
    </row>
    <row r="8" spans="1:42" s="265" customFormat="1" ht="12.95" customHeight="1" thickBot="1">
      <c r="A8" s="1151"/>
      <c r="B8" s="1151"/>
      <c r="C8" s="1151"/>
      <c r="D8" s="264"/>
      <c r="E8" s="428" t="str">
        <f>IF($W$17=$AB$1,"info@klasekpyrotechnics.cz",IFERROR(VLOOKUP("info@klasekpyrotechnics.cz",Jazyky_ceník!A:Q,MATCH(W17,Jazyky_ceník!A1:Q1,0),FALSE),"---------------"))</f>
        <v>info@klasekpyrotechnics.cz</v>
      </c>
      <c r="F8" s="421"/>
      <c r="G8" s="264"/>
      <c r="H8" s="264"/>
      <c r="I8" s="416"/>
      <c r="J8" s="999">
        <f>IF($AO$1=1,F19*60000,F19*60000)</f>
        <v>1474740</v>
      </c>
      <c r="K8" s="417"/>
      <c r="L8" s="417"/>
      <c r="M8" s="418">
        <v>-0.45</v>
      </c>
      <c r="N8" s="419">
        <f t="shared" si="0"/>
        <v>3205956.5217391304</v>
      </c>
      <c r="O8" s="420">
        <f t="shared" ref="O8:O12" si="3">IF($AO$1=1,54,48)</f>
        <v>54</v>
      </c>
      <c r="P8" s="415">
        <f t="shared" si="1"/>
        <v>0</v>
      </c>
      <c r="Q8" s="411"/>
      <c r="R8" s="264"/>
      <c r="S8" s="264"/>
      <c r="T8" s="264"/>
      <c r="U8" s="415"/>
      <c r="V8" s="445" t="str">
        <f>IF($W$17=$AB$1,"MÉNĚ NEŽ 1 VK!",IFERROR(VLOOKUP("MÉNĚ NEŽ 1 VK!",Jazyky_ceník!A:Q,MATCH(W17,Jazyky_ceník!A1:Q1,0),FALSE),"!!!"))</f>
        <v>WENIGER ALS 1 KTN!</v>
      </c>
      <c r="W8" s="447" t="str">
        <f>IF($W$17=$AB$1,"Posledních pár kousků skladem.",IFERROR(VLOOKUP("Posledních pár kousků skladem.",Jazyky_ceník!A:Q,MATCH(W17,Jazyky_ceník!A1:Q1,0),FALSE),"!!!"))</f>
        <v xml:space="preserve">Die letzten Stück auf Lager. </v>
      </c>
      <c r="X8" s="447"/>
      <c r="Y8" s="446"/>
      <c r="Z8" s="411" t="str">
        <f>IF($W$17=$AB$1,"Máte objednáno",IFERROR(VLOOKUP("Máte objednáno",Jazyky_ceník!A:Q,MATCH(W17,Jazyky_ceník!A1:Q1,0),FALSE),"!!!"))</f>
        <v>Sie bestellen</v>
      </c>
      <c r="AA8" s="482">
        <v>8</v>
      </c>
      <c r="AB8" s="900" t="s">
        <v>8740</v>
      </c>
      <c r="AC8" s="901"/>
      <c r="AD8" s="1132" t="str">
        <f>"↓↓ "&amp;IF($W$17=$AB$1,"Zvolte způsob přepravy",IFERROR(VLOOKUP("Zvolte způsob přepravy",Jazyky_ceník!A:Q,MATCH(W17,Jazyky_ceník!A1:Q1,0),FALSE),"---------------"))&amp;" ↓↓"</f>
        <v>↓↓ Verpackungsmethode wählen ↓↓</v>
      </c>
      <c r="AE8" s="424"/>
      <c r="AF8" s="1136"/>
      <c r="AG8" s="1137"/>
      <c r="AH8" s="1137"/>
      <c r="AI8" s="1137"/>
      <c r="AJ8" s="1139"/>
      <c r="AK8" s="1141"/>
      <c r="AL8" s="1139"/>
      <c r="AM8" s="1121"/>
      <c r="AN8" s="379"/>
    </row>
    <row r="9" spans="1:42" s="265" customFormat="1" ht="12.95" customHeight="1">
      <c r="A9" s="410"/>
      <c r="B9" s="411"/>
      <c r="C9" s="424"/>
      <c r="D9" s="423" t="str">
        <f>IF($W$17=$AB$1,Jazyky_ceník!A80,IFERROR(VLOOKUP(Jazyky_ceník!A80,Jazyky_ceník!A:Q,MATCH($W$17,Jazyky_ceník!$A$1:$Q$1,0),FALSE),"---------------"))</f>
        <v>Rabatte bei ganzjährigem Kauf vom 01.09.2023 bis 31.08.2024</v>
      </c>
      <c r="E9" s="423"/>
      <c r="F9" s="423"/>
      <c r="G9" s="423"/>
      <c r="H9" s="423"/>
      <c r="I9" s="416"/>
      <c r="J9" s="999">
        <f>IF($AO$1=1,F19*60000,F19*60000)</f>
        <v>1474740</v>
      </c>
      <c r="K9" s="417"/>
      <c r="L9" s="417"/>
      <c r="M9" s="418">
        <v>-0.48</v>
      </c>
      <c r="N9" s="419">
        <f t="shared" si="0"/>
        <v>3205956.5217391304</v>
      </c>
      <c r="O9" s="420">
        <f t="shared" si="3"/>
        <v>54</v>
      </c>
      <c r="P9" s="415">
        <f t="shared" si="1"/>
        <v>0</v>
      </c>
      <c r="Q9" s="411"/>
      <c r="R9" s="264"/>
      <c r="S9" s="264"/>
      <c r="T9" s="264"/>
      <c r="U9" s="415"/>
      <c r="V9" s="445" t="str">
        <f>IF($W$17=$AB$1,"VYPRODÁNO",IFERROR(VLOOKUP("VYPRODÁNO",Jazyky_ceník!A:Q,MATCH(W17,Jazyky_ceník!A1:Q1,0),FALSE),"!!!"))</f>
        <v>AUSVERKAUFT</v>
      </c>
      <c r="W9" s="447" t="str">
        <f>IF($W$17=$AB$1,"Nelze v tuto chvíli objednat.",IFERROR(VLOOKUP("Nelze v tuto chvíli objednat.",Jazyky_ceník!A:Q,MATCH(W17,Jazyky_ceník!A1:Q1,0),FALSE),"!!!"))</f>
        <v>Kann derzeit nicht bestellen.</v>
      </c>
      <c r="X9" s="447"/>
      <c r="Y9" s="446"/>
      <c r="Z9" s="411" t="str">
        <f>IF($W$17=$AB$1,"kartonů, které zabalíme na palety.",IFERROR(VLOOKUP("kartonů, které zabalíme na palety.",Jazyky_ceník!A:Q,MATCH(W17,Jazyky_ceník!A1:Q1,0),FALSE),"!!!"))</f>
        <v>Warenkartons, die wir auf Paletten verpacken.</v>
      </c>
      <c r="AA9" s="482">
        <v>9</v>
      </c>
      <c r="AB9" s="900" t="s">
        <v>2865</v>
      </c>
      <c r="AC9" s="901"/>
      <c r="AD9" s="1133"/>
      <c r="AE9" s="424"/>
      <c r="AF9" s="485" t="str">
        <f>IF($W$17=$AB$1,"Pokud je výsledek větší než 1000 jedná se o přepravu s nutností využití ADR vozidla.",IFERROR(VLOOKUP("Pokud je výsledek větší než 1000 jedná se o přepravu s nutností využití ADR vozidla.",Jazyky_ceník!A:Q,MATCH(W17,Jazyky_ceník!A1:Q1,0),FALSE),"!!!"))</f>
        <v>Wenn das Ergebnis größer als 1000 ist, muss ein ADR-Fahrzeug verwendet werden.</v>
      </c>
      <c r="AG9" s="449"/>
      <c r="AH9" s="411"/>
      <c r="AI9" s="454"/>
      <c r="AJ9" s="264"/>
      <c r="AK9" s="264"/>
      <c r="AL9" s="264"/>
      <c r="AM9" s="450"/>
      <c r="AN9" s="379"/>
    </row>
    <row r="10" spans="1:42" s="265" customFormat="1" ht="12.95" customHeight="1">
      <c r="A10" s="410"/>
      <c r="B10" s="411"/>
      <c r="C10" s="424"/>
      <c r="D10" s="423" t="str">
        <f>IF($W$17=$AB$1,Jazyky_ceník!A81,IFERROR(VLOOKUP(Jazyky_ceník!A81,Jazyky_ceník!A:Q,MATCH($W$17,Jazyky_ceník!$A$1:$Q$1,0),FALSE),"---------------"))</f>
        <v>Jeder Kunde erhält einen Rabatt basierend auf einem Einkauf vom 01.09.2022 bis 31.08.2023.</v>
      </c>
      <c r="E10" s="423"/>
      <c r="F10" s="423"/>
      <c r="G10" s="423"/>
      <c r="H10" s="423"/>
      <c r="I10" s="416"/>
      <c r="J10" s="999">
        <f>IF($AO$1=1,F19*60000,F19*60000)</f>
        <v>1474740</v>
      </c>
      <c r="K10" s="417"/>
      <c r="L10" s="417"/>
      <c r="M10" s="418">
        <v>-0.5</v>
      </c>
      <c r="N10" s="419">
        <f t="shared" si="0"/>
        <v>3205956.5217391304</v>
      </c>
      <c r="O10" s="420">
        <f t="shared" si="3"/>
        <v>54</v>
      </c>
      <c r="P10" s="415">
        <f t="shared" si="1"/>
        <v>0</v>
      </c>
      <c r="Q10" s="411"/>
      <c r="R10" s="264"/>
      <c r="S10" s="264"/>
      <c r="T10" s="264"/>
      <c r="U10" s="415"/>
      <c r="V10" s="445" t="str">
        <f>IF($W$17=$AB$1,"NELZE OBJEDNAT!",IFERROR(VLOOKUP("NELZE OBJEDNAT!",Jazyky_ceník!A:Q,MATCH(W17,Jazyky_ceník!A1:Q1,0),FALSE),"!!!"))</f>
        <v>UNMÖGLICH!</v>
      </c>
      <c r="W10" s="448" t="str">
        <f>IF($W$17=$AB$1,"Nelze v tuto chvíli objednat.",IFERROR(VLOOKUP("Nelze v tuto chvíli objednat.",Jazyky_ceník!A:Q,MATCH(W17,Jazyky_ceník!A1:Q1,0),FALSE),"!!!"))</f>
        <v>Kann derzeit nicht bestellen.</v>
      </c>
      <c r="X10" s="448"/>
      <c r="Y10" s="446"/>
      <c r="Z10" s="411" t="str">
        <f>IF($W$17=$AB$1,"kartonů zboží s nakládkou na volno.",IFERROR(VLOOKUP("kartonů zboží s nakládkou na volno.",Jazyky_ceník!A:Q,MATCH(W17,Jazyky_ceník!A1:Q1,0),FALSE),"!!!"))</f>
        <v>Warenkartons mit lose verlegt Einladung bestellt.</v>
      </c>
      <c r="AA10" s="482">
        <v>10</v>
      </c>
      <c r="AB10" s="900" t="s">
        <v>9604</v>
      </c>
      <c r="AC10" s="901"/>
      <c r="AD10" s="424"/>
      <c r="AE10" s="424"/>
      <c r="AF10" s="454"/>
      <c r="AG10" s="449"/>
      <c r="AH10" s="411"/>
      <c r="AI10" s="454"/>
      <c r="AJ10" s="264"/>
      <c r="AK10" s="264"/>
      <c r="AL10" s="264"/>
      <c r="AM10" s="450"/>
      <c r="AN10" s="379"/>
    </row>
    <row r="11" spans="1:42" s="265" customFormat="1" ht="12.95" customHeight="1">
      <c r="A11" s="410"/>
      <c r="B11" s="411"/>
      <c r="C11" s="424"/>
      <c r="D11" s="423" t="str">
        <f>IF($W$17=$AB$1,Jazyky_ceník!A82,IFERROR(VLOOKUP(Jazyky_ceník!A82,Jazyky_ceník!A:Q,MATCH($W$17,Jazyky_ceník!$A$1:$Q$1,0),FALSE),"---------------"))</f>
        <v>Sie haben Ihren Rabatt aufgebraucht, indem Sie Ihre Einkaufslimits überschritten haben (Wareneinkäufe summieren sich),</v>
      </c>
      <c r="E11" s="423"/>
      <c r="F11" s="423"/>
      <c r="G11" s="423"/>
      <c r="H11" s="423"/>
      <c r="I11" s="416"/>
      <c r="J11" s="999">
        <f>IF($AO$1=1,F19*60000,F19*60000)</f>
        <v>1474740</v>
      </c>
      <c r="K11" s="417"/>
      <c r="L11" s="417"/>
      <c r="M11" s="418">
        <v>-0.52</v>
      </c>
      <c r="N11" s="419">
        <f t="shared" si="0"/>
        <v>3205956.5217391304</v>
      </c>
      <c r="O11" s="420">
        <f t="shared" si="3"/>
        <v>54</v>
      </c>
      <c r="P11" s="415">
        <f t="shared" si="1"/>
        <v>0</v>
      </c>
      <c r="Q11" s="411"/>
      <c r="R11" s="264"/>
      <c r="S11" s="264"/>
      <c r="T11" s="264"/>
      <c r="U11" s="415"/>
      <c r="V11" s="445"/>
      <c r="W11" s="411" t="s">
        <v>2914</v>
      </c>
      <c r="X11" s="411"/>
      <c r="Y11" s="446"/>
      <c r="Z11" s="411" t="str">
        <f>IF($W$17=$AB$1,"Objednáváte položky",IFERROR(VLOOKUP("Objednáváte položky",Jazyky_ceník!A:Q,MATCH(W17,Jazyky_ceník!A1:Q1,0),FALSE),"!!!"))</f>
        <v>Sie bestellen eine Artikeln</v>
      </c>
      <c r="AA11" s="482">
        <v>11</v>
      </c>
      <c r="AB11" s="900" t="s">
        <v>9605</v>
      </c>
      <c r="AC11" s="901"/>
      <c r="AD11" s="424"/>
      <c r="AE11" s="424"/>
      <c r="AF11" s="454"/>
      <c r="AG11" s="449"/>
      <c r="AH11" s="411"/>
      <c r="AI11" s="454"/>
      <c r="AJ11" s="264"/>
      <c r="AK11" s="264"/>
      <c r="AL11" s="264"/>
      <c r="AM11" s="450"/>
      <c r="AN11" s="379"/>
    </row>
    <row r="12" spans="1:42" s="265" customFormat="1" ht="12.95" customHeight="1">
      <c r="A12" s="410"/>
      <c r="B12" s="411"/>
      <c r="C12" s="1044" t="s">
        <v>13951</v>
      </c>
      <c r="D12" s="423" t="str">
        <f>IF($W$17=$AB$1,Jazyky_ceník!A83,IFERROR(VLOOKUP(Jazyky_ceník!A83,Jazyky_ceník!A:Q,MATCH($W$17,Jazyky_ceník!$A$1:$Q$1,0),FALSE),"---------------"))</f>
        <v xml:space="preserve">Sie erhalten den entsprechenden Rabatt für den angegebenen Zeitraum zurück. Warenkauf bedeutet den Betrag ohne Mehrwertsteuer nach Abzug des Skontos. </v>
      </c>
      <c r="E12" s="423"/>
      <c r="F12" s="423"/>
      <c r="G12" s="423"/>
      <c r="H12" s="423"/>
      <c r="I12" s="416"/>
      <c r="J12" s="999">
        <f>IF($AO$1=1,F19*60000,F19*60000)</f>
        <v>1474740</v>
      </c>
      <c r="K12" s="417"/>
      <c r="L12" s="417"/>
      <c r="M12" s="418">
        <v>-0.54</v>
      </c>
      <c r="N12" s="419">
        <f t="shared" si="0"/>
        <v>3205956.5217391304</v>
      </c>
      <c r="O12" s="420">
        <f t="shared" si="3"/>
        <v>54</v>
      </c>
      <c r="P12" s="429">
        <f t="shared" si="1"/>
        <v>0</v>
      </c>
      <c r="Q12" s="411"/>
      <c r="R12" s="264"/>
      <c r="S12" s="264"/>
      <c r="T12" s="264"/>
      <c r="U12" s="415"/>
      <c r="V12" s="445"/>
      <c r="W12" s="411" t="s">
        <v>2914</v>
      </c>
      <c r="X12" s="411"/>
      <c r="Y12" s="446"/>
      <c r="Z12" s="411" t="str">
        <f>IF($W$17=$AB$1,"které nejsou skladem, ostraňte je z objednávky!",IFERROR(VLOOKUP("které nejsou skladem, ostraňte je z objednávky!",Jazyky_ceník!A:Q,MATCH(W17,Jazyky_ceník!A1:Q1,0),FALSE),"!!!"))</f>
        <v>die nicht auf Lager sind, entfernen Sie sie aus der Bestellung!</v>
      </c>
      <c r="AA12" s="482">
        <v>12</v>
      </c>
      <c r="AB12" s="900" t="s">
        <v>9603</v>
      </c>
      <c r="AC12" s="901"/>
      <c r="AD12" s="424"/>
      <c r="AE12" s="424"/>
      <c r="AF12" s="454"/>
      <c r="AG12" s="449"/>
      <c r="AH12" s="411"/>
      <c r="AI12" s="454"/>
      <c r="AJ12" s="264"/>
      <c r="AK12" s="264"/>
      <c r="AL12" s="264"/>
      <c r="AM12" s="452"/>
      <c r="AN12" s="379"/>
    </row>
    <row r="13" spans="1:42" s="901" customFormat="1" ht="12.95" hidden="1" customHeight="1">
      <c r="A13" s="925"/>
      <c r="B13" s="845"/>
      <c r="D13" s="926" t="str">
        <f>IF($W$17=$AB$1,Jazyky_ceník!A84,IFERROR(VLOOKUP(Jazyky_ceník!A84,Jazyky_ceník!A:Q,MATCH($W$17,Jazyky_ceník!$A$1:$Q$1,0),FALSE),"---------------"))</f>
        <v>Geben Sie Ihren Rabatt in die Zelle D19 ein, die Preisliste wird automatisch neu berechnet. Der Rabatt berechnet sich auch selbst nach der aktuellen Bestellung.</v>
      </c>
      <c r="E13" s="926"/>
      <c r="F13" s="926"/>
      <c r="G13" s="926"/>
      <c r="H13" s="926"/>
      <c r="I13" s="829"/>
      <c r="J13" s="927">
        <v>1000000</v>
      </c>
      <c r="K13" s="843" t="s">
        <v>2857</v>
      </c>
      <c r="L13" s="843"/>
      <c r="M13" s="421"/>
      <c r="N13" s="264">
        <f t="shared" si="0"/>
        <v>2083333.3333333333</v>
      </c>
      <c r="O13" s="426">
        <v>52</v>
      </c>
      <c r="P13" s="426">
        <f t="shared" si="1"/>
        <v>0</v>
      </c>
      <c r="Q13" s="876"/>
      <c r="R13" s="860"/>
      <c r="S13" s="860"/>
      <c r="T13" s="860"/>
      <c r="U13" s="860"/>
      <c r="V13" s="860"/>
      <c r="W13" s="845" t="s">
        <v>2925</v>
      </c>
      <c r="X13" s="845"/>
      <c r="Y13" s="876"/>
      <c r="Z13" s="929" t="s">
        <v>11850</v>
      </c>
      <c r="AA13" s="930">
        <v>13</v>
      </c>
      <c r="AB13" s="900"/>
      <c r="AG13" s="931"/>
      <c r="AH13" s="845"/>
      <c r="AI13" s="900"/>
      <c r="AJ13" s="861"/>
      <c r="AK13" s="861"/>
      <c r="AL13" s="861"/>
      <c r="AM13" s="932"/>
      <c r="AN13" s="933"/>
    </row>
    <row r="14" spans="1:42" s="901" customFormat="1" ht="15" hidden="1" customHeight="1">
      <c r="A14" s="934"/>
      <c r="B14" s="845"/>
      <c r="E14" s="860"/>
      <c r="F14" s="928"/>
      <c r="G14" s="935"/>
      <c r="H14" s="936"/>
      <c r="I14" s="830"/>
      <c r="J14" s="928">
        <v>1500000</v>
      </c>
      <c r="K14" s="844"/>
      <c r="L14" s="845"/>
      <c r="M14" s="421"/>
      <c r="N14" s="264">
        <f t="shared" si="0"/>
        <v>3260869.5652173911</v>
      </c>
      <c r="O14" s="426">
        <v>54</v>
      </c>
      <c r="P14" s="426">
        <f t="shared" si="1"/>
        <v>0</v>
      </c>
      <c r="Q14" s="878"/>
      <c r="R14" s="870"/>
      <c r="S14" s="870"/>
      <c r="T14" s="870"/>
      <c r="U14" s="870"/>
      <c r="V14" s="870"/>
      <c r="W14" s="877"/>
      <c r="X14" s="877"/>
      <c r="Y14" s="878"/>
      <c r="Z14" s="937"/>
      <c r="AA14" s="938"/>
      <c r="AB14" s="902"/>
      <c r="AC14" s="903">
        <v>14</v>
      </c>
      <c r="AD14" s="939"/>
      <c r="AE14" s="938"/>
      <c r="AF14" s="938" t="s">
        <v>2659</v>
      </c>
      <c r="AG14" s="940" t="s">
        <v>2657</v>
      </c>
      <c r="AH14" s="845"/>
      <c r="AI14" s="900"/>
      <c r="AM14" s="941"/>
      <c r="AN14" s="942"/>
    </row>
    <row r="15" spans="1:42" s="901" customFormat="1" ht="15" hidden="1" customHeight="1">
      <c r="A15" s="934"/>
      <c r="B15" s="845"/>
      <c r="C15" s="860"/>
      <c r="E15" s="860"/>
      <c r="F15" s="928"/>
      <c r="G15" s="935"/>
      <c r="H15" s="936"/>
      <c r="I15" s="830"/>
      <c r="J15" s="928">
        <v>3000000</v>
      </c>
      <c r="K15" s="844"/>
      <c r="L15" s="845"/>
      <c r="M15" s="445" t="s">
        <v>2746</v>
      </c>
      <c r="N15" s="264">
        <f t="shared" si="0"/>
        <v>6666666.666666667</v>
      </c>
      <c r="O15" s="426">
        <v>55</v>
      </c>
      <c r="P15" s="429">
        <f t="shared" si="1"/>
        <v>0</v>
      </c>
      <c r="Q15" s="878" t="s">
        <v>2747</v>
      </c>
      <c r="R15" s="870"/>
      <c r="S15" s="870"/>
      <c r="T15" s="870"/>
      <c r="U15" s="870"/>
      <c r="V15" s="870"/>
      <c r="W15" s="877"/>
      <c r="X15" s="877"/>
      <c r="Y15" s="879"/>
      <c r="Z15" s="937"/>
      <c r="AA15" s="938"/>
      <c r="AB15" s="904"/>
      <c r="AC15" s="904"/>
      <c r="AD15" s="943"/>
      <c r="AE15" s="938"/>
      <c r="AF15" s="938"/>
      <c r="AG15" s="940"/>
      <c r="AH15" s="845"/>
      <c r="AI15" s="900"/>
      <c r="AM15" s="941"/>
      <c r="AN15" s="942"/>
    </row>
    <row r="16" spans="1:42" ht="15" customHeight="1" thickBot="1">
      <c r="A16" s="269" t="s">
        <v>11709</v>
      </c>
      <c r="B16" s="270"/>
      <c r="C16" s="271" t="str">
        <f>A17</f>
        <v>AUSVERKAUF</v>
      </c>
      <c r="D16" s="272"/>
      <c r="E16" s="273"/>
      <c r="F16" s="274" t="str">
        <f>D7</f>
        <v>SENDEN SIE ALLE BESTELLUNGEN NUR AN DIE E-MAIL-ADRESSE:</v>
      </c>
      <c r="G16" s="275" t="str">
        <f>E8</f>
        <v>info@klasekpyrotechnics.cz</v>
      </c>
      <c r="H16" s="276"/>
      <c r="I16" s="831"/>
      <c r="J16" s="277"/>
      <c r="K16" s="846"/>
      <c r="L16" s="847"/>
      <c r="M16" s="279"/>
      <c r="N16" s="862"/>
      <c r="O16" s="863"/>
      <c r="P16" s="864"/>
      <c r="Q16" s="280"/>
      <c r="R16" s="281"/>
      <c r="S16" s="281"/>
      <c r="T16" s="282"/>
      <c r="U16" s="871"/>
      <c r="V16" s="283"/>
      <c r="W16" s="284"/>
      <c r="X16" s="880"/>
      <c r="Y16" s="881"/>
      <c r="Z16" s="285"/>
      <c r="AA16" s="286"/>
      <c r="AB16" s="905"/>
      <c r="AC16" s="906"/>
      <c r="AD16" s="287"/>
      <c r="AE16" s="286"/>
      <c r="AF16" s="286"/>
      <c r="AG16" s="288"/>
      <c r="AH16" s="278"/>
      <c r="AI16" s="289"/>
      <c r="AJ16" s="272"/>
      <c r="AK16" s="272"/>
      <c r="AL16" s="272"/>
      <c r="AM16" s="290"/>
      <c r="AN16" s="379"/>
      <c r="AO16" s="291"/>
      <c r="AP16" s="291"/>
    </row>
    <row r="17" spans="1:50" ht="15" customHeight="1" thickTop="1">
      <c r="A17" s="1148" t="str">
        <f>IF($W$17=$AB$1,"DOPRODEJ",IFERROR(VLOOKUP("DOPRODEJ",Jazyky_ceník!A:Q,MATCH($W$17,Jazyky_ceník!A1:Q1,0),FALSE),"---------------"))</f>
        <v>AUSVERKAUF</v>
      </c>
      <c r="B17" s="293" t="s">
        <v>12031</v>
      </c>
      <c r="C17" s="1106" t="str">
        <f>IF($W$17=$AB$1,Jazyky_ceník!A25,IFERROR(VLOOKUP(Jazyky_ceník!A25,Jazyky_ceník!A:Q,MATCH(W17,Jazyky_ceník!A1:Q1,0),FALSE),"---------------"))</f>
        <v>Katalognummer</v>
      </c>
      <c r="D17" s="1103" t="str">
        <f>IF($W$17=$AB$1,"Název produktu",IFERROR(VLOOKUP("Název produktu",Jazyky_ceník!A:Q,MATCH(W17,Jazyky_ceník!A1:Q1,0),FALSE),"---------------"))</f>
        <v>Produktname</v>
      </c>
      <c r="E17" s="1106" t="str">
        <f>IF($W$17=$AB$1,"Balení v kartonu",IFERROR(VLOOKUP("Balení v kartonu",Jazyky_ceník!A:Q,MATCH(W17,Jazyky_ceník!A1:Q1,0),FALSE),"---------------"))</f>
        <v>Verpackung im Karton</v>
      </c>
      <c r="F17" s="294" t="str">
        <f>IF($W$17=$AB$1,"Cena v CZK",IFERROR(VLOOKUP("Cena v CZK",Jazyky_ceník!A:Q,MATCH(W17,Jazyky_ceník!A1:Q1,0),FALSE),"!!!"))</f>
        <v>Preis in CZK</v>
      </c>
      <c r="G17" s="295" t="str">
        <f>IF($W$17=$AB$1,"Cena v CZK",IFERROR(VLOOKUP("Cena v CZK",Jazyky_ceník!A:Q,MATCH(W17,Jazyky_ceník!A1:Q1,0),FALSE),"!!!"))</f>
        <v>Preis in CZK</v>
      </c>
      <c r="H17" s="296" t="str">
        <f>IF($W$17=$AB$1,"Cena EUR",IFERROR(VLOOKUP("Cena EUR",Jazyky_ceník!A:Q,MATCH(W17,Jazyky_ceník!A1:Q1,0),FALSE),"!!!"))</f>
        <v>Preis in EUR</v>
      </c>
      <c r="I17" s="832" t="s">
        <v>2182</v>
      </c>
      <c r="J17" s="1117" t="str">
        <f>IF($W$17=$AB$1,"Kategorie",IFERROR(VLOOKUP("Kategorie",Jazyky_ceník!A:Q,MATCH(W17,Jazyky_ceník!A1:Q1,0),FALSE),"---------------"))</f>
        <v>Kat.</v>
      </c>
      <c r="K17" s="848" t="s">
        <v>11613</v>
      </c>
      <c r="L17" s="848" t="s">
        <v>2645</v>
      </c>
      <c r="M17" s="1117" t="s">
        <v>12098</v>
      </c>
      <c r="N17" s="865" t="s">
        <v>3</v>
      </c>
      <c r="O17" s="865" t="s">
        <v>4</v>
      </c>
      <c r="P17" s="865" t="s">
        <v>2216</v>
      </c>
      <c r="Q17" s="1146" t="str">
        <f>IF($W$17=$AB$1,"Jazykové mutace",IFERROR(VLOOKUP("Jazykové mutace",Jazyky_ceník!A:Q,MATCH(W17,Jazyky_ceník!A1:Q1,0),FALSE),"---------------"))</f>
        <v>Sprachmutation Anwiesung</v>
      </c>
      <c r="R17" s="1147"/>
      <c r="S17" s="394" t="str">
        <f>IF($W$17=$AB$1,"Vrchní strana",IFERROR(VLOOKUP("Design",Jazyky_ceník!A:Q,MATCH(W17,Jazyky_ceník!A1:Q1,0),FALSE),"!!!"))</f>
        <v>Entwurf</v>
      </c>
      <c r="T17" s="443" t="str">
        <f>IF($W$17=$AB$1,"Trvání efektu",IFERROR(VLOOKUP("Trvání efektu",Jazyky_ceník!A:Q,MATCH(W17,Jazyky_ceník!A1:Q1,0),FALSE),"!!!"))</f>
        <v>Dauerzeit</v>
      </c>
      <c r="U17" s="1111" t="s">
        <v>2254</v>
      </c>
      <c r="V17" s="1113" t="s">
        <v>13196</v>
      </c>
      <c r="W17" s="1115" t="str">
        <f>LOWER(VLOOKUP(Z7,AA1:AC14,2,FALSE))</f>
        <v>deutsch</v>
      </c>
      <c r="X17" s="882"/>
      <c r="Y17" s="883"/>
      <c r="Z17" s="1117" t="str">
        <f>IF($W$17=$AB$1,"Počet kartonů na paletě",IFERROR(VLOOKUP("Počet kartonů na paletě",Jazyky_ceník!A:Q,MATCH(W17,Jazyky_ceník!A1:Q1,0),FALSE),"---------------"))</f>
        <v>Karton menge
pro
Palette</v>
      </c>
      <c r="AA17" s="1142" t="str">
        <f>IF($W$17=$AB$1,"Objednáno kartonů",IFERROR(VLOOKUP("Objednáno kartonů",Jazyky_ceník!A:Q,MATCH(W17,Jazyky_ceník!A1:Q1,0),FALSE),"---------------"))</f>
        <v>Bestellte Kartons</v>
      </c>
      <c r="AB17" s="907" t="s">
        <v>2184</v>
      </c>
      <c r="AC17" s="1100" t="str">
        <f>IF($W$17=$AB$1,"Skladová dostupnost",IFERROR(VLOOKUP("Skladová dostupnost",Jazyky_ceník!A:Q,MATCH(W17,Jazyky_ceník!A1:Q1,0),FALSE),"---------------"))</f>
        <v>Verfügbar im Lager</v>
      </c>
      <c r="AD17" s="1103" t="str">
        <f>IF($W$17=$AB$1,"Skladová dostupnost",IFERROR(VLOOKUP("Skladová dostupnost",Jazyky_ceník!A:Q,MATCH(W17,Jazyky_ceník!A1:Q1,0),FALSE),"---------------"))</f>
        <v>Verfügbar im Lager</v>
      </c>
      <c r="AE17" s="295" t="str">
        <f>IF($W$17=$AB$1,"celkem",IFERROR(VLOOKUP("celkem",Jazyky_ceník!A:Q,MATCH(W17,Jazyky_ceník!A1:Q1,0),FALSE),"!!!"))</f>
        <v>insgesamt</v>
      </c>
      <c r="AF17" s="295" t="str">
        <f>IF($W$17=$AB$1,"celkem",IFERROR(VLOOKUP("celkem",Jazyky_ceník!A:Q,MATCH(W17,Jazyky_ceník!A1:Q1,0),FALSE),"!!!"))</f>
        <v>insgesamt</v>
      </c>
      <c r="AG17" s="297" t="str">
        <f>IF($W$17=$AB$1,"celkem",IFERROR(VLOOKUP("celkem",Jazyky_ceník!A:Q,MATCH(W17,Jazyky_ceník!A1:Q1,0),FALSE),"!!!"))</f>
        <v>insgesamt</v>
      </c>
      <c r="AH17" s="1106" t="str">
        <f>IF($W$17=$AB$1,"celkem",IFERROR(VLOOKUP("celkem",Jazyky_ceník!A:Q,MATCH($W$17,Jazyky_ceník!A1:Q1,0),FALSE),"---------------"))&amp;" "&amp;AH5</f>
        <v>insgesamt [kg]</v>
      </c>
      <c r="AI17" s="1106" t="str">
        <f>IF($W$17=$AB$1,"celkem",IFERROR(VLOOKUP("celkem",Jazyky_ceník!A:Q,MATCH($W$17,Jazyky_ceník!A1:Q1,0),FALSE),"---------------"))&amp;" "&amp;AI5</f>
        <v>insgesamt [m3]</v>
      </c>
      <c r="AJ17" s="1106" t="s">
        <v>2906</v>
      </c>
      <c r="AK17" s="1106" t="s">
        <v>2907</v>
      </c>
      <c r="AL17" s="1106" t="s">
        <v>2908</v>
      </c>
      <c r="AM17" s="1122" t="str">
        <f>IF($W$17=$AB$1,"Celkem
NEM [kg]",IFERROR(VLOOKUP("Celkem
NEM [kg]",Jazyky_ceník!A:Q,MATCH(W17,Jazyky_ceník!A1:Q1,0),FALSE),"---------------"))</f>
        <v>insgesamt
NEM [kg]</v>
      </c>
      <c r="AN17" s="379"/>
      <c r="AO17" s="298"/>
      <c r="AP17" s="298"/>
    </row>
    <row r="18" spans="1:50" ht="15" customHeight="1" thickBot="1">
      <c r="A18" s="1149"/>
      <c r="B18" s="430" t="s">
        <v>15</v>
      </c>
      <c r="C18" s="1150"/>
      <c r="D18" s="1104"/>
      <c r="E18" s="1150"/>
      <c r="F18" s="299" t="str">
        <f>IF($W$17=$AB$1,"před slevou",IFERROR(VLOOKUP("před slevou",Jazyky_ceník!A:Q,MATCH(W17,Jazyky_ceník!A1:Q1,0),FALSE),"!!!"))</f>
        <v>vor dem Rabatt</v>
      </c>
      <c r="G18" s="300" t="str">
        <f>IF($W$17=$AB$1,"po slevě",IFERROR(VLOOKUP("po slevě",Jazyky_ceník!A:Q,MATCH(W17,Jazyky_ceník!A1:Q1,0),FALSE),"!!!"))</f>
        <v>nach dem Rabatt</v>
      </c>
      <c r="H18" s="301" t="str">
        <f>IF($W$17=$AB$1,"po slevě",IFERROR(VLOOKUP("po slevě",Jazyky_ceník!A:Q,MATCH(W17,Jazyky_ceník!A1:Q1,0),FALSE),"!!!"))</f>
        <v>nach dem Rabatt</v>
      </c>
      <c r="I18" s="833" t="s">
        <v>2183</v>
      </c>
      <c r="J18" s="1145"/>
      <c r="K18" s="849" t="s">
        <v>11614</v>
      </c>
      <c r="L18" s="849" t="s">
        <v>12141</v>
      </c>
      <c r="M18" s="1145"/>
      <c r="N18" s="866" t="s">
        <v>2214</v>
      </c>
      <c r="O18" s="866" t="s">
        <v>2215</v>
      </c>
      <c r="P18" s="866" t="s">
        <v>2217</v>
      </c>
      <c r="Q18" s="444" t="str">
        <f>IF($W$17=$AB$1,"velkého balení",IFERROR(VLOOKUP("velkého balení",Jazyky_ceník!A:Q,MATCH(W17,Jazyky_ceník!A1:Q1,0),FALSE),"!!!"))</f>
        <v>an der grosser Pack</v>
      </c>
      <c r="R18" s="444" t="str">
        <f>IF($W$17=$AB$1,"malého balení",IFERROR(VLOOKUP("malého balení",Jazyky_ceník!A:Q,MATCH(W17,Jazyky_ceník!A1:Q1,0),FALSE),"!!!"))</f>
        <v>an der kleiner Pack</v>
      </c>
      <c r="S18" s="444" t="str">
        <f>IF($W$17=$AB$1,"baterie",IFERROR(VLOOKUP("horního víka",Jazyky_ceník!A:Q,MATCH(W17,Jazyky_ceník!A1:Q1,0),FALSE),"!!!"))</f>
        <v>Oberseite</v>
      </c>
      <c r="T18" s="444" t="str">
        <f>IF($W$17=$AB$1,"čas v sekundách",IFERROR(VLOOKUP("čas v sekundách",Jazyky_ceník!A:Q,MATCH(W17,Jazyky_ceník!A1:Q1,0),FALSE),"!!!"))</f>
        <v>in s</v>
      </c>
      <c r="U18" s="1112"/>
      <c r="V18" s="1114"/>
      <c r="W18" s="1116"/>
      <c r="X18" s="882"/>
      <c r="Y18" s="884"/>
      <c r="Z18" s="1118"/>
      <c r="AA18" s="1143"/>
      <c r="AB18" s="908" t="s">
        <v>2185</v>
      </c>
      <c r="AC18" s="1101"/>
      <c r="AD18" s="1104"/>
      <c r="AE18" s="302" t="s">
        <v>2658</v>
      </c>
      <c r="AF18" s="302" t="str">
        <f>IF(W17=AB8,"PLN","CZK")</f>
        <v>CZK</v>
      </c>
      <c r="AG18" s="303" t="str">
        <f>IF(W17=AB8,"PLN","EUR")</f>
        <v>EUR</v>
      </c>
      <c r="AH18" s="1107"/>
      <c r="AI18" s="1109"/>
      <c r="AJ18" s="1107"/>
      <c r="AK18" s="1107"/>
      <c r="AL18" s="1107"/>
      <c r="AM18" s="1123"/>
      <c r="AN18" s="379"/>
      <c r="AO18" s="298"/>
      <c r="AP18" s="298"/>
    </row>
    <row r="19" spans="1:50" ht="15" customHeight="1" thickTop="1" thickBot="1">
      <c r="A19" s="304" t="s">
        <v>2676</v>
      </c>
      <c r="B19" s="305">
        <f>(100-D19)/100</f>
        <v>1</v>
      </c>
      <c r="C19" s="306" t="str">
        <f>IF($W$17=$AB$1,"Sleva v %",IFERROR(VLOOKUP("Sleva v %",Jazyky_ceník!A:Q,MATCH(W17,Jazyky_ceník!A1:Q1,0),FALSE),"!!!"))</f>
        <v>Rabatt</v>
      </c>
      <c r="D19" s="307">
        <f>P15</f>
        <v>0</v>
      </c>
      <c r="E19" s="308" t="str">
        <f>IF($W$17=$AB$1,"Kurz",IFERROR(VLOOKUP("Kurz",Jazyky_ceník!A:Q,MATCH(W17,Jazyky_ceník!A1:Q1,0),FALSE),"!!!"))&amp;":"</f>
        <v>Kurs:</v>
      </c>
      <c r="F19" s="1042">
        <f>Act_Kurs!F1</f>
        <v>24.579000000000001</v>
      </c>
      <c r="G19" s="1125" t="str">
        <f>IF($W$17=$AB$1,"(vyplňuje se automaticky)",IFERROR(VLOOKUP("(vyplňuje se automaticky)",Jazyky_ceník!A:Q,MATCH(W17,Jazyky_ceník!A1:Q1,0),FALSE),"---------------"))</f>
        <v>(wird automatisch ausgefüllt)</v>
      </c>
      <c r="H19" s="1125"/>
      <c r="I19" s="1126"/>
      <c r="J19" s="1126"/>
      <c r="K19" s="850"/>
      <c r="L19" s="851"/>
      <c r="M19" s="1127" t="str">
        <f>IF($W$17=$AB$1,"Datum aktualizace ceníku:",IFERROR(VLOOKUP("Datum aktualizace ceníku:",Jazyky_ceník!A:Q,MATCH(W17,Jazyky_ceník!A1:Q1,0),FALSE),"---------------"))</f>
        <v>Aktualisierungsdatum der Preisliste:</v>
      </c>
      <c r="N19" s="1128"/>
      <c r="O19" s="1128"/>
      <c r="P19" s="1128"/>
      <c r="Q19" s="1128"/>
      <c r="R19" s="1129">
        <f>IFERROR(VLOOKUP("Datum:",[1]List1!$A:$D,2,FALSE),"Pozor! Ceník je offline!")</f>
        <v>45343.466064814813</v>
      </c>
      <c r="S19" s="1130"/>
      <c r="T19" s="1130"/>
      <c r="U19" s="1130"/>
      <c r="V19" s="1131"/>
      <c r="W19" s="309" t="str">
        <f>IF($W$17=$AB$1,"Popis efektu",IFERROR(VLOOKUP("Popis efektu",Jazyky_ceník!A:Q,MATCH(W17,Jazyky_ceník!A1:Q1,0),FALSE),"!!!"))</f>
        <v>Effekte Beschreibung</v>
      </c>
      <c r="X19" s="885"/>
      <c r="Y19" s="886"/>
      <c r="Z19" s="1119"/>
      <c r="AA19" s="1144"/>
      <c r="AB19" s="909"/>
      <c r="AC19" s="1102"/>
      <c r="AD19" s="1105"/>
      <c r="AE19" s="310" t="str">
        <f>IF($W$17=$AB$1,"(bez DPH)",IFERROR(VLOOKUP("(bez DPH)",Jazyky_ceník!A:Q,MATCH(W17,Jazyky_ceník!A1:Q1,0),FALSE),"!!!"))</f>
        <v>(ohne MWSt.)</v>
      </c>
      <c r="AF19" s="310" t="str">
        <f>IF($W$17=$AB$1,"(vč. DPH)",IFERROR(VLOOKUP("(vč. DPH)",Jazyky_ceník!A:Q,MATCH(W17,Jazyky_ceník!A1:Q1,0),FALSE),"!!!"))</f>
        <v>(mit MWSt.)</v>
      </c>
      <c r="AG19" s="311" t="str">
        <f>IF($W$17=$AB$1,"(bez DPH)",IFERROR(VLOOKUP("(bez DPH)",Jazyky_ceník!A:Q,MATCH(W17,Jazyky_ceník!A1:Q1,0),FALSE),"!!!"))</f>
        <v>(ohne MWSt.)</v>
      </c>
      <c r="AH19" s="1108"/>
      <c r="AI19" s="1110"/>
      <c r="AJ19" s="1108"/>
      <c r="AK19" s="1108"/>
      <c r="AL19" s="1108"/>
      <c r="AM19" s="1124"/>
      <c r="AN19" s="380"/>
      <c r="AO19" s="312"/>
      <c r="AP19" s="312"/>
    </row>
    <row r="20" spans="1:50" ht="13.5" customHeight="1" thickTop="1">
      <c r="A20" s="486"/>
      <c r="B20" s="487"/>
      <c r="C20" s="488"/>
      <c r="D20" s="489" t="s">
        <v>12143</v>
      </c>
      <c r="E20" s="490" t="s">
        <v>12144</v>
      </c>
      <c r="F20" s="487" t="s">
        <v>2658</v>
      </c>
      <c r="G20" s="490" t="s">
        <v>12145</v>
      </c>
      <c r="H20" s="490" t="s">
        <v>12146</v>
      </c>
      <c r="I20" s="834" t="s">
        <v>12162</v>
      </c>
      <c r="J20" s="491" t="s">
        <v>12147</v>
      </c>
      <c r="K20" s="852" t="s">
        <v>12163</v>
      </c>
      <c r="L20" s="853"/>
      <c r="M20" s="492" t="s">
        <v>12098</v>
      </c>
      <c r="N20" s="867" t="s">
        <v>3</v>
      </c>
      <c r="O20" s="867" t="s">
        <v>12164</v>
      </c>
      <c r="P20" s="867" t="s">
        <v>12165</v>
      </c>
      <c r="Q20" s="492" t="s">
        <v>12148</v>
      </c>
      <c r="R20" s="493" t="s">
        <v>12149</v>
      </c>
      <c r="S20" s="493" t="s">
        <v>12150</v>
      </c>
      <c r="T20" s="493" t="s">
        <v>12151</v>
      </c>
      <c r="U20" s="872" t="s">
        <v>12152</v>
      </c>
      <c r="V20" s="493" t="s">
        <v>12153</v>
      </c>
      <c r="W20" s="494" t="s">
        <v>12154</v>
      </c>
      <c r="X20" s="887"/>
      <c r="Y20" s="888"/>
      <c r="Z20" s="490" t="s">
        <v>12155</v>
      </c>
      <c r="AA20" s="487" t="s">
        <v>13198</v>
      </c>
      <c r="AB20" s="872" t="s">
        <v>12166</v>
      </c>
      <c r="AC20" s="872"/>
      <c r="AD20" s="490" t="s">
        <v>12142</v>
      </c>
      <c r="AE20" s="487" t="s">
        <v>12156</v>
      </c>
      <c r="AF20" s="487" t="s">
        <v>12157</v>
      </c>
      <c r="AG20" s="488" t="s">
        <v>12158</v>
      </c>
      <c r="AH20" s="487" t="s">
        <v>12159</v>
      </c>
      <c r="AI20" s="487" t="s">
        <v>12160</v>
      </c>
      <c r="AJ20" s="487">
        <v>11</v>
      </c>
      <c r="AK20" s="487">
        <v>13</v>
      </c>
      <c r="AL20" s="487">
        <v>14</v>
      </c>
      <c r="AM20" s="495" t="s">
        <v>12161</v>
      </c>
      <c r="AN20" s="496"/>
      <c r="AO20" s="317" t="s">
        <v>12135</v>
      </c>
      <c r="AP20" s="317" t="s">
        <v>12136</v>
      </c>
      <c r="AW20" s="291" t="s">
        <v>13496</v>
      </c>
      <c r="AX20" s="291" t="s">
        <v>13497</v>
      </c>
    </row>
    <row r="21" spans="1:50" ht="15.75" customHeight="1" thickBot="1">
      <c r="A21" s="672" t="str">
        <f>Kat.!C21</f>
        <v xml:space="preserve">                                          Kinder - Pyrotechnik</v>
      </c>
      <c r="B21" s="672"/>
      <c r="C21" s="673"/>
      <c r="D21" s="674"/>
      <c r="E21" s="672"/>
      <c r="F21" s="675"/>
      <c r="G21" s="672"/>
      <c r="H21" s="672"/>
      <c r="I21" s="835"/>
      <c r="J21" s="672"/>
      <c r="K21" s="835"/>
      <c r="L21" s="835"/>
      <c r="M21" s="672"/>
      <c r="N21" s="835"/>
      <c r="O21" s="835"/>
      <c r="P21" s="835"/>
      <c r="Q21" s="672"/>
      <c r="R21" s="672"/>
      <c r="S21" s="672"/>
      <c r="T21" s="672"/>
      <c r="U21" s="835"/>
      <c r="V21" s="672"/>
      <c r="W21" s="672"/>
      <c r="X21" s="835"/>
      <c r="Y21" s="835"/>
      <c r="Z21" s="672"/>
      <c r="AA21" s="672"/>
      <c r="AB21" s="835"/>
      <c r="AC21" s="835"/>
      <c r="AD21" s="672"/>
      <c r="AE21" s="672"/>
      <c r="AF21" s="672"/>
      <c r="AG21" s="672"/>
      <c r="AH21" s="672"/>
      <c r="AI21" s="672"/>
      <c r="AJ21" s="672"/>
      <c r="AK21" s="672"/>
      <c r="AL21" s="672"/>
      <c r="AM21" s="676"/>
      <c r="AN21" s="381"/>
      <c r="AO21" s="291"/>
      <c r="AP21" s="291"/>
      <c r="AW21" s="983"/>
      <c r="AX21" s="983"/>
    </row>
    <row r="22" spans="1:50" s="458" customFormat="1" ht="15" customHeight="1">
      <c r="A22" s="677" t="str">
        <f>Kat.!C22</f>
        <v xml:space="preserve">                                          </v>
      </c>
      <c r="B22" s="678">
        <v>1</v>
      </c>
      <c r="C22" s="679" t="s">
        <v>20</v>
      </c>
      <c r="D22" s="679" t="s">
        <v>21</v>
      </c>
      <c r="E22" s="680" t="s">
        <v>22</v>
      </c>
      <c r="F22" s="681">
        <f>VLOOKUP(C22,[2]List1!$A:$D,2,FALSE)</f>
        <v>311</v>
      </c>
      <c r="G22" s="682">
        <f>IFERROR((F22)*$B$19,"")</f>
        <v>311</v>
      </c>
      <c r="H22" s="683">
        <f>IFERROR(ROUND(G22/$F$19,1),"")</f>
        <v>12.7</v>
      </c>
      <c r="I22" s="836">
        <v>25</v>
      </c>
      <c r="J22" s="680" t="s">
        <v>23</v>
      </c>
      <c r="K22" s="854"/>
      <c r="L22" s="855" t="s">
        <v>13816</v>
      </c>
      <c r="M22" s="680" t="s">
        <v>25</v>
      </c>
      <c r="N22" s="868">
        <f>IFERROR(VLOOKUP(C22,[3]List1!$A:$D,4,FALSE),"N/A!")</f>
        <v>3.124E-2</v>
      </c>
      <c r="O22" s="836">
        <f>IFERROR(VLOOKUP(C22,[3]List1!$A:$D,3,FALSE),"N/A!")</f>
        <v>2400.0000000000005</v>
      </c>
      <c r="P22" s="836">
        <f>IFERROR(VLOOKUP(C22,[3]List1!$A:$D,2,FALSE),"N/A!")</f>
        <v>6500</v>
      </c>
      <c r="Q22" s="680" t="s">
        <v>13704</v>
      </c>
      <c r="R22" s="680" t="s">
        <v>13705</v>
      </c>
      <c r="S22" s="680"/>
      <c r="T22" s="681">
        <v>7</v>
      </c>
      <c r="U22" s="873"/>
      <c r="V22" s="684" t="str">
        <f>_xlfn.IFNA(HYPERLINK("https://www.klasekpyrotechnics.cz/dp1r"),"")</f>
        <v>https://www.klasekpyrotechnics.cz/dp1r</v>
      </c>
      <c r="W22" s="685" t="str">
        <f>IFERROR(VLOOKUP($C22,Popisy!A:P,MATCH($W$17,Popisy!$A$7:$P$7,0),FALSE),"---------------")</f>
        <v>Rotierender rot-grün-gelber Effekt - Bodeneffekt</v>
      </c>
      <c r="X22" s="889" t="str">
        <f>IF(AA22&lt;0.0001,"",AA22)</f>
        <v/>
      </c>
      <c r="Y22" s="890"/>
      <c r="Z22" s="706" t="str">
        <f>IFERROR(IF(VLOOKUP(C22,[4]List1!$A:$D,4,FALSE)=0,"",VLOOKUP(C22,[4]List1!$A:$D,4,FALSE)),"")</f>
        <v>32</v>
      </c>
      <c r="AA22" s="707"/>
      <c r="AB22" s="910" t="str">
        <f>IFERROR(IF(VLOOKUP(C22,[1]List1!$A:$D,2,FALSE)="VYPRODÁNO",$V$9,IF(VLOOKUP(C22,[1]List1!$A:$D,2,FALSE)="DOCHÁZÍ",$V$3,VLOOKUP(C22,[1]List1!$A:$D,2,FALSE))),"OFFLINE!")</f>
        <v>15.03.2024</v>
      </c>
      <c r="AC22" s="1037" t="str">
        <f ca="1">IF(AO22="NE",$V$10,IF(AB22=$V$3,IF(AP22&lt;1,$V$8,$V$2&amp;" "&amp;AP22&amp;" "&amp;$V$1),IF(AB22="SKLADEM",$V$6,IFERROR(IF(OR(AB22-TODAY()&gt;21,VLOOKUP(C22,[1]List1!$A:$E,4,FALSE)=0),AB22,DAY(AB22)&amp;"."&amp;MONTH(AB22)&amp;"."&amp;YEAR(AB22)&amp;" "&amp;$V$4&amp;VLOOKUP(C22,[1]List1!$A:$E,4,FALSE)&amp;" "&amp;$V$1),AB22))))</f>
        <v>15.3.2024 KOMMT 100+ KTN</v>
      </c>
      <c r="AD22" s="686" t="str">
        <f ca="1">_xlfn.IFNA(VLOOKUP(C22,'General price list'!C:AM,MATCH($AD$20,'General price list'!$C$20:$AM$20,0),FALSE),"")</f>
        <v>15.3.2024 KOMMT 100+ KTN</v>
      </c>
      <c r="AE22" s="681">
        <f ca="1">IFERROR(IF(AD22=$V$10,0,G22*I22*AA22),"")</f>
        <v>0</v>
      </c>
      <c r="AF22" s="681">
        <f t="shared" ref="AF22" ca="1" si="4">IFERROR(IF($W$17=$AB$8,AG22*1.23,AE22*1.21),"")</f>
        <v>0</v>
      </c>
      <c r="AG22" s="687">
        <f ca="1">IFERROR(IF($V$10=AD22,0,H22*I22*AA22),"")</f>
        <v>0</v>
      </c>
      <c r="AH22" s="688">
        <f ca="1">IFERROR(IF($V$10=AD22,0,(P22*AA22)/1000),"")</f>
        <v>0</v>
      </c>
      <c r="AI22" s="687">
        <f ca="1">IFERROR(IF($V$10=AD22,0,N22*AA22),"")</f>
        <v>0</v>
      </c>
      <c r="AJ22" s="689" t="str">
        <f ca="1">IFERROR(IF($V$10=AD22,"",IF(M22="1.1G",(O22/1000)*AA22,"")),0)</f>
        <v/>
      </c>
      <c r="AK22" s="689" t="str">
        <f ca="1">IFERROR(IF($V$10=AD22,"",IF(M22="1.3G",(O22/1000)*AA22,"")),0)</f>
        <v/>
      </c>
      <c r="AL22" s="689">
        <f ca="1">IFERROR(IF($V$10=AD22,"",IF(M22="1.4G",(O22/1000)*AA22,"")),0)</f>
        <v>0</v>
      </c>
      <c r="AM22" s="690" t="str">
        <f ca="1">IFERROR(IF(SUM(AJ22:AL22)=0,"",SUM(AJ22:AL22)),"")</f>
        <v/>
      </c>
      <c r="AN22" s="455"/>
      <c r="AO22" s="456" t="str">
        <f>IF($R$3=1,IF(Y22=AA22,"","NE"),IF(AD22=$V$10,"NE",""))</f>
        <v/>
      </c>
      <c r="AP22" s="457" t="str">
        <f>IF(AB22=$V$3,IF(VLOOKUP(C22,[1]List1!$A:$E,5,FALSE)=0,1,VLOOKUP(C22,[1]List1!$A:$E,5,FALSE)),"")</f>
        <v/>
      </c>
      <c r="AW22" s="458">
        <f>IFERROR(FIND(VLOOKUP('General price list'!$AB$7,'General price list'!$AC$1:$AD$12,2,FALSE),Q22,1),0)</f>
        <v>10</v>
      </c>
      <c r="AX22" s="458">
        <f>IFERROR(FIND(VLOOKUP('General price list'!$AB$7,'General price list'!$AC$1:$AD$12,2,FALSE),R22,1),0)</f>
        <v>0</v>
      </c>
    </row>
    <row r="23" spans="1:50" s="458" customFormat="1" ht="15" customHeight="1">
      <c r="A23" s="691" t="str">
        <f>Kat.!C23</f>
        <v>×</v>
      </c>
      <c r="B23" s="692">
        <v>2</v>
      </c>
      <c r="C23" s="693" t="s">
        <v>29</v>
      </c>
      <c r="D23" s="693" t="s">
        <v>21</v>
      </c>
      <c r="E23" s="694" t="s">
        <v>22</v>
      </c>
      <c r="F23" s="695">
        <f>VLOOKUP(C23,[2]List1!$A:$D,2,FALSE)</f>
        <v>311</v>
      </c>
      <c r="G23" s="696">
        <f t="shared" ref="G23:G86" si="5">IFERROR((F23)*$B$19,"")</f>
        <v>311</v>
      </c>
      <c r="H23" s="697">
        <f t="shared" ref="H23:H86" si="6">IFERROR(ROUND(G23/$F$19,1),"")</f>
        <v>12.7</v>
      </c>
      <c r="I23" s="837">
        <v>25</v>
      </c>
      <c r="J23" s="698" t="s">
        <v>23</v>
      </c>
      <c r="K23" s="856"/>
      <c r="L23" s="857" t="s">
        <v>13816</v>
      </c>
      <c r="M23" s="698" t="s">
        <v>25</v>
      </c>
      <c r="N23" s="869">
        <f>IFERROR(VLOOKUP(C23,[3]List1!$A:$D,4,FALSE),"N/A!")</f>
        <v>3.124E-2</v>
      </c>
      <c r="O23" s="837">
        <f>IFERROR(VLOOKUP(C23,[3]List1!$A:$D,3,FALSE),"N/A!")</f>
        <v>2400.0000000000005</v>
      </c>
      <c r="P23" s="837">
        <f>IFERROR(VLOOKUP(C23,[3]List1!$A:$D,2,FALSE),"N/A!")</f>
        <v>6500</v>
      </c>
      <c r="Q23" s="698" t="s">
        <v>13704</v>
      </c>
      <c r="R23" s="698" t="s">
        <v>118</v>
      </c>
      <c r="S23" s="698"/>
      <c r="T23" s="695">
        <v>7</v>
      </c>
      <c r="U23" s="874"/>
      <c r="V23" s="699" t="str">
        <f>_xlfn.IFNA(HYPERLINK("https://www.klasekpyrotechnics.cz/dp1r_1"),"")</f>
        <v>https://www.klasekpyrotechnics.cz/dp1r_1</v>
      </c>
      <c r="W23" s="700" t="str">
        <f>IFERROR(VLOOKUP($C23,Popisy!A:P,MATCH($W$17,Popisy!$A$7:$P$7,0),FALSE),"---------------")</f>
        <v>Rotierender rot-grün-gelber Effekt - Bodeneffekt</v>
      </c>
      <c r="X23" s="891" t="str">
        <f t="shared" ref="X23:X86" si="7">IF(AA23&lt;0.0001,"",AA23)</f>
        <v/>
      </c>
      <c r="Y23" s="892"/>
      <c r="Z23" s="700" t="str">
        <f>IFERROR(IF(VLOOKUP(C23,[4]List1!$A:$D,4,FALSE)=0,"",VLOOKUP(C23,[4]List1!$A:$D,4,FALSE)),"")</f>
        <v>32</v>
      </c>
      <c r="AA23" s="707"/>
      <c r="AB23" s="912" t="str">
        <f>IFERROR(IF(VLOOKUP(C23,[1]List1!$A:$D,2,FALSE)="VYPRODÁNO",$V$9,IF(VLOOKUP(C23,[1]List1!$A:$D,2,FALSE)="DOCHÁZÍ",$V$3,VLOOKUP(C23,[1]List1!$A:$D,2,FALSE))),"OFFLINE!")</f>
        <v>15.03.2024</v>
      </c>
      <c r="AC23" s="1037" t="str">
        <f ca="1">IF(AO23="NE",$V$10,IF(AB23=$V$3,IF(AP23&lt;1,$V$8,$V$2&amp;" "&amp;AP23&amp;" "&amp;$V$1),IF(AB23="SKLADEM",$V$6,IFERROR(IF(OR(AB23-TODAY()&gt;21,VLOOKUP(C23,[1]List1!$A:$E,4,FALSE)=0),AB23,DAY(AB23)&amp;"."&amp;MONTH(AB23)&amp;"."&amp;YEAR(AB23)&amp;" "&amp;$V$4&amp;VLOOKUP(C23,[1]List1!$A:$E,4,FALSE)&amp;" "&amp;$V$1),AB23))))</f>
        <v>15.3.2024 KOMMT 50 KTN</v>
      </c>
      <c r="AD23" s="701" t="str">
        <f ca="1">_xlfn.IFNA(VLOOKUP(C23,'General price list'!C:AM,MATCH($AD$20,'General price list'!$C$20:$AM$20,0),FALSE),"")</f>
        <v>15.3.2024 KOMMT 50 KTN</v>
      </c>
      <c r="AE23" s="695">
        <f t="shared" ref="AE23:AE86" ca="1" si="8">IFERROR(IF(AD23=$V$10,0,G23*I23*AA23),"")</f>
        <v>0</v>
      </c>
      <c r="AF23" s="695">
        <f t="shared" ref="AF23:AF86" ca="1" si="9">IFERROR(IF($W$17=$AB$8,AG23*1.23,AE23*1.21),"")</f>
        <v>0</v>
      </c>
      <c r="AG23" s="702">
        <f t="shared" ref="AG23:AG86" ca="1" si="10">IFERROR(IF($V$10=AD23,0,H23*I23*AA23),"")</f>
        <v>0</v>
      </c>
      <c r="AH23" s="703">
        <f t="shared" ref="AH23:AH86" ca="1" si="11">IFERROR(IF($V$10=AD23,0,(P23*AA23)/1000),"")</f>
        <v>0</v>
      </c>
      <c r="AI23" s="702">
        <f t="shared" ref="AI23:AI86" ca="1" si="12">IFERROR(IF($V$10=AD23,0,N23*AA23),"")</f>
        <v>0</v>
      </c>
      <c r="AJ23" s="704" t="str">
        <f t="shared" ref="AJ23:AJ86" ca="1" si="13">IFERROR(IF($V$10=AD23,"",IF(M23="1.1G",(O23/1000)*AA23,"")),0)</f>
        <v/>
      </c>
      <c r="AK23" s="704" t="str">
        <f t="shared" ref="AK23:AK86" ca="1" si="14">IFERROR(IF($V$10=AD23,"",IF(M23="1.3G",(O23/1000)*AA23,"")),0)</f>
        <v/>
      </c>
      <c r="AL23" s="704">
        <f t="shared" ref="AL23:AL86" ca="1" si="15">IFERROR(IF($V$10=AD23,"",IF(M23="1.4G",(O23/1000)*AA23,"")),0)</f>
        <v>0</v>
      </c>
      <c r="AM23" s="705" t="str">
        <f t="shared" ref="AM23:AM86" ca="1" si="16">IFERROR(IF(SUM(AJ23:AL23)=0,"",SUM(AJ23:AL23)),"")</f>
        <v/>
      </c>
      <c r="AN23" s="455"/>
      <c r="AO23" s="456" t="str">
        <f>IF($R$3=1,IF(Y23=AA23,"","NE"),IF(#REF!=$V$10,"NE",""))</f>
        <v/>
      </c>
      <c r="AP23" s="457" t="str">
        <f>IF(AB23=$V$3,IF(VLOOKUP(C23,[1]List1!$A:$E,5,FALSE)=0,1,VLOOKUP(C23,[1]List1!$A:$E,5,FALSE)),"")</f>
        <v/>
      </c>
      <c r="AW23" s="458">
        <f>IFERROR(FIND(VLOOKUP('General price list'!$AB$7,'General price list'!$AC$1:$AD$12,2,FALSE),Q23,1),0)</f>
        <v>10</v>
      </c>
      <c r="AX23" s="458">
        <f>IFERROR(FIND(VLOOKUP('General price list'!$AB$7,'General price list'!$AC$1:$AD$12,2,FALSE),R23,1),0)</f>
        <v>0</v>
      </c>
    </row>
    <row r="24" spans="1:50" s="458" customFormat="1" ht="15" customHeight="1">
      <c r="A24" s="677" t="str">
        <f>Kat.!C24</f>
        <v xml:space="preserve">                                          </v>
      </c>
      <c r="B24" s="678">
        <v>3</v>
      </c>
      <c r="C24" s="679" t="s">
        <v>30</v>
      </c>
      <c r="D24" s="679" t="s">
        <v>31</v>
      </c>
      <c r="E24" s="680" t="s">
        <v>32</v>
      </c>
      <c r="F24" s="681">
        <f>VLOOKUP(C24,[2]List1!$A:$D,2,FALSE)</f>
        <v>280</v>
      </c>
      <c r="G24" s="682">
        <f t="shared" si="5"/>
        <v>280</v>
      </c>
      <c r="H24" s="683">
        <f t="shared" si="6"/>
        <v>11.4</v>
      </c>
      <c r="I24" s="836">
        <v>25</v>
      </c>
      <c r="J24" s="680" t="s">
        <v>23</v>
      </c>
      <c r="K24" s="854"/>
      <c r="L24" s="855" t="s">
        <v>13816</v>
      </c>
      <c r="M24" s="680" t="s">
        <v>25</v>
      </c>
      <c r="N24" s="868">
        <f>IFERROR(VLOOKUP(C24,[3]List1!$A:$D,4,FALSE),"N/A!")</f>
        <v>4.3438749999999998E-2</v>
      </c>
      <c r="O24" s="836">
        <f>IFERROR(VLOOKUP(C24,[3]List1!$A:$D,3,FALSE),"N/A!")</f>
        <v>2400</v>
      </c>
      <c r="P24" s="836">
        <f>IFERROR(VLOOKUP(C24,[3]List1!$A:$D,2,FALSE),"N/A!")</f>
        <v>7800</v>
      </c>
      <c r="Q24" s="680" t="s">
        <v>13706</v>
      </c>
      <c r="R24" s="680" t="s">
        <v>610</v>
      </c>
      <c r="S24" s="680"/>
      <c r="T24" s="681">
        <v>10</v>
      </c>
      <c r="U24" s="873"/>
      <c r="V24" s="684" t="str">
        <f>_xlfn.IFNA(HYPERLINK("https://www.klasekpyrotechnics.cz/dp1vr"),"")</f>
        <v>https://www.klasekpyrotechnics.cz/dp1vr</v>
      </c>
      <c r="W24" s="685" t="str">
        <f>IFERROR(VLOOKUP($C24,Popisy!A:P,MATCH($W$17,Popisy!$A$7:$P$7,0),FALSE),"---------------")</f>
        <v>Größe rotierender rot-grün-gelber Effekt - Bodeneffekt</v>
      </c>
      <c r="X24" s="889" t="str">
        <f t="shared" si="7"/>
        <v/>
      </c>
      <c r="Y24" s="890"/>
      <c r="Z24" s="685" t="str">
        <f>IFERROR(IF(VLOOKUP(C24,[4]List1!$A:$D,4,FALSE)=0,"",VLOOKUP(C24,[4]List1!$A:$D,4,FALSE)),"")</f>
        <v>30</v>
      </c>
      <c r="AA24" s="707"/>
      <c r="AB24" s="911" t="str">
        <f>IFERROR(IF(VLOOKUP(C24,[1]List1!$A:$D,2,FALSE)="VYPRODÁNO",$V$9,IF(VLOOKUP(C24,[1]List1!$A:$D,2,FALSE)="DOCHÁZÍ",$V$3,VLOOKUP(C24,[1]List1!$A:$D,2,FALSE))),"OFFLINE!")</f>
        <v>15.09.2024</v>
      </c>
      <c r="AC24" s="1037" t="str">
        <f ca="1">IF(AO24="NE",$V$10,IF(AB24=$V$3,IF(AP24&lt;1,$V$8,$V$2&amp;" "&amp;AP24&amp;" "&amp;$V$1),IF(AB24="SKLADEM",$V$6,IFERROR(IF(OR(AB24-TODAY()&gt;21,VLOOKUP(C24,[1]List1!$A:$E,4,FALSE)=0),AB24,DAY(AB24)&amp;"."&amp;MONTH(AB24)&amp;"."&amp;YEAR(AB24)&amp;" "&amp;$V$4&amp;VLOOKUP(C24,[1]List1!$A:$E,4,FALSE)&amp;" "&amp;$V$1),AB24))))</f>
        <v>15.09.2024</v>
      </c>
      <c r="AD24" s="686" t="str">
        <f ca="1">_xlfn.IFNA(VLOOKUP(C24,'General price list'!C:AM,MATCH($AD$20,'General price list'!$C$20:$AM$20,0),FALSE),"")</f>
        <v>15.09.2024</v>
      </c>
      <c r="AE24" s="681">
        <f t="shared" ca="1" si="8"/>
        <v>0</v>
      </c>
      <c r="AF24" s="681">
        <f t="shared" ca="1" si="9"/>
        <v>0</v>
      </c>
      <c r="AG24" s="687">
        <f t="shared" ca="1" si="10"/>
        <v>0</v>
      </c>
      <c r="AH24" s="688">
        <f t="shared" ca="1" si="11"/>
        <v>0</v>
      </c>
      <c r="AI24" s="687">
        <f t="shared" ca="1" si="12"/>
        <v>0</v>
      </c>
      <c r="AJ24" s="689" t="str">
        <f t="shared" ca="1" si="13"/>
        <v/>
      </c>
      <c r="AK24" s="689" t="str">
        <f t="shared" ca="1" si="14"/>
        <v/>
      </c>
      <c r="AL24" s="689">
        <f t="shared" ca="1" si="15"/>
        <v>0</v>
      </c>
      <c r="AM24" s="690" t="str">
        <f t="shared" ca="1" si="16"/>
        <v/>
      </c>
      <c r="AN24" s="455"/>
      <c r="AO24" s="456" t="str">
        <f>IF($R$3=1,IF(Y24=AA24,"","NE"),IF(#REF!=$V$10,"NE",""))</f>
        <v/>
      </c>
      <c r="AP24" s="457" t="str">
        <f>IF(AB24=$V$3,IF(VLOOKUP(C24,[1]List1!$A:$E,5,FALSE)=0,1,VLOOKUP(C24,[1]List1!$A:$E,5,FALSE)),"")</f>
        <v/>
      </c>
      <c r="AW24" s="458">
        <f>IFERROR(FIND(VLOOKUP('General price list'!$AB$7,'General price list'!$AC$1:$AD$12,2,FALSE),Q24,1),0)</f>
        <v>10</v>
      </c>
      <c r="AX24" s="458">
        <f>IFERROR(FIND(VLOOKUP('General price list'!$AB$7,'General price list'!$AC$1:$AD$12,2,FALSE),R24,1),0)</f>
        <v>0</v>
      </c>
    </row>
    <row r="25" spans="1:50" s="458" customFormat="1" ht="15" customHeight="1">
      <c r="A25" s="691" t="str">
        <f>Kat.!C25</f>
        <v xml:space="preserve">                                          </v>
      </c>
      <c r="B25" s="692">
        <v>4</v>
      </c>
      <c r="C25" s="693" t="s">
        <v>36</v>
      </c>
      <c r="D25" s="693" t="s">
        <v>37</v>
      </c>
      <c r="E25" s="694" t="s">
        <v>13943</v>
      </c>
      <c r="F25" s="695">
        <f>VLOOKUP(C25,[2]List1!$A:$D,2,FALSE)</f>
        <v>31</v>
      </c>
      <c r="G25" s="696">
        <f t="shared" si="5"/>
        <v>31</v>
      </c>
      <c r="H25" s="697">
        <f t="shared" si="6"/>
        <v>1.3</v>
      </c>
      <c r="I25" s="837">
        <v>90</v>
      </c>
      <c r="J25" s="698" t="s">
        <v>23</v>
      </c>
      <c r="K25" s="856"/>
      <c r="L25" s="857" t="s">
        <v>13817</v>
      </c>
      <c r="M25" s="698" t="s">
        <v>25</v>
      </c>
      <c r="N25" s="869">
        <f>IFERROR(VLOOKUP(C25,[3]List1!$A:$D,4,FALSE),"N/A!")</f>
        <v>2.4016000000000003E-2</v>
      </c>
      <c r="O25" s="837">
        <f>IFERROR(VLOOKUP(C25,[3]List1!$A:$D,3,FALSE),"N/A!")</f>
        <v>2835</v>
      </c>
      <c r="P25" s="837">
        <f>IFERROR(VLOOKUP(C25,[3]List1!$A:$D,2,FALSE),"N/A!")</f>
        <v>8500</v>
      </c>
      <c r="Q25" s="698" t="s">
        <v>207</v>
      </c>
      <c r="R25" s="698" t="s">
        <v>610</v>
      </c>
      <c r="S25" s="698"/>
      <c r="T25" s="695">
        <v>7</v>
      </c>
      <c r="U25" s="874"/>
      <c r="V25" s="699" t="str">
        <f>_xlfn.IFNA(HYPERLINK("https://www.klasekpyrotechnics.cz/dp1t"),"")</f>
        <v>https://www.klasekpyrotechnics.cz/dp1t</v>
      </c>
      <c r="W25" s="700" t="str">
        <f>IFERROR(VLOOKUP($C25,Popisy!A:P,MATCH($W$17,Popisy!$A$7:$P$7,0),FALSE),"---------------")</f>
        <v>Rotierender roter knallender Effekt - Bodeneffekt</v>
      </c>
      <c r="X25" s="891" t="str">
        <f t="shared" si="7"/>
        <v/>
      </c>
      <c r="Y25" s="892"/>
      <c r="Z25" s="700">
        <f>IFERROR(IF(VLOOKUP(C25,[4]List1!$A:$D,4,FALSE)=0,"",VLOOKUP(C25,[4]List1!$A:$D,4,FALSE)),"")</f>
        <v>66</v>
      </c>
      <c r="AA25" s="707"/>
      <c r="AB25" s="912" t="str">
        <f>IFERROR(IF(VLOOKUP(C25,[1]List1!$A:$D,2,FALSE)="VYPRODÁNO",$V$9,IF(VLOOKUP(C25,[1]List1!$A:$D,2,FALSE)="DOCHÁZÍ",$V$3,VLOOKUP(C25,[1]List1!$A:$D,2,FALSE))),"OFFLINE!")</f>
        <v>20.06.2024</v>
      </c>
      <c r="AC25" s="1037" t="str">
        <f ca="1">IF(AO25="NE",$V$10,IF(AB25=$V$3,IF(AP25&lt;1,$V$8,$V$2&amp;" "&amp;AP25&amp;" "&amp;$V$1),IF(AB25="SKLADEM",$V$6,IFERROR(IF(OR(AB25-TODAY()&gt;21,VLOOKUP(C25,[1]List1!$A:$E,4,FALSE)=0),AB25,DAY(AB25)&amp;"."&amp;MONTH(AB25)&amp;"."&amp;YEAR(AB25)&amp;" "&amp;$V$4&amp;VLOOKUP(C25,[1]List1!$A:$E,4,FALSE)&amp;" "&amp;$V$1),AB25))))</f>
        <v>20.06.2024</v>
      </c>
      <c r="AD25" s="701" t="str">
        <f ca="1">_xlfn.IFNA(VLOOKUP(C25,'General price list'!C:AM,MATCH($AD$20,'General price list'!$C$20:$AM$20,0),FALSE),"")</f>
        <v>20.06.2024</v>
      </c>
      <c r="AE25" s="695">
        <f t="shared" ca="1" si="8"/>
        <v>0</v>
      </c>
      <c r="AF25" s="695">
        <f t="shared" ca="1" si="9"/>
        <v>0</v>
      </c>
      <c r="AG25" s="702">
        <f t="shared" ca="1" si="10"/>
        <v>0</v>
      </c>
      <c r="AH25" s="703">
        <f t="shared" ca="1" si="11"/>
        <v>0</v>
      </c>
      <c r="AI25" s="702">
        <f t="shared" ca="1" si="12"/>
        <v>0</v>
      </c>
      <c r="AJ25" s="704" t="str">
        <f t="shared" ca="1" si="13"/>
        <v/>
      </c>
      <c r="AK25" s="704" t="str">
        <f t="shared" ca="1" si="14"/>
        <v/>
      </c>
      <c r="AL25" s="704">
        <f t="shared" ca="1" si="15"/>
        <v>0</v>
      </c>
      <c r="AM25" s="705" t="str">
        <f t="shared" ca="1" si="16"/>
        <v/>
      </c>
      <c r="AN25" s="455"/>
      <c r="AO25" s="456" t="str">
        <f>IF($R$3=1,IF(Y25=AA25,"","NE"),IF(#REF!=$V$10,"NE",""))</f>
        <v/>
      </c>
      <c r="AP25" s="457" t="str">
        <f>IF(AB25=$V$3,IF(VLOOKUP(C25,[1]List1!$A:$E,5,FALSE)=0,1,VLOOKUP(C25,[1]List1!$A:$E,5,FALSE)),"")</f>
        <v/>
      </c>
      <c r="AW25" s="458">
        <f>IFERROR(FIND(VLOOKUP('General price list'!$AB$7,'General price list'!$AC$1:$AD$12,2,FALSE),Q25,1),0)</f>
        <v>0</v>
      </c>
      <c r="AX25" s="458">
        <f>IFERROR(FIND(VLOOKUP('General price list'!$AB$7,'General price list'!$AC$1:$AD$12,2,FALSE),R25,1),0)</f>
        <v>0</v>
      </c>
    </row>
    <row r="26" spans="1:50" s="458" customFormat="1" ht="15" customHeight="1">
      <c r="A26" s="677" t="str">
        <f>Kat.!C26</f>
        <v xml:space="preserve">                                          </v>
      </c>
      <c r="B26" s="678">
        <v>5</v>
      </c>
      <c r="C26" s="679" t="s">
        <v>42</v>
      </c>
      <c r="D26" s="679" t="s">
        <v>13211</v>
      </c>
      <c r="E26" s="680" t="s">
        <v>43</v>
      </c>
      <c r="F26" s="681">
        <f>VLOOKUP(C26,[2]List1!$A:$D,2,FALSE)</f>
        <v>756</v>
      </c>
      <c r="G26" s="682">
        <f t="shared" si="5"/>
        <v>756</v>
      </c>
      <c r="H26" s="683">
        <f t="shared" si="6"/>
        <v>30.8</v>
      </c>
      <c r="I26" s="836">
        <v>4</v>
      </c>
      <c r="J26" s="680" t="s">
        <v>23</v>
      </c>
      <c r="K26" s="854"/>
      <c r="L26" s="855" t="s">
        <v>13818</v>
      </c>
      <c r="M26" s="680" t="s">
        <v>25</v>
      </c>
      <c r="N26" s="868">
        <f>IFERROR(VLOOKUP(C26,[3]List1!$A:$D,4,FALSE),"N/A!")</f>
        <v>1.9906249999999997E-2</v>
      </c>
      <c r="O26" s="836">
        <f>IFERROR(VLOOKUP(C26,[3]List1!$A:$D,3,FALSE),"N/A!")</f>
        <v>2112</v>
      </c>
      <c r="P26" s="836">
        <f>IFERROR(VLOOKUP(C26,[3]List1!$A:$D,2,FALSE),"N/A!")</f>
        <v>3200</v>
      </c>
      <c r="Q26" s="680" t="s">
        <v>13707</v>
      </c>
      <c r="R26" s="680" t="s">
        <v>44</v>
      </c>
      <c r="S26" s="680"/>
      <c r="T26" s="681"/>
      <c r="U26" s="873"/>
      <c r="V26" s="684" t="str">
        <f>_xlfn.IFNA(HYPERLINK("https://www.klasekpyrotechnics.cz/dp1z20"),"")</f>
        <v>https://www.klasekpyrotechnics.cz/dp1z20</v>
      </c>
      <c r="W26" s="685" t="str">
        <f>IFERROR(VLOOKUP($C26,Popisy!A:P,MATCH($W$17,Popisy!$A$7:$P$7,0),FALSE),"---------------")</f>
        <v xml:space="preserve">Knallender Effekt, Länge 20 cm, </v>
      </c>
      <c r="X26" s="889" t="str">
        <f t="shared" si="7"/>
        <v/>
      </c>
      <c r="Y26" s="890"/>
      <c r="Z26" s="685">
        <f>IFERROR(IF(VLOOKUP(C26,[4]List1!$A:$D,4,FALSE)=0,"",VLOOKUP(C26,[4]List1!$A:$D,4,FALSE)),"")</f>
        <v>54</v>
      </c>
      <c r="AA26" s="707"/>
      <c r="AB26" s="911" t="str">
        <f>IFERROR(IF(VLOOKUP(C26,[1]List1!$A:$D,2,FALSE)="VYPRODÁNO",$V$9,IF(VLOOKUP(C26,[1]List1!$A:$D,2,FALSE)="DOCHÁZÍ",$V$3,VLOOKUP(C26,[1]List1!$A:$D,2,FALSE))),"OFFLINE!")</f>
        <v>15.03.2024</v>
      </c>
      <c r="AC26" s="1037" t="str">
        <f ca="1">IF(AO26="NE",$V$10,IF(AB26=$V$3,IF(AP26&lt;1,$V$8,$V$2&amp;" "&amp;AP26&amp;" "&amp;$V$1),IF(AB26="SKLADEM",$V$6,IFERROR(IF(OR(AB26-TODAY()&gt;21,VLOOKUP(C26,[1]List1!$A:$E,4,FALSE)=0),AB26,DAY(AB26)&amp;"."&amp;MONTH(AB26)&amp;"."&amp;YEAR(AB26)&amp;" "&amp;$V$4&amp;VLOOKUP(C26,[1]List1!$A:$E,4,FALSE)&amp;" "&amp;$V$1),AB26))))</f>
        <v>15.3.2024 KOMMT 100+ KTN</v>
      </c>
      <c r="AD26" s="686" t="str">
        <f ca="1">_xlfn.IFNA(VLOOKUP(C26,'General price list'!C:AM,MATCH($AD$20,'General price list'!$C$20:$AM$20,0),FALSE),"")</f>
        <v>15.3.2024 KOMMT 100+ KTN</v>
      </c>
      <c r="AE26" s="681">
        <f t="shared" ca="1" si="8"/>
        <v>0</v>
      </c>
      <c r="AF26" s="681">
        <f t="shared" ca="1" si="9"/>
        <v>0</v>
      </c>
      <c r="AG26" s="687">
        <f t="shared" ca="1" si="10"/>
        <v>0</v>
      </c>
      <c r="AH26" s="688">
        <f t="shared" ca="1" si="11"/>
        <v>0</v>
      </c>
      <c r="AI26" s="687">
        <f t="shared" ca="1" si="12"/>
        <v>0</v>
      </c>
      <c r="AJ26" s="689" t="str">
        <f t="shared" ca="1" si="13"/>
        <v/>
      </c>
      <c r="AK26" s="689" t="str">
        <f t="shared" ca="1" si="14"/>
        <v/>
      </c>
      <c r="AL26" s="689">
        <f t="shared" ca="1" si="15"/>
        <v>0</v>
      </c>
      <c r="AM26" s="690" t="str">
        <f t="shared" ca="1" si="16"/>
        <v/>
      </c>
      <c r="AN26" s="459"/>
      <c r="AO26" s="456" t="str">
        <f>IF($R$3=1,IF(Y26=AA26,"","NE"),IF(#REF!=$V$10,"NE",""))</f>
        <v/>
      </c>
      <c r="AP26" s="457" t="str">
        <f>IF(AB26=$V$3,IF(VLOOKUP(C26,[1]List1!$A:$E,5,FALSE)=0,1,VLOOKUP(C26,[1]List1!$A:$E,5,FALSE)),"")</f>
        <v/>
      </c>
      <c r="AW26" s="458">
        <f>IFERROR(FIND(VLOOKUP('General price list'!$AB$7,'General price list'!$AC$1:$AD$12,2,FALSE),Q26,1),0)</f>
        <v>13</v>
      </c>
      <c r="AX26" s="458">
        <f>IFERROR(FIND(VLOOKUP('General price list'!$AB$7,'General price list'!$AC$1:$AD$12,2,FALSE),R26,1),0)</f>
        <v>13</v>
      </c>
    </row>
    <row r="27" spans="1:50" s="458" customFormat="1" ht="15" customHeight="1">
      <c r="A27" s="691" t="str">
        <f>Kat.!C27</f>
        <v xml:space="preserve">                                          </v>
      </c>
      <c r="B27" s="692">
        <v>6</v>
      </c>
      <c r="C27" s="693" t="s">
        <v>11760</v>
      </c>
      <c r="D27" s="693" t="s">
        <v>13212</v>
      </c>
      <c r="E27" s="694" t="s">
        <v>11761</v>
      </c>
      <c r="F27" s="695">
        <f>VLOOKUP(C27,[2]List1!$A:$D,2,FALSE)</f>
        <v>43</v>
      </c>
      <c r="G27" s="696">
        <f t="shared" si="5"/>
        <v>43</v>
      </c>
      <c r="H27" s="697">
        <f t="shared" si="6"/>
        <v>1.7</v>
      </c>
      <c r="I27" s="837">
        <v>72</v>
      </c>
      <c r="J27" s="698" t="s">
        <v>23</v>
      </c>
      <c r="K27" s="856"/>
      <c r="L27" s="857" t="s">
        <v>13818</v>
      </c>
      <c r="M27" s="698" t="s">
        <v>25</v>
      </c>
      <c r="N27" s="869">
        <f>IFERROR(VLOOKUP(C27,[3]List1!$A:$D,4,FALSE),"N/A!")</f>
        <v>2.4960000000000006E-2</v>
      </c>
      <c r="O27" s="837">
        <f>IFERROR(VLOOKUP(C27,[3]List1!$A:$D,3,FALSE),"N/A!")</f>
        <v>1296</v>
      </c>
      <c r="P27" s="837">
        <f>IFERROR(VLOOKUP(C27,[3]List1!$A:$D,2,FALSE),"N/A!")</f>
        <v>4000</v>
      </c>
      <c r="Q27" s="698" t="s">
        <v>610</v>
      </c>
      <c r="R27" s="698" t="s">
        <v>24</v>
      </c>
      <c r="S27" s="698"/>
      <c r="T27" s="695"/>
      <c r="U27" s="874"/>
      <c r="V27" s="699" t="str">
        <f>_xlfn.IFNA(HYPERLINK("https://www.klasekpyrotechnics.cz/dp1z50"),"")</f>
        <v>https://www.klasekpyrotechnics.cz/dp1z50</v>
      </c>
      <c r="W27" s="700" t="str">
        <f>IFERROR(VLOOKUP($C27,Popisy!A:P,MATCH($W$17,Popisy!$A$7:$P$7,0),FALSE),"---------------")</f>
        <v>Knallender Effekt, Länge 50 cm</v>
      </c>
      <c r="X27" s="891" t="str">
        <f t="shared" si="7"/>
        <v/>
      </c>
      <c r="Y27" s="892"/>
      <c r="Z27" s="700">
        <f>IFERROR(IF(VLOOKUP(C27,[4]List1!$A:$D,4,FALSE)=0,"",VLOOKUP(C27,[4]List1!$A:$D,4,FALSE)),"")</f>
        <v>50</v>
      </c>
      <c r="AA27" s="707"/>
      <c r="AB27" s="912" t="str">
        <f>IFERROR(IF(VLOOKUP(C27,[1]List1!$A:$D,2,FALSE)="VYPRODÁNO",$V$9,IF(VLOOKUP(C27,[1]List1!$A:$D,2,FALSE)="DOCHÁZÍ",$V$3,VLOOKUP(C27,[1]List1!$A:$D,2,FALSE))),"OFFLINE!")</f>
        <v>SKLADEM</v>
      </c>
      <c r="AC27" s="1037" t="str">
        <f ca="1">IF(AO27="NE",$V$10,IF(AB27=$V$3,IF(AP27&lt;1,$V$8,$V$2&amp;" "&amp;AP27&amp;" "&amp;$V$1),IF(AB27="SKLADEM",$V$6,IFERROR(IF(OR(AB27-TODAY()&gt;21,VLOOKUP(C27,[1]List1!$A:$E,4,FALSE)=0),AB27,DAY(AB27)&amp;"."&amp;MONTH(AB27)&amp;"."&amp;YEAR(AB27)&amp;" "&amp;$V$4&amp;VLOOKUP(C27,[1]List1!$A:$E,4,FALSE)&amp;" "&amp;$V$1),AB27))))</f>
        <v>AUF LAGER</v>
      </c>
      <c r="AD27" s="701" t="str">
        <f ca="1">_xlfn.IFNA(VLOOKUP(C27,'General price list'!C:AM,MATCH($AD$20,'General price list'!$C$20:$AM$20,0),FALSE),"")</f>
        <v>AUF LAGER</v>
      </c>
      <c r="AE27" s="695">
        <f t="shared" ca="1" si="8"/>
        <v>0</v>
      </c>
      <c r="AF27" s="695">
        <f t="shared" ca="1" si="9"/>
        <v>0</v>
      </c>
      <c r="AG27" s="702">
        <f t="shared" ca="1" si="10"/>
        <v>0</v>
      </c>
      <c r="AH27" s="703">
        <f t="shared" ca="1" si="11"/>
        <v>0</v>
      </c>
      <c r="AI27" s="702">
        <f t="shared" ca="1" si="12"/>
        <v>0</v>
      </c>
      <c r="AJ27" s="704" t="str">
        <f t="shared" ca="1" si="13"/>
        <v/>
      </c>
      <c r="AK27" s="704" t="str">
        <f t="shared" ca="1" si="14"/>
        <v/>
      </c>
      <c r="AL27" s="704">
        <f t="shared" ca="1" si="15"/>
        <v>0</v>
      </c>
      <c r="AM27" s="705" t="str">
        <f t="shared" ca="1" si="16"/>
        <v/>
      </c>
      <c r="AN27" s="459"/>
      <c r="AO27" s="456" t="str">
        <f>IF($R$3=1,IF(Y27=AA27,"","NE"),IF(#REF!=$V$10,"NE",""))</f>
        <v/>
      </c>
      <c r="AP27" s="457" t="str">
        <f>IF(AB27=$V$3,IF(VLOOKUP(C27,[1]List1!$A:$E,5,FALSE)=0,1,VLOOKUP(C27,[1]List1!$A:$E,5,FALSE)),"")</f>
        <v/>
      </c>
      <c r="AW27" s="458">
        <f>IFERROR(FIND(VLOOKUP('General price list'!$AB$7,'General price list'!$AC$1:$AD$12,2,FALSE),Q27,1),0)</f>
        <v>0</v>
      </c>
      <c r="AX27" s="458">
        <f>IFERROR(FIND(VLOOKUP('General price list'!$AB$7,'General price list'!$AC$1:$AD$12,2,FALSE),R27,1),0)</f>
        <v>0</v>
      </c>
    </row>
    <row r="28" spans="1:50" s="458" customFormat="1" ht="15" customHeight="1">
      <c r="A28" s="677" t="str">
        <f>Kat.!C28</f>
        <v xml:space="preserve">                                          </v>
      </c>
      <c r="B28" s="678">
        <v>7</v>
      </c>
      <c r="C28" s="679" t="s">
        <v>80</v>
      </c>
      <c r="D28" s="679" t="s">
        <v>81</v>
      </c>
      <c r="E28" s="680" t="s">
        <v>82</v>
      </c>
      <c r="F28" s="681">
        <f>VLOOKUP(C28,[2]List1!$A:$D,2,FALSE)</f>
        <v>450</v>
      </c>
      <c r="G28" s="682">
        <f t="shared" si="5"/>
        <v>450</v>
      </c>
      <c r="H28" s="683">
        <f t="shared" si="6"/>
        <v>18.3</v>
      </c>
      <c r="I28" s="836">
        <v>10</v>
      </c>
      <c r="J28" s="680" t="s">
        <v>23</v>
      </c>
      <c r="K28" s="854"/>
      <c r="L28" s="855" t="s">
        <v>13819</v>
      </c>
      <c r="M28" s="680" t="s">
        <v>25</v>
      </c>
      <c r="N28" s="868">
        <f>IFERROR(VLOOKUP(C28,[3]List1!$A:$D,4,FALSE),"N/A!")</f>
        <v>3.2447999999999998E-2</v>
      </c>
      <c r="O28" s="836">
        <f>IFERROR(VLOOKUP(C28,[3]List1!$A:$D,3,FALSE),"N/A!")</f>
        <v>4800</v>
      </c>
      <c r="P28" s="836">
        <f>IFERROR(VLOOKUP(C28,[3]List1!$A:$D,2,FALSE),"N/A!")</f>
        <v>7200</v>
      </c>
      <c r="Q28" s="680" t="s">
        <v>13708</v>
      </c>
      <c r="R28" s="680" t="s">
        <v>618</v>
      </c>
      <c r="S28" s="680"/>
      <c r="T28" s="681"/>
      <c r="U28" s="873"/>
      <c r="V28" s="684" t="str">
        <f>_xlfn.IFNA(HYPERLINK("https://www.klasekpyrotechnics.cz/dp1m"),"")</f>
        <v>https://www.klasekpyrotechnics.cz/dp1m</v>
      </c>
      <c r="W28" s="685" t="str">
        <f>IFERROR(VLOOKUP($C28,Popisy!A:P,MATCH($W$17,Popisy!$A$7:$P$7,0),FALSE),"---------------")</f>
        <v>Knallende Farbkerne</v>
      </c>
      <c r="X28" s="889" t="str">
        <f t="shared" si="7"/>
        <v/>
      </c>
      <c r="Y28" s="890"/>
      <c r="Z28" s="685">
        <f>IFERROR(IF(VLOOKUP(C28,[4]List1!$A:$D,4,FALSE)=0,"",VLOOKUP(C28,[4]List1!$A:$D,4,FALSE)),"")</f>
        <v>42</v>
      </c>
      <c r="AA28" s="707"/>
      <c r="AB28" s="911" t="str">
        <f>IFERROR(IF(VLOOKUP(C28,[1]List1!$A:$D,2,FALSE)="VYPRODÁNO",$V$9,IF(VLOOKUP(C28,[1]List1!$A:$D,2,FALSE)="DOCHÁZÍ",$V$3,VLOOKUP(C28,[1]List1!$A:$D,2,FALSE))),"OFFLINE!")</f>
        <v>SKLADEM</v>
      </c>
      <c r="AC28" s="1037" t="str">
        <f ca="1">IF(AO28="NE",$V$10,IF(AB28=$V$3,IF(AP28&lt;1,$V$8,$V$2&amp;" "&amp;AP28&amp;" "&amp;$V$1),IF(AB28="SKLADEM",$V$6,IFERROR(IF(OR(AB28-TODAY()&gt;21,VLOOKUP(C28,[1]List1!$A:$E,4,FALSE)=0),AB28,DAY(AB28)&amp;"."&amp;MONTH(AB28)&amp;"."&amp;YEAR(AB28)&amp;" "&amp;$V$4&amp;VLOOKUP(C28,[1]List1!$A:$E,4,FALSE)&amp;" "&amp;$V$1),AB28))))</f>
        <v>AUF LAGER</v>
      </c>
      <c r="AD28" s="686" t="str">
        <f ca="1">_xlfn.IFNA(VLOOKUP(C28,'General price list'!C:AM,MATCH($AD$20,'General price list'!$C$20:$AM$20,0),FALSE),"")</f>
        <v>AUF LAGER</v>
      </c>
      <c r="AE28" s="681">
        <f t="shared" ca="1" si="8"/>
        <v>0</v>
      </c>
      <c r="AF28" s="681">
        <f t="shared" ca="1" si="9"/>
        <v>0</v>
      </c>
      <c r="AG28" s="687">
        <f t="shared" ca="1" si="10"/>
        <v>0</v>
      </c>
      <c r="AH28" s="688">
        <f t="shared" ca="1" si="11"/>
        <v>0</v>
      </c>
      <c r="AI28" s="687">
        <f t="shared" ca="1" si="12"/>
        <v>0</v>
      </c>
      <c r="AJ28" s="689" t="str">
        <f t="shared" ca="1" si="13"/>
        <v/>
      </c>
      <c r="AK28" s="689" t="str">
        <f t="shared" ca="1" si="14"/>
        <v/>
      </c>
      <c r="AL28" s="689">
        <f t="shared" ca="1" si="15"/>
        <v>0</v>
      </c>
      <c r="AM28" s="690" t="str">
        <f t="shared" ca="1" si="16"/>
        <v/>
      </c>
      <c r="AN28" s="455"/>
      <c r="AO28" s="456" t="str">
        <f>IF($R$3=1,IF(Y28=AA28,"","NE"),IF(#REF!=$V$10,"NE",""))</f>
        <v/>
      </c>
      <c r="AP28" s="457" t="str">
        <f>IF(AB28=$V$3,IF(VLOOKUP(C28,[1]List1!$A:$E,5,FALSE)=0,1,VLOOKUP(C28,[1]List1!$A:$E,5,FALSE)),"")</f>
        <v/>
      </c>
      <c r="AW28" s="458">
        <f>IFERROR(FIND(VLOOKUP('General price list'!$AB$7,'General price list'!$AC$1:$AD$12,2,FALSE),Q28,1),0)</f>
        <v>13</v>
      </c>
      <c r="AX28" s="458">
        <f>IFERROR(FIND(VLOOKUP('General price list'!$AB$7,'General price list'!$AC$1:$AD$12,2,FALSE),R28,1),0)</f>
        <v>0</v>
      </c>
    </row>
    <row r="29" spans="1:50" s="458" customFormat="1" ht="15" customHeight="1">
      <c r="A29" s="691" t="str">
        <f>Kat.!C29</f>
        <v xml:space="preserve">                                          </v>
      </c>
      <c r="B29" s="692">
        <v>8</v>
      </c>
      <c r="C29" s="693" t="s">
        <v>86</v>
      </c>
      <c r="D29" s="693" t="s">
        <v>87</v>
      </c>
      <c r="E29" s="694" t="s">
        <v>88</v>
      </c>
      <c r="F29" s="695">
        <f>VLOOKUP(C29,[2]List1!$A:$D,2,FALSE)</f>
        <v>718</v>
      </c>
      <c r="G29" s="696">
        <f t="shared" si="5"/>
        <v>718</v>
      </c>
      <c r="H29" s="697">
        <f t="shared" si="6"/>
        <v>29.2</v>
      </c>
      <c r="I29" s="837">
        <v>4</v>
      </c>
      <c r="J29" s="698" t="s">
        <v>23</v>
      </c>
      <c r="K29" s="856"/>
      <c r="L29" s="857" t="s">
        <v>13819</v>
      </c>
      <c r="M29" s="698" t="s">
        <v>25</v>
      </c>
      <c r="N29" s="869">
        <f>IFERROR(VLOOKUP(C29,[3]List1!$A:$D,4,FALSE),"N/A!")</f>
        <v>2.4288000000000001E-2</v>
      </c>
      <c r="O29" s="837">
        <f>IFERROR(VLOOKUP(C29,[3]List1!$A:$D,3,FALSE),"N/A!")</f>
        <v>1152</v>
      </c>
      <c r="P29" s="837">
        <f>IFERROR(VLOOKUP(C29,[3]List1!$A:$D,2,FALSE),"N/A!")</f>
        <v>3800</v>
      </c>
      <c r="Q29" s="698" t="s">
        <v>1038</v>
      </c>
      <c r="R29" s="698" t="s">
        <v>13705</v>
      </c>
      <c r="S29" s="698"/>
      <c r="T29" s="695"/>
      <c r="U29" s="874"/>
      <c r="V29" s="699" t="str">
        <f>_xlfn.IFNA(HYPERLINK("https://www.klasekpyrotechnics.cz/dp1cb"),"")</f>
        <v>https://www.klasekpyrotechnics.cz/dp1cb</v>
      </c>
      <c r="W29" s="700" t="str">
        <f>IFERROR(VLOOKUP($C29,Popisy!A:P,MATCH($W$17,Popisy!$A$7:$P$7,0),FALSE),"---------------")</f>
        <v>Knallende Ballone 1 g, Durchmesser 23mm</v>
      </c>
      <c r="X29" s="891" t="str">
        <f t="shared" si="7"/>
        <v/>
      </c>
      <c r="Y29" s="892"/>
      <c r="Z29" s="700">
        <f>IFERROR(IF(VLOOKUP(C29,[4]List1!$A:$D,4,FALSE)=0,"",VLOOKUP(C29,[4]List1!$A:$D,4,FALSE)),"")</f>
        <v>49</v>
      </c>
      <c r="AA29" s="707"/>
      <c r="AB29" s="912" t="str">
        <f>IFERROR(IF(VLOOKUP(C29,[1]List1!$A:$D,2,FALSE)="VYPRODÁNO",$V$9,IF(VLOOKUP(C29,[1]List1!$A:$D,2,FALSE)="DOCHÁZÍ",$V$3,VLOOKUP(C29,[1]List1!$A:$D,2,FALSE))),"OFFLINE!")</f>
        <v>SKLADEM</v>
      </c>
      <c r="AC29" s="1037" t="str">
        <f ca="1">IF(AO29="NE",$V$10,IF(AB29=$V$3,IF(AP29&lt;1,$V$8,$V$2&amp;" "&amp;AP29&amp;" "&amp;$V$1),IF(AB29="SKLADEM",$V$6,IFERROR(IF(OR(AB29-TODAY()&gt;21,VLOOKUP(C29,[1]List1!$A:$E,4,FALSE)=0),AB29,DAY(AB29)&amp;"."&amp;MONTH(AB29)&amp;"."&amp;YEAR(AB29)&amp;" "&amp;$V$4&amp;VLOOKUP(C29,[1]List1!$A:$E,4,FALSE)&amp;" "&amp;$V$1),AB29))))</f>
        <v>AUF LAGER</v>
      </c>
      <c r="AD29" s="701" t="str">
        <f ca="1">_xlfn.IFNA(VLOOKUP(C29,'General price list'!C:AM,MATCH($AD$20,'General price list'!$C$20:$AM$20,0),FALSE),"")</f>
        <v>AUF LAGER</v>
      </c>
      <c r="AE29" s="695">
        <f t="shared" ca="1" si="8"/>
        <v>0</v>
      </c>
      <c r="AF29" s="695">
        <f t="shared" ca="1" si="9"/>
        <v>0</v>
      </c>
      <c r="AG29" s="702">
        <f t="shared" ca="1" si="10"/>
        <v>0</v>
      </c>
      <c r="AH29" s="703">
        <f t="shared" ca="1" si="11"/>
        <v>0</v>
      </c>
      <c r="AI29" s="702">
        <f t="shared" ca="1" si="12"/>
        <v>0</v>
      </c>
      <c r="AJ29" s="704" t="str">
        <f t="shared" ca="1" si="13"/>
        <v/>
      </c>
      <c r="AK29" s="704" t="str">
        <f t="shared" ca="1" si="14"/>
        <v/>
      </c>
      <c r="AL29" s="704">
        <f t="shared" ca="1" si="15"/>
        <v>0</v>
      </c>
      <c r="AM29" s="705" t="str">
        <f t="shared" ca="1" si="16"/>
        <v/>
      </c>
      <c r="AN29" s="459"/>
      <c r="AO29" s="456" t="str">
        <f>IF($R$3=1,IF(Y29=AA29,"","NE"),IF(#REF!=$V$10,"NE",""))</f>
        <v/>
      </c>
      <c r="AP29" s="457" t="str">
        <f>IF(AB29=$V$3,IF(VLOOKUP(C29,[1]List1!$A:$E,5,FALSE)=0,1,VLOOKUP(C29,[1]List1!$A:$E,5,FALSE)),"")</f>
        <v/>
      </c>
      <c r="AW29" s="458">
        <f>IFERROR(FIND(VLOOKUP('General price list'!$AB$7,'General price list'!$AC$1:$AD$12,2,FALSE),Q29,1),0)</f>
        <v>10</v>
      </c>
      <c r="AX29" s="458">
        <f>IFERROR(FIND(VLOOKUP('General price list'!$AB$7,'General price list'!$AC$1:$AD$12,2,FALSE),R29,1),0)</f>
        <v>0</v>
      </c>
    </row>
    <row r="30" spans="1:50" s="458" customFormat="1" ht="15" customHeight="1">
      <c r="A30" s="677" t="str">
        <f>Kat.!C30</f>
        <v>×</v>
      </c>
      <c r="B30" s="678">
        <v>9</v>
      </c>
      <c r="C30" s="679" t="s">
        <v>92</v>
      </c>
      <c r="D30" s="679" t="s">
        <v>87</v>
      </c>
      <c r="E30" s="680" t="s">
        <v>88</v>
      </c>
      <c r="F30" s="681">
        <f>VLOOKUP(C30,[2]List1!$A:$D,2,FALSE)</f>
        <v>718</v>
      </c>
      <c r="G30" s="682">
        <f t="shared" si="5"/>
        <v>718</v>
      </c>
      <c r="H30" s="683">
        <f t="shared" si="6"/>
        <v>29.2</v>
      </c>
      <c r="I30" s="836">
        <v>4</v>
      </c>
      <c r="J30" s="680" t="s">
        <v>23</v>
      </c>
      <c r="K30" s="854"/>
      <c r="L30" s="855" t="s">
        <v>13819</v>
      </c>
      <c r="M30" s="680" t="s">
        <v>25</v>
      </c>
      <c r="N30" s="868">
        <f>IFERROR(VLOOKUP(C30,[3]List1!$A:$D,4,FALSE),"N/A!")</f>
        <v>2.4288000000000001E-2</v>
      </c>
      <c r="O30" s="836">
        <f>IFERROR(VLOOKUP(C30,[3]List1!$A:$D,3,FALSE),"N/A!")</f>
        <v>1152</v>
      </c>
      <c r="P30" s="836">
        <f>IFERROR(VLOOKUP(C30,[3]List1!$A:$D,2,FALSE),"N/A!")</f>
        <v>3800</v>
      </c>
      <c r="Q30" s="680" t="s">
        <v>13709</v>
      </c>
      <c r="R30" s="680" t="s">
        <v>118</v>
      </c>
      <c r="S30" s="680"/>
      <c r="T30" s="681"/>
      <c r="U30" s="873"/>
      <c r="V30" s="684" t="str">
        <f>_xlfn.IFNA(HYPERLINK("https://www.klasekpyrotechnics.cz/dp1cb_1"),"")</f>
        <v>https://www.klasekpyrotechnics.cz/dp1cb_1</v>
      </c>
      <c r="W30" s="685" t="str">
        <f>IFERROR(VLOOKUP($C30,Popisy!A:P,MATCH($W$17,Popisy!$A$7:$P$7,0),FALSE),"---------------")</f>
        <v>Knallende Ballone 1 g, Durchmesser 23mm</v>
      </c>
      <c r="X30" s="889" t="str">
        <f t="shared" si="7"/>
        <v/>
      </c>
      <c r="Y30" s="890"/>
      <c r="Z30" s="685">
        <f>IFERROR(IF(VLOOKUP(C30,[4]List1!$A:$D,4,FALSE)=0,"",VLOOKUP(C30,[4]List1!$A:$D,4,FALSE)),"")</f>
        <v>49</v>
      </c>
      <c r="AA30" s="707"/>
      <c r="AB30" s="911" t="str">
        <f>IFERROR(IF(VLOOKUP(C30,[1]List1!$A:$D,2,FALSE)="VYPRODÁNO",$V$9,IF(VLOOKUP(C30,[1]List1!$A:$D,2,FALSE)="DOCHÁZÍ",$V$3,VLOOKUP(C30,[1]List1!$A:$D,2,FALSE))),"OFFLINE!")</f>
        <v>SKLADEM</v>
      </c>
      <c r="AC30" s="1037" t="str">
        <f ca="1">IF(AO30="NE",$V$10,IF(AB30=$V$3,IF(AP30&lt;1,$V$8,$V$2&amp;" "&amp;AP30&amp;" "&amp;$V$1),IF(AB30="SKLADEM",$V$6,IFERROR(IF(OR(AB30-TODAY()&gt;21,VLOOKUP(C30,[1]List1!$A:$E,4,FALSE)=0),AB30,DAY(AB30)&amp;"."&amp;MONTH(AB30)&amp;"."&amp;YEAR(AB30)&amp;" "&amp;$V$4&amp;VLOOKUP(C30,[1]List1!$A:$E,4,FALSE)&amp;" "&amp;$V$1),AB30))))</f>
        <v>AUF LAGER</v>
      </c>
      <c r="AD30" s="686" t="str">
        <f ca="1">_xlfn.IFNA(VLOOKUP(C30,'General price list'!C:AM,MATCH($AD$20,'General price list'!$C$20:$AM$20,0),FALSE),"")</f>
        <v>AUF LAGER</v>
      </c>
      <c r="AE30" s="681">
        <f t="shared" ca="1" si="8"/>
        <v>0</v>
      </c>
      <c r="AF30" s="681">
        <f t="shared" ca="1" si="9"/>
        <v>0</v>
      </c>
      <c r="AG30" s="687">
        <f t="shared" ca="1" si="10"/>
        <v>0</v>
      </c>
      <c r="AH30" s="688">
        <f t="shared" ca="1" si="11"/>
        <v>0</v>
      </c>
      <c r="AI30" s="687">
        <f t="shared" ca="1" si="12"/>
        <v>0</v>
      </c>
      <c r="AJ30" s="689" t="str">
        <f t="shared" ca="1" si="13"/>
        <v/>
      </c>
      <c r="AK30" s="689" t="str">
        <f t="shared" ca="1" si="14"/>
        <v/>
      </c>
      <c r="AL30" s="689">
        <f t="shared" ca="1" si="15"/>
        <v>0</v>
      </c>
      <c r="AM30" s="690" t="str">
        <f t="shared" ca="1" si="16"/>
        <v/>
      </c>
      <c r="AN30" s="459"/>
      <c r="AO30" s="456" t="str">
        <f>IF($R$3=1,IF(Y30=AA30,"","NE"),IF(#REF!=$V$10,"NE",""))</f>
        <v/>
      </c>
      <c r="AP30" s="457" t="str">
        <f>IF(AB30=$V$3,IF(VLOOKUP(C30,[1]List1!$A:$E,5,FALSE)=0,1,VLOOKUP(C30,[1]List1!$A:$E,5,FALSE)),"")</f>
        <v/>
      </c>
      <c r="AW30" s="458">
        <f>IFERROR(FIND(VLOOKUP('General price list'!$AB$7,'General price list'!$AC$1:$AD$12,2,FALSE),Q30,1),0)</f>
        <v>10</v>
      </c>
      <c r="AX30" s="458">
        <f>IFERROR(FIND(VLOOKUP('General price list'!$AB$7,'General price list'!$AC$1:$AD$12,2,FALSE),R30,1),0)</f>
        <v>0</v>
      </c>
    </row>
    <row r="31" spans="1:50" s="458" customFormat="1" ht="15" customHeight="1">
      <c r="A31" s="691" t="str">
        <f>Kat.!C31</f>
        <v xml:space="preserve">                                          </v>
      </c>
      <c r="B31" s="692">
        <v>10</v>
      </c>
      <c r="C31" s="693" t="s">
        <v>4343</v>
      </c>
      <c r="D31" s="693" t="s">
        <v>4344</v>
      </c>
      <c r="E31" s="694" t="s">
        <v>11087</v>
      </c>
      <c r="F31" s="695">
        <f>VLOOKUP(C31,[2]List1!$A:$D,2,FALSE)</f>
        <v>268</v>
      </c>
      <c r="G31" s="696">
        <f t="shared" si="5"/>
        <v>268</v>
      </c>
      <c r="H31" s="697">
        <f t="shared" si="6"/>
        <v>10.9</v>
      </c>
      <c r="I31" s="837">
        <v>12</v>
      </c>
      <c r="J31" s="698" t="s">
        <v>23</v>
      </c>
      <c r="K31" s="856"/>
      <c r="L31" s="857" t="s">
        <v>13819</v>
      </c>
      <c r="M31" s="698" t="s">
        <v>25</v>
      </c>
      <c r="N31" s="869">
        <f>IFERROR(VLOOKUP(C31,[3]List1!$A:$D,4,FALSE),"N/A!")</f>
        <v>4.3064999999999999E-2</v>
      </c>
      <c r="O31" s="837">
        <f>IFERROR(VLOOKUP(C31,[3]List1!$A:$D,3,FALSE),"N/A!")</f>
        <v>1296</v>
      </c>
      <c r="P31" s="837">
        <f>IFERROR(VLOOKUP(C31,[3]List1!$A:$D,2,FALSE),"N/A!")</f>
        <v>6500</v>
      </c>
      <c r="Q31" s="698" t="s">
        <v>13710</v>
      </c>
      <c r="R31" s="698" t="s">
        <v>44</v>
      </c>
      <c r="S31" s="698"/>
      <c r="T31" s="695"/>
      <c r="U31" s="874"/>
      <c r="V31" s="699" t="str">
        <f>_xlfn.IFNA(HYPERLINK("https://www.klasekpyrotechnics.cz/dp2cb"),"")</f>
        <v>https://www.klasekpyrotechnics.cz/dp2cb</v>
      </c>
      <c r="W31" s="700" t="str">
        <f>IFERROR(VLOOKUP($C31,Popisy!A:P,MATCH($W$17,Popisy!$A$7:$P$7,0),FALSE),"---------------")</f>
        <v>Knallende Ballone 3 g, Durchmesser 38mm</v>
      </c>
      <c r="X31" s="891" t="str">
        <f t="shared" si="7"/>
        <v/>
      </c>
      <c r="Y31" s="892"/>
      <c r="Z31" s="700">
        <f>IFERROR(IF(VLOOKUP(C31,[4]List1!$A:$D,4,FALSE)=0,"",VLOOKUP(C31,[4]List1!$A:$D,4,FALSE)),"")</f>
        <v>36</v>
      </c>
      <c r="AA31" s="707"/>
      <c r="AB31" s="912" t="str">
        <f>IFERROR(IF(VLOOKUP(C31,[1]List1!$A:$D,2,FALSE)="VYPRODÁNO",$V$9,IF(VLOOKUP(C31,[1]List1!$A:$D,2,FALSE)="DOCHÁZÍ",$V$3,VLOOKUP(C31,[1]List1!$A:$D,2,FALSE))),"OFFLINE!")</f>
        <v>SKLADEM</v>
      </c>
      <c r="AC31" s="1037" t="str">
        <f ca="1">IF(AO31="NE",$V$10,IF(AB31=$V$3,IF(AP31&lt;1,$V$8,$V$2&amp;" "&amp;AP31&amp;" "&amp;$V$1),IF(AB31="SKLADEM",$V$6,IFERROR(IF(OR(AB31-TODAY()&gt;21,VLOOKUP(C31,[1]List1!$A:$E,4,FALSE)=0),AB31,DAY(AB31)&amp;"."&amp;MONTH(AB31)&amp;"."&amp;YEAR(AB31)&amp;" "&amp;$V$4&amp;VLOOKUP(C31,[1]List1!$A:$E,4,FALSE)&amp;" "&amp;$V$1),AB31))))</f>
        <v>AUF LAGER</v>
      </c>
      <c r="AD31" s="701" t="str">
        <f ca="1">_xlfn.IFNA(VLOOKUP(C31,'General price list'!C:AM,MATCH($AD$20,'General price list'!$C$20:$AM$20,0),FALSE),"")</f>
        <v>AUF LAGER</v>
      </c>
      <c r="AE31" s="695">
        <f t="shared" ca="1" si="8"/>
        <v>0</v>
      </c>
      <c r="AF31" s="695">
        <f t="shared" ca="1" si="9"/>
        <v>0</v>
      </c>
      <c r="AG31" s="702">
        <f t="shared" ca="1" si="10"/>
        <v>0</v>
      </c>
      <c r="AH31" s="703">
        <f t="shared" ca="1" si="11"/>
        <v>0</v>
      </c>
      <c r="AI31" s="702">
        <f t="shared" ca="1" si="12"/>
        <v>0</v>
      </c>
      <c r="AJ31" s="704" t="str">
        <f t="shared" ca="1" si="13"/>
        <v/>
      </c>
      <c r="AK31" s="704" t="str">
        <f t="shared" ca="1" si="14"/>
        <v/>
      </c>
      <c r="AL31" s="704">
        <f t="shared" ca="1" si="15"/>
        <v>0</v>
      </c>
      <c r="AM31" s="705" t="str">
        <f t="shared" ca="1" si="16"/>
        <v/>
      </c>
      <c r="AN31" s="459"/>
      <c r="AO31" s="456" t="str">
        <f>IF($R$3=1,IF(Y31=AA31,"","NE"),IF(#REF!=$V$10,"NE",""))</f>
        <v/>
      </c>
      <c r="AP31" s="457" t="str">
        <f>IF(AB31=$V$3,IF(VLOOKUP(C31,[1]List1!$A:$E,5,FALSE)=0,1,VLOOKUP(C31,[1]List1!$A:$E,5,FALSE)),"")</f>
        <v/>
      </c>
      <c r="AW31" s="458">
        <f>IFERROR(FIND(VLOOKUP('General price list'!$AB$7,'General price list'!$AC$1:$AD$12,2,FALSE),Q31,1),0)</f>
        <v>16</v>
      </c>
      <c r="AX31" s="458">
        <f>IFERROR(FIND(VLOOKUP('General price list'!$AB$7,'General price list'!$AC$1:$AD$12,2,FALSE),R31,1),0)</f>
        <v>13</v>
      </c>
    </row>
    <row r="32" spans="1:50" s="458" customFormat="1" ht="15" customHeight="1">
      <c r="A32" s="677" t="str">
        <f>Kat.!C32</f>
        <v xml:space="preserve">                                          </v>
      </c>
      <c r="B32" s="678">
        <v>11</v>
      </c>
      <c r="C32" s="679" t="s">
        <v>122</v>
      </c>
      <c r="D32" s="679" t="s">
        <v>123</v>
      </c>
      <c r="E32" s="680" t="s">
        <v>124</v>
      </c>
      <c r="F32" s="681">
        <f>VLOOKUP(C32,[2]List1!$A:$D,2,FALSE)</f>
        <v>277</v>
      </c>
      <c r="G32" s="682">
        <f t="shared" si="5"/>
        <v>277</v>
      </c>
      <c r="H32" s="683">
        <f t="shared" si="6"/>
        <v>11.3</v>
      </c>
      <c r="I32" s="836">
        <v>6</v>
      </c>
      <c r="J32" s="680" t="s">
        <v>23</v>
      </c>
      <c r="K32" s="854" t="s">
        <v>12593</v>
      </c>
      <c r="L32" s="855" t="s">
        <v>13820</v>
      </c>
      <c r="M32" s="680" t="s">
        <v>25</v>
      </c>
      <c r="N32" s="868">
        <f>IFERROR(VLOOKUP(C32,[3]List1!$A:$D,4,FALSE),"N/A!")</f>
        <v>2.5937499999999999E-2</v>
      </c>
      <c r="O32" s="836">
        <f>IFERROR(VLOOKUP(C32,[3]List1!$A:$D,3,FALSE),"N/A!")</f>
        <v>18</v>
      </c>
      <c r="P32" s="836">
        <f>IFERROR(VLOOKUP(C32,[3]List1!$A:$D,2,FALSE),"N/A!")</f>
        <v>7100</v>
      </c>
      <c r="Q32" s="680" t="s">
        <v>13711</v>
      </c>
      <c r="R32" s="680" t="s">
        <v>618</v>
      </c>
      <c r="S32" s="680"/>
      <c r="T32" s="681"/>
      <c r="U32" s="873"/>
      <c r="V32" s="684" t="str">
        <f>_xlfn.IFNA(HYPERLINK("https://www.klasekpyrotechnics.cz/bk1p"),"")</f>
        <v>https://www.klasekpyrotechnics.cz/bk1p</v>
      </c>
      <c r="W32" s="685" t="str">
        <f>IFERROR(VLOOKUP($C32,Popisy!A:P,MATCH($W$17,Popisy!$A$7:$P$7,0),FALSE),"---------------")</f>
        <v xml:space="preserve">Farbige Knallkugeln (Durchmesser 9 mm) </v>
      </c>
      <c r="X32" s="889" t="str">
        <f t="shared" si="7"/>
        <v/>
      </c>
      <c r="Y32" s="890"/>
      <c r="Z32" s="685">
        <f>IFERROR(IF(VLOOKUP(C32,[4]List1!$A:$D,4,FALSE)=0,"",VLOOKUP(C32,[4]List1!$A:$D,4,FALSE)),"")</f>
        <v>63</v>
      </c>
      <c r="AA32" s="707"/>
      <c r="AB32" s="911" t="str">
        <f>IFERROR(IF(VLOOKUP(C32,[1]List1!$A:$D,2,FALSE)="VYPRODÁNO",$V$9,IF(VLOOKUP(C32,[1]List1!$A:$D,2,FALSE)="DOCHÁZÍ",$V$3,VLOOKUP(C32,[1]List1!$A:$D,2,FALSE))),"OFFLINE!")</f>
        <v>SKLADEM</v>
      </c>
      <c r="AC32" s="1037" t="str">
        <f ca="1">IF(AO32="NE",$V$10,IF(AB32=$V$3,IF(AP32&lt;1,$V$8,$V$2&amp;" "&amp;AP32&amp;" "&amp;$V$1),IF(AB32="SKLADEM",$V$6,IFERROR(IF(OR(AB32-TODAY()&gt;21,VLOOKUP(C32,[1]List1!$A:$E,4,FALSE)=0),AB32,DAY(AB32)&amp;"."&amp;MONTH(AB32)&amp;"."&amp;YEAR(AB32)&amp;" "&amp;$V$4&amp;VLOOKUP(C32,[1]List1!$A:$E,4,FALSE)&amp;" "&amp;$V$1),AB32))))</f>
        <v>AUF LAGER</v>
      </c>
      <c r="AD32" s="686" t="str">
        <f ca="1">_xlfn.IFNA(VLOOKUP(C32,'General price list'!C:AM,MATCH($AD$20,'General price list'!$C$20:$AM$20,0),FALSE),"")</f>
        <v>AUF LAGER</v>
      </c>
      <c r="AE32" s="681">
        <f t="shared" ca="1" si="8"/>
        <v>0</v>
      </c>
      <c r="AF32" s="681">
        <f t="shared" ca="1" si="9"/>
        <v>0</v>
      </c>
      <c r="AG32" s="687">
        <f t="shared" ca="1" si="10"/>
        <v>0</v>
      </c>
      <c r="AH32" s="688">
        <f t="shared" ca="1" si="11"/>
        <v>0</v>
      </c>
      <c r="AI32" s="687">
        <f t="shared" ca="1" si="12"/>
        <v>0</v>
      </c>
      <c r="AJ32" s="689" t="str">
        <f t="shared" ca="1" si="13"/>
        <v/>
      </c>
      <c r="AK32" s="689" t="str">
        <f t="shared" ca="1" si="14"/>
        <v/>
      </c>
      <c r="AL32" s="689">
        <f t="shared" ca="1" si="15"/>
        <v>0</v>
      </c>
      <c r="AM32" s="690" t="str">
        <f t="shared" ca="1" si="16"/>
        <v/>
      </c>
      <c r="AN32" s="459"/>
      <c r="AO32" s="456" t="str">
        <f>IF($R$3=1,IF(Y32=AA32,"","NE"),IF(#REF!=$V$10,"NE",""))</f>
        <v/>
      </c>
      <c r="AP32" s="457" t="str">
        <f>IF(AB32=$V$3,IF(VLOOKUP(C32,[1]List1!$A:$E,5,FALSE)=0,1,VLOOKUP(C32,[1]List1!$A:$E,5,FALSE)),"")</f>
        <v/>
      </c>
      <c r="AW32" s="458">
        <f>IFERROR(FIND(VLOOKUP('General price list'!$AB$7,'General price list'!$AC$1:$AD$12,2,FALSE),Q32,1),0)</f>
        <v>13</v>
      </c>
      <c r="AX32" s="458">
        <f>IFERROR(FIND(VLOOKUP('General price list'!$AB$7,'General price list'!$AC$1:$AD$12,2,FALSE),R32,1),0)</f>
        <v>0</v>
      </c>
    </row>
    <row r="33" spans="1:50" s="458" customFormat="1" ht="15" customHeight="1">
      <c r="A33" s="691" t="str">
        <f>Kat.!C33</f>
        <v xml:space="preserve">                                          </v>
      </c>
      <c r="B33" s="692">
        <v>12</v>
      </c>
      <c r="C33" s="693" t="s">
        <v>125</v>
      </c>
      <c r="D33" s="693" t="s">
        <v>123</v>
      </c>
      <c r="E33" s="694" t="s">
        <v>124</v>
      </c>
      <c r="F33" s="695">
        <f>VLOOKUP(C33,[2]List1!$A:$D,2,FALSE)</f>
        <v>277</v>
      </c>
      <c r="G33" s="696">
        <f t="shared" si="5"/>
        <v>277</v>
      </c>
      <c r="H33" s="697">
        <f t="shared" si="6"/>
        <v>11.3</v>
      </c>
      <c r="I33" s="837">
        <v>6</v>
      </c>
      <c r="J33" s="698" t="s">
        <v>23</v>
      </c>
      <c r="K33" s="856"/>
      <c r="L33" s="857" t="s">
        <v>13820</v>
      </c>
      <c r="M33" s="698" t="s">
        <v>25</v>
      </c>
      <c r="N33" s="869">
        <f>IFERROR(VLOOKUP(C33,[3]List1!$A:$D,4,FALSE),"N/A!")</f>
        <v>2.5937499999999999E-2</v>
      </c>
      <c r="O33" s="837">
        <f>IFERROR(VLOOKUP(C33,[3]List1!$A:$D,3,FALSE),"N/A!")</f>
        <v>18</v>
      </c>
      <c r="P33" s="837">
        <f>IFERROR(VLOOKUP(C33,[3]List1!$A:$D,2,FALSE),"N/A!")</f>
        <v>7100</v>
      </c>
      <c r="Q33" s="698" t="s">
        <v>13712</v>
      </c>
      <c r="R33" s="698" t="s">
        <v>11088</v>
      </c>
      <c r="S33" s="698"/>
      <c r="T33" s="695"/>
      <c r="U33" s="874"/>
      <c r="V33" s="699" t="str">
        <f>_xlfn.IFNA(HYPERLINK("https://www.klasekpyrotechnics.cz/bk1p_1"),"")</f>
        <v>https://www.klasekpyrotechnics.cz/bk1p_1</v>
      </c>
      <c r="W33" s="700" t="str">
        <f>IFERROR(VLOOKUP($C33,Popisy!A:P,MATCH($W$17,Popisy!$A$7:$P$7,0),FALSE),"---------------")</f>
        <v xml:space="preserve">Farbige Knallkugeln (Durchmesser 9 mm) </v>
      </c>
      <c r="X33" s="891" t="str">
        <f t="shared" si="7"/>
        <v/>
      </c>
      <c r="Y33" s="892"/>
      <c r="Z33" s="700">
        <f>IFERROR(IF(VLOOKUP(C33,[4]List1!$A:$D,4,FALSE)=0,"",VLOOKUP(C33,[4]List1!$A:$D,4,FALSE)),"")</f>
        <v>63</v>
      </c>
      <c r="AA33" s="707"/>
      <c r="AB33" s="912" t="str">
        <f>IFERROR(IF(VLOOKUP(C33,[1]List1!$A:$D,2,FALSE)="VYPRODÁNO",$V$9,IF(VLOOKUP(C33,[1]List1!$A:$D,2,FALSE)="DOCHÁZÍ",$V$3,VLOOKUP(C33,[1]List1!$A:$D,2,FALSE))),"OFFLINE!")</f>
        <v>SKLADEM</v>
      </c>
      <c r="AC33" s="1037" t="str">
        <f ca="1">IF(AO33="NE",$V$10,IF(AB33=$V$3,IF(AP33&lt;1,$V$8,$V$2&amp;" "&amp;AP33&amp;" "&amp;$V$1),IF(AB33="SKLADEM",$V$6,IFERROR(IF(OR(AB33-TODAY()&gt;21,VLOOKUP(C33,[1]List1!$A:$E,4,FALSE)=0),AB33,DAY(AB33)&amp;"."&amp;MONTH(AB33)&amp;"."&amp;YEAR(AB33)&amp;" "&amp;$V$4&amp;VLOOKUP(C33,[1]List1!$A:$E,4,FALSE)&amp;" "&amp;$V$1),AB33))))</f>
        <v>AUF LAGER</v>
      </c>
      <c r="AD33" s="701" t="str">
        <f ca="1">_xlfn.IFNA(VLOOKUP(C33,'General price list'!C:AM,MATCH($AD$20,'General price list'!$C$20:$AM$20,0),FALSE),"")</f>
        <v>AUF LAGER</v>
      </c>
      <c r="AE33" s="695">
        <f t="shared" ca="1" si="8"/>
        <v>0</v>
      </c>
      <c r="AF33" s="695">
        <f t="shared" ca="1" si="9"/>
        <v>0</v>
      </c>
      <c r="AG33" s="702">
        <f t="shared" ca="1" si="10"/>
        <v>0</v>
      </c>
      <c r="AH33" s="703">
        <f t="shared" ca="1" si="11"/>
        <v>0</v>
      </c>
      <c r="AI33" s="702">
        <f t="shared" ca="1" si="12"/>
        <v>0</v>
      </c>
      <c r="AJ33" s="704" t="str">
        <f t="shared" ca="1" si="13"/>
        <v/>
      </c>
      <c r="AK33" s="704" t="str">
        <f t="shared" ca="1" si="14"/>
        <v/>
      </c>
      <c r="AL33" s="704">
        <f t="shared" ca="1" si="15"/>
        <v>0</v>
      </c>
      <c r="AM33" s="705" t="str">
        <f t="shared" ca="1" si="16"/>
        <v/>
      </c>
      <c r="AN33" s="455"/>
      <c r="AO33" s="456" t="str">
        <f>IF($R$3=1,IF(Y33=AA33,"","NE"),IF(#REF!=$V$10,"NE",""))</f>
        <v/>
      </c>
      <c r="AP33" s="457" t="str">
        <f>IF(AB33=$V$3,IF(VLOOKUP(C33,[1]List1!$A:$E,5,FALSE)=0,1,VLOOKUP(C33,[1]List1!$A:$E,5,FALSE)),"")</f>
        <v/>
      </c>
      <c r="AW33" s="458">
        <f>IFERROR(FIND(VLOOKUP('General price list'!$AB$7,'General price list'!$AC$1:$AD$12,2,FALSE),Q33,1),0)</f>
        <v>13</v>
      </c>
      <c r="AX33" s="458">
        <f>IFERROR(FIND(VLOOKUP('General price list'!$AB$7,'General price list'!$AC$1:$AD$12,2,FALSE),R33,1),0)</f>
        <v>0</v>
      </c>
    </row>
    <row r="34" spans="1:50" s="458" customFormat="1" ht="15" customHeight="1">
      <c r="A34" s="677" t="str">
        <f>Kat.!C34</f>
        <v xml:space="preserve">                                          </v>
      </c>
      <c r="B34" s="678">
        <v>13</v>
      </c>
      <c r="C34" s="679" t="s">
        <v>126</v>
      </c>
      <c r="D34" s="679" t="s">
        <v>3031</v>
      </c>
      <c r="E34" s="680" t="s">
        <v>127</v>
      </c>
      <c r="F34" s="681">
        <f>VLOOKUP(C34,[2]List1!$A:$D,2,FALSE)</f>
        <v>379</v>
      </c>
      <c r="G34" s="682">
        <f t="shared" si="5"/>
        <v>379</v>
      </c>
      <c r="H34" s="683">
        <f t="shared" si="6"/>
        <v>15.4</v>
      </c>
      <c r="I34" s="836">
        <v>6</v>
      </c>
      <c r="J34" s="680" t="s">
        <v>23</v>
      </c>
      <c r="K34" s="854" t="s">
        <v>12593</v>
      </c>
      <c r="L34" s="855" t="s">
        <v>13820</v>
      </c>
      <c r="M34" s="680" t="s">
        <v>25</v>
      </c>
      <c r="N34" s="868">
        <f>IFERROR(VLOOKUP(C34,[3]List1!$A:$D,4,FALSE),"N/A!")</f>
        <v>3.2912000000000004E-2</v>
      </c>
      <c r="O34" s="836">
        <f>IFERROR(VLOOKUP(C34,[3]List1!$A:$D,3,FALSE),"N/A!")</f>
        <v>9.6000000000000014</v>
      </c>
      <c r="P34" s="836">
        <f>IFERROR(VLOOKUP(C34,[3]List1!$A:$D,2,FALSE),"N/A!")</f>
        <v>9800</v>
      </c>
      <c r="Q34" s="680" t="s">
        <v>13713</v>
      </c>
      <c r="R34" s="680" t="s">
        <v>13705</v>
      </c>
      <c r="S34" s="680"/>
      <c r="T34" s="681"/>
      <c r="U34" s="873"/>
      <c r="V34" s="684" t="str">
        <f>_xlfn.IFNA(HYPERLINK("https://www.klasekpyrotechnics.cz/bk2v"),"")</f>
        <v>https://www.klasekpyrotechnics.cz/bk2v</v>
      </c>
      <c r="W34" s="685" t="str">
        <f>IFERROR(VLOOKUP($C34,Popisy!A:P,MATCH($W$17,Popisy!$A$7:$P$7,0),FALSE),"---------------")</f>
        <v>Schwarze Knallkugeln (Durchmesser 14 mm)</v>
      </c>
      <c r="X34" s="889" t="str">
        <f t="shared" si="7"/>
        <v/>
      </c>
      <c r="Y34" s="890"/>
      <c r="Z34" s="685">
        <f>IFERROR(IF(VLOOKUP(C34,[4]List1!$A:$D,4,FALSE)=0,"",VLOOKUP(C34,[4]List1!$A:$D,4,FALSE)),"")</f>
        <v>36</v>
      </c>
      <c r="AA34" s="707"/>
      <c r="AB34" s="911" t="str">
        <f>IFERROR(IF(VLOOKUP(C34,[1]List1!$A:$D,2,FALSE)="VYPRODÁNO",$V$9,IF(VLOOKUP(C34,[1]List1!$A:$D,2,FALSE)="DOCHÁZÍ",$V$3,VLOOKUP(C34,[1]List1!$A:$D,2,FALSE))),"OFFLINE!")</f>
        <v>SKLADEM</v>
      </c>
      <c r="AC34" s="1037" t="str">
        <f ca="1">IF(AO34="NE",$V$10,IF(AB34=$V$3,IF(AP34&lt;1,$V$8,$V$2&amp;" "&amp;AP34&amp;" "&amp;$V$1),IF(AB34="SKLADEM",$V$6,IFERROR(IF(OR(AB34-TODAY()&gt;21,VLOOKUP(C34,[1]List1!$A:$E,4,FALSE)=0),AB34,DAY(AB34)&amp;"."&amp;MONTH(AB34)&amp;"."&amp;YEAR(AB34)&amp;" "&amp;$V$4&amp;VLOOKUP(C34,[1]List1!$A:$E,4,FALSE)&amp;" "&amp;$V$1),AB34))))</f>
        <v>AUF LAGER</v>
      </c>
      <c r="AD34" s="686" t="str">
        <f ca="1">_xlfn.IFNA(VLOOKUP(C34,'General price list'!C:AM,MATCH($AD$20,'General price list'!$C$20:$AM$20,0),FALSE),"")</f>
        <v>AUF LAGER</v>
      </c>
      <c r="AE34" s="681">
        <f t="shared" ca="1" si="8"/>
        <v>0</v>
      </c>
      <c r="AF34" s="681">
        <f t="shared" ca="1" si="9"/>
        <v>0</v>
      </c>
      <c r="AG34" s="687">
        <f t="shared" ca="1" si="10"/>
        <v>0</v>
      </c>
      <c r="AH34" s="688">
        <f t="shared" ca="1" si="11"/>
        <v>0</v>
      </c>
      <c r="AI34" s="687">
        <f t="shared" ca="1" si="12"/>
        <v>0</v>
      </c>
      <c r="AJ34" s="689" t="str">
        <f t="shared" ca="1" si="13"/>
        <v/>
      </c>
      <c r="AK34" s="689" t="str">
        <f t="shared" ca="1" si="14"/>
        <v/>
      </c>
      <c r="AL34" s="689">
        <f t="shared" ca="1" si="15"/>
        <v>0</v>
      </c>
      <c r="AM34" s="690" t="str">
        <f t="shared" ca="1" si="16"/>
        <v/>
      </c>
      <c r="AN34" s="459"/>
      <c r="AO34" s="456" t="str">
        <f>IF($R$3=1,IF(Y34=AA34,"","NE"),IF(#REF!=$V$10,"NE",""))</f>
        <v/>
      </c>
      <c r="AP34" s="457" t="str">
        <f>IF(AB34=$V$3,IF(VLOOKUP(C34,[1]List1!$A:$E,5,FALSE)=0,1,VLOOKUP(C34,[1]List1!$A:$E,5,FALSE)),"")</f>
        <v/>
      </c>
      <c r="AW34" s="458">
        <f>IFERROR(FIND(VLOOKUP('General price list'!$AB$7,'General price list'!$AC$1:$AD$12,2,FALSE),Q34,1),0)</f>
        <v>10</v>
      </c>
      <c r="AX34" s="458">
        <f>IFERROR(FIND(VLOOKUP('General price list'!$AB$7,'General price list'!$AC$1:$AD$12,2,FALSE),R34,1),0)</f>
        <v>0</v>
      </c>
    </row>
    <row r="35" spans="1:50" s="458" customFormat="1" ht="15" customHeight="1">
      <c r="A35" s="691" t="str">
        <f>Kat.!C35</f>
        <v xml:space="preserve">                                          </v>
      </c>
      <c r="B35" s="692">
        <v>14</v>
      </c>
      <c r="C35" s="693" t="s">
        <v>128</v>
      </c>
      <c r="D35" s="693" t="s">
        <v>3031</v>
      </c>
      <c r="E35" s="694" t="s">
        <v>127</v>
      </c>
      <c r="F35" s="695">
        <f>VLOOKUP(C35,[2]List1!$A:$D,2,FALSE)</f>
        <v>379</v>
      </c>
      <c r="G35" s="696">
        <f t="shared" si="5"/>
        <v>379</v>
      </c>
      <c r="H35" s="697">
        <f t="shared" si="6"/>
        <v>15.4</v>
      </c>
      <c r="I35" s="837">
        <v>6</v>
      </c>
      <c r="J35" s="698" t="s">
        <v>23</v>
      </c>
      <c r="K35" s="856"/>
      <c r="L35" s="857" t="s">
        <v>13820</v>
      </c>
      <c r="M35" s="698" t="s">
        <v>25</v>
      </c>
      <c r="N35" s="869">
        <f>IFERROR(VLOOKUP(C35,[3]List1!$A:$D,4,FALSE),"N/A!")</f>
        <v>3.2912000000000004E-2</v>
      </c>
      <c r="O35" s="837">
        <f>IFERROR(VLOOKUP(C35,[3]List1!$A:$D,3,FALSE),"N/A!")</f>
        <v>9.6000000000000014</v>
      </c>
      <c r="P35" s="837">
        <f>IFERROR(VLOOKUP(C35,[3]List1!$A:$D,2,FALSE),"N/A!")</f>
        <v>9800</v>
      </c>
      <c r="Q35" s="698" t="s">
        <v>13713</v>
      </c>
      <c r="R35" s="698" t="s">
        <v>13714</v>
      </c>
      <c r="S35" s="698"/>
      <c r="T35" s="695"/>
      <c r="U35" s="874"/>
      <c r="V35" s="699" t="str">
        <f>_xlfn.IFNA(HYPERLINK("https://www.klasekpyrotechnics.cz/bk2v"),"")</f>
        <v>https://www.klasekpyrotechnics.cz/bk2v</v>
      </c>
      <c r="W35" s="700" t="str">
        <f>IFERROR(VLOOKUP($C35,Popisy!A:P,MATCH($W$17,Popisy!$A$7:$P$7,0),FALSE),"---------------")</f>
        <v>Schwarze Knallkugeln (Durchmesser 14 mm)</v>
      </c>
      <c r="X35" s="891" t="str">
        <f t="shared" si="7"/>
        <v/>
      </c>
      <c r="Y35" s="892"/>
      <c r="Z35" s="700">
        <f>IFERROR(IF(VLOOKUP(C35,[4]List1!$A:$D,4,FALSE)=0,"",VLOOKUP(C35,[4]List1!$A:$D,4,FALSE)),"")</f>
        <v>36</v>
      </c>
      <c r="AA35" s="707"/>
      <c r="AB35" s="912" t="str">
        <f>IFERROR(IF(VLOOKUP(C35,[1]List1!$A:$D,2,FALSE)="VYPRODÁNO",$V$9,IF(VLOOKUP(C35,[1]List1!$A:$D,2,FALSE)="DOCHÁZÍ",$V$3,VLOOKUP(C35,[1]List1!$A:$D,2,FALSE))),"OFFLINE!")</f>
        <v>SKLADEM</v>
      </c>
      <c r="AC35" s="1037" t="str">
        <f ca="1">IF(AO35="NE",$V$10,IF(AB35=$V$3,IF(AP35&lt;1,$V$8,$V$2&amp;" "&amp;AP35&amp;" "&amp;$V$1),IF(AB35="SKLADEM",$V$6,IFERROR(IF(OR(AB35-TODAY()&gt;21,VLOOKUP(C35,[1]List1!$A:$E,4,FALSE)=0),AB35,DAY(AB35)&amp;"."&amp;MONTH(AB35)&amp;"."&amp;YEAR(AB35)&amp;" "&amp;$V$4&amp;VLOOKUP(C35,[1]List1!$A:$E,4,FALSE)&amp;" "&amp;$V$1),AB35))))</f>
        <v>AUF LAGER</v>
      </c>
      <c r="AD35" s="701" t="str">
        <f ca="1">_xlfn.IFNA(VLOOKUP(C35,'General price list'!C:AM,MATCH($AD$20,'General price list'!$C$20:$AM$20,0),FALSE),"")</f>
        <v>AUF LAGER</v>
      </c>
      <c r="AE35" s="695">
        <f t="shared" ca="1" si="8"/>
        <v>0</v>
      </c>
      <c r="AF35" s="695">
        <f t="shared" ca="1" si="9"/>
        <v>0</v>
      </c>
      <c r="AG35" s="702">
        <f t="shared" ca="1" si="10"/>
        <v>0</v>
      </c>
      <c r="AH35" s="703">
        <f t="shared" ca="1" si="11"/>
        <v>0</v>
      </c>
      <c r="AI35" s="702">
        <f t="shared" ca="1" si="12"/>
        <v>0</v>
      </c>
      <c r="AJ35" s="704" t="str">
        <f t="shared" ca="1" si="13"/>
        <v/>
      </c>
      <c r="AK35" s="704" t="str">
        <f t="shared" ca="1" si="14"/>
        <v/>
      </c>
      <c r="AL35" s="704">
        <f t="shared" ca="1" si="15"/>
        <v>0</v>
      </c>
      <c r="AM35" s="705" t="str">
        <f t="shared" ca="1" si="16"/>
        <v/>
      </c>
      <c r="AN35" s="459"/>
      <c r="AO35" s="456" t="str">
        <f>IF($R$3=1,IF(Y35=AA35,"","NE"),IF(#REF!=$V$10,"NE",""))</f>
        <v/>
      </c>
      <c r="AP35" s="457" t="str">
        <f>IF(AB35=$V$3,IF(VLOOKUP(C35,[1]List1!$A:$E,5,FALSE)=0,1,VLOOKUP(C35,[1]List1!$A:$E,5,FALSE)),"")</f>
        <v/>
      </c>
      <c r="AW35" s="458">
        <f>IFERROR(FIND(VLOOKUP('General price list'!$AB$7,'General price list'!$AC$1:$AD$12,2,FALSE),Q35,1),0)</f>
        <v>10</v>
      </c>
      <c r="AX35" s="458">
        <f>IFERROR(FIND(VLOOKUP('General price list'!$AB$7,'General price list'!$AC$1:$AD$12,2,FALSE),R35,1),0)</f>
        <v>4</v>
      </c>
    </row>
    <row r="36" spans="1:50" s="458" customFormat="1" ht="15" customHeight="1">
      <c r="A36" s="672" t="str">
        <f>Kat.!C36</f>
        <v xml:space="preserve">                                          Fliegen Artikel</v>
      </c>
      <c r="B36" s="678">
        <v>15</v>
      </c>
      <c r="C36" s="679"/>
      <c r="D36" s="679"/>
      <c r="E36" s="680"/>
      <c r="F36" s="681" t="str">
        <f>IFERROR(ROUND(VLOOKUP(C36,'General price list'!$C:$AN,4,FALSE),0),"")</f>
        <v/>
      </c>
      <c r="G36" s="682" t="str">
        <f t="shared" si="5"/>
        <v/>
      </c>
      <c r="H36" s="683" t="str">
        <f t="shared" si="6"/>
        <v/>
      </c>
      <c r="I36" s="836"/>
      <c r="J36" s="680"/>
      <c r="K36" s="854"/>
      <c r="L36" s="855"/>
      <c r="M36" s="680"/>
      <c r="N36" s="868" t="str">
        <f>IFERROR(IF(VLOOKUP($C36,'General price list'!$C:$AN,MATCH(N$20,'General price list'!$C$20:$AM$20,0),FALSE)=0,"",VLOOKUP($C36,'General price list'!$C:$AN,MATCH(N$20,'General price list'!$C$20:$AM$20,0),FALSE)),"")</f>
        <v/>
      </c>
      <c r="O36" s="836" t="str">
        <f>IFERROR(IF(VLOOKUP($C36,'General price list'!$C:$AN,MATCH(O$20,'General price list'!$C$20:$AM$20,0),FALSE)=0,"",VLOOKUP($C36,'General price list'!$C:$AN,MATCH(O$20,'General price list'!$C$20:$AM$20,0),FALSE)),"")</f>
        <v/>
      </c>
      <c r="P36" s="836" t="str">
        <f>IFERROR(IF(VLOOKUP($C36,'General price list'!$C:$AN,MATCH(P$20,'General price list'!$C$20:$AM$20,0),FALSE)=0,"",VLOOKUP($C36,'General price list'!$C:$AN,MATCH(P$20,'General price list'!$C$20:$AM$20,0),FALSE)),"")</f>
        <v/>
      </c>
      <c r="Q36" s="680"/>
      <c r="R36" s="680"/>
      <c r="S36" s="680"/>
      <c r="T36" s="681"/>
      <c r="U36" s="873"/>
      <c r="V36" s="684"/>
      <c r="W36" s="685" t="str">
        <f>IFERROR(VLOOKUP($C36,'General price list'!$C:$AN,MATCH(W$20,'General price list'!$C$20:$AM$20,0),FALSE),"")</f>
        <v/>
      </c>
      <c r="X36" s="889" t="str">
        <f t="shared" si="7"/>
        <v/>
      </c>
      <c r="Y36" s="890"/>
      <c r="Z36" s="685" t="str">
        <f>IFERROR(VLOOKUP($C36,'General price list'!$C:$AN,MATCH(Z$20,'General price list'!$C$20:$AM$20,0),FALSE),"")</f>
        <v/>
      </c>
      <c r="AA36" s="707"/>
      <c r="AB36" s="911" t="str">
        <f>IFERROR(IF(VLOOKUP(C36,[1]List1!$A:$D,2,FALSE)="VYPRODÁNO",$V$9,IF(VLOOKUP(C36,[1]List1!$A:$D,2,FALSE)="DOCHÁZÍ",$V$3,VLOOKUP(C36,[1]List1!$A:$D,2,FALSE))),"OFFLINE!")</f>
        <v>OFFLINE!</v>
      </c>
      <c r="AC36" s="1037" t="str">
        <f ca="1">IF(AO36="NE",$V$10,IF(AB36=$V$3,IF(AP36&lt;1,$V$8,$V$2&amp;" "&amp;AP36&amp;" "&amp;$V$1),IF(AB36="SKLADEM",$V$6,IFERROR(IF(OR(AB36-TODAY()&gt;21,VLOOKUP(C36,[1]List1!$A:$E,4,FALSE)=0),AB36,DAY(AB36)&amp;"."&amp;MONTH(AB36)&amp;"."&amp;YEAR(AB36)&amp;" "&amp;$V$4&amp;VLOOKUP(C36,[1]List1!$A:$E,4,FALSE)&amp;" "&amp;$V$1),AB36))))</f>
        <v>OFFLINE!</v>
      </c>
      <c r="AD36" s="686" t="str">
        <f>_xlfn.IFNA(VLOOKUP(C36,'General price list'!C:AM,MATCH($AD$20,'General price list'!$C$20:$AM$20,0),FALSE),"")</f>
        <v/>
      </c>
      <c r="AE36" s="681" t="str">
        <f t="shared" si="8"/>
        <v/>
      </c>
      <c r="AF36" s="681" t="str">
        <f t="shared" si="9"/>
        <v/>
      </c>
      <c r="AG36" s="687" t="str">
        <f t="shared" si="10"/>
        <v/>
      </c>
      <c r="AH36" s="688" t="str">
        <f t="shared" si="11"/>
        <v/>
      </c>
      <c r="AI36" s="687" t="str">
        <f t="shared" si="12"/>
        <v/>
      </c>
      <c r="AJ36" s="689" t="str">
        <f t="shared" si="13"/>
        <v/>
      </c>
      <c r="AK36" s="689" t="str">
        <f t="shared" si="14"/>
        <v/>
      </c>
      <c r="AL36" s="689" t="str">
        <f t="shared" si="15"/>
        <v/>
      </c>
      <c r="AM36" s="690" t="str">
        <f t="shared" si="16"/>
        <v/>
      </c>
      <c r="AN36" s="459"/>
      <c r="AO36" s="456" t="str">
        <f>IF($R$3=1,IF(Y36=AA36,"","NE"),IF(#REF!=$V$10,"NE",""))</f>
        <v/>
      </c>
      <c r="AP36" s="457" t="str">
        <f>IF(AB36=$V$3,IF(VLOOKUP(C36,[1]List1!$A:$E,5,FALSE)=0,1,VLOOKUP(C36,[1]List1!$A:$E,5,FALSE)),"")</f>
        <v/>
      </c>
      <c r="AW36" s="458" t="e">
        <f>VLOOKUP(C36,'General price list'!C:AU,46,FALSE)</f>
        <v>#N/A</v>
      </c>
      <c r="AX36" s="458" t="e">
        <f>VLOOKUP(C36,'General price list'!C:AU,47,FALSE)</f>
        <v>#N/A</v>
      </c>
    </row>
    <row r="37" spans="1:50" s="458" customFormat="1" ht="15" customHeight="1">
      <c r="A37" s="691" t="str">
        <f>Kat.!C37</f>
        <v xml:space="preserve">                                          </v>
      </c>
      <c r="B37" s="692">
        <v>16</v>
      </c>
      <c r="C37" s="693" t="s">
        <v>3047</v>
      </c>
      <c r="D37" s="693" t="s">
        <v>3048</v>
      </c>
      <c r="E37" s="694" t="s">
        <v>11082</v>
      </c>
      <c r="F37" s="695">
        <f>VLOOKUP(C37,[2]List1!$A:$D,2,FALSE)</f>
        <v>995</v>
      </c>
      <c r="G37" s="696">
        <f t="shared" si="5"/>
        <v>995</v>
      </c>
      <c r="H37" s="697">
        <f t="shared" si="6"/>
        <v>40.5</v>
      </c>
      <c r="I37" s="837">
        <v>5</v>
      </c>
      <c r="J37" s="698" t="s">
        <v>45</v>
      </c>
      <c r="K37" s="856"/>
      <c r="L37" s="857" t="s">
        <v>13821</v>
      </c>
      <c r="M37" s="698" t="s">
        <v>25</v>
      </c>
      <c r="N37" s="869">
        <f>IFERROR(VLOOKUP(C37,[3]List1!$A:$D,4,FALSE),"N/A!")</f>
        <v>1.8920000000000003E-2</v>
      </c>
      <c r="O37" s="837">
        <f>IFERROR(VLOOKUP(C37,[3]List1!$A:$D,3,FALSE),"N/A!")</f>
        <v>1920.0000000000002</v>
      </c>
      <c r="P37" s="837">
        <f>IFERROR(VLOOKUP(C37,[3]List1!$A:$D,2,FALSE),"N/A!")</f>
        <v>7500</v>
      </c>
      <c r="Q37" s="698" t="s">
        <v>13715</v>
      </c>
      <c r="R37" s="698" t="s">
        <v>618</v>
      </c>
      <c r="S37" s="698"/>
      <c r="T37" s="695"/>
      <c r="U37" s="874"/>
      <c r="V37" s="699" t="str">
        <f>_xlfn.IFNA(HYPERLINK("https://www.klasekpyrotechnics.cz/lm0sw"),"")</f>
        <v>https://www.klasekpyrotechnics.cz/lm0sw</v>
      </c>
      <c r="W37" s="700" t="str">
        <f>IFERROR(VLOOKUP($C37,Popisy!A:P,MATCH($W$17,Popisy!$A$7:$P$7,0),FALSE),"---------------")</f>
        <v>Pfeifende Wespe</v>
      </c>
      <c r="X37" s="891" t="str">
        <f t="shared" si="7"/>
        <v/>
      </c>
      <c r="Y37" s="892"/>
      <c r="Z37" s="700">
        <f>IFERROR(IF(VLOOKUP(C37,[4]List1!$A:$D,4,FALSE)=0,"",VLOOKUP(C37,[4]List1!$A:$D,4,FALSE)),"")</f>
        <v>80</v>
      </c>
      <c r="AA37" s="707"/>
      <c r="AB37" s="912" t="str">
        <f>IFERROR(IF(VLOOKUP(C37,[1]List1!$A:$D,2,FALSE)="VYPRODÁNO",$V$9,IF(VLOOKUP(C37,[1]List1!$A:$D,2,FALSE)="DOCHÁZÍ",$V$3,VLOOKUP(C37,[1]List1!$A:$D,2,FALSE))),"OFFLINE!")</f>
        <v>SKLADEM</v>
      </c>
      <c r="AC37" s="1037" t="str">
        <f ca="1">IF(AO37="NE",$V$10,IF(AB37=$V$3,IF(AP37&lt;1,$V$8,$V$2&amp;" "&amp;AP37&amp;" "&amp;$V$1),IF(AB37="SKLADEM",$V$6,IFERROR(IF(OR(AB37-TODAY()&gt;21,VLOOKUP(C37,[1]List1!$A:$E,4,FALSE)=0),AB37,DAY(AB37)&amp;"."&amp;MONTH(AB37)&amp;"."&amp;YEAR(AB37)&amp;" "&amp;$V$4&amp;VLOOKUP(C37,[1]List1!$A:$E,4,FALSE)&amp;" "&amp;$V$1),AB37))))</f>
        <v>AUF LAGER</v>
      </c>
      <c r="AD37" s="701" t="str">
        <f ca="1">_xlfn.IFNA(VLOOKUP(C37,'General price list'!C:AM,MATCH($AD$20,'General price list'!$C$20:$AM$20,0),FALSE),"")</f>
        <v>AUF LAGER</v>
      </c>
      <c r="AE37" s="695">
        <f t="shared" ca="1" si="8"/>
        <v>0</v>
      </c>
      <c r="AF37" s="695">
        <f t="shared" ca="1" si="9"/>
        <v>0</v>
      </c>
      <c r="AG37" s="702">
        <f t="shared" ca="1" si="10"/>
        <v>0</v>
      </c>
      <c r="AH37" s="703">
        <f t="shared" ca="1" si="11"/>
        <v>0</v>
      </c>
      <c r="AI37" s="702">
        <f t="shared" ca="1" si="12"/>
        <v>0</v>
      </c>
      <c r="AJ37" s="704" t="str">
        <f t="shared" ca="1" si="13"/>
        <v/>
      </c>
      <c r="AK37" s="704" t="str">
        <f t="shared" ca="1" si="14"/>
        <v/>
      </c>
      <c r="AL37" s="704">
        <f t="shared" ca="1" si="15"/>
        <v>0</v>
      </c>
      <c r="AM37" s="705" t="str">
        <f t="shared" ca="1" si="16"/>
        <v/>
      </c>
      <c r="AN37" s="459"/>
      <c r="AO37" s="456" t="str">
        <f>IF($R$3=1,IF(Y37=AA37,"","NE"),IF(#REF!=$V$10,"NE",""))</f>
        <v/>
      </c>
      <c r="AP37" s="457" t="str">
        <f>IF(AB37=$V$3,IF(VLOOKUP(C37,[1]List1!$A:$E,5,FALSE)=0,1,VLOOKUP(C37,[1]List1!$A:$E,5,FALSE)),"")</f>
        <v/>
      </c>
      <c r="AW37" s="458">
        <f>IFERROR(FIND(VLOOKUP('General price list'!$AB$7,'General price list'!$AC$1:$AD$12,2,FALSE),Q37,1),0)</f>
        <v>22</v>
      </c>
      <c r="AX37" s="458">
        <f>IFERROR(FIND(VLOOKUP('General price list'!$AB$7,'General price list'!$AC$1:$AD$12,2,FALSE),R37,1),0)</f>
        <v>0</v>
      </c>
    </row>
    <row r="38" spans="1:50" s="458" customFormat="1" ht="15" customHeight="1">
      <c r="A38" s="677" t="str">
        <f>Kat.!C38</f>
        <v>×</v>
      </c>
      <c r="B38" s="678">
        <v>17</v>
      </c>
      <c r="C38" s="679" t="s">
        <v>11083</v>
      </c>
      <c r="D38" s="679" t="s">
        <v>3048</v>
      </c>
      <c r="E38" s="680" t="s">
        <v>11082</v>
      </c>
      <c r="F38" s="681">
        <f>VLOOKUP(C38,[2]List1!$A:$D,2,FALSE)</f>
        <v>995</v>
      </c>
      <c r="G38" s="682">
        <f t="shared" si="5"/>
        <v>995</v>
      </c>
      <c r="H38" s="683">
        <f t="shared" si="6"/>
        <v>40.5</v>
      </c>
      <c r="I38" s="836">
        <v>5</v>
      </c>
      <c r="J38" s="680" t="s">
        <v>45</v>
      </c>
      <c r="K38" s="854"/>
      <c r="L38" s="855" t="s">
        <v>13821</v>
      </c>
      <c r="M38" s="680" t="s">
        <v>25</v>
      </c>
      <c r="N38" s="868">
        <f>IFERROR(VLOOKUP(C38,[3]List1!$A:$D,4,FALSE),"N/A!")</f>
        <v>1.8920000000000003E-2</v>
      </c>
      <c r="O38" s="836">
        <f>IFERROR(VLOOKUP(C38,[3]List1!$A:$D,3,FALSE),"N/A!")</f>
        <v>1920.0000000000002</v>
      </c>
      <c r="P38" s="836">
        <f>IFERROR(VLOOKUP(C38,[3]List1!$A:$D,2,FALSE),"N/A!")</f>
        <v>7500</v>
      </c>
      <c r="Q38" s="680" t="s">
        <v>13715</v>
      </c>
      <c r="R38" s="680" t="s">
        <v>11088</v>
      </c>
      <c r="S38" s="680"/>
      <c r="T38" s="681"/>
      <c r="U38" s="873"/>
      <c r="V38" s="684" t="str">
        <f>_xlfn.IFNA(HYPERLINK("https://www.klasekpyrotechnics.cz/lm0sw_1"),"")</f>
        <v>https://www.klasekpyrotechnics.cz/lm0sw_1</v>
      </c>
      <c r="W38" s="685" t="str">
        <f>IFERROR(VLOOKUP($C38,Popisy!A:P,MATCH($W$17,Popisy!$A$7:$P$7,0),FALSE),"---------------")</f>
        <v>Pfeifende Wespe</v>
      </c>
      <c r="X38" s="889" t="str">
        <f t="shared" si="7"/>
        <v/>
      </c>
      <c r="Y38" s="890"/>
      <c r="Z38" s="685">
        <f>IFERROR(IF(VLOOKUP(C38,[4]List1!$A:$D,4,FALSE)=0,"",VLOOKUP(C38,[4]List1!$A:$D,4,FALSE)),"")</f>
        <v>80</v>
      </c>
      <c r="AA38" s="707"/>
      <c r="AB38" s="911" t="str">
        <f>IFERROR(IF(VLOOKUP(C38,[1]List1!$A:$D,2,FALSE)="VYPRODÁNO",$V$9,IF(VLOOKUP(C38,[1]List1!$A:$D,2,FALSE)="DOCHÁZÍ",$V$3,VLOOKUP(C38,[1]List1!$A:$D,2,FALSE))),"OFFLINE!")</f>
        <v>SKLADEM</v>
      </c>
      <c r="AC38" s="1037" t="str">
        <f ca="1">IF(AO38="NE",$V$10,IF(AB38=$V$3,IF(AP38&lt;1,$V$8,$V$2&amp;" "&amp;AP38&amp;" "&amp;$V$1),IF(AB38="SKLADEM",$V$6,IFERROR(IF(OR(AB38-TODAY()&gt;21,VLOOKUP(C38,[1]List1!$A:$E,4,FALSE)=0),AB38,DAY(AB38)&amp;"."&amp;MONTH(AB38)&amp;"."&amp;YEAR(AB38)&amp;" "&amp;$V$4&amp;VLOOKUP(C38,[1]List1!$A:$E,4,FALSE)&amp;" "&amp;$V$1),AB38))))</f>
        <v>AUF LAGER</v>
      </c>
      <c r="AD38" s="686" t="str">
        <f ca="1">_xlfn.IFNA(VLOOKUP(C38,'General price list'!C:AM,MATCH($AD$20,'General price list'!$C$20:$AM$20,0),FALSE),"")</f>
        <v>AUF LAGER</v>
      </c>
      <c r="AE38" s="681">
        <f t="shared" ca="1" si="8"/>
        <v>0</v>
      </c>
      <c r="AF38" s="681">
        <f t="shared" ca="1" si="9"/>
        <v>0</v>
      </c>
      <c r="AG38" s="687">
        <f t="shared" ca="1" si="10"/>
        <v>0</v>
      </c>
      <c r="AH38" s="688">
        <f t="shared" ca="1" si="11"/>
        <v>0</v>
      </c>
      <c r="AI38" s="687">
        <f t="shared" ca="1" si="12"/>
        <v>0</v>
      </c>
      <c r="AJ38" s="689" t="str">
        <f t="shared" ca="1" si="13"/>
        <v/>
      </c>
      <c r="AK38" s="689" t="str">
        <f t="shared" ca="1" si="14"/>
        <v/>
      </c>
      <c r="AL38" s="689">
        <f t="shared" ca="1" si="15"/>
        <v>0</v>
      </c>
      <c r="AM38" s="690" t="str">
        <f t="shared" ca="1" si="16"/>
        <v/>
      </c>
      <c r="AN38" s="455"/>
      <c r="AO38" s="456" t="str">
        <f>IF($R$3=1,IF(Y38=AA38,"","NE"),IF(#REF!=$V$10,"NE",""))</f>
        <v/>
      </c>
      <c r="AP38" s="457" t="str">
        <f>IF(AB38=$V$3,IF(VLOOKUP(C38,[1]List1!$A:$E,5,FALSE)=0,1,VLOOKUP(C38,[1]List1!$A:$E,5,FALSE)),"")</f>
        <v/>
      </c>
      <c r="AW38" s="458">
        <f>IFERROR(FIND(VLOOKUP('General price list'!$AB$7,'General price list'!$AC$1:$AD$12,2,FALSE),Q38,1),0)</f>
        <v>22</v>
      </c>
      <c r="AX38" s="458">
        <f>IFERROR(FIND(VLOOKUP('General price list'!$AB$7,'General price list'!$AC$1:$AD$12,2,FALSE),R38,1),0)</f>
        <v>0</v>
      </c>
    </row>
    <row r="39" spans="1:50" s="458" customFormat="1" ht="15" customHeight="1">
      <c r="A39" s="691" t="str">
        <f>Kat.!C39</f>
        <v xml:space="preserve">                                          </v>
      </c>
      <c r="B39" s="692">
        <v>18</v>
      </c>
      <c r="C39" s="693" t="s">
        <v>74</v>
      </c>
      <c r="D39" s="693" t="s">
        <v>75</v>
      </c>
      <c r="E39" s="694" t="s">
        <v>76</v>
      </c>
      <c r="F39" s="695">
        <f>VLOOKUP(C39,[2]List1!$A:$D,2,FALSE)</f>
        <v>44</v>
      </c>
      <c r="G39" s="696">
        <f t="shared" si="5"/>
        <v>44</v>
      </c>
      <c r="H39" s="697">
        <f t="shared" si="6"/>
        <v>1.8</v>
      </c>
      <c r="I39" s="837">
        <v>120</v>
      </c>
      <c r="J39" s="698" t="s">
        <v>45</v>
      </c>
      <c r="K39" s="856"/>
      <c r="L39" s="857" t="s">
        <v>13821</v>
      </c>
      <c r="M39" s="698" t="s">
        <v>25</v>
      </c>
      <c r="N39" s="869">
        <f>IFERROR(VLOOKUP(C39,[3]List1!$A:$D,4,FALSE),"N/A!")</f>
        <v>2.6099999999999998E-2</v>
      </c>
      <c r="O39" s="837">
        <f>IFERROR(VLOOKUP(C39,[3]List1!$A:$D,3,FALSE),"N/A!")</f>
        <v>2400</v>
      </c>
      <c r="P39" s="837">
        <f>IFERROR(VLOOKUP(C39,[3]List1!$A:$D,2,FALSE),"N/A!")</f>
        <v>4700</v>
      </c>
      <c r="Q39" s="698" t="s">
        <v>207</v>
      </c>
      <c r="R39" s="698" t="s">
        <v>24</v>
      </c>
      <c r="S39" s="698"/>
      <c r="T39" s="695"/>
      <c r="U39" s="874"/>
      <c r="V39" s="699" t="str">
        <f>_xlfn.IFNA(HYPERLINK("https://www.klasekpyrotechnics.cz/lm1o"),"")</f>
        <v>https://www.klasekpyrotechnics.cz/lm1o</v>
      </c>
      <c r="W39" s="700" t="str">
        <f>IFERROR(VLOOKUP($C39,Popisy!A:P,MATCH($W$17,Popisy!$A$7:$P$7,0),FALSE),"---------------")</f>
        <v>Silberne rotierende Spur</v>
      </c>
      <c r="X39" s="891" t="str">
        <f t="shared" si="7"/>
        <v/>
      </c>
      <c r="Y39" s="892"/>
      <c r="Z39" s="700">
        <f>IFERROR(IF(VLOOKUP(C39,[4]List1!$A:$D,4,FALSE)=0,"",VLOOKUP(C39,[4]List1!$A:$D,4,FALSE)),"")</f>
        <v>80</v>
      </c>
      <c r="AA39" s="707"/>
      <c r="AB39" s="912" t="str">
        <f>IFERROR(IF(VLOOKUP(C39,[1]List1!$A:$D,2,FALSE)="VYPRODÁNO",$V$9,IF(VLOOKUP(C39,[1]List1!$A:$D,2,FALSE)="DOCHÁZÍ",$V$3,VLOOKUP(C39,[1]List1!$A:$D,2,FALSE))),"OFFLINE!")</f>
        <v>15.06.2024</v>
      </c>
      <c r="AC39" s="1037" t="str">
        <f ca="1">IF(AO39="NE",$V$10,IF(AB39=$V$3,IF(AP39&lt;1,$V$8,$V$2&amp;" "&amp;AP39&amp;" "&amp;$V$1),IF(AB39="SKLADEM",$V$6,IFERROR(IF(OR(AB39-TODAY()&gt;21,VLOOKUP(C39,[1]List1!$A:$E,4,FALSE)=0),AB39,DAY(AB39)&amp;"."&amp;MONTH(AB39)&amp;"."&amp;YEAR(AB39)&amp;" "&amp;$V$4&amp;VLOOKUP(C39,[1]List1!$A:$E,4,FALSE)&amp;" "&amp;$V$1),AB39))))</f>
        <v>15.06.2024</v>
      </c>
      <c r="AD39" s="701" t="str">
        <f ca="1">_xlfn.IFNA(VLOOKUP(C39,'General price list'!C:AM,MATCH($AD$20,'General price list'!$C$20:$AM$20,0),FALSE),"")</f>
        <v>15.06.2024</v>
      </c>
      <c r="AE39" s="695">
        <f t="shared" ca="1" si="8"/>
        <v>0</v>
      </c>
      <c r="AF39" s="695">
        <f t="shared" ca="1" si="9"/>
        <v>0</v>
      </c>
      <c r="AG39" s="702">
        <f t="shared" ca="1" si="10"/>
        <v>0</v>
      </c>
      <c r="AH39" s="703">
        <f t="shared" ca="1" si="11"/>
        <v>0</v>
      </c>
      <c r="AI39" s="702">
        <f t="shared" ca="1" si="12"/>
        <v>0</v>
      </c>
      <c r="AJ39" s="704" t="str">
        <f t="shared" ca="1" si="13"/>
        <v/>
      </c>
      <c r="AK39" s="704" t="str">
        <f t="shared" ca="1" si="14"/>
        <v/>
      </c>
      <c r="AL39" s="704">
        <f t="shared" ca="1" si="15"/>
        <v>0</v>
      </c>
      <c r="AM39" s="705" t="str">
        <f t="shared" ca="1" si="16"/>
        <v/>
      </c>
      <c r="AN39" s="459"/>
      <c r="AO39" s="456" t="str">
        <f>IF($R$3=1,IF(Y39=AA39,"","NE"),IF(#REF!=$V$10,"NE",""))</f>
        <v/>
      </c>
      <c r="AP39" s="457" t="str">
        <f>IF(AB39=$V$3,IF(VLOOKUP(C39,[1]List1!$A:$E,5,FALSE)=0,1,VLOOKUP(C39,[1]List1!$A:$E,5,FALSE)),"")</f>
        <v/>
      </c>
      <c r="AW39" s="458">
        <f>IFERROR(FIND(VLOOKUP('General price list'!$AB$7,'General price list'!$AC$1:$AD$12,2,FALSE),Q39,1),0)</f>
        <v>0</v>
      </c>
      <c r="AX39" s="458">
        <f>IFERROR(FIND(VLOOKUP('General price list'!$AB$7,'General price list'!$AC$1:$AD$12,2,FALSE),R39,1),0)</f>
        <v>0</v>
      </c>
    </row>
    <row r="40" spans="1:50" s="458" customFormat="1" ht="15" customHeight="1">
      <c r="A40" s="677" t="str">
        <f>Kat.!C40</f>
        <v xml:space="preserve">                                          </v>
      </c>
      <c r="B40" s="678">
        <v>19</v>
      </c>
      <c r="C40" s="679" t="s">
        <v>69</v>
      </c>
      <c r="D40" s="679" t="s">
        <v>70</v>
      </c>
      <c r="E40" s="680" t="s">
        <v>65</v>
      </c>
      <c r="F40" s="681">
        <f>VLOOKUP(C40,[2]List1!$A:$D,2,FALSE)</f>
        <v>48</v>
      </c>
      <c r="G40" s="682">
        <f t="shared" si="5"/>
        <v>48</v>
      </c>
      <c r="H40" s="683">
        <f t="shared" si="6"/>
        <v>2</v>
      </c>
      <c r="I40" s="836">
        <v>60</v>
      </c>
      <c r="J40" s="680" t="s">
        <v>45</v>
      </c>
      <c r="K40" s="854"/>
      <c r="L40" s="855" t="s">
        <v>13821</v>
      </c>
      <c r="M40" s="680" t="s">
        <v>25</v>
      </c>
      <c r="N40" s="868">
        <f>IFERROR(VLOOKUP(C40,[3]List1!$A:$D,4,FALSE),"N/A!")</f>
        <v>4.3987499999999999E-2</v>
      </c>
      <c r="O40" s="836">
        <f>IFERROR(VLOOKUP(C40,[3]List1!$A:$D,3,FALSE),"N/A!")</f>
        <v>2160</v>
      </c>
      <c r="P40" s="836">
        <f>IFERROR(VLOOKUP(C40,[3]List1!$A:$D,2,FALSE),"N/A!")</f>
        <v>6300</v>
      </c>
      <c r="Q40" s="680" t="s">
        <v>610</v>
      </c>
      <c r="R40" s="680" t="s">
        <v>24</v>
      </c>
      <c r="S40" s="680"/>
      <c r="T40" s="681"/>
      <c r="U40" s="873"/>
      <c r="V40" s="684" t="str">
        <f>_xlfn.IFNA(HYPERLINK("https://www.klasekpyrotechnics.cz/lm2c"),"")</f>
        <v>https://www.klasekpyrotechnics.cz/lm2c</v>
      </c>
      <c r="W40" s="685" t="str">
        <f>IFERROR(VLOOKUP($C40,Popisy!A:P,MATCH($W$17,Popisy!$A$7:$P$7,0),FALSE),"---------------")</f>
        <v>Grüne rotierende Spur mit grünen blinkenden Sternen</v>
      </c>
      <c r="X40" s="889" t="str">
        <f t="shared" si="7"/>
        <v/>
      </c>
      <c r="Y40" s="890"/>
      <c r="Z40" s="685">
        <f>IFERROR(IF(VLOOKUP(C40,[4]List1!$A:$D,4,FALSE)=0,"",VLOOKUP(C40,[4]List1!$A:$D,4,FALSE)),"")</f>
        <v>24</v>
      </c>
      <c r="AA40" s="707"/>
      <c r="AB40" s="911" t="str">
        <f>IFERROR(IF(VLOOKUP(C40,[1]List1!$A:$D,2,FALSE)="VYPRODÁNO",$V$9,IF(VLOOKUP(C40,[1]List1!$A:$D,2,FALSE)="DOCHÁZÍ",$V$3,VLOOKUP(C40,[1]List1!$A:$D,2,FALSE))),"OFFLINE!")</f>
        <v>15.09.2024</v>
      </c>
      <c r="AC40" s="1037" t="str">
        <f ca="1">IF(AO40="NE",$V$10,IF(AB40=$V$3,IF(AP40&lt;1,$V$8,$V$2&amp;" "&amp;AP40&amp;" "&amp;$V$1),IF(AB40="SKLADEM",$V$6,IFERROR(IF(OR(AB40-TODAY()&gt;21,VLOOKUP(C40,[1]List1!$A:$E,4,FALSE)=0),AB40,DAY(AB40)&amp;"."&amp;MONTH(AB40)&amp;"."&amp;YEAR(AB40)&amp;" "&amp;$V$4&amp;VLOOKUP(C40,[1]List1!$A:$E,4,FALSE)&amp;" "&amp;$V$1),AB40))))</f>
        <v>15.09.2024</v>
      </c>
      <c r="AD40" s="686" t="str">
        <f ca="1">_xlfn.IFNA(VLOOKUP(C40,'General price list'!C:AM,MATCH($AD$20,'General price list'!$C$20:$AM$20,0),FALSE),"")</f>
        <v>15.09.2024</v>
      </c>
      <c r="AE40" s="681">
        <f t="shared" ca="1" si="8"/>
        <v>0</v>
      </c>
      <c r="AF40" s="681">
        <f t="shared" ca="1" si="9"/>
        <v>0</v>
      </c>
      <c r="AG40" s="687">
        <f t="shared" ca="1" si="10"/>
        <v>0</v>
      </c>
      <c r="AH40" s="688">
        <f t="shared" ca="1" si="11"/>
        <v>0</v>
      </c>
      <c r="AI40" s="687">
        <f t="shared" ca="1" si="12"/>
        <v>0</v>
      </c>
      <c r="AJ40" s="689" t="str">
        <f t="shared" ca="1" si="13"/>
        <v/>
      </c>
      <c r="AK40" s="689" t="str">
        <f t="shared" ca="1" si="14"/>
        <v/>
      </c>
      <c r="AL40" s="689">
        <f t="shared" ca="1" si="15"/>
        <v>0</v>
      </c>
      <c r="AM40" s="690" t="str">
        <f t="shared" ca="1" si="16"/>
        <v/>
      </c>
      <c r="AN40" s="459"/>
      <c r="AO40" s="456" t="str">
        <f>IF($R$3=1,IF(Y40=AA40,"","NE"),IF(#REF!=$V$10,"NE",""))</f>
        <v/>
      </c>
      <c r="AP40" s="457" t="str">
        <f>IF(AB40=$V$3,IF(VLOOKUP(C40,[1]List1!$A:$E,5,FALSE)=0,1,VLOOKUP(C40,[1]List1!$A:$E,5,FALSE)),"")</f>
        <v/>
      </c>
      <c r="AW40" s="458">
        <f>IFERROR(FIND(VLOOKUP('General price list'!$AB$7,'General price list'!$AC$1:$AD$12,2,FALSE),Q40,1),0)</f>
        <v>0</v>
      </c>
      <c r="AX40" s="458">
        <f>IFERROR(FIND(VLOOKUP('General price list'!$AB$7,'General price list'!$AC$1:$AD$12,2,FALSE),R40,1),0)</f>
        <v>0</v>
      </c>
    </row>
    <row r="41" spans="1:50" s="458" customFormat="1" ht="15" customHeight="1">
      <c r="A41" s="691" t="str">
        <f>Kat.!C41</f>
        <v xml:space="preserve">                                          </v>
      </c>
      <c r="B41" s="692">
        <v>20</v>
      </c>
      <c r="C41" s="693" t="s">
        <v>63</v>
      </c>
      <c r="D41" s="693" t="s">
        <v>64</v>
      </c>
      <c r="E41" s="694" t="s">
        <v>65</v>
      </c>
      <c r="F41" s="695">
        <f>VLOOKUP(C41,[2]List1!$A:$D,2,FALSE)</f>
        <v>48</v>
      </c>
      <c r="G41" s="696">
        <f t="shared" si="5"/>
        <v>48</v>
      </c>
      <c r="H41" s="697">
        <f t="shared" si="6"/>
        <v>2</v>
      </c>
      <c r="I41" s="837">
        <v>60</v>
      </c>
      <c r="J41" s="698" t="s">
        <v>45</v>
      </c>
      <c r="K41" s="856"/>
      <c r="L41" s="857" t="s">
        <v>13821</v>
      </c>
      <c r="M41" s="698" t="s">
        <v>25</v>
      </c>
      <c r="N41" s="869">
        <f>IFERROR(VLOOKUP(C41,[3]List1!$A:$D,4,FALSE),"N/A!")</f>
        <v>3.705E-2</v>
      </c>
      <c r="O41" s="837">
        <f>IFERROR(VLOOKUP(C41,[3]List1!$A:$D,3,FALSE),"N/A!")</f>
        <v>2160</v>
      </c>
      <c r="P41" s="837">
        <f>IFERROR(VLOOKUP(C41,[3]List1!$A:$D,2,FALSE),"N/A!")</f>
        <v>5600</v>
      </c>
      <c r="Q41" s="698" t="s">
        <v>44</v>
      </c>
      <c r="R41" s="698" t="s">
        <v>24</v>
      </c>
      <c r="S41" s="698"/>
      <c r="T41" s="695"/>
      <c r="U41" s="874"/>
      <c r="V41" s="699" t="str">
        <f>_xlfn.IFNA(HYPERLINK("https://www.klasekpyrotechnics.cz/lm2v"),"")</f>
        <v>https://www.klasekpyrotechnics.cz/lm2v</v>
      </c>
      <c r="W41" s="700" t="str">
        <f>IFERROR(VLOOKUP($C41,Popisy!A:P,MATCH($W$17,Popisy!$A$7:$P$7,0),FALSE),"---------------")</f>
        <v>Silberne rotierende Spur mit knallenden Sternen</v>
      </c>
      <c r="X41" s="891" t="str">
        <f t="shared" si="7"/>
        <v/>
      </c>
      <c r="Y41" s="892"/>
      <c r="Z41" s="700">
        <f>IFERROR(IF(VLOOKUP(C41,[4]List1!$A:$D,4,FALSE)=0,"",VLOOKUP(C41,[4]List1!$A:$D,4,FALSE)),"")</f>
        <v>42</v>
      </c>
      <c r="AA41" s="707"/>
      <c r="AB41" s="912" t="str">
        <f>IFERROR(IF(VLOOKUP(C41,[1]List1!$A:$D,2,FALSE)="VYPRODÁNO",$V$9,IF(VLOOKUP(C41,[1]List1!$A:$D,2,FALSE)="DOCHÁZÍ",$V$3,VLOOKUP(C41,[1]List1!$A:$D,2,FALSE))),"OFFLINE!")</f>
        <v>15.08.2024</v>
      </c>
      <c r="AC41" s="1037" t="str">
        <f ca="1">IF(AO41="NE",$V$10,IF(AB41=$V$3,IF(AP41&lt;1,$V$8,$V$2&amp;" "&amp;AP41&amp;" "&amp;$V$1),IF(AB41="SKLADEM",$V$6,IFERROR(IF(OR(AB41-TODAY()&gt;21,VLOOKUP(C41,[1]List1!$A:$E,4,FALSE)=0),AB41,DAY(AB41)&amp;"."&amp;MONTH(AB41)&amp;"."&amp;YEAR(AB41)&amp;" "&amp;$V$4&amp;VLOOKUP(C41,[1]List1!$A:$E,4,FALSE)&amp;" "&amp;$V$1),AB41))))</f>
        <v>15.08.2024</v>
      </c>
      <c r="AD41" s="701" t="str">
        <f ca="1">_xlfn.IFNA(VLOOKUP(C41,'General price list'!C:AM,MATCH($AD$20,'General price list'!$C$20:$AM$20,0),FALSE),"")</f>
        <v>15.08.2024</v>
      </c>
      <c r="AE41" s="695">
        <f t="shared" ca="1" si="8"/>
        <v>0</v>
      </c>
      <c r="AF41" s="695">
        <f t="shared" ca="1" si="9"/>
        <v>0</v>
      </c>
      <c r="AG41" s="702">
        <f t="shared" ca="1" si="10"/>
        <v>0</v>
      </c>
      <c r="AH41" s="703">
        <f t="shared" ca="1" si="11"/>
        <v>0</v>
      </c>
      <c r="AI41" s="702">
        <f t="shared" ca="1" si="12"/>
        <v>0</v>
      </c>
      <c r="AJ41" s="704" t="str">
        <f t="shared" ca="1" si="13"/>
        <v/>
      </c>
      <c r="AK41" s="704" t="str">
        <f t="shared" ca="1" si="14"/>
        <v/>
      </c>
      <c r="AL41" s="704">
        <f t="shared" ca="1" si="15"/>
        <v>0</v>
      </c>
      <c r="AM41" s="705" t="str">
        <f t="shared" ca="1" si="16"/>
        <v/>
      </c>
      <c r="AN41" s="455"/>
      <c r="AO41" s="456" t="str">
        <f>IF($R$3=1,IF(Y41=AA41,"","NE"),IF(#REF!=$V$10,"NE",""))</f>
        <v/>
      </c>
      <c r="AP41" s="457" t="str">
        <f>IF(AB41=$V$3,IF(VLOOKUP(C41,[1]List1!$A:$E,5,FALSE)=0,1,VLOOKUP(C41,[1]List1!$A:$E,5,FALSE)),"")</f>
        <v/>
      </c>
      <c r="AW41" s="458">
        <f>IFERROR(FIND(VLOOKUP('General price list'!$AB$7,'General price list'!$AC$1:$AD$12,2,FALSE),Q41,1),0)</f>
        <v>13</v>
      </c>
      <c r="AX41" s="458">
        <f>IFERROR(FIND(VLOOKUP('General price list'!$AB$7,'General price list'!$AC$1:$AD$12,2,FALSE),R41,1),0)</f>
        <v>0</v>
      </c>
    </row>
    <row r="42" spans="1:50" s="458" customFormat="1" ht="15" customHeight="1">
      <c r="A42" s="677" t="str">
        <f>Kat.!C42</f>
        <v xml:space="preserve">                                          </v>
      </c>
      <c r="B42" s="678">
        <v>21</v>
      </c>
      <c r="C42" s="679" t="s">
        <v>57</v>
      </c>
      <c r="D42" s="679" t="s">
        <v>58</v>
      </c>
      <c r="E42" s="680" t="s">
        <v>59</v>
      </c>
      <c r="F42" s="681">
        <f>VLOOKUP(C42,[2]List1!$A:$D,2,FALSE)</f>
        <v>69</v>
      </c>
      <c r="G42" s="682">
        <f t="shared" si="5"/>
        <v>69</v>
      </c>
      <c r="H42" s="683">
        <f t="shared" si="6"/>
        <v>2.8</v>
      </c>
      <c r="I42" s="836">
        <v>36</v>
      </c>
      <c r="J42" s="680" t="s">
        <v>45</v>
      </c>
      <c r="K42" s="854"/>
      <c r="L42" s="855" t="s">
        <v>13821</v>
      </c>
      <c r="M42" s="680" t="s">
        <v>25</v>
      </c>
      <c r="N42" s="868">
        <f>IFERROR(VLOOKUP(C42,[3]List1!$A:$D,4,FALSE),"N/A!")</f>
        <v>3.6380250000000003E-2</v>
      </c>
      <c r="O42" s="836">
        <f>IFERROR(VLOOKUP(C42,[3]List1!$A:$D,3,FALSE),"N/A!")</f>
        <v>1296</v>
      </c>
      <c r="P42" s="836">
        <f>IFERROR(VLOOKUP(C42,[3]List1!$A:$D,2,FALSE),"N/A!")</f>
        <v>4500</v>
      </c>
      <c r="Q42" s="680" t="s">
        <v>13716</v>
      </c>
      <c r="R42" s="680" t="s">
        <v>24</v>
      </c>
      <c r="S42" s="680"/>
      <c r="T42" s="681"/>
      <c r="U42" s="873"/>
      <c r="V42" s="684" t="str">
        <f>_xlfn.IFNA(HYPERLINK("https://www.klasekpyrotechnics.cz/lm3t"),"")</f>
        <v>https://www.klasekpyrotechnics.cz/lm3t</v>
      </c>
      <c r="W42" s="685" t="str">
        <f>IFERROR(VLOOKUP($C42,Popisy!A:P,MATCH($W$17,Popisy!$A$7:$P$7,0),FALSE),"---------------")</f>
        <v>Silberne rotierende Spur + rote Perlen mit der weißen blinkenden Mitte</v>
      </c>
      <c r="X42" s="889" t="str">
        <f t="shared" si="7"/>
        <v/>
      </c>
      <c r="Y42" s="890"/>
      <c r="Z42" s="685">
        <f>IFERROR(IF(VLOOKUP(C42,[4]List1!$A:$D,4,FALSE)=0,"",VLOOKUP(C42,[4]List1!$A:$D,4,FALSE)),"")</f>
        <v>40</v>
      </c>
      <c r="AA42" s="707"/>
      <c r="AB42" s="911" t="str">
        <f>IFERROR(IF(VLOOKUP(C42,[1]List1!$A:$D,2,FALSE)="VYPRODÁNO",$V$9,IF(VLOOKUP(C42,[1]List1!$A:$D,2,FALSE)="DOCHÁZÍ",$V$3,VLOOKUP(C42,[1]List1!$A:$D,2,FALSE))),"OFFLINE!")</f>
        <v>SKLADEM</v>
      </c>
      <c r="AC42" s="1037" t="str">
        <f ca="1">IF(AO42="NE",$V$10,IF(AB42=$V$3,IF(AP42&lt;1,$V$8,$V$2&amp;" "&amp;AP42&amp;" "&amp;$V$1),IF(AB42="SKLADEM",$V$6,IFERROR(IF(OR(AB42-TODAY()&gt;21,VLOOKUP(C42,[1]List1!$A:$E,4,FALSE)=0),AB42,DAY(AB42)&amp;"."&amp;MONTH(AB42)&amp;"."&amp;YEAR(AB42)&amp;" "&amp;$V$4&amp;VLOOKUP(C42,[1]List1!$A:$E,4,FALSE)&amp;" "&amp;$V$1),AB42))))</f>
        <v>AUF LAGER</v>
      </c>
      <c r="AD42" s="686" t="str">
        <f ca="1">_xlfn.IFNA(VLOOKUP(C42,'General price list'!C:AM,MATCH($AD$20,'General price list'!$C$20:$AM$20,0),FALSE),"")</f>
        <v>AUF LAGER</v>
      </c>
      <c r="AE42" s="681">
        <f t="shared" ca="1" si="8"/>
        <v>0</v>
      </c>
      <c r="AF42" s="681">
        <f t="shared" ca="1" si="9"/>
        <v>0</v>
      </c>
      <c r="AG42" s="687">
        <f t="shared" ca="1" si="10"/>
        <v>0</v>
      </c>
      <c r="AH42" s="688">
        <f t="shared" ca="1" si="11"/>
        <v>0</v>
      </c>
      <c r="AI42" s="687">
        <f t="shared" ca="1" si="12"/>
        <v>0</v>
      </c>
      <c r="AJ42" s="689" t="str">
        <f t="shared" ca="1" si="13"/>
        <v/>
      </c>
      <c r="AK42" s="689" t="str">
        <f t="shared" ca="1" si="14"/>
        <v/>
      </c>
      <c r="AL42" s="689">
        <f t="shared" ca="1" si="15"/>
        <v>0</v>
      </c>
      <c r="AM42" s="690" t="str">
        <f t="shared" ca="1" si="16"/>
        <v/>
      </c>
      <c r="AN42" s="455"/>
      <c r="AO42" s="456" t="str">
        <f>IF($R$3=1,IF(Y42=AA42,"","NE"),IF(#REF!=$V$10,"NE",""))</f>
        <v/>
      </c>
      <c r="AP42" s="457" t="str">
        <f>IF(AB42=$V$3,IF(VLOOKUP(C42,[1]List1!$A:$E,5,FALSE)=0,1,VLOOKUP(C42,[1]List1!$A:$E,5,FALSE)),"")</f>
        <v/>
      </c>
      <c r="AW42" s="458">
        <f>IFERROR(FIND(VLOOKUP('General price list'!$AB$7,'General price list'!$AC$1:$AD$12,2,FALSE),Q42,1),0)</f>
        <v>16</v>
      </c>
      <c r="AX42" s="458">
        <f>IFERROR(FIND(VLOOKUP('General price list'!$AB$7,'General price list'!$AC$1:$AD$12,2,FALSE),R42,1),0)</f>
        <v>0</v>
      </c>
    </row>
    <row r="43" spans="1:50" s="458" customFormat="1" ht="15" customHeight="1">
      <c r="A43" s="691" t="str">
        <f>Kat.!C43</f>
        <v xml:space="preserve">                                          </v>
      </c>
      <c r="B43" s="692">
        <v>22</v>
      </c>
      <c r="C43" s="693" t="s">
        <v>51</v>
      </c>
      <c r="D43" s="693" t="s">
        <v>52</v>
      </c>
      <c r="E43" s="694" t="s">
        <v>53</v>
      </c>
      <c r="F43" s="695">
        <f>VLOOKUP(C43,[2]List1!$A:$D,2,FALSE)</f>
        <v>79</v>
      </c>
      <c r="G43" s="696">
        <f t="shared" si="5"/>
        <v>79</v>
      </c>
      <c r="H43" s="697">
        <f t="shared" si="6"/>
        <v>3.2</v>
      </c>
      <c r="I43" s="837">
        <v>36</v>
      </c>
      <c r="J43" s="698" t="s">
        <v>45</v>
      </c>
      <c r="K43" s="856"/>
      <c r="L43" s="857" t="s">
        <v>13821</v>
      </c>
      <c r="M43" s="698" t="s">
        <v>25</v>
      </c>
      <c r="N43" s="869">
        <f>IFERROR(VLOOKUP(C43,[3]List1!$A:$D,4,FALSE),"N/A!")</f>
        <v>3.3744000000000003E-2</v>
      </c>
      <c r="O43" s="837">
        <f>IFERROR(VLOOKUP(C43,[3]List1!$A:$D,3,FALSE),"N/A!")</f>
        <v>2016</v>
      </c>
      <c r="P43" s="837">
        <f>IFERROR(VLOOKUP(C43,[3]List1!$A:$D,2,FALSE),"N/A!")</f>
        <v>5000</v>
      </c>
      <c r="Q43" s="698" t="s">
        <v>44</v>
      </c>
      <c r="R43" s="698" t="s">
        <v>24</v>
      </c>
      <c r="S43" s="698"/>
      <c r="T43" s="695"/>
      <c r="U43" s="874"/>
      <c r="V43" s="699" t="str">
        <f>_xlfn.IFNA(HYPERLINK("https://www.klasekpyrotechnics.cz/lm4o"),"")</f>
        <v>https://www.klasekpyrotechnics.cz/lm4o</v>
      </c>
      <c r="W43" s="700" t="str">
        <f>IFERROR(VLOOKUP($C43,Popisy!A:P,MATCH($W$17,Popisy!$A$7:$P$7,0),FALSE),"---------------")</f>
        <v>Rote Spur mit der roten Welle und mit der knallenden Mitte</v>
      </c>
      <c r="X43" s="891" t="str">
        <f t="shared" si="7"/>
        <v/>
      </c>
      <c r="Y43" s="892"/>
      <c r="Z43" s="700" t="str">
        <f>IFERROR(IF(VLOOKUP(C43,[4]List1!$A:$D,4,FALSE)=0,"",VLOOKUP(C43,[4]List1!$A:$D,4,FALSE)),"")</f>
        <v>40</v>
      </c>
      <c r="AA43" s="707"/>
      <c r="AB43" s="912" t="str">
        <f>IFERROR(IF(VLOOKUP(C43,[1]List1!$A:$D,2,FALSE)="VYPRODÁNO",$V$9,IF(VLOOKUP(C43,[1]List1!$A:$D,2,FALSE)="DOCHÁZÍ",$V$3,VLOOKUP(C43,[1]List1!$A:$D,2,FALSE))),"OFFLINE!")</f>
        <v>SKLADEM</v>
      </c>
      <c r="AC43" s="1037" t="str">
        <f ca="1">IF(AO43="NE",$V$10,IF(AB43=$V$3,IF(AP43&lt;1,$V$8,$V$2&amp;" "&amp;AP43&amp;" "&amp;$V$1),IF(AB43="SKLADEM",$V$6,IFERROR(IF(OR(AB43-TODAY()&gt;21,VLOOKUP(C43,[1]List1!$A:$E,4,FALSE)=0),AB43,DAY(AB43)&amp;"."&amp;MONTH(AB43)&amp;"."&amp;YEAR(AB43)&amp;" "&amp;$V$4&amp;VLOOKUP(C43,[1]List1!$A:$E,4,FALSE)&amp;" "&amp;$V$1),AB43))))</f>
        <v>AUF LAGER</v>
      </c>
      <c r="AD43" s="701" t="str">
        <f ca="1">_xlfn.IFNA(VLOOKUP(C43,'General price list'!C:AM,MATCH($AD$20,'General price list'!$C$20:$AM$20,0),FALSE),"")</f>
        <v>AUF LAGER</v>
      </c>
      <c r="AE43" s="695">
        <f t="shared" ca="1" si="8"/>
        <v>0</v>
      </c>
      <c r="AF43" s="695">
        <f t="shared" ca="1" si="9"/>
        <v>0</v>
      </c>
      <c r="AG43" s="702">
        <f t="shared" ca="1" si="10"/>
        <v>0</v>
      </c>
      <c r="AH43" s="703">
        <f t="shared" ca="1" si="11"/>
        <v>0</v>
      </c>
      <c r="AI43" s="702">
        <f t="shared" ca="1" si="12"/>
        <v>0</v>
      </c>
      <c r="AJ43" s="704" t="str">
        <f t="shared" ca="1" si="13"/>
        <v/>
      </c>
      <c r="AK43" s="704" t="str">
        <f t="shared" ca="1" si="14"/>
        <v/>
      </c>
      <c r="AL43" s="704">
        <f t="shared" ca="1" si="15"/>
        <v>0</v>
      </c>
      <c r="AM43" s="705" t="str">
        <f t="shared" ca="1" si="16"/>
        <v/>
      </c>
      <c r="AN43" s="459"/>
      <c r="AO43" s="456" t="str">
        <f>IF($R$3=1,IF(Y43=AA43,"","NE"),IF(#REF!=$V$10,"NE",""))</f>
        <v/>
      </c>
      <c r="AP43" s="457" t="str">
        <f>IF(AB43=$V$3,IF(VLOOKUP(C43,[1]List1!$A:$E,5,FALSE)=0,1,VLOOKUP(C43,[1]List1!$A:$E,5,FALSE)),"")</f>
        <v/>
      </c>
      <c r="AW43" s="458">
        <f>IFERROR(FIND(VLOOKUP('General price list'!$AB$7,'General price list'!$AC$1:$AD$12,2,FALSE),Q43,1),0)</f>
        <v>13</v>
      </c>
      <c r="AX43" s="458">
        <f>IFERROR(FIND(VLOOKUP('General price list'!$AB$7,'General price list'!$AC$1:$AD$12,2,FALSE),R43,1),0)</f>
        <v>0</v>
      </c>
    </row>
    <row r="44" spans="1:50" s="458" customFormat="1" ht="15" customHeight="1">
      <c r="A44" s="677" t="str">
        <f>Kat.!C44</f>
        <v xml:space="preserve">                                          </v>
      </c>
      <c r="B44" s="678">
        <v>23</v>
      </c>
      <c r="C44" s="679" t="s">
        <v>2291</v>
      </c>
      <c r="D44" s="679" t="s">
        <v>2292</v>
      </c>
      <c r="E44" s="680" t="s">
        <v>2444</v>
      </c>
      <c r="F44" s="681">
        <f>VLOOKUP(C44,[2]List1!$A:$D,2,FALSE)</f>
        <v>93</v>
      </c>
      <c r="G44" s="682">
        <f t="shared" si="5"/>
        <v>93</v>
      </c>
      <c r="H44" s="683">
        <f t="shared" si="6"/>
        <v>3.8</v>
      </c>
      <c r="I44" s="836">
        <v>48</v>
      </c>
      <c r="J44" s="680" t="s">
        <v>45</v>
      </c>
      <c r="K44" s="854"/>
      <c r="L44" s="855" t="s">
        <v>13821</v>
      </c>
      <c r="M44" s="680" t="s">
        <v>25</v>
      </c>
      <c r="N44" s="868">
        <f>IFERROR(VLOOKUP(C44,[3]List1!$A:$D,4,FALSE),"N/A!")</f>
        <v>5.3689500000000001E-2</v>
      </c>
      <c r="O44" s="836">
        <f>IFERROR(VLOOKUP(C44,[3]List1!$A:$D,3,FALSE),"N/A!")</f>
        <v>2880</v>
      </c>
      <c r="P44" s="836">
        <f>IFERROR(VLOOKUP(C44,[3]List1!$A:$D,2,FALSE),"N/A!")</f>
        <v>11000</v>
      </c>
      <c r="Q44" s="680" t="s">
        <v>44</v>
      </c>
      <c r="R44" s="680" t="s">
        <v>24</v>
      </c>
      <c r="S44" s="680"/>
      <c r="T44" s="681"/>
      <c r="U44" s="873"/>
      <c r="V44" s="684" t="str">
        <f>_xlfn.IFNA(HYPERLINK("https://www.klasekpyrotechnics.cz/lm5w"),"")</f>
        <v>https://www.klasekpyrotechnics.cz/lm5w</v>
      </c>
      <c r="W44" s="685" t="str">
        <f>IFERROR(VLOOKUP($C44,Popisy!A:P,MATCH($W$17,Popisy!$A$7:$P$7,0),FALSE),"---------------")</f>
        <v xml:space="preserve">pfeifendes Flugzeug mit rotem Licht und knackenden Sternen (2 Stück) + pfeifendes Flugzeug mit grünem Licht und knackenden Sternen (2 Stück) </v>
      </c>
      <c r="X44" s="889" t="str">
        <f t="shared" si="7"/>
        <v/>
      </c>
      <c r="Y44" s="890"/>
      <c r="Z44" s="685">
        <f>IFERROR(IF(VLOOKUP(C44,[4]List1!$A:$D,4,FALSE)=0,"",VLOOKUP(C44,[4]List1!$A:$D,4,FALSE)),"")</f>
        <v>24</v>
      </c>
      <c r="AA44" s="707"/>
      <c r="AB44" s="911" t="str">
        <f>IFERROR(IF(VLOOKUP(C44,[1]List1!$A:$D,2,FALSE)="VYPRODÁNO",$V$9,IF(VLOOKUP(C44,[1]List1!$A:$D,2,FALSE)="DOCHÁZÍ",$V$3,VLOOKUP(C44,[1]List1!$A:$D,2,FALSE))),"OFFLINE!")</f>
        <v>SKLADEM</v>
      </c>
      <c r="AC44" s="1037" t="str">
        <f ca="1">IF(AO44="NE",$V$10,IF(AB44=$V$3,IF(AP44&lt;1,$V$8,$V$2&amp;" "&amp;AP44&amp;" "&amp;$V$1),IF(AB44="SKLADEM",$V$6,IFERROR(IF(OR(AB44-TODAY()&gt;21,VLOOKUP(C44,[1]List1!$A:$E,4,FALSE)=0),AB44,DAY(AB44)&amp;"."&amp;MONTH(AB44)&amp;"."&amp;YEAR(AB44)&amp;" "&amp;$V$4&amp;VLOOKUP(C44,[1]List1!$A:$E,4,FALSE)&amp;" "&amp;$V$1),AB44))))</f>
        <v>AUF LAGER</v>
      </c>
      <c r="AD44" s="686" t="str">
        <f ca="1">_xlfn.IFNA(VLOOKUP(C44,'General price list'!C:AM,MATCH($AD$20,'General price list'!$C$20:$AM$20,0),FALSE),"")</f>
        <v>AUF LAGER</v>
      </c>
      <c r="AE44" s="681">
        <f t="shared" ca="1" si="8"/>
        <v>0</v>
      </c>
      <c r="AF44" s="681">
        <f t="shared" ca="1" si="9"/>
        <v>0</v>
      </c>
      <c r="AG44" s="687">
        <f t="shared" ca="1" si="10"/>
        <v>0</v>
      </c>
      <c r="AH44" s="688">
        <f t="shared" ca="1" si="11"/>
        <v>0</v>
      </c>
      <c r="AI44" s="687">
        <f t="shared" ca="1" si="12"/>
        <v>0</v>
      </c>
      <c r="AJ44" s="689" t="str">
        <f t="shared" ca="1" si="13"/>
        <v/>
      </c>
      <c r="AK44" s="689" t="str">
        <f t="shared" ca="1" si="14"/>
        <v/>
      </c>
      <c r="AL44" s="689">
        <f t="shared" ca="1" si="15"/>
        <v>0</v>
      </c>
      <c r="AM44" s="690" t="str">
        <f t="shared" ca="1" si="16"/>
        <v/>
      </c>
      <c r="AN44" s="455"/>
      <c r="AO44" s="456" t="str">
        <f>IF($R$3=1,IF(Y44=AA44,"","NE"),IF(#REF!=$V$10,"NE",""))</f>
        <v/>
      </c>
      <c r="AP44" s="457" t="str">
        <f>IF(AB44=$V$3,IF(VLOOKUP(C44,[1]List1!$A:$E,5,FALSE)=0,1,VLOOKUP(C44,[1]List1!$A:$E,5,FALSE)),"")</f>
        <v/>
      </c>
      <c r="AW44" s="458">
        <f>IFERROR(FIND(VLOOKUP('General price list'!$AB$7,'General price list'!$AC$1:$AD$12,2,FALSE),Q44,1),0)</f>
        <v>13</v>
      </c>
      <c r="AX44" s="458">
        <f>IFERROR(FIND(VLOOKUP('General price list'!$AB$7,'General price list'!$AC$1:$AD$12,2,FALSE),R44,1),0)</f>
        <v>0</v>
      </c>
    </row>
    <row r="45" spans="1:50" s="458" customFormat="1" ht="15" customHeight="1">
      <c r="A45" s="691" t="str">
        <f>Kat.!C45</f>
        <v xml:space="preserve">                                          </v>
      </c>
      <c r="B45" s="692">
        <v>24</v>
      </c>
      <c r="C45" s="693" t="s">
        <v>2293</v>
      </c>
      <c r="D45" s="693" t="s">
        <v>2294</v>
      </c>
      <c r="E45" s="694" t="s">
        <v>617</v>
      </c>
      <c r="F45" s="695">
        <f>VLOOKUP(C45,[2]List1!$A:$D,2,FALSE)</f>
        <v>190</v>
      </c>
      <c r="G45" s="696">
        <f t="shared" si="5"/>
        <v>190</v>
      </c>
      <c r="H45" s="697">
        <f t="shared" si="6"/>
        <v>7.7</v>
      </c>
      <c r="I45" s="837">
        <v>24</v>
      </c>
      <c r="J45" s="698" t="s">
        <v>45</v>
      </c>
      <c r="K45" s="856"/>
      <c r="L45" s="857" t="s">
        <v>13821</v>
      </c>
      <c r="M45" s="698" t="s">
        <v>25</v>
      </c>
      <c r="N45" s="869">
        <f>IFERROR(VLOOKUP(C45,[3]List1!$A:$D,4,FALSE),"N/A!")</f>
        <v>6.7229999999999998E-2</v>
      </c>
      <c r="O45" s="837">
        <f>IFERROR(VLOOKUP(C45,[3]List1!$A:$D,3,FALSE),"N/A!")</f>
        <v>1344</v>
      </c>
      <c r="P45" s="837">
        <f>IFERROR(VLOOKUP(C45,[3]List1!$A:$D,2,FALSE),"N/A!")</f>
        <v>6000</v>
      </c>
      <c r="Q45" s="698" t="s">
        <v>13717</v>
      </c>
      <c r="R45" s="698" t="s">
        <v>24</v>
      </c>
      <c r="S45" s="698"/>
      <c r="T45" s="695"/>
      <c r="U45" s="874"/>
      <c r="V45" s="699" t="str">
        <f>_xlfn.IFNA(HYPERLINK("https://www.klasekpyrotechnics.cz/lm6m"),"")</f>
        <v>https://www.klasekpyrotechnics.cz/lm6m</v>
      </c>
      <c r="W45" s="700" t="str">
        <f>IFERROR(VLOOKUP($C45,Popisy!A:P,MATCH($W$17,Popisy!$A$7:$P$7,0),FALSE),"---------------")</f>
        <v xml:space="preserve">Fliegender / pulsierender Farbeffekt mit Brokatkrone (1 Stück), Fliegender / pulsierender Farbeffekt mit knackenden Sternen (1 Stück) </v>
      </c>
      <c r="X45" s="891" t="str">
        <f t="shared" si="7"/>
        <v/>
      </c>
      <c r="Y45" s="892"/>
      <c r="Z45" s="700">
        <f>IFERROR(IF(VLOOKUP(C45,[4]List1!$A:$D,4,FALSE)=0,"",VLOOKUP(C45,[4]List1!$A:$D,4,FALSE)),"")</f>
        <v>24</v>
      </c>
      <c r="AA45" s="707"/>
      <c r="AB45" s="912" t="str">
        <f>IFERROR(IF(VLOOKUP(C45,[1]List1!$A:$D,2,FALSE)="VYPRODÁNO",$V$9,IF(VLOOKUP(C45,[1]List1!$A:$D,2,FALSE)="DOCHÁZÍ",$V$3,VLOOKUP(C45,[1]List1!$A:$D,2,FALSE))),"OFFLINE!")</f>
        <v>15.06.2024</v>
      </c>
      <c r="AC45" s="1037" t="str">
        <f ca="1">IF(AO45="NE",$V$10,IF(AB45=$V$3,IF(AP45&lt;1,$V$8,$V$2&amp;" "&amp;AP45&amp;" "&amp;$V$1),IF(AB45="SKLADEM",$V$6,IFERROR(IF(OR(AB45-TODAY()&gt;21,VLOOKUP(C45,[1]List1!$A:$E,4,FALSE)=0),AB45,DAY(AB45)&amp;"."&amp;MONTH(AB45)&amp;"."&amp;YEAR(AB45)&amp;" "&amp;$V$4&amp;VLOOKUP(C45,[1]List1!$A:$E,4,FALSE)&amp;" "&amp;$V$1),AB45))))</f>
        <v>15.06.2024</v>
      </c>
      <c r="AD45" s="701" t="str">
        <f ca="1">_xlfn.IFNA(VLOOKUP(C45,'General price list'!C:AM,MATCH($AD$20,'General price list'!$C$20:$AM$20,0),FALSE),"")</f>
        <v>15.06.2024</v>
      </c>
      <c r="AE45" s="695">
        <f t="shared" ca="1" si="8"/>
        <v>0</v>
      </c>
      <c r="AF45" s="695">
        <f t="shared" ca="1" si="9"/>
        <v>0</v>
      </c>
      <c r="AG45" s="702">
        <f t="shared" ca="1" si="10"/>
        <v>0</v>
      </c>
      <c r="AH45" s="703">
        <f t="shared" ca="1" si="11"/>
        <v>0</v>
      </c>
      <c r="AI45" s="702">
        <f t="shared" ca="1" si="12"/>
        <v>0</v>
      </c>
      <c r="AJ45" s="704" t="str">
        <f t="shared" ca="1" si="13"/>
        <v/>
      </c>
      <c r="AK45" s="704" t="str">
        <f t="shared" ca="1" si="14"/>
        <v/>
      </c>
      <c r="AL45" s="704">
        <f t="shared" ca="1" si="15"/>
        <v>0</v>
      </c>
      <c r="AM45" s="705" t="str">
        <f t="shared" ca="1" si="16"/>
        <v/>
      </c>
      <c r="AN45" s="459"/>
      <c r="AO45" s="456" t="str">
        <f>IF($R$3=1,IF(Y45=AA45,"","NE"),IF(#REF!=$V$10,"NE",""))</f>
        <v/>
      </c>
      <c r="AP45" s="457" t="str">
        <f>IF(AB45=$V$3,IF(VLOOKUP(C45,[1]List1!$A:$E,5,FALSE)=0,1,VLOOKUP(C45,[1]List1!$A:$E,5,FALSE)),"")</f>
        <v/>
      </c>
      <c r="AW45" s="458">
        <f>IFERROR(FIND(VLOOKUP('General price list'!$AB$7,'General price list'!$AC$1:$AD$12,2,FALSE),Q45,1),0)</f>
        <v>10</v>
      </c>
      <c r="AX45" s="458">
        <f>IFERROR(FIND(VLOOKUP('General price list'!$AB$7,'General price list'!$AC$1:$AD$12,2,FALSE),R45,1),0)</f>
        <v>0</v>
      </c>
    </row>
    <row r="46" spans="1:50" s="458" customFormat="1" ht="15" customHeight="1">
      <c r="A46" s="677" t="str">
        <f>Kat.!C46</f>
        <v xml:space="preserve">                                          </v>
      </c>
      <c r="B46" s="678">
        <v>25</v>
      </c>
      <c r="C46" s="679" t="s">
        <v>2295</v>
      </c>
      <c r="D46" s="679" t="s">
        <v>2296</v>
      </c>
      <c r="E46" s="680" t="s">
        <v>617</v>
      </c>
      <c r="F46" s="681">
        <f>VLOOKUP(C46,[2]List1!$A:$D,2,FALSE)</f>
        <v>124</v>
      </c>
      <c r="G46" s="682">
        <f t="shared" si="5"/>
        <v>124</v>
      </c>
      <c r="H46" s="683">
        <f t="shared" si="6"/>
        <v>5</v>
      </c>
      <c r="I46" s="836">
        <v>24</v>
      </c>
      <c r="J46" s="680" t="s">
        <v>45</v>
      </c>
      <c r="K46" s="854"/>
      <c r="L46" s="855" t="s">
        <v>13821</v>
      </c>
      <c r="M46" s="680" t="s">
        <v>25</v>
      </c>
      <c r="N46" s="868">
        <f>IFERROR(VLOOKUP(C46,[3]List1!$A:$D,4,FALSE),"N/A!")</f>
        <v>3.3728000000000001E-2</v>
      </c>
      <c r="O46" s="836">
        <f>IFERROR(VLOOKUP(C46,[3]List1!$A:$D,3,FALSE),"N/A!")</f>
        <v>720</v>
      </c>
      <c r="P46" s="836">
        <f>IFERROR(VLOOKUP(C46,[3]List1!$A:$D,2,FALSE),"N/A!")</f>
        <v>5000</v>
      </c>
      <c r="Q46" s="680" t="s">
        <v>610</v>
      </c>
      <c r="R46" s="680" t="s">
        <v>24</v>
      </c>
      <c r="S46" s="680"/>
      <c r="T46" s="681"/>
      <c r="U46" s="873"/>
      <c r="V46" s="684" t="str">
        <f>_xlfn.IFNA(HYPERLINK("https://www.klasekpyrotechnics.cz/lm7s"),"")</f>
        <v>https://www.klasekpyrotechnics.cz/lm7s</v>
      </c>
      <c r="W46" s="685" t="str">
        <f>IFERROR(VLOOKUP($C46,Popisy!A:P,MATCH($W$17,Popisy!$A$7:$P$7,0),FALSE),"---------------")</f>
        <v>whistling flying saucer with green light</v>
      </c>
      <c r="X46" s="889" t="str">
        <f t="shared" si="7"/>
        <v/>
      </c>
      <c r="Y46" s="890"/>
      <c r="Z46" s="685">
        <f>IFERROR(IF(VLOOKUP(C46,[4]List1!$A:$D,4,FALSE)=0,"",VLOOKUP(C46,[4]List1!$A:$D,4,FALSE)),"")</f>
        <v>30</v>
      </c>
      <c r="AA46" s="707"/>
      <c r="AB46" s="911" t="str">
        <f>IFERROR(IF(VLOOKUP(C46,[1]List1!$A:$D,2,FALSE)="VYPRODÁNO",$V$9,IF(VLOOKUP(C46,[1]List1!$A:$D,2,FALSE)="DOCHÁZÍ",$V$3,VLOOKUP(C46,[1]List1!$A:$D,2,FALSE))),"OFFLINE!")</f>
        <v>30.04.2024</v>
      </c>
      <c r="AC46" s="1037" t="str">
        <f ca="1">IF(AO46="NE",$V$10,IF(AB46=$V$3,IF(AP46&lt;1,$V$8,$V$2&amp;" "&amp;AP46&amp;" "&amp;$V$1),IF(AB46="SKLADEM",$V$6,IFERROR(IF(OR(AB46-TODAY()&gt;21,VLOOKUP(C46,[1]List1!$A:$E,4,FALSE)=0),AB46,DAY(AB46)&amp;"."&amp;MONTH(AB46)&amp;"."&amp;YEAR(AB46)&amp;" "&amp;$V$4&amp;VLOOKUP(C46,[1]List1!$A:$E,4,FALSE)&amp;" "&amp;$V$1),AB46))))</f>
        <v>30.04.2024</v>
      </c>
      <c r="AD46" s="686" t="str">
        <f ca="1">_xlfn.IFNA(VLOOKUP(C46,'General price list'!C:AM,MATCH($AD$20,'General price list'!$C$20:$AM$20,0),FALSE),"")</f>
        <v>30.04.2024</v>
      </c>
      <c r="AE46" s="681">
        <f t="shared" ca="1" si="8"/>
        <v>0</v>
      </c>
      <c r="AF46" s="681">
        <f t="shared" ca="1" si="9"/>
        <v>0</v>
      </c>
      <c r="AG46" s="687">
        <f t="shared" ca="1" si="10"/>
        <v>0</v>
      </c>
      <c r="AH46" s="688">
        <f t="shared" ca="1" si="11"/>
        <v>0</v>
      </c>
      <c r="AI46" s="687">
        <f t="shared" ca="1" si="12"/>
        <v>0</v>
      </c>
      <c r="AJ46" s="689" t="str">
        <f t="shared" ca="1" si="13"/>
        <v/>
      </c>
      <c r="AK46" s="689" t="str">
        <f t="shared" ca="1" si="14"/>
        <v/>
      </c>
      <c r="AL46" s="689">
        <f t="shared" ca="1" si="15"/>
        <v>0</v>
      </c>
      <c r="AM46" s="690" t="str">
        <f t="shared" ca="1" si="16"/>
        <v/>
      </c>
      <c r="AN46" s="455"/>
      <c r="AO46" s="456" t="str">
        <f>IF($R$3=1,IF(Y46=AA46,"","NE"),IF(#REF!=$V$10,"NE",""))</f>
        <v/>
      </c>
      <c r="AP46" s="457" t="str">
        <f>IF(AB46=$V$3,IF(VLOOKUP(C46,[1]List1!$A:$E,5,FALSE)=0,1,VLOOKUP(C46,[1]List1!$A:$E,5,FALSE)),"")</f>
        <v/>
      </c>
      <c r="AW46" s="458">
        <f>IFERROR(FIND(VLOOKUP('General price list'!$AB$7,'General price list'!$AC$1:$AD$12,2,FALSE),Q46,1),0)</f>
        <v>0</v>
      </c>
      <c r="AX46" s="458">
        <f>IFERROR(FIND(VLOOKUP('General price list'!$AB$7,'General price list'!$AC$1:$AD$12,2,FALSE),R46,1),0)</f>
        <v>0</v>
      </c>
    </row>
    <row r="47" spans="1:50" s="458" customFormat="1" ht="15" customHeight="1">
      <c r="A47" s="672" t="str">
        <f>Kat.!C47</f>
        <v xml:space="preserve">                                          Wunderkerzen exclusive</v>
      </c>
      <c r="B47" s="692">
        <v>26</v>
      </c>
      <c r="C47" s="693"/>
      <c r="D47" s="693"/>
      <c r="E47" s="694"/>
      <c r="F47" s="695" t="str">
        <f>IFERROR(ROUND(VLOOKUP(C47,'General price list'!$C:$AN,4,FALSE),0),"")</f>
        <v/>
      </c>
      <c r="G47" s="696" t="str">
        <f t="shared" si="5"/>
        <v/>
      </c>
      <c r="H47" s="697" t="str">
        <f t="shared" si="6"/>
        <v/>
      </c>
      <c r="I47" s="837"/>
      <c r="J47" s="698"/>
      <c r="K47" s="856"/>
      <c r="L47" s="857"/>
      <c r="M47" s="698"/>
      <c r="N47" s="869" t="str">
        <f>IFERROR(IF(VLOOKUP($C47,'General price list'!$C:$AN,MATCH(N$20,'General price list'!$C$20:$AM$20,0),FALSE)=0,"",VLOOKUP($C47,'General price list'!$C:$AN,MATCH(N$20,'General price list'!$C$20:$AM$20,0),FALSE)),"")</f>
        <v/>
      </c>
      <c r="O47" s="837" t="str">
        <f>IFERROR(IF(VLOOKUP($C47,'General price list'!$C:$AN,MATCH(O$20,'General price list'!$C$20:$AM$20,0),FALSE)=0,"",VLOOKUP($C47,'General price list'!$C:$AN,MATCH(O$20,'General price list'!$C$20:$AM$20,0),FALSE)),"")</f>
        <v/>
      </c>
      <c r="P47" s="837" t="str">
        <f>IFERROR(IF(VLOOKUP($C47,'General price list'!$C:$AN,MATCH(P$20,'General price list'!$C$20:$AM$20,0),FALSE)=0,"",VLOOKUP($C47,'General price list'!$C:$AN,MATCH(P$20,'General price list'!$C$20:$AM$20,0),FALSE)),"")</f>
        <v/>
      </c>
      <c r="Q47" s="698"/>
      <c r="R47" s="698"/>
      <c r="S47" s="698"/>
      <c r="T47" s="695"/>
      <c r="U47" s="874"/>
      <c r="V47" s="699"/>
      <c r="W47" s="700" t="str">
        <f>IFERROR(VLOOKUP($C47,'General price list'!$C:$AN,MATCH(W$20,'General price list'!$C$20:$AM$20,0),FALSE),"")</f>
        <v/>
      </c>
      <c r="X47" s="891" t="str">
        <f t="shared" si="7"/>
        <v/>
      </c>
      <c r="Y47" s="892"/>
      <c r="Z47" s="700" t="str">
        <f>IFERROR(VLOOKUP($C47,'General price list'!$C:$AN,MATCH(Z$20,'General price list'!$C$20:$AM$20,0),FALSE),"")</f>
        <v/>
      </c>
      <c r="AA47" s="707"/>
      <c r="AB47" s="912" t="str">
        <f>IFERROR(IF(VLOOKUP(C47,[1]List1!$A:$D,2,FALSE)="VYPRODÁNO",$V$9,IF(VLOOKUP(C47,[1]List1!$A:$D,2,FALSE)="DOCHÁZÍ",$V$3,VLOOKUP(C47,[1]List1!$A:$D,2,FALSE))),"OFFLINE!")</f>
        <v>OFFLINE!</v>
      </c>
      <c r="AC47" s="912" t="str">
        <f ca="1">IF(AO47="NE",$V$10,IF(AB47=$V$3,IF(AP47&lt;1,$V$8,$V$2&amp;" "&amp;AP47&amp;" "&amp;$V$1),IF(AB47="SKLADEM",$V$6,IFERROR(IF(OR(AB47-TODAY()&gt;21,VLOOKUP(C47,[1]List1!$A:$E,4,FALSE)=0),AB47,DAY(AB47)&amp;"."&amp;MONTH(AB47)&amp;"."&amp;YEAR(AB47)&amp;" "&amp;$V$4&amp;VLOOKUP(C47,[1]List1!$A:$E,4,FALSE)&amp;" "&amp;$V$1),AB47))))</f>
        <v>OFFLINE!</v>
      </c>
      <c r="AD47" s="701" t="str">
        <f>_xlfn.IFNA(VLOOKUP(C47,'General price list'!C:AM,MATCH($AD$20,'General price list'!$C$20:$AM$20,0),FALSE),"")</f>
        <v/>
      </c>
      <c r="AE47" s="695" t="str">
        <f t="shared" si="8"/>
        <v/>
      </c>
      <c r="AF47" s="695" t="str">
        <f t="shared" si="9"/>
        <v/>
      </c>
      <c r="AG47" s="702" t="str">
        <f t="shared" si="10"/>
        <v/>
      </c>
      <c r="AH47" s="703" t="str">
        <f t="shared" si="11"/>
        <v/>
      </c>
      <c r="AI47" s="702" t="str">
        <f t="shared" si="12"/>
        <v/>
      </c>
      <c r="AJ47" s="704" t="str">
        <f t="shared" si="13"/>
        <v/>
      </c>
      <c r="AK47" s="704" t="str">
        <f t="shared" si="14"/>
        <v/>
      </c>
      <c r="AL47" s="704" t="str">
        <f t="shared" si="15"/>
        <v/>
      </c>
      <c r="AM47" s="705" t="str">
        <f t="shared" si="16"/>
        <v/>
      </c>
      <c r="AN47" s="459"/>
      <c r="AO47" s="456" t="str">
        <f>IF($R$3=1,IF(Y47=AA47,"","NE"),IF(#REF!=$V$10,"NE",""))</f>
        <v/>
      </c>
      <c r="AP47" s="457" t="str">
        <f>IF(AB47=$V$3,IF(VLOOKUP(C47,[1]List1!$A:$E,5,FALSE)=0,1,VLOOKUP(C47,[1]List1!$A:$E,5,FALSE)),"")</f>
        <v/>
      </c>
      <c r="AW47" s="458" t="e">
        <f>VLOOKUP(C47,'General price list'!C:AU,46,FALSE)</f>
        <v>#N/A</v>
      </c>
      <c r="AX47" s="458" t="e">
        <f>VLOOKUP(C47,'General price list'!C:AU,47,FALSE)</f>
        <v>#N/A</v>
      </c>
    </row>
    <row r="48" spans="1:50" s="458" customFormat="1" ht="15" customHeight="1">
      <c r="A48" s="677" t="str">
        <f>Kat.!C48</f>
        <v xml:space="preserve">                                          </v>
      </c>
      <c r="B48" s="678">
        <v>27</v>
      </c>
      <c r="C48" s="679" t="s">
        <v>141</v>
      </c>
      <c r="D48" s="679" t="s">
        <v>142</v>
      </c>
      <c r="E48" s="680" t="s">
        <v>143</v>
      </c>
      <c r="F48" s="681">
        <f>VLOOKUP(C48,[2]List1!$A:$D,2,FALSE)</f>
        <v>53</v>
      </c>
      <c r="G48" s="682">
        <f t="shared" si="5"/>
        <v>53</v>
      </c>
      <c r="H48" s="683">
        <f t="shared" si="6"/>
        <v>2.2000000000000002</v>
      </c>
      <c r="I48" s="836">
        <v>72</v>
      </c>
      <c r="J48" s="680" t="s">
        <v>45</v>
      </c>
      <c r="K48" s="854"/>
      <c r="L48" s="855" t="s">
        <v>13822</v>
      </c>
      <c r="M48" s="680" t="s">
        <v>25</v>
      </c>
      <c r="N48" s="868">
        <f>IFERROR(VLOOKUP(C48,[3]List1!$A:$D,4,FALSE),"N/A!")</f>
        <v>2.0625000000000001E-2</v>
      </c>
      <c r="O48" s="836">
        <f>IFERROR(VLOOKUP(C48,[3]List1!$A:$D,3,FALSE),"N/A!")</f>
        <v>6336</v>
      </c>
      <c r="P48" s="836">
        <f>IFERROR(VLOOKUP(C48,[3]List1!$A:$D,2,FALSE),"N/A!")</f>
        <v>19800</v>
      </c>
      <c r="Q48" s="680" t="s">
        <v>150</v>
      </c>
      <c r="R48" s="680" t="s">
        <v>24</v>
      </c>
      <c r="S48" s="680"/>
      <c r="T48" s="681">
        <v>210</v>
      </c>
      <c r="U48" s="873"/>
      <c r="V48" s="684" t="str">
        <f>_xlfn.IFNA(HYPERLINK("https://www.klasekpyrotechnics.cz/vp70e"),"")</f>
        <v>https://www.klasekpyrotechnics.cz/vp70e</v>
      </c>
      <c r="W48" s="685" t="str">
        <f>IFERROR(VLOOKUP($C48,Popisy!A:P,MATCH($W$17,Popisy!$A$7:$P$7,0),FALSE),"---------------")</f>
        <v>Goldene Wunderkerzen, Länge 70cm, Länge der platzenden Masse 55 cm, Durchmesser der platzenden Masse 4,5 mm</v>
      </c>
      <c r="X48" s="889" t="str">
        <f t="shared" si="7"/>
        <v/>
      </c>
      <c r="Y48" s="890"/>
      <c r="Z48" s="685" t="str">
        <f>IFERROR(IF(VLOOKUP(C48,[4]List1!$A:$D,4,FALSE)=0,"",VLOOKUP(C48,[4]List1!$A:$D,4,FALSE)),"")</f>
        <v>38</v>
      </c>
      <c r="AA48" s="707"/>
      <c r="AB48" s="911" t="str">
        <f>IFERROR(IF(VLOOKUP(C48,[1]List1!$A:$D,2,FALSE)="VYPRODÁNO",$V$9,IF(VLOOKUP(C48,[1]List1!$A:$D,2,FALSE)="DOCHÁZÍ",$V$3,VLOOKUP(C48,[1]List1!$A:$D,2,FALSE))),"OFFLINE!")</f>
        <v>SKLADEM</v>
      </c>
      <c r="AC48" s="911" t="str">
        <f ca="1">IF(AO48="NE",$V$10,IF(AB48=$V$3,IF(AP48&lt;1,$V$8,$V$2&amp;" "&amp;AP48&amp;" "&amp;$V$1),IF(AB48="SKLADEM",$V$6,IFERROR(IF(OR(AB48-TODAY()&gt;21,VLOOKUP(C48,[1]List1!$A:$E,4,FALSE)=0),AB48,DAY(AB48)&amp;"."&amp;MONTH(AB48)&amp;"."&amp;YEAR(AB48)&amp;" "&amp;$V$4&amp;VLOOKUP(C48,[1]List1!$A:$E,4,FALSE)&amp;" "&amp;$V$1),AB48))))</f>
        <v>AUF LAGER</v>
      </c>
      <c r="AD48" s="686" t="str">
        <f ca="1">_xlfn.IFNA(VLOOKUP(C48,'General price list'!C:AM,MATCH($AD$20,'General price list'!$C$20:$AM$20,0),FALSE),"")</f>
        <v>AUF LAGER</v>
      </c>
      <c r="AE48" s="681">
        <f t="shared" ca="1" si="8"/>
        <v>0</v>
      </c>
      <c r="AF48" s="681">
        <f t="shared" ca="1" si="9"/>
        <v>0</v>
      </c>
      <c r="AG48" s="687">
        <f t="shared" ca="1" si="10"/>
        <v>0</v>
      </c>
      <c r="AH48" s="688">
        <f t="shared" ca="1" si="11"/>
        <v>0</v>
      </c>
      <c r="AI48" s="687">
        <f t="shared" ca="1" si="12"/>
        <v>0</v>
      </c>
      <c r="AJ48" s="689" t="str">
        <f t="shared" ca="1" si="13"/>
        <v/>
      </c>
      <c r="AK48" s="689" t="str">
        <f t="shared" ca="1" si="14"/>
        <v/>
      </c>
      <c r="AL48" s="689">
        <f t="shared" ca="1" si="15"/>
        <v>0</v>
      </c>
      <c r="AM48" s="690" t="str">
        <f t="shared" ca="1" si="16"/>
        <v/>
      </c>
      <c r="AN48" s="459"/>
      <c r="AO48" s="456" t="str">
        <f>IF($R$3=1,IF(Y48=AA48,"","NE"),IF(#REF!=$V$10,"NE",""))</f>
        <v/>
      </c>
      <c r="AP48" s="457" t="str">
        <f>IF(AB48=$V$3,IF(VLOOKUP(C48,[1]List1!$A:$E,5,FALSE)=0,1,VLOOKUP(C48,[1]List1!$A:$E,5,FALSE)),"")</f>
        <v/>
      </c>
      <c r="AW48" s="458">
        <f>IFERROR(FIND(VLOOKUP('General price list'!$AB$7,'General price list'!$AC$1:$AD$12,2,FALSE),Q48,1),0)</f>
        <v>10</v>
      </c>
      <c r="AX48" s="458">
        <f>IFERROR(FIND(VLOOKUP('General price list'!$AB$7,'General price list'!$AC$1:$AD$12,2,FALSE),R48,1),0)</f>
        <v>0</v>
      </c>
    </row>
    <row r="49" spans="1:57" s="460" customFormat="1" ht="15" customHeight="1">
      <c r="A49" s="691" t="str">
        <f>Kat.!C49</f>
        <v xml:space="preserve">                                          </v>
      </c>
      <c r="B49" s="692">
        <v>28</v>
      </c>
      <c r="C49" s="693" t="s">
        <v>146</v>
      </c>
      <c r="D49" s="693" t="s">
        <v>147</v>
      </c>
      <c r="E49" s="694" t="s">
        <v>148</v>
      </c>
      <c r="F49" s="695">
        <f>VLOOKUP(C49,[2]List1!$A:$D,2,FALSE)</f>
        <v>280</v>
      </c>
      <c r="G49" s="696">
        <f t="shared" si="5"/>
        <v>280</v>
      </c>
      <c r="H49" s="697">
        <f t="shared" si="6"/>
        <v>11.4</v>
      </c>
      <c r="I49" s="837">
        <v>10</v>
      </c>
      <c r="J49" s="698" t="s">
        <v>23</v>
      </c>
      <c r="K49" s="856"/>
      <c r="L49" s="857" t="s">
        <v>13823</v>
      </c>
      <c r="M49" s="698" t="s">
        <v>25</v>
      </c>
      <c r="N49" s="869">
        <f>IFERROR(VLOOKUP(C49,[3]List1!$A:$D,4,FALSE),"N/A!")</f>
        <v>2.5137422999999999E-2</v>
      </c>
      <c r="O49" s="837">
        <f>IFERROR(VLOOKUP(C49,[3]List1!$A:$D,3,FALSE),"N/A!")</f>
        <v>5437</v>
      </c>
      <c r="P49" s="837">
        <f>IFERROR(VLOOKUP(C49,[3]List1!$A:$D,2,FALSE),"N/A!")</f>
        <v>10300</v>
      </c>
      <c r="Q49" s="698" t="s">
        <v>149</v>
      </c>
      <c r="R49" s="698" t="s">
        <v>150</v>
      </c>
      <c r="S49" s="698"/>
      <c r="T49" s="695">
        <v>110</v>
      </c>
      <c r="U49" s="874"/>
      <c r="V49" s="699" t="str">
        <f>_xlfn.IFNA(HYPERLINK("https://www.klasekpyrotechnics.cz/vp40e"),"")</f>
        <v>https://www.klasekpyrotechnics.cz/vp40e</v>
      </c>
      <c r="W49" s="700" t="str">
        <f>IFERROR(VLOOKUP($C49,Popisy!A:P,MATCH($W$17,Popisy!$A$7:$P$7,0),FALSE),"---------------")</f>
        <v>Goldene Wunderkerzen, Länge 40cm, Länge der platzenden Masse 32,5 cm, Durchmesser der platzenden Masse 3,7 mm</v>
      </c>
      <c r="X49" s="891" t="str">
        <f t="shared" si="7"/>
        <v/>
      </c>
      <c r="Y49" s="892"/>
      <c r="Z49" s="700">
        <f>IFERROR(IF(VLOOKUP(C49,[4]List1!$A:$D,4,FALSE)=0,"",VLOOKUP(C49,[4]List1!$A:$D,4,FALSE)),"")</f>
        <v>60</v>
      </c>
      <c r="AA49" s="707"/>
      <c r="AB49" s="912" t="str">
        <f>IFERROR(IF(VLOOKUP(C49,[1]List1!$A:$D,2,FALSE)="VYPRODÁNO",$V$9,IF(VLOOKUP(C49,[1]List1!$A:$D,2,FALSE)="DOCHÁZÍ",$V$3,VLOOKUP(C49,[1]List1!$A:$D,2,FALSE))),"OFFLINE!")</f>
        <v>SKLADEM</v>
      </c>
      <c r="AC49" s="912" t="str">
        <f ca="1">IF(AO49="NE",$V$10,IF(AB49=$V$3,IF(AP49&lt;1,$V$8,$V$2&amp;" "&amp;AP49&amp;" "&amp;$V$1),IF(AB49="SKLADEM",$V$6,IFERROR(IF(OR(AB49-TODAY()&gt;21,VLOOKUP(C49,[1]List1!$A:$E,4,FALSE)=0),AB49,DAY(AB49)&amp;"."&amp;MONTH(AB49)&amp;"."&amp;YEAR(AB49)&amp;" "&amp;$V$4&amp;VLOOKUP(C49,[1]List1!$A:$E,4,FALSE)&amp;" "&amp;$V$1),AB49))))</f>
        <v>AUF LAGER</v>
      </c>
      <c r="AD49" s="701" t="str">
        <f ca="1">_xlfn.IFNA(VLOOKUP(C49,'General price list'!C:AM,MATCH($AD$20,'General price list'!$C$20:$AM$20,0),FALSE),"")</f>
        <v>AUF LAGER</v>
      </c>
      <c r="AE49" s="695">
        <f t="shared" ca="1" si="8"/>
        <v>0</v>
      </c>
      <c r="AF49" s="695">
        <f t="shared" ca="1" si="9"/>
        <v>0</v>
      </c>
      <c r="AG49" s="702">
        <f t="shared" ca="1" si="10"/>
        <v>0</v>
      </c>
      <c r="AH49" s="703">
        <f t="shared" ca="1" si="11"/>
        <v>0</v>
      </c>
      <c r="AI49" s="702">
        <f t="shared" ca="1" si="12"/>
        <v>0</v>
      </c>
      <c r="AJ49" s="704" t="str">
        <f t="shared" ca="1" si="13"/>
        <v/>
      </c>
      <c r="AK49" s="704" t="str">
        <f t="shared" ca="1" si="14"/>
        <v/>
      </c>
      <c r="AL49" s="704">
        <f t="shared" ca="1" si="15"/>
        <v>0</v>
      </c>
      <c r="AM49" s="705" t="str">
        <f t="shared" ca="1" si="16"/>
        <v/>
      </c>
      <c r="AN49" s="459"/>
      <c r="AO49" s="456" t="str">
        <f>IF($R$3=1,IF(Y49=AA49,"","NE"),IF(#REF!=$V$10,"NE",""))</f>
        <v/>
      </c>
      <c r="AP49" s="457" t="str">
        <f>IF(AB49=$V$3,IF(VLOOKUP(C49,[1]List1!$A:$E,5,FALSE)=0,1,VLOOKUP(C49,[1]List1!$A:$E,5,FALSE)),"")</f>
        <v/>
      </c>
      <c r="AQ49" s="458"/>
      <c r="AR49" s="458"/>
      <c r="AS49" s="458"/>
      <c r="AT49" s="458"/>
      <c r="AU49" s="458"/>
      <c r="AV49" s="458"/>
      <c r="AW49" s="458">
        <f>IFERROR(FIND(VLOOKUP('General price list'!$AB$7,'General price list'!$AC$1:$AD$12,2,FALSE),Q49,1),0)</f>
        <v>10</v>
      </c>
      <c r="AX49" s="458">
        <f>IFERROR(FIND(VLOOKUP('General price list'!$AB$7,'General price list'!$AC$1:$AD$12,2,FALSE),R49,1),0)</f>
        <v>10</v>
      </c>
      <c r="AY49" s="458"/>
      <c r="AZ49" s="458"/>
      <c r="BA49" s="458"/>
      <c r="BB49" s="458"/>
      <c r="BC49" s="458"/>
      <c r="BD49" s="458"/>
      <c r="BE49" s="458"/>
    </row>
    <row r="50" spans="1:57" s="460" customFormat="1" ht="15" customHeight="1">
      <c r="A50" s="677" t="str">
        <f>Kat.!C50</f>
        <v xml:space="preserve">                                          </v>
      </c>
      <c r="B50" s="678">
        <v>29</v>
      </c>
      <c r="C50" s="679" t="s">
        <v>154</v>
      </c>
      <c r="D50" s="679" t="s">
        <v>155</v>
      </c>
      <c r="E50" s="680" t="s">
        <v>108</v>
      </c>
      <c r="F50" s="681">
        <f>VLOOKUP(C50,[2]List1!$A:$D,2,FALSE)</f>
        <v>275</v>
      </c>
      <c r="G50" s="682">
        <f t="shared" si="5"/>
        <v>275</v>
      </c>
      <c r="H50" s="683">
        <f t="shared" si="6"/>
        <v>11.2</v>
      </c>
      <c r="I50" s="836">
        <v>10</v>
      </c>
      <c r="J50" s="680" t="s">
        <v>23</v>
      </c>
      <c r="K50" s="854"/>
      <c r="L50" s="855" t="s">
        <v>13823</v>
      </c>
      <c r="M50" s="680" t="s">
        <v>25</v>
      </c>
      <c r="N50" s="868">
        <f>IFERROR(VLOOKUP(C50,[3]List1!$A:$D,4,FALSE),"N/A!")</f>
        <v>2.1456749999999997E-2</v>
      </c>
      <c r="O50" s="836">
        <f>IFERROR(VLOOKUP(C50,[3]List1!$A:$D,3,FALSE),"N/A!")</f>
        <v>5760</v>
      </c>
      <c r="P50" s="836">
        <f>IFERROR(VLOOKUP(C50,[3]List1!$A:$D,2,FALSE),"N/A!")</f>
        <v>11700</v>
      </c>
      <c r="Q50" s="680" t="s">
        <v>11611</v>
      </c>
      <c r="R50" s="680" t="s">
        <v>156</v>
      </c>
      <c r="S50" s="680"/>
      <c r="T50" s="681">
        <v>90</v>
      </c>
      <c r="U50" s="873"/>
      <c r="V50" s="684" t="str">
        <f>_xlfn.IFNA(HYPERLINK("https://www.klasekpyrotechnics.cz/vp28e"),"")</f>
        <v>https://www.klasekpyrotechnics.cz/vp28e</v>
      </c>
      <c r="W50" s="685" t="str">
        <f>IFERROR(VLOOKUP($C50,Popisy!A:P,MATCH($W$17,Popisy!$A$7:$P$7,0),FALSE),"---------------")</f>
        <v>Goldene Wunderkerzen, Länge 28cm, Länge der platzenden Masse 20,5 cm, Durchmesser der platzenden Masse 3 mm</v>
      </c>
      <c r="X50" s="889" t="str">
        <f t="shared" si="7"/>
        <v/>
      </c>
      <c r="Y50" s="890"/>
      <c r="Z50" s="685" t="str">
        <f>IFERROR(IF(VLOOKUP(C50,[4]List1!$A:$D,4,FALSE)=0,"",VLOOKUP(C50,[4]List1!$A:$D,4,FALSE)),"")</f>
        <v>42</v>
      </c>
      <c r="AA50" s="707"/>
      <c r="AB50" s="911" t="str">
        <f>IFERROR(IF(VLOOKUP(C50,[1]List1!$A:$D,2,FALSE)="VYPRODÁNO",$V$9,IF(VLOOKUP(C50,[1]List1!$A:$D,2,FALSE)="DOCHÁZÍ",$V$3,VLOOKUP(C50,[1]List1!$A:$D,2,FALSE))),"OFFLINE!")</f>
        <v>SKLADEM</v>
      </c>
      <c r="AC50" s="911" t="str">
        <f ca="1">IF(AO50="NE",$V$10,IF(AB50=$V$3,IF(AP50&lt;1,$V$8,$V$2&amp;" "&amp;AP50&amp;" "&amp;$V$1),IF(AB50="SKLADEM",$V$6,IFERROR(IF(OR(AB50-TODAY()&gt;21,VLOOKUP(C50,[1]List1!$A:$E,4,FALSE)=0),AB50,DAY(AB50)&amp;"."&amp;MONTH(AB50)&amp;"."&amp;YEAR(AB50)&amp;" "&amp;$V$4&amp;VLOOKUP(C50,[1]List1!$A:$E,4,FALSE)&amp;" "&amp;$V$1),AB50))))</f>
        <v>AUF LAGER</v>
      </c>
      <c r="AD50" s="686" t="str">
        <f ca="1">_xlfn.IFNA(VLOOKUP(C50,'General price list'!C:AM,MATCH($AD$20,'General price list'!$C$20:$AM$20,0),FALSE),"")</f>
        <v>AUF LAGER</v>
      </c>
      <c r="AE50" s="681">
        <f t="shared" ca="1" si="8"/>
        <v>0</v>
      </c>
      <c r="AF50" s="681">
        <f t="shared" ca="1" si="9"/>
        <v>0</v>
      </c>
      <c r="AG50" s="687">
        <f t="shared" ca="1" si="10"/>
        <v>0</v>
      </c>
      <c r="AH50" s="688">
        <f t="shared" ca="1" si="11"/>
        <v>0</v>
      </c>
      <c r="AI50" s="687">
        <f t="shared" ca="1" si="12"/>
        <v>0</v>
      </c>
      <c r="AJ50" s="689" t="str">
        <f t="shared" ca="1" si="13"/>
        <v/>
      </c>
      <c r="AK50" s="689" t="str">
        <f t="shared" ca="1" si="14"/>
        <v/>
      </c>
      <c r="AL50" s="689">
        <f t="shared" ca="1" si="15"/>
        <v>0</v>
      </c>
      <c r="AM50" s="690" t="str">
        <f t="shared" ca="1" si="16"/>
        <v/>
      </c>
      <c r="AN50" s="459"/>
      <c r="AO50" s="456" t="str">
        <f>IF($R$3=1,IF(Y50=AA50,"","NE"),IF(#REF!=$V$10,"NE",""))</f>
        <v/>
      </c>
      <c r="AP50" s="457" t="str">
        <f>IF(AB50=$V$3,IF(VLOOKUP(C50,[1]List1!$A:$E,5,FALSE)=0,1,VLOOKUP(C50,[1]List1!$A:$E,5,FALSE)),"")</f>
        <v/>
      </c>
      <c r="AQ50" s="458"/>
      <c r="AR50" s="458"/>
      <c r="AS50" s="458"/>
      <c r="AT50" s="458"/>
      <c r="AU50" s="458"/>
      <c r="AV50" s="458"/>
      <c r="AW50" s="458">
        <f>IFERROR(FIND(VLOOKUP('General price list'!$AB$7,'General price list'!$AC$1:$AD$12,2,FALSE),Q50,1),0)</f>
        <v>10</v>
      </c>
      <c r="AX50" s="458">
        <f>IFERROR(FIND(VLOOKUP('General price list'!$AB$7,'General price list'!$AC$1:$AD$12,2,FALSE),R50,1),0)</f>
        <v>7</v>
      </c>
      <c r="AY50" s="458"/>
      <c r="AZ50" s="458"/>
      <c r="BA50" s="458"/>
      <c r="BB50" s="458"/>
      <c r="BC50" s="458"/>
      <c r="BD50" s="458"/>
      <c r="BE50" s="458"/>
    </row>
    <row r="51" spans="1:57" s="460" customFormat="1" ht="15" customHeight="1">
      <c r="A51" s="672" t="str">
        <f>Kat.!C51</f>
        <v xml:space="preserve">                                          Wunderkerzen</v>
      </c>
      <c r="B51" s="692">
        <v>30</v>
      </c>
      <c r="C51" s="693"/>
      <c r="D51" s="693"/>
      <c r="E51" s="694"/>
      <c r="F51" s="695" t="str">
        <f>IFERROR(ROUND(VLOOKUP(C51,'General price list'!$C:$AN,4,FALSE),0),"")</f>
        <v/>
      </c>
      <c r="G51" s="696" t="str">
        <f t="shared" si="5"/>
        <v/>
      </c>
      <c r="H51" s="697" t="str">
        <f t="shared" si="6"/>
        <v/>
      </c>
      <c r="I51" s="837"/>
      <c r="J51" s="698"/>
      <c r="K51" s="856"/>
      <c r="L51" s="857"/>
      <c r="M51" s="698"/>
      <c r="N51" s="869" t="str">
        <f>IFERROR(IF(VLOOKUP($C51,'General price list'!$C:$AN,MATCH(N$20,'General price list'!$C$20:$AM$20,0),FALSE)=0,"",VLOOKUP($C51,'General price list'!$C:$AN,MATCH(N$20,'General price list'!$C$20:$AM$20,0),FALSE)),"")</f>
        <v/>
      </c>
      <c r="O51" s="837" t="str">
        <f>IFERROR(IF(VLOOKUP($C51,'General price list'!$C:$AN,MATCH(O$20,'General price list'!$C$20:$AM$20,0),FALSE)=0,"",VLOOKUP($C51,'General price list'!$C:$AN,MATCH(O$20,'General price list'!$C$20:$AM$20,0),FALSE)),"")</f>
        <v/>
      </c>
      <c r="P51" s="837" t="str">
        <f>IFERROR(IF(VLOOKUP($C51,'General price list'!$C:$AN,MATCH(P$20,'General price list'!$C$20:$AM$20,0),FALSE)=0,"",VLOOKUP($C51,'General price list'!$C:$AN,MATCH(P$20,'General price list'!$C$20:$AM$20,0),FALSE)),"")</f>
        <v/>
      </c>
      <c r="Q51" s="698"/>
      <c r="R51" s="698"/>
      <c r="S51" s="698"/>
      <c r="T51" s="695"/>
      <c r="U51" s="874"/>
      <c r="V51" s="699"/>
      <c r="W51" s="700" t="str">
        <f>IFERROR(VLOOKUP($C51,'General price list'!$C:$AN,MATCH(W$20,'General price list'!$C$20:$AM$20,0),FALSE),"")</f>
        <v/>
      </c>
      <c r="X51" s="891" t="str">
        <f t="shared" si="7"/>
        <v/>
      </c>
      <c r="Y51" s="892"/>
      <c r="Z51" s="700" t="str">
        <f>IFERROR(VLOOKUP($C51,'General price list'!$C:$AN,MATCH(Z$20,'General price list'!$C$20:$AM$20,0),FALSE),"")</f>
        <v/>
      </c>
      <c r="AA51" s="707"/>
      <c r="AB51" s="912" t="str">
        <f>IFERROR(IF(VLOOKUP(C51,[1]List1!$A:$D,2,FALSE)="VYPRODÁNO",$V$9,IF(VLOOKUP(C51,[1]List1!$A:$D,2,FALSE)="DOCHÁZÍ",$V$3,VLOOKUP(C51,[1]List1!$A:$D,2,FALSE))),"OFFLINE!")</f>
        <v>OFFLINE!</v>
      </c>
      <c r="AC51" s="912" t="str">
        <f ca="1">IF(AO51="NE",$V$10,IF(AB51=$V$3,IF(AP51&lt;1,$V$8,$V$2&amp;" "&amp;AP51&amp;" "&amp;$V$1),IF(AB51="SKLADEM",$V$6,IFERROR(IF(OR(AB51-TODAY()&gt;21,VLOOKUP(C51,[1]List1!$A:$E,4,FALSE)=0),AB51,DAY(AB51)&amp;"."&amp;MONTH(AB51)&amp;"."&amp;YEAR(AB51)&amp;" "&amp;$V$4&amp;VLOOKUP(C51,[1]List1!$A:$E,4,FALSE)&amp;" "&amp;$V$1),AB51))))</f>
        <v>OFFLINE!</v>
      </c>
      <c r="AD51" s="701" t="str">
        <f>_xlfn.IFNA(VLOOKUP(C51,'General price list'!C:AM,MATCH($AD$20,'General price list'!$C$20:$AM$20,0),FALSE),"")</f>
        <v/>
      </c>
      <c r="AE51" s="695" t="str">
        <f t="shared" si="8"/>
        <v/>
      </c>
      <c r="AF51" s="695" t="str">
        <f t="shared" si="9"/>
        <v/>
      </c>
      <c r="AG51" s="702" t="str">
        <f t="shared" si="10"/>
        <v/>
      </c>
      <c r="AH51" s="703" t="str">
        <f t="shared" si="11"/>
        <v/>
      </c>
      <c r="AI51" s="702" t="str">
        <f t="shared" si="12"/>
        <v/>
      </c>
      <c r="AJ51" s="704" t="str">
        <f t="shared" si="13"/>
        <v/>
      </c>
      <c r="AK51" s="704" t="str">
        <f t="shared" si="14"/>
        <v/>
      </c>
      <c r="AL51" s="704" t="str">
        <f t="shared" si="15"/>
        <v/>
      </c>
      <c r="AM51" s="705" t="str">
        <f t="shared" si="16"/>
        <v/>
      </c>
      <c r="AN51" s="459"/>
      <c r="AO51" s="456" t="str">
        <f>IF($R$3=1,IF(Y51=AA51,"","NE"),IF(#REF!=$V$10,"NE",""))</f>
        <v/>
      </c>
      <c r="AP51" s="457" t="str">
        <f>IF(AB51=$V$3,IF(VLOOKUP(C51,[1]List1!$A:$E,5,FALSE)=0,1,VLOOKUP(C51,[1]List1!$A:$E,5,FALSE)),"")</f>
        <v/>
      </c>
      <c r="AQ51" s="458"/>
      <c r="AR51" s="458"/>
      <c r="AS51" s="458"/>
      <c r="AT51" s="458"/>
      <c r="AU51" s="458"/>
      <c r="AV51" s="458"/>
      <c r="AW51" s="458" t="e">
        <f>VLOOKUP(C51,'General price list'!C:AU,46,FALSE)</f>
        <v>#N/A</v>
      </c>
      <c r="AX51" s="458" t="e">
        <f>VLOOKUP(C51,'General price list'!C:AU,47,FALSE)</f>
        <v>#N/A</v>
      </c>
      <c r="AY51" s="458"/>
      <c r="AZ51" s="458"/>
      <c r="BA51" s="458"/>
      <c r="BB51" s="458"/>
      <c r="BC51" s="458"/>
      <c r="BD51" s="458"/>
      <c r="BE51" s="458"/>
    </row>
    <row r="52" spans="1:57" s="460" customFormat="1" ht="15" customHeight="1">
      <c r="A52" s="677" t="str">
        <f>Kat.!C52</f>
        <v xml:space="preserve">                                          </v>
      </c>
      <c r="B52" s="678">
        <v>31</v>
      </c>
      <c r="C52" s="679" t="s">
        <v>160</v>
      </c>
      <c r="D52" s="679" t="s">
        <v>161</v>
      </c>
      <c r="E52" s="680" t="s">
        <v>140</v>
      </c>
      <c r="F52" s="681">
        <f>VLOOKUP(C52,[2]List1!$A:$D,2,FALSE)</f>
        <v>36</v>
      </c>
      <c r="G52" s="682">
        <f t="shared" si="5"/>
        <v>36</v>
      </c>
      <c r="H52" s="683">
        <f t="shared" si="6"/>
        <v>1.5</v>
      </c>
      <c r="I52" s="836">
        <v>80</v>
      </c>
      <c r="J52" s="680" t="s">
        <v>45</v>
      </c>
      <c r="K52" s="854">
        <v>5</v>
      </c>
      <c r="L52" s="855" t="s">
        <v>13822</v>
      </c>
      <c r="M52" s="680" t="s">
        <v>25</v>
      </c>
      <c r="N52" s="868">
        <f>IFERROR(VLOOKUP(C52,[3]List1!$A:$D,4,FALSE),"N/A!")</f>
        <v>3.3425000000000003E-2</v>
      </c>
      <c r="O52" s="836">
        <f>IFERROR(VLOOKUP(C52,[3]List1!$A:$D,3,FALSE),"N/A!")</f>
        <v>2640</v>
      </c>
      <c r="P52" s="836">
        <f>IFERROR(VLOOKUP(C52,[3]List1!$A:$D,2,FALSE),"N/A!")</f>
        <v>14000</v>
      </c>
      <c r="Q52" s="680" t="s">
        <v>13718</v>
      </c>
      <c r="R52" s="680" t="s">
        <v>24</v>
      </c>
      <c r="S52" s="680"/>
      <c r="T52" s="681">
        <v>260</v>
      </c>
      <c r="U52" s="873"/>
      <c r="V52" s="684" t="str">
        <f>_xlfn.IFNA(HYPERLINK("https://www.klasekpyrotechnics.cz/vp90"),"")</f>
        <v>https://www.klasekpyrotechnics.cz/vp90</v>
      </c>
      <c r="W52" s="685" t="str">
        <f>IFERROR(VLOOKUP($C52,Popisy!A:P,MATCH($W$17,Popisy!$A$7:$P$7,0),FALSE),"---------------")</f>
        <v>Goldene Wunderkerzen, Länge 90cm, Länge der platzenden Masse 61 cm, Durchmesser der platzenden Masse 4,8 mm</v>
      </c>
      <c r="X52" s="889" t="str">
        <f t="shared" si="7"/>
        <v/>
      </c>
      <c r="Y52" s="890"/>
      <c r="Z52" s="685">
        <f>IFERROR(IF(VLOOKUP(C52,[4]List1!$A:$D,4,FALSE)=0,"",VLOOKUP(C52,[4]List1!$A:$D,4,FALSE)),"")</f>
        <v>36</v>
      </c>
      <c r="AA52" s="707"/>
      <c r="AB52" s="911" t="str">
        <f>IFERROR(IF(VLOOKUP(C52,[1]List1!$A:$D,2,FALSE)="VYPRODÁNO",$V$9,IF(VLOOKUP(C52,[1]List1!$A:$D,2,FALSE)="DOCHÁZÍ",$V$3,VLOOKUP(C52,[1]List1!$A:$D,2,FALSE))),"OFFLINE!")</f>
        <v>SKLADEM</v>
      </c>
      <c r="AC52" s="911" t="str">
        <f ca="1">IF(AO52="NE",$V$10,IF(AB52=$V$3,IF(AP52&lt;1,$V$8,$V$2&amp;" "&amp;AP52&amp;" "&amp;$V$1),IF(AB52="SKLADEM",$V$6,IFERROR(IF(OR(AB52-TODAY()&gt;21,VLOOKUP(C52,[1]List1!$A:$E,4,FALSE)=0),AB52,DAY(AB52)&amp;"."&amp;MONTH(AB52)&amp;"."&amp;YEAR(AB52)&amp;" "&amp;$V$4&amp;VLOOKUP(C52,[1]List1!$A:$E,4,FALSE)&amp;" "&amp;$V$1),AB52))))</f>
        <v>AUF LAGER</v>
      </c>
      <c r="AD52" s="686" t="str">
        <f ca="1">_xlfn.IFNA(VLOOKUP(C52,'General price list'!C:AM,MATCH($AD$20,'General price list'!$C$20:$AM$20,0),FALSE),"")</f>
        <v>AUF LAGER</v>
      </c>
      <c r="AE52" s="681">
        <f t="shared" ca="1" si="8"/>
        <v>0</v>
      </c>
      <c r="AF52" s="681">
        <f t="shared" ca="1" si="9"/>
        <v>0</v>
      </c>
      <c r="AG52" s="687">
        <f t="shared" ca="1" si="10"/>
        <v>0</v>
      </c>
      <c r="AH52" s="688">
        <f t="shared" ca="1" si="11"/>
        <v>0</v>
      </c>
      <c r="AI52" s="687">
        <f t="shared" ca="1" si="12"/>
        <v>0</v>
      </c>
      <c r="AJ52" s="689" t="str">
        <f t="shared" ca="1" si="13"/>
        <v/>
      </c>
      <c r="AK52" s="689" t="str">
        <f t="shared" ca="1" si="14"/>
        <v/>
      </c>
      <c r="AL52" s="689">
        <f t="shared" ca="1" si="15"/>
        <v>0</v>
      </c>
      <c r="AM52" s="690" t="str">
        <f t="shared" ca="1" si="16"/>
        <v/>
      </c>
      <c r="AN52" s="455"/>
      <c r="AO52" s="456" t="str">
        <f>IF($R$3=1,IF(Y52=AA52,"","NE"),IF(#REF!=$V$10,"NE",""))</f>
        <v/>
      </c>
      <c r="AP52" s="457" t="str">
        <f>IF(AB52=$V$3,IF(VLOOKUP(C52,[1]List1!$A:$E,5,FALSE)=0,1,VLOOKUP(C52,[1]List1!$A:$E,5,FALSE)),"")</f>
        <v/>
      </c>
      <c r="AQ52" s="458"/>
      <c r="AR52" s="458"/>
      <c r="AS52" s="458"/>
      <c r="AT52" s="458"/>
      <c r="AU52" s="458"/>
      <c r="AV52" s="458"/>
      <c r="AW52" s="458">
        <f>IFERROR(FIND(VLOOKUP('General price list'!$AB$7,'General price list'!$AC$1:$AD$12,2,FALSE),Q52,1),0)</f>
        <v>10</v>
      </c>
      <c r="AX52" s="458">
        <f>IFERROR(FIND(VLOOKUP('General price list'!$AB$7,'General price list'!$AC$1:$AD$12,2,FALSE),R52,1),0)</f>
        <v>0</v>
      </c>
      <c r="AY52" s="458"/>
      <c r="AZ52" s="458"/>
      <c r="BA52" s="458"/>
      <c r="BB52" s="458"/>
      <c r="BC52" s="458"/>
      <c r="BD52" s="458"/>
      <c r="BE52" s="458"/>
    </row>
    <row r="53" spans="1:57" s="460" customFormat="1" ht="15" customHeight="1">
      <c r="A53" s="691" t="str">
        <f>Kat.!C53</f>
        <v xml:space="preserve">                                          </v>
      </c>
      <c r="B53" s="692">
        <v>32</v>
      </c>
      <c r="C53" s="693" t="s">
        <v>166</v>
      </c>
      <c r="D53" s="693" t="s">
        <v>167</v>
      </c>
      <c r="E53" s="694" t="s">
        <v>168</v>
      </c>
      <c r="F53" s="695">
        <f>VLOOKUP(C53,[2]List1!$A:$D,2,FALSE)</f>
        <v>30</v>
      </c>
      <c r="G53" s="696">
        <f t="shared" si="5"/>
        <v>30</v>
      </c>
      <c r="H53" s="697">
        <f t="shared" si="6"/>
        <v>1.2</v>
      </c>
      <c r="I53" s="837">
        <v>72</v>
      </c>
      <c r="J53" s="698" t="s">
        <v>45</v>
      </c>
      <c r="K53" s="856">
        <v>5</v>
      </c>
      <c r="L53" s="857" t="s">
        <v>13822</v>
      </c>
      <c r="M53" s="698" t="s">
        <v>25</v>
      </c>
      <c r="N53" s="869">
        <f>IFERROR(VLOOKUP(C53,[3]List1!$A:$D,4,FALSE),"N/A!")</f>
        <v>2.1245699999999999E-2</v>
      </c>
      <c r="O53" s="837">
        <f>IFERROR(VLOOKUP(C53,[3]List1!$A:$D,3,FALSE),"N/A!")</f>
        <v>2620.7999999999997</v>
      </c>
      <c r="P53" s="837">
        <f>IFERROR(VLOOKUP(C53,[3]List1!$A:$D,2,FALSE),"N/A!")</f>
        <v>11500</v>
      </c>
      <c r="Q53" s="698" t="s">
        <v>13719</v>
      </c>
      <c r="R53" s="698" t="s">
        <v>24</v>
      </c>
      <c r="S53" s="698"/>
      <c r="T53" s="695">
        <v>170</v>
      </c>
      <c r="U53" s="874"/>
      <c r="V53" s="699" t="str">
        <f>_xlfn.IFNA(HYPERLINK("https://www.klasekpyrotechnics.cz/vp70"),"")</f>
        <v>https://www.klasekpyrotechnics.cz/vp70</v>
      </c>
      <c r="W53" s="700" t="str">
        <f>IFERROR(VLOOKUP($C53,Popisy!A:P,MATCH($W$17,Popisy!$A$7:$P$7,0),FALSE),"---------------")</f>
        <v>Goldene Wunderkerzen, Länge 70cm, Länge der platzenden Masse 45cm, Durchmesser der platzenden Masse 4,5 mm</v>
      </c>
      <c r="X53" s="891" t="str">
        <f t="shared" si="7"/>
        <v/>
      </c>
      <c r="Y53" s="892"/>
      <c r="Z53" s="700">
        <f>IFERROR(IF(VLOOKUP(C53,[4]List1!$A:$D,4,FALSE)=0,"",VLOOKUP(C53,[4]List1!$A:$D,4,FALSE)),"")</f>
        <v>60</v>
      </c>
      <c r="AA53" s="707"/>
      <c r="AB53" s="912" t="str">
        <f>IFERROR(IF(VLOOKUP(C53,[1]List1!$A:$D,2,FALSE)="VYPRODÁNO",$V$9,IF(VLOOKUP(C53,[1]List1!$A:$D,2,FALSE)="DOCHÁZÍ",$V$3,VLOOKUP(C53,[1]List1!$A:$D,2,FALSE))),"OFFLINE!")</f>
        <v>SKLADEM</v>
      </c>
      <c r="AC53" s="912" t="str">
        <f ca="1">IF(AO53="NE",$V$10,IF(AB53=$V$3,IF(AP53&lt;1,$V$8,$V$2&amp;" "&amp;AP53&amp;" "&amp;$V$1),IF(AB53="SKLADEM",$V$6,IFERROR(IF(OR(AB53-TODAY()&gt;21,VLOOKUP(C53,[1]List1!$A:$E,4,FALSE)=0),AB53,DAY(AB53)&amp;"."&amp;MONTH(AB53)&amp;"."&amp;YEAR(AB53)&amp;" "&amp;$V$4&amp;VLOOKUP(C53,[1]List1!$A:$E,4,FALSE)&amp;" "&amp;$V$1),AB53))))</f>
        <v>AUF LAGER</v>
      </c>
      <c r="AD53" s="701" t="str">
        <f ca="1">_xlfn.IFNA(VLOOKUP(C53,'General price list'!C:AM,MATCH($AD$20,'General price list'!$C$20:$AM$20,0),FALSE),"")</f>
        <v>AUF LAGER</v>
      </c>
      <c r="AE53" s="695">
        <f t="shared" ca="1" si="8"/>
        <v>0</v>
      </c>
      <c r="AF53" s="695">
        <f t="shared" ca="1" si="9"/>
        <v>0</v>
      </c>
      <c r="AG53" s="702">
        <f t="shared" ca="1" si="10"/>
        <v>0</v>
      </c>
      <c r="AH53" s="703">
        <f t="shared" ca="1" si="11"/>
        <v>0</v>
      </c>
      <c r="AI53" s="702">
        <f t="shared" ca="1" si="12"/>
        <v>0</v>
      </c>
      <c r="AJ53" s="704" t="str">
        <f t="shared" ca="1" si="13"/>
        <v/>
      </c>
      <c r="AK53" s="704" t="str">
        <f t="shared" ca="1" si="14"/>
        <v/>
      </c>
      <c r="AL53" s="704">
        <f t="shared" ca="1" si="15"/>
        <v>0</v>
      </c>
      <c r="AM53" s="705" t="str">
        <f t="shared" ca="1" si="16"/>
        <v/>
      </c>
      <c r="AN53" s="459"/>
      <c r="AO53" s="456" t="str">
        <f>IF($R$3=1,IF(Y53=AA53,"","NE"),IF(#REF!=$V$10,"NE",""))</f>
        <v/>
      </c>
      <c r="AP53" s="457" t="str">
        <f>IF(AB53=$V$3,IF(VLOOKUP(C53,[1]List1!$A:$E,5,FALSE)=0,1,VLOOKUP(C53,[1]List1!$A:$E,5,FALSE)),"")</f>
        <v/>
      </c>
      <c r="AQ53" s="458"/>
      <c r="AR53" s="458"/>
      <c r="AS53" s="458"/>
      <c r="AT53" s="458"/>
      <c r="AU53" s="458"/>
      <c r="AV53" s="458"/>
      <c r="AW53" s="458">
        <f>IFERROR(FIND(VLOOKUP('General price list'!$AB$7,'General price list'!$AC$1:$AD$12,2,FALSE),Q53,1),0)</f>
        <v>13</v>
      </c>
      <c r="AX53" s="458">
        <f>IFERROR(FIND(VLOOKUP('General price list'!$AB$7,'General price list'!$AC$1:$AD$12,2,FALSE),R53,1),0)</f>
        <v>0</v>
      </c>
      <c r="AY53" s="458"/>
      <c r="AZ53" s="458"/>
      <c r="BA53" s="458"/>
      <c r="BB53" s="458"/>
      <c r="BC53" s="458"/>
      <c r="BD53" s="458"/>
      <c r="BE53" s="458"/>
    </row>
    <row r="54" spans="1:57" s="460" customFormat="1" ht="15" customHeight="1">
      <c r="A54" s="677" t="str">
        <f>Kat.!C54</f>
        <v xml:space="preserve">                                          </v>
      </c>
      <c r="B54" s="678">
        <v>33</v>
      </c>
      <c r="C54" s="679" t="s">
        <v>11763</v>
      </c>
      <c r="D54" s="679" t="s">
        <v>11764</v>
      </c>
      <c r="E54" s="680" t="s">
        <v>168</v>
      </c>
      <c r="F54" s="681">
        <f>VLOOKUP(C54,[2]List1!$A:$D,2,FALSE)</f>
        <v>32</v>
      </c>
      <c r="G54" s="682">
        <f t="shared" si="5"/>
        <v>32</v>
      </c>
      <c r="H54" s="683">
        <f t="shared" si="6"/>
        <v>1.3</v>
      </c>
      <c r="I54" s="836">
        <v>72</v>
      </c>
      <c r="J54" s="680" t="s">
        <v>45</v>
      </c>
      <c r="K54" s="854"/>
      <c r="L54" s="855" t="s">
        <v>13824</v>
      </c>
      <c r="M54" s="680" t="s">
        <v>25</v>
      </c>
      <c r="N54" s="868">
        <f>IFERROR(VLOOKUP(C54,[3]List1!$A:$D,4,FALSE),"N/A!")</f>
        <v>2.1245699999999999E-2</v>
      </c>
      <c r="O54" s="836">
        <f>IFERROR(VLOOKUP(C54,[3]List1!$A:$D,3,FALSE),"N/A!")</f>
        <v>2620.7999999999997</v>
      </c>
      <c r="P54" s="836">
        <f>IFERROR(VLOOKUP(C54,[3]List1!$A:$D,2,FALSE),"N/A!")</f>
        <v>11500</v>
      </c>
      <c r="Q54" s="680" t="s">
        <v>150</v>
      </c>
      <c r="R54" s="680"/>
      <c r="S54" s="680"/>
      <c r="T54" s="681">
        <v>170</v>
      </c>
      <c r="U54" s="873"/>
      <c r="V54" s="684" t="str">
        <f>_xlfn.IFNA(HYPERLINK("https://https://www.klasekpyrotechnics.cz/vp70w"),"")</f>
        <v>https://https://www.klasekpyrotechnics.cz/vp70w</v>
      </c>
      <c r="W54" s="685" t="str">
        <f>IFERROR(VLOOKUP($C54,Popisy!A:P,MATCH($W$17,Popisy!$A$7:$P$7,0),FALSE),"---------------")</f>
        <v>Goldene Wunderkerzen, Länge 70cm, Länge der platzenden Masse 45cm, Durchmesser der platzenden Masse 4,5 mm</v>
      </c>
      <c r="X54" s="889" t="str">
        <f t="shared" si="7"/>
        <v/>
      </c>
      <c r="Y54" s="890"/>
      <c r="Z54" s="685">
        <f>IFERROR(IF(VLOOKUP(C54,[4]List1!$A:$D,4,FALSE)=0,"",VLOOKUP(C54,[4]List1!$A:$D,4,FALSE)),"")</f>
        <v>60</v>
      </c>
      <c r="AA54" s="707"/>
      <c r="AB54" s="911" t="str">
        <f>IFERROR(IF(VLOOKUP(C54,[1]List1!$A:$D,2,FALSE)="VYPRODÁNO",$V$9,IF(VLOOKUP(C54,[1]List1!$A:$D,2,FALSE)="DOCHÁZÍ",$V$3,VLOOKUP(C54,[1]List1!$A:$D,2,FALSE))),"OFFLINE!")</f>
        <v>SKLADEM</v>
      </c>
      <c r="AC54" s="911" t="str">
        <f ca="1">IF(AO54="NE",$V$10,IF(AB54=$V$3,IF(AP54&lt;1,$V$8,$V$2&amp;" "&amp;AP54&amp;" "&amp;$V$1),IF(AB54="SKLADEM",$V$6,IFERROR(IF(OR(AB54-TODAY()&gt;21,VLOOKUP(C54,[1]List1!$A:$E,4,FALSE)=0),AB54,DAY(AB54)&amp;"."&amp;MONTH(AB54)&amp;"."&amp;YEAR(AB54)&amp;" "&amp;$V$4&amp;VLOOKUP(C54,[1]List1!$A:$E,4,FALSE)&amp;" "&amp;$V$1),AB54))))</f>
        <v>AUF LAGER</v>
      </c>
      <c r="AD54" s="686" t="str">
        <f ca="1">_xlfn.IFNA(VLOOKUP(C54,'General price list'!C:AM,MATCH($AD$20,'General price list'!$C$20:$AM$20,0),FALSE),"")</f>
        <v>AUF LAGER</v>
      </c>
      <c r="AE54" s="681">
        <f t="shared" ca="1" si="8"/>
        <v>0</v>
      </c>
      <c r="AF54" s="681">
        <f t="shared" ca="1" si="9"/>
        <v>0</v>
      </c>
      <c r="AG54" s="687">
        <f t="shared" ca="1" si="10"/>
        <v>0</v>
      </c>
      <c r="AH54" s="688">
        <f t="shared" ca="1" si="11"/>
        <v>0</v>
      </c>
      <c r="AI54" s="687">
        <f t="shared" ca="1" si="12"/>
        <v>0</v>
      </c>
      <c r="AJ54" s="689" t="str">
        <f t="shared" ca="1" si="13"/>
        <v/>
      </c>
      <c r="AK54" s="689" t="str">
        <f t="shared" ca="1" si="14"/>
        <v/>
      </c>
      <c r="AL54" s="689">
        <f t="shared" ca="1" si="15"/>
        <v>0</v>
      </c>
      <c r="AM54" s="690" t="str">
        <f t="shared" ca="1" si="16"/>
        <v/>
      </c>
      <c r="AN54" s="455"/>
      <c r="AO54" s="456" t="str">
        <f>IF($R$3=1,IF(Y54=AA54,"","NE"),IF(#REF!=$V$10,"NE",""))</f>
        <v/>
      </c>
      <c r="AP54" s="457" t="str">
        <f>IF(AB54=$V$3,IF(VLOOKUP(C54,[1]List1!$A:$E,5,FALSE)=0,1,VLOOKUP(C54,[1]List1!$A:$E,5,FALSE)),"")</f>
        <v/>
      </c>
      <c r="AQ54" s="458"/>
      <c r="AR54" s="458"/>
      <c r="AS54" s="458"/>
      <c r="AT54" s="458"/>
      <c r="AU54" s="458"/>
      <c r="AV54" s="458"/>
      <c r="AW54" s="458">
        <f>IFERROR(FIND(VLOOKUP('General price list'!$AB$7,'General price list'!$AC$1:$AD$12,2,FALSE),Q54,1),0)</f>
        <v>10</v>
      </c>
      <c r="AX54" s="458">
        <f>IFERROR(FIND(VLOOKUP('General price list'!$AB$7,'General price list'!$AC$1:$AD$12,2,FALSE),R54,1),0)</f>
        <v>0</v>
      </c>
      <c r="AY54" s="458"/>
      <c r="AZ54" s="458"/>
      <c r="BA54" s="458"/>
      <c r="BB54" s="458"/>
      <c r="BC54" s="458"/>
      <c r="BD54" s="458"/>
      <c r="BE54" s="458"/>
    </row>
    <row r="55" spans="1:57" s="460" customFormat="1" ht="15" customHeight="1">
      <c r="A55" s="691" t="str">
        <f>Kat.!C55</f>
        <v xml:space="preserve">                                          </v>
      </c>
      <c r="B55" s="692">
        <v>34</v>
      </c>
      <c r="C55" s="693" t="s">
        <v>172</v>
      </c>
      <c r="D55" s="693" t="s">
        <v>173</v>
      </c>
      <c r="E55" s="694" t="s">
        <v>11767</v>
      </c>
      <c r="F55" s="695">
        <f>VLOOKUP(C55,[2]List1!$A:$D,2,FALSE)</f>
        <v>27</v>
      </c>
      <c r="G55" s="696">
        <f t="shared" si="5"/>
        <v>27</v>
      </c>
      <c r="H55" s="697">
        <f t="shared" si="6"/>
        <v>1.1000000000000001</v>
      </c>
      <c r="I55" s="837">
        <v>100</v>
      </c>
      <c r="J55" s="698" t="s">
        <v>23</v>
      </c>
      <c r="K55" s="856">
        <v>5</v>
      </c>
      <c r="L55" s="857" t="s">
        <v>13823</v>
      </c>
      <c r="M55" s="698" t="s">
        <v>25</v>
      </c>
      <c r="N55" s="869">
        <f>IFERROR(VLOOKUP(C55,[3]List1!$A:$D,4,FALSE),"N/A!")</f>
        <v>1.9460250000000002E-2</v>
      </c>
      <c r="O55" s="837">
        <f>IFERROR(VLOOKUP(C55,[3]List1!$A:$D,3,FALSE),"N/A!")</f>
        <v>4350</v>
      </c>
      <c r="P55" s="837">
        <f>IFERROR(VLOOKUP(C55,[3]List1!$A:$D,2,FALSE),"N/A!")</f>
        <v>11500</v>
      </c>
      <c r="Q55" s="698" t="s">
        <v>13720</v>
      </c>
      <c r="R55" s="698" t="s">
        <v>2057</v>
      </c>
      <c r="S55" s="698"/>
      <c r="T55" s="695">
        <v>95</v>
      </c>
      <c r="U55" s="874"/>
      <c r="V55" s="699" t="str">
        <f>_xlfn.IFNA(HYPERLINK("https://www.klasekpyrotechnics.cz/vp40"),"")</f>
        <v>https://www.klasekpyrotechnics.cz/vp40</v>
      </c>
      <c r="W55" s="700" t="str">
        <f>IFERROR(VLOOKUP($C55,Popisy!A:P,MATCH($W$17,Popisy!$A$7:$P$7,0),FALSE),"---------------")</f>
        <v>Goldene Wunderkerzen, Länge 40cm, Länge der platzenden Masse 26 cm, Durchmesser der platzenden Masse 3,7 mm</v>
      </c>
      <c r="X55" s="891" t="str">
        <f t="shared" si="7"/>
        <v/>
      </c>
      <c r="Y55" s="892"/>
      <c r="Z55" s="700">
        <f>IFERROR(IF(VLOOKUP(C55,[4]List1!$A:$D,4,FALSE)=0,"",VLOOKUP(C55,[4]List1!$A:$D,4,FALSE)),"")</f>
        <v>62</v>
      </c>
      <c r="AA55" s="707"/>
      <c r="AB55" s="912" t="str">
        <f>IFERROR(IF(VLOOKUP(C55,[1]List1!$A:$D,2,FALSE)="VYPRODÁNO",$V$9,IF(VLOOKUP(C55,[1]List1!$A:$D,2,FALSE)="DOCHÁZÍ",$V$3,VLOOKUP(C55,[1]List1!$A:$D,2,FALSE))),"OFFLINE!")</f>
        <v>SKLADEM</v>
      </c>
      <c r="AC55" s="912" t="str">
        <f ca="1">IF(AO55="NE",$V$10,IF(AB55=$V$3,IF(AP55&lt;1,$V$8,$V$2&amp;" "&amp;AP55&amp;" "&amp;$V$1),IF(AB55="SKLADEM",$V$6,IFERROR(IF(OR(AB55-TODAY()&gt;21,VLOOKUP(C55,[1]List1!$A:$E,4,FALSE)=0),AB55,DAY(AB55)&amp;"."&amp;MONTH(AB55)&amp;"."&amp;YEAR(AB55)&amp;" "&amp;$V$4&amp;VLOOKUP(C55,[1]List1!$A:$E,4,FALSE)&amp;" "&amp;$V$1),AB55))))</f>
        <v>AUF LAGER</v>
      </c>
      <c r="AD55" s="701" t="str">
        <f ca="1">_xlfn.IFNA(VLOOKUP(C55,'General price list'!C:AM,MATCH($AD$20,'General price list'!$C$20:$AM$20,0),FALSE),"")</f>
        <v>AUF LAGER</v>
      </c>
      <c r="AE55" s="695">
        <f t="shared" ca="1" si="8"/>
        <v>0</v>
      </c>
      <c r="AF55" s="695">
        <f t="shared" ca="1" si="9"/>
        <v>0</v>
      </c>
      <c r="AG55" s="702">
        <f t="shared" ca="1" si="10"/>
        <v>0</v>
      </c>
      <c r="AH55" s="703">
        <f t="shared" ca="1" si="11"/>
        <v>0</v>
      </c>
      <c r="AI55" s="702">
        <f t="shared" ca="1" si="12"/>
        <v>0</v>
      </c>
      <c r="AJ55" s="704" t="str">
        <f t="shared" ca="1" si="13"/>
        <v/>
      </c>
      <c r="AK55" s="704" t="str">
        <f t="shared" ca="1" si="14"/>
        <v/>
      </c>
      <c r="AL55" s="704">
        <f t="shared" ca="1" si="15"/>
        <v>0</v>
      </c>
      <c r="AM55" s="705" t="str">
        <f t="shared" ca="1" si="16"/>
        <v/>
      </c>
      <c r="AN55" s="455"/>
      <c r="AO55" s="456" t="str">
        <f>IF($R$3=1,IF(Y55=AA55,"","NE"),IF(#REF!=$V$10,"NE",""))</f>
        <v/>
      </c>
      <c r="AP55" s="457" t="str">
        <f>IF(AB55=$V$3,IF(VLOOKUP(C55,[1]List1!$A:$E,5,FALSE)=0,1,VLOOKUP(C55,[1]List1!$A:$E,5,FALSE)),"")</f>
        <v/>
      </c>
      <c r="AQ55" s="458"/>
      <c r="AR55" s="458"/>
      <c r="AS55" s="458"/>
      <c r="AT55" s="458"/>
      <c r="AU55" s="458"/>
      <c r="AV55" s="458"/>
      <c r="AW55" s="458">
        <f>IFERROR(FIND(VLOOKUP('General price list'!$AB$7,'General price list'!$AC$1:$AD$12,2,FALSE),Q55,1),0)</f>
        <v>10</v>
      </c>
      <c r="AX55" s="458">
        <f>IFERROR(FIND(VLOOKUP('General price list'!$AB$7,'General price list'!$AC$1:$AD$12,2,FALSE),R55,1),0)</f>
        <v>10</v>
      </c>
      <c r="AY55" s="458"/>
      <c r="AZ55" s="458"/>
      <c r="BA55" s="458"/>
      <c r="BB55" s="458"/>
      <c r="BC55" s="458"/>
      <c r="BD55" s="458"/>
      <c r="BE55" s="458"/>
    </row>
    <row r="56" spans="1:57" ht="15" customHeight="1">
      <c r="A56" s="677" t="str">
        <f>Kat.!C56</f>
        <v xml:space="preserve">                                          </v>
      </c>
      <c r="B56" s="678">
        <v>35</v>
      </c>
      <c r="C56" s="679" t="s">
        <v>177</v>
      </c>
      <c r="D56" s="679" t="s">
        <v>173</v>
      </c>
      <c r="E56" s="680" t="s">
        <v>178</v>
      </c>
      <c r="F56" s="681">
        <f>VLOOKUP(C56,[2]List1!$A:$D,2,FALSE)</f>
        <v>460</v>
      </c>
      <c r="G56" s="682">
        <f t="shared" si="5"/>
        <v>460</v>
      </c>
      <c r="H56" s="683">
        <f t="shared" si="6"/>
        <v>18.7</v>
      </c>
      <c r="I56" s="836">
        <v>10</v>
      </c>
      <c r="J56" s="680" t="s">
        <v>23</v>
      </c>
      <c r="K56" s="854">
        <v>5</v>
      </c>
      <c r="L56" s="855" t="s">
        <v>13823</v>
      </c>
      <c r="M56" s="680" t="s">
        <v>25</v>
      </c>
      <c r="N56" s="868">
        <f>IFERROR(VLOOKUP(C56,[3]List1!$A:$D,4,FALSE),"N/A!")</f>
        <v>2.6553825000000003E-2</v>
      </c>
      <c r="O56" s="836">
        <f>IFERROR(VLOOKUP(C56,[3]List1!$A:$D,3,FALSE),"N/A!")</f>
        <v>8700</v>
      </c>
      <c r="P56" s="836">
        <f>IFERROR(VLOOKUP(C56,[3]List1!$A:$D,2,FALSE),"N/A!")</f>
        <v>17000</v>
      </c>
      <c r="Q56" s="680" t="s">
        <v>149</v>
      </c>
      <c r="R56" s="680" t="s">
        <v>150</v>
      </c>
      <c r="S56" s="680"/>
      <c r="T56" s="681">
        <v>95</v>
      </c>
      <c r="U56" s="873"/>
      <c r="V56" s="684" t="str">
        <f>_xlfn.IFNA(HYPERLINK("https://www.klasekpyrotechnics.cz/vp40-20"),"")</f>
        <v>https://www.klasekpyrotechnics.cz/vp40-20</v>
      </c>
      <c r="W56" s="685" t="str">
        <f>IFERROR(VLOOKUP($C56,Popisy!A:P,MATCH($W$17,Popisy!$A$7:$P$7,0),FALSE),"---------------")</f>
        <v>Goldene Wunderkerzen, Länge 40cm, Länge der platzenden Masse 26 cm, Durchmesser der platzenden Masse 3,7 mm</v>
      </c>
      <c r="X56" s="889" t="str">
        <f t="shared" si="7"/>
        <v/>
      </c>
      <c r="Y56" s="890"/>
      <c r="Z56" s="685">
        <f>IFERROR(IF(VLOOKUP(C56,[4]List1!$A:$D,4,FALSE)=0,"",VLOOKUP(C56,[4]List1!$A:$D,4,FALSE)),"")</f>
        <v>33</v>
      </c>
      <c r="AA56" s="707"/>
      <c r="AB56" s="911" t="str">
        <f>IFERROR(IF(VLOOKUP(C56,[1]List1!$A:$D,2,FALSE)="VYPRODÁNO",$V$9,IF(VLOOKUP(C56,[1]List1!$A:$D,2,FALSE)="DOCHÁZÍ",$V$3,VLOOKUP(C56,[1]List1!$A:$D,2,FALSE))),"OFFLINE!")</f>
        <v>SKLADEM</v>
      </c>
      <c r="AC56" s="911" t="str">
        <f ca="1">IF(AO56="NE",$V$10,IF(AB56=$V$3,IF(AP56&lt;1,$V$8,$V$2&amp;" "&amp;AP56&amp;" "&amp;$V$1),IF(AB56="SKLADEM",$V$6,IFERROR(IF(OR(AB56-TODAY()&gt;21,VLOOKUP(C56,[1]List1!$A:$E,4,FALSE)=0),AB56,DAY(AB56)&amp;"."&amp;MONTH(AB56)&amp;"."&amp;YEAR(AB56)&amp;" "&amp;$V$4&amp;VLOOKUP(C56,[1]List1!$A:$E,4,FALSE)&amp;" "&amp;$V$1),AB56))))</f>
        <v>AUF LAGER</v>
      </c>
      <c r="AD56" s="686">
        <f>_xlfn.IFNA(VLOOKUP(C56,'General price list'!C:AM,MATCH($AD$20,'General price list'!$C$20:$AM$20,0),FALSE),"")</f>
        <v>0</v>
      </c>
      <c r="AE56" s="681">
        <f t="shared" si="8"/>
        <v>0</v>
      </c>
      <c r="AF56" s="681">
        <f t="shared" si="9"/>
        <v>0</v>
      </c>
      <c r="AG56" s="687">
        <f t="shared" si="10"/>
        <v>0</v>
      </c>
      <c r="AH56" s="688">
        <f t="shared" si="11"/>
        <v>0</v>
      </c>
      <c r="AI56" s="687">
        <f t="shared" si="12"/>
        <v>0</v>
      </c>
      <c r="AJ56" s="689" t="str">
        <f t="shared" si="13"/>
        <v/>
      </c>
      <c r="AK56" s="689" t="str">
        <f t="shared" si="14"/>
        <v/>
      </c>
      <c r="AL56" s="689">
        <f t="shared" si="15"/>
        <v>0</v>
      </c>
      <c r="AM56" s="690" t="str">
        <f t="shared" si="16"/>
        <v/>
      </c>
      <c r="AN56" s="382"/>
      <c r="AO56" s="314" t="str">
        <f>IF($R$3=1,IF(Y56=AA56,"","NE"),IF(#REF!=$V$10,"NE",""))</f>
        <v/>
      </c>
      <c r="AP56" s="315" t="str">
        <f>IF(AB56=$V$3,IF(VLOOKUP(C56,[1]List1!$A:$E,5,FALSE)=0,1,VLOOKUP(C56,[1]List1!$A:$E,5,FALSE)),"")</f>
        <v/>
      </c>
      <c r="AW56" s="458">
        <f>IFERROR(FIND(VLOOKUP('General price list'!$AB$7,'General price list'!$AC$1:$AD$12,2,FALSE),Q56,1),0)</f>
        <v>10</v>
      </c>
      <c r="AX56" s="458">
        <f>IFERROR(FIND(VLOOKUP('General price list'!$AB$7,'General price list'!$AC$1:$AD$12,2,FALSE),R56,1),0)</f>
        <v>10</v>
      </c>
    </row>
    <row r="57" spans="1:57" ht="15" customHeight="1">
      <c r="A57" s="691" t="str">
        <f>Kat.!C57</f>
        <v xml:space="preserve">                                          </v>
      </c>
      <c r="B57" s="692">
        <v>36</v>
      </c>
      <c r="C57" s="693" t="s">
        <v>11765</v>
      </c>
      <c r="D57" s="693" t="s">
        <v>11766</v>
      </c>
      <c r="E57" s="694" t="s">
        <v>11767</v>
      </c>
      <c r="F57" s="695">
        <f>VLOOKUP(C57,[2]List1!$A:$D,2,FALSE)</f>
        <v>32</v>
      </c>
      <c r="G57" s="696">
        <f t="shared" si="5"/>
        <v>32</v>
      </c>
      <c r="H57" s="697">
        <f t="shared" si="6"/>
        <v>1.3</v>
      </c>
      <c r="I57" s="837">
        <v>100</v>
      </c>
      <c r="J57" s="698" t="s">
        <v>23</v>
      </c>
      <c r="K57" s="856"/>
      <c r="L57" s="857" t="s">
        <v>13825</v>
      </c>
      <c r="M57" s="698" t="s">
        <v>25</v>
      </c>
      <c r="N57" s="869">
        <f>IFERROR(VLOOKUP(C57,[3]List1!$A:$D,4,FALSE),"N/A!")</f>
        <v>1.9460250000000002E-2</v>
      </c>
      <c r="O57" s="837">
        <f>IFERROR(VLOOKUP(C57,[3]List1!$A:$D,3,FALSE),"N/A!")</f>
        <v>4350</v>
      </c>
      <c r="P57" s="837">
        <f>IFERROR(VLOOKUP(C57,[3]List1!$A:$D,2,FALSE),"N/A!")</f>
        <v>11500</v>
      </c>
      <c r="Q57" s="698" t="s">
        <v>13721</v>
      </c>
      <c r="R57" s="698" t="s">
        <v>13722</v>
      </c>
      <c r="S57" s="698"/>
      <c r="T57" s="695">
        <v>95</v>
      </c>
      <c r="U57" s="874"/>
      <c r="V57" s="699" t="str">
        <f>_xlfn.IFNA(HYPERLINK("https://https://www.klasekpyrotechnics.cz/vp40w"),"")</f>
        <v>https://https://www.klasekpyrotechnics.cz/vp40w</v>
      </c>
      <c r="W57" s="700" t="str">
        <f>IFERROR(VLOOKUP($C57,Popisy!A:P,MATCH($W$17,Popisy!$A$7:$P$7,0),FALSE),"---------------")</f>
        <v>Goldene Wunderkerzen, Länge 40cm, Länge der platzenden Masse 26 cm, Durchmesser der platzenden Masse 3,7 mm</v>
      </c>
      <c r="X57" s="891" t="str">
        <f t="shared" si="7"/>
        <v/>
      </c>
      <c r="Y57" s="892"/>
      <c r="Z57" s="700">
        <f>IFERROR(IF(VLOOKUP(C57,[4]List1!$A:$D,4,FALSE)=0,"",VLOOKUP(C57,[4]List1!$A:$D,4,FALSE)),"")</f>
        <v>62</v>
      </c>
      <c r="AA57" s="707"/>
      <c r="AB57" s="912" t="str">
        <f>IFERROR(IF(VLOOKUP(C57,[1]List1!$A:$D,2,FALSE)="VYPRODÁNO",$V$9,IF(VLOOKUP(C57,[1]List1!$A:$D,2,FALSE)="DOCHÁZÍ",$V$3,VLOOKUP(C57,[1]List1!$A:$D,2,FALSE))),"OFFLINE!")</f>
        <v>SKLADEM</v>
      </c>
      <c r="AC57" s="912" t="str">
        <f ca="1">IF(AO57="NE",$V$10,IF(AB57=$V$3,IF(AP57&lt;1,$V$8,$V$2&amp;" "&amp;AP57&amp;" "&amp;$V$1),IF(AB57="SKLADEM",$V$6,IFERROR(IF(OR(AB57-TODAY()&gt;21,VLOOKUP(C57,[1]List1!$A:$E,4,FALSE)=0),AB57,DAY(AB57)&amp;"."&amp;MONTH(AB57)&amp;"."&amp;YEAR(AB57)&amp;" "&amp;$V$4&amp;VLOOKUP(C57,[1]List1!$A:$E,4,FALSE)&amp;" "&amp;$V$1),AB57))))</f>
        <v>AUF LAGER</v>
      </c>
      <c r="AD57" s="701" t="str">
        <f ca="1">_xlfn.IFNA(VLOOKUP(C57,'General price list'!C:AM,MATCH($AD$20,'General price list'!$C$20:$AM$20,0),FALSE),"")</f>
        <v>AUF LAGER</v>
      </c>
      <c r="AE57" s="695">
        <f t="shared" ca="1" si="8"/>
        <v>0</v>
      </c>
      <c r="AF57" s="695">
        <f t="shared" ca="1" si="9"/>
        <v>0</v>
      </c>
      <c r="AG57" s="702">
        <f t="shared" ca="1" si="10"/>
        <v>0</v>
      </c>
      <c r="AH57" s="703">
        <f t="shared" ca="1" si="11"/>
        <v>0</v>
      </c>
      <c r="AI57" s="702">
        <f t="shared" ca="1" si="12"/>
        <v>0</v>
      </c>
      <c r="AJ57" s="704" t="str">
        <f t="shared" ca="1" si="13"/>
        <v/>
      </c>
      <c r="AK57" s="704" t="str">
        <f t="shared" ca="1" si="14"/>
        <v/>
      </c>
      <c r="AL57" s="704">
        <f t="shared" ca="1" si="15"/>
        <v>0</v>
      </c>
      <c r="AM57" s="705" t="str">
        <f t="shared" ca="1" si="16"/>
        <v/>
      </c>
      <c r="AN57" s="381"/>
      <c r="AO57" s="314" t="str">
        <f>IF($R$3=1,IF(Y57=AA57,"","NE"),IF(#REF!=$V$10,"NE",""))</f>
        <v/>
      </c>
      <c r="AP57" s="291" t="str">
        <f>IF(AB57=$V$3,IF(VLOOKUP(C57,[1]List1!$A:$E,5,FALSE)=0,1,VLOOKUP(C57,[1]List1!$A:$E,5,FALSE)),"")</f>
        <v/>
      </c>
      <c r="AW57" s="458">
        <f>IFERROR(FIND(VLOOKUP('General price list'!$AB$7,'General price list'!$AC$1:$AD$12,2,FALSE),Q57,1),0)</f>
        <v>10</v>
      </c>
      <c r="AX57" s="458">
        <f>IFERROR(FIND(VLOOKUP('General price list'!$AB$7,'General price list'!$AC$1:$AD$12,2,FALSE),R57,1),0)</f>
        <v>10</v>
      </c>
      <c r="BC57" s="292"/>
      <c r="BD57" s="292"/>
      <c r="BE57" s="292"/>
    </row>
    <row r="58" spans="1:57" ht="15" customHeight="1">
      <c r="A58" s="677" t="str">
        <f>Kat.!C58</f>
        <v xml:space="preserve">                                          </v>
      </c>
      <c r="B58" s="678">
        <v>37</v>
      </c>
      <c r="C58" s="679" t="s">
        <v>179</v>
      </c>
      <c r="D58" s="679" t="s">
        <v>180</v>
      </c>
      <c r="E58" s="680" t="s">
        <v>108</v>
      </c>
      <c r="F58" s="681">
        <f>VLOOKUP(C58,[2]List1!$A:$D,2,FALSE)</f>
        <v>258</v>
      </c>
      <c r="G58" s="682">
        <f t="shared" si="5"/>
        <v>258</v>
      </c>
      <c r="H58" s="683">
        <f t="shared" si="6"/>
        <v>10.5</v>
      </c>
      <c r="I58" s="836">
        <v>10</v>
      </c>
      <c r="J58" s="680" t="s">
        <v>23</v>
      </c>
      <c r="K58" s="854">
        <v>5</v>
      </c>
      <c r="L58" s="855" t="s">
        <v>13823</v>
      </c>
      <c r="M58" s="680" t="s">
        <v>25</v>
      </c>
      <c r="N58" s="868">
        <f>IFERROR(VLOOKUP(C58,[3]List1!$A:$D,4,FALSE),"N/A!")</f>
        <v>2.6460000000000004E-2</v>
      </c>
      <c r="O58" s="836">
        <f>IFERROR(VLOOKUP(C58,[3]List1!$A:$D,3,FALSE),"N/A!")</f>
        <v>4800</v>
      </c>
      <c r="P58" s="836">
        <f>IFERROR(VLOOKUP(C58,[3]List1!$A:$D,2,FALSE),"N/A!")</f>
        <v>10500</v>
      </c>
      <c r="Q58" s="680" t="s">
        <v>13723</v>
      </c>
      <c r="R58" s="680" t="s">
        <v>207</v>
      </c>
      <c r="S58" s="680"/>
      <c r="T58" s="681">
        <v>70</v>
      </c>
      <c r="U58" s="873"/>
      <c r="V58" s="684" t="str">
        <f>_xlfn.IFNA(HYPERLINK("https://www.klasekpyrotechnics.cz/vp28"),"")</f>
        <v>https://www.klasekpyrotechnics.cz/vp28</v>
      </c>
      <c r="W58" s="685" t="str">
        <f>IFERROR(VLOOKUP($C58,Popisy!A:P,MATCH($W$17,Popisy!$A$7:$P$7,0),FALSE),"---------------")</f>
        <v>Goldene Wunderkerzen, Länge 28cm, Länge der platzenden Masse 17 cm, Durchmesser der platzenden Masse 3 mm</v>
      </c>
      <c r="X58" s="889" t="str">
        <f t="shared" si="7"/>
        <v/>
      </c>
      <c r="Y58" s="890"/>
      <c r="Z58" s="685">
        <f>IFERROR(IF(VLOOKUP(C58,[4]List1!$A:$D,4,FALSE)=0,"",VLOOKUP(C58,[4]List1!$A:$D,4,FALSE)),"")</f>
        <v>48</v>
      </c>
      <c r="AA58" s="707"/>
      <c r="AB58" s="911" t="str">
        <f>IFERROR(IF(VLOOKUP(C58,[1]List1!$A:$D,2,FALSE)="VYPRODÁNO",$V$9,IF(VLOOKUP(C58,[1]List1!$A:$D,2,FALSE)="DOCHÁZÍ",$V$3,VLOOKUP(C58,[1]List1!$A:$D,2,FALSE))),"OFFLINE!")</f>
        <v>SKLADEM</v>
      </c>
      <c r="AC58" s="911" t="str">
        <f ca="1">IF(AO58="NE",$V$10,IF(AB58=$V$3,IF(AP58&lt;1,$V$8,$V$2&amp;" "&amp;AP58&amp;" "&amp;$V$1),IF(AB58="SKLADEM",$V$6,IFERROR(IF(OR(AB58-TODAY()&gt;21,VLOOKUP(C58,[1]List1!$A:$E,4,FALSE)=0),AB58,DAY(AB58)&amp;"."&amp;MONTH(AB58)&amp;"."&amp;YEAR(AB58)&amp;" "&amp;$V$4&amp;VLOOKUP(C58,[1]List1!$A:$E,4,FALSE)&amp;" "&amp;$V$1),AB58))))</f>
        <v>AUF LAGER</v>
      </c>
      <c r="AD58" s="686" t="str">
        <f ca="1">_xlfn.IFNA(VLOOKUP(C58,'General price list'!C:AM,MATCH($AD$20,'General price list'!$C$20:$AM$20,0),FALSE),"")</f>
        <v>AUF LAGER</v>
      </c>
      <c r="AE58" s="681">
        <f t="shared" ca="1" si="8"/>
        <v>0</v>
      </c>
      <c r="AF58" s="681">
        <f t="shared" ca="1" si="9"/>
        <v>0</v>
      </c>
      <c r="AG58" s="687">
        <f t="shared" ca="1" si="10"/>
        <v>0</v>
      </c>
      <c r="AH58" s="688">
        <f t="shared" ca="1" si="11"/>
        <v>0</v>
      </c>
      <c r="AI58" s="687">
        <f t="shared" ca="1" si="12"/>
        <v>0</v>
      </c>
      <c r="AJ58" s="689" t="str">
        <f t="shared" ca="1" si="13"/>
        <v/>
      </c>
      <c r="AK58" s="689" t="str">
        <f t="shared" ca="1" si="14"/>
        <v/>
      </c>
      <c r="AL58" s="689">
        <f t="shared" ca="1" si="15"/>
        <v>0</v>
      </c>
      <c r="AM58" s="690" t="str">
        <f t="shared" ca="1" si="16"/>
        <v/>
      </c>
      <c r="AN58" s="313"/>
      <c r="AO58" s="314" t="str">
        <f>IF($R$3=1,IF(Y58=AA58,"","NE"),IF(#REF!=$V$10,"NE",""))</f>
        <v/>
      </c>
      <c r="AP58" s="315" t="str">
        <f>IF(AB58=$V$3,IF(VLOOKUP(C58,[1]List1!$A:$E,5,FALSE)=0,1,VLOOKUP(C58,[1]List1!$A:$E,5,FALSE)),"")</f>
        <v/>
      </c>
      <c r="AW58" s="458">
        <f>IFERROR(FIND(VLOOKUP('General price list'!$AB$7,'General price list'!$AC$1:$AD$12,2,FALSE),Q58,1),0)</f>
        <v>10</v>
      </c>
      <c r="AX58" s="458">
        <f>IFERROR(FIND(VLOOKUP('General price list'!$AB$7,'General price list'!$AC$1:$AD$12,2,FALSE),R58,1),0)</f>
        <v>0</v>
      </c>
    </row>
    <row r="59" spans="1:57" ht="15" customHeight="1">
      <c r="A59" s="691" t="str">
        <f>Kat.!C59</f>
        <v xml:space="preserve">                                          </v>
      </c>
      <c r="B59" s="692">
        <v>38</v>
      </c>
      <c r="C59" s="693" t="s">
        <v>184</v>
      </c>
      <c r="D59" s="693" t="s">
        <v>185</v>
      </c>
      <c r="E59" s="694" t="s">
        <v>186</v>
      </c>
      <c r="F59" s="695">
        <f>VLOOKUP(C59,[2]List1!$A:$D,2,FALSE)</f>
        <v>118</v>
      </c>
      <c r="G59" s="696">
        <f t="shared" si="5"/>
        <v>118</v>
      </c>
      <c r="H59" s="697">
        <f t="shared" si="6"/>
        <v>4.8</v>
      </c>
      <c r="I59" s="837">
        <v>40</v>
      </c>
      <c r="J59" s="698" t="s">
        <v>23</v>
      </c>
      <c r="K59" s="856">
        <v>5</v>
      </c>
      <c r="L59" s="857" t="s">
        <v>13823</v>
      </c>
      <c r="M59" s="698" t="s">
        <v>25</v>
      </c>
      <c r="N59" s="869">
        <f>IFERROR(VLOOKUP(C59,[3]List1!$A:$D,4,FALSE),"N/A!")</f>
        <v>2.7213624999999998E-2</v>
      </c>
      <c r="O59" s="837">
        <f>IFERROR(VLOOKUP(C59,[3]List1!$A:$D,3,FALSE),"N/A!")</f>
        <v>3840</v>
      </c>
      <c r="P59" s="837">
        <f>IFERROR(VLOOKUP(C59,[3]List1!$A:$D,2,FALSE),"N/A!")</f>
        <v>13000</v>
      </c>
      <c r="Q59" s="698" t="s">
        <v>44</v>
      </c>
      <c r="R59" s="698" t="s">
        <v>18</v>
      </c>
      <c r="S59" s="698"/>
      <c r="T59" s="695">
        <v>35</v>
      </c>
      <c r="U59" s="874"/>
      <c r="V59" s="699" t="str">
        <f>_xlfn.IFNA(HYPERLINK("https://www.klasekpyrotechnics.cz/vp16a"),"")</f>
        <v>https://www.klasekpyrotechnics.cz/vp16a</v>
      </c>
      <c r="W59" s="700" t="str">
        <f>IFERROR(VLOOKUP($C59,Popisy!A:P,MATCH($W$17,Popisy!$A$7:$P$7,0),FALSE),"---------------")</f>
        <v>Goldene Wunderkerzen, Länge 16cm, Länge der platzenden Masse 8,5 cm, Durchmesser der platzenden Masse 2,5 mm</v>
      </c>
      <c r="X59" s="891" t="str">
        <f t="shared" si="7"/>
        <v/>
      </c>
      <c r="Y59" s="892"/>
      <c r="Z59" s="700" t="str">
        <f>IFERROR(IF(VLOOKUP(C59,[4]List1!$A:$D,4,FALSE)=0,"",VLOOKUP(C59,[4]List1!$A:$D,4,FALSE)),"")</f>
        <v>25</v>
      </c>
      <c r="AA59" s="707"/>
      <c r="AB59" s="912" t="str">
        <f>IFERROR(IF(VLOOKUP(C59,[1]List1!$A:$D,2,FALSE)="VYPRODÁNO",$V$9,IF(VLOOKUP(C59,[1]List1!$A:$D,2,FALSE)="DOCHÁZÍ",$V$3,VLOOKUP(C59,[1]List1!$A:$D,2,FALSE))),"OFFLINE!")</f>
        <v>SKLADEM</v>
      </c>
      <c r="AC59" s="912" t="str">
        <f ca="1">IF(AO59="NE",$V$10,IF(AB59=$V$3,IF(AP59&lt;1,$V$8,$V$2&amp;" "&amp;AP59&amp;" "&amp;$V$1),IF(AB59="SKLADEM",$V$6,IFERROR(IF(OR(AB59-TODAY()&gt;21,VLOOKUP(C59,[1]List1!$A:$E,4,FALSE)=0),AB59,DAY(AB59)&amp;"."&amp;MONTH(AB59)&amp;"."&amp;YEAR(AB59)&amp;" "&amp;$V$4&amp;VLOOKUP(C59,[1]List1!$A:$E,4,FALSE)&amp;" "&amp;$V$1),AB59))))</f>
        <v>AUF LAGER</v>
      </c>
      <c r="AD59" s="701" t="str">
        <f ca="1">_xlfn.IFNA(VLOOKUP(C59,'General price list'!C:AM,MATCH($AD$20,'General price list'!$C$20:$AM$20,0),FALSE),"")</f>
        <v>AUF LAGER</v>
      </c>
      <c r="AE59" s="695">
        <f t="shared" ca="1" si="8"/>
        <v>0</v>
      </c>
      <c r="AF59" s="695">
        <f t="shared" ca="1" si="9"/>
        <v>0</v>
      </c>
      <c r="AG59" s="702">
        <f t="shared" ca="1" si="10"/>
        <v>0</v>
      </c>
      <c r="AH59" s="703">
        <f t="shared" ca="1" si="11"/>
        <v>0</v>
      </c>
      <c r="AI59" s="702">
        <f t="shared" ca="1" si="12"/>
        <v>0</v>
      </c>
      <c r="AJ59" s="704" t="str">
        <f t="shared" ca="1" si="13"/>
        <v/>
      </c>
      <c r="AK59" s="704" t="str">
        <f t="shared" ca="1" si="14"/>
        <v/>
      </c>
      <c r="AL59" s="704">
        <f t="shared" ca="1" si="15"/>
        <v>0</v>
      </c>
      <c r="AM59" s="705" t="str">
        <f t="shared" ca="1" si="16"/>
        <v/>
      </c>
      <c r="AN59" s="313"/>
      <c r="AO59" s="314" t="str">
        <f>IF($R$3=1,IF(Y59=AA59,"","NE"),IF(#REF!=$V$10,"NE",""))</f>
        <v/>
      </c>
      <c r="AP59" s="315" t="str">
        <f>IF(AB59=$V$3,IF(VLOOKUP(C59,[1]List1!$A:$E,5,FALSE)=0,1,VLOOKUP(C59,[1]List1!$A:$E,5,FALSE)),"")</f>
        <v/>
      </c>
      <c r="AW59" s="458">
        <f>IFERROR(FIND(VLOOKUP('General price list'!$AB$7,'General price list'!$AC$1:$AD$12,2,FALSE),Q59,1),0)</f>
        <v>13</v>
      </c>
      <c r="AX59" s="458">
        <f>IFERROR(FIND(VLOOKUP('General price list'!$AB$7,'General price list'!$AC$1:$AD$12,2,FALSE),R59,1),0)</f>
        <v>0</v>
      </c>
    </row>
    <row r="60" spans="1:57" ht="15" customHeight="1">
      <c r="A60" s="677" t="str">
        <f>Kat.!C60</f>
        <v>×</v>
      </c>
      <c r="B60" s="678">
        <v>39</v>
      </c>
      <c r="C60" s="679" t="s">
        <v>190</v>
      </c>
      <c r="D60" s="679" t="s">
        <v>185</v>
      </c>
      <c r="E60" s="680" t="s">
        <v>186</v>
      </c>
      <c r="F60" s="681">
        <f>VLOOKUP(C60,[2]List1!$A:$D,2,FALSE)</f>
        <v>118</v>
      </c>
      <c r="G60" s="682">
        <f t="shared" si="5"/>
        <v>118</v>
      </c>
      <c r="H60" s="683">
        <f t="shared" si="6"/>
        <v>4.8</v>
      </c>
      <c r="I60" s="836">
        <v>40</v>
      </c>
      <c r="J60" s="680" t="s">
        <v>23</v>
      </c>
      <c r="K60" s="854">
        <v>5</v>
      </c>
      <c r="L60" s="855" t="s">
        <v>13823</v>
      </c>
      <c r="M60" s="680" t="s">
        <v>25</v>
      </c>
      <c r="N60" s="868">
        <f>IFERROR(VLOOKUP(C60,[3]List1!$A:$D,4,FALSE),"N/A!")</f>
        <v>2.7213624999999998E-2</v>
      </c>
      <c r="O60" s="836">
        <f>IFERROR(VLOOKUP(C60,[3]List1!$A:$D,3,FALSE),"N/A!")</f>
        <v>3840</v>
      </c>
      <c r="P60" s="836">
        <f>IFERROR(VLOOKUP(C60,[3]List1!$A:$D,2,FALSE),"N/A!")</f>
        <v>13600</v>
      </c>
      <c r="Q60" s="680" t="s">
        <v>44</v>
      </c>
      <c r="R60" s="680" t="s">
        <v>19</v>
      </c>
      <c r="S60" s="680"/>
      <c r="T60" s="681">
        <v>35</v>
      </c>
      <c r="U60" s="873"/>
      <c r="V60" s="684" t="str">
        <f>_xlfn.IFNA(HYPERLINK("https://www.klasekpyrotechnics.cz/vp16a_1"),"")</f>
        <v>https://www.klasekpyrotechnics.cz/vp16a_1</v>
      </c>
      <c r="W60" s="685" t="str">
        <f>IFERROR(VLOOKUP($C60,Popisy!A:P,MATCH($W$17,Popisy!$A$7:$P$7,0),FALSE),"---------------")</f>
        <v>Goldene Wunderkerzen, Länge 16cm, Länge der platzenden Masse 8,5 cm, Durchmesser der platzenden Masse 2,5 mm</v>
      </c>
      <c r="X60" s="889" t="str">
        <f t="shared" si="7"/>
        <v/>
      </c>
      <c r="Y60" s="890"/>
      <c r="Z60" s="685" t="str">
        <f>IFERROR(IF(VLOOKUP(C60,[4]List1!$A:$D,4,FALSE)=0,"",VLOOKUP(C60,[4]List1!$A:$D,4,FALSE)),"")</f>
        <v>25</v>
      </c>
      <c r="AA60" s="707"/>
      <c r="AB60" s="911" t="str">
        <f>IFERROR(IF(VLOOKUP(C60,[1]List1!$A:$D,2,FALSE)="VYPRODÁNO",$V$9,IF(VLOOKUP(C60,[1]List1!$A:$D,2,FALSE)="DOCHÁZÍ",$V$3,VLOOKUP(C60,[1]List1!$A:$D,2,FALSE))),"OFFLINE!")</f>
        <v>SKLADEM</v>
      </c>
      <c r="AC60" s="911" t="str">
        <f ca="1">IF(AO60="NE",$V$10,IF(AB60=$V$3,IF(AP60&lt;1,$V$8,$V$2&amp;" "&amp;AP60&amp;" "&amp;$V$1),IF(AB60="SKLADEM",$V$6,IFERROR(IF(OR(AB60-TODAY()&gt;21,VLOOKUP(C60,[1]List1!$A:$E,4,FALSE)=0),AB60,DAY(AB60)&amp;"."&amp;MONTH(AB60)&amp;"."&amp;YEAR(AB60)&amp;" "&amp;$V$4&amp;VLOOKUP(C60,[1]List1!$A:$E,4,FALSE)&amp;" "&amp;$V$1),AB60))))</f>
        <v>AUF LAGER</v>
      </c>
      <c r="AD60" s="686" t="str">
        <f ca="1">_xlfn.IFNA(VLOOKUP(C60,'General price list'!C:AM,MATCH($AD$20,'General price list'!$C$20:$AM$20,0),FALSE),"")</f>
        <v>AUF LAGER</v>
      </c>
      <c r="AE60" s="681">
        <f t="shared" ca="1" si="8"/>
        <v>0</v>
      </c>
      <c r="AF60" s="681">
        <f t="shared" ca="1" si="9"/>
        <v>0</v>
      </c>
      <c r="AG60" s="687">
        <f t="shared" ca="1" si="10"/>
        <v>0</v>
      </c>
      <c r="AH60" s="688">
        <f t="shared" ca="1" si="11"/>
        <v>0</v>
      </c>
      <c r="AI60" s="687">
        <f t="shared" ca="1" si="12"/>
        <v>0</v>
      </c>
      <c r="AJ60" s="689" t="str">
        <f t="shared" ca="1" si="13"/>
        <v/>
      </c>
      <c r="AK60" s="689" t="str">
        <f t="shared" ca="1" si="14"/>
        <v/>
      </c>
      <c r="AL60" s="689">
        <f t="shared" ca="1" si="15"/>
        <v>0</v>
      </c>
      <c r="AM60" s="690" t="str">
        <f t="shared" ca="1" si="16"/>
        <v/>
      </c>
      <c r="AN60" s="313"/>
      <c r="AO60" s="314" t="str">
        <f>IF($R$3=1,IF(Y60=AA60,"","NE"),IF(#REF!=$V$10,"NE",""))</f>
        <v/>
      </c>
      <c r="AP60" s="315" t="str">
        <f>IF(AB60=$V$3,IF(VLOOKUP(C60,[1]List1!$A:$E,5,FALSE)=0,1,VLOOKUP(C60,[1]List1!$A:$E,5,FALSE)),"")</f>
        <v/>
      </c>
      <c r="AW60" s="458">
        <f>IFERROR(FIND(VLOOKUP('General price list'!$AB$7,'General price list'!$AC$1:$AD$12,2,FALSE),Q60,1),0)</f>
        <v>13</v>
      </c>
      <c r="AX60" s="458">
        <f>IFERROR(FIND(VLOOKUP('General price list'!$AB$7,'General price list'!$AC$1:$AD$12,2,FALSE),R60,1),0)</f>
        <v>0</v>
      </c>
    </row>
    <row r="61" spans="1:57" ht="15" customHeight="1">
      <c r="A61" s="672" t="str">
        <f>Kat.!C61</f>
        <v xml:space="preserve">                                          Wunderkerzen speziell</v>
      </c>
      <c r="B61" s="692">
        <v>40</v>
      </c>
      <c r="C61" s="693"/>
      <c r="D61" s="693"/>
      <c r="E61" s="694"/>
      <c r="F61" s="695" t="str">
        <f>IFERROR(ROUND(VLOOKUP(C61,'General price list'!$C:$AN,4,FALSE),0),"")</f>
        <v/>
      </c>
      <c r="G61" s="696" t="str">
        <f t="shared" si="5"/>
        <v/>
      </c>
      <c r="H61" s="697" t="str">
        <f t="shared" si="6"/>
        <v/>
      </c>
      <c r="I61" s="837"/>
      <c r="J61" s="698"/>
      <c r="K61" s="856"/>
      <c r="L61" s="857"/>
      <c r="M61" s="698"/>
      <c r="N61" s="869" t="str">
        <f>IFERROR(IF(VLOOKUP($C61,'General price list'!$C:$AN,MATCH(N$20,'General price list'!$C$20:$AM$20,0),FALSE)=0,"",VLOOKUP($C61,'General price list'!$C:$AN,MATCH(N$20,'General price list'!$C$20:$AM$20,0),FALSE)),"")</f>
        <v/>
      </c>
      <c r="O61" s="837" t="str">
        <f>IFERROR(IF(VLOOKUP($C61,'General price list'!$C:$AN,MATCH(O$20,'General price list'!$C$20:$AM$20,0),FALSE)=0,"",VLOOKUP($C61,'General price list'!$C:$AN,MATCH(O$20,'General price list'!$C$20:$AM$20,0),FALSE)),"")</f>
        <v/>
      </c>
      <c r="P61" s="837" t="str">
        <f>IFERROR(IF(VLOOKUP($C61,'General price list'!$C:$AN,MATCH(P$20,'General price list'!$C$20:$AM$20,0),FALSE)=0,"",VLOOKUP($C61,'General price list'!$C:$AN,MATCH(P$20,'General price list'!$C$20:$AM$20,0),FALSE)),"")</f>
        <v/>
      </c>
      <c r="Q61" s="698"/>
      <c r="R61" s="698"/>
      <c r="S61" s="698"/>
      <c r="T61" s="695"/>
      <c r="U61" s="874"/>
      <c r="V61" s="699"/>
      <c r="W61" s="700" t="str">
        <f>IFERROR(VLOOKUP($C61,'General price list'!$C:$AN,MATCH(W$20,'General price list'!$C$20:$AM$20,0),FALSE),"")</f>
        <v/>
      </c>
      <c r="X61" s="891" t="str">
        <f t="shared" si="7"/>
        <v/>
      </c>
      <c r="Y61" s="892"/>
      <c r="Z61" s="700" t="str">
        <f>IFERROR(VLOOKUP($C61,'General price list'!$C:$AN,MATCH(Z$20,'General price list'!$C$20:$AM$20,0),FALSE),"")</f>
        <v/>
      </c>
      <c r="AA61" s="707"/>
      <c r="AB61" s="912" t="str">
        <f>IFERROR(IF(VLOOKUP(C61,[1]List1!$A:$D,2,FALSE)="VYPRODÁNO",$V$9,IF(VLOOKUP(C61,[1]List1!$A:$D,2,FALSE)="DOCHÁZÍ",$V$3,VLOOKUP(C61,[1]List1!$A:$D,2,FALSE))),"OFFLINE!")</f>
        <v>OFFLINE!</v>
      </c>
      <c r="AC61" s="912" t="str">
        <f ca="1">IF(AO61="NE",$V$10,IF(AB61=$V$3,IF(AP61&lt;1,$V$8,$V$2&amp;" "&amp;AP61&amp;" "&amp;$V$1),IF(AB61="SKLADEM",$V$6,IFERROR(IF(OR(AB61-TODAY()&gt;21,VLOOKUP(C61,[1]List1!$A:$E,4,FALSE)=0),AB61,DAY(AB61)&amp;"."&amp;MONTH(AB61)&amp;"."&amp;YEAR(AB61)&amp;" "&amp;$V$4&amp;VLOOKUP(C61,[1]List1!$A:$E,4,FALSE)&amp;" "&amp;$V$1),AB61))))</f>
        <v>OFFLINE!</v>
      </c>
      <c r="AD61" s="701" t="str">
        <f>_xlfn.IFNA(VLOOKUP(C61,'General price list'!C:AM,MATCH($AD$20,'General price list'!$C$20:$AM$20,0),FALSE),"")</f>
        <v/>
      </c>
      <c r="AE61" s="695" t="str">
        <f t="shared" si="8"/>
        <v/>
      </c>
      <c r="AF61" s="695" t="str">
        <f t="shared" si="9"/>
        <v/>
      </c>
      <c r="AG61" s="702" t="str">
        <f t="shared" si="10"/>
        <v/>
      </c>
      <c r="AH61" s="703" t="str">
        <f t="shared" si="11"/>
        <v/>
      </c>
      <c r="AI61" s="702" t="str">
        <f t="shared" si="12"/>
        <v/>
      </c>
      <c r="AJ61" s="704" t="str">
        <f t="shared" si="13"/>
        <v/>
      </c>
      <c r="AK61" s="704" t="str">
        <f t="shared" si="14"/>
        <v/>
      </c>
      <c r="AL61" s="704" t="str">
        <f t="shared" si="15"/>
        <v/>
      </c>
      <c r="AM61" s="705" t="str">
        <f t="shared" si="16"/>
        <v/>
      </c>
      <c r="AN61" s="313"/>
      <c r="AO61" s="314" t="str">
        <f>IF($R$3=1,IF(Y61=AA61,"","NE"),IF(#REF!=$V$10,"NE",""))</f>
        <v/>
      </c>
      <c r="AP61" s="315" t="str">
        <f>IF(AB61=$V$3,IF(VLOOKUP(C61,[1]List1!$A:$E,5,FALSE)=0,1,VLOOKUP(C61,[1]List1!$A:$E,5,FALSE)),"")</f>
        <v/>
      </c>
      <c r="AW61" s="291" t="e">
        <f>VLOOKUP(C61,'General price list'!C:AU,46,FALSE)</f>
        <v>#N/A</v>
      </c>
      <c r="AX61" s="291" t="e">
        <f>VLOOKUP(C61,'General price list'!C:AU,47,FALSE)</f>
        <v>#N/A</v>
      </c>
    </row>
    <row r="62" spans="1:57" ht="15" customHeight="1">
      <c r="A62" s="677" t="str">
        <f>Kat.!C62</f>
        <v xml:space="preserve">                                          </v>
      </c>
      <c r="B62" s="678">
        <v>41</v>
      </c>
      <c r="C62" s="679" t="s">
        <v>191</v>
      </c>
      <c r="D62" s="679" t="s">
        <v>192</v>
      </c>
      <c r="E62" s="680" t="s">
        <v>193</v>
      </c>
      <c r="F62" s="681">
        <f>VLOOKUP(C62,[2]List1!$A:$D,2,FALSE)</f>
        <v>49</v>
      </c>
      <c r="G62" s="682">
        <f t="shared" si="5"/>
        <v>49</v>
      </c>
      <c r="H62" s="683">
        <f t="shared" si="6"/>
        <v>2</v>
      </c>
      <c r="I62" s="836">
        <v>100</v>
      </c>
      <c r="J62" s="680" t="s">
        <v>23</v>
      </c>
      <c r="K62" s="854" t="s">
        <v>12593</v>
      </c>
      <c r="L62" s="855" t="s">
        <v>13818</v>
      </c>
      <c r="M62" s="680" t="s">
        <v>25</v>
      </c>
      <c r="N62" s="868">
        <f>IFERROR(VLOOKUP(C62,[3]List1!$A:$D,4,FALSE),"N/A!")</f>
        <v>5.2000000000000005E-2</v>
      </c>
      <c r="O62" s="836">
        <f>IFERROR(VLOOKUP(C62,[3]List1!$A:$D,3,FALSE),"N/A!")</f>
        <v>4800</v>
      </c>
      <c r="P62" s="836">
        <f>IFERROR(VLOOKUP(C62,[3]List1!$A:$D,2,FALSE),"N/A!")</f>
        <v>13100</v>
      </c>
      <c r="Q62" s="680" t="s">
        <v>2565</v>
      </c>
      <c r="R62" s="680" t="s">
        <v>24</v>
      </c>
      <c r="S62" s="680"/>
      <c r="T62" s="681">
        <v>40</v>
      </c>
      <c r="U62" s="873"/>
      <c r="V62" s="684" t="str">
        <f>_xlfn.IFNA(HYPERLINK("https://www.klasekpyrotechnics.cz/vp28n"),"")</f>
        <v>https://www.klasekpyrotechnics.cz/vp28n</v>
      </c>
      <c r="W62" s="685" t="str">
        <f>IFERROR(VLOOKUP($C62,Popisy!A:P,MATCH($W$17,Popisy!$A$7:$P$7,0),FALSE),"---------------")</f>
        <v>Neon Wunderkerzen(pink, gelb, grün, blau), Länge 28cm, Länge der platzenden Masse 17 cm, Durchmesser der platzenden Masse 3 mm</v>
      </c>
      <c r="X62" s="889" t="str">
        <f t="shared" si="7"/>
        <v/>
      </c>
      <c r="Y62" s="890"/>
      <c r="Z62" s="685" t="str">
        <f>IFERROR(IF(VLOOKUP(C62,[4]List1!$A:$D,4,FALSE)=0,"",VLOOKUP(C62,[4]List1!$A:$D,4,FALSE)),"")</f>
        <v>24</v>
      </c>
      <c r="AA62" s="707"/>
      <c r="AB62" s="911" t="str">
        <f>IFERROR(IF(VLOOKUP(C62,[1]List1!$A:$D,2,FALSE)="VYPRODÁNO",$V$9,IF(VLOOKUP(C62,[1]List1!$A:$D,2,FALSE)="DOCHÁZÍ",$V$3,VLOOKUP(C62,[1]List1!$A:$D,2,FALSE))),"OFFLINE!")</f>
        <v>SKLADEM</v>
      </c>
      <c r="AC62" s="911" t="str">
        <f ca="1">IF(AO62="NE",$V$10,IF(AB62=$V$3,IF(AP62&lt;1,$V$8,$V$2&amp;" "&amp;AP62&amp;" "&amp;$V$1),IF(AB62="SKLADEM",$V$6,IFERROR(IF(OR(AB62-TODAY()&gt;21,VLOOKUP(C62,[1]List1!$A:$E,4,FALSE)=0),AB62,DAY(AB62)&amp;"."&amp;MONTH(AB62)&amp;"."&amp;YEAR(AB62)&amp;" "&amp;$V$4&amp;VLOOKUP(C62,[1]List1!$A:$E,4,FALSE)&amp;" "&amp;$V$1),AB62))))</f>
        <v>AUF LAGER</v>
      </c>
      <c r="AD62" s="686" t="str">
        <f ca="1">_xlfn.IFNA(VLOOKUP(C62,'General price list'!C:AM,MATCH($AD$20,'General price list'!$C$20:$AM$20,0),FALSE),"")</f>
        <v>AUF LAGER</v>
      </c>
      <c r="AE62" s="681">
        <f t="shared" ca="1" si="8"/>
        <v>0</v>
      </c>
      <c r="AF62" s="681">
        <f t="shared" ca="1" si="9"/>
        <v>0</v>
      </c>
      <c r="AG62" s="687">
        <f t="shared" ca="1" si="10"/>
        <v>0</v>
      </c>
      <c r="AH62" s="688">
        <f t="shared" ca="1" si="11"/>
        <v>0</v>
      </c>
      <c r="AI62" s="687">
        <f t="shared" ca="1" si="12"/>
        <v>0</v>
      </c>
      <c r="AJ62" s="689" t="str">
        <f t="shared" ca="1" si="13"/>
        <v/>
      </c>
      <c r="AK62" s="689" t="str">
        <f t="shared" ca="1" si="14"/>
        <v/>
      </c>
      <c r="AL62" s="689">
        <f t="shared" ca="1" si="15"/>
        <v>0</v>
      </c>
      <c r="AM62" s="690" t="str">
        <f t="shared" ca="1" si="16"/>
        <v/>
      </c>
      <c r="AN62" s="313"/>
      <c r="AO62" s="314" t="str">
        <f>IF($R$3=1,IF(Y62=AA62,"","NE"),IF(#REF!=$V$10,"NE",""))</f>
        <v/>
      </c>
      <c r="AP62" s="315" t="str">
        <f>IF(AB62=$V$3,IF(VLOOKUP(C62,[1]List1!$A:$E,5,FALSE)=0,1,VLOOKUP(C62,[1]List1!$A:$E,5,FALSE)),"")</f>
        <v/>
      </c>
      <c r="AW62" s="458">
        <f>IFERROR(FIND(VLOOKUP('General price list'!$AB$7,'General price list'!$AC$1:$AD$12,2,FALSE),Q62,1),0)</f>
        <v>10</v>
      </c>
      <c r="AX62" s="458">
        <f>IFERROR(FIND(VLOOKUP('General price list'!$AB$7,'General price list'!$AC$1:$AD$12,2,FALSE),R62,1),0)</f>
        <v>0</v>
      </c>
    </row>
    <row r="63" spans="1:57" ht="15" customHeight="1">
      <c r="A63" s="691" t="str">
        <f>Kat.!C63</f>
        <v xml:space="preserve">                                          </v>
      </c>
      <c r="B63" s="692">
        <v>42</v>
      </c>
      <c r="C63" s="693" t="s">
        <v>194</v>
      </c>
      <c r="D63" s="693" t="s">
        <v>195</v>
      </c>
      <c r="E63" s="694" t="s">
        <v>196</v>
      </c>
      <c r="F63" s="695">
        <f>VLOOKUP(C63,[2]List1!$A:$D,2,FALSE)</f>
        <v>65</v>
      </c>
      <c r="G63" s="696">
        <f t="shared" si="5"/>
        <v>65</v>
      </c>
      <c r="H63" s="697">
        <f t="shared" si="6"/>
        <v>2.6</v>
      </c>
      <c r="I63" s="837">
        <v>50</v>
      </c>
      <c r="J63" s="698" t="s">
        <v>23</v>
      </c>
      <c r="K63" s="856"/>
      <c r="L63" s="857" t="s">
        <v>13818</v>
      </c>
      <c r="M63" s="698" t="s">
        <v>25</v>
      </c>
      <c r="N63" s="869">
        <f>IFERROR(VLOOKUP(C63,[3]List1!$A:$D,4,FALSE),"N/A!")</f>
        <v>2.4022249999999998E-2</v>
      </c>
      <c r="O63" s="837">
        <f>IFERROR(VLOOKUP(C63,[3]List1!$A:$D,3,FALSE),"N/A!")</f>
        <v>1760.0000000000002</v>
      </c>
      <c r="P63" s="837">
        <f>IFERROR(VLOOKUP(C63,[3]List1!$A:$D,2,FALSE),"N/A!")</f>
        <v>6200</v>
      </c>
      <c r="Q63" s="698" t="s">
        <v>13724</v>
      </c>
      <c r="R63" s="698" t="s">
        <v>24</v>
      </c>
      <c r="S63" s="698"/>
      <c r="T63" s="695">
        <v>60</v>
      </c>
      <c r="U63" s="874"/>
      <c r="V63" s="699" t="str">
        <f>_xlfn.IFNA(HYPERLINK("https://www.klasekpyrotechnics.cz/vp40n"),"")</f>
        <v>https://www.klasekpyrotechnics.cz/vp40n</v>
      </c>
      <c r="W63" s="700" t="str">
        <f>IFERROR(VLOOKUP($C63,Popisy!A:P,MATCH($W$17,Popisy!$A$7:$P$7,0),FALSE),"---------------")</f>
        <v>Neon Wunderkerzen(rot, gelb, grün, blau), Länge 40cm, Länge der platzenden Masse 26cm, Durchmesser der platzenden Masse 3,7mm</v>
      </c>
      <c r="X63" s="891" t="str">
        <f t="shared" si="7"/>
        <v/>
      </c>
      <c r="Y63" s="892"/>
      <c r="Z63" s="700">
        <f>IFERROR(IF(VLOOKUP(C63,[4]List1!$A:$D,4,FALSE)=0,"",VLOOKUP(C63,[4]List1!$A:$D,4,FALSE)),"")</f>
        <v>63</v>
      </c>
      <c r="AA63" s="707"/>
      <c r="AB63" s="912" t="str">
        <f>IFERROR(IF(VLOOKUP(C63,[1]List1!$A:$D,2,FALSE)="VYPRODÁNO",$V$9,IF(VLOOKUP(C63,[1]List1!$A:$D,2,FALSE)="DOCHÁZÍ",$V$3,VLOOKUP(C63,[1]List1!$A:$D,2,FALSE))),"OFFLINE!")</f>
        <v>SKLADEM</v>
      </c>
      <c r="AC63" s="912" t="str">
        <f ca="1">IF(AO63="NE",$V$10,IF(AB63=$V$3,IF(AP63&lt;1,$V$8,$V$2&amp;" "&amp;AP63&amp;" "&amp;$V$1),IF(AB63="SKLADEM",$V$6,IFERROR(IF(OR(AB63-TODAY()&gt;21,VLOOKUP(C63,[1]List1!$A:$E,4,FALSE)=0),AB63,DAY(AB63)&amp;"."&amp;MONTH(AB63)&amp;"."&amp;YEAR(AB63)&amp;" "&amp;$V$4&amp;VLOOKUP(C63,[1]List1!$A:$E,4,FALSE)&amp;" "&amp;$V$1),AB63))))</f>
        <v>AUF LAGER</v>
      </c>
      <c r="AD63" s="701" t="str">
        <f ca="1">_xlfn.IFNA(VLOOKUP(C63,'General price list'!C:AM,MATCH($AD$20,'General price list'!$C$20:$AM$20,0),FALSE),"")</f>
        <v>AUF LAGER</v>
      </c>
      <c r="AE63" s="695">
        <f t="shared" ca="1" si="8"/>
        <v>0</v>
      </c>
      <c r="AF63" s="695">
        <f t="shared" ca="1" si="9"/>
        <v>0</v>
      </c>
      <c r="AG63" s="702">
        <f t="shared" ca="1" si="10"/>
        <v>0</v>
      </c>
      <c r="AH63" s="703">
        <f t="shared" ca="1" si="11"/>
        <v>0</v>
      </c>
      <c r="AI63" s="702">
        <f t="shared" ca="1" si="12"/>
        <v>0</v>
      </c>
      <c r="AJ63" s="704" t="str">
        <f t="shared" ca="1" si="13"/>
        <v/>
      </c>
      <c r="AK63" s="704" t="str">
        <f t="shared" ca="1" si="14"/>
        <v/>
      </c>
      <c r="AL63" s="704">
        <f t="shared" ca="1" si="15"/>
        <v>0</v>
      </c>
      <c r="AM63" s="705" t="str">
        <f t="shared" ca="1" si="16"/>
        <v/>
      </c>
      <c r="AN63" s="313"/>
      <c r="AO63" s="314" t="str">
        <f>IF($R$3=1,IF(Y63=AA63,"","NE"),IF(#REF!=$V$10,"NE",""))</f>
        <v/>
      </c>
      <c r="AP63" s="315" t="str">
        <f>IF(AB63=$V$3,IF(VLOOKUP(C63,[1]List1!$A:$E,5,FALSE)=0,1,VLOOKUP(C63,[1]List1!$A:$E,5,FALSE)),"")</f>
        <v/>
      </c>
      <c r="AW63" s="458">
        <f>IFERROR(FIND(VLOOKUP('General price list'!$AB$7,'General price list'!$AC$1:$AD$12,2,FALSE),Q63,1),0)</f>
        <v>10</v>
      </c>
      <c r="AX63" s="458">
        <f>IFERROR(FIND(VLOOKUP('General price list'!$AB$7,'General price list'!$AC$1:$AD$12,2,FALSE),R63,1),0)</f>
        <v>0</v>
      </c>
    </row>
    <row r="64" spans="1:57" ht="15" customHeight="1">
      <c r="A64" s="677" t="str">
        <f>Kat.!C64</f>
        <v>×</v>
      </c>
      <c r="B64" s="678">
        <v>43</v>
      </c>
      <c r="C64" s="679" t="s">
        <v>204</v>
      </c>
      <c r="D64" s="679" t="s">
        <v>205</v>
      </c>
      <c r="E64" s="680" t="s">
        <v>206</v>
      </c>
      <c r="F64" s="681">
        <f>VLOOKUP(C64,[2]List1!$A:$D,2,FALSE)</f>
        <v>349</v>
      </c>
      <c r="G64" s="682">
        <f t="shared" si="5"/>
        <v>349</v>
      </c>
      <c r="H64" s="683">
        <f t="shared" si="6"/>
        <v>14.2</v>
      </c>
      <c r="I64" s="836">
        <v>6</v>
      </c>
      <c r="J64" s="680" t="s">
        <v>23</v>
      </c>
      <c r="K64" s="854"/>
      <c r="L64" s="855" t="s">
        <v>13818</v>
      </c>
      <c r="M64" s="680" t="s">
        <v>25</v>
      </c>
      <c r="N64" s="868">
        <f>IFERROR(VLOOKUP(C64,[3]List1!$A:$D,4,FALSE),"N/A!")</f>
        <v>2.6207999999999999E-2</v>
      </c>
      <c r="O64" s="836">
        <f>IFERROR(VLOOKUP(C64,[3]List1!$A:$D,3,FALSE),"N/A!")</f>
        <v>225</v>
      </c>
      <c r="P64" s="836">
        <f>IFERROR(VLOOKUP(C64,[3]List1!$A:$D,2,FALSE),"N/A!")</f>
        <v>3000</v>
      </c>
      <c r="Q64" s="680" t="s">
        <v>207</v>
      </c>
      <c r="R64" s="680" t="s">
        <v>24</v>
      </c>
      <c r="S64" s="680"/>
      <c r="T64" s="681">
        <v>40</v>
      </c>
      <c r="U64" s="873"/>
      <c r="V64" s="684" t="str">
        <f>_xlfn.IFNA(HYPERLINK("https://www.klasekpyrotechnics.cz/vp12t1"),"")</f>
        <v>https://www.klasekpyrotechnics.cz/vp12t1</v>
      </c>
      <c r="W64" s="685" t="str">
        <f>IFERROR(VLOOKUP($C64,Popisy!A:P,MATCH($W$17,Popisy!$A$7:$P$7,0),FALSE),"---------------")</f>
        <v>Goldene Wunderkerze in Form der Nummer 1</v>
      </c>
      <c r="X64" s="889" t="str">
        <f t="shared" si="7"/>
        <v/>
      </c>
      <c r="Y64" s="890"/>
      <c r="Z64" s="685">
        <f>IFERROR(IF(VLOOKUP(C64,[4]List1!$A:$D,4,FALSE)=0,"",VLOOKUP(C64,[4]List1!$A:$D,4,FALSE)),"")</f>
        <v>42</v>
      </c>
      <c r="AA64" s="707"/>
      <c r="AB64" s="911" t="str">
        <f>IFERROR(IF(VLOOKUP(C64,[1]List1!$A:$D,2,FALSE)="VYPRODÁNO",$V$9,IF(VLOOKUP(C64,[1]List1!$A:$D,2,FALSE)="DOCHÁZÍ",$V$3,VLOOKUP(C64,[1]List1!$A:$D,2,FALSE))),"OFFLINE!")</f>
        <v>SKLADEM</v>
      </c>
      <c r="AC64" s="911" t="str">
        <f ca="1">IF(AO64="NE",$V$10,IF(AB64=$V$3,IF(AP64&lt;1,$V$8,$V$2&amp;" "&amp;AP64&amp;" "&amp;$V$1),IF(AB64="SKLADEM",$V$6,IFERROR(IF(OR(AB64-TODAY()&gt;21,VLOOKUP(C64,[1]List1!$A:$E,4,FALSE)=0),AB64,DAY(AB64)&amp;"."&amp;MONTH(AB64)&amp;"."&amp;YEAR(AB64)&amp;" "&amp;$V$4&amp;VLOOKUP(C64,[1]List1!$A:$E,4,FALSE)&amp;" "&amp;$V$1),AB64))))</f>
        <v>AUF LAGER</v>
      </c>
      <c r="AD64" s="686" t="str">
        <f ca="1">_xlfn.IFNA(VLOOKUP(C64,'General price list'!C:AM,MATCH($AD$20,'General price list'!$C$20:$AM$20,0),FALSE),"")</f>
        <v>AUF LAGER</v>
      </c>
      <c r="AE64" s="681">
        <f t="shared" ca="1" si="8"/>
        <v>0</v>
      </c>
      <c r="AF64" s="681">
        <f t="shared" ca="1" si="9"/>
        <v>0</v>
      </c>
      <c r="AG64" s="687">
        <f t="shared" ca="1" si="10"/>
        <v>0</v>
      </c>
      <c r="AH64" s="688">
        <f t="shared" ca="1" si="11"/>
        <v>0</v>
      </c>
      <c r="AI64" s="687">
        <f t="shared" ca="1" si="12"/>
        <v>0</v>
      </c>
      <c r="AJ64" s="689" t="str">
        <f t="shared" ca="1" si="13"/>
        <v/>
      </c>
      <c r="AK64" s="689" t="str">
        <f t="shared" ca="1" si="14"/>
        <v/>
      </c>
      <c r="AL64" s="689">
        <f t="shared" ca="1" si="15"/>
        <v>0</v>
      </c>
      <c r="AM64" s="690" t="str">
        <f t="shared" ca="1" si="16"/>
        <v/>
      </c>
      <c r="AN64" s="313"/>
      <c r="AO64" s="314" t="str">
        <f>IF($R$3=1,IF(Y64=AA64,"","NE"),IF(#REF!=$V$10,"NE",""))</f>
        <v/>
      </c>
      <c r="AP64" s="315" t="str">
        <f>IF(AB64=$V$3,IF(VLOOKUP(C64,[1]List1!$A:$E,5,FALSE)=0,1,VLOOKUP(C64,[1]List1!$A:$E,5,FALSE)),"")</f>
        <v/>
      </c>
      <c r="AW64" s="458">
        <f>IFERROR(FIND(VLOOKUP('General price list'!$AB$7,'General price list'!$AC$1:$AD$12,2,FALSE),Q64,1),0)</f>
        <v>0</v>
      </c>
      <c r="AX64" s="458">
        <f>IFERROR(FIND(VLOOKUP('General price list'!$AB$7,'General price list'!$AC$1:$AD$12,2,FALSE),R64,1),0)</f>
        <v>0</v>
      </c>
    </row>
    <row r="65" spans="1:57" ht="15" customHeight="1">
      <c r="A65" s="691" t="str">
        <f>Kat.!C65</f>
        <v>×</v>
      </c>
      <c r="B65" s="692">
        <v>44</v>
      </c>
      <c r="C65" s="693" t="s">
        <v>211</v>
      </c>
      <c r="D65" s="693" t="s">
        <v>212</v>
      </c>
      <c r="E65" s="694" t="s">
        <v>206</v>
      </c>
      <c r="F65" s="695">
        <f>VLOOKUP(C65,[2]List1!$A:$D,2,FALSE)</f>
        <v>349</v>
      </c>
      <c r="G65" s="696">
        <f t="shared" si="5"/>
        <v>349</v>
      </c>
      <c r="H65" s="697">
        <f t="shared" si="6"/>
        <v>14.2</v>
      </c>
      <c r="I65" s="837">
        <v>6</v>
      </c>
      <c r="J65" s="698" t="s">
        <v>23</v>
      </c>
      <c r="K65" s="856"/>
      <c r="L65" s="857" t="s">
        <v>13818</v>
      </c>
      <c r="M65" s="698" t="s">
        <v>25</v>
      </c>
      <c r="N65" s="869">
        <f>IFERROR(VLOOKUP(C65,[3]List1!$A:$D,4,FALSE),"N/A!")</f>
        <v>1.8218750000000002E-2</v>
      </c>
      <c r="O65" s="837">
        <f>IFERROR(VLOOKUP(C65,[3]List1!$A:$D,3,FALSE),"N/A!")</f>
        <v>225</v>
      </c>
      <c r="P65" s="837">
        <f>IFERROR(VLOOKUP(C65,[3]List1!$A:$D,2,FALSE),"N/A!")</f>
        <v>3000</v>
      </c>
      <c r="Q65" s="698" t="s">
        <v>207</v>
      </c>
      <c r="R65" s="698" t="s">
        <v>24</v>
      </c>
      <c r="S65" s="698"/>
      <c r="T65" s="695">
        <v>35</v>
      </c>
      <c r="U65" s="874"/>
      <c r="V65" s="699" t="str">
        <f>_xlfn.IFNA(HYPERLINK("https://www.klasekpyrotechnics.cz/vp12ts"),"")</f>
        <v>https://www.klasekpyrotechnics.cz/vp12ts</v>
      </c>
      <c r="W65" s="700" t="str">
        <f>IFERROR(VLOOKUP($C65,Popisy!A:P,MATCH($W$17,Popisy!$A$7:$P$7,0),FALSE),"---------------")</f>
        <v>Goldene Wunderkerze in Form der Herz</v>
      </c>
      <c r="X65" s="891" t="str">
        <f t="shared" si="7"/>
        <v/>
      </c>
      <c r="Y65" s="892"/>
      <c r="Z65" s="700">
        <f>IFERROR(IF(VLOOKUP(C65,[4]List1!$A:$D,4,FALSE)=0,"",VLOOKUP(C65,[4]List1!$A:$D,4,FALSE)),"")</f>
        <v>72</v>
      </c>
      <c r="AA65" s="707"/>
      <c r="AB65" s="912" t="str">
        <f>IFERROR(IF(VLOOKUP(C65,[1]List1!$A:$D,2,FALSE)="VYPRODÁNO",$V$9,IF(VLOOKUP(C65,[1]List1!$A:$D,2,FALSE)="DOCHÁZÍ",$V$3,VLOOKUP(C65,[1]List1!$A:$D,2,FALSE))),"OFFLINE!")</f>
        <v>SKLADEM</v>
      </c>
      <c r="AC65" s="912" t="str">
        <f ca="1">IF(AO65="NE",$V$10,IF(AB65=$V$3,IF(AP65&lt;1,$V$8,$V$2&amp;" "&amp;AP65&amp;" "&amp;$V$1),IF(AB65="SKLADEM",$V$6,IFERROR(IF(OR(AB65-TODAY()&gt;21,VLOOKUP(C65,[1]List1!$A:$E,4,FALSE)=0),AB65,DAY(AB65)&amp;"."&amp;MONTH(AB65)&amp;"."&amp;YEAR(AB65)&amp;" "&amp;$V$4&amp;VLOOKUP(C65,[1]List1!$A:$E,4,FALSE)&amp;" "&amp;$V$1),AB65))))</f>
        <v>AUF LAGER</v>
      </c>
      <c r="AD65" s="701" t="str">
        <f ca="1">_xlfn.IFNA(VLOOKUP(C65,'General price list'!C:AM,MATCH($AD$20,'General price list'!$C$20:$AM$20,0),FALSE),"")</f>
        <v>AUF LAGER</v>
      </c>
      <c r="AE65" s="695">
        <f t="shared" ca="1" si="8"/>
        <v>0</v>
      </c>
      <c r="AF65" s="695">
        <f t="shared" ca="1" si="9"/>
        <v>0</v>
      </c>
      <c r="AG65" s="702">
        <f t="shared" ca="1" si="10"/>
        <v>0</v>
      </c>
      <c r="AH65" s="703">
        <f t="shared" ca="1" si="11"/>
        <v>0</v>
      </c>
      <c r="AI65" s="702">
        <f t="shared" ca="1" si="12"/>
        <v>0</v>
      </c>
      <c r="AJ65" s="704" t="str">
        <f t="shared" ca="1" si="13"/>
        <v/>
      </c>
      <c r="AK65" s="704" t="str">
        <f t="shared" ca="1" si="14"/>
        <v/>
      </c>
      <c r="AL65" s="704">
        <f t="shared" ca="1" si="15"/>
        <v>0</v>
      </c>
      <c r="AM65" s="705" t="str">
        <f t="shared" ca="1" si="16"/>
        <v/>
      </c>
      <c r="AN65" s="382"/>
      <c r="AO65" s="314" t="str">
        <f>IF($R$3=1,IF(Y65=AA65,"","NE"),IF(#REF!=$V$10,"NE",""))</f>
        <v/>
      </c>
      <c r="AP65" s="315" t="str">
        <f>IF(AB65=$V$3,IF(VLOOKUP(C65,[1]List1!$A:$E,5,FALSE)=0,1,VLOOKUP(C65,[1]List1!$A:$E,5,FALSE)),"")</f>
        <v/>
      </c>
      <c r="AW65" s="458">
        <f>IFERROR(FIND(VLOOKUP('General price list'!$AB$7,'General price list'!$AC$1:$AD$12,2,FALSE),Q65,1),0)</f>
        <v>0</v>
      </c>
      <c r="AX65" s="458">
        <f>IFERROR(FIND(VLOOKUP('General price list'!$AB$7,'General price list'!$AC$1:$AD$12,2,FALSE),R65,1),0)</f>
        <v>0</v>
      </c>
    </row>
    <row r="66" spans="1:57" ht="15" customHeight="1">
      <c r="A66" s="677" t="str">
        <f>Kat.!C66</f>
        <v>×</v>
      </c>
      <c r="B66" s="678">
        <v>45</v>
      </c>
      <c r="C66" s="679" t="s">
        <v>216</v>
      </c>
      <c r="D66" s="679" t="s">
        <v>217</v>
      </c>
      <c r="E66" s="680" t="s">
        <v>206</v>
      </c>
      <c r="F66" s="681">
        <f>VLOOKUP(C66,[2]List1!$A:$D,2,FALSE)</f>
        <v>349</v>
      </c>
      <c r="G66" s="682">
        <f t="shared" si="5"/>
        <v>349</v>
      </c>
      <c r="H66" s="683">
        <f t="shared" si="6"/>
        <v>14.2</v>
      </c>
      <c r="I66" s="836">
        <v>6</v>
      </c>
      <c r="J66" s="680" t="s">
        <v>23</v>
      </c>
      <c r="K66" s="854"/>
      <c r="L66" s="855" t="s">
        <v>13818</v>
      </c>
      <c r="M66" s="680" t="s">
        <v>25</v>
      </c>
      <c r="N66" s="868">
        <f>IFERROR(VLOOKUP(C66,[3]List1!$A:$D,4,FALSE),"N/A!")</f>
        <v>1.8218750000000002E-2</v>
      </c>
      <c r="O66" s="836">
        <f>IFERROR(VLOOKUP(C66,[3]List1!$A:$D,3,FALSE),"N/A!")</f>
        <v>225</v>
      </c>
      <c r="P66" s="836">
        <f>IFERROR(VLOOKUP(C66,[3]List1!$A:$D,2,FALSE),"N/A!")</f>
        <v>3000</v>
      </c>
      <c r="Q66" s="680" t="s">
        <v>207</v>
      </c>
      <c r="R66" s="680" t="s">
        <v>24</v>
      </c>
      <c r="S66" s="680"/>
      <c r="T66" s="681">
        <v>35</v>
      </c>
      <c r="U66" s="873"/>
      <c r="V66" s="684" t="str">
        <f>_xlfn.IFNA(HYPERLINK("https://www.klasekpyrotechnics.cz/vp12th"),"")</f>
        <v>https://www.klasekpyrotechnics.cz/vp12th</v>
      </c>
      <c r="W66" s="685" t="str">
        <f>IFERROR(VLOOKUP($C66,Popisy!A:P,MATCH($W$17,Popisy!$A$7:$P$7,0),FALSE),"---------------")</f>
        <v>Goldene Wunderkerze in Form der Stern</v>
      </c>
      <c r="X66" s="889" t="str">
        <f t="shared" si="7"/>
        <v/>
      </c>
      <c r="Y66" s="890"/>
      <c r="Z66" s="685">
        <f>IFERROR(IF(VLOOKUP(C66,[4]List1!$A:$D,4,FALSE)=0,"",VLOOKUP(C66,[4]List1!$A:$D,4,FALSE)),"")</f>
        <v>72</v>
      </c>
      <c r="AA66" s="707"/>
      <c r="AB66" s="911" t="str">
        <f>IFERROR(IF(VLOOKUP(C66,[1]List1!$A:$D,2,FALSE)="VYPRODÁNO",$V$9,IF(VLOOKUP(C66,[1]List1!$A:$D,2,FALSE)="DOCHÁZÍ",$V$3,VLOOKUP(C66,[1]List1!$A:$D,2,FALSE))),"OFFLINE!")</f>
        <v>SKLADEM</v>
      </c>
      <c r="AC66" s="911" t="str">
        <f ca="1">IF(AO66="NE",$V$10,IF(AB66=$V$3,IF(AP66&lt;1,$V$8,$V$2&amp;" "&amp;AP66&amp;" "&amp;$V$1),IF(AB66="SKLADEM",$V$6,IFERROR(IF(OR(AB66-TODAY()&gt;21,VLOOKUP(C66,[1]List1!$A:$E,4,FALSE)=0),AB66,DAY(AB66)&amp;"."&amp;MONTH(AB66)&amp;"."&amp;YEAR(AB66)&amp;" "&amp;$V$4&amp;VLOOKUP(C66,[1]List1!$A:$E,4,FALSE)&amp;" "&amp;$V$1),AB66))))</f>
        <v>AUF LAGER</v>
      </c>
      <c r="AD66" s="686" t="str">
        <f ca="1">_xlfn.IFNA(VLOOKUP(C66,'General price list'!C:AM,MATCH($AD$20,'General price list'!$C$20:$AM$20,0),FALSE),"")</f>
        <v>AUF LAGER</v>
      </c>
      <c r="AE66" s="681">
        <f t="shared" ca="1" si="8"/>
        <v>0</v>
      </c>
      <c r="AF66" s="681">
        <f t="shared" ca="1" si="9"/>
        <v>0</v>
      </c>
      <c r="AG66" s="687">
        <f t="shared" ca="1" si="10"/>
        <v>0</v>
      </c>
      <c r="AH66" s="688">
        <f t="shared" ca="1" si="11"/>
        <v>0</v>
      </c>
      <c r="AI66" s="687">
        <f t="shared" ca="1" si="12"/>
        <v>0</v>
      </c>
      <c r="AJ66" s="689" t="str">
        <f t="shared" ca="1" si="13"/>
        <v/>
      </c>
      <c r="AK66" s="689" t="str">
        <f t="shared" ca="1" si="14"/>
        <v/>
      </c>
      <c r="AL66" s="689">
        <f t="shared" ca="1" si="15"/>
        <v>0</v>
      </c>
      <c r="AM66" s="690" t="str">
        <f t="shared" ca="1" si="16"/>
        <v/>
      </c>
      <c r="AN66" s="313"/>
      <c r="AO66" s="314" t="str">
        <f>IF($R$3=1,IF(Y66=AA66,"","NE"),IF(#REF!=$V$10,"NE",""))</f>
        <v/>
      </c>
      <c r="AP66" s="315" t="str">
        <f>IF(AB66=$V$3,IF(VLOOKUP(C66,[1]List1!$A:$E,5,FALSE)=0,1,VLOOKUP(C66,[1]List1!$A:$E,5,FALSE)),"")</f>
        <v/>
      </c>
      <c r="AW66" s="458">
        <f>IFERROR(FIND(VLOOKUP('General price list'!$AB$7,'General price list'!$AC$1:$AD$12,2,FALSE),Q66,1),0)</f>
        <v>0</v>
      </c>
      <c r="AX66" s="458">
        <f>IFERROR(FIND(VLOOKUP('General price list'!$AB$7,'General price list'!$AC$1:$AD$12,2,FALSE),R66,1),0)</f>
        <v>0</v>
      </c>
    </row>
    <row r="67" spans="1:57" ht="15" customHeight="1">
      <c r="A67" s="691" t="str">
        <f>Kat.!C67</f>
        <v xml:space="preserve">                                          </v>
      </c>
      <c r="B67" s="692">
        <v>46</v>
      </c>
      <c r="C67" s="693" t="s">
        <v>221</v>
      </c>
      <c r="D67" s="693" t="s">
        <v>222</v>
      </c>
      <c r="E67" s="694" t="s">
        <v>223</v>
      </c>
      <c r="F67" s="695">
        <f>VLOOKUP(C67,[2]List1!$A:$D,2,FALSE)</f>
        <v>125</v>
      </c>
      <c r="G67" s="696">
        <f t="shared" si="5"/>
        <v>125</v>
      </c>
      <c r="H67" s="697">
        <f t="shared" si="6"/>
        <v>5.0999999999999996</v>
      </c>
      <c r="I67" s="837">
        <v>12</v>
      </c>
      <c r="J67" s="698" t="s">
        <v>23</v>
      </c>
      <c r="K67" s="856"/>
      <c r="L67" s="857" t="s">
        <v>13818</v>
      </c>
      <c r="M67" s="698" t="s">
        <v>25</v>
      </c>
      <c r="N67" s="869">
        <f>IFERROR(VLOOKUP(C67,[3]List1!$A:$D,4,FALSE),"N/A!")</f>
        <v>2.5688000000000002E-2</v>
      </c>
      <c r="O67" s="837">
        <f>IFERROR(VLOOKUP(C67,[3]List1!$A:$D,3,FALSE),"N/A!")</f>
        <v>180</v>
      </c>
      <c r="P67" s="837">
        <f>IFERROR(VLOOKUP(C67,[3]List1!$A:$D,2,FALSE),"N/A!")</f>
        <v>2500</v>
      </c>
      <c r="Q67" s="698" t="s">
        <v>207</v>
      </c>
      <c r="R67" s="698" t="s">
        <v>24</v>
      </c>
      <c r="S67" s="698"/>
      <c r="T67" s="695">
        <v>35</v>
      </c>
      <c r="U67" s="874"/>
      <c r="V67" s="699" t="str">
        <f>_xlfn.IFNA(HYPERLINK("https://www.klasekpyrotechnics.cz/vp12mix"),"")</f>
        <v>https://www.klasekpyrotechnics.cz/vp12mix</v>
      </c>
      <c r="W67" s="700" t="str">
        <f>IFERROR(VLOOKUP($C67,Popisy!A:P,MATCH($W$17,Popisy!$A$7:$P$7,0),FALSE),"---------------")</f>
        <v>Goldene Wunderkerze(mix aus Zahlen 0-9,Herz,Stern)</v>
      </c>
      <c r="X67" s="891" t="str">
        <f t="shared" si="7"/>
        <v/>
      </c>
      <c r="Y67" s="892"/>
      <c r="Z67" s="700" t="str">
        <f>IFERROR(IF(VLOOKUP(C67,[4]List1!$A:$D,4,FALSE)=0,"",VLOOKUP(C67,[4]List1!$A:$D,4,FALSE)),"")</f>
        <v>54</v>
      </c>
      <c r="AA67" s="707"/>
      <c r="AB67" s="912" t="str">
        <f>IFERROR(IF(VLOOKUP(C67,[1]List1!$A:$D,2,FALSE)="VYPRODÁNO",$V$9,IF(VLOOKUP(C67,[1]List1!$A:$D,2,FALSE)="DOCHÁZÍ",$V$3,VLOOKUP(C67,[1]List1!$A:$D,2,FALSE))),"OFFLINE!")</f>
        <v>SKLADEM</v>
      </c>
      <c r="AC67" s="912" t="str">
        <f ca="1">IF(AO67="NE",$V$10,IF(AB67=$V$3,IF(AP67&lt;1,$V$8,$V$2&amp;" "&amp;AP67&amp;" "&amp;$V$1),IF(AB67="SKLADEM",$V$6,IFERROR(IF(OR(AB67-TODAY()&gt;21,VLOOKUP(C67,[1]List1!$A:$E,4,FALSE)=0),AB67,DAY(AB67)&amp;"."&amp;MONTH(AB67)&amp;"."&amp;YEAR(AB67)&amp;" "&amp;$V$4&amp;VLOOKUP(C67,[1]List1!$A:$E,4,FALSE)&amp;" "&amp;$V$1),AB67))))</f>
        <v>AUF LAGER</v>
      </c>
      <c r="AD67" s="701" t="str">
        <f ca="1">_xlfn.IFNA(VLOOKUP(C67,'General price list'!C:AM,MATCH($AD$20,'General price list'!$C$20:$AM$20,0),FALSE),"")</f>
        <v>AUF LAGER</v>
      </c>
      <c r="AE67" s="695">
        <f t="shared" ca="1" si="8"/>
        <v>0</v>
      </c>
      <c r="AF67" s="695">
        <f t="shared" ca="1" si="9"/>
        <v>0</v>
      </c>
      <c r="AG67" s="702">
        <f t="shared" ca="1" si="10"/>
        <v>0</v>
      </c>
      <c r="AH67" s="703">
        <f t="shared" ca="1" si="11"/>
        <v>0</v>
      </c>
      <c r="AI67" s="702">
        <f t="shared" ca="1" si="12"/>
        <v>0</v>
      </c>
      <c r="AJ67" s="704" t="str">
        <f t="shared" ca="1" si="13"/>
        <v/>
      </c>
      <c r="AK67" s="704" t="str">
        <f t="shared" ca="1" si="14"/>
        <v/>
      </c>
      <c r="AL67" s="704">
        <f t="shared" ca="1" si="15"/>
        <v>0</v>
      </c>
      <c r="AM67" s="705" t="str">
        <f t="shared" ca="1" si="16"/>
        <v/>
      </c>
      <c r="AN67" s="313"/>
      <c r="AO67" s="314" t="str">
        <f>IF($R$3=1,IF(Y67=AA67,"","NE"),IF(#REF!=$V$10,"NE",""))</f>
        <v/>
      </c>
      <c r="AP67" s="315" t="str">
        <f>IF(AB67=$V$3,IF(VLOOKUP(C67,[1]List1!$A:$E,5,FALSE)=0,1,VLOOKUP(C67,[1]List1!$A:$E,5,FALSE)),"")</f>
        <v/>
      </c>
      <c r="AW67" s="458">
        <f>IFERROR(FIND(VLOOKUP('General price list'!$AB$7,'General price list'!$AC$1:$AD$12,2,FALSE),Q67,1),0)</f>
        <v>0</v>
      </c>
      <c r="AX67" s="458">
        <f>IFERROR(FIND(VLOOKUP('General price list'!$AB$7,'General price list'!$AC$1:$AD$12,2,FALSE),R67,1),0)</f>
        <v>0</v>
      </c>
    </row>
    <row r="68" spans="1:57" ht="15" customHeight="1">
      <c r="A68" s="677" t="str">
        <f>Kat.!C68</f>
        <v xml:space="preserve">                                          </v>
      </c>
      <c r="B68" s="678">
        <v>47</v>
      </c>
      <c r="C68" s="679" t="s">
        <v>2743</v>
      </c>
      <c r="D68" s="679" t="s">
        <v>2744</v>
      </c>
      <c r="E68" s="680" t="s">
        <v>129</v>
      </c>
      <c r="F68" s="681">
        <f>VLOOKUP(C68,[2]List1!$A:$D,2,FALSE)</f>
        <v>9367</v>
      </c>
      <c r="G68" s="682">
        <f t="shared" si="5"/>
        <v>9367</v>
      </c>
      <c r="H68" s="683">
        <f t="shared" si="6"/>
        <v>381.1</v>
      </c>
      <c r="I68" s="836">
        <v>1</v>
      </c>
      <c r="J68" s="680"/>
      <c r="K68" s="854"/>
      <c r="L68" s="855" t="s">
        <v>13622</v>
      </c>
      <c r="M68" s="680"/>
      <c r="N68" s="868">
        <f>IFERROR(VLOOKUP(C68,[3]List1!$A:$D,4,FALSE),"N/A!")</f>
        <v>0</v>
      </c>
      <c r="O68" s="836">
        <f>IFERROR(VLOOKUP(C68,[3]List1!$A:$D,3,FALSE),"N/A!")</f>
        <v>0</v>
      </c>
      <c r="P68" s="836">
        <f>IFERROR(VLOOKUP(C68,[3]List1!$A:$D,2,FALSE),"N/A!")</f>
        <v>15000</v>
      </c>
      <c r="Q68" s="680" t="s">
        <v>24</v>
      </c>
      <c r="R68" s="680" t="s">
        <v>24</v>
      </c>
      <c r="S68" s="680"/>
      <c r="T68" s="681"/>
      <c r="U68" s="873"/>
      <c r="V68" s="684" t="str">
        <f>_xlfn.IFNA(HYPERLINK("https://www.klasekpyrotechnics.cz/sprs1e"),"")</f>
        <v>https://www.klasekpyrotechnics.cz/sprs1e</v>
      </c>
      <c r="W68" s="685" t="str">
        <f>IFERROR(VLOOKUP($C68,Popisy!A:P,MATCH($W$17,Popisy!$A$7:$P$7,0),FALSE),"---------------")</f>
        <v>Präsentationsstand für Wunderkerzen(leer)</v>
      </c>
      <c r="X68" s="889" t="str">
        <f t="shared" si="7"/>
        <v/>
      </c>
      <c r="Y68" s="890"/>
      <c r="Z68" s="685" t="str">
        <f>IFERROR(IF(VLOOKUP(C68,[4]List1!$A:$D,4,FALSE)=0,"",VLOOKUP(C68,[4]List1!$A:$D,4,FALSE)),"")</f>
        <v/>
      </c>
      <c r="AA68" s="707"/>
      <c r="AB68" s="911" t="str">
        <f>IFERROR(IF(VLOOKUP(C68,[1]List1!$A:$D,2,FALSE)="VYPRODÁNO",$V$9,IF(VLOOKUP(C68,[1]List1!$A:$D,2,FALSE)="DOCHÁZÍ",$V$3,VLOOKUP(C68,[1]List1!$A:$D,2,FALSE))),"OFFLINE!")</f>
        <v>SKLADEM</v>
      </c>
      <c r="AC68" s="911" t="str">
        <f ca="1">IF(AO68="NE",$V$10,IF(AB68=$V$3,IF(AP68&lt;1,$V$8,$V$2&amp;" "&amp;AP68&amp;" "&amp;$V$1),IF(AB68="SKLADEM",$V$6,IFERROR(IF(OR(AB68-TODAY()&gt;21,VLOOKUP(C68,[1]List1!$A:$E,4,FALSE)=0),AB68,DAY(AB68)&amp;"."&amp;MONTH(AB68)&amp;"."&amp;YEAR(AB68)&amp;" "&amp;$V$4&amp;VLOOKUP(C68,[1]List1!$A:$E,4,FALSE)&amp;" "&amp;$V$1),AB68))))</f>
        <v>AUF LAGER</v>
      </c>
      <c r="AD68" s="686" t="str">
        <f ca="1">_xlfn.IFNA(VLOOKUP(C68,'General price list'!C:AM,MATCH($AD$20,'General price list'!$C$20:$AM$20,0),FALSE),"")</f>
        <v>AUF LAGER</v>
      </c>
      <c r="AE68" s="681">
        <f t="shared" ca="1" si="8"/>
        <v>0</v>
      </c>
      <c r="AF68" s="681">
        <f t="shared" ca="1" si="9"/>
        <v>0</v>
      </c>
      <c r="AG68" s="687">
        <f t="shared" ca="1" si="10"/>
        <v>0</v>
      </c>
      <c r="AH68" s="688">
        <f t="shared" ca="1" si="11"/>
        <v>0</v>
      </c>
      <c r="AI68" s="687">
        <f t="shared" ca="1" si="12"/>
        <v>0</v>
      </c>
      <c r="AJ68" s="689" t="str">
        <f t="shared" ca="1" si="13"/>
        <v/>
      </c>
      <c r="AK68" s="689" t="str">
        <f t="shared" ca="1" si="14"/>
        <v/>
      </c>
      <c r="AL68" s="689" t="str">
        <f t="shared" ca="1" si="15"/>
        <v/>
      </c>
      <c r="AM68" s="690" t="str">
        <f t="shared" ca="1" si="16"/>
        <v/>
      </c>
      <c r="AN68" s="313"/>
      <c r="AO68" s="314" t="str">
        <f>IF($R$3=1,IF(Y68=AA68,"","NE"),IF(#REF!=$V$10,"NE",""))</f>
        <v/>
      </c>
      <c r="AP68" s="315" t="str">
        <f>IF(AB68=$V$3,IF(VLOOKUP(C68,[1]List1!$A:$E,5,FALSE)=0,1,VLOOKUP(C68,[1]List1!$A:$E,5,FALSE)),"")</f>
        <v/>
      </c>
      <c r="AW68" s="458">
        <f>IFERROR(FIND(VLOOKUP('General price list'!$AB$7,'General price list'!$AC$1:$AD$12,2,FALSE),Q68,1),0)</f>
        <v>0</v>
      </c>
      <c r="AX68" s="458">
        <f>IFERROR(FIND(VLOOKUP('General price list'!$AB$7,'General price list'!$AC$1:$AD$12,2,FALSE),R68,1),0)</f>
        <v>0</v>
      </c>
    </row>
    <row r="69" spans="1:57" ht="15" customHeight="1">
      <c r="A69" s="672" t="str">
        <f>Kat.!C69</f>
        <v xml:space="preserve">                                          Rauchröhren</v>
      </c>
      <c r="B69" s="692">
        <v>48</v>
      </c>
      <c r="C69" s="693"/>
      <c r="D69" s="693"/>
      <c r="E69" s="694"/>
      <c r="F69" s="695" t="str">
        <f>IFERROR(ROUND(VLOOKUP(C69,'General price list'!$C:$AN,4,FALSE),0),"")</f>
        <v/>
      </c>
      <c r="G69" s="696" t="str">
        <f t="shared" si="5"/>
        <v/>
      </c>
      <c r="H69" s="697" t="str">
        <f t="shared" si="6"/>
        <v/>
      </c>
      <c r="I69" s="837"/>
      <c r="J69" s="698"/>
      <c r="K69" s="856"/>
      <c r="L69" s="857"/>
      <c r="M69" s="698"/>
      <c r="N69" s="869" t="str">
        <f>IFERROR(IF(VLOOKUP($C69,'General price list'!$C:$AN,MATCH(N$20,'General price list'!$C$20:$AM$20,0),FALSE)=0,"",VLOOKUP($C69,'General price list'!$C:$AN,MATCH(N$20,'General price list'!$C$20:$AM$20,0),FALSE)),"")</f>
        <v/>
      </c>
      <c r="O69" s="837" t="str">
        <f>IFERROR(IF(VLOOKUP($C69,'General price list'!$C:$AN,MATCH(O$20,'General price list'!$C$20:$AM$20,0),FALSE)=0,"",VLOOKUP($C69,'General price list'!$C:$AN,MATCH(O$20,'General price list'!$C$20:$AM$20,0),FALSE)),"")</f>
        <v/>
      </c>
      <c r="P69" s="837" t="str">
        <f>IFERROR(IF(VLOOKUP($C69,'General price list'!$C:$AN,MATCH(P$20,'General price list'!$C$20:$AM$20,0),FALSE)=0,"",VLOOKUP($C69,'General price list'!$C:$AN,MATCH(P$20,'General price list'!$C$20:$AM$20,0),FALSE)),"")</f>
        <v/>
      </c>
      <c r="Q69" s="698"/>
      <c r="R69" s="698"/>
      <c r="S69" s="698"/>
      <c r="T69" s="695"/>
      <c r="U69" s="874"/>
      <c r="V69" s="699"/>
      <c r="W69" s="700" t="str">
        <f>IFERROR(VLOOKUP($C69,'General price list'!$C:$AN,MATCH(W$20,'General price list'!$C$20:$AM$20,0),FALSE),"")</f>
        <v/>
      </c>
      <c r="X69" s="891" t="str">
        <f t="shared" si="7"/>
        <v/>
      </c>
      <c r="Y69" s="892"/>
      <c r="Z69" s="700" t="str">
        <f>IFERROR(VLOOKUP($C69,'General price list'!$C:$AN,MATCH(Z$20,'General price list'!$C$20:$AM$20,0),FALSE),"")</f>
        <v/>
      </c>
      <c r="AA69" s="707"/>
      <c r="AB69" s="912" t="str">
        <f>IFERROR(IF(VLOOKUP(C69,[1]List1!$A:$D,2,FALSE)="VYPRODÁNO",$V$9,IF(VLOOKUP(C69,[1]List1!$A:$D,2,FALSE)="DOCHÁZÍ",$V$3,VLOOKUP(C69,[1]List1!$A:$D,2,FALSE))),"OFFLINE!")</f>
        <v>OFFLINE!</v>
      </c>
      <c r="AC69" s="912" t="str">
        <f ca="1">IF(AO69="NE",$V$10,IF(AB69=$V$3,IF(AP69&lt;1,$V$8,$V$2&amp;" "&amp;AP69&amp;" "&amp;$V$1),IF(AB69="SKLADEM",$V$6,IFERROR(IF(OR(AB69-TODAY()&gt;21,VLOOKUP(C69,[1]List1!$A:$E,4,FALSE)=0),AB69,DAY(AB69)&amp;"."&amp;MONTH(AB69)&amp;"."&amp;YEAR(AB69)&amp;" "&amp;$V$4&amp;VLOOKUP(C69,[1]List1!$A:$E,4,FALSE)&amp;" "&amp;$V$1),AB69))))</f>
        <v>OFFLINE!</v>
      </c>
      <c r="AD69" s="701" t="str">
        <f>_xlfn.IFNA(VLOOKUP(C69,'General price list'!C:AM,MATCH($AD$20,'General price list'!$C$20:$AM$20,0),FALSE),"")</f>
        <v/>
      </c>
      <c r="AE69" s="695" t="str">
        <f t="shared" si="8"/>
        <v/>
      </c>
      <c r="AF69" s="695" t="str">
        <f t="shared" si="9"/>
        <v/>
      </c>
      <c r="AG69" s="702" t="str">
        <f t="shared" si="10"/>
        <v/>
      </c>
      <c r="AH69" s="703" t="str">
        <f t="shared" si="11"/>
        <v/>
      </c>
      <c r="AI69" s="702" t="str">
        <f t="shared" si="12"/>
        <v/>
      </c>
      <c r="AJ69" s="704" t="str">
        <f t="shared" si="13"/>
        <v/>
      </c>
      <c r="AK69" s="704" t="str">
        <f t="shared" si="14"/>
        <v/>
      </c>
      <c r="AL69" s="704" t="str">
        <f t="shared" si="15"/>
        <v/>
      </c>
      <c r="AM69" s="705" t="str">
        <f t="shared" si="16"/>
        <v/>
      </c>
      <c r="AN69" s="382"/>
      <c r="AO69" s="314" t="str">
        <f>IF($R$3=1,IF(Y69=AA69,"","NE"),IF(#REF!=$V$10,"NE",""))</f>
        <v/>
      </c>
      <c r="AP69" s="315" t="str">
        <f>IF(AB69=$V$3,IF(VLOOKUP(C69,[1]List1!$A:$E,5,FALSE)=0,1,VLOOKUP(C69,[1]List1!$A:$E,5,FALSE)),"")</f>
        <v/>
      </c>
      <c r="AW69" s="291" t="e">
        <f>VLOOKUP(C69,'General price list'!C:AU,46,FALSE)</f>
        <v>#N/A</v>
      </c>
      <c r="AX69" s="291" t="e">
        <f>VLOOKUP(C69,'General price list'!C:AU,47,FALSE)</f>
        <v>#N/A</v>
      </c>
    </row>
    <row r="70" spans="1:57" ht="15" customHeight="1">
      <c r="A70" s="677" t="str">
        <f>Kat.!C70</f>
        <v xml:space="preserve">                                          </v>
      </c>
      <c r="B70" s="678">
        <v>49</v>
      </c>
      <c r="C70" s="679" t="s">
        <v>227</v>
      </c>
      <c r="D70" s="679" t="s">
        <v>228</v>
      </c>
      <c r="E70" s="680" t="s">
        <v>229</v>
      </c>
      <c r="F70" s="681">
        <f>VLOOKUP(C70,[2]List1!$A:$D,2,FALSE)</f>
        <v>189</v>
      </c>
      <c r="G70" s="682">
        <f t="shared" si="5"/>
        <v>189</v>
      </c>
      <c r="H70" s="683">
        <f t="shared" si="6"/>
        <v>7.7</v>
      </c>
      <c r="I70" s="836">
        <v>20</v>
      </c>
      <c r="J70" s="680" t="s">
        <v>230</v>
      </c>
      <c r="K70" s="854"/>
      <c r="L70" s="855" t="s">
        <v>13826</v>
      </c>
      <c r="M70" s="680" t="s">
        <v>25</v>
      </c>
      <c r="N70" s="868">
        <f>IFERROR(VLOOKUP(C70,[3]List1!$A:$D,4,FALSE),"N/A!")</f>
        <v>3.7434749999999996E-2</v>
      </c>
      <c r="O70" s="836">
        <f>IFERROR(VLOOKUP(C70,[3]List1!$A:$D,3,FALSE),"N/A!")</f>
        <v>1872.0000000000002</v>
      </c>
      <c r="P70" s="836">
        <f>IFERROR(VLOOKUP(C70,[3]List1!$A:$D,2,FALSE),"N/A!")</f>
        <v>17800</v>
      </c>
      <c r="Q70" s="680" t="s">
        <v>13725</v>
      </c>
      <c r="R70" s="680" t="s">
        <v>207</v>
      </c>
      <c r="S70" s="680"/>
      <c r="T70" s="681">
        <v>10</v>
      </c>
      <c r="U70" s="873"/>
      <c r="V70" s="684" t="str">
        <f>_xlfn.IFNA(HYPERLINK("https://www.klasekpyrotechnics.cz/d1d"),"")</f>
        <v>https://www.klasekpyrotechnics.cz/d1d</v>
      </c>
      <c r="W70" s="685" t="str">
        <f>IFERROR(VLOOKUP($C70,Popisy!A:P,MATCH($W$17,Popisy!$A$7:$P$7,0),FALSE),"---------------")</f>
        <v>Farbige runde Rauchröhren (rot, grün, gelb, blau, weiß, lila)</v>
      </c>
      <c r="X70" s="889" t="str">
        <f t="shared" si="7"/>
        <v/>
      </c>
      <c r="Y70" s="890"/>
      <c r="Z70" s="685">
        <f>IFERROR(IF(VLOOKUP(C70,[4]List1!$A:$D,4,FALSE)=0,"",VLOOKUP(C70,[4]List1!$A:$D,4,FALSE)),"")</f>
        <v>32</v>
      </c>
      <c r="AA70" s="707"/>
      <c r="AB70" s="911" t="str">
        <f>IFERROR(IF(VLOOKUP(C70,[1]List1!$A:$D,2,FALSE)="VYPRODÁNO",$V$9,IF(VLOOKUP(C70,[1]List1!$A:$D,2,FALSE)="DOCHÁZÍ",$V$3,VLOOKUP(C70,[1]List1!$A:$D,2,FALSE))),"OFFLINE!")</f>
        <v>SKLADEM</v>
      </c>
      <c r="AC70" s="911" t="str">
        <f ca="1">IF(AO70="NE",$V$10,IF(AB70=$V$3,IF(AP70&lt;1,$V$8,$V$2&amp;" "&amp;AP70&amp;" "&amp;$V$1),IF(AB70="SKLADEM",$V$6,IFERROR(IF(OR(AB70-TODAY()&gt;21,VLOOKUP(C70,[1]List1!$A:$E,4,FALSE)=0),AB70,DAY(AB70)&amp;"."&amp;MONTH(AB70)&amp;"."&amp;YEAR(AB70)&amp;" "&amp;$V$4&amp;VLOOKUP(C70,[1]List1!$A:$E,4,FALSE)&amp;" "&amp;$V$1),AB70))))</f>
        <v>AUF LAGER</v>
      </c>
      <c r="AD70" s="686" t="str">
        <f ca="1">_xlfn.IFNA(VLOOKUP(C70,'General price list'!C:AM,MATCH($AD$20,'General price list'!$C$20:$AM$20,0),FALSE),"")</f>
        <v>AUF LAGER</v>
      </c>
      <c r="AE70" s="681">
        <f t="shared" ca="1" si="8"/>
        <v>0</v>
      </c>
      <c r="AF70" s="681">
        <f t="shared" ca="1" si="9"/>
        <v>0</v>
      </c>
      <c r="AG70" s="687">
        <f t="shared" ca="1" si="10"/>
        <v>0</v>
      </c>
      <c r="AH70" s="688">
        <f t="shared" ca="1" si="11"/>
        <v>0</v>
      </c>
      <c r="AI70" s="687">
        <f t="shared" ca="1" si="12"/>
        <v>0</v>
      </c>
      <c r="AJ70" s="689" t="str">
        <f t="shared" ca="1" si="13"/>
        <v/>
      </c>
      <c r="AK70" s="689" t="str">
        <f t="shared" ca="1" si="14"/>
        <v/>
      </c>
      <c r="AL70" s="689">
        <f t="shared" ca="1" si="15"/>
        <v>0</v>
      </c>
      <c r="AM70" s="690" t="str">
        <f t="shared" ca="1" si="16"/>
        <v/>
      </c>
      <c r="AN70" s="382"/>
      <c r="AO70" s="314" t="str">
        <f>IF($R$3=1,IF(Y70=AA70,"","NE"),IF(#REF!=$V$10,"NE",""))</f>
        <v/>
      </c>
      <c r="AP70" s="315" t="str">
        <f>IF(AB70=$V$3,IF(VLOOKUP(C70,[1]List1!$A:$E,5,FALSE)=0,1,VLOOKUP(C70,[1]List1!$A:$E,5,FALSE)),"")</f>
        <v/>
      </c>
      <c r="AW70" s="458">
        <f>IFERROR(FIND(VLOOKUP('General price list'!$AB$7,'General price list'!$AC$1:$AD$12,2,FALSE),Q70,1),0)</f>
        <v>16</v>
      </c>
      <c r="AX70" s="458">
        <f>IFERROR(FIND(VLOOKUP('General price list'!$AB$7,'General price list'!$AC$1:$AD$12,2,FALSE),R70,1),0)</f>
        <v>0</v>
      </c>
    </row>
    <row r="71" spans="1:57" ht="15" customHeight="1">
      <c r="A71" s="691" t="str">
        <f>Kat.!C71</f>
        <v xml:space="preserve">                                          </v>
      </c>
      <c r="B71" s="692">
        <v>50</v>
      </c>
      <c r="C71" s="693" t="s">
        <v>234</v>
      </c>
      <c r="D71" s="693" t="s">
        <v>235</v>
      </c>
      <c r="E71" s="694" t="s">
        <v>53</v>
      </c>
      <c r="F71" s="695">
        <f>VLOOKUP(C71,[2]List1!$A:$D,2,FALSE)</f>
        <v>103</v>
      </c>
      <c r="G71" s="696">
        <f t="shared" si="5"/>
        <v>103</v>
      </c>
      <c r="H71" s="697">
        <f t="shared" si="6"/>
        <v>4.2</v>
      </c>
      <c r="I71" s="837">
        <v>36</v>
      </c>
      <c r="J71" s="698" t="s">
        <v>230</v>
      </c>
      <c r="K71" s="856" t="s">
        <v>12593</v>
      </c>
      <c r="L71" s="857" t="s">
        <v>13826</v>
      </c>
      <c r="M71" s="698" t="s">
        <v>25</v>
      </c>
      <c r="N71" s="869">
        <f>IFERROR(VLOOKUP(C71,[3]List1!$A:$D,4,FALSE),"N/A!")</f>
        <v>2.8787499999999994E-2</v>
      </c>
      <c r="O71" s="837">
        <f>IFERROR(VLOOKUP(C71,[3]List1!$A:$D,3,FALSE),"N/A!")</f>
        <v>4320</v>
      </c>
      <c r="P71" s="837">
        <f>IFERROR(VLOOKUP(C71,[3]List1!$A:$D,2,FALSE),"N/A!")</f>
        <v>13600</v>
      </c>
      <c r="Q71" s="698" t="s">
        <v>13726</v>
      </c>
      <c r="R71" s="698" t="s">
        <v>18</v>
      </c>
      <c r="S71" s="698"/>
      <c r="T71" s="695">
        <v>40</v>
      </c>
      <c r="U71" s="874"/>
      <c r="V71" s="699" t="str">
        <f>_xlfn.IFNA(HYPERLINK("https://www.klasekpyrotechnics.cz/d2c"),"")</f>
        <v>https://www.klasekpyrotechnics.cz/d2c</v>
      </c>
      <c r="W71" s="700" t="str">
        <f>IFERROR(VLOOKUP($C71,Popisy!A:P,MATCH($W$17,Popisy!$A$7:$P$7,0),FALSE),"---------------")</f>
        <v>Rauchröhren (Tube) - blau, rot, gelb, grün</v>
      </c>
      <c r="X71" s="891" t="str">
        <f t="shared" si="7"/>
        <v/>
      </c>
      <c r="Y71" s="892"/>
      <c r="Z71" s="700">
        <f>IFERROR(IF(VLOOKUP(C71,[4]List1!$A:$D,4,FALSE)=0,"",VLOOKUP(C71,[4]List1!$A:$D,4,FALSE)),"")</f>
        <v>42</v>
      </c>
      <c r="AA71" s="707"/>
      <c r="AB71" s="912" t="str">
        <f>IFERROR(IF(VLOOKUP(C71,[1]List1!$A:$D,2,FALSE)="VYPRODÁNO",$V$9,IF(VLOOKUP(C71,[1]List1!$A:$D,2,FALSE)="DOCHÁZÍ",$V$3,VLOOKUP(C71,[1]List1!$A:$D,2,FALSE))),"OFFLINE!")</f>
        <v>SKLADEM</v>
      </c>
      <c r="AC71" s="912" t="str">
        <f ca="1">IF(AO71="NE",$V$10,IF(AB71=$V$3,IF(AP71&lt;1,$V$8,$V$2&amp;" "&amp;AP71&amp;" "&amp;$V$1),IF(AB71="SKLADEM",$V$6,IFERROR(IF(OR(AB71-TODAY()&gt;21,VLOOKUP(C71,[1]List1!$A:$E,4,FALSE)=0),AB71,DAY(AB71)&amp;"."&amp;MONTH(AB71)&amp;"."&amp;YEAR(AB71)&amp;" "&amp;$V$4&amp;VLOOKUP(C71,[1]List1!$A:$E,4,FALSE)&amp;" "&amp;$V$1),AB71))))</f>
        <v>AUF LAGER</v>
      </c>
      <c r="AD71" s="701" t="str">
        <f ca="1">_xlfn.IFNA(VLOOKUP(C71,'General price list'!C:AM,MATCH($AD$20,'General price list'!$C$20:$AM$20,0),FALSE),"")</f>
        <v>AUF LAGER</v>
      </c>
      <c r="AE71" s="695">
        <f t="shared" ca="1" si="8"/>
        <v>0</v>
      </c>
      <c r="AF71" s="695">
        <f t="shared" ca="1" si="9"/>
        <v>0</v>
      </c>
      <c r="AG71" s="702">
        <f t="shared" ca="1" si="10"/>
        <v>0</v>
      </c>
      <c r="AH71" s="703">
        <f t="shared" ca="1" si="11"/>
        <v>0</v>
      </c>
      <c r="AI71" s="702">
        <f t="shared" ca="1" si="12"/>
        <v>0</v>
      </c>
      <c r="AJ71" s="704" t="str">
        <f t="shared" ca="1" si="13"/>
        <v/>
      </c>
      <c r="AK71" s="704" t="str">
        <f t="shared" ca="1" si="14"/>
        <v/>
      </c>
      <c r="AL71" s="704">
        <f t="shared" ca="1" si="15"/>
        <v>0</v>
      </c>
      <c r="AM71" s="705" t="str">
        <f t="shared" ca="1" si="16"/>
        <v/>
      </c>
      <c r="AN71" s="382"/>
      <c r="AO71" s="314" t="str">
        <f>IF($R$3=1,IF(Y71=AA71,"","NE"),IF(#REF!=$V$10,"NE",""))</f>
        <v/>
      </c>
      <c r="AP71" s="315" t="str">
        <f>IF(AB71=$V$3,IF(VLOOKUP(C71,[1]List1!$A:$E,5,FALSE)=0,1,VLOOKUP(C71,[1]List1!$A:$E,5,FALSE)),"")</f>
        <v/>
      </c>
      <c r="AW71" s="458">
        <f>IFERROR(FIND(VLOOKUP('General price list'!$AB$7,'General price list'!$AC$1:$AD$12,2,FALSE),Q71,1),0)</f>
        <v>0</v>
      </c>
      <c r="AX71" s="458">
        <f>IFERROR(FIND(VLOOKUP('General price list'!$AB$7,'General price list'!$AC$1:$AD$12,2,FALSE),R71,1),0)</f>
        <v>0</v>
      </c>
    </row>
    <row r="72" spans="1:57" ht="15" customHeight="1">
      <c r="A72" s="677" t="str">
        <f>Kat.!C72</f>
        <v xml:space="preserve">                                          </v>
      </c>
      <c r="B72" s="678">
        <v>51</v>
      </c>
      <c r="C72" s="679" t="s">
        <v>239</v>
      </c>
      <c r="D72" s="679" t="s">
        <v>240</v>
      </c>
      <c r="E72" s="680" t="s">
        <v>53</v>
      </c>
      <c r="F72" s="681">
        <f>VLOOKUP(C72,[2]List1!$A:$D,2,FALSE)</f>
        <v>103</v>
      </c>
      <c r="G72" s="682">
        <f t="shared" si="5"/>
        <v>103</v>
      </c>
      <c r="H72" s="683">
        <f t="shared" si="6"/>
        <v>4.2</v>
      </c>
      <c r="I72" s="836">
        <v>36</v>
      </c>
      <c r="J72" s="680" t="s">
        <v>230</v>
      </c>
      <c r="K72" s="854"/>
      <c r="L72" s="855" t="s">
        <v>13826</v>
      </c>
      <c r="M72" s="680" t="s">
        <v>25</v>
      </c>
      <c r="N72" s="868">
        <f>IFERROR(VLOOKUP(C72,[3]List1!$A:$D,4,FALSE),"N/A!")</f>
        <v>2.8787499999999994E-2</v>
      </c>
      <c r="O72" s="836">
        <f>IFERROR(VLOOKUP(C72,[3]List1!$A:$D,3,FALSE),"N/A!")</f>
        <v>4320</v>
      </c>
      <c r="P72" s="836">
        <f>IFERROR(VLOOKUP(C72,[3]List1!$A:$D,2,FALSE),"N/A!")</f>
        <v>14300</v>
      </c>
      <c r="Q72" s="680" t="s">
        <v>13727</v>
      </c>
      <c r="R72" s="680" t="s">
        <v>18</v>
      </c>
      <c r="S72" s="680"/>
      <c r="T72" s="681">
        <v>40</v>
      </c>
      <c r="U72" s="873"/>
      <c r="V72" s="684" t="str">
        <f>_xlfn.IFNA(HYPERLINK("https://www.klasekpyrotechnics.cz/d2cn"),"")</f>
        <v>https://www.klasekpyrotechnics.cz/d2cn</v>
      </c>
      <c r="W72" s="685" t="str">
        <f>IFERROR(VLOOKUP($C72,Popisy!A:P,MATCH($W$17,Popisy!$A$7:$P$7,0),FALSE),"---------------")</f>
        <v>smoke tube(orange,lila,weiß,schwarz)</v>
      </c>
      <c r="X72" s="889" t="str">
        <f t="shared" si="7"/>
        <v/>
      </c>
      <c r="Y72" s="890"/>
      <c r="Z72" s="685">
        <f>IFERROR(IF(VLOOKUP(C72,[4]List1!$A:$D,4,FALSE)=0,"",VLOOKUP(C72,[4]List1!$A:$D,4,FALSE)),"")</f>
        <v>42</v>
      </c>
      <c r="AA72" s="707"/>
      <c r="AB72" s="911" t="str">
        <f>IFERROR(IF(VLOOKUP(C72,[1]List1!$A:$D,2,FALSE)="VYPRODÁNO",$V$9,IF(VLOOKUP(C72,[1]List1!$A:$D,2,FALSE)="DOCHÁZÍ",$V$3,VLOOKUP(C72,[1]List1!$A:$D,2,FALSE))),"OFFLINE!")</f>
        <v>SKLADEM</v>
      </c>
      <c r="AC72" s="911" t="str">
        <f ca="1">IF(AO72="NE",$V$10,IF(AB72=$V$3,IF(AP72&lt;1,$V$8,$V$2&amp;" "&amp;AP72&amp;" "&amp;$V$1),IF(AB72="SKLADEM",$V$6,IFERROR(IF(OR(AB72-TODAY()&gt;21,VLOOKUP(C72,[1]List1!$A:$E,4,FALSE)=0),AB72,DAY(AB72)&amp;"."&amp;MONTH(AB72)&amp;"."&amp;YEAR(AB72)&amp;" "&amp;$V$4&amp;VLOOKUP(C72,[1]List1!$A:$E,4,FALSE)&amp;" "&amp;$V$1),AB72))))</f>
        <v>AUF LAGER</v>
      </c>
      <c r="AD72" s="686">
        <f>_xlfn.IFNA(VLOOKUP(C72,'General price list'!C:AM,MATCH($AD$20,'General price list'!$C$20:$AM$20,0),FALSE),"")</f>
        <v>0</v>
      </c>
      <c r="AE72" s="681">
        <f t="shared" si="8"/>
        <v>0</v>
      </c>
      <c r="AF72" s="681">
        <f t="shared" si="9"/>
        <v>0</v>
      </c>
      <c r="AG72" s="687">
        <f t="shared" si="10"/>
        <v>0</v>
      </c>
      <c r="AH72" s="688">
        <f t="shared" si="11"/>
        <v>0</v>
      </c>
      <c r="AI72" s="687">
        <f t="shared" si="12"/>
        <v>0</v>
      </c>
      <c r="AJ72" s="689" t="str">
        <f t="shared" si="13"/>
        <v/>
      </c>
      <c r="AK72" s="689" t="str">
        <f t="shared" si="14"/>
        <v/>
      </c>
      <c r="AL72" s="689">
        <f t="shared" si="15"/>
        <v>0</v>
      </c>
      <c r="AM72" s="690" t="str">
        <f t="shared" si="16"/>
        <v/>
      </c>
      <c r="AN72" s="381"/>
      <c r="AO72" s="314" t="str">
        <f>IF($R$3=1,IF(Y72=AA72,"","NE"),IF(#REF!=$V$10,"NE",""))</f>
        <v/>
      </c>
      <c r="AP72" s="291" t="str">
        <f>IF(AB72=$V$3,IF(VLOOKUP(C72,[1]List1!$A:$E,5,FALSE)=0,1,VLOOKUP(C72,[1]List1!$A:$E,5,FALSE)),"")</f>
        <v/>
      </c>
      <c r="AW72" s="458">
        <f>IFERROR(FIND(VLOOKUP('General price list'!$AB$7,'General price list'!$AC$1:$AD$12,2,FALSE),Q72,1),0)</f>
        <v>10</v>
      </c>
      <c r="AX72" s="458">
        <f>IFERROR(FIND(VLOOKUP('General price list'!$AB$7,'General price list'!$AC$1:$AD$12,2,FALSE),R72,1),0)</f>
        <v>0</v>
      </c>
      <c r="BC72" s="292"/>
      <c r="BD72" s="292"/>
      <c r="BE72" s="292"/>
    </row>
    <row r="73" spans="1:57" ht="15" customHeight="1">
      <c r="A73" s="691" t="str">
        <f>Kat.!C73</f>
        <v>×</v>
      </c>
      <c r="B73" s="692">
        <v>52</v>
      </c>
      <c r="C73" s="693" t="s">
        <v>3259</v>
      </c>
      <c r="D73" s="693" t="s">
        <v>12561</v>
      </c>
      <c r="E73" s="694" t="s">
        <v>53</v>
      </c>
      <c r="F73" s="695">
        <f>VLOOKUP(C73,[2]List1!$A:$D,2,FALSE)</f>
        <v>103</v>
      </c>
      <c r="G73" s="696">
        <f t="shared" si="5"/>
        <v>103</v>
      </c>
      <c r="H73" s="697">
        <f t="shared" si="6"/>
        <v>4.2</v>
      </c>
      <c r="I73" s="837">
        <v>36</v>
      </c>
      <c r="J73" s="698" t="s">
        <v>230</v>
      </c>
      <c r="K73" s="856"/>
      <c r="L73" s="857" t="s">
        <v>13826</v>
      </c>
      <c r="M73" s="698" t="s">
        <v>25</v>
      </c>
      <c r="N73" s="869">
        <f>IFERROR(VLOOKUP(C73,[3]List1!$A:$D,4,FALSE),"N/A!")</f>
        <v>2.8787499999999994E-2</v>
      </c>
      <c r="O73" s="837">
        <f>IFERROR(VLOOKUP(C73,[3]List1!$A:$D,3,FALSE),"N/A!")</f>
        <v>4320</v>
      </c>
      <c r="P73" s="837">
        <f>IFERROR(VLOOKUP(C73,[3]List1!$A:$D,2,FALSE),"N/A!")</f>
        <v>13600</v>
      </c>
      <c r="Q73" s="698" t="s">
        <v>207</v>
      </c>
      <c r="R73" s="698" t="s">
        <v>18</v>
      </c>
      <c r="S73" s="698"/>
      <c r="T73" s="695">
        <v>40</v>
      </c>
      <c r="U73" s="874"/>
      <c r="V73" s="699" t="str">
        <f>_xlfn.IFNA(HYPERLINK("https://www.klasekpyrotechnics.cz/d2c_1"),"")</f>
        <v>https://www.klasekpyrotechnics.cz/d2c_1</v>
      </c>
      <c r="W73" s="700" t="str">
        <f>IFERROR(VLOOKUP($C73,Popisy!A:P,MATCH($W$17,Popisy!$A$7:$P$7,0),FALSE),"---------------")</f>
        <v>Rauchröhren (Tube) - blau, rot, gelb, grün</v>
      </c>
      <c r="X73" s="891" t="str">
        <f t="shared" si="7"/>
        <v/>
      </c>
      <c r="Y73" s="892"/>
      <c r="Z73" s="700">
        <f>IFERROR(IF(VLOOKUP(C73,[4]List1!$A:$D,4,FALSE)=0,"",VLOOKUP(C73,[4]List1!$A:$D,4,FALSE)),"")</f>
        <v>42</v>
      </c>
      <c r="AA73" s="707"/>
      <c r="AB73" s="912" t="str">
        <f>IFERROR(IF(VLOOKUP(C73,[1]List1!$A:$D,2,FALSE)="VYPRODÁNO",$V$9,IF(VLOOKUP(C73,[1]List1!$A:$D,2,FALSE)="DOCHÁZÍ",$V$3,VLOOKUP(C73,[1]List1!$A:$D,2,FALSE))),"OFFLINE!")</f>
        <v>SKLADEM</v>
      </c>
      <c r="AC73" s="912" t="str">
        <f ca="1">IF(AO73="NE",$V$10,IF(AB73=$V$3,IF(AP73&lt;1,$V$8,$V$2&amp;" "&amp;AP73&amp;" "&amp;$V$1),IF(AB73="SKLADEM",$V$6,IFERROR(IF(OR(AB73-TODAY()&gt;21,VLOOKUP(C73,[1]List1!$A:$E,4,FALSE)=0),AB73,DAY(AB73)&amp;"."&amp;MONTH(AB73)&amp;"."&amp;YEAR(AB73)&amp;" "&amp;$V$4&amp;VLOOKUP(C73,[1]List1!$A:$E,4,FALSE)&amp;" "&amp;$V$1),AB73))))</f>
        <v>AUF LAGER</v>
      </c>
      <c r="AD73" s="701" t="str">
        <f ca="1">_xlfn.IFNA(VLOOKUP(C73,'General price list'!C:AM,MATCH($AD$20,'General price list'!$C$20:$AM$20,0),FALSE),"")</f>
        <v>AUF LAGER</v>
      </c>
      <c r="AE73" s="695">
        <f t="shared" ca="1" si="8"/>
        <v>0</v>
      </c>
      <c r="AF73" s="695">
        <f t="shared" ca="1" si="9"/>
        <v>0</v>
      </c>
      <c r="AG73" s="702">
        <f t="shared" ca="1" si="10"/>
        <v>0</v>
      </c>
      <c r="AH73" s="703">
        <f t="shared" ca="1" si="11"/>
        <v>0</v>
      </c>
      <c r="AI73" s="702">
        <f t="shared" ca="1" si="12"/>
        <v>0</v>
      </c>
      <c r="AJ73" s="704" t="str">
        <f t="shared" ca="1" si="13"/>
        <v/>
      </c>
      <c r="AK73" s="704" t="str">
        <f t="shared" ca="1" si="14"/>
        <v/>
      </c>
      <c r="AL73" s="704">
        <f t="shared" ca="1" si="15"/>
        <v>0</v>
      </c>
      <c r="AM73" s="705" t="str">
        <f t="shared" ca="1" si="16"/>
        <v/>
      </c>
      <c r="AN73" s="382"/>
      <c r="AO73" s="314" t="str">
        <f>IF($R$3=1,IF(Y73=AA73,"","NE"),IF(#REF!=$V$10,"NE",""))</f>
        <v/>
      </c>
      <c r="AP73" s="315" t="str">
        <f>IF(AB73=$V$3,IF(VLOOKUP(C73,[1]List1!$A:$E,5,FALSE)=0,1,VLOOKUP(C73,[1]List1!$A:$E,5,FALSE)),"")</f>
        <v/>
      </c>
      <c r="AW73" s="458">
        <f>IFERROR(FIND(VLOOKUP('General price list'!$AB$7,'General price list'!$AC$1:$AD$12,2,FALSE),Q73,1),0)</f>
        <v>0</v>
      </c>
      <c r="AX73" s="458">
        <f>IFERROR(FIND(VLOOKUP('General price list'!$AB$7,'General price list'!$AC$1:$AD$12,2,FALSE),R73,1),0)</f>
        <v>0</v>
      </c>
    </row>
    <row r="74" spans="1:57" ht="15" customHeight="1">
      <c r="A74" s="677" t="str">
        <f>Kat.!C74</f>
        <v>×</v>
      </c>
      <c r="B74" s="678">
        <v>53</v>
      </c>
      <c r="C74" s="679" t="s">
        <v>3260</v>
      </c>
      <c r="D74" s="679" t="s">
        <v>12561</v>
      </c>
      <c r="E74" s="680" t="s">
        <v>53</v>
      </c>
      <c r="F74" s="681">
        <f>VLOOKUP(C74,[2]List1!$A:$D,2,FALSE)</f>
        <v>103</v>
      </c>
      <c r="G74" s="682">
        <f t="shared" si="5"/>
        <v>103</v>
      </c>
      <c r="H74" s="683">
        <f t="shared" si="6"/>
        <v>4.2</v>
      </c>
      <c r="I74" s="836">
        <v>36</v>
      </c>
      <c r="J74" s="680" t="s">
        <v>230</v>
      </c>
      <c r="K74" s="854"/>
      <c r="L74" s="855" t="s">
        <v>13826</v>
      </c>
      <c r="M74" s="680" t="s">
        <v>25</v>
      </c>
      <c r="N74" s="868">
        <f>IFERROR(VLOOKUP(C74,[3]List1!$A:$D,4,FALSE),"N/A!")</f>
        <v>2.8787499999999994E-2</v>
      </c>
      <c r="O74" s="836">
        <f>IFERROR(VLOOKUP(C74,[3]List1!$A:$D,3,FALSE),"N/A!")</f>
        <v>4320</v>
      </c>
      <c r="P74" s="836">
        <f>IFERROR(VLOOKUP(C74,[3]List1!$A:$D,2,FALSE),"N/A!")</f>
        <v>14300</v>
      </c>
      <c r="Q74" s="680" t="s">
        <v>207</v>
      </c>
      <c r="R74" s="680" t="s">
        <v>18</v>
      </c>
      <c r="S74" s="680"/>
      <c r="T74" s="681">
        <v>40</v>
      </c>
      <c r="U74" s="873"/>
      <c r="V74" s="684" t="str">
        <f>_xlfn.IFNA(HYPERLINK("https://www.klasekpyrotechnics.cz/d2cn_1"),"")</f>
        <v>https://www.klasekpyrotechnics.cz/d2cn_1</v>
      </c>
      <c r="W74" s="685" t="str">
        <f>IFERROR(VLOOKUP($C74,Popisy!A:P,MATCH($W$17,Popisy!$A$7:$P$7,0),FALSE),"---------------")</f>
        <v>smoke tube(orange,lila,weiß,schwarz)</v>
      </c>
      <c r="X74" s="889" t="str">
        <f t="shared" si="7"/>
        <v/>
      </c>
      <c r="Y74" s="890"/>
      <c r="Z74" s="685">
        <f>IFERROR(IF(VLOOKUP(C74,[4]List1!$A:$D,4,FALSE)=0,"",VLOOKUP(C74,[4]List1!$A:$D,4,FALSE)),"")</f>
        <v>42</v>
      </c>
      <c r="AA74" s="707"/>
      <c r="AB74" s="911" t="str">
        <f>IFERROR(IF(VLOOKUP(C74,[1]List1!$A:$D,2,FALSE)="VYPRODÁNO",$V$9,IF(VLOOKUP(C74,[1]List1!$A:$D,2,FALSE)="DOCHÁZÍ",$V$3,VLOOKUP(C74,[1]List1!$A:$D,2,FALSE))),"OFFLINE!")</f>
        <v>SKLADEM</v>
      </c>
      <c r="AC74" s="911" t="str">
        <f ca="1">IF(AO74="NE",$V$10,IF(AB74=$V$3,IF(AP74&lt;1,$V$8,$V$2&amp;" "&amp;AP74&amp;" "&amp;$V$1),IF(AB74="SKLADEM",$V$6,IFERROR(IF(OR(AB74-TODAY()&gt;21,VLOOKUP(C74,[1]List1!$A:$E,4,FALSE)=0),AB74,DAY(AB74)&amp;"."&amp;MONTH(AB74)&amp;"."&amp;YEAR(AB74)&amp;" "&amp;$V$4&amp;VLOOKUP(C74,[1]List1!$A:$E,4,FALSE)&amp;" "&amp;$V$1),AB74))))</f>
        <v>AUF LAGER</v>
      </c>
      <c r="AD74" s="686" t="str">
        <f ca="1">_xlfn.IFNA(VLOOKUP(C74,'General price list'!C:AM,MATCH($AD$20,'General price list'!$C$20:$AM$20,0),FALSE),"")</f>
        <v>AUF LAGER</v>
      </c>
      <c r="AE74" s="681">
        <f t="shared" ca="1" si="8"/>
        <v>0</v>
      </c>
      <c r="AF74" s="681">
        <f t="shared" ca="1" si="9"/>
        <v>0</v>
      </c>
      <c r="AG74" s="687">
        <f t="shared" ca="1" si="10"/>
        <v>0</v>
      </c>
      <c r="AH74" s="688">
        <f t="shared" ca="1" si="11"/>
        <v>0</v>
      </c>
      <c r="AI74" s="687">
        <f t="shared" ca="1" si="12"/>
        <v>0</v>
      </c>
      <c r="AJ74" s="689" t="str">
        <f t="shared" ca="1" si="13"/>
        <v/>
      </c>
      <c r="AK74" s="689" t="str">
        <f t="shared" ca="1" si="14"/>
        <v/>
      </c>
      <c r="AL74" s="689">
        <f t="shared" ca="1" si="15"/>
        <v>0</v>
      </c>
      <c r="AM74" s="690" t="str">
        <f t="shared" ca="1" si="16"/>
        <v/>
      </c>
      <c r="AN74" s="382"/>
      <c r="AO74" s="314" t="str">
        <f>IF($R$3=1,IF(Y74=AA74,"","NE"),IF(#REF!=$V$10,"NE",""))</f>
        <v/>
      </c>
      <c r="AP74" s="315" t="str">
        <f>IF(AB74=$V$3,IF(VLOOKUP(C74,[1]List1!$A:$E,5,FALSE)=0,1,VLOOKUP(C74,[1]List1!$A:$E,5,FALSE)),"")</f>
        <v/>
      </c>
      <c r="AW74" s="458">
        <f>IFERROR(FIND(VLOOKUP('General price list'!$AB$7,'General price list'!$AC$1:$AD$12,2,FALSE),Q74,1),0)</f>
        <v>0</v>
      </c>
      <c r="AX74" s="458">
        <f>IFERROR(FIND(VLOOKUP('General price list'!$AB$7,'General price list'!$AC$1:$AD$12,2,FALSE),R74,1),0)</f>
        <v>0</v>
      </c>
    </row>
    <row r="75" spans="1:57" ht="15" customHeight="1">
      <c r="A75" s="691" t="str">
        <f>Kat.!C75</f>
        <v xml:space="preserve">                                          </v>
      </c>
      <c r="B75" s="692">
        <v>54</v>
      </c>
      <c r="C75" s="693" t="s">
        <v>2301</v>
      </c>
      <c r="D75" s="693" t="s">
        <v>2302</v>
      </c>
      <c r="E75" s="694" t="s">
        <v>168</v>
      </c>
      <c r="F75" s="695">
        <f>VLOOKUP(C75,[2]List1!$A:$D,2,FALSE)</f>
        <v>55</v>
      </c>
      <c r="G75" s="696">
        <f t="shared" si="5"/>
        <v>55</v>
      </c>
      <c r="H75" s="697">
        <f t="shared" si="6"/>
        <v>2.2000000000000002</v>
      </c>
      <c r="I75" s="837">
        <v>72</v>
      </c>
      <c r="J75" s="698" t="s">
        <v>230</v>
      </c>
      <c r="K75" s="856"/>
      <c r="L75" s="857" t="s">
        <v>13826</v>
      </c>
      <c r="M75" s="698" t="s">
        <v>25</v>
      </c>
      <c r="N75" s="869">
        <f>IFERROR(VLOOKUP(C75,[3]List1!$A:$D,4,FALSE),"N/A!")</f>
        <v>1.44E-2</v>
      </c>
      <c r="O75" s="837">
        <f>IFERROR(VLOOKUP(C75,[3]List1!$A:$D,3,FALSE),"N/A!")</f>
        <v>5472</v>
      </c>
      <c r="P75" s="837">
        <f>IFERROR(VLOOKUP(C75,[3]List1!$A:$D,2,FALSE),"N/A!")</f>
        <v>5000</v>
      </c>
      <c r="Q75" s="698" t="s">
        <v>610</v>
      </c>
      <c r="R75" s="698" t="s">
        <v>24</v>
      </c>
      <c r="S75" s="698"/>
      <c r="T75" s="695">
        <v>180</v>
      </c>
      <c r="U75" s="874"/>
      <c r="V75" s="699" t="str">
        <f>_xlfn.IFNA(HYPERLINK("https://www.klasekpyrotechnics.cz/d3sk"),"")</f>
        <v>https://www.klasekpyrotechnics.cz/d3sk</v>
      </c>
      <c r="W75" s="700" t="str">
        <f>IFERROR(VLOOKUP($C75,Popisy!A:P,MATCH($W$17,Popisy!$A$7:$P$7,0),FALSE),"---------------")</f>
        <v>Mole abweisender Rauch (Rauch + Geruch)</v>
      </c>
      <c r="X75" s="891" t="str">
        <f t="shared" si="7"/>
        <v/>
      </c>
      <c r="Y75" s="892"/>
      <c r="Z75" s="700" t="str">
        <f>IFERROR(IF(VLOOKUP(C75,[4]List1!$A:$D,4,FALSE)=0,"",VLOOKUP(C75,[4]List1!$A:$D,4,FALSE)),"")</f>
        <v>105</v>
      </c>
      <c r="AA75" s="707"/>
      <c r="AB75" s="912" t="str">
        <f>IFERROR(IF(VLOOKUP(C75,[1]List1!$A:$D,2,FALSE)="VYPRODÁNO",$V$9,IF(VLOOKUP(C75,[1]List1!$A:$D,2,FALSE)="DOCHÁZÍ",$V$3,VLOOKUP(C75,[1]List1!$A:$D,2,FALSE))),"OFFLINE!")</f>
        <v>SKLADEM</v>
      </c>
      <c r="AC75" s="912" t="str">
        <f ca="1">IF(AO75="NE",$V$10,IF(AB75=$V$3,IF(AP75&lt;1,$V$8,$V$2&amp;" "&amp;AP75&amp;" "&amp;$V$1),IF(AB75="SKLADEM",$V$6,IFERROR(IF(OR(AB75-TODAY()&gt;21,VLOOKUP(C75,[1]List1!$A:$E,4,FALSE)=0),AB75,DAY(AB75)&amp;"."&amp;MONTH(AB75)&amp;"."&amp;YEAR(AB75)&amp;" "&amp;$V$4&amp;VLOOKUP(C75,[1]List1!$A:$E,4,FALSE)&amp;" "&amp;$V$1),AB75))))</f>
        <v>AUF LAGER</v>
      </c>
      <c r="AD75" s="701" t="str">
        <f ca="1">_xlfn.IFNA(VLOOKUP(C75,'General price list'!C:AM,MATCH($AD$20,'General price list'!$C$20:$AM$20,0),FALSE),"")</f>
        <v>AUF LAGER</v>
      </c>
      <c r="AE75" s="695">
        <f t="shared" ca="1" si="8"/>
        <v>0</v>
      </c>
      <c r="AF75" s="695">
        <f t="shared" ca="1" si="9"/>
        <v>0</v>
      </c>
      <c r="AG75" s="702">
        <f t="shared" ca="1" si="10"/>
        <v>0</v>
      </c>
      <c r="AH75" s="703">
        <f t="shared" ca="1" si="11"/>
        <v>0</v>
      </c>
      <c r="AI75" s="702">
        <f t="shared" ca="1" si="12"/>
        <v>0</v>
      </c>
      <c r="AJ75" s="704" t="str">
        <f t="shared" ca="1" si="13"/>
        <v/>
      </c>
      <c r="AK75" s="704" t="str">
        <f t="shared" ca="1" si="14"/>
        <v/>
      </c>
      <c r="AL75" s="704">
        <f t="shared" ca="1" si="15"/>
        <v>0</v>
      </c>
      <c r="AM75" s="705" t="str">
        <f t="shared" ca="1" si="16"/>
        <v/>
      </c>
      <c r="AN75" s="382"/>
      <c r="AO75" s="314" t="str">
        <f>IF($R$3=1,IF(Y75=AA75,"","NE"),IF(#REF!=$V$10,"NE",""))</f>
        <v/>
      </c>
      <c r="AP75" s="315" t="str">
        <f>IF(AB75=$V$3,IF(VLOOKUP(C75,[1]List1!$A:$E,5,FALSE)=0,1,VLOOKUP(C75,[1]List1!$A:$E,5,FALSE)),"")</f>
        <v/>
      </c>
      <c r="AW75" s="458">
        <f>IFERROR(FIND(VLOOKUP('General price list'!$AB$7,'General price list'!$AC$1:$AD$12,2,FALSE),Q75,1),0)</f>
        <v>0</v>
      </c>
      <c r="AX75" s="458">
        <f>IFERROR(FIND(VLOOKUP('General price list'!$AB$7,'General price list'!$AC$1:$AD$12,2,FALSE),R75,1),0)</f>
        <v>0</v>
      </c>
    </row>
    <row r="76" spans="1:57" ht="15" customHeight="1">
      <c r="A76" s="677" t="str">
        <f>Kat.!C76</f>
        <v xml:space="preserve">                                          </v>
      </c>
      <c r="B76" s="678">
        <v>55</v>
      </c>
      <c r="C76" s="679" t="s">
        <v>244</v>
      </c>
      <c r="D76" s="679" t="s">
        <v>245</v>
      </c>
      <c r="E76" s="680" t="s">
        <v>13633</v>
      </c>
      <c r="F76" s="681">
        <f>VLOOKUP(C76,[2]List1!$A:$D,2,FALSE)</f>
        <v>250</v>
      </c>
      <c r="G76" s="682">
        <f t="shared" si="5"/>
        <v>250</v>
      </c>
      <c r="H76" s="683">
        <f t="shared" si="6"/>
        <v>10.199999999999999</v>
      </c>
      <c r="I76" s="836">
        <v>12</v>
      </c>
      <c r="J76" s="680" t="s">
        <v>247</v>
      </c>
      <c r="K76" s="854">
        <v>5</v>
      </c>
      <c r="L76" s="855" t="s">
        <v>13827</v>
      </c>
      <c r="M76" s="680" t="s">
        <v>25</v>
      </c>
      <c r="N76" s="868">
        <f>IFERROR(VLOOKUP(C76,[3]List1!$A:$D,4,FALSE),"N/A!")</f>
        <v>1.7199000000000002E-2</v>
      </c>
      <c r="O76" s="836">
        <f>IFERROR(VLOOKUP(C76,[3]List1!$A:$D,3,FALSE),"N/A!")</f>
        <v>5000</v>
      </c>
      <c r="P76" s="836">
        <f>IFERROR(VLOOKUP(C76,[3]List1!$A:$D,2,FALSE),"N/A!")</f>
        <v>8700</v>
      </c>
      <c r="Q76" s="680" t="s">
        <v>13728</v>
      </c>
      <c r="R76" s="680" t="s">
        <v>2566</v>
      </c>
      <c r="S76" s="680"/>
      <c r="T76" s="681">
        <v>35</v>
      </c>
      <c r="U76" s="873"/>
      <c r="V76" s="684" t="str">
        <f>_xlfn.IFNA(HYPERLINK("https://www.klasekpyrotechnics.cz/rdg1b"),"")</f>
        <v>https://www.klasekpyrotechnics.cz/rdg1b</v>
      </c>
      <c r="W76" s="685" t="str">
        <f>IFERROR(VLOOKUP($C76,Popisy!A:P,MATCH($W$17,Popisy!$A$7:$P$7,0),FALSE),"---------------")</f>
        <v>Rauchröhre (Tube) - weiße Farbe</v>
      </c>
      <c r="X76" s="889" t="str">
        <f t="shared" si="7"/>
        <v/>
      </c>
      <c r="Y76" s="890"/>
      <c r="Z76" s="685" t="str">
        <f>IFERROR(IF(VLOOKUP(C76,[4]List1!$A:$D,4,FALSE)=0,"",VLOOKUP(C76,[4]List1!$A:$D,4,FALSE)),"")</f>
        <v>72</v>
      </c>
      <c r="AA76" s="707"/>
      <c r="AB76" s="911" t="str">
        <f>IFERROR(IF(VLOOKUP(C76,[1]List1!$A:$D,2,FALSE)="VYPRODÁNO",$V$9,IF(VLOOKUP(C76,[1]List1!$A:$D,2,FALSE)="DOCHÁZÍ",$V$3,VLOOKUP(C76,[1]List1!$A:$D,2,FALSE))),"OFFLINE!")</f>
        <v>15.06.2024</v>
      </c>
      <c r="AC76" s="911" t="str">
        <f ca="1">IF(AO76="NE",$V$10,IF(AB76=$V$3,IF(AP76&lt;1,$V$8,$V$2&amp;" "&amp;AP76&amp;" "&amp;$V$1),IF(AB76="SKLADEM",$V$6,IFERROR(IF(OR(AB76-TODAY()&gt;21,VLOOKUP(C76,[1]List1!$A:$E,4,FALSE)=0),AB76,DAY(AB76)&amp;"."&amp;MONTH(AB76)&amp;"."&amp;YEAR(AB76)&amp;" "&amp;$V$4&amp;VLOOKUP(C76,[1]List1!$A:$E,4,FALSE)&amp;" "&amp;$V$1),AB76))))</f>
        <v>15.06.2024</v>
      </c>
      <c r="AD76" s="686" t="str">
        <f ca="1">_xlfn.IFNA(VLOOKUP(C76,'General price list'!C:AM,MATCH($AD$20,'General price list'!$C$20:$AM$20,0),FALSE),"")</f>
        <v>15.06.2024</v>
      </c>
      <c r="AE76" s="681">
        <f t="shared" ca="1" si="8"/>
        <v>0</v>
      </c>
      <c r="AF76" s="681">
        <f t="shared" ca="1" si="9"/>
        <v>0</v>
      </c>
      <c r="AG76" s="687">
        <f t="shared" ca="1" si="10"/>
        <v>0</v>
      </c>
      <c r="AH76" s="688">
        <f t="shared" ca="1" si="11"/>
        <v>0</v>
      </c>
      <c r="AI76" s="687">
        <f t="shared" ca="1" si="12"/>
        <v>0</v>
      </c>
      <c r="AJ76" s="689" t="str">
        <f t="shared" ca="1" si="13"/>
        <v/>
      </c>
      <c r="AK76" s="689" t="str">
        <f t="shared" ca="1" si="14"/>
        <v/>
      </c>
      <c r="AL76" s="689">
        <f t="shared" ca="1" si="15"/>
        <v>0</v>
      </c>
      <c r="AM76" s="690" t="str">
        <f t="shared" ca="1" si="16"/>
        <v/>
      </c>
      <c r="AN76" s="382"/>
      <c r="AO76" s="314" t="str">
        <f>IF($R$3=1,IF(Y76=AA76,"","NE"),IF(#REF!=$V$10,"NE",""))</f>
        <v/>
      </c>
      <c r="AP76" s="315" t="str">
        <f>IF(AB76=$V$3,IF(VLOOKUP(C76,[1]List1!$A:$E,5,FALSE)=0,1,VLOOKUP(C76,[1]List1!$A:$E,5,FALSE)),"")</f>
        <v/>
      </c>
      <c r="AW76" s="458">
        <f>IFERROR(FIND(VLOOKUP('General price list'!$AB$7,'General price list'!$AC$1:$AD$12,2,FALSE),Q76,1),0)</f>
        <v>10</v>
      </c>
      <c r="AX76" s="458">
        <f>IFERROR(FIND(VLOOKUP('General price list'!$AB$7,'General price list'!$AC$1:$AD$12,2,FALSE),R76,1),0)</f>
        <v>0</v>
      </c>
    </row>
    <row r="77" spans="1:57" ht="15" customHeight="1">
      <c r="A77" s="691" t="str">
        <f>Kat.!C77</f>
        <v>×</v>
      </c>
      <c r="B77" s="692">
        <v>56</v>
      </c>
      <c r="C77" s="693" t="s">
        <v>251</v>
      </c>
      <c r="D77" s="693" t="s">
        <v>245</v>
      </c>
      <c r="E77" s="694" t="s">
        <v>246</v>
      </c>
      <c r="F77" s="695">
        <f>VLOOKUP(C77,[2]List1!$A:$D,2,FALSE)</f>
        <v>62</v>
      </c>
      <c r="G77" s="696">
        <f t="shared" si="5"/>
        <v>62</v>
      </c>
      <c r="H77" s="697">
        <f t="shared" si="6"/>
        <v>2.5</v>
      </c>
      <c r="I77" s="837">
        <v>50</v>
      </c>
      <c r="J77" s="698" t="s">
        <v>247</v>
      </c>
      <c r="K77" s="856"/>
      <c r="L77" s="857" t="s">
        <v>13827</v>
      </c>
      <c r="M77" s="698" t="s">
        <v>25</v>
      </c>
      <c r="N77" s="869">
        <f>IFERROR(VLOOKUP(C77,[3]List1!$A:$D,4,FALSE),"N/A!")</f>
        <v>1.7199000000000002E-2</v>
      </c>
      <c r="O77" s="837">
        <f>IFERROR(VLOOKUP(C77,[3]List1!$A:$D,3,FALSE),"N/A!")</f>
        <v>5000</v>
      </c>
      <c r="P77" s="837">
        <f>IFERROR(VLOOKUP(C77,[3]List1!$A:$D,2,FALSE),"N/A!")</f>
        <v>8700</v>
      </c>
      <c r="Q77" s="698" t="s">
        <v>2567</v>
      </c>
      <c r="R77" s="698" t="s">
        <v>24</v>
      </c>
      <c r="S77" s="698"/>
      <c r="T77" s="695">
        <v>35</v>
      </c>
      <c r="U77" s="874"/>
      <c r="V77" s="699" t="str">
        <f>_xlfn.IFNA(HYPERLINK("https://www.klasekpyrotechnics.cz/rdg1b_1"),"")</f>
        <v>https://www.klasekpyrotechnics.cz/rdg1b_1</v>
      </c>
      <c r="W77" s="700" t="str">
        <f>IFERROR(VLOOKUP($C77,Popisy!A:P,MATCH($W$17,Popisy!$A$7:$P$7,0),FALSE),"---------------")</f>
        <v>Rauchröhre (Tube) - weiße Farbe</v>
      </c>
      <c r="X77" s="891" t="str">
        <f t="shared" si="7"/>
        <v/>
      </c>
      <c r="Y77" s="892"/>
      <c r="Z77" s="700" t="str">
        <f>IFERROR(IF(VLOOKUP(C77,[4]List1!$A:$D,4,FALSE)=0,"",VLOOKUP(C77,[4]List1!$A:$D,4,FALSE)),"")</f>
        <v>72</v>
      </c>
      <c r="AA77" s="707"/>
      <c r="AB77" s="912" t="str">
        <f>IFERROR(IF(VLOOKUP(C77,[1]List1!$A:$D,2,FALSE)="VYPRODÁNO",$V$9,IF(VLOOKUP(C77,[1]List1!$A:$D,2,FALSE)="DOCHÁZÍ",$V$3,VLOOKUP(C77,[1]List1!$A:$D,2,FALSE))),"OFFLINE!")</f>
        <v>SKLADEM</v>
      </c>
      <c r="AC77" s="912" t="str">
        <f ca="1">IF(AO77="NE",$V$10,IF(AB77=$V$3,IF(AP77&lt;1,$V$8,$V$2&amp;" "&amp;AP77&amp;" "&amp;$V$1),IF(AB77="SKLADEM",$V$6,IFERROR(IF(OR(AB77-TODAY()&gt;21,VLOOKUP(C77,[1]List1!$A:$E,4,FALSE)=0),AB77,DAY(AB77)&amp;"."&amp;MONTH(AB77)&amp;"."&amp;YEAR(AB77)&amp;" "&amp;$V$4&amp;VLOOKUP(C77,[1]List1!$A:$E,4,FALSE)&amp;" "&amp;$V$1),AB77))))</f>
        <v>AUF LAGER</v>
      </c>
      <c r="AD77" s="701" t="str">
        <f ca="1">_xlfn.IFNA(VLOOKUP(C77,'General price list'!C:AM,MATCH($AD$20,'General price list'!$C$20:$AM$20,0),FALSE),"")</f>
        <v>AUF LAGER</v>
      </c>
      <c r="AE77" s="695">
        <f t="shared" ca="1" si="8"/>
        <v>0</v>
      </c>
      <c r="AF77" s="695">
        <f t="shared" ca="1" si="9"/>
        <v>0</v>
      </c>
      <c r="AG77" s="702">
        <f t="shared" ca="1" si="10"/>
        <v>0</v>
      </c>
      <c r="AH77" s="703">
        <f t="shared" ca="1" si="11"/>
        <v>0</v>
      </c>
      <c r="AI77" s="702">
        <f t="shared" ca="1" si="12"/>
        <v>0</v>
      </c>
      <c r="AJ77" s="704" t="str">
        <f t="shared" ca="1" si="13"/>
        <v/>
      </c>
      <c r="AK77" s="704" t="str">
        <f t="shared" ca="1" si="14"/>
        <v/>
      </c>
      <c r="AL77" s="704">
        <f t="shared" ca="1" si="15"/>
        <v>0</v>
      </c>
      <c r="AM77" s="705" t="str">
        <f t="shared" ca="1" si="16"/>
        <v/>
      </c>
      <c r="AN77" s="382"/>
      <c r="AO77" s="314" t="str">
        <f>IF($R$3=1,IF(Y77=AA77,"","NE"),IF(#REF!=$V$10,"NE",""))</f>
        <v/>
      </c>
      <c r="AP77" s="315" t="str">
        <f>IF(AB77=$V$3,IF(VLOOKUP(C77,[1]List1!$A:$E,5,FALSE)=0,1,VLOOKUP(C77,[1]List1!$A:$E,5,FALSE)),"")</f>
        <v/>
      </c>
      <c r="AW77" s="458">
        <f>IFERROR(FIND(VLOOKUP('General price list'!$AB$7,'General price list'!$AC$1:$AD$12,2,FALSE),Q77,1),0)</f>
        <v>0</v>
      </c>
      <c r="AX77" s="458">
        <f>IFERROR(FIND(VLOOKUP('General price list'!$AB$7,'General price list'!$AC$1:$AD$12,2,FALSE),R77,1),0)</f>
        <v>0</v>
      </c>
    </row>
    <row r="78" spans="1:57" ht="15" customHeight="1">
      <c r="A78" s="677" t="str">
        <f>Kat.!C78</f>
        <v xml:space="preserve">                                          </v>
      </c>
      <c r="B78" s="678">
        <v>57</v>
      </c>
      <c r="C78" s="679" t="s">
        <v>252</v>
      </c>
      <c r="D78" s="679" t="s">
        <v>253</v>
      </c>
      <c r="E78" s="680" t="s">
        <v>246</v>
      </c>
      <c r="F78" s="681">
        <f>VLOOKUP(C78,[2]List1!$A:$D,2,FALSE)</f>
        <v>62</v>
      </c>
      <c r="G78" s="682">
        <f t="shared" si="5"/>
        <v>62</v>
      </c>
      <c r="H78" s="683">
        <f t="shared" si="6"/>
        <v>2.5</v>
      </c>
      <c r="I78" s="836">
        <v>50</v>
      </c>
      <c r="J78" s="680" t="s">
        <v>247</v>
      </c>
      <c r="K78" s="854"/>
      <c r="L78" s="855" t="s">
        <v>13827</v>
      </c>
      <c r="M78" s="680" t="s">
        <v>25</v>
      </c>
      <c r="N78" s="868">
        <f>IFERROR(VLOOKUP(C78,[3]List1!$A:$D,4,FALSE),"N/A!")</f>
        <v>1.7199000000000002E-2</v>
      </c>
      <c r="O78" s="836">
        <f>IFERROR(VLOOKUP(C78,[3]List1!$A:$D,3,FALSE),"N/A!")</f>
        <v>5000</v>
      </c>
      <c r="P78" s="836">
        <f>IFERROR(VLOOKUP(C78,[3]List1!$A:$D,2,FALSE),"N/A!")</f>
        <v>8700</v>
      </c>
      <c r="Q78" s="680" t="s">
        <v>13728</v>
      </c>
      <c r="R78" s="680" t="s">
        <v>2566</v>
      </c>
      <c r="S78" s="680"/>
      <c r="T78" s="681">
        <v>35</v>
      </c>
      <c r="U78" s="873"/>
      <c r="V78" s="684" t="str">
        <f>_xlfn.IFNA(HYPERLINK("https://www.klasekpyrotechnics.cz/rdg1c"),"")</f>
        <v>https://www.klasekpyrotechnics.cz/rdg1c</v>
      </c>
      <c r="W78" s="685" t="str">
        <f>IFERROR(VLOOKUP($C78,Popisy!A:P,MATCH($W$17,Popisy!$A$7:$P$7,0),FALSE),"---------------")</f>
        <v>Rauchröhre (Tube) - rote Farbe</v>
      </c>
      <c r="X78" s="889" t="str">
        <f t="shared" si="7"/>
        <v/>
      </c>
      <c r="Y78" s="890"/>
      <c r="Z78" s="685" t="str">
        <f>IFERROR(IF(VLOOKUP(C78,[4]List1!$A:$D,4,FALSE)=0,"",VLOOKUP(C78,[4]List1!$A:$D,4,FALSE)),"")</f>
        <v>72</v>
      </c>
      <c r="AA78" s="707"/>
      <c r="AB78" s="911" t="str">
        <f>IFERROR(IF(VLOOKUP(C78,[1]List1!$A:$D,2,FALSE)="VYPRODÁNO",$V$9,IF(VLOOKUP(C78,[1]List1!$A:$D,2,FALSE)="DOCHÁZÍ",$V$3,VLOOKUP(C78,[1]List1!$A:$D,2,FALSE))),"OFFLINE!")</f>
        <v>SKLADEM</v>
      </c>
      <c r="AC78" s="911" t="str">
        <f ca="1">IF(AO78="NE",$V$10,IF(AB78=$V$3,IF(AP78&lt;1,$V$8,$V$2&amp;" "&amp;AP78&amp;" "&amp;$V$1),IF(AB78="SKLADEM",$V$6,IFERROR(IF(OR(AB78-TODAY()&gt;21,VLOOKUP(C78,[1]List1!$A:$E,4,FALSE)=0),AB78,DAY(AB78)&amp;"."&amp;MONTH(AB78)&amp;"."&amp;YEAR(AB78)&amp;" "&amp;$V$4&amp;VLOOKUP(C78,[1]List1!$A:$E,4,FALSE)&amp;" "&amp;$V$1),AB78))))</f>
        <v>AUF LAGER</v>
      </c>
      <c r="AD78" s="686">
        <f>_xlfn.IFNA(VLOOKUP(C78,'General price list'!C:AM,MATCH($AD$20,'General price list'!$C$20:$AM$20,0),FALSE),"")</f>
        <v>0</v>
      </c>
      <c r="AE78" s="681">
        <f t="shared" si="8"/>
        <v>0</v>
      </c>
      <c r="AF78" s="681">
        <f t="shared" si="9"/>
        <v>0</v>
      </c>
      <c r="AG78" s="687">
        <f t="shared" si="10"/>
        <v>0</v>
      </c>
      <c r="AH78" s="688">
        <f t="shared" si="11"/>
        <v>0</v>
      </c>
      <c r="AI78" s="687">
        <f t="shared" si="12"/>
        <v>0</v>
      </c>
      <c r="AJ78" s="689" t="str">
        <f t="shared" si="13"/>
        <v/>
      </c>
      <c r="AK78" s="689" t="str">
        <f t="shared" si="14"/>
        <v/>
      </c>
      <c r="AL78" s="689">
        <f t="shared" si="15"/>
        <v>0</v>
      </c>
      <c r="AM78" s="690" t="str">
        <f t="shared" si="16"/>
        <v/>
      </c>
      <c r="AN78" s="313"/>
      <c r="AO78" s="314" t="str">
        <f>IF($R$3=1,IF(Y78=AA78,"","NE"),IF(#REF!=$V$10,"NE",""))</f>
        <v/>
      </c>
      <c r="AP78" s="315" t="str">
        <f>IF(AB78=$V$3,IF(VLOOKUP(C78,[1]List1!$A:$E,5,FALSE)=0,1,VLOOKUP(C78,[1]List1!$A:$E,5,FALSE)),"")</f>
        <v/>
      </c>
      <c r="AW78" s="458">
        <f>IFERROR(FIND(VLOOKUP('General price list'!$AB$7,'General price list'!$AC$1:$AD$12,2,FALSE),Q78,1),0)</f>
        <v>10</v>
      </c>
      <c r="AX78" s="458">
        <f>IFERROR(FIND(VLOOKUP('General price list'!$AB$7,'General price list'!$AC$1:$AD$12,2,FALSE),R78,1),0)</f>
        <v>0</v>
      </c>
    </row>
    <row r="79" spans="1:57" ht="15" customHeight="1">
      <c r="A79" s="691" t="str">
        <f>Kat.!C79</f>
        <v>×</v>
      </c>
      <c r="B79" s="692">
        <v>58</v>
      </c>
      <c r="C79" s="693" t="s">
        <v>257</v>
      </c>
      <c r="D79" s="693" t="s">
        <v>253</v>
      </c>
      <c r="E79" s="694" t="s">
        <v>246</v>
      </c>
      <c r="F79" s="695">
        <f>VLOOKUP(C79,[2]List1!$A:$D,2,FALSE)</f>
        <v>62</v>
      </c>
      <c r="G79" s="696">
        <f t="shared" si="5"/>
        <v>62</v>
      </c>
      <c r="H79" s="697">
        <f t="shared" si="6"/>
        <v>2.5</v>
      </c>
      <c r="I79" s="837">
        <v>50</v>
      </c>
      <c r="J79" s="698" t="s">
        <v>247</v>
      </c>
      <c r="K79" s="856"/>
      <c r="L79" s="857" t="s">
        <v>13827</v>
      </c>
      <c r="M79" s="698" t="s">
        <v>25</v>
      </c>
      <c r="N79" s="869">
        <f>IFERROR(VLOOKUP(C79,[3]List1!$A:$D,4,FALSE),"N/A!")</f>
        <v>1.7199000000000002E-2</v>
      </c>
      <c r="O79" s="837">
        <f>IFERROR(VLOOKUP(C79,[3]List1!$A:$D,3,FALSE),"N/A!")</f>
        <v>5000</v>
      </c>
      <c r="P79" s="837">
        <f>IFERROR(VLOOKUP(C79,[3]List1!$A:$D,2,FALSE),"N/A!")</f>
        <v>8700</v>
      </c>
      <c r="Q79" s="698" t="s">
        <v>2567</v>
      </c>
      <c r="R79" s="698" t="s">
        <v>24</v>
      </c>
      <c r="S79" s="698"/>
      <c r="T79" s="695">
        <v>35</v>
      </c>
      <c r="U79" s="874"/>
      <c r="V79" s="699" t="str">
        <f>_xlfn.IFNA(HYPERLINK("https://www.klasekpyrotechnics.cz/rdg1c_1"),"")</f>
        <v>https://www.klasekpyrotechnics.cz/rdg1c_1</v>
      </c>
      <c r="W79" s="700" t="str">
        <f>IFERROR(VLOOKUP($C79,Popisy!A:P,MATCH($W$17,Popisy!$A$7:$P$7,0),FALSE),"---------------")</f>
        <v>Rauchröhre (Tube) - rote Farbe</v>
      </c>
      <c r="X79" s="891" t="str">
        <f t="shared" si="7"/>
        <v/>
      </c>
      <c r="Y79" s="892"/>
      <c r="Z79" s="700" t="str">
        <f>IFERROR(IF(VLOOKUP(C79,[4]List1!$A:$D,4,FALSE)=0,"",VLOOKUP(C79,[4]List1!$A:$D,4,FALSE)),"")</f>
        <v>72</v>
      </c>
      <c r="AA79" s="707"/>
      <c r="AB79" s="912" t="str">
        <f>IFERROR(IF(VLOOKUP(C79,[1]List1!$A:$D,2,FALSE)="VYPRODÁNO",$V$9,IF(VLOOKUP(C79,[1]List1!$A:$D,2,FALSE)="DOCHÁZÍ",$V$3,VLOOKUP(C79,[1]List1!$A:$D,2,FALSE))),"OFFLINE!")</f>
        <v>LETZTE STÜCKE</v>
      </c>
      <c r="AC79" s="912" t="str">
        <f ca="1">IF(AO79="NE",$V$10,IF(AB79=$V$3,IF(AP79&lt;1,$V$8,$V$2&amp;" "&amp;AP79&amp;" "&amp;$V$1),IF(AB79="SKLADEM",$V$6,IFERROR(IF(OR(AB79-TODAY()&gt;21,VLOOKUP(C79,[1]List1!$A:$E,4,FALSE)=0),AB79,DAY(AB79)&amp;"."&amp;MONTH(AB79)&amp;"."&amp;YEAR(AB79)&amp;" "&amp;$V$4&amp;VLOOKUP(C79,[1]List1!$A:$E,4,FALSE)&amp;" "&amp;$V$1),AB79))))</f>
        <v>LETZTE 3 KTN</v>
      </c>
      <c r="AD79" s="701" t="str">
        <f ca="1">_xlfn.IFNA(VLOOKUP(C79,'General price list'!C:AM,MATCH($AD$20,'General price list'!$C$20:$AM$20,0),FALSE),"")</f>
        <v>LETZTE 3 KTN</v>
      </c>
      <c r="AE79" s="695">
        <f t="shared" ca="1" si="8"/>
        <v>0</v>
      </c>
      <c r="AF79" s="695">
        <f t="shared" ca="1" si="9"/>
        <v>0</v>
      </c>
      <c r="AG79" s="702">
        <f t="shared" ca="1" si="10"/>
        <v>0</v>
      </c>
      <c r="AH79" s="703">
        <f t="shared" ca="1" si="11"/>
        <v>0</v>
      </c>
      <c r="AI79" s="702">
        <f t="shared" ca="1" si="12"/>
        <v>0</v>
      </c>
      <c r="AJ79" s="704" t="str">
        <f t="shared" ca="1" si="13"/>
        <v/>
      </c>
      <c r="AK79" s="704" t="str">
        <f t="shared" ca="1" si="14"/>
        <v/>
      </c>
      <c r="AL79" s="704">
        <f t="shared" ca="1" si="15"/>
        <v>0</v>
      </c>
      <c r="AM79" s="705" t="str">
        <f t="shared" ca="1" si="16"/>
        <v/>
      </c>
      <c r="AN79" s="381"/>
      <c r="AO79" s="314" t="str">
        <f>IF($R$3=1,IF(Y79=AA79,"","NE"),IF(#REF!=$V$10,"NE",""))</f>
        <v/>
      </c>
      <c r="AP79" s="291">
        <f>IF(AB79=$V$3,IF(VLOOKUP(C79,[1]List1!$A:$E,5,FALSE)=0,1,VLOOKUP(C79,[1]List1!$A:$E,5,FALSE)),"")</f>
        <v>3</v>
      </c>
      <c r="AW79" s="458">
        <f>IFERROR(FIND(VLOOKUP('General price list'!$AB$7,'General price list'!$AC$1:$AD$12,2,FALSE),Q79,1),0)</f>
        <v>0</v>
      </c>
      <c r="AX79" s="458">
        <f>IFERROR(FIND(VLOOKUP('General price list'!$AB$7,'General price list'!$AC$1:$AD$12,2,FALSE),R79,1),0)</f>
        <v>0</v>
      </c>
      <c r="BC79" s="292"/>
      <c r="BD79" s="292"/>
      <c r="BE79" s="292"/>
    </row>
    <row r="80" spans="1:57" ht="15" customHeight="1">
      <c r="A80" s="677" t="str">
        <f>Kat.!C80</f>
        <v xml:space="preserve">                                          </v>
      </c>
      <c r="B80" s="678">
        <v>59</v>
      </c>
      <c r="C80" s="679" t="s">
        <v>258</v>
      </c>
      <c r="D80" s="679" t="s">
        <v>259</v>
      </c>
      <c r="E80" s="680" t="s">
        <v>246</v>
      </c>
      <c r="F80" s="681">
        <f>VLOOKUP(C80,[2]List1!$A:$D,2,FALSE)</f>
        <v>62</v>
      </c>
      <c r="G80" s="682">
        <f t="shared" si="5"/>
        <v>62</v>
      </c>
      <c r="H80" s="683">
        <f t="shared" si="6"/>
        <v>2.5</v>
      </c>
      <c r="I80" s="836">
        <v>50</v>
      </c>
      <c r="J80" s="680" t="s">
        <v>247</v>
      </c>
      <c r="K80" s="854"/>
      <c r="L80" s="855" t="s">
        <v>13827</v>
      </c>
      <c r="M80" s="680" t="s">
        <v>25</v>
      </c>
      <c r="N80" s="868">
        <f>IFERROR(VLOOKUP(C80,[3]List1!$A:$D,4,FALSE),"N/A!")</f>
        <v>1.7199000000000002E-2</v>
      </c>
      <c r="O80" s="836">
        <f>IFERROR(VLOOKUP(C80,[3]List1!$A:$D,3,FALSE),"N/A!")</f>
        <v>5000</v>
      </c>
      <c r="P80" s="836">
        <f>IFERROR(VLOOKUP(C80,[3]List1!$A:$D,2,FALSE),"N/A!")</f>
        <v>8700</v>
      </c>
      <c r="Q80" s="680" t="s">
        <v>13728</v>
      </c>
      <c r="R80" s="680" t="s">
        <v>2566</v>
      </c>
      <c r="S80" s="680"/>
      <c r="T80" s="681">
        <v>35</v>
      </c>
      <c r="U80" s="873"/>
      <c r="V80" s="684" t="str">
        <f>_xlfn.IFNA(HYPERLINK("https://www.klasekpyrotechnics.cz/rdg1m"),"")</f>
        <v>https://www.klasekpyrotechnics.cz/rdg1m</v>
      </c>
      <c r="W80" s="685" t="str">
        <f>IFERROR(VLOOKUP($C80,Popisy!A:P,MATCH($W$17,Popisy!$A$7:$P$7,0),FALSE),"---------------")</f>
        <v>Rauchröhre (Tube) - blaue Farbe</v>
      </c>
      <c r="X80" s="889" t="str">
        <f t="shared" si="7"/>
        <v/>
      </c>
      <c r="Y80" s="890"/>
      <c r="Z80" s="685" t="str">
        <f>IFERROR(IF(VLOOKUP(C80,[4]List1!$A:$D,4,FALSE)=0,"",VLOOKUP(C80,[4]List1!$A:$D,4,FALSE)),"")</f>
        <v>72</v>
      </c>
      <c r="AA80" s="707"/>
      <c r="AB80" s="911" t="str">
        <f>IFERROR(IF(VLOOKUP(C80,[1]List1!$A:$D,2,FALSE)="VYPRODÁNO",$V$9,IF(VLOOKUP(C80,[1]List1!$A:$D,2,FALSE)="DOCHÁZÍ",$V$3,VLOOKUP(C80,[1]List1!$A:$D,2,FALSE))),"OFFLINE!")</f>
        <v>SKLADEM</v>
      </c>
      <c r="AC80" s="911" t="str">
        <f ca="1">IF(AO80="NE",$V$10,IF(AB80=$V$3,IF(AP80&lt;1,$V$8,$V$2&amp;" "&amp;AP80&amp;" "&amp;$V$1),IF(AB80="SKLADEM",$V$6,IFERROR(IF(OR(AB80-TODAY()&gt;21,VLOOKUP(C80,[1]List1!$A:$E,4,FALSE)=0),AB80,DAY(AB80)&amp;"."&amp;MONTH(AB80)&amp;"."&amp;YEAR(AB80)&amp;" "&amp;$V$4&amp;VLOOKUP(C80,[1]List1!$A:$E,4,FALSE)&amp;" "&amp;$V$1),AB80))))</f>
        <v>AUF LAGER</v>
      </c>
      <c r="AD80" s="686" t="str">
        <f ca="1">_xlfn.IFNA(VLOOKUP(C80,'General price list'!C:AM,MATCH($AD$20,'General price list'!$C$20:$AM$20,0),FALSE),"")</f>
        <v>AUF LAGER</v>
      </c>
      <c r="AE80" s="681">
        <f t="shared" ca="1" si="8"/>
        <v>0</v>
      </c>
      <c r="AF80" s="681">
        <f t="shared" ca="1" si="9"/>
        <v>0</v>
      </c>
      <c r="AG80" s="687">
        <f t="shared" ca="1" si="10"/>
        <v>0</v>
      </c>
      <c r="AH80" s="688">
        <f t="shared" ca="1" si="11"/>
        <v>0</v>
      </c>
      <c r="AI80" s="687">
        <f t="shared" ca="1" si="12"/>
        <v>0</v>
      </c>
      <c r="AJ80" s="689" t="str">
        <f t="shared" ca="1" si="13"/>
        <v/>
      </c>
      <c r="AK80" s="689" t="str">
        <f t="shared" ca="1" si="14"/>
        <v/>
      </c>
      <c r="AL80" s="689">
        <f t="shared" ca="1" si="15"/>
        <v>0</v>
      </c>
      <c r="AM80" s="690" t="str">
        <f t="shared" ca="1" si="16"/>
        <v/>
      </c>
      <c r="AN80" s="313"/>
      <c r="AO80" s="314" t="str">
        <f>IF($R$3=1,IF(Y80=AA80,"","NE"),IF(#REF!=$V$10,"NE",""))</f>
        <v/>
      </c>
      <c r="AP80" s="315" t="str">
        <f>IF(AB80=$V$3,IF(VLOOKUP(C80,[1]List1!$A:$E,5,FALSE)=0,1,VLOOKUP(C80,[1]List1!$A:$E,5,FALSE)),"")</f>
        <v/>
      </c>
      <c r="AW80" s="458">
        <f>IFERROR(FIND(VLOOKUP('General price list'!$AB$7,'General price list'!$AC$1:$AD$12,2,FALSE),Q80,1),0)</f>
        <v>10</v>
      </c>
      <c r="AX80" s="458">
        <f>IFERROR(FIND(VLOOKUP('General price list'!$AB$7,'General price list'!$AC$1:$AD$12,2,FALSE),R80,1),0)</f>
        <v>0</v>
      </c>
    </row>
    <row r="81" spans="1:57" ht="15" customHeight="1">
      <c r="A81" s="691" t="str">
        <f>Kat.!C81</f>
        <v xml:space="preserve">                                          </v>
      </c>
      <c r="B81" s="692">
        <v>60</v>
      </c>
      <c r="C81" s="693" t="s">
        <v>264</v>
      </c>
      <c r="D81" s="693" t="s">
        <v>265</v>
      </c>
      <c r="E81" s="694" t="s">
        <v>246</v>
      </c>
      <c r="F81" s="695">
        <f>VLOOKUP(C81,[2]List1!$A:$D,2,FALSE)</f>
        <v>62</v>
      </c>
      <c r="G81" s="696">
        <f t="shared" si="5"/>
        <v>62</v>
      </c>
      <c r="H81" s="697">
        <f t="shared" si="6"/>
        <v>2.5</v>
      </c>
      <c r="I81" s="837">
        <v>50</v>
      </c>
      <c r="J81" s="698" t="s">
        <v>247</v>
      </c>
      <c r="K81" s="856"/>
      <c r="L81" s="857" t="s">
        <v>13827</v>
      </c>
      <c r="M81" s="698" t="s">
        <v>25</v>
      </c>
      <c r="N81" s="869">
        <f>IFERROR(VLOOKUP(C81,[3]List1!$A:$D,4,FALSE),"N/A!")</f>
        <v>1.7199000000000002E-2</v>
      </c>
      <c r="O81" s="837">
        <f>IFERROR(VLOOKUP(C81,[3]List1!$A:$D,3,FALSE),"N/A!")</f>
        <v>5000</v>
      </c>
      <c r="P81" s="837">
        <f>IFERROR(VLOOKUP(C81,[3]List1!$A:$D,2,FALSE),"N/A!")</f>
        <v>8700</v>
      </c>
      <c r="Q81" s="698" t="s">
        <v>2566</v>
      </c>
      <c r="R81" s="698" t="s">
        <v>24</v>
      </c>
      <c r="S81" s="698"/>
      <c r="T81" s="695">
        <v>35</v>
      </c>
      <c r="U81" s="874"/>
      <c r="V81" s="699" t="str">
        <f>_xlfn.IFNA(HYPERLINK("https://www.klasekpyrotechnics.cz/rdg1zl"),"")</f>
        <v>https://www.klasekpyrotechnics.cz/rdg1zl</v>
      </c>
      <c r="W81" s="700" t="str">
        <f>IFERROR(VLOOKUP($C81,Popisy!A:P,MATCH($W$17,Popisy!$A$7:$P$7,0),FALSE),"---------------")</f>
        <v>Rauchröhre (Tube) - gelbe Farbe</v>
      </c>
      <c r="X81" s="891" t="str">
        <f t="shared" si="7"/>
        <v/>
      </c>
      <c r="Y81" s="892"/>
      <c r="Z81" s="700" t="str">
        <f>IFERROR(IF(VLOOKUP(C81,[4]List1!$A:$D,4,FALSE)=0,"",VLOOKUP(C81,[4]List1!$A:$D,4,FALSE)),"")</f>
        <v>72</v>
      </c>
      <c r="AA81" s="707"/>
      <c r="AB81" s="912" t="str">
        <f>IFERROR(IF(VLOOKUP(C81,[1]List1!$A:$D,2,FALSE)="VYPRODÁNO",$V$9,IF(VLOOKUP(C81,[1]List1!$A:$D,2,FALSE)="DOCHÁZÍ",$V$3,VLOOKUP(C81,[1]List1!$A:$D,2,FALSE))),"OFFLINE!")</f>
        <v>SKLADEM</v>
      </c>
      <c r="AC81" s="912" t="str">
        <f ca="1">IF(AO81="NE",$V$10,IF(AB81=$V$3,IF(AP81&lt;1,$V$8,$V$2&amp;" "&amp;AP81&amp;" "&amp;$V$1),IF(AB81="SKLADEM",$V$6,IFERROR(IF(OR(AB81-TODAY()&gt;21,VLOOKUP(C81,[1]List1!$A:$E,4,FALSE)=0),AB81,DAY(AB81)&amp;"."&amp;MONTH(AB81)&amp;"."&amp;YEAR(AB81)&amp;" "&amp;$V$4&amp;VLOOKUP(C81,[1]List1!$A:$E,4,FALSE)&amp;" "&amp;$V$1),AB81))))</f>
        <v>AUF LAGER</v>
      </c>
      <c r="AD81" s="701" t="str">
        <f ca="1">_xlfn.IFNA(VLOOKUP(C81,'General price list'!C:AM,MATCH($AD$20,'General price list'!$C$20:$AM$20,0),FALSE),"")</f>
        <v>AUF LAGER</v>
      </c>
      <c r="AE81" s="695">
        <f t="shared" ca="1" si="8"/>
        <v>0</v>
      </c>
      <c r="AF81" s="695">
        <f t="shared" ca="1" si="9"/>
        <v>0</v>
      </c>
      <c r="AG81" s="702">
        <f t="shared" ca="1" si="10"/>
        <v>0</v>
      </c>
      <c r="AH81" s="703">
        <f t="shared" ca="1" si="11"/>
        <v>0</v>
      </c>
      <c r="AI81" s="702">
        <f t="shared" ca="1" si="12"/>
        <v>0</v>
      </c>
      <c r="AJ81" s="704" t="str">
        <f t="shared" ca="1" si="13"/>
        <v/>
      </c>
      <c r="AK81" s="704" t="str">
        <f t="shared" ca="1" si="14"/>
        <v/>
      </c>
      <c r="AL81" s="704">
        <f t="shared" ca="1" si="15"/>
        <v>0</v>
      </c>
      <c r="AM81" s="705" t="str">
        <f t="shared" ca="1" si="16"/>
        <v/>
      </c>
      <c r="AN81" s="382"/>
      <c r="AO81" s="314" t="str">
        <f>IF($R$3=1,IF(Y81=AA81,"","NE"),IF(#REF!=$V$10,"NE",""))</f>
        <v/>
      </c>
      <c r="AP81" s="315" t="str">
        <f>IF(AB81=$V$3,IF(VLOOKUP(C81,[1]List1!$A:$E,5,FALSE)=0,1,VLOOKUP(C81,[1]List1!$A:$E,5,FALSE)),"")</f>
        <v/>
      </c>
      <c r="AW81" s="458">
        <f>IFERROR(FIND(VLOOKUP('General price list'!$AB$7,'General price list'!$AC$1:$AD$12,2,FALSE),Q81,1),0)</f>
        <v>0</v>
      </c>
      <c r="AX81" s="458">
        <f>IFERROR(FIND(VLOOKUP('General price list'!$AB$7,'General price list'!$AC$1:$AD$12,2,FALSE),R81,1),0)</f>
        <v>0</v>
      </c>
    </row>
    <row r="82" spans="1:57" ht="15" customHeight="1">
      <c r="A82" s="677" t="str">
        <f>Kat.!C82</f>
        <v>×</v>
      </c>
      <c r="B82" s="678">
        <v>61</v>
      </c>
      <c r="C82" s="679" t="s">
        <v>269</v>
      </c>
      <c r="D82" s="679" t="s">
        <v>265</v>
      </c>
      <c r="E82" s="680" t="s">
        <v>246</v>
      </c>
      <c r="F82" s="681">
        <f>VLOOKUP(C82,[2]List1!$A:$D,2,FALSE)</f>
        <v>62</v>
      </c>
      <c r="G82" s="682">
        <f t="shared" si="5"/>
        <v>62</v>
      </c>
      <c r="H82" s="683">
        <f t="shared" si="6"/>
        <v>2.5</v>
      </c>
      <c r="I82" s="836">
        <v>50</v>
      </c>
      <c r="J82" s="680" t="s">
        <v>247</v>
      </c>
      <c r="K82" s="854"/>
      <c r="L82" s="855" t="s">
        <v>13827</v>
      </c>
      <c r="M82" s="680" t="s">
        <v>25</v>
      </c>
      <c r="N82" s="868">
        <f>IFERROR(VLOOKUP(C82,[3]List1!$A:$D,4,FALSE),"N/A!")</f>
        <v>1.7199000000000002E-2</v>
      </c>
      <c r="O82" s="836">
        <f>IFERROR(VLOOKUP(C82,[3]List1!$A:$D,3,FALSE),"N/A!")</f>
        <v>5000</v>
      </c>
      <c r="P82" s="836">
        <f>IFERROR(VLOOKUP(C82,[3]List1!$A:$D,2,FALSE),"N/A!")</f>
        <v>8700</v>
      </c>
      <c r="Q82" s="680" t="s">
        <v>2567</v>
      </c>
      <c r="R82" s="680" t="s">
        <v>24</v>
      </c>
      <c r="S82" s="680"/>
      <c r="T82" s="681">
        <v>35</v>
      </c>
      <c r="U82" s="873"/>
      <c r="V82" s="684" t="str">
        <f>_xlfn.IFNA(HYPERLINK("https://www.klasekpyrotechnics.cz/rdg1zl_1"),"")</f>
        <v>https://www.klasekpyrotechnics.cz/rdg1zl_1</v>
      </c>
      <c r="W82" s="685" t="str">
        <f>IFERROR(VLOOKUP($C82,Popisy!A:P,MATCH($W$17,Popisy!$A$7:$P$7,0),FALSE),"---------------")</f>
        <v>Rauchröhre (Tube) - gelbe Farbe</v>
      </c>
      <c r="X82" s="889" t="str">
        <f t="shared" si="7"/>
        <v/>
      </c>
      <c r="Y82" s="890"/>
      <c r="Z82" s="685" t="str">
        <f>IFERROR(IF(VLOOKUP(C82,[4]List1!$A:$D,4,FALSE)=0,"",VLOOKUP(C82,[4]List1!$A:$D,4,FALSE)),"")</f>
        <v>72</v>
      </c>
      <c r="AA82" s="707"/>
      <c r="AB82" s="911" t="str">
        <f>IFERROR(IF(VLOOKUP(C82,[1]List1!$A:$D,2,FALSE)="VYPRODÁNO",$V$9,IF(VLOOKUP(C82,[1]List1!$A:$D,2,FALSE)="DOCHÁZÍ",$V$3,VLOOKUP(C82,[1]List1!$A:$D,2,FALSE))),"OFFLINE!")</f>
        <v>SKLADEM</v>
      </c>
      <c r="AC82" s="911" t="str">
        <f ca="1">IF(AO82="NE",$V$10,IF(AB82=$V$3,IF(AP82&lt;1,$V$8,$V$2&amp;" "&amp;AP82&amp;" "&amp;$V$1),IF(AB82="SKLADEM",$V$6,IFERROR(IF(OR(AB82-TODAY()&gt;21,VLOOKUP(C82,[1]List1!$A:$E,4,FALSE)=0),AB82,DAY(AB82)&amp;"."&amp;MONTH(AB82)&amp;"."&amp;YEAR(AB82)&amp;" "&amp;$V$4&amp;VLOOKUP(C82,[1]List1!$A:$E,4,FALSE)&amp;" "&amp;$V$1),AB82))))</f>
        <v>AUF LAGER</v>
      </c>
      <c r="AD82" s="686">
        <f>_xlfn.IFNA(VLOOKUP(C82,'General price list'!C:AM,MATCH($AD$20,'General price list'!$C$20:$AM$20,0),FALSE),"")</f>
        <v>0</v>
      </c>
      <c r="AE82" s="681">
        <f t="shared" si="8"/>
        <v>0</v>
      </c>
      <c r="AF82" s="681">
        <f t="shared" si="9"/>
        <v>0</v>
      </c>
      <c r="AG82" s="687">
        <f t="shared" si="10"/>
        <v>0</v>
      </c>
      <c r="AH82" s="688">
        <f t="shared" si="11"/>
        <v>0</v>
      </c>
      <c r="AI82" s="687">
        <f t="shared" si="12"/>
        <v>0</v>
      </c>
      <c r="AJ82" s="689" t="str">
        <f t="shared" si="13"/>
        <v/>
      </c>
      <c r="AK82" s="689" t="str">
        <f t="shared" si="14"/>
        <v/>
      </c>
      <c r="AL82" s="689">
        <f t="shared" si="15"/>
        <v>0</v>
      </c>
      <c r="AM82" s="690" t="str">
        <f t="shared" si="16"/>
        <v/>
      </c>
      <c r="AN82" s="313"/>
      <c r="AO82" s="314" t="str">
        <f>IF($R$3=1,IF(Y82=AA82,"","NE"),IF(#REF!=$V$10,"NE",""))</f>
        <v/>
      </c>
      <c r="AP82" s="315" t="str">
        <f>IF(AB82=$V$3,IF(VLOOKUP(C82,[1]List1!$A:$E,5,FALSE)=0,1,VLOOKUP(C82,[1]List1!$A:$E,5,FALSE)),"")</f>
        <v/>
      </c>
      <c r="AW82" s="458">
        <f>IFERROR(FIND(VLOOKUP('General price list'!$AB$7,'General price list'!$AC$1:$AD$12,2,FALSE),Q82,1),0)</f>
        <v>0</v>
      </c>
      <c r="AX82" s="458">
        <f>IFERROR(FIND(VLOOKUP('General price list'!$AB$7,'General price list'!$AC$1:$AD$12,2,FALSE),R82,1),0)</f>
        <v>0</v>
      </c>
    </row>
    <row r="83" spans="1:57" ht="15" customHeight="1">
      <c r="A83" s="691" t="str">
        <f>Kat.!C83</f>
        <v xml:space="preserve">                                          </v>
      </c>
      <c r="B83" s="692">
        <v>62</v>
      </c>
      <c r="C83" s="693" t="s">
        <v>270</v>
      </c>
      <c r="D83" s="693" t="s">
        <v>271</v>
      </c>
      <c r="E83" s="694" t="s">
        <v>246</v>
      </c>
      <c r="F83" s="695">
        <f>VLOOKUP(C83,[2]List1!$A:$D,2,FALSE)</f>
        <v>62</v>
      </c>
      <c r="G83" s="696">
        <f t="shared" si="5"/>
        <v>62</v>
      </c>
      <c r="H83" s="697">
        <f t="shared" si="6"/>
        <v>2.5</v>
      </c>
      <c r="I83" s="837">
        <v>50</v>
      </c>
      <c r="J83" s="698" t="s">
        <v>247</v>
      </c>
      <c r="K83" s="856"/>
      <c r="L83" s="857" t="s">
        <v>13827</v>
      </c>
      <c r="M83" s="698" t="s">
        <v>25</v>
      </c>
      <c r="N83" s="869">
        <f>IFERROR(VLOOKUP(C83,[3]List1!$A:$D,4,FALSE),"N/A!")</f>
        <v>1.7199000000000002E-2</v>
      </c>
      <c r="O83" s="837">
        <f>IFERROR(VLOOKUP(C83,[3]List1!$A:$D,3,FALSE),"N/A!")</f>
        <v>5000</v>
      </c>
      <c r="P83" s="837">
        <f>IFERROR(VLOOKUP(C83,[3]List1!$A:$D,2,FALSE),"N/A!")</f>
        <v>8700</v>
      </c>
      <c r="Q83" s="698" t="s">
        <v>2566</v>
      </c>
      <c r="R83" s="698" t="s">
        <v>24</v>
      </c>
      <c r="S83" s="698"/>
      <c r="T83" s="695">
        <v>35</v>
      </c>
      <c r="U83" s="874"/>
      <c r="V83" s="699" t="str">
        <f>_xlfn.IFNA(HYPERLINK("https://www.klasekpyrotechnics.cz/rdg1ze"),"")</f>
        <v>https://www.klasekpyrotechnics.cz/rdg1ze</v>
      </c>
      <c r="W83" s="700" t="str">
        <f>IFERROR(VLOOKUP($C83,Popisy!A:P,MATCH($W$17,Popisy!$A$7:$P$7,0),FALSE),"---------------")</f>
        <v>Rauchröhre (Tube) - grüne Farbe</v>
      </c>
      <c r="X83" s="891" t="str">
        <f t="shared" si="7"/>
        <v/>
      </c>
      <c r="Y83" s="892"/>
      <c r="Z83" s="700" t="str">
        <f>IFERROR(IF(VLOOKUP(C83,[4]List1!$A:$D,4,FALSE)=0,"",VLOOKUP(C83,[4]List1!$A:$D,4,FALSE)),"")</f>
        <v>72</v>
      </c>
      <c r="AA83" s="707"/>
      <c r="AB83" s="912" t="str">
        <f>IFERROR(IF(VLOOKUP(C83,[1]List1!$A:$D,2,FALSE)="VYPRODÁNO",$V$9,IF(VLOOKUP(C83,[1]List1!$A:$D,2,FALSE)="DOCHÁZÍ",$V$3,VLOOKUP(C83,[1]List1!$A:$D,2,FALSE))),"OFFLINE!")</f>
        <v>SKLADEM</v>
      </c>
      <c r="AC83" s="912" t="str">
        <f ca="1">IF(AO83="NE",$V$10,IF(AB83=$V$3,IF(AP83&lt;1,$V$8,$V$2&amp;" "&amp;AP83&amp;" "&amp;$V$1),IF(AB83="SKLADEM",$V$6,IFERROR(IF(OR(AB83-TODAY()&gt;21,VLOOKUP(C83,[1]List1!$A:$E,4,FALSE)=0),AB83,DAY(AB83)&amp;"."&amp;MONTH(AB83)&amp;"."&amp;YEAR(AB83)&amp;" "&amp;$V$4&amp;VLOOKUP(C83,[1]List1!$A:$E,4,FALSE)&amp;" "&amp;$V$1),AB83))))</f>
        <v>AUF LAGER</v>
      </c>
      <c r="AD83" s="701" t="str">
        <f ca="1">_xlfn.IFNA(VLOOKUP(C83,'General price list'!C:AM,MATCH($AD$20,'General price list'!$C$20:$AM$20,0),FALSE),"")</f>
        <v>AUF LAGER</v>
      </c>
      <c r="AE83" s="695">
        <f t="shared" ca="1" si="8"/>
        <v>0</v>
      </c>
      <c r="AF83" s="695">
        <f t="shared" ca="1" si="9"/>
        <v>0</v>
      </c>
      <c r="AG83" s="702">
        <f t="shared" ca="1" si="10"/>
        <v>0</v>
      </c>
      <c r="AH83" s="703">
        <f t="shared" ca="1" si="11"/>
        <v>0</v>
      </c>
      <c r="AI83" s="702">
        <f t="shared" ca="1" si="12"/>
        <v>0</v>
      </c>
      <c r="AJ83" s="704" t="str">
        <f t="shared" ca="1" si="13"/>
        <v/>
      </c>
      <c r="AK83" s="704" t="str">
        <f t="shared" ca="1" si="14"/>
        <v/>
      </c>
      <c r="AL83" s="704">
        <f t="shared" ca="1" si="15"/>
        <v>0</v>
      </c>
      <c r="AM83" s="705" t="str">
        <f t="shared" ca="1" si="16"/>
        <v/>
      </c>
      <c r="AN83" s="381"/>
      <c r="AO83" s="314" t="str">
        <f>IF($R$3=1,IF(Y83=AA83,"","NE"),IF(#REF!=$V$10,"NE",""))</f>
        <v/>
      </c>
      <c r="AP83" s="291" t="str">
        <f>IF(AB83=$V$3,IF(VLOOKUP(C83,[1]List1!$A:$E,5,FALSE)=0,1,VLOOKUP(C83,[1]List1!$A:$E,5,FALSE)),"")</f>
        <v/>
      </c>
      <c r="AW83" s="458">
        <f>IFERROR(FIND(VLOOKUP('General price list'!$AB$7,'General price list'!$AC$1:$AD$12,2,FALSE),Q83,1),0)</f>
        <v>0</v>
      </c>
      <c r="AX83" s="458">
        <f>IFERROR(FIND(VLOOKUP('General price list'!$AB$7,'General price list'!$AC$1:$AD$12,2,FALSE),R83,1),0)</f>
        <v>0</v>
      </c>
      <c r="BC83" s="292"/>
      <c r="BD83" s="292"/>
      <c r="BE83" s="292"/>
    </row>
    <row r="84" spans="1:57" ht="15" customHeight="1">
      <c r="A84" s="677" t="str">
        <f>Kat.!C84</f>
        <v>×</v>
      </c>
      <c r="B84" s="678">
        <v>63</v>
      </c>
      <c r="C84" s="679" t="s">
        <v>275</v>
      </c>
      <c r="D84" s="679" t="s">
        <v>271</v>
      </c>
      <c r="E84" s="680" t="s">
        <v>246</v>
      </c>
      <c r="F84" s="681">
        <f>VLOOKUP(C84,[2]List1!$A:$D,2,FALSE)</f>
        <v>62</v>
      </c>
      <c r="G84" s="682">
        <f t="shared" si="5"/>
        <v>62</v>
      </c>
      <c r="H84" s="683">
        <f t="shared" si="6"/>
        <v>2.5</v>
      </c>
      <c r="I84" s="836">
        <v>50</v>
      </c>
      <c r="J84" s="680" t="s">
        <v>247</v>
      </c>
      <c r="K84" s="854"/>
      <c r="L84" s="855" t="s">
        <v>13827</v>
      </c>
      <c r="M84" s="680" t="s">
        <v>25</v>
      </c>
      <c r="N84" s="868">
        <f>IFERROR(VLOOKUP(C84,[3]List1!$A:$D,4,FALSE),"N/A!")</f>
        <v>1.7199000000000002E-2</v>
      </c>
      <c r="O84" s="836">
        <f>IFERROR(VLOOKUP(C84,[3]List1!$A:$D,3,FALSE),"N/A!")</f>
        <v>5000</v>
      </c>
      <c r="P84" s="836">
        <f>IFERROR(VLOOKUP(C84,[3]List1!$A:$D,2,FALSE),"N/A!")</f>
        <v>8700</v>
      </c>
      <c r="Q84" s="680" t="s">
        <v>2567</v>
      </c>
      <c r="R84" s="680" t="s">
        <v>24</v>
      </c>
      <c r="S84" s="680"/>
      <c r="T84" s="681">
        <v>35</v>
      </c>
      <c r="U84" s="873"/>
      <c r="V84" s="684" t="str">
        <f>_xlfn.IFNA(HYPERLINK("https://www.klasekpyrotechnics.cz/rdg1ze_1"),"")</f>
        <v>https://www.klasekpyrotechnics.cz/rdg1ze_1</v>
      </c>
      <c r="W84" s="685" t="str">
        <f>IFERROR(VLOOKUP($C84,Popisy!A:P,MATCH($W$17,Popisy!$A$7:$P$7,0),FALSE),"---------------")</f>
        <v>Rauchröhre (Tube) - grüne Farbe</v>
      </c>
      <c r="X84" s="889" t="str">
        <f t="shared" si="7"/>
        <v/>
      </c>
      <c r="Y84" s="890"/>
      <c r="Z84" s="685" t="str">
        <f>IFERROR(IF(VLOOKUP(C84,[4]List1!$A:$D,4,FALSE)=0,"",VLOOKUP(C84,[4]List1!$A:$D,4,FALSE)),"")</f>
        <v>72</v>
      </c>
      <c r="AA84" s="707"/>
      <c r="AB84" s="911" t="str">
        <f>IFERROR(IF(VLOOKUP(C84,[1]List1!$A:$D,2,FALSE)="VYPRODÁNO",$V$9,IF(VLOOKUP(C84,[1]List1!$A:$D,2,FALSE)="DOCHÁZÍ",$V$3,VLOOKUP(C84,[1]List1!$A:$D,2,FALSE))),"OFFLINE!")</f>
        <v>SKLADEM</v>
      </c>
      <c r="AC84" s="911" t="str">
        <f ca="1">IF(AO84="NE",$V$10,IF(AB84=$V$3,IF(AP84&lt;1,$V$8,$V$2&amp;" "&amp;AP84&amp;" "&amp;$V$1),IF(AB84="SKLADEM",$V$6,IFERROR(IF(OR(AB84-TODAY()&gt;21,VLOOKUP(C84,[1]List1!$A:$E,4,FALSE)=0),AB84,DAY(AB84)&amp;"."&amp;MONTH(AB84)&amp;"."&amp;YEAR(AB84)&amp;" "&amp;$V$4&amp;VLOOKUP(C84,[1]List1!$A:$E,4,FALSE)&amp;" "&amp;$V$1),AB84))))</f>
        <v>AUF LAGER</v>
      </c>
      <c r="AD84" s="686" t="str">
        <f ca="1">_xlfn.IFNA(VLOOKUP(C84,'General price list'!C:AM,MATCH($AD$20,'General price list'!$C$20:$AM$20,0),FALSE),"")</f>
        <v>AUF LAGER</v>
      </c>
      <c r="AE84" s="681">
        <f t="shared" ca="1" si="8"/>
        <v>0</v>
      </c>
      <c r="AF84" s="681">
        <f t="shared" ca="1" si="9"/>
        <v>0</v>
      </c>
      <c r="AG84" s="687">
        <f t="shared" ca="1" si="10"/>
        <v>0</v>
      </c>
      <c r="AH84" s="688">
        <f t="shared" ca="1" si="11"/>
        <v>0</v>
      </c>
      <c r="AI84" s="687">
        <f t="shared" ca="1" si="12"/>
        <v>0</v>
      </c>
      <c r="AJ84" s="689" t="str">
        <f t="shared" ca="1" si="13"/>
        <v/>
      </c>
      <c r="AK84" s="689" t="str">
        <f t="shared" ca="1" si="14"/>
        <v/>
      </c>
      <c r="AL84" s="689">
        <f t="shared" ca="1" si="15"/>
        <v>0</v>
      </c>
      <c r="AM84" s="690" t="str">
        <f t="shared" ca="1" si="16"/>
        <v/>
      </c>
      <c r="AN84" s="313"/>
      <c r="AO84" s="314" t="str">
        <f>IF($R$3=1,IF(Y84=AA84,"","NE"),IF(#REF!=$V$10,"NE",""))</f>
        <v/>
      </c>
      <c r="AP84" s="315" t="str">
        <f>IF(AB84=$V$3,IF(VLOOKUP(C84,[1]List1!$A:$E,5,FALSE)=0,1,VLOOKUP(C84,[1]List1!$A:$E,5,FALSE)),"")</f>
        <v/>
      </c>
      <c r="AW84" s="458">
        <f>IFERROR(FIND(VLOOKUP('General price list'!$AB$7,'General price list'!$AC$1:$AD$12,2,FALSE),Q84,1),0)</f>
        <v>0</v>
      </c>
      <c r="AX84" s="458">
        <f>IFERROR(FIND(VLOOKUP('General price list'!$AB$7,'General price list'!$AC$1:$AD$12,2,FALSE),R84,1),0)</f>
        <v>0</v>
      </c>
    </row>
    <row r="85" spans="1:57" ht="15" customHeight="1">
      <c r="A85" s="691" t="str">
        <f>Kat.!C85</f>
        <v>×</v>
      </c>
      <c r="B85" s="692">
        <v>64</v>
      </c>
      <c r="C85" s="693" t="s">
        <v>276</v>
      </c>
      <c r="D85" s="693" t="s">
        <v>277</v>
      </c>
      <c r="E85" s="694" t="s">
        <v>246</v>
      </c>
      <c r="F85" s="695">
        <f>VLOOKUP(C85,[2]List1!$A:$D,2,FALSE)</f>
        <v>62</v>
      </c>
      <c r="G85" s="696">
        <f t="shared" si="5"/>
        <v>62</v>
      </c>
      <c r="H85" s="697">
        <f t="shared" si="6"/>
        <v>2.5</v>
      </c>
      <c r="I85" s="837">
        <v>50</v>
      </c>
      <c r="J85" s="698" t="s">
        <v>247</v>
      </c>
      <c r="K85" s="856"/>
      <c r="L85" s="857" t="s">
        <v>13827</v>
      </c>
      <c r="M85" s="698" t="s">
        <v>25</v>
      </c>
      <c r="N85" s="869">
        <f>IFERROR(VLOOKUP(C85,[3]List1!$A:$D,4,FALSE),"N/A!")</f>
        <v>1.7199000000000002E-2</v>
      </c>
      <c r="O85" s="837">
        <f>IFERROR(VLOOKUP(C85,[3]List1!$A:$D,3,FALSE),"N/A!")</f>
        <v>5000</v>
      </c>
      <c r="P85" s="837">
        <f>IFERROR(VLOOKUP(C85,[3]List1!$A:$D,2,FALSE),"N/A!")</f>
        <v>8700</v>
      </c>
      <c r="Q85" s="698" t="s">
        <v>2566</v>
      </c>
      <c r="R85" s="698" t="s">
        <v>24</v>
      </c>
      <c r="S85" s="698"/>
      <c r="T85" s="695">
        <v>35</v>
      </c>
      <c r="U85" s="874"/>
      <c r="V85" s="699" t="str">
        <f>_xlfn.IFNA(HYPERLINK("https://www.klasekpyrotechnics.cz/rdg1o"),"")</f>
        <v>https://www.klasekpyrotechnics.cz/rdg1o</v>
      </c>
      <c r="W85" s="700" t="str">
        <f>IFERROR(VLOOKUP($C85,Popisy!A:P,MATCH($W$17,Popisy!$A$7:$P$7,0),FALSE),"---------------")</f>
        <v>Rauchröhre (Tube) - orange Farbe</v>
      </c>
      <c r="X85" s="891" t="str">
        <f t="shared" si="7"/>
        <v/>
      </c>
      <c r="Y85" s="892"/>
      <c r="Z85" s="700" t="str">
        <f>IFERROR(IF(VLOOKUP(C85,[4]List1!$A:$D,4,FALSE)=0,"",VLOOKUP(C85,[4]List1!$A:$D,4,FALSE)),"")</f>
        <v>72</v>
      </c>
      <c r="AA85" s="707"/>
      <c r="AB85" s="912" t="str">
        <f>IFERROR(IF(VLOOKUP(C85,[1]List1!$A:$D,2,FALSE)="VYPRODÁNO",$V$9,IF(VLOOKUP(C85,[1]List1!$A:$D,2,FALSE)="DOCHÁZÍ",$V$3,VLOOKUP(C85,[1]List1!$A:$D,2,FALSE))),"OFFLINE!")</f>
        <v>SKLADEM</v>
      </c>
      <c r="AC85" s="912" t="str">
        <f ca="1">IF(AO85="NE",$V$10,IF(AB85=$V$3,IF(AP85&lt;1,$V$8,$V$2&amp;" "&amp;AP85&amp;" "&amp;$V$1),IF(AB85="SKLADEM",$V$6,IFERROR(IF(OR(AB85-TODAY()&gt;21,VLOOKUP(C85,[1]List1!$A:$E,4,FALSE)=0),AB85,DAY(AB85)&amp;"."&amp;MONTH(AB85)&amp;"."&amp;YEAR(AB85)&amp;" "&amp;$V$4&amp;VLOOKUP(C85,[1]List1!$A:$E,4,FALSE)&amp;" "&amp;$V$1),AB85))))</f>
        <v>AUF LAGER</v>
      </c>
      <c r="AD85" s="701" t="str">
        <f ca="1">_xlfn.IFNA(VLOOKUP(C85,'General price list'!C:AM,MATCH($AD$20,'General price list'!$C$20:$AM$20,0),FALSE),"")</f>
        <v>AUF LAGER</v>
      </c>
      <c r="AE85" s="695">
        <f t="shared" ca="1" si="8"/>
        <v>0</v>
      </c>
      <c r="AF85" s="695">
        <f t="shared" ca="1" si="9"/>
        <v>0</v>
      </c>
      <c r="AG85" s="702">
        <f t="shared" ca="1" si="10"/>
        <v>0</v>
      </c>
      <c r="AH85" s="703">
        <f t="shared" ca="1" si="11"/>
        <v>0</v>
      </c>
      <c r="AI85" s="702">
        <f t="shared" ca="1" si="12"/>
        <v>0</v>
      </c>
      <c r="AJ85" s="704" t="str">
        <f t="shared" ca="1" si="13"/>
        <v/>
      </c>
      <c r="AK85" s="704" t="str">
        <f t="shared" ca="1" si="14"/>
        <v/>
      </c>
      <c r="AL85" s="704">
        <f t="shared" ca="1" si="15"/>
        <v>0</v>
      </c>
      <c r="AM85" s="705" t="str">
        <f t="shared" ca="1" si="16"/>
        <v/>
      </c>
      <c r="AN85" s="313"/>
      <c r="AO85" s="314" t="str">
        <f>IF($R$3=1,IF(Y85=AA85,"","NE"),IF(#REF!=$V$10,"NE",""))</f>
        <v/>
      </c>
      <c r="AP85" s="315" t="str">
        <f>IF(AB85=$V$3,IF(VLOOKUP(C85,[1]List1!$A:$E,5,FALSE)=0,1,VLOOKUP(C85,[1]List1!$A:$E,5,FALSE)),"")</f>
        <v/>
      </c>
      <c r="AW85" s="458">
        <f>IFERROR(FIND(VLOOKUP('General price list'!$AB$7,'General price list'!$AC$1:$AD$12,2,FALSE),Q85,1),0)</f>
        <v>0</v>
      </c>
      <c r="AX85" s="458">
        <f>IFERROR(FIND(VLOOKUP('General price list'!$AB$7,'General price list'!$AC$1:$AD$12,2,FALSE),R85,1),0)</f>
        <v>0</v>
      </c>
    </row>
    <row r="86" spans="1:57" ht="15" customHeight="1">
      <c r="A86" s="677" t="str">
        <f>Kat.!C86</f>
        <v>×</v>
      </c>
      <c r="B86" s="678">
        <v>65</v>
      </c>
      <c r="C86" s="679" t="s">
        <v>281</v>
      </c>
      <c r="D86" s="679" t="s">
        <v>277</v>
      </c>
      <c r="E86" s="680" t="s">
        <v>246</v>
      </c>
      <c r="F86" s="681">
        <f>VLOOKUP(C86,[2]List1!$A:$D,2,FALSE)</f>
        <v>62</v>
      </c>
      <c r="G86" s="682">
        <f t="shared" si="5"/>
        <v>62</v>
      </c>
      <c r="H86" s="683">
        <f t="shared" si="6"/>
        <v>2.5</v>
      </c>
      <c r="I86" s="836">
        <v>50</v>
      </c>
      <c r="J86" s="680" t="s">
        <v>247</v>
      </c>
      <c r="K86" s="854"/>
      <c r="L86" s="855" t="s">
        <v>13827</v>
      </c>
      <c r="M86" s="680" t="s">
        <v>25</v>
      </c>
      <c r="N86" s="868">
        <f>IFERROR(VLOOKUP(C86,[3]List1!$A:$D,4,FALSE),"N/A!")</f>
        <v>1.7199000000000002E-2</v>
      </c>
      <c r="O86" s="836">
        <f>IFERROR(VLOOKUP(C86,[3]List1!$A:$D,3,FALSE),"N/A!")</f>
        <v>5000</v>
      </c>
      <c r="P86" s="836">
        <f>IFERROR(VLOOKUP(C86,[3]List1!$A:$D,2,FALSE),"N/A!")</f>
        <v>8700</v>
      </c>
      <c r="Q86" s="680" t="s">
        <v>2567</v>
      </c>
      <c r="R86" s="680" t="s">
        <v>24</v>
      </c>
      <c r="S86" s="680"/>
      <c r="T86" s="681">
        <v>35</v>
      </c>
      <c r="U86" s="873"/>
      <c r="V86" s="684" t="str">
        <f>_xlfn.IFNA(HYPERLINK("https://www.klasekpyrotechnics.cz/rdg1o_1"),"")</f>
        <v>https://www.klasekpyrotechnics.cz/rdg1o_1</v>
      </c>
      <c r="W86" s="685" t="str">
        <f>IFERROR(VLOOKUP($C86,Popisy!A:P,MATCH($W$17,Popisy!$A$7:$P$7,0),FALSE),"---------------")</f>
        <v>Rauchröhre (Tube) - orange Farbe</v>
      </c>
      <c r="X86" s="889" t="str">
        <f t="shared" si="7"/>
        <v/>
      </c>
      <c r="Y86" s="890"/>
      <c r="Z86" s="685" t="str">
        <f>IFERROR(IF(VLOOKUP(C86,[4]List1!$A:$D,4,FALSE)=0,"",VLOOKUP(C86,[4]List1!$A:$D,4,FALSE)),"")</f>
        <v>72</v>
      </c>
      <c r="AA86" s="707"/>
      <c r="AB86" s="911" t="str">
        <f>IFERROR(IF(VLOOKUP(C86,[1]List1!$A:$D,2,FALSE)="VYPRODÁNO",$V$9,IF(VLOOKUP(C86,[1]List1!$A:$D,2,FALSE)="DOCHÁZÍ",$V$3,VLOOKUP(C86,[1]List1!$A:$D,2,FALSE))),"OFFLINE!")</f>
        <v>LETZTE STÜCKE</v>
      </c>
      <c r="AC86" s="911" t="str">
        <f ca="1">IF(AO86="NE",$V$10,IF(AB86=$V$3,IF(AP86&lt;1,$V$8,$V$2&amp;" "&amp;AP86&amp;" "&amp;$V$1),IF(AB86="SKLADEM",$V$6,IFERROR(IF(OR(AB86-TODAY()&gt;21,VLOOKUP(C86,[1]List1!$A:$E,4,FALSE)=0),AB86,DAY(AB86)&amp;"."&amp;MONTH(AB86)&amp;"."&amp;YEAR(AB86)&amp;" "&amp;$V$4&amp;VLOOKUP(C86,[1]List1!$A:$E,4,FALSE)&amp;" "&amp;$V$1),AB86))))</f>
        <v>LETZTE 9 KTN</v>
      </c>
      <c r="AD86" s="686" t="str">
        <f ca="1">_xlfn.IFNA(VLOOKUP(C86,'General price list'!C:AM,MATCH($AD$20,'General price list'!$C$20:$AM$20,0),FALSE),"")</f>
        <v>LETZTE 9 KTN</v>
      </c>
      <c r="AE86" s="681">
        <f t="shared" ca="1" si="8"/>
        <v>0</v>
      </c>
      <c r="AF86" s="681">
        <f t="shared" ca="1" si="9"/>
        <v>0</v>
      </c>
      <c r="AG86" s="687">
        <f t="shared" ca="1" si="10"/>
        <v>0</v>
      </c>
      <c r="AH86" s="688">
        <f t="shared" ca="1" si="11"/>
        <v>0</v>
      </c>
      <c r="AI86" s="687">
        <f t="shared" ca="1" si="12"/>
        <v>0</v>
      </c>
      <c r="AJ86" s="689" t="str">
        <f t="shared" ca="1" si="13"/>
        <v/>
      </c>
      <c r="AK86" s="689" t="str">
        <f t="shared" ca="1" si="14"/>
        <v/>
      </c>
      <c r="AL86" s="689">
        <f t="shared" ca="1" si="15"/>
        <v>0</v>
      </c>
      <c r="AM86" s="690" t="str">
        <f t="shared" ca="1" si="16"/>
        <v/>
      </c>
      <c r="AN86" s="313"/>
      <c r="AO86" s="314" t="str">
        <f>IF($R$3=1,IF(Y86=AA86,"","NE"),IF(#REF!=$V$10,"NE",""))</f>
        <v/>
      </c>
      <c r="AP86" s="315">
        <f>IF(AB86=$V$3,IF(VLOOKUP(C86,[1]List1!$A:$E,5,FALSE)=0,1,VLOOKUP(C86,[1]List1!$A:$E,5,FALSE)),"")</f>
        <v>9</v>
      </c>
      <c r="AW86" s="458">
        <f>IFERROR(FIND(VLOOKUP('General price list'!$AB$7,'General price list'!$AC$1:$AD$12,2,FALSE),Q86,1),0)</f>
        <v>0</v>
      </c>
      <c r="AX86" s="458">
        <f>IFERROR(FIND(VLOOKUP('General price list'!$AB$7,'General price list'!$AC$1:$AD$12,2,FALSE),R86,1),0)</f>
        <v>0</v>
      </c>
    </row>
    <row r="87" spans="1:57" ht="15" customHeight="1">
      <c r="A87" s="691" t="str">
        <f>Kat.!C87</f>
        <v xml:space="preserve">                                          </v>
      </c>
      <c r="B87" s="692">
        <v>66</v>
      </c>
      <c r="C87" s="693" t="s">
        <v>282</v>
      </c>
      <c r="D87" s="693" t="s">
        <v>283</v>
      </c>
      <c r="E87" s="694" t="s">
        <v>246</v>
      </c>
      <c r="F87" s="695">
        <f>VLOOKUP(C87,[2]List1!$A:$D,2,FALSE)</f>
        <v>132</v>
      </c>
      <c r="G87" s="696">
        <f t="shared" ref="G87:G150" si="17">IFERROR((F87)*$B$19,"")</f>
        <v>132</v>
      </c>
      <c r="H87" s="697">
        <f t="shared" ref="H87:H150" si="18">IFERROR(ROUND(G87/$F$19,1),"")</f>
        <v>5.4</v>
      </c>
      <c r="I87" s="837">
        <v>50</v>
      </c>
      <c r="J87" s="698" t="s">
        <v>247</v>
      </c>
      <c r="K87" s="856"/>
      <c r="L87" s="857" t="s">
        <v>13827</v>
      </c>
      <c r="M87" s="698" t="s">
        <v>25</v>
      </c>
      <c r="N87" s="869">
        <f>IFERROR(VLOOKUP(C87,[3]List1!$A:$D,4,FALSE),"N/A!")</f>
        <v>3.6358000000000008E-2</v>
      </c>
      <c r="O87" s="837">
        <f>IFERROR(VLOOKUP(C87,[3]List1!$A:$D,3,FALSE),"N/A!")</f>
        <v>12000</v>
      </c>
      <c r="P87" s="837">
        <f>IFERROR(VLOOKUP(C87,[3]List1!$A:$D,2,FALSE),"N/A!")</f>
        <v>17000</v>
      </c>
      <c r="Q87" s="698" t="s">
        <v>207</v>
      </c>
      <c r="R87" s="698" t="s">
        <v>24</v>
      </c>
      <c r="S87" s="698"/>
      <c r="T87" s="695">
        <v>60</v>
      </c>
      <c r="U87" s="874"/>
      <c r="V87" s="699" t="str">
        <f>_xlfn.IFNA(HYPERLINK("https://www.klasekpyrotechnics.cz/rdg2b"),"")</f>
        <v>https://www.klasekpyrotechnics.cz/rdg2b</v>
      </c>
      <c r="W87" s="700" t="str">
        <f>IFERROR(VLOOKUP($C87,Popisy!A:P,MATCH($W$17,Popisy!$A$7:$P$7,0),FALSE),"---------------")</f>
        <v>Rauchröhre (rauchende Tube von zwei Seiten) - weiße Farbe</v>
      </c>
      <c r="X87" s="891" t="str">
        <f t="shared" ref="X87:X150" si="19">IF(AA87&lt;0.0001,"",AA87)</f>
        <v/>
      </c>
      <c r="Y87" s="892"/>
      <c r="Z87" s="700">
        <f>IFERROR(IF(VLOOKUP(C87,[4]List1!$A:$D,4,FALSE)=0,"",VLOOKUP(C87,[4]List1!$A:$D,4,FALSE)),"")</f>
        <v>42</v>
      </c>
      <c r="AA87" s="707"/>
      <c r="AB87" s="912" t="str">
        <f>IFERROR(IF(VLOOKUP(C87,[1]List1!$A:$D,2,FALSE)="VYPRODÁNO",$V$9,IF(VLOOKUP(C87,[1]List1!$A:$D,2,FALSE)="DOCHÁZÍ",$V$3,VLOOKUP(C87,[1]List1!$A:$D,2,FALSE))),"OFFLINE!")</f>
        <v>SKLADEM</v>
      </c>
      <c r="AC87" s="912" t="str">
        <f ca="1">IF(AO87="NE",$V$10,IF(AB87=$V$3,IF(AP87&lt;1,$V$8,$V$2&amp;" "&amp;AP87&amp;" "&amp;$V$1),IF(AB87="SKLADEM",$V$6,IFERROR(IF(OR(AB87-TODAY()&gt;21,VLOOKUP(C87,[1]List1!$A:$E,4,FALSE)=0),AB87,DAY(AB87)&amp;"."&amp;MONTH(AB87)&amp;"."&amp;YEAR(AB87)&amp;" "&amp;$V$4&amp;VLOOKUP(C87,[1]List1!$A:$E,4,FALSE)&amp;" "&amp;$V$1),AB87))))</f>
        <v>AUF LAGER</v>
      </c>
      <c r="AD87" s="701" t="str">
        <f ca="1">_xlfn.IFNA(VLOOKUP(C87,'General price list'!C:AM,MATCH($AD$20,'General price list'!$C$20:$AM$20,0),FALSE),"")</f>
        <v>AUF LAGER</v>
      </c>
      <c r="AE87" s="695">
        <f t="shared" ref="AE87:AE150" ca="1" si="20">IFERROR(IF(AD87=$V$10,0,G87*I87*AA87),"")</f>
        <v>0</v>
      </c>
      <c r="AF87" s="695">
        <f t="shared" ref="AF87:AF150" ca="1" si="21">IFERROR(IF($W$17=$AB$8,AG87*1.23,AE87*1.21),"")</f>
        <v>0</v>
      </c>
      <c r="AG87" s="702">
        <f t="shared" ref="AG87:AG150" ca="1" si="22">IFERROR(IF($V$10=AD87,0,H87*I87*AA87),"")</f>
        <v>0</v>
      </c>
      <c r="AH87" s="703">
        <f t="shared" ref="AH87:AH150" ca="1" si="23">IFERROR(IF($V$10=AD87,0,(P87*AA87)/1000),"")</f>
        <v>0</v>
      </c>
      <c r="AI87" s="702">
        <f t="shared" ref="AI87:AI150" ca="1" si="24">IFERROR(IF($V$10=AD87,0,N87*AA87),"")</f>
        <v>0</v>
      </c>
      <c r="AJ87" s="704" t="str">
        <f t="shared" ref="AJ87:AJ150" ca="1" si="25">IFERROR(IF($V$10=AD87,"",IF(M87="1.1G",(O87/1000)*AA87,"")),0)</f>
        <v/>
      </c>
      <c r="AK87" s="704" t="str">
        <f t="shared" ref="AK87:AK150" ca="1" si="26">IFERROR(IF($V$10=AD87,"",IF(M87="1.3G",(O87/1000)*AA87,"")),0)</f>
        <v/>
      </c>
      <c r="AL87" s="704">
        <f t="shared" ref="AL87:AL150" ca="1" si="27">IFERROR(IF($V$10=AD87,"",IF(M87="1.4G",(O87/1000)*AA87,"")),0)</f>
        <v>0</v>
      </c>
      <c r="AM87" s="705" t="str">
        <f t="shared" ref="AM87:AM150" ca="1" si="28">IFERROR(IF(SUM(AJ87:AL87)=0,"",SUM(AJ87:AL87)),"")</f>
        <v/>
      </c>
      <c r="AN87" s="313"/>
      <c r="AO87" s="314" t="str">
        <f>IF($R$3=1,IF(Y87=AA87,"","NE"),IF(#REF!=$V$10,"NE",""))</f>
        <v/>
      </c>
      <c r="AP87" s="315" t="str">
        <f>IF(AB87=$V$3,IF(VLOOKUP(C87,[1]List1!$A:$E,5,FALSE)=0,1,VLOOKUP(C87,[1]List1!$A:$E,5,FALSE)),"")</f>
        <v/>
      </c>
      <c r="AW87" s="458">
        <f>IFERROR(FIND(VLOOKUP('General price list'!$AB$7,'General price list'!$AC$1:$AD$12,2,FALSE),Q87,1),0)</f>
        <v>0</v>
      </c>
      <c r="AX87" s="458">
        <f>IFERROR(FIND(VLOOKUP('General price list'!$AB$7,'General price list'!$AC$1:$AD$12,2,FALSE),R87,1),0)</f>
        <v>0</v>
      </c>
    </row>
    <row r="88" spans="1:57" ht="15" customHeight="1">
      <c r="A88" s="677" t="str">
        <f>Kat.!C88</f>
        <v xml:space="preserve">                                          </v>
      </c>
      <c r="B88" s="678">
        <v>67</v>
      </c>
      <c r="C88" s="679" t="s">
        <v>287</v>
      </c>
      <c r="D88" s="679" t="s">
        <v>288</v>
      </c>
      <c r="E88" s="680" t="s">
        <v>246</v>
      </c>
      <c r="F88" s="681">
        <f>VLOOKUP(C88,[2]List1!$A:$D,2,FALSE)</f>
        <v>132</v>
      </c>
      <c r="G88" s="682">
        <f t="shared" si="17"/>
        <v>132</v>
      </c>
      <c r="H88" s="683">
        <f t="shared" si="18"/>
        <v>5.4</v>
      </c>
      <c r="I88" s="836">
        <v>50</v>
      </c>
      <c r="J88" s="680" t="s">
        <v>247</v>
      </c>
      <c r="K88" s="854"/>
      <c r="L88" s="855" t="s">
        <v>13827</v>
      </c>
      <c r="M88" s="680" t="s">
        <v>25</v>
      </c>
      <c r="N88" s="868">
        <f>IFERROR(VLOOKUP(C88,[3]List1!$A:$D,4,FALSE),"N/A!")</f>
        <v>3.6358000000000008E-2</v>
      </c>
      <c r="O88" s="836">
        <f>IFERROR(VLOOKUP(C88,[3]List1!$A:$D,3,FALSE),"N/A!")</f>
        <v>12000</v>
      </c>
      <c r="P88" s="836">
        <f>IFERROR(VLOOKUP(C88,[3]List1!$A:$D,2,FALSE),"N/A!")</f>
        <v>17000</v>
      </c>
      <c r="Q88" s="680" t="s">
        <v>207</v>
      </c>
      <c r="R88" s="680" t="s">
        <v>24</v>
      </c>
      <c r="S88" s="680"/>
      <c r="T88" s="681">
        <v>60</v>
      </c>
      <c r="U88" s="873"/>
      <c r="V88" s="684" t="str">
        <f>_xlfn.IFNA(HYPERLINK("https://www.klasekpyrotechnics.cz/rdg2c"),"")</f>
        <v>https://www.klasekpyrotechnics.cz/rdg2c</v>
      </c>
      <c r="W88" s="685" t="str">
        <f>IFERROR(VLOOKUP($C88,Popisy!A:P,MATCH($W$17,Popisy!$A$7:$P$7,0),FALSE),"---------------")</f>
        <v>Rauchröhre (rauchende Tube von zwei Seiten) - rote Farbe</v>
      </c>
      <c r="X88" s="889" t="str">
        <f t="shared" si="19"/>
        <v/>
      </c>
      <c r="Y88" s="890"/>
      <c r="Z88" s="685">
        <f>IFERROR(IF(VLOOKUP(C88,[4]List1!$A:$D,4,FALSE)=0,"",VLOOKUP(C88,[4]List1!$A:$D,4,FALSE)),"")</f>
        <v>42</v>
      </c>
      <c r="AA88" s="707"/>
      <c r="AB88" s="911" t="str">
        <f>IFERROR(IF(VLOOKUP(C88,[1]List1!$A:$D,2,FALSE)="VYPRODÁNO",$V$9,IF(VLOOKUP(C88,[1]List1!$A:$D,2,FALSE)="DOCHÁZÍ",$V$3,VLOOKUP(C88,[1]List1!$A:$D,2,FALSE))),"OFFLINE!")</f>
        <v>SKLADEM</v>
      </c>
      <c r="AC88" s="911" t="str">
        <f ca="1">IF(AO88="NE",$V$10,IF(AB88=$V$3,IF(AP88&lt;1,$V$8,$V$2&amp;" "&amp;AP88&amp;" "&amp;$V$1),IF(AB88="SKLADEM",$V$6,IFERROR(IF(OR(AB88-TODAY()&gt;21,VLOOKUP(C88,[1]List1!$A:$E,4,FALSE)=0),AB88,DAY(AB88)&amp;"."&amp;MONTH(AB88)&amp;"."&amp;YEAR(AB88)&amp;" "&amp;$V$4&amp;VLOOKUP(C88,[1]List1!$A:$E,4,FALSE)&amp;" "&amp;$V$1),AB88))))</f>
        <v>AUF LAGER</v>
      </c>
      <c r="AD88" s="686" t="str">
        <f ca="1">_xlfn.IFNA(VLOOKUP(C88,'General price list'!C:AM,MATCH($AD$20,'General price list'!$C$20:$AM$20,0),FALSE),"")</f>
        <v>AUF LAGER</v>
      </c>
      <c r="AE88" s="681">
        <f t="shared" ca="1" si="20"/>
        <v>0</v>
      </c>
      <c r="AF88" s="681">
        <f t="shared" ca="1" si="21"/>
        <v>0</v>
      </c>
      <c r="AG88" s="687">
        <f t="shared" ca="1" si="22"/>
        <v>0</v>
      </c>
      <c r="AH88" s="688">
        <f t="shared" ca="1" si="23"/>
        <v>0</v>
      </c>
      <c r="AI88" s="687">
        <f t="shared" ca="1" si="24"/>
        <v>0</v>
      </c>
      <c r="AJ88" s="689" t="str">
        <f t="shared" ca="1" si="25"/>
        <v/>
      </c>
      <c r="AK88" s="689" t="str">
        <f t="shared" ca="1" si="26"/>
        <v/>
      </c>
      <c r="AL88" s="689">
        <f t="shared" ca="1" si="27"/>
        <v>0</v>
      </c>
      <c r="AM88" s="690" t="str">
        <f t="shared" ca="1" si="28"/>
        <v/>
      </c>
      <c r="AN88" s="313"/>
      <c r="AO88" s="314" t="str">
        <f>IF($R$3=1,IF(Y88=AA88,"","NE"),IF(#REF!=$V$10,"NE",""))</f>
        <v/>
      </c>
      <c r="AP88" s="315" t="str">
        <f>IF(AB88=$V$3,IF(VLOOKUP(C88,[1]List1!$A:$E,5,FALSE)=0,1,VLOOKUP(C88,[1]List1!$A:$E,5,FALSE)),"")</f>
        <v/>
      </c>
      <c r="AW88" s="458">
        <f>IFERROR(FIND(VLOOKUP('General price list'!$AB$7,'General price list'!$AC$1:$AD$12,2,FALSE),Q88,1),0)</f>
        <v>0</v>
      </c>
      <c r="AX88" s="458">
        <f>IFERROR(FIND(VLOOKUP('General price list'!$AB$7,'General price list'!$AC$1:$AD$12,2,FALSE),R88,1),0)</f>
        <v>0</v>
      </c>
    </row>
    <row r="89" spans="1:57" ht="15" customHeight="1">
      <c r="A89" s="691" t="str">
        <f>Kat.!C89</f>
        <v xml:space="preserve">                                          </v>
      </c>
      <c r="B89" s="692">
        <v>68</v>
      </c>
      <c r="C89" s="693" t="s">
        <v>292</v>
      </c>
      <c r="D89" s="693" t="s">
        <v>293</v>
      </c>
      <c r="E89" s="694" t="s">
        <v>246</v>
      </c>
      <c r="F89" s="695">
        <f>VLOOKUP(C89,[2]List1!$A:$D,2,FALSE)</f>
        <v>132</v>
      </c>
      <c r="G89" s="696">
        <f t="shared" si="17"/>
        <v>132</v>
      </c>
      <c r="H89" s="697">
        <f t="shared" si="18"/>
        <v>5.4</v>
      </c>
      <c r="I89" s="837">
        <v>50</v>
      </c>
      <c r="J89" s="698" t="s">
        <v>247</v>
      </c>
      <c r="K89" s="856"/>
      <c r="L89" s="857" t="s">
        <v>13827</v>
      </c>
      <c r="M89" s="698" t="s">
        <v>25</v>
      </c>
      <c r="N89" s="869">
        <f>IFERROR(VLOOKUP(C89,[3]List1!$A:$D,4,FALSE),"N/A!")</f>
        <v>3.6358000000000008E-2</v>
      </c>
      <c r="O89" s="837">
        <f>IFERROR(VLOOKUP(C89,[3]List1!$A:$D,3,FALSE),"N/A!")</f>
        <v>12000</v>
      </c>
      <c r="P89" s="837">
        <f>IFERROR(VLOOKUP(C89,[3]List1!$A:$D,2,FALSE),"N/A!")</f>
        <v>17000</v>
      </c>
      <c r="Q89" s="698" t="s">
        <v>207</v>
      </c>
      <c r="R89" s="698" t="s">
        <v>24</v>
      </c>
      <c r="S89" s="698"/>
      <c r="T89" s="695">
        <v>60</v>
      </c>
      <c r="U89" s="874"/>
      <c r="V89" s="699" t="str">
        <f>_xlfn.IFNA(HYPERLINK("https://www.klasekpyrotechnics.cz/rdg2m"),"")</f>
        <v>https://www.klasekpyrotechnics.cz/rdg2m</v>
      </c>
      <c r="W89" s="700" t="str">
        <f>IFERROR(VLOOKUP($C89,Popisy!A:P,MATCH($W$17,Popisy!$A$7:$P$7,0),FALSE),"---------------")</f>
        <v>Rauchröhre (rauchende Tube von zwei Seiten) - blaue Farbe</v>
      </c>
      <c r="X89" s="891" t="str">
        <f t="shared" si="19"/>
        <v/>
      </c>
      <c r="Y89" s="892"/>
      <c r="Z89" s="700">
        <f>IFERROR(IF(VLOOKUP(C89,[4]List1!$A:$D,4,FALSE)=0,"",VLOOKUP(C89,[4]List1!$A:$D,4,FALSE)),"")</f>
        <v>42</v>
      </c>
      <c r="AA89" s="707"/>
      <c r="AB89" s="912" t="str">
        <f>IFERROR(IF(VLOOKUP(C89,[1]List1!$A:$D,2,FALSE)="VYPRODÁNO",$V$9,IF(VLOOKUP(C89,[1]List1!$A:$D,2,FALSE)="DOCHÁZÍ",$V$3,VLOOKUP(C89,[1]List1!$A:$D,2,FALSE))),"OFFLINE!")</f>
        <v>SKLADEM</v>
      </c>
      <c r="AC89" s="912" t="str">
        <f ca="1">IF(AO89="NE",$V$10,IF(AB89=$V$3,IF(AP89&lt;1,$V$8,$V$2&amp;" "&amp;AP89&amp;" "&amp;$V$1),IF(AB89="SKLADEM",$V$6,IFERROR(IF(OR(AB89-TODAY()&gt;21,VLOOKUP(C89,[1]List1!$A:$E,4,FALSE)=0),AB89,DAY(AB89)&amp;"."&amp;MONTH(AB89)&amp;"."&amp;YEAR(AB89)&amp;" "&amp;$V$4&amp;VLOOKUP(C89,[1]List1!$A:$E,4,FALSE)&amp;" "&amp;$V$1),AB89))))</f>
        <v>AUF LAGER</v>
      </c>
      <c r="AD89" s="701" t="str">
        <f ca="1">_xlfn.IFNA(VLOOKUP(C89,'General price list'!C:AM,MATCH($AD$20,'General price list'!$C$20:$AM$20,0),FALSE),"")</f>
        <v>AUF LAGER</v>
      </c>
      <c r="AE89" s="695">
        <f t="shared" ca="1" si="20"/>
        <v>0</v>
      </c>
      <c r="AF89" s="695">
        <f t="shared" ca="1" si="21"/>
        <v>0</v>
      </c>
      <c r="AG89" s="702">
        <f t="shared" ca="1" si="22"/>
        <v>0</v>
      </c>
      <c r="AH89" s="703">
        <f t="shared" ca="1" si="23"/>
        <v>0</v>
      </c>
      <c r="AI89" s="702">
        <f t="shared" ca="1" si="24"/>
        <v>0</v>
      </c>
      <c r="AJ89" s="704" t="str">
        <f t="shared" ca="1" si="25"/>
        <v/>
      </c>
      <c r="AK89" s="704" t="str">
        <f t="shared" ca="1" si="26"/>
        <v/>
      </c>
      <c r="AL89" s="704">
        <f t="shared" ca="1" si="27"/>
        <v>0</v>
      </c>
      <c r="AM89" s="705" t="str">
        <f t="shared" ca="1" si="28"/>
        <v/>
      </c>
      <c r="AN89" s="313"/>
      <c r="AO89" s="314" t="str">
        <f>IF($R$3=1,IF(Y89=AA89,"","NE"),IF(#REF!=$V$10,"NE",""))</f>
        <v/>
      </c>
      <c r="AP89" s="315" t="str">
        <f>IF(AB89=$V$3,IF(VLOOKUP(C89,[1]List1!$A:$E,5,FALSE)=0,1,VLOOKUP(C89,[1]List1!$A:$E,5,FALSE)),"")</f>
        <v/>
      </c>
      <c r="AW89" s="458">
        <f>IFERROR(FIND(VLOOKUP('General price list'!$AB$7,'General price list'!$AC$1:$AD$12,2,FALSE),Q89,1),0)</f>
        <v>0</v>
      </c>
      <c r="AX89" s="458">
        <f>IFERROR(FIND(VLOOKUP('General price list'!$AB$7,'General price list'!$AC$1:$AD$12,2,FALSE),R89,1),0)</f>
        <v>0</v>
      </c>
    </row>
    <row r="90" spans="1:57" ht="15" customHeight="1">
      <c r="A90" s="672" t="str">
        <f>Kat.!C90</f>
        <v xml:space="preserve">                                          Rauchkörper mit Reibkopfzündung</v>
      </c>
      <c r="B90" s="678">
        <v>69</v>
      </c>
      <c r="C90" s="679"/>
      <c r="D90" s="679"/>
      <c r="E90" s="680"/>
      <c r="F90" s="681" t="str">
        <f>IFERROR(ROUND(VLOOKUP(C90,'General price list'!$C:$AN,4,FALSE),0),"")</f>
        <v/>
      </c>
      <c r="G90" s="682" t="str">
        <f t="shared" si="17"/>
        <v/>
      </c>
      <c r="H90" s="683" t="str">
        <f t="shared" si="18"/>
        <v/>
      </c>
      <c r="I90" s="836"/>
      <c r="J90" s="680"/>
      <c r="K90" s="854"/>
      <c r="L90" s="855"/>
      <c r="M90" s="680"/>
      <c r="N90" s="868" t="str">
        <f>IFERROR(IF(VLOOKUP($C90,'General price list'!$C:$AN,MATCH(N$20,'General price list'!$C$20:$AM$20,0),FALSE)=0,"",VLOOKUP($C90,'General price list'!$C:$AN,MATCH(N$20,'General price list'!$C$20:$AM$20,0),FALSE)),"")</f>
        <v/>
      </c>
      <c r="O90" s="836" t="str">
        <f>IFERROR(IF(VLOOKUP($C90,'General price list'!$C:$AN,MATCH(O$20,'General price list'!$C$20:$AM$20,0),FALSE)=0,"",VLOOKUP($C90,'General price list'!$C:$AN,MATCH(O$20,'General price list'!$C$20:$AM$20,0),FALSE)),"")</f>
        <v/>
      </c>
      <c r="P90" s="836" t="str">
        <f>IFERROR(IF(VLOOKUP($C90,'General price list'!$C:$AN,MATCH(P$20,'General price list'!$C$20:$AM$20,0),FALSE)=0,"",VLOOKUP($C90,'General price list'!$C:$AN,MATCH(P$20,'General price list'!$C$20:$AM$20,0),FALSE)),"")</f>
        <v/>
      </c>
      <c r="Q90" s="680"/>
      <c r="R90" s="680"/>
      <c r="S90" s="680"/>
      <c r="T90" s="681"/>
      <c r="U90" s="873"/>
      <c r="V90" s="684"/>
      <c r="W90" s="685" t="str">
        <f>IFERROR(VLOOKUP($C90,'General price list'!$C:$AN,MATCH(W$20,'General price list'!$C$20:$AM$20,0),FALSE),"")</f>
        <v/>
      </c>
      <c r="X90" s="889" t="str">
        <f t="shared" si="19"/>
        <v/>
      </c>
      <c r="Y90" s="890"/>
      <c r="Z90" s="685" t="str">
        <f>IFERROR(VLOOKUP($C90,'General price list'!$C:$AN,MATCH(Z$20,'General price list'!$C$20:$AM$20,0),FALSE),"")</f>
        <v/>
      </c>
      <c r="AA90" s="707"/>
      <c r="AB90" s="911" t="str">
        <f>IFERROR(IF(VLOOKUP(C90,[1]List1!$A:$D,2,FALSE)="VYPRODÁNO",$V$9,IF(VLOOKUP(C90,[1]List1!$A:$D,2,FALSE)="DOCHÁZÍ",$V$3,VLOOKUP(C90,[1]List1!$A:$D,2,FALSE))),"OFFLINE!")</f>
        <v>OFFLINE!</v>
      </c>
      <c r="AC90" s="911" t="str">
        <f ca="1">IF(AO90="NE",$V$10,IF(AB90=$V$3,IF(AP90&lt;1,$V$8,$V$2&amp;" "&amp;AP90&amp;" "&amp;$V$1),IF(AB90="SKLADEM",$V$6,IFERROR(IF(OR(AB90-TODAY()&gt;21,VLOOKUP(C90,[1]List1!$A:$E,4,FALSE)=0),AB90,DAY(AB90)&amp;"."&amp;MONTH(AB90)&amp;"."&amp;YEAR(AB90)&amp;" "&amp;$V$4&amp;VLOOKUP(C90,[1]List1!$A:$E,4,FALSE)&amp;" "&amp;$V$1),AB90))))</f>
        <v>OFFLINE!</v>
      </c>
      <c r="AD90" s="686" t="str">
        <f>_xlfn.IFNA(VLOOKUP(C90,'General price list'!C:AM,MATCH($AD$20,'General price list'!$C$20:$AM$20,0),FALSE),"")</f>
        <v/>
      </c>
      <c r="AE90" s="681" t="str">
        <f t="shared" si="20"/>
        <v/>
      </c>
      <c r="AF90" s="681" t="str">
        <f t="shared" si="21"/>
        <v/>
      </c>
      <c r="AG90" s="687" t="str">
        <f t="shared" si="22"/>
        <v/>
      </c>
      <c r="AH90" s="688" t="str">
        <f t="shared" si="23"/>
        <v/>
      </c>
      <c r="AI90" s="687" t="str">
        <f t="shared" si="24"/>
        <v/>
      </c>
      <c r="AJ90" s="689" t="str">
        <f t="shared" si="25"/>
        <v/>
      </c>
      <c r="AK90" s="689" t="str">
        <f t="shared" si="26"/>
        <v/>
      </c>
      <c r="AL90" s="689" t="str">
        <f t="shared" si="27"/>
        <v/>
      </c>
      <c r="AM90" s="690" t="str">
        <f t="shared" si="28"/>
        <v/>
      </c>
      <c r="AN90" s="313"/>
      <c r="AO90" s="314" t="str">
        <f>IF($R$3=1,IF(Y90=AA90,"","NE"),IF(#REF!=$V$10,"NE",""))</f>
        <v/>
      </c>
      <c r="AP90" s="315" t="str">
        <f>IF(AB90=$V$3,IF(VLOOKUP(C90,[1]List1!$A:$E,5,FALSE)=0,1,VLOOKUP(C90,[1]List1!$A:$E,5,FALSE)),"")</f>
        <v/>
      </c>
      <c r="AW90" s="291" t="e">
        <f>VLOOKUP(C90,'General price list'!C:AU,46,FALSE)</f>
        <v>#N/A</v>
      </c>
      <c r="AX90" s="291" t="e">
        <f>VLOOKUP(C90,'General price list'!C:AU,47,FALSE)</f>
        <v>#N/A</v>
      </c>
    </row>
    <row r="91" spans="1:57" ht="15" customHeight="1">
      <c r="A91" s="691" t="str">
        <f>Kat.!C91</f>
        <v>×</v>
      </c>
      <c r="B91" s="692">
        <v>70</v>
      </c>
      <c r="C91" s="693" t="s">
        <v>3405</v>
      </c>
      <c r="D91" s="693" t="s">
        <v>3406</v>
      </c>
      <c r="E91" s="694" t="s">
        <v>297</v>
      </c>
      <c r="F91" s="695">
        <f>VLOOKUP(C91,[2]List1!$A:$D,2,FALSE)</f>
        <v>290</v>
      </c>
      <c r="G91" s="696">
        <f t="shared" si="17"/>
        <v>290</v>
      </c>
      <c r="H91" s="697">
        <f t="shared" si="18"/>
        <v>11.8</v>
      </c>
      <c r="I91" s="837">
        <v>20</v>
      </c>
      <c r="J91" s="698" t="s">
        <v>230</v>
      </c>
      <c r="K91" s="856"/>
      <c r="L91" s="857" t="s">
        <v>13826</v>
      </c>
      <c r="M91" s="698" t="s">
        <v>25</v>
      </c>
      <c r="N91" s="869">
        <f>IFERROR(VLOOKUP(C91,[3]List1!$A:$D,4,FALSE),"N/A!")</f>
        <v>3.6141499999999993E-2</v>
      </c>
      <c r="O91" s="837">
        <f>IFERROR(VLOOKUP(C91,[3]List1!$A:$D,3,FALSE),"N/A!")</f>
        <v>2500</v>
      </c>
      <c r="P91" s="837">
        <f>IFERROR(VLOOKUP(C91,[3]List1!$A:$D,2,FALSE),"N/A!")</f>
        <v>12000</v>
      </c>
      <c r="Q91" s="698" t="s">
        <v>13729</v>
      </c>
      <c r="R91" s="698" t="s">
        <v>24</v>
      </c>
      <c r="S91" s="698"/>
      <c r="T91" s="695">
        <v>60</v>
      </c>
      <c r="U91" s="874"/>
      <c r="V91" s="699" t="str">
        <f>_xlfn.IFNA(HYPERLINK("https://www.klasekpyrotechnics.cz/rdg60b_sh"),"")</f>
        <v>https://www.klasekpyrotechnics.cz/rdg60b_sh</v>
      </c>
      <c r="W91" s="700" t="str">
        <f>IFERROR(VLOOKUP($C91,Popisy!A:P,MATCH($W$17,Popisy!$A$7:$P$7,0),FALSE),"---------------")</f>
        <v>Rauchkörper mit Reibkopfzündung-weiße Farbe</v>
      </c>
      <c r="X91" s="891" t="str">
        <f t="shared" si="19"/>
        <v/>
      </c>
      <c r="Y91" s="892"/>
      <c r="Z91" s="700">
        <f>IFERROR(IF(VLOOKUP(C91,[4]List1!$A:$D,4,FALSE)=0,"",VLOOKUP(C91,[4]List1!$A:$D,4,FALSE)),"")</f>
        <v>28</v>
      </c>
      <c r="AA91" s="707"/>
      <c r="AB91" s="912" t="str">
        <f>IFERROR(IF(VLOOKUP(C91,[1]List1!$A:$D,2,FALSE)="VYPRODÁNO",$V$9,IF(VLOOKUP(C91,[1]List1!$A:$D,2,FALSE)="DOCHÁZÍ",$V$3,VLOOKUP(C91,[1]List1!$A:$D,2,FALSE))),"OFFLINE!")</f>
        <v>SKLADEM</v>
      </c>
      <c r="AC91" s="912" t="str">
        <f ca="1">IF(AO91="NE",$V$10,IF(AB91=$V$3,IF(AP91&lt;1,$V$8,$V$2&amp;" "&amp;AP91&amp;" "&amp;$V$1),IF(AB91="SKLADEM",$V$6,IFERROR(IF(OR(AB91-TODAY()&gt;21,VLOOKUP(C91,[1]List1!$A:$E,4,FALSE)=0),AB91,DAY(AB91)&amp;"."&amp;MONTH(AB91)&amp;"."&amp;YEAR(AB91)&amp;" "&amp;$V$4&amp;VLOOKUP(C91,[1]List1!$A:$E,4,FALSE)&amp;" "&amp;$V$1),AB91))))</f>
        <v>AUF LAGER</v>
      </c>
      <c r="AD91" s="701" t="str">
        <f ca="1">_xlfn.IFNA(VLOOKUP(C91,'General price list'!C:AM,MATCH($AD$20,'General price list'!$C$20:$AM$20,0),FALSE),"")</f>
        <v>AUF LAGER</v>
      </c>
      <c r="AE91" s="695">
        <f t="shared" ca="1" si="20"/>
        <v>0</v>
      </c>
      <c r="AF91" s="695">
        <f t="shared" ca="1" si="21"/>
        <v>0</v>
      </c>
      <c r="AG91" s="702">
        <f t="shared" ca="1" si="22"/>
        <v>0</v>
      </c>
      <c r="AH91" s="703">
        <f t="shared" ca="1" si="23"/>
        <v>0</v>
      </c>
      <c r="AI91" s="702">
        <f t="shared" ca="1" si="24"/>
        <v>0</v>
      </c>
      <c r="AJ91" s="704" t="str">
        <f t="shared" ca="1" si="25"/>
        <v/>
      </c>
      <c r="AK91" s="704" t="str">
        <f t="shared" ca="1" si="26"/>
        <v/>
      </c>
      <c r="AL91" s="704">
        <f t="shared" ca="1" si="27"/>
        <v>0</v>
      </c>
      <c r="AM91" s="705" t="str">
        <f t="shared" ca="1" si="28"/>
        <v/>
      </c>
      <c r="AN91" s="382"/>
      <c r="AO91" s="314" t="str">
        <f>IF($R$3=1,IF(Y91=AA91,"","NE"),IF(#REF!=$V$10,"NE",""))</f>
        <v/>
      </c>
      <c r="AP91" s="315" t="str">
        <f>IF(AB91=$V$3,IF(VLOOKUP(C91,[1]List1!$A:$E,5,FALSE)=0,1,VLOOKUP(C91,[1]List1!$A:$E,5,FALSE)),"")</f>
        <v/>
      </c>
      <c r="AW91" s="458">
        <f>IFERROR(FIND(VLOOKUP('General price list'!$AB$7,'General price list'!$AC$1:$AD$12,2,FALSE),Q91,1),0)</f>
        <v>13</v>
      </c>
      <c r="AX91" s="458">
        <f>IFERROR(FIND(VLOOKUP('General price list'!$AB$7,'General price list'!$AC$1:$AD$12,2,FALSE),R91,1),0)</f>
        <v>0</v>
      </c>
    </row>
    <row r="92" spans="1:57" ht="15" customHeight="1">
      <c r="A92" s="677" t="str">
        <f>Kat.!C92</f>
        <v>×</v>
      </c>
      <c r="B92" s="678">
        <v>71</v>
      </c>
      <c r="C92" s="679" t="s">
        <v>3416</v>
      </c>
      <c r="D92" s="679" t="s">
        <v>3417</v>
      </c>
      <c r="E92" s="680" t="s">
        <v>297</v>
      </c>
      <c r="F92" s="681">
        <f>VLOOKUP(C92,[2]List1!$A:$D,2,FALSE)</f>
        <v>290</v>
      </c>
      <c r="G92" s="682">
        <f t="shared" si="17"/>
        <v>290</v>
      </c>
      <c r="H92" s="683">
        <f t="shared" si="18"/>
        <v>11.8</v>
      </c>
      <c r="I92" s="836">
        <v>20</v>
      </c>
      <c r="J92" s="680" t="s">
        <v>230</v>
      </c>
      <c r="K92" s="854"/>
      <c r="L92" s="855" t="s">
        <v>13826</v>
      </c>
      <c r="M92" s="680" t="s">
        <v>25</v>
      </c>
      <c r="N92" s="868">
        <f>IFERROR(VLOOKUP(C92,[3]List1!$A:$D,4,FALSE),"N/A!")</f>
        <v>3.6141499999999993E-2</v>
      </c>
      <c r="O92" s="836">
        <f>IFERROR(VLOOKUP(C92,[3]List1!$A:$D,3,FALSE),"N/A!")</f>
        <v>2500</v>
      </c>
      <c r="P92" s="836">
        <f>IFERROR(VLOOKUP(C92,[3]List1!$A:$D,2,FALSE),"N/A!")</f>
        <v>12000</v>
      </c>
      <c r="Q92" s="680" t="s">
        <v>13729</v>
      </c>
      <c r="R92" s="680" t="s">
        <v>24</v>
      </c>
      <c r="S92" s="680"/>
      <c r="T92" s="681">
        <v>60</v>
      </c>
      <c r="U92" s="873"/>
      <c r="V92" s="684" t="str">
        <f>_xlfn.IFNA(HYPERLINK("https://www.klasekpyrotechnics.cz/rdg60c_sh"),"")</f>
        <v>https://www.klasekpyrotechnics.cz/rdg60c_sh</v>
      </c>
      <c r="W92" s="685" t="str">
        <f>IFERROR(VLOOKUP($C92,Popisy!A:P,MATCH($W$17,Popisy!$A$7:$P$7,0),FALSE),"---------------")</f>
        <v>Rauchkörper mit Reibkopfzündung-rote Farbe</v>
      </c>
      <c r="X92" s="889" t="str">
        <f t="shared" si="19"/>
        <v/>
      </c>
      <c r="Y92" s="890"/>
      <c r="Z92" s="685">
        <f>IFERROR(IF(VLOOKUP(C92,[4]List1!$A:$D,4,FALSE)=0,"",VLOOKUP(C92,[4]List1!$A:$D,4,FALSE)),"")</f>
        <v>28</v>
      </c>
      <c r="AA92" s="707"/>
      <c r="AB92" s="911" t="str">
        <f>IFERROR(IF(VLOOKUP(C92,[1]List1!$A:$D,2,FALSE)="VYPRODÁNO",$V$9,IF(VLOOKUP(C92,[1]List1!$A:$D,2,FALSE)="DOCHÁZÍ",$V$3,VLOOKUP(C92,[1]List1!$A:$D,2,FALSE))),"OFFLINE!")</f>
        <v>SKLADEM</v>
      </c>
      <c r="AC92" s="911" t="str">
        <f ca="1">IF(AO92="NE",$V$10,IF(AB92=$V$3,IF(AP92&lt;1,$V$8,$V$2&amp;" "&amp;AP92&amp;" "&amp;$V$1),IF(AB92="SKLADEM",$V$6,IFERROR(IF(OR(AB92-TODAY()&gt;21,VLOOKUP(C92,[1]List1!$A:$E,4,FALSE)=0),AB92,DAY(AB92)&amp;"."&amp;MONTH(AB92)&amp;"."&amp;YEAR(AB92)&amp;" "&amp;$V$4&amp;VLOOKUP(C92,[1]List1!$A:$E,4,FALSE)&amp;" "&amp;$V$1),AB92))))</f>
        <v>AUF LAGER</v>
      </c>
      <c r="AD92" s="686">
        <f>_xlfn.IFNA(VLOOKUP(C92,'General price list'!C:AM,MATCH($AD$20,'General price list'!$C$20:$AM$20,0),FALSE),"")</f>
        <v>0</v>
      </c>
      <c r="AE92" s="681">
        <f t="shared" si="20"/>
        <v>0</v>
      </c>
      <c r="AF92" s="681">
        <f t="shared" si="21"/>
        <v>0</v>
      </c>
      <c r="AG92" s="687">
        <f t="shared" si="22"/>
        <v>0</v>
      </c>
      <c r="AH92" s="688">
        <f t="shared" si="23"/>
        <v>0</v>
      </c>
      <c r="AI92" s="687">
        <f t="shared" si="24"/>
        <v>0</v>
      </c>
      <c r="AJ92" s="689" t="str">
        <f t="shared" si="25"/>
        <v/>
      </c>
      <c r="AK92" s="689" t="str">
        <f t="shared" si="26"/>
        <v/>
      </c>
      <c r="AL92" s="689">
        <f t="shared" si="27"/>
        <v>0</v>
      </c>
      <c r="AM92" s="690" t="str">
        <f t="shared" si="28"/>
        <v/>
      </c>
      <c r="AN92" s="313"/>
      <c r="AO92" s="314" t="str">
        <f>IF($R$3=1,IF(Y92=AA92,"","NE"),IF(#REF!=$V$10,"NE",""))</f>
        <v/>
      </c>
      <c r="AP92" s="315" t="str">
        <f>IF(AB92=$V$3,IF(VLOOKUP(C92,[1]List1!$A:$E,5,FALSE)=0,1,VLOOKUP(C92,[1]List1!$A:$E,5,FALSE)),"")</f>
        <v/>
      </c>
      <c r="AW92" s="458">
        <f>IFERROR(FIND(VLOOKUP('General price list'!$AB$7,'General price list'!$AC$1:$AD$12,2,FALSE),Q92,1),0)</f>
        <v>13</v>
      </c>
      <c r="AX92" s="458">
        <f>IFERROR(FIND(VLOOKUP('General price list'!$AB$7,'General price list'!$AC$1:$AD$12,2,FALSE),R92,1),0)</f>
        <v>0</v>
      </c>
    </row>
    <row r="93" spans="1:57" ht="15" customHeight="1">
      <c r="A93" s="691" t="str">
        <f>Kat.!C93</f>
        <v>×</v>
      </c>
      <c r="B93" s="692">
        <v>72</v>
      </c>
      <c r="C93" s="693" t="s">
        <v>3427</v>
      </c>
      <c r="D93" s="693" t="s">
        <v>3428</v>
      </c>
      <c r="E93" s="694" t="s">
        <v>297</v>
      </c>
      <c r="F93" s="695">
        <f>VLOOKUP(C93,[2]List1!$A:$D,2,FALSE)</f>
        <v>290</v>
      </c>
      <c r="G93" s="696">
        <f t="shared" si="17"/>
        <v>290</v>
      </c>
      <c r="H93" s="697">
        <f t="shared" si="18"/>
        <v>11.8</v>
      </c>
      <c r="I93" s="837">
        <v>20</v>
      </c>
      <c r="J93" s="698" t="s">
        <v>230</v>
      </c>
      <c r="K93" s="856"/>
      <c r="L93" s="857" t="s">
        <v>13826</v>
      </c>
      <c r="M93" s="698" t="s">
        <v>25</v>
      </c>
      <c r="N93" s="869">
        <f>IFERROR(VLOOKUP(C93,[3]List1!$A:$D,4,FALSE),"N/A!")</f>
        <v>3.6141499999999993E-2</v>
      </c>
      <c r="O93" s="837">
        <f>IFERROR(VLOOKUP(C93,[3]List1!$A:$D,3,FALSE),"N/A!")</f>
        <v>2500</v>
      </c>
      <c r="P93" s="837">
        <f>IFERROR(VLOOKUP(C93,[3]List1!$A:$D,2,FALSE),"N/A!")</f>
        <v>12000</v>
      </c>
      <c r="Q93" s="698" t="s">
        <v>13729</v>
      </c>
      <c r="R93" s="698" t="s">
        <v>24</v>
      </c>
      <c r="S93" s="698"/>
      <c r="T93" s="695">
        <v>60</v>
      </c>
      <c r="U93" s="874"/>
      <c r="V93" s="699" t="str">
        <f>_xlfn.IFNA(HYPERLINK("https://www.klasekpyrotechnics.cz/rdg60m_sh"),"")</f>
        <v>https://www.klasekpyrotechnics.cz/rdg60m_sh</v>
      </c>
      <c r="W93" s="700" t="str">
        <f>IFERROR(VLOOKUP($C93,Popisy!A:P,MATCH($W$17,Popisy!$A$7:$P$7,0),FALSE),"---------------")</f>
        <v>Rauchkörper mit Reibkopfzündung-blaue Farbe</v>
      </c>
      <c r="X93" s="891" t="str">
        <f t="shared" si="19"/>
        <v/>
      </c>
      <c r="Y93" s="892"/>
      <c r="Z93" s="700">
        <f>IFERROR(IF(VLOOKUP(C93,[4]List1!$A:$D,4,FALSE)=0,"",VLOOKUP(C93,[4]List1!$A:$D,4,FALSE)),"")</f>
        <v>28</v>
      </c>
      <c r="AA93" s="707"/>
      <c r="AB93" s="912" t="str">
        <f>IFERROR(IF(VLOOKUP(C93,[1]List1!$A:$D,2,FALSE)="VYPRODÁNO",$V$9,IF(VLOOKUP(C93,[1]List1!$A:$D,2,FALSE)="DOCHÁZÍ",$V$3,VLOOKUP(C93,[1]List1!$A:$D,2,FALSE))),"OFFLINE!")</f>
        <v>SKLADEM</v>
      </c>
      <c r="AC93" s="912" t="str">
        <f ca="1">IF(AO93="NE",$V$10,IF(AB93=$V$3,IF(AP93&lt;1,$V$8,$V$2&amp;" "&amp;AP93&amp;" "&amp;$V$1),IF(AB93="SKLADEM",$V$6,IFERROR(IF(OR(AB93-TODAY()&gt;21,VLOOKUP(C93,[1]List1!$A:$E,4,FALSE)=0),AB93,DAY(AB93)&amp;"."&amp;MONTH(AB93)&amp;"."&amp;YEAR(AB93)&amp;" "&amp;$V$4&amp;VLOOKUP(C93,[1]List1!$A:$E,4,FALSE)&amp;" "&amp;$V$1),AB93))))</f>
        <v>AUF LAGER</v>
      </c>
      <c r="AD93" s="701" t="str">
        <f ca="1">_xlfn.IFNA(VLOOKUP(C93,'General price list'!C:AM,MATCH($AD$20,'General price list'!$C$20:$AM$20,0),FALSE),"")</f>
        <v>AUF LAGER</v>
      </c>
      <c r="AE93" s="695">
        <f t="shared" ca="1" si="20"/>
        <v>0</v>
      </c>
      <c r="AF93" s="695">
        <f t="shared" ca="1" si="21"/>
        <v>0</v>
      </c>
      <c r="AG93" s="702">
        <f t="shared" ca="1" si="22"/>
        <v>0</v>
      </c>
      <c r="AH93" s="703">
        <f t="shared" ca="1" si="23"/>
        <v>0</v>
      </c>
      <c r="AI93" s="702">
        <f t="shared" ca="1" si="24"/>
        <v>0</v>
      </c>
      <c r="AJ93" s="704" t="str">
        <f t="shared" ca="1" si="25"/>
        <v/>
      </c>
      <c r="AK93" s="704" t="str">
        <f t="shared" ca="1" si="26"/>
        <v/>
      </c>
      <c r="AL93" s="704">
        <f t="shared" ca="1" si="27"/>
        <v>0</v>
      </c>
      <c r="AM93" s="705" t="str">
        <f t="shared" ca="1" si="28"/>
        <v/>
      </c>
      <c r="AN93" s="313"/>
      <c r="AO93" s="314" t="str">
        <f>IF($R$3=1,IF(Y93=AA93,"","NE"),IF(#REF!=$V$10,"NE",""))</f>
        <v/>
      </c>
      <c r="AP93" s="315" t="str">
        <f>IF(AB93=$V$3,IF(VLOOKUP(C93,[1]List1!$A:$E,5,FALSE)=0,1,VLOOKUP(C93,[1]List1!$A:$E,5,FALSE)),"")</f>
        <v/>
      </c>
      <c r="AW93" s="458">
        <f>IFERROR(FIND(VLOOKUP('General price list'!$AB$7,'General price list'!$AC$1:$AD$12,2,FALSE),Q93,1),0)</f>
        <v>13</v>
      </c>
      <c r="AX93" s="458">
        <f>IFERROR(FIND(VLOOKUP('General price list'!$AB$7,'General price list'!$AC$1:$AD$12,2,FALSE),R93,1),0)</f>
        <v>0</v>
      </c>
    </row>
    <row r="94" spans="1:57" ht="15" customHeight="1">
      <c r="A94" s="677" t="str">
        <f>Kat.!C94</f>
        <v>×</v>
      </c>
      <c r="B94" s="678">
        <v>73</v>
      </c>
      <c r="C94" s="679" t="s">
        <v>3438</v>
      </c>
      <c r="D94" s="679" t="s">
        <v>3439</v>
      </c>
      <c r="E94" s="680" t="s">
        <v>297</v>
      </c>
      <c r="F94" s="681">
        <f>VLOOKUP(C94,[2]List1!$A:$D,2,FALSE)</f>
        <v>290</v>
      </c>
      <c r="G94" s="682">
        <f t="shared" si="17"/>
        <v>290</v>
      </c>
      <c r="H94" s="683">
        <f t="shared" si="18"/>
        <v>11.8</v>
      </c>
      <c r="I94" s="836">
        <v>20</v>
      </c>
      <c r="J94" s="680" t="s">
        <v>230</v>
      </c>
      <c r="K94" s="854"/>
      <c r="L94" s="855" t="s">
        <v>13826</v>
      </c>
      <c r="M94" s="680" t="s">
        <v>25</v>
      </c>
      <c r="N94" s="868">
        <f>IFERROR(VLOOKUP(C94,[3]List1!$A:$D,4,FALSE),"N/A!")</f>
        <v>3.6141499999999993E-2</v>
      </c>
      <c r="O94" s="836">
        <f>IFERROR(VLOOKUP(C94,[3]List1!$A:$D,3,FALSE),"N/A!")</f>
        <v>2500</v>
      </c>
      <c r="P94" s="836">
        <f>IFERROR(VLOOKUP(C94,[3]List1!$A:$D,2,FALSE),"N/A!")</f>
        <v>12000</v>
      </c>
      <c r="Q94" s="680" t="s">
        <v>13729</v>
      </c>
      <c r="R94" s="680" t="s">
        <v>24</v>
      </c>
      <c r="S94" s="680"/>
      <c r="T94" s="681">
        <v>60</v>
      </c>
      <c r="U94" s="873"/>
      <c r="V94" s="684" t="str">
        <f>_xlfn.IFNA(HYPERLINK("https://www.klasekpyrotechnics.cz/rdg60zl_sh"),"")</f>
        <v>https://www.klasekpyrotechnics.cz/rdg60zl_sh</v>
      </c>
      <c r="W94" s="685" t="str">
        <f>IFERROR(VLOOKUP($C94,Popisy!A:P,MATCH($W$17,Popisy!$A$7:$P$7,0),FALSE),"---------------")</f>
        <v>Rauchkörper mit Reibkopfzündung-gelb Farbe</v>
      </c>
      <c r="X94" s="889" t="str">
        <f t="shared" si="19"/>
        <v/>
      </c>
      <c r="Y94" s="890"/>
      <c r="Z94" s="685">
        <f>IFERROR(IF(VLOOKUP(C94,[4]List1!$A:$D,4,FALSE)=0,"",VLOOKUP(C94,[4]List1!$A:$D,4,FALSE)),"")</f>
        <v>28</v>
      </c>
      <c r="AA94" s="707"/>
      <c r="AB94" s="911" t="str">
        <f>IFERROR(IF(VLOOKUP(C94,[1]List1!$A:$D,2,FALSE)="VYPRODÁNO",$V$9,IF(VLOOKUP(C94,[1]List1!$A:$D,2,FALSE)="DOCHÁZÍ",$V$3,VLOOKUP(C94,[1]List1!$A:$D,2,FALSE))),"OFFLINE!")</f>
        <v>SKLADEM</v>
      </c>
      <c r="AC94" s="911" t="str">
        <f ca="1">IF(AO94="NE",$V$10,IF(AB94=$V$3,IF(AP94&lt;1,$V$8,$V$2&amp;" "&amp;AP94&amp;" "&amp;$V$1),IF(AB94="SKLADEM",$V$6,IFERROR(IF(OR(AB94-TODAY()&gt;21,VLOOKUP(C94,[1]List1!$A:$E,4,FALSE)=0),AB94,DAY(AB94)&amp;"."&amp;MONTH(AB94)&amp;"."&amp;YEAR(AB94)&amp;" "&amp;$V$4&amp;VLOOKUP(C94,[1]List1!$A:$E,4,FALSE)&amp;" "&amp;$V$1),AB94))))</f>
        <v>AUF LAGER</v>
      </c>
      <c r="AD94" s="686" t="str">
        <f ca="1">_xlfn.IFNA(VLOOKUP(C94,'General price list'!C:AM,MATCH($AD$20,'General price list'!$C$20:$AM$20,0),FALSE),"")</f>
        <v>AUF LAGER</v>
      </c>
      <c r="AE94" s="681">
        <f t="shared" ca="1" si="20"/>
        <v>0</v>
      </c>
      <c r="AF94" s="681">
        <f t="shared" ca="1" si="21"/>
        <v>0</v>
      </c>
      <c r="AG94" s="687">
        <f t="shared" ca="1" si="22"/>
        <v>0</v>
      </c>
      <c r="AH94" s="688">
        <f t="shared" ca="1" si="23"/>
        <v>0</v>
      </c>
      <c r="AI94" s="687">
        <f t="shared" ca="1" si="24"/>
        <v>0</v>
      </c>
      <c r="AJ94" s="689" t="str">
        <f t="shared" ca="1" si="25"/>
        <v/>
      </c>
      <c r="AK94" s="689" t="str">
        <f t="shared" ca="1" si="26"/>
        <v/>
      </c>
      <c r="AL94" s="689">
        <f t="shared" ca="1" si="27"/>
        <v>0</v>
      </c>
      <c r="AM94" s="690" t="str">
        <f t="shared" ca="1" si="28"/>
        <v/>
      </c>
      <c r="AN94" s="381"/>
      <c r="AO94" s="314" t="str">
        <f>IF($R$3=1,IF(Y94=AA94,"","NE"),IF(#REF!=$V$10,"NE",""))</f>
        <v/>
      </c>
      <c r="AP94" s="291" t="str">
        <f>IF(AB94=$V$3,IF(VLOOKUP(C94,[1]List1!$A:$E,5,FALSE)=0,1,VLOOKUP(C94,[1]List1!$A:$E,5,FALSE)),"")</f>
        <v/>
      </c>
      <c r="AW94" s="458">
        <f>IFERROR(FIND(VLOOKUP('General price list'!$AB$7,'General price list'!$AC$1:$AD$12,2,FALSE),Q94,1),0)</f>
        <v>13</v>
      </c>
      <c r="AX94" s="458">
        <f>IFERROR(FIND(VLOOKUP('General price list'!$AB$7,'General price list'!$AC$1:$AD$12,2,FALSE),R94,1),0)</f>
        <v>0</v>
      </c>
      <c r="BC94" s="292"/>
      <c r="BD94" s="292"/>
      <c r="BE94" s="292"/>
    </row>
    <row r="95" spans="1:57" ht="15" customHeight="1">
      <c r="A95" s="691" t="str">
        <f>Kat.!C95</f>
        <v>×</v>
      </c>
      <c r="B95" s="692">
        <v>74</v>
      </c>
      <c r="C95" s="693" t="s">
        <v>3449</v>
      </c>
      <c r="D95" s="693" t="s">
        <v>3450</v>
      </c>
      <c r="E95" s="694" t="s">
        <v>297</v>
      </c>
      <c r="F95" s="695">
        <f>VLOOKUP(C95,[2]List1!$A:$D,2,FALSE)</f>
        <v>290</v>
      </c>
      <c r="G95" s="696">
        <f t="shared" si="17"/>
        <v>290</v>
      </c>
      <c r="H95" s="697">
        <f t="shared" si="18"/>
        <v>11.8</v>
      </c>
      <c r="I95" s="837">
        <v>20</v>
      </c>
      <c r="J95" s="698" t="s">
        <v>230</v>
      </c>
      <c r="K95" s="856"/>
      <c r="L95" s="857" t="s">
        <v>13826</v>
      </c>
      <c r="M95" s="698" t="s">
        <v>25</v>
      </c>
      <c r="N95" s="869">
        <f>IFERROR(VLOOKUP(C95,[3]List1!$A:$D,4,FALSE),"N/A!")</f>
        <v>3.6141499999999993E-2</v>
      </c>
      <c r="O95" s="837">
        <f>IFERROR(VLOOKUP(C95,[3]List1!$A:$D,3,FALSE),"N/A!")</f>
        <v>2500</v>
      </c>
      <c r="P95" s="837">
        <f>IFERROR(VLOOKUP(C95,[3]List1!$A:$D,2,FALSE),"N/A!")</f>
        <v>12000</v>
      </c>
      <c r="Q95" s="698" t="s">
        <v>13729</v>
      </c>
      <c r="R95" s="698" t="s">
        <v>24</v>
      </c>
      <c r="S95" s="698"/>
      <c r="T95" s="695">
        <v>60</v>
      </c>
      <c r="U95" s="874"/>
      <c r="V95" s="699" t="str">
        <f>_xlfn.IFNA(HYPERLINK("https://www.klasekpyrotechnics.cz/rdg60ze_sh"),"")</f>
        <v>https://www.klasekpyrotechnics.cz/rdg60ze_sh</v>
      </c>
      <c r="W95" s="700" t="str">
        <f>IFERROR(VLOOKUP($C95,Popisy!A:P,MATCH($W$17,Popisy!$A$7:$P$7,0),FALSE),"---------------")</f>
        <v>Rauchkörper mit Reibkopfzündung-grüne Farbe</v>
      </c>
      <c r="X95" s="891" t="str">
        <f t="shared" si="19"/>
        <v/>
      </c>
      <c r="Y95" s="892"/>
      <c r="Z95" s="700">
        <f>IFERROR(IF(VLOOKUP(C95,[4]List1!$A:$D,4,FALSE)=0,"",VLOOKUP(C95,[4]List1!$A:$D,4,FALSE)),"")</f>
        <v>36</v>
      </c>
      <c r="AA95" s="707"/>
      <c r="AB95" s="912" t="str">
        <f>IFERROR(IF(VLOOKUP(C95,[1]List1!$A:$D,2,FALSE)="VYPRODÁNO",$V$9,IF(VLOOKUP(C95,[1]List1!$A:$D,2,FALSE)="DOCHÁZÍ",$V$3,VLOOKUP(C95,[1]List1!$A:$D,2,FALSE))),"OFFLINE!")</f>
        <v>SKLADEM</v>
      </c>
      <c r="AC95" s="912" t="str">
        <f ca="1">IF(AO95="NE",$V$10,IF(AB95=$V$3,IF(AP95&lt;1,$V$8,$V$2&amp;" "&amp;AP95&amp;" "&amp;$V$1),IF(AB95="SKLADEM",$V$6,IFERROR(IF(OR(AB95-TODAY()&gt;21,VLOOKUP(C95,[1]List1!$A:$E,4,FALSE)=0),AB95,DAY(AB95)&amp;"."&amp;MONTH(AB95)&amp;"."&amp;YEAR(AB95)&amp;" "&amp;$V$4&amp;VLOOKUP(C95,[1]List1!$A:$E,4,FALSE)&amp;" "&amp;$V$1),AB95))))</f>
        <v>AUF LAGER</v>
      </c>
      <c r="AD95" s="701" t="str">
        <f ca="1">_xlfn.IFNA(VLOOKUP(C95,'General price list'!C:AM,MATCH($AD$20,'General price list'!$C$20:$AM$20,0),FALSE),"")</f>
        <v>AUF LAGER</v>
      </c>
      <c r="AE95" s="695">
        <f t="shared" ca="1" si="20"/>
        <v>0</v>
      </c>
      <c r="AF95" s="695">
        <f t="shared" ca="1" si="21"/>
        <v>0</v>
      </c>
      <c r="AG95" s="702">
        <f t="shared" ca="1" si="22"/>
        <v>0</v>
      </c>
      <c r="AH95" s="703">
        <f t="shared" ca="1" si="23"/>
        <v>0</v>
      </c>
      <c r="AI95" s="702">
        <f t="shared" ca="1" si="24"/>
        <v>0</v>
      </c>
      <c r="AJ95" s="704" t="str">
        <f t="shared" ca="1" si="25"/>
        <v/>
      </c>
      <c r="AK95" s="704" t="str">
        <f t="shared" ca="1" si="26"/>
        <v/>
      </c>
      <c r="AL95" s="704">
        <f t="shared" ca="1" si="27"/>
        <v>0</v>
      </c>
      <c r="AM95" s="705" t="str">
        <f t="shared" ca="1" si="28"/>
        <v/>
      </c>
      <c r="AN95" s="382"/>
      <c r="AO95" s="314" t="str">
        <f>IF($R$3=1,IF(Y95=AA95,"","NE"),IF(#REF!=$V$10,"NE",""))</f>
        <v/>
      </c>
      <c r="AP95" s="315" t="str">
        <f>IF(AB95=$V$3,IF(VLOOKUP(C95,[1]List1!$A:$E,5,FALSE)=0,1,VLOOKUP(C95,[1]List1!$A:$E,5,FALSE)),"")</f>
        <v/>
      </c>
      <c r="AW95" s="458">
        <f>IFERROR(FIND(VLOOKUP('General price list'!$AB$7,'General price list'!$AC$1:$AD$12,2,FALSE),Q95,1),0)</f>
        <v>13</v>
      </c>
      <c r="AX95" s="458">
        <f>IFERROR(FIND(VLOOKUP('General price list'!$AB$7,'General price list'!$AC$1:$AD$12,2,FALSE),R95,1),0)</f>
        <v>0</v>
      </c>
    </row>
    <row r="96" spans="1:57" ht="15" customHeight="1">
      <c r="A96" s="677" t="str">
        <f>Kat.!C96</f>
        <v>×</v>
      </c>
      <c r="B96" s="678">
        <v>75</v>
      </c>
      <c r="C96" s="679" t="s">
        <v>3460</v>
      </c>
      <c r="D96" s="679" t="s">
        <v>3461</v>
      </c>
      <c r="E96" s="680" t="s">
        <v>297</v>
      </c>
      <c r="F96" s="681">
        <f>VLOOKUP(C96,[2]List1!$A:$D,2,FALSE)</f>
        <v>290</v>
      </c>
      <c r="G96" s="682">
        <f t="shared" si="17"/>
        <v>290</v>
      </c>
      <c r="H96" s="683">
        <f t="shared" si="18"/>
        <v>11.8</v>
      </c>
      <c r="I96" s="836">
        <v>20</v>
      </c>
      <c r="J96" s="680" t="s">
        <v>230</v>
      </c>
      <c r="K96" s="854"/>
      <c r="L96" s="855" t="s">
        <v>13826</v>
      </c>
      <c r="M96" s="680" t="s">
        <v>25</v>
      </c>
      <c r="N96" s="868">
        <f>IFERROR(VLOOKUP(C96,[3]List1!$A:$D,4,FALSE),"N/A!")</f>
        <v>3.6141499999999993E-2</v>
      </c>
      <c r="O96" s="836">
        <f>IFERROR(VLOOKUP(C96,[3]List1!$A:$D,3,FALSE),"N/A!")</f>
        <v>2500</v>
      </c>
      <c r="P96" s="836">
        <f>IFERROR(VLOOKUP(C96,[3]List1!$A:$D,2,FALSE),"N/A!")</f>
        <v>12000</v>
      </c>
      <c r="Q96" s="680" t="s">
        <v>13729</v>
      </c>
      <c r="R96" s="680" t="s">
        <v>24</v>
      </c>
      <c r="S96" s="680"/>
      <c r="T96" s="681">
        <v>60</v>
      </c>
      <c r="U96" s="873"/>
      <c r="V96" s="684" t="str">
        <f>_xlfn.IFNA(HYPERLINK("https://www.klasekpyrotechnics.cz/rdg60o_sh"),"")</f>
        <v>https://www.klasekpyrotechnics.cz/rdg60o_sh</v>
      </c>
      <c r="W96" s="685" t="str">
        <f>IFERROR(VLOOKUP($C96,Popisy!A:P,MATCH($W$17,Popisy!$A$7:$P$7,0),FALSE),"---------------")</f>
        <v>Rauchkörper mit Reibkopfzündung-orange Farbe</v>
      </c>
      <c r="X96" s="889" t="str">
        <f t="shared" si="19"/>
        <v/>
      </c>
      <c r="Y96" s="890"/>
      <c r="Z96" s="685">
        <f>IFERROR(IF(VLOOKUP(C96,[4]List1!$A:$D,4,FALSE)=0,"",VLOOKUP(C96,[4]List1!$A:$D,4,FALSE)),"")</f>
        <v>36</v>
      </c>
      <c r="AA96" s="707"/>
      <c r="AB96" s="911" t="str">
        <f>IFERROR(IF(VLOOKUP(C96,[1]List1!$A:$D,2,FALSE)="VYPRODÁNO",$V$9,IF(VLOOKUP(C96,[1]List1!$A:$D,2,FALSE)="DOCHÁZÍ",$V$3,VLOOKUP(C96,[1]List1!$A:$D,2,FALSE))),"OFFLINE!")</f>
        <v>SKLADEM</v>
      </c>
      <c r="AC96" s="911" t="str">
        <f ca="1">IF(AO96="NE",$V$10,IF(AB96=$V$3,IF(AP96&lt;1,$V$8,$V$2&amp;" "&amp;AP96&amp;" "&amp;$V$1),IF(AB96="SKLADEM",$V$6,IFERROR(IF(OR(AB96-TODAY()&gt;21,VLOOKUP(C96,[1]List1!$A:$E,4,FALSE)=0),AB96,DAY(AB96)&amp;"."&amp;MONTH(AB96)&amp;"."&amp;YEAR(AB96)&amp;" "&amp;$V$4&amp;VLOOKUP(C96,[1]List1!$A:$E,4,FALSE)&amp;" "&amp;$V$1),AB96))))</f>
        <v>AUF LAGER</v>
      </c>
      <c r="AD96" s="686" t="str">
        <f ca="1">_xlfn.IFNA(VLOOKUP(C96,'General price list'!C:AM,MATCH($AD$20,'General price list'!$C$20:$AM$20,0),FALSE),"")</f>
        <v>AUF LAGER</v>
      </c>
      <c r="AE96" s="681">
        <f t="shared" ca="1" si="20"/>
        <v>0</v>
      </c>
      <c r="AF96" s="681">
        <f t="shared" ca="1" si="21"/>
        <v>0</v>
      </c>
      <c r="AG96" s="687">
        <f t="shared" ca="1" si="22"/>
        <v>0</v>
      </c>
      <c r="AH96" s="688">
        <f t="shared" ca="1" si="23"/>
        <v>0</v>
      </c>
      <c r="AI96" s="687">
        <f t="shared" ca="1" si="24"/>
        <v>0</v>
      </c>
      <c r="AJ96" s="689" t="str">
        <f t="shared" ca="1" si="25"/>
        <v/>
      </c>
      <c r="AK96" s="689" t="str">
        <f t="shared" ca="1" si="26"/>
        <v/>
      </c>
      <c r="AL96" s="689">
        <f t="shared" ca="1" si="27"/>
        <v>0</v>
      </c>
      <c r="AM96" s="690" t="str">
        <f t="shared" ca="1" si="28"/>
        <v/>
      </c>
      <c r="AN96" s="382"/>
      <c r="AO96" s="314" t="str">
        <f>IF($R$3=1,IF(Y96=AA96,"","NE"),IF(#REF!=$V$10,"NE",""))</f>
        <v/>
      </c>
      <c r="AP96" s="315" t="str">
        <f>IF(AB96=$V$3,IF(VLOOKUP(C96,[1]List1!$A:$E,5,FALSE)=0,1,VLOOKUP(C96,[1]List1!$A:$E,5,FALSE)),"")</f>
        <v/>
      </c>
      <c r="AW96" s="458">
        <f>IFERROR(FIND(VLOOKUP('General price list'!$AB$7,'General price list'!$AC$1:$AD$12,2,FALSE),Q96,1),0)</f>
        <v>13</v>
      </c>
      <c r="AX96" s="458">
        <f>IFERROR(FIND(VLOOKUP('General price list'!$AB$7,'General price list'!$AC$1:$AD$12,2,FALSE),R96,1),0)</f>
        <v>0</v>
      </c>
    </row>
    <row r="97" spans="1:57" ht="15" customHeight="1">
      <c r="A97" s="691" t="str">
        <f>Kat.!C97</f>
        <v>×</v>
      </c>
      <c r="B97" s="692">
        <v>76</v>
      </c>
      <c r="C97" s="693" t="s">
        <v>3471</v>
      </c>
      <c r="D97" s="693" t="s">
        <v>3472</v>
      </c>
      <c r="E97" s="694" t="s">
        <v>297</v>
      </c>
      <c r="F97" s="695">
        <f>VLOOKUP(C97,[2]List1!$A:$D,2,FALSE)</f>
        <v>290</v>
      </c>
      <c r="G97" s="696">
        <f t="shared" si="17"/>
        <v>290</v>
      </c>
      <c r="H97" s="697">
        <f t="shared" si="18"/>
        <v>11.8</v>
      </c>
      <c r="I97" s="837">
        <v>20</v>
      </c>
      <c r="J97" s="698" t="s">
        <v>230</v>
      </c>
      <c r="K97" s="856"/>
      <c r="L97" s="857" t="s">
        <v>13826</v>
      </c>
      <c r="M97" s="698" t="s">
        <v>25</v>
      </c>
      <c r="N97" s="869">
        <f>IFERROR(VLOOKUP(C97,[3]List1!$A:$D,4,FALSE),"N/A!")</f>
        <v>3.6141499999999993E-2</v>
      </c>
      <c r="O97" s="837">
        <f>IFERROR(VLOOKUP(C97,[3]List1!$A:$D,3,FALSE),"N/A!")</f>
        <v>2500</v>
      </c>
      <c r="P97" s="837">
        <f>IFERROR(VLOOKUP(C97,[3]List1!$A:$D,2,FALSE),"N/A!")</f>
        <v>13000</v>
      </c>
      <c r="Q97" s="698" t="s">
        <v>13729</v>
      </c>
      <c r="R97" s="698" t="s">
        <v>24</v>
      </c>
      <c r="S97" s="698"/>
      <c r="T97" s="695">
        <v>60</v>
      </c>
      <c r="U97" s="874"/>
      <c r="V97" s="699" t="str">
        <f>_xlfn.IFNA(HYPERLINK("https://www.klasekpyrotechnics.cz/rdg60cer_sh"),"")</f>
        <v>https://www.klasekpyrotechnics.cz/rdg60cer_sh</v>
      </c>
      <c r="W97" s="700" t="str">
        <f>IFERROR(VLOOKUP($C97,Popisy!A:P,MATCH($W$17,Popisy!$A$7:$P$7,0),FALSE),"---------------")</f>
        <v>Rauchkörper mit Reibkopfzündung-schwarze Farbe</v>
      </c>
      <c r="X97" s="891" t="str">
        <f t="shared" si="19"/>
        <v/>
      </c>
      <c r="Y97" s="892"/>
      <c r="Z97" s="700">
        <f>IFERROR(IF(VLOOKUP(C97,[4]List1!$A:$D,4,FALSE)=0,"",VLOOKUP(C97,[4]List1!$A:$D,4,FALSE)),"")</f>
        <v>36</v>
      </c>
      <c r="AA97" s="707"/>
      <c r="AB97" s="912" t="str">
        <f>IFERROR(IF(VLOOKUP(C97,[1]List1!$A:$D,2,FALSE)="VYPRODÁNO",$V$9,IF(VLOOKUP(C97,[1]List1!$A:$D,2,FALSE)="DOCHÁZÍ",$V$3,VLOOKUP(C97,[1]List1!$A:$D,2,FALSE))),"OFFLINE!")</f>
        <v>SKLADEM</v>
      </c>
      <c r="AC97" s="912" t="str">
        <f ca="1">IF(AO97="NE",$V$10,IF(AB97=$V$3,IF(AP97&lt;1,$V$8,$V$2&amp;" "&amp;AP97&amp;" "&amp;$V$1),IF(AB97="SKLADEM",$V$6,IFERROR(IF(OR(AB97-TODAY()&gt;21,VLOOKUP(C97,[1]List1!$A:$E,4,FALSE)=0),AB97,DAY(AB97)&amp;"."&amp;MONTH(AB97)&amp;"."&amp;YEAR(AB97)&amp;" "&amp;$V$4&amp;VLOOKUP(C97,[1]List1!$A:$E,4,FALSE)&amp;" "&amp;$V$1),AB97))))</f>
        <v>AUF LAGER</v>
      </c>
      <c r="AD97" s="701" t="str">
        <f ca="1">_xlfn.IFNA(VLOOKUP(C97,'General price list'!C:AM,MATCH($AD$20,'General price list'!$C$20:$AM$20,0),FALSE),"")</f>
        <v>AUF LAGER</v>
      </c>
      <c r="AE97" s="695">
        <f t="shared" ca="1" si="20"/>
        <v>0</v>
      </c>
      <c r="AF97" s="695">
        <f t="shared" ca="1" si="21"/>
        <v>0</v>
      </c>
      <c r="AG97" s="702">
        <f t="shared" ca="1" si="22"/>
        <v>0</v>
      </c>
      <c r="AH97" s="703">
        <f t="shared" ca="1" si="23"/>
        <v>0</v>
      </c>
      <c r="AI97" s="702">
        <f t="shared" ca="1" si="24"/>
        <v>0</v>
      </c>
      <c r="AJ97" s="704" t="str">
        <f t="shared" ca="1" si="25"/>
        <v/>
      </c>
      <c r="AK97" s="704" t="str">
        <f t="shared" ca="1" si="26"/>
        <v/>
      </c>
      <c r="AL97" s="704">
        <f t="shared" ca="1" si="27"/>
        <v>0</v>
      </c>
      <c r="AM97" s="705" t="str">
        <f t="shared" ca="1" si="28"/>
        <v/>
      </c>
      <c r="AN97" s="382"/>
      <c r="AO97" s="314" t="str">
        <f>IF($R$3=1,IF(Y97=AA97,"","NE"),IF(#REF!=$V$10,"NE",""))</f>
        <v/>
      </c>
      <c r="AP97" s="315" t="str">
        <f>IF(AB97=$V$3,IF(VLOOKUP(C97,[1]List1!$A:$E,5,FALSE)=0,1,VLOOKUP(C97,[1]List1!$A:$E,5,FALSE)),"")</f>
        <v/>
      </c>
      <c r="AW97" s="458">
        <f>IFERROR(FIND(VLOOKUP('General price list'!$AB$7,'General price list'!$AC$1:$AD$12,2,FALSE),Q97,1),0)</f>
        <v>13</v>
      </c>
      <c r="AX97" s="458">
        <f>IFERROR(FIND(VLOOKUP('General price list'!$AB$7,'General price list'!$AC$1:$AD$12,2,FALSE),R97,1),0)</f>
        <v>0</v>
      </c>
    </row>
    <row r="98" spans="1:57" ht="15" customHeight="1">
      <c r="A98" s="677" t="str">
        <f>Kat.!C98</f>
        <v>×</v>
      </c>
      <c r="B98" s="678">
        <v>77</v>
      </c>
      <c r="C98" s="679" t="s">
        <v>3482</v>
      </c>
      <c r="D98" s="679" t="s">
        <v>3483</v>
      </c>
      <c r="E98" s="680" t="s">
        <v>297</v>
      </c>
      <c r="F98" s="681">
        <f>VLOOKUP(C98,[2]List1!$A:$D,2,FALSE)</f>
        <v>290</v>
      </c>
      <c r="G98" s="682">
        <f t="shared" si="17"/>
        <v>290</v>
      </c>
      <c r="H98" s="683">
        <f t="shared" si="18"/>
        <v>11.8</v>
      </c>
      <c r="I98" s="836">
        <v>20</v>
      </c>
      <c r="J98" s="680" t="s">
        <v>230</v>
      </c>
      <c r="K98" s="854"/>
      <c r="L98" s="855" t="s">
        <v>13826</v>
      </c>
      <c r="M98" s="680" t="s">
        <v>25</v>
      </c>
      <c r="N98" s="868">
        <f>IFERROR(VLOOKUP(C98,[3]List1!$A:$D,4,FALSE),"N/A!")</f>
        <v>3.6141499999999993E-2</v>
      </c>
      <c r="O98" s="836">
        <f>IFERROR(VLOOKUP(C98,[3]List1!$A:$D,3,FALSE),"N/A!")</f>
        <v>2500</v>
      </c>
      <c r="P98" s="836">
        <f>IFERROR(VLOOKUP(C98,[3]List1!$A:$D,2,FALSE),"N/A!")</f>
        <v>12000</v>
      </c>
      <c r="Q98" s="680" t="s">
        <v>13729</v>
      </c>
      <c r="R98" s="680" t="s">
        <v>24</v>
      </c>
      <c r="S98" s="680"/>
      <c r="T98" s="681">
        <v>60</v>
      </c>
      <c r="U98" s="873"/>
      <c r="V98" s="684" t="str">
        <f>_xlfn.IFNA(HYPERLINK("https://www.klasekpyrotechnics.cz/rdg60r_sh"),"")</f>
        <v>https://www.klasekpyrotechnics.cz/rdg60r_sh</v>
      </c>
      <c r="W98" s="685" t="str">
        <f>IFERROR(VLOOKUP($C98,Popisy!A:P,MATCH($W$17,Popisy!$A$7:$P$7,0),FALSE),"---------------")</f>
        <v>Rauchkörper mit Reibkopfzündung-pinke Farbe</v>
      </c>
      <c r="X98" s="889" t="str">
        <f t="shared" si="19"/>
        <v/>
      </c>
      <c r="Y98" s="890"/>
      <c r="Z98" s="685">
        <f>IFERROR(IF(VLOOKUP(C98,[4]List1!$A:$D,4,FALSE)=0,"",VLOOKUP(C98,[4]List1!$A:$D,4,FALSE)),"")</f>
        <v>36</v>
      </c>
      <c r="AA98" s="707"/>
      <c r="AB98" s="911" t="str">
        <f>IFERROR(IF(VLOOKUP(C98,[1]List1!$A:$D,2,FALSE)="VYPRODÁNO",$V$9,IF(VLOOKUP(C98,[1]List1!$A:$D,2,FALSE)="DOCHÁZÍ",$V$3,VLOOKUP(C98,[1]List1!$A:$D,2,FALSE))),"OFFLINE!")</f>
        <v>SKLADEM</v>
      </c>
      <c r="AC98" s="911" t="str">
        <f ca="1">IF(AO98="NE",$V$10,IF(AB98=$V$3,IF(AP98&lt;1,$V$8,$V$2&amp;" "&amp;AP98&amp;" "&amp;$V$1),IF(AB98="SKLADEM",$V$6,IFERROR(IF(OR(AB98-TODAY()&gt;21,VLOOKUP(C98,[1]List1!$A:$E,4,FALSE)=0),AB98,DAY(AB98)&amp;"."&amp;MONTH(AB98)&amp;"."&amp;YEAR(AB98)&amp;" "&amp;$V$4&amp;VLOOKUP(C98,[1]List1!$A:$E,4,FALSE)&amp;" "&amp;$V$1),AB98))))</f>
        <v>AUF LAGER</v>
      </c>
      <c r="AD98" s="686" t="str">
        <f ca="1">_xlfn.IFNA(VLOOKUP(C98,'General price list'!C:AM,MATCH($AD$20,'General price list'!$C$20:$AM$20,0),FALSE),"")</f>
        <v>AUF LAGER</v>
      </c>
      <c r="AE98" s="681">
        <f t="shared" ca="1" si="20"/>
        <v>0</v>
      </c>
      <c r="AF98" s="681">
        <f t="shared" ca="1" si="21"/>
        <v>0</v>
      </c>
      <c r="AG98" s="687">
        <f t="shared" ca="1" si="22"/>
        <v>0</v>
      </c>
      <c r="AH98" s="688">
        <f t="shared" ca="1" si="23"/>
        <v>0</v>
      </c>
      <c r="AI98" s="687">
        <f t="shared" ca="1" si="24"/>
        <v>0</v>
      </c>
      <c r="AJ98" s="689" t="str">
        <f t="shared" ca="1" si="25"/>
        <v/>
      </c>
      <c r="AK98" s="689" t="str">
        <f t="shared" ca="1" si="26"/>
        <v/>
      </c>
      <c r="AL98" s="689">
        <f t="shared" ca="1" si="27"/>
        <v>0</v>
      </c>
      <c r="AM98" s="690" t="str">
        <f t="shared" ca="1" si="28"/>
        <v/>
      </c>
      <c r="AN98" s="382"/>
      <c r="AO98" s="314" t="str">
        <f>IF($R$3=1,IF(Y98=AA98,"","NE"),IF(#REF!=$V$10,"NE",""))</f>
        <v/>
      </c>
      <c r="AP98" s="315" t="str">
        <f>IF(AB98=$V$3,IF(VLOOKUP(C98,[1]List1!$A:$E,5,FALSE)=0,1,VLOOKUP(C98,[1]List1!$A:$E,5,FALSE)),"")</f>
        <v/>
      </c>
      <c r="AW98" s="458">
        <f>IFERROR(FIND(VLOOKUP('General price list'!$AB$7,'General price list'!$AC$1:$AD$12,2,FALSE),Q98,1),0)</f>
        <v>13</v>
      </c>
      <c r="AX98" s="458">
        <f>IFERROR(FIND(VLOOKUP('General price list'!$AB$7,'General price list'!$AC$1:$AD$12,2,FALSE),R98,1),0)</f>
        <v>0</v>
      </c>
    </row>
    <row r="99" spans="1:57" ht="15" customHeight="1">
      <c r="A99" s="672" t="str">
        <f>Kat.!C99</f>
        <v xml:space="preserve">                                          Rauchfackeln</v>
      </c>
      <c r="B99" s="692">
        <v>78</v>
      </c>
      <c r="C99" s="693"/>
      <c r="D99" s="693"/>
      <c r="E99" s="694"/>
      <c r="F99" s="695" t="str">
        <f>IFERROR(ROUND(VLOOKUP(C99,'General price list'!$C:$AN,4,FALSE),0),"")</f>
        <v/>
      </c>
      <c r="G99" s="696" t="str">
        <f t="shared" si="17"/>
        <v/>
      </c>
      <c r="H99" s="697" t="str">
        <f t="shared" si="18"/>
        <v/>
      </c>
      <c r="I99" s="837"/>
      <c r="J99" s="698"/>
      <c r="K99" s="856"/>
      <c r="L99" s="857"/>
      <c r="M99" s="698"/>
      <c r="N99" s="869" t="str">
        <f>IFERROR(IF(VLOOKUP($C99,'General price list'!$C:$AN,MATCH(N$20,'General price list'!$C$20:$AM$20,0),FALSE)=0,"",VLOOKUP($C99,'General price list'!$C:$AN,MATCH(N$20,'General price list'!$C$20:$AM$20,0),FALSE)),"")</f>
        <v/>
      </c>
      <c r="O99" s="837" t="str">
        <f>IFERROR(IF(VLOOKUP($C99,'General price list'!$C:$AN,MATCH(O$20,'General price list'!$C$20:$AM$20,0),FALSE)=0,"",VLOOKUP($C99,'General price list'!$C:$AN,MATCH(O$20,'General price list'!$C$20:$AM$20,0),FALSE)),"")</f>
        <v/>
      </c>
      <c r="P99" s="837" t="str">
        <f>IFERROR(IF(VLOOKUP($C99,'General price list'!$C:$AN,MATCH(P$20,'General price list'!$C$20:$AM$20,0),FALSE)=0,"",VLOOKUP($C99,'General price list'!$C:$AN,MATCH(P$20,'General price list'!$C$20:$AM$20,0),FALSE)),"")</f>
        <v/>
      </c>
      <c r="Q99" s="698"/>
      <c r="R99" s="698"/>
      <c r="S99" s="698"/>
      <c r="T99" s="695"/>
      <c r="U99" s="874"/>
      <c r="V99" s="699"/>
      <c r="W99" s="700" t="str">
        <f>IFERROR(VLOOKUP($C99,'General price list'!$C:$AN,MATCH(W$20,'General price list'!$C$20:$AM$20,0),FALSE),"")</f>
        <v/>
      </c>
      <c r="X99" s="891" t="str">
        <f t="shared" si="19"/>
        <v/>
      </c>
      <c r="Y99" s="892"/>
      <c r="Z99" s="700" t="str">
        <f>IFERROR(VLOOKUP($C99,'General price list'!$C:$AN,MATCH(Z$20,'General price list'!$C$20:$AM$20,0),FALSE),"")</f>
        <v/>
      </c>
      <c r="AA99" s="707"/>
      <c r="AB99" s="912" t="str">
        <f>IFERROR(IF(VLOOKUP(C99,[1]List1!$A:$D,2,FALSE)="VYPRODÁNO",$V$9,IF(VLOOKUP(C99,[1]List1!$A:$D,2,FALSE)="DOCHÁZÍ",$V$3,VLOOKUP(C99,[1]List1!$A:$D,2,FALSE))),"OFFLINE!")</f>
        <v>OFFLINE!</v>
      </c>
      <c r="AC99" s="912" t="str">
        <f ca="1">IF(AO99="NE",$V$10,IF(AB99=$V$3,IF(AP99&lt;1,$V$8,$V$2&amp;" "&amp;AP99&amp;" "&amp;$V$1),IF(AB99="SKLADEM",$V$6,IFERROR(IF(OR(AB99-TODAY()&gt;21,VLOOKUP(C99,[1]List1!$A:$E,4,FALSE)=0),AB99,DAY(AB99)&amp;"."&amp;MONTH(AB99)&amp;"."&amp;YEAR(AB99)&amp;" "&amp;$V$4&amp;VLOOKUP(C99,[1]List1!$A:$E,4,FALSE)&amp;" "&amp;$V$1),AB99))))</f>
        <v>OFFLINE!</v>
      </c>
      <c r="AD99" s="701" t="str">
        <f>_xlfn.IFNA(VLOOKUP(C99,'General price list'!C:AM,MATCH($AD$20,'General price list'!$C$20:$AM$20,0),FALSE),"")</f>
        <v/>
      </c>
      <c r="AE99" s="695" t="str">
        <f t="shared" si="20"/>
        <v/>
      </c>
      <c r="AF99" s="695" t="str">
        <f t="shared" si="21"/>
        <v/>
      </c>
      <c r="AG99" s="702" t="str">
        <f t="shared" si="22"/>
        <v/>
      </c>
      <c r="AH99" s="703" t="str">
        <f t="shared" si="23"/>
        <v/>
      </c>
      <c r="AI99" s="702" t="str">
        <f t="shared" si="24"/>
        <v/>
      </c>
      <c r="AJ99" s="704" t="str">
        <f t="shared" si="25"/>
        <v/>
      </c>
      <c r="AK99" s="704" t="str">
        <f t="shared" si="26"/>
        <v/>
      </c>
      <c r="AL99" s="704" t="str">
        <f t="shared" si="27"/>
        <v/>
      </c>
      <c r="AM99" s="705" t="str">
        <f t="shared" si="28"/>
        <v/>
      </c>
      <c r="AN99" s="313"/>
      <c r="AO99" s="314" t="str">
        <f>IF($R$3=1,IF(Y99=AA99,"","NE"),IF(#REF!=$V$10,"NE",""))</f>
        <v/>
      </c>
      <c r="AP99" s="315" t="str">
        <f>IF(AB99=$V$3,IF(VLOOKUP(C99,[1]List1!$A:$E,5,FALSE)=0,1,VLOOKUP(C99,[1]List1!$A:$E,5,FALSE)),"")</f>
        <v/>
      </c>
      <c r="AW99" s="291" t="e">
        <f>VLOOKUP(C99,'General price list'!C:AU,46,FALSE)</f>
        <v>#N/A</v>
      </c>
      <c r="AX99" s="291" t="e">
        <f>VLOOKUP(C99,'General price list'!C:AU,47,FALSE)</f>
        <v>#N/A</v>
      </c>
    </row>
    <row r="100" spans="1:57" ht="15" customHeight="1">
      <c r="A100" s="677" t="str">
        <f>Kat.!C100</f>
        <v xml:space="preserve">                                          </v>
      </c>
      <c r="B100" s="678">
        <v>79</v>
      </c>
      <c r="C100" s="679" t="s">
        <v>3552</v>
      </c>
      <c r="D100" s="679" t="s">
        <v>3553</v>
      </c>
      <c r="E100" s="680" t="s">
        <v>297</v>
      </c>
      <c r="F100" s="681">
        <f>VLOOKUP(C100,[2]List1!$A:$D,2,FALSE)</f>
        <v>325</v>
      </c>
      <c r="G100" s="682">
        <f t="shared" si="17"/>
        <v>325</v>
      </c>
      <c r="H100" s="683">
        <f t="shared" si="18"/>
        <v>13.2</v>
      </c>
      <c r="I100" s="836">
        <v>20</v>
      </c>
      <c r="J100" s="680" t="s">
        <v>230</v>
      </c>
      <c r="K100" s="854"/>
      <c r="L100" s="855" t="s">
        <v>13826</v>
      </c>
      <c r="M100" s="680" t="s">
        <v>25</v>
      </c>
      <c r="N100" s="868">
        <f>IFERROR(VLOOKUP(C100,[3]List1!$A:$D,4,FALSE),"N/A!")</f>
        <v>5.7330000000000013E-2</v>
      </c>
      <c r="O100" s="836">
        <f>IFERROR(VLOOKUP(C100,[3]List1!$A:$D,3,FALSE),"N/A!")</f>
        <v>4500</v>
      </c>
      <c r="P100" s="836">
        <f>IFERROR(VLOOKUP(C100,[3]List1!$A:$D,2,FALSE),"N/A!")</f>
        <v>15000</v>
      </c>
      <c r="Q100" s="680" t="s">
        <v>1198</v>
      </c>
      <c r="R100" s="680" t="s">
        <v>24</v>
      </c>
      <c r="S100" s="680"/>
      <c r="T100" s="681">
        <v>60</v>
      </c>
      <c r="U100" s="873"/>
      <c r="V100" s="684" t="str">
        <f>_xlfn.IFNA(HYPERLINK("https://www.klasekpyrotechnics.cz/hdp60b"),"")</f>
        <v>https://www.klasekpyrotechnics.cz/hdp60b</v>
      </c>
      <c r="W100" s="685" t="str">
        <f>IFERROR(VLOOKUP($C100,Popisy!A:P,MATCH($W$17,Popisy!$A$7:$P$7,0),FALSE),"---------------")</f>
        <v>Handrauchfackel-weiße Farbe</v>
      </c>
      <c r="X100" s="889" t="str">
        <f t="shared" si="19"/>
        <v/>
      </c>
      <c r="Y100" s="890"/>
      <c r="Z100" s="685">
        <f>IFERROR(IF(VLOOKUP(C100,[4]List1!$A:$D,4,FALSE)=0,"",VLOOKUP(C100,[4]List1!$A:$D,4,FALSE)),"")</f>
        <v>21</v>
      </c>
      <c r="AA100" s="707"/>
      <c r="AB100" s="911" t="str">
        <f>IFERROR(IF(VLOOKUP(C100,[1]List1!$A:$D,2,FALSE)="VYPRODÁNO",$V$9,IF(VLOOKUP(C100,[1]List1!$A:$D,2,FALSE)="DOCHÁZÍ",$V$3,VLOOKUP(C100,[1]List1!$A:$D,2,FALSE))),"OFFLINE!")</f>
        <v>SKLADEM</v>
      </c>
      <c r="AC100" s="911" t="str">
        <f ca="1">IF(AO100="NE",$V$10,IF(AB100=$V$3,IF(AP100&lt;1,$V$8,$V$2&amp;" "&amp;AP100&amp;" "&amp;$V$1),IF(AB100="SKLADEM",$V$6,IFERROR(IF(OR(AB100-TODAY()&gt;21,VLOOKUP(C100,[1]List1!$A:$E,4,FALSE)=0),AB100,DAY(AB100)&amp;"."&amp;MONTH(AB100)&amp;"."&amp;YEAR(AB100)&amp;" "&amp;$V$4&amp;VLOOKUP(C100,[1]List1!$A:$E,4,FALSE)&amp;" "&amp;$V$1),AB100))))</f>
        <v>AUF LAGER</v>
      </c>
      <c r="AD100" s="686">
        <f>_xlfn.IFNA(VLOOKUP(C100,'General price list'!C:AM,MATCH($AD$20,'General price list'!$C$20:$AM$20,0),FALSE),"")</f>
        <v>0</v>
      </c>
      <c r="AE100" s="681">
        <f t="shared" si="20"/>
        <v>0</v>
      </c>
      <c r="AF100" s="681">
        <f t="shared" si="21"/>
        <v>0</v>
      </c>
      <c r="AG100" s="687">
        <f t="shared" si="22"/>
        <v>0</v>
      </c>
      <c r="AH100" s="688">
        <f t="shared" si="23"/>
        <v>0</v>
      </c>
      <c r="AI100" s="687">
        <f t="shared" si="24"/>
        <v>0</v>
      </c>
      <c r="AJ100" s="689" t="str">
        <f t="shared" si="25"/>
        <v/>
      </c>
      <c r="AK100" s="689" t="str">
        <f t="shared" si="26"/>
        <v/>
      </c>
      <c r="AL100" s="689">
        <f t="shared" si="27"/>
        <v>0</v>
      </c>
      <c r="AM100" s="690" t="str">
        <f t="shared" si="28"/>
        <v/>
      </c>
      <c r="AN100" s="382"/>
      <c r="AO100" s="314" t="str">
        <f>IF($R$3=1,IF(Y100=AA100,"","NE"),IF(#REF!=$V$10,"NE",""))</f>
        <v/>
      </c>
      <c r="AP100" s="315" t="str">
        <f>IF(AB100=$V$3,IF(VLOOKUP(C100,[1]List1!$A:$E,5,FALSE)=0,1,VLOOKUP(C100,[1]List1!$A:$E,5,FALSE)),"")</f>
        <v/>
      </c>
      <c r="AW100" s="458">
        <f>IFERROR(FIND(VLOOKUP('General price list'!$AB$7,'General price list'!$AC$1:$AD$12,2,FALSE),Q100,1),0)</f>
        <v>13</v>
      </c>
      <c r="AX100" s="458">
        <f>IFERROR(FIND(VLOOKUP('General price list'!$AB$7,'General price list'!$AC$1:$AD$12,2,FALSE),R100,1),0)</f>
        <v>0</v>
      </c>
    </row>
    <row r="101" spans="1:57" ht="15" customHeight="1">
      <c r="A101" s="691" t="str">
        <f>Kat.!C101</f>
        <v xml:space="preserve">                                          </v>
      </c>
      <c r="B101" s="692">
        <v>80</v>
      </c>
      <c r="C101" s="693" t="s">
        <v>3563</v>
      </c>
      <c r="D101" s="693" t="s">
        <v>3564</v>
      </c>
      <c r="E101" s="694" t="s">
        <v>297</v>
      </c>
      <c r="F101" s="695">
        <f>VLOOKUP(C101,[2]List1!$A:$D,2,FALSE)</f>
        <v>325</v>
      </c>
      <c r="G101" s="696">
        <f t="shared" si="17"/>
        <v>325</v>
      </c>
      <c r="H101" s="697">
        <f t="shared" si="18"/>
        <v>13.2</v>
      </c>
      <c r="I101" s="837">
        <v>20</v>
      </c>
      <c r="J101" s="698" t="s">
        <v>230</v>
      </c>
      <c r="K101" s="856"/>
      <c r="L101" s="857" t="s">
        <v>13826</v>
      </c>
      <c r="M101" s="698" t="s">
        <v>25</v>
      </c>
      <c r="N101" s="869">
        <f>IFERROR(VLOOKUP(C101,[3]List1!$A:$D,4,FALSE),"N/A!")</f>
        <v>5.7330000000000013E-2</v>
      </c>
      <c r="O101" s="837">
        <f>IFERROR(VLOOKUP(C101,[3]List1!$A:$D,3,FALSE),"N/A!")</f>
        <v>4500</v>
      </c>
      <c r="P101" s="837">
        <f>IFERROR(VLOOKUP(C101,[3]List1!$A:$D,2,FALSE),"N/A!")</f>
        <v>15000</v>
      </c>
      <c r="Q101" s="698" t="s">
        <v>1198</v>
      </c>
      <c r="R101" s="698" t="s">
        <v>24</v>
      </c>
      <c r="S101" s="698"/>
      <c r="T101" s="695">
        <v>60</v>
      </c>
      <c r="U101" s="874"/>
      <c r="V101" s="699" t="str">
        <f>_xlfn.IFNA(HYPERLINK("https://www.klasekpyrotechnics.cz/hdp60c"),"")</f>
        <v>https://www.klasekpyrotechnics.cz/hdp60c</v>
      </c>
      <c r="W101" s="700" t="str">
        <f>IFERROR(VLOOKUP($C101,Popisy!A:P,MATCH($W$17,Popisy!$A$7:$P$7,0),FALSE),"---------------")</f>
        <v>Handrauchfackel-rote Farbe</v>
      </c>
      <c r="X101" s="891" t="str">
        <f t="shared" si="19"/>
        <v/>
      </c>
      <c r="Y101" s="892"/>
      <c r="Z101" s="700">
        <f>IFERROR(IF(VLOOKUP(C101,[4]List1!$A:$D,4,FALSE)=0,"",VLOOKUP(C101,[4]List1!$A:$D,4,FALSE)),"")</f>
        <v>21</v>
      </c>
      <c r="AA101" s="707"/>
      <c r="AB101" s="912" t="str">
        <f>IFERROR(IF(VLOOKUP(C101,[1]List1!$A:$D,2,FALSE)="VYPRODÁNO",$V$9,IF(VLOOKUP(C101,[1]List1!$A:$D,2,FALSE)="DOCHÁZÍ",$V$3,VLOOKUP(C101,[1]List1!$A:$D,2,FALSE))),"OFFLINE!")</f>
        <v>SKLADEM</v>
      </c>
      <c r="AC101" s="912" t="str">
        <f ca="1">IF(AO101="NE",$V$10,IF(AB101=$V$3,IF(AP101&lt;1,$V$8,$V$2&amp;" "&amp;AP101&amp;" "&amp;$V$1),IF(AB101="SKLADEM",$V$6,IFERROR(IF(OR(AB101-TODAY()&gt;21,VLOOKUP(C101,[1]List1!$A:$E,4,FALSE)=0),AB101,DAY(AB101)&amp;"."&amp;MONTH(AB101)&amp;"."&amp;YEAR(AB101)&amp;" "&amp;$V$4&amp;VLOOKUP(C101,[1]List1!$A:$E,4,FALSE)&amp;" "&amp;$V$1),AB101))))</f>
        <v>AUF LAGER</v>
      </c>
      <c r="AD101" s="701" t="str">
        <f ca="1">_xlfn.IFNA(VLOOKUP(C101,'General price list'!C:AM,MATCH($AD$20,'General price list'!$C$20:$AM$20,0),FALSE),"")</f>
        <v>AUF LAGER</v>
      </c>
      <c r="AE101" s="695">
        <f t="shared" ca="1" si="20"/>
        <v>0</v>
      </c>
      <c r="AF101" s="695">
        <f t="shared" ca="1" si="21"/>
        <v>0</v>
      </c>
      <c r="AG101" s="702">
        <f t="shared" ca="1" si="22"/>
        <v>0</v>
      </c>
      <c r="AH101" s="703">
        <f t="shared" ca="1" si="23"/>
        <v>0</v>
      </c>
      <c r="AI101" s="702">
        <f t="shared" ca="1" si="24"/>
        <v>0</v>
      </c>
      <c r="AJ101" s="704" t="str">
        <f t="shared" ca="1" si="25"/>
        <v/>
      </c>
      <c r="AK101" s="704" t="str">
        <f t="shared" ca="1" si="26"/>
        <v/>
      </c>
      <c r="AL101" s="704">
        <f t="shared" ca="1" si="27"/>
        <v>0</v>
      </c>
      <c r="AM101" s="705" t="str">
        <f t="shared" ca="1" si="28"/>
        <v/>
      </c>
      <c r="AN101" s="313"/>
      <c r="AO101" s="314" t="str">
        <f>IF($R$3=1,IF(Y101=AA101,"","NE"),IF(#REF!=$V$10,"NE",""))</f>
        <v/>
      </c>
      <c r="AP101" s="315" t="str">
        <f>IF(AB101=$V$3,IF(VLOOKUP(C101,[1]List1!$A:$E,5,FALSE)=0,1,VLOOKUP(C101,[1]List1!$A:$E,5,FALSE)),"")</f>
        <v/>
      </c>
      <c r="AW101" s="458">
        <f>IFERROR(FIND(VLOOKUP('General price list'!$AB$7,'General price list'!$AC$1:$AD$12,2,FALSE),Q101,1),0)</f>
        <v>13</v>
      </c>
      <c r="AX101" s="458">
        <f>IFERROR(FIND(VLOOKUP('General price list'!$AB$7,'General price list'!$AC$1:$AD$12,2,FALSE),R101,1),0)</f>
        <v>0</v>
      </c>
    </row>
    <row r="102" spans="1:57" ht="15" customHeight="1">
      <c r="A102" s="677" t="str">
        <f>Kat.!C102</f>
        <v xml:space="preserve">                                          </v>
      </c>
      <c r="B102" s="678">
        <v>81</v>
      </c>
      <c r="C102" s="679" t="s">
        <v>3574</v>
      </c>
      <c r="D102" s="679" t="s">
        <v>3575</v>
      </c>
      <c r="E102" s="680" t="s">
        <v>297</v>
      </c>
      <c r="F102" s="681">
        <f>VLOOKUP(C102,[2]List1!$A:$D,2,FALSE)</f>
        <v>325</v>
      </c>
      <c r="G102" s="682">
        <f t="shared" si="17"/>
        <v>325</v>
      </c>
      <c r="H102" s="683">
        <f t="shared" si="18"/>
        <v>13.2</v>
      </c>
      <c r="I102" s="836">
        <v>20</v>
      </c>
      <c r="J102" s="680" t="s">
        <v>230</v>
      </c>
      <c r="K102" s="854"/>
      <c r="L102" s="855" t="s">
        <v>13826</v>
      </c>
      <c r="M102" s="680" t="s">
        <v>25</v>
      </c>
      <c r="N102" s="868">
        <f>IFERROR(VLOOKUP(C102,[3]List1!$A:$D,4,FALSE),"N/A!")</f>
        <v>5.7330000000000013E-2</v>
      </c>
      <c r="O102" s="836">
        <f>IFERROR(VLOOKUP(C102,[3]List1!$A:$D,3,FALSE),"N/A!")</f>
        <v>4500</v>
      </c>
      <c r="P102" s="836">
        <f>IFERROR(VLOOKUP(C102,[3]List1!$A:$D,2,FALSE),"N/A!")</f>
        <v>15000</v>
      </c>
      <c r="Q102" s="680" t="s">
        <v>1198</v>
      </c>
      <c r="R102" s="680" t="s">
        <v>24</v>
      </c>
      <c r="S102" s="680"/>
      <c r="T102" s="681">
        <v>60</v>
      </c>
      <c r="U102" s="873"/>
      <c r="V102" s="684" t="str">
        <f>_xlfn.IFNA(HYPERLINK("https://www.klasekpyrotechnics.cz/hdp60m"),"")</f>
        <v>https://www.klasekpyrotechnics.cz/hdp60m</v>
      </c>
      <c r="W102" s="685" t="str">
        <f>IFERROR(VLOOKUP($C102,Popisy!A:P,MATCH($W$17,Popisy!$A$7:$P$7,0),FALSE),"---------------")</f>
        <v>Handrauchfackel-blaue Farbe</v>
      </c>
      <c r="X102" s="889" t="str">
        <f t="shared" si="19"/>
        <v/>
      </c>
      <c r="Y102" s="890"/>
      <c r="Z102" s="685">
        <f>IFERROR(IF(VLOOKUP(C102,[4]List1!$A:$D,4,FALSE)=0,"",VLOOKUP(C102,[4]List1!$A:$D,4,FALSE)),"")</f>
        <v>21</v>
      </c>
      <c r="AA102" s="707"/>
      <c r="AB102" s="911" t="str">
        <f>IFERROR(IF(VLOOKUP(C102,[1]List1!$A:$D,2,FALSE)="VYPRODÁNO",$V$9,IF(VLOOKUP(C102,[1]List1!$A:$D,2,FALSE)="DOCHÁZÍ",$V$3,VLOOKUP(C102,[1]List1!$A:$D,2,FALSE))),"OFFLINE!")</f>
        <v>SKLADEM</v>
      </c>
      <c r="AC102" s="911" t="str">
        <f ca="1">IF(AO102="NE",$V$10,IF(AB102=$V$3,IF(AP102&lt;1,$V$8,$V$2&amp;" "&amp;AP102&amp;" "&amp;$V$1),IF(AB102="SKLADEM",$V$6,IFERROR(IF(OR(AB102-TODAY()&gt;21,VLOOKUP(C102,[1]List1!$A:$E,4,FALSE)=0),AB102,DAY(AB102)&amp;"."&amp;MONTH(AB102)&amp;"."&amp;YEAR(AB102)&amp;" "&amp;$V$4&amp;VLOOKUP(C102,[1]List1!$A:$E,4,FALSE)&amp;" "&amp;$V$1),AB102))))</f>
        <v>AUF LAGER</v>
      </c>
      <c r="AD102" s="686" t="str">
        <f ca="1">_xlfn.IFNA(VLOOKUP(C102,'General price list'!C:AM,MATCH($AD$20,'General price list'!$C$20:$AM$20,0),FALSE),"")</f>
        <v>AUF LAGER</v>
      </c>
      <c r="AE102" s="681">
        <f t="shared" ca="1" si="20"/>
        <v>0</v>
      </c>
      <c r="AF102" s="681">
        <f t="shared" ca="1" si="21"/>
        <v>0</v>
      </c>
      <c r="AG102" s="687">
        <f t="shared" ca="1" si="22"/>
        <v>0</v>
      </c>
      <c r="AH102" s="688">
        <f t="shared" ca="1" si="23"/>
        <v>0</v>
      </c>
      <c r="AI102" s="687">
        <f t="shared" ca="1" si="24"/>
        <v>0</v>
      </c>
      <c r="AJ102" s="689" t="str">
        <f t="shared" ca="1" si="25"/>
        <v/>
      </c>
      <c r="AK102" s="689" t="str">
        <f t="shared" ca="1" si="26"/>
        <v/>
      </c>
      <c r="AL102" s="689">
        <f t="shared" ca="1" si="27"/>
        <v>0</v>
      </c>
      <c r="AM102" s="690" t="str">
        <f t="shared" ca="1" si="28"/>
        <v/>
      </c>
      <c r="AN102" s="313"/>
      <c r="AO102" s="314" t="str">
        <f>IF($R$3=1,IF(Y102=AA102,"","NE"),IF(#REF!=$V$10,"NE",""))</f>
        <v/>
      </c>
      <c r="AP102" s="315" t="str">
        <f>IF(AB102=$V$3,IF(VLOOKUP(C102,[1]List1!$A:$E,5,FALSE)=0,1,VLOOKUP(C102,[1]List1!$A:$E,5,FALSE)),"")</f>
        <v/>
      </c>
      <c r="AW102" s="458">
        <f>IFERROR(FIND(VLOOKUP('General price list'!$AB$7,'General price list'!$AC$1:$AD$12,2,FALSE),Q102,1),0)</f>
        <v>13</v>
      </c>
      <c r="AX102" s="458">
        <f>IFERROR(FIND(VLOOKUP('General price list'!$AB$7,'General price list'!$AC$1:$AD$12,2,FALSE),R102,1),0)</f>
        <v>0</v>
      </c>
    </row>
    <row r="103" spans="1:57" ht="15" customHeight="1">
      <c r="A103" s="691" t="str">
        <f>Kat.!C103</f>
        <v xml:space="preserve">                                          </v>
      </c>
      <c r="B103" s="692">
        <v>82</v>
      </c>
      <c r="C103" s="693" t="s">
        <v>3585</v>
      </c>
      <c r="D103" s="693" t="s">
        <v>3586</v>
      </c>
      <c r="E103" s="694" t="s">
        <v>297</v>
      </c>
      <c r="F103" s="695">
        <f>VLOOKUP(C103,[2]List1!$A:$D,2,FALSE)</f>
        <v>325</v>
      </c>
      <c r="G103" s="696">
        <f t="shared" si="17"/>
        <v>325</v>
      </c>
      <c r="H103" s="697">
        <f t="shared" si="18"/>
        <v>13.2</v>
      </c>
      <c r="I103" s="837">
        <v>20</v>
      </c>
      <c r="J103" s="698" t="s">
        <v>230</v>
      </c>
      <c r="K103" s="856"/>
      <c r="L103" s="857" t="s">
        <v>13826</v>
      </c>
      <c r="M103" s="698" t="s">
        <v>25</v>
      </c>
      <c r="N103" s="869">
        <f>IFERROR(VLOOKUP(C103,[3]List1!$A:$D,4,FALSE),"N/A!")</f>
        <v>5.7330000000000013E-2</v>
      </c>
      <c r="O103" s="837">
        <f>IFERROR(VLOOKUP(C103,[3]List1!$A:$D,3,FALSE),"N/A!")</f>
        <v>4500</v>
      </c>
      <c r="P103" s="837">
        <f>IFERROR(VLOOKUP(C103,[3]List1!$A:$D,2,FALSE),"N/A!")</f>
        <v>15000</v>
      </c>
      <c r="Q103" s="698" t="s">
        <v>1198</v>
      </c>
      <c r="R103" s="698" t="s">
        <v>24</v>
      </c>
      <c r="S103" s="698"/>
      <c r="T103" s="695">
        <v>60</v>
      </c>
      <c r="U103" s="874"/>
      <c r="V103" s="699" t="str">
        <f>_xlfn.IFNA(HYPERLINK("https://www.klasekpyrotechnics.cz/hdp60zl"),"")</f>
        <v>https://www.klasekpyrotechnics.cz/hdp60zl</v>
      </c>
      <c r="W103" s="700" t="str">
        <f>IFERROR(VLOOKUP($C103,Popisy!A:P,MATCH($W$17,Popisy!$A$7:$P$7,0),FALSE),"---------------")</f>
        <v>Handrauchfackel-gelbe Farbe</v>
      </c>
      <c r="X103" s="891" t="str">
        <f t="shared" si="19"/>
        <v/>
      </c>
      <c r="Y103" s="892"/>
      <c r="Z103" s="700">
        <f>IFERROR(IF(VLOOKUP(C103,[4]List1!$A:$D,4,FALSE)=0,"",VLOOKUP(C103,[4]List1!$A:$D,4,FALSE)),"")</f>
        <v>21</v>
      </c>
      <c r="AA103" s="707"/>
      <c r="AB103" s="912" t="str">
        <f>IFERROR(IF(VLOOKUP(C103,[1]List1!$A:$D,2,FALSE)="VYPRODÁNO",$V$9,IF(VLOOKUP(C103,[1]List1!$A:$D,2,FALSE)="DOCHÁZÍ",$V$3,VLOOKUP(C103,[1]List1!$A:$D,2,FALSE))),"OFFLINE!")</f>
        <v>SKLADEM</v>
      </c>
      <c r="AC103" s="912" t="str">
        <f ca="1">IF(AO103="NE",$V$10,IF(AB103=$V$3,IF(AP103&lt;1,$V$8,$V$2&amp;" "&amp;AP103&amp;" "&amp;$V$1),IF(AB103="SKLADEM",$V$6,IFERROR(IF(OR(AB103-TODAY()&gt;21,VLOOKUP(C103,[1]List1!$A:$E,4,FALSE)=0),AB103,DAY(AB103)&amp;"."&amp;MONTH(AB103)&amp;"."&amp;YEAR(AB103)&amp;" "&amp;$V$4&amp;VLOOKUP(C103,[1]List1!$A:$E,4,FALSE)&amp;" "&amp;$V$1),AB103))))</f>
        <v>AUF LAGER</v>
      </c>
      <c r="AD103" s="701" t="str">
        <f ca="1">_xlfn.IFNA(VLOOKUP(C103,'General price list'!C:AM,MATCH($AD$20,'General price list'!$C$20:$AM$20,0),FALSE),"")</f>
        <v>AUF LAGER</v>
      </c>
      <c r="AE103" s="695">
        <f t="shared" ca="1" si="20"/>
        <v>0</v>
      </c>
      <c r="AF103" s="695">
        <f t="shared" ca="1" si="21"/>
        <v>0</v>
      </c>
      <c r="AG103" s="702">
        <f t="shared" ca="1" si="22"/>
        <v>0</v>
      </c>
      <c r="AH103" s="703">
        <f t="shared" ca="1" si="23"/>
        <v>0</v>
      </c>
      <c r="AI103" s="702">
        <f t="shared" ca="1" si="24"/>
        <v>0</v>
      </c>
      <c r="AJ103" s="704" t="str">
        <f t="shared" ca="1" si="25"/>
        <v/>
      </c>
      <c r="AK103" s="704" t="str">
        <f t="shared" ca="1" si="26"/>
        <v/>
      </c>
      <c r="AL103" s="704">
        <f t="shared" ca="1" si="27"/>
        <v>0</v>
      </c>
      <c r="AM103" s="705" t="str">
        <f t="shared" ca="1" si="28"/>
        <v/>
      </c>
      <c r="AN103" s="381"/>
      <c r="AO103" s="314" t="str">
        <f>IF($R$3=1,IF(Y103=AA103,"","NE"),IF(#REF!=$V$10,"NE",""))</f>
        <v/>
      </c>
      <c r="AP103" s="291" t="str">
        <f>IF(AB103=$V$3,IF(VLOOKUP(C103,[1]List1!$A:$E,5,FALSE)=0,1,VLOOKUP(C103,[1]List1!$A:$E,5,FALSE)),"")</f>
        <v/>
      </c>
      <c r="AW103" s="458">
        <f>IFERROR(FIND(VLOOKUP('General price list'!$AB$7,'General price list'!$AC$1:$AD$12,2,FALSE),Q103,1),0)</f>
        <v>13</v>
      </c>
      <c r="AX103" s="458">
        <f>IFERROR(FIND(VLOOKUP('General price list'!$AB$7,'General price list'!$AC$1:$AD$12,2,FALSE),R103,1),0)</f>
        <v>0</v>
      </c>
      <c r="BC103" s="292"/>
      <c r="BD103" s="292"/>
      <c r="BE103" s="292"/>
    </row>
    <row r="104" spans="1:57" ht="15" customHeight="1">
      <c r="A104" s="677" t="str">
        <f>Kat.!C104</f>
        <v xml:space="preserve">                                          </v>
      </c>
      <c r="B104" s="678">
        <v>83</v>
      </c>
      <c r="C104" s="679" t="s">
        <v>3596</v>
      </c>
      <c r="D104" s="679" t="s">
        <v>3597</v>
      </c>
      <c r="E104" s="680" t="s">
        <v>297</v>
      </c>
      <c r="F104" s="681">
        <f>VLOOKUP(C104,[2]List1!$A:$D,2,FALSE)</f>
        <v>325</v>
      </c>
      <c r="G104" s="682">
        <f t="shared" si="17"/>
        <v>325</v>
      </c>
      <c r="H104" s="683">
        <f t="shared" si="18"/>
        <v>13.2</v>
      </c>
      <c r="I104" s="836">
        <v>20</v>
      </c>
      <c r="J104" s="680" t="s">
        <v>230</v>
      </c>
      <c r="K104" s="854"/>
      <c r="L104" s="855" t="s">
        <v>13826</v>
      </c>
      <c r="M104" s="680" t="s">
        <v>25</v>
      </c>
      <c r="N104" s="868">
        <f>IFERROR(VLOOKUP(C104,[3]List1!$A:$D,4,FALSE),"N/A!")</f>
        <v>5.7330000000000013E-2</v>
      </c>
      <c r="O104" s="836">
        <f>IFERROR(VLOOKUP(C104,[3]List1!$A:$D,3,FALSE),"N/A!")</f>
        <v>4500</v>
      </c>
      <c r="P104" s="836">
        <f>IFERROR(VLOOKUP(C104,[3]List1!$A:$D,2,FALSE),"N/A!")</f>
        <v>15000</v>
      </c>
      <c r="Q104" s="680" t="s">
        <v>1198</v>
      </c>
      <c r="R104" s="680" t="s">
        <v>24</v>
      </c>
      <c r="S104" s="680"/>
      <c r="T104" s="681">
        <v>60</v>
      </c>
      <c r="U104" s="873"/>
      <c r="V104" s="684" t="str">
        <f>_xlfn.IFNA(HYPERLINK("https://www.klasekpyrotechnics.cz/hdp60ze"),"")</f>
        <v>https://www.klasekpyrotechnics.cz/hdp60ze</v>
      </c>
      <c r="W104" s="685" t="str">
        <f>IFERROR(VLOOKUP($C104,Popisy!A:P,MATCH($W$17,Popisy!$A$7:$P$7,0),FALSE),"---------------")</f>
        <v>Handrauchfackel-grüne Farbe</v>
      </c>
      <c r="X104" s="889" t="str">
        <f t="shared" si="19"/>
        <v/>
      </c>
      <c r="Y104" s="890"/>
      <c r="Z104" s="685">
        <f>IFERROR(IF(VLOOKUP(C104,[4]List1!$A:$D,4,FALSE)=0,"",VLOOKUP(C104,[4]List1!$A:$D,4,FALSE)),"")</f>
        <v>21</v>
      </c>
      <c r="AA104" s="707"/>
      <c r="AB104" s="911" t="str">
        <f>IFERROR(IF(VLOOKUP(C104,[1]List1!$A:$D,2,FALSE)="VYPRODÁNO",$V$9,IF(VLOOKUP(C104,[1]List1!$A:$D,2,FALSE)="DOCHÁZÍ",$V$3,VLOOKUP(C104,[1]List1!$A:$D,2,FALSE))),"OFFLINE!")</f>
        <v>SKLADEM</v>
      </c>
      <c r="AC104" s="911" t="str">
        <f ca="1">IF(AO104="NE",$V$10,IF(AB104=$V$3,IF(AP104&lt;1,$V$8,$V$2&amp;" "&amp;AP104&amp;" "&amp;$V$1),IF(AB104="SKLADEM",$V$6,IFERROR(IF(OR(AB104-TODAY()&gt;21,VLOOKUP(C104,[1]List1!$A:$E,4,FALSE)=0),AB104,DAY(AB104)&amp;"."&amp;MONTH(AB104)&amp;"."&amp;YEAR(AB104)&amp;" "&amp;$V$4&amp;VLOOKUP(C104,[1]List1!$A:$E,4,FALSE)&amp;" "&amp;$V$1),AB104))))</f>
        <v>AUF LAGER</v>
      </c>
      <c r="AD104" s="686" t="str">
        <f ca="1">_xlfn.IFNA(VLOOKUP(C104,'General price list'!C:AM,MATCH($AD$20,'General price list'!$C$20:$AM$20,0),FALSE),"")</f>
        <v>AUF LAGER</v>
      </c>
      <c r="AE104" s="681">
        <f t="shared" ca="1" si="20"/>
        <v>0</v>
      </c>
      <c r="AF104" s="681">
        <f t="shared" ca="1" si="21"/>
        <v>0</v>
      </c>
      <c r="AG104" s="687">
        <f t="shared" ca="1" si="22"/>
        <v>0</v>
      </c>
      <c r="AH104" s="688">
        <f t="shared" ca="1" si="23"/>
        <v>0</v>
      </c>
      <c r="AI104" s="687">
        <f t="shared" ca="1" si="24"/>
        <v>0</v>
      </c>
      <c r="AJ104" s="689" t="str">
        <f t="shared" ca="1" si="25"/>
        <v/>
      </c>
      <c r="AK104" s="689" t="str">
        <f t="shared" ca="1" si="26"/>
        <v/>
      </c>
      <c r="AL104" s="689">
        <f t="shared" ca="1" si="27"/>
        <v>0</v>
      </c>
      <c r="AM104" s="690" t="str">
        <f t="shared" ca="1" si="28"/>
        <v/>
      </c>
      <c r="AN104" s="313"/>
      <c r="AO104" s="314" t="str">
        <f>IF($R$3=1,IF(Y104=AA104,"","NE"),IF(#REF!=$V$10,"NE",""))</f>
        <v/>
      </c>
      <c r="AP104" s="315" t="str">
        <f>IF(AB104=$V$3,IF(VLOOKUP(C104,[1]List1!$A:$E,5,FALSE)=0,1,VLOOKUP(C104,[1]List1!$A:$E,5,FALSE)),"")</f>
        <v/>
      </c>
      <c r="AW104" s="458">
        <f>IFERROR(FIND(VLOOKUP('General price list'!$AB$7,'General price list'!$AC$1:$AD$12,2,FALSE),Q104,1),0)</f>
        <v>13</v>
      </c>
      <c r="AX104" s="458">
        <f>IFERROR(FIND(VLOOKUP('General price list'!$AB$7,'General price list'!$AC$1:$AD$12,2,FALSE),R104,1),0)</f>
        <v>0</v>
      </c>
    </row>
    <row r="105" spans="1:57" ht="15" customHeight="1">
      <c r="A105" s="691" t="str">
        <f>Kat.!C105</f>
        <v xml:space="preserve">                                          </v>
      </c>
      <c r="B105" s="692">
        <v>84</v>
      </c>
      <c r="C105" s="693" t="s">
        <v>3607</v>
      </c>
      <c r="D105" s="693" t="s">
        <v>3608</v>
      </c>
      <c r="E105" s="694" t="s">
        <v>297</v>
      </c>
      <c r="F105" s="695">
        <f>VLOOKUP(C105,[2]List1!$A:$D,2,FALSE)</f>
        <v>325</v>
      </c>
      <c r="G105" s="696">
        <f t="shared" si="17"/>
        <v>325</v>
      </c>
      <c r="H105" s="697">
        <f t="shared" si="18"/>
        <v>13.2</v>
      </c>
      <c r="I105" s="837">
        <v>20</v>
      </c>
      <c r="J105" s="698" t="s">
        <v>230</v>
      </c>
      <c r="K105" s="856"/>
      <c r="L105" s="857" t="s">
        <v>13826</v>
      </c>
      <c r="M105" s="698" t="s">
        <v>25</v>
      </c>
      <c r="N105" s="869">
        <f>IFERROR(VLOOKUP(C105,[3]List1!$A:$D,4,FALSE),"N/A!")</f>
        <v>5.7330000000000013E-2</v>
      </c>
      <c r="O105" s="837">
        <f>IFERROR(VLOOKUP(C105,[3]List1!$A:$D,3,FALSE),"N/A!")</f>
        <v>4500</v>
      </c>
      <c r="P105" s="837">
        <f>IFERROR(VLOOKUP(C105,[3]List1!$A:$D,2,FALSE),"N/A!")</f>
        <v>15000</v>
      </c>
      <c r="Q105" s="698" t="s">
        <v>1198</v>
      </c>
      <c r="R105" s="698" t="s">
        <v>24</v>
      </c>
      <c r="S105" s="698"/>
      <c r="T105" s="695">
        <v>60</v>
      </c>
      <c r="U105" s="874"/>
      <c r="V105" s="699" t="str">
        <f>_xlfn.IFNA(HYPERLINK("https://www.klasekpyrotechnics.cz/hdp60o"),"")</f>
        <v>https://www.klasekpyrotechnics.cz/hdp60o</v>
      </c>
      <c r="W105" s="700" t="str">
        <f>IFERROR(VLOOKUP($C105,Popisy!A:P,MATCH($W$17,Popisy!$A$7:$P$7,0),FALSE),"---------------")</f>
        <v>Handrauchfackel-orange Farbe</v>
      </c>
      <c r="X105" s="891" t="str">
        <f t="shared" si="19"/>
        <v/>
      </c>
      <c r="Y105" s="892"/>
      <c r="Z105" s="700">
        <f>IFERROR(IF(VLOOKUP(C105,[4]List1!$A:$D,4,FALSE)=0,"",VLOOKUP(C105,[4]List1!$A:$D,4,FALSE)),"")</f>
        <v>21</v>
      </c>
      <c r="AA105" s="707"/>
      <c r="AB105" s="912" t="str">
        <f>IFERROR(IF(VLOOKUP(C105,[1]List1!$A:$D,2,FALSE)="VYPRODÁNO",$V$9,IF(VLOOKUP(C105,[1]List1!$A:$D,2,FALSE)="DOCHÁZÍ",$V$3,VLOOKUP(C105,[1]List1!$A:$D,2,FALSE))),"OFFLINE!")</f>
        <v>SKLADEM</v>
      </c>
      <c r="AC105" s="912" t="str">
        <f ca="1">IF(AO105="NE",$V$10,IF(AB105=$V$3,IF(AP105&lt;1,$V$8,$V$2&amp;" "&amp;AP105&amp;" "&amp;$V$1),IF(AB105="SKLADEM",$V$6,IFERROR(IF(OR(AB105-TODAY()&gt;21,VLOOKUP(C105,[1]List1!$A:$E,4,FALSE)=0),AB105,DAY(AB105)&amp;"."&amp;MONTH(AB105)&amp;"."&amp;YEAR(AB105)&amp;" "&amp;$V$4&amp;VLOOKUP(C105,[1]List1!$A:$E,4,FALSE)&amp;" "&amp;$V$1),AB105))))</f>
        <v>AUF LAGER</v>
      </c>
      <c r="AD105" s="701" t="str">
        <f ca="1">_xlfn.IFNA(VLOOKUP(C105,'General price list'!C:AM,MATCH($AD$20,'General price list'!$C$20:$AM$20,0),FALSE),"")</f>
        <v>AUF LAGER</v>
      </c>
      <c r="AE105" s="695">
        <f t="shared" ca="1" si="20"/>
        <v>0</v>
      </c>
      <c r="AF105" s="695">
        <f t="shared" ca="1" si="21"/>
        <v>0</v>
      </c>
      <c r="AG105" s="702">
        <f t="shared" ca="1" si="22"/>
        <v>0</v>
      </c>
      <c r="AH105" s="703">
        <f t="shared" ca="1" si="23"/>
        <v>0</v>
      </c>
      <c r="AI105" s="702">
        <f t="shared" ca="1" si="24"/>
        <v>0</v>
      </c>
      <c r="AJ105" s="704" t="str">
        <f t="shared" ca="1" si="25"/>
        <v/>
      </c>
      <c r="AK105" s="704" t="str">
        <f t="shared" ca="1" si="26"/>
        <v/>
      </c>
      <c r="AL105" s="704">
        <f t="shared" ca="1" si="27"/>
        <v>0</v>
      </c>
      <c r="AM105" s="705" t="str">
        <f t="shared" ca="1" si="28"/>
        <v/>
      </c>
      <c r="AN105" s="382"/>
      <c r="AO105" s="314" t="str">
        <f>IF($R$3=1,IF(Y105=AA105,"","NE"),IF(#REF!=$V$10,"NE",""))</f>
        <v/>
      </c>
      <c r="AP105" s="315" t="str">
        <f>IF(AB105=$V$3,IF(VLOOKUP(C105,[1]List1!$A:$E,5,FALSE)=0,1,VLOOKUP(C105,[1]List1!$A:$E,5,FALSE)),"")</f>
        <v/>
      </c>
      <c r="AW105" s="458">
        <f>IFERROR(FIND(VLOOKUP('General price list'!$AB$7,'General price list'!$AC$1:$AD$12,2,FALSE),Q105,1),0)</f>
        <v>13</v>
      </c>
      <c r="AX105" s="458">
        <f>IFERROR(FIND(VLOOKUP('General price list'!$AB$7,'General price list'!$AC$1:$AD$12,2,FALSE),R105,1),0)</f>
        <v>0</v>
      </c>
    </row>
    <row r="106" spans="1:57" ht="15" customHeight="1">
      <c r="A106" s="677" t="str">
        <f>Kat.!C106</f>
        <v xml:space="preserve">                                          </v>
      </c>
      <c r="B106" s="678">
        <v>85</v>
      </c>
      <c r="C106" s="679" t="s">
        <v>3618</v>
      </c>
      <c r="D106" s="679" t="s">
        <v>3619</v>
      </c>
      <c r="E106" s="680" t="s">
        <v>297</v>
      </c>
      <c r="F106" s="681">
        <f>VLOOKUP(C106,[2]List1!$A:$D,2,FALSE)</f>
        <v>325</v>
      </c>
      <c r="G106" s="682">
        <f t="shared" si="17"/>
        <v>325</v>
      </c>
      <c r="H106" s="683">
        <f t="shared" si="18"/>
        <v>13.2</v>
      </c>
      <c r="I106" s="836">
        <v>20</v>
      </c>
      <c r="J106" s="680" t="s">
        <v>230</v>
      </c>
      <c r="K106" s="854"/>
      <c r="L106" s="855" t="s">
        <v>13826</v>
      </c>
      <c r="M106" s="680" t="s">
        <v>25</v>
      </c>
      <c r="N106" s="868">
        <f>IFERROR(VLOOKUP(C106,[3]List1!$A:$D,4,FALSE),"N/A!")</f>
        <v>5.7330000000000013E-2</v>
      </c>
      <c r="O106" s="836">
        <f>IFERROR(VLOOKUP(C106,[3]List1!$A:$D,3,FALSE),"N/A!")</f>
        <v>4500</v>
      </c>
      <c r="P106" s="836">
        <f>IFERROR(VLOOKUP(C106,[3]List1!$A:$D,2,FALSE),"N/A!")</f>
        <v>15000</v>
      </c>
      <c r="Q106" s="680" t="s">
        <v>1198</v>
      </c>
      <c r="R106" s="680" t="s">
        <v>24</v>
      </c>
      <c r="S106" s="680"/>
      <c r="T106" s="681">
        <v>60</v>
      </c>
      <c r="U106" s="873"/>
      <c r="V106" s="684" t="str">
        <f>_xlfn.IFNA(HYPERLINK("https://www.klasekpyrotechnics.cz/hdp60cer"),"")</f>
        <v>https://www.klasekpyrotechnics.cz/hdp60cer</v>
      </c>
      <c r="W106" s="685" t="str">
        <f>IFERROR(VLOOKUP($C106,Popisy!A:P,MATCH($W$17,Popisy!$A$7:$P$7,0),FALSE),"---------------")</f>
        <v>Handrauchfackel-schwarze Farbe</v>
      </c>
      <c r="X106" s="889" t="str">
        <f t="shared" si="19"/>
        <v/>
      </c>
      <c r="Y106" s="890"/>
      <c r="Z106" s="685">
        <f>IFERROR(IF(VLOOKUP(C106,[4]List1!$A:$D,4,FALSE)=0,"",VLOOKUP(C106,[4]List1!$A:$D,4,FALSE)),"")</f>
        <v>21</v>
      </c>
      <c r="AA106" s="707"/>
      <c r="AB106" s="911" t="str">
        <f>IFERROR(IF(VLOOKUP(C106,[1]List1!$A:$D,2,FALSE)="VYPRODÁNO",$V$9,IF(VLOOKUP(C106,[1]List1!$A:$D,2,FALSE)="DOCHÁZÍ",$V$3,VLOOKUP(C106,[1]List1!$A:$D,2,FALSE))),"OFFLINE!")</f>
        <v>LETZTE STÜCKE</v>
      </c>
      <c r="AC106" s="911" t="str">
        <f ca="1">IF(AO106="NE",$V$10,IF(AB106=$V$3,IF(AP106&lt;1,$V$8,$V$2&amp;" "&amp;AP106&amp;" "&amp;$V$1),IF(AB106="SKLADEM",$V$6,IFERROR(IF(OR(AB106-TODAY()&gt;21,VLOOKUP(C106,[1]List1!$A:$E,4,FALSE)=0),AB106,DAY(AB106)&amp;"."&amp;MONTH(AB106)&amp;"."&amp;YEAR(AB106)&amp;" "&amp;$V$4&amp;VLOOKUP(C106,[1]List1!$A:$E,4,FALSE)&amp;" "&amp;$V$1),AB106))))</f>
        <v>LETZTE 19 KTN</v>
      </c>
      <c r="AD106" s="686" t="str">
        <f ca="1">_xlfn.IFNA(VLOOKUP(C106,'General price list'!C:AM,MATCH($AD$20,'General price list'!$C$20:$AM$20,0),FALSE),"")</f>
        <v>LETZTE 19 KTN</v>
      </c>
      <c r="AE106" s="681">
        <f t="shared" ca="1" si="20"/>
        <v>0</v>
      </c>
      <c r="AF106" s="681">
        <f t="shared" ca="1" si="21"/>
        <v>0</v>
      </c>
      <c r="AG106" s="687">
        <f t="shared" ca="1" si="22"/>
        <v>0</v>
      </c>
      <c r="AH106" s="688">
        <f t="shared" ca="1" si="23"/>
        <v>0</v>
      </c>
      <c r="AI106" s="687">
        <f t="shared" ca="1" si="24"/>
        <v>0</v>
      </c>
      <c r="AJ106" s="689" t="str">
        <f t="shared" ca="1" si="25"/>
        <v/>
      </c>
      <c r="AK106" s="689" t="str">
        <f t="shared" ca="1" si="26"/>
        <v/>
      </c>
      <c r="AL106" s="689">
        <f t="shared" ca="1" si="27"/>
        <v>0</v>
      </c>
      <c r="AM106" s="690" t="str">
        <f t="shared" ca="1" si="28"/>
        <v/>
      </c>
      <c r="AN106" s="382"/>
      <c r="AO106" s="314" t="str">
        <f>IF($R$3=1,IF(Y106=AA106,"","NE"),IF(#REF!=$V$10,"NE",""))</f>
        <v/>
      </c>
      <c r="AP106" s="315">
        <f>IF(AB106=$V$3,IF(VLOOKUP(C106,[1]List1!$A:$E,5,FALSE)=0,1,VLOOKUP(C106,[1]List1!$A:$E,5,FALSE)),"")</f>
        <v>19</v>
      </c>
      <c r="AW106" s="458">
        <f>IFERROR(FIND(VLOOKUP('General price list'!$AB$7,'General price list'!$AC$1:$AD$12,2,FALSE),Q106,1),0)</f>
        <v>13</v>
      </c>
      <c r="AX106" s="458">
        <f>IFERROR(FIND(VLOOKUP('General price list'!$AB$7,'General price list'!$AC$1:$AD$12,2,FALSE),R106,1),0)</f>
        <v>0</v>
      </c>
    </row>
    <row r="107" spans="1:57" ht="15" customHeight="1">
      <c r="A107" s="672" t="str">
        <f>Kat.!C107</f>
        <v xml:space="preserve">                                          Fackeln</v>
      </c>
      <c r="B107" s="692">
        <v>86</v>
      </c>
      <c r="C107" s="693"/>
      <c r="D107" s="693"/>
      <c r="E107" s="694"/>
      <c r="F107" s="695" t="str">
        <f>IFERROR(ROUND(VLOOKUP(C107,'General price list'!$C:$AN,4,FALSE),0),"")</f>
        <v/>
      </c>
      <c r="G107" s="696" t="str">
        <f t="shared" si="17"/>
        <v/>
      </c>
      <c r="H107" s="697" t="str">
        <f t="shared" si="18"/>
        <v/>
      </c>
      <c r="I107" s="837"/>
      <c r="J107" s="698"/>
      <c r="K107" s="856"/>
      <c r="L107" s="857"/>
      <c r="M107" s="698"/>
      <c r="N107" s="869" t="str">
        <f>IFERROR(IF(VLOOKUP($C107,'General price list'!$C:$AN,MATCH(N$20,'General price list'!$C$20:$AM$20,0),FALSE)=0,"",VLOOKUP($C107,'General price list'!$C:$AN,MATCH(N$20,'General price list'!$C$20:$AM$20,0),FALSE)),"")</f>
        <v/>
      </c>
      <c r="O107" s="837" t="str">
        <f>IFERROR(IF(VLOOKUP($C107,'General price list'!$C:$AN,MATCH(O$20,'General price list'!$C$20:$AM$20,0),FALSE)=0,"",VLOOKUP($C107,'General price list'!$C:$AN,MATCH(O$20,'General price list'!$C$20:$AM$20,0),FALSE)),"")</f>
        <v/>
      </c>
      <c r="P107" s="837" t="str">
        <f>IFERROR(IF(VLOOKUP($C107,'General price list'!$C:$AN,MATCH(P$20,'General price list'!$C$20:$AM$20,0),FALSE)=0,"",VLOOKUP($C107,'General price list'!$C:$AN,MATCH(P$20,'General price list'!$C$20:$AM$20,0),FALSE)),"")</f>
        <v/>
      </c>
      <c r="Q107" s="698"/>
      <c r="R107" s="698"/>
      <c r="S107" s="698"/>
      <c r="T107" s="695"/>
      <c r="U107" s="874"/>
      <c r="V107" s="699"/>
      <c r="W107" s="700" t="str">
        <f>IFERROR(VLOOKUP($C107,'General price list'!$C:$AN,MATCH(W$20,'General price list'!$C$20:$AM$20,0),FALSE),"")</f>
        <v/>
      </c>
      <c r="X107" s="891" t="str">
        <f t="shared" si="19"/>
        <v/>
      </c>
      <c r="Y107" s="892"/>
      <c r="Z107" s="700" t="str">
        <f>IFERROR(VLOOKUP($C107,'General price list'!$C:$AN,MATCH(Z$20,'General price list'!$C$20:$AM$20,0),FALSE),"")</f>
        <v/>
      </c>
      <c r="AA107" s="707"/>
      <c r="AB107" s="912" t="str">
        <f>IFERROR(IF(VLOOKUP(C107,[1]List1!$A:$D,2,FALSE)="VYPRODÁNO",$V$9,IF(VLOOKUP(C107,[1]List1!$A:$D,2,FALSE)="DOCHÁZÍ",$V$3,VLOOKUP(C107,[1]List1!$A:$D,2,FALSE))),"OFFLINE!")</f>
        <v>OFFLINE!</v>
      </c>
      <c r="AC107" s="912" t="str">
        <f ca="1">IF(AO107="NE",$V$10,IF(AB107=$V$3,IF(AP107&lt;1,$V$8,$V$2&amp;" "&amp;AP107&amp;" "&amp;$V$1),IF(AB107="SKLADEM",$V$6,IFERROR(IF(OR(AB107-TODAY()&gt;21,VLOOKUP(C107,[1]List1!$A:$E,4,FALSE)=0),AB107,DAY(AB107)&amp;"."&amp;MONTH(AB107)&amp;"."&amp;YEAR(AB107)&amp;" "&amp;$V$4&amp;VLOOKUP(C107,[1]List1!$A:$E,4,FALSE)&amp;" "&amp;$V$1),AB107))))</f>
        <v>OFFLINE!</v>
      </c>
      <c r="AD107" s="701" t="str">
        <f>_xlfn.IFNA(VLOOKUP(C107,'General price list'!C:AM,MATCH($AD$20,'General price list'!$C$20:$AM$20,0),FALSE),"")</f>
        <v/>
      </c>
      <c r="AE107" s="695" t="str">
        <f t="shared" si="20"/>
        <v/>
      </c>
      <c r="AF107" s="695" t="str">
        <f t="shared" si="21"/>
        <v/>
      </c>
      <c r="AG107" s="702" t="str">
        <f t="shared" si="22"/>
        <v/>
      </c>
      <c r="AH107" s="703" t="str">
        <f t="shared" si="23"/>
        <v/>
      </c>
      <c r="AI107" s="702" t="str">
        <f t="shared" si="24"/>
        <v/>
      </c>
      <c r="AJ107" s="704" t="str">
        <f t="shared" si="25"/>
        <v/>
      </c>
      <c r="AK107" s="704" t="str">
        <f t="shared" si="26"/>
        <v/>
      </c>
      <c r="AL107" s="704" t="str">
        <f t="shared" si="27"/>
        <v/>
      </c>
      <c r="AM107" s="705" t="str">
        <f t="shared" si="28"/>
        <v/>
      </c>
      <c r="AN107" s="313"/>
      <c r="AO107" s="314" t="str">
        <f>IF($R$3=1,IF(Y107=AA107,"","NE"),IF(#REF!=$V$10,"NE",""))</f>
        <v/>
      </c>
      <c r="AP107" s="315" t="str">
        <f>IF(AB107=$V$3,IF(VLOOKUP(C107,[1]List1!$A:$E,5,FALSE)=0,1,VLOOKUP(C107,[1]List1!$A:$E,5,FALSE)),"")</f>
        <v/>
      </c>
      <c r="AW107" s="291" t="e">
        <f>VLOOKUP(C107,'General price list'!C:AU,46,FALSE)</f>
        <v>#N/A</v>
      </c>
      <c r="AX107" s="291" t="e">
        <f>VLOOKUP(C107,'General price list'!C:AU,47,FALSE)</f>
        <v>#N/A</v>
      </c>
    </row>
    <row r="108" spans="1:57" ht="15" customHeight="1">
      <c r="A108" s="677" t="str">
        <f>Kat.!C108</f>
        <v xml:space="preserve">                                          </v>
      </c>
      <c r="B108" s="678">
        <v>87</v>
      </c>
      <c r="C108" s="679" t="s">
        <v>869</v>
      </c>
      <c r="D108" s="679" t="s">
        <v>870</v>
      </c>
      <c r="E108" s="680" t="s">
        <v>297</v>
      </c>
      <c r="F108" s="681">
        <f>VLOOKUP(C108,[2]List1!$A:$D,2,FALSE)</f>
        <v>280</v>
      </c>
      <c r="G108" s="682">
        <f t="shared" si="17"/>
        <v>280</v>
      </c>
      <c r="H108" s="683">
        <f t="shared" si="18"/>
        <v>11.4</v>
      </c>
      <c r="I108" s="836">
        <v>20</v>
      </c>
      <c r="J108" s="680" t="s">
        <v>230</v>
      </c>
      <c r="K108" s="854"/>
      <c r="L108" s="855" t="s">
        <v>13826</v>
      </c>
      <c r="M108" s="680" t="s">
        <v>25</v>
      </c>
      <c r="N108" s="868">
        <f>IFERROR(VLOOKUP(C108,[3]List1!$A:$D,4,FALSE),"N/A!")</f>
        <v>2.3552E-2</v>
      </c>
      <c r="O108" s="836">
        <f>IFERROR(VLOOKUP(C108,[3]List1!$A:$D,3,FALSE),"N/A!")</f>
        <v>4000</v>
      </c>
      <c r="P108" s="836">
        <f>IFERROR(VLOOKUP(C108,[3]List1!$A:$D,2,FALSE),"N/A!")</f>
        <v>9100</v>
      </c>
      <c r="Q108" s="680" t="s">
        <v>610</v>
      </c>
      <c r="R108" s="680" t="s">
        <v>24</v>
      </c>
      <c r="S108" s="680"/>
      <c r="T108" s="681">
        <v>40</v>
      </c>
      <c r="U108" s="873"/>
      <c r="V108" s="684" t="str">
        <f>_xlfn.IFNA(HYPERLINK("https://www.klasekpyrotechnics.cz/p40c25"),"")</f>
        <v>https://www.klasekpyrotechnics.cz/p40c25</v>
      </c>
      <c r="W108" s="685" t="str">
        <f>IFERROR(VLOOKUP($C108,Popisy!A:P,MATCH($W$17,Popisy!$A$7:$P$7,0),FALSE),"---------------")</f>
        <v>Fackel rotes Licht + weißer Rauch</v>
      </c>
      <c r="X108" s="889" t="str">
        <f t="shared" si="19"/>
        <v/>
      </c>
      <c r="Y108" s="890"/>
      <c r="Z108" s="685" t="str">
        <f>IFERROR(IF(VLOOKUP(C108,[4]List1!$A:$D,4,FALSE)=0,"",VLOOKUP(C108,[4]List1!$A:$D,4,FALSE)),"")</f>
        <v>60</v>
      </c>
      <c r="AA108" s="707"/>
      <c r="AB108" s="911" t="str">
        <f>IFERROR(IF(VLOOKUP(C108,[1]List1!$A:$D,2,FALSE)="VYPRODÁNO",$V$9,IF(VLOOKUP(C108,[1]List1!$A:$D,2,FALSE)="DOCHÁZÍ",$V$3,VLOOKUP(C108,[1]List1!$A:$D,2,FALSE))),"OFFLINE!")</f>
        <v>SKLADEM</v>
      </c>
      <c r="AC108" s="911" t="str">
        <f ca="1">IF(AO108="NE",$V$10,IF(AB108=$V$3,IF(AP108&lt;1,$V$8,$V$2&amp;" "&amp;AP108&amp;" "&amp;$V$1),IF(AB108="SKLADEM",$V$6,IFERROR(IF(OR(AB108-TODAY()&gt;21,VLOOKUP(C108,[1]List1!$A:$E,4,FALSE)=0),AB108,DAY(AB108)&amp;"."&amp;MONTH(AB108)&amp;"."&amp;YEAR(AB108)&amp;" "&amp;$V$4&amp;VLOOKUP(C108,[1]List1!$A:$E,4,FALSE)&amp;" "&amp;$V$1),AB108))))</f>
        <v>AUF LAGER</v>
      </c>
      <c r="AD108" s="686" t="str">
        <f ca="1">_xlfn.IFNA(VLOOKUP(C108,'General price list'!C:AM,MATCH($AD$20,'General price list'!$C$20:$AM$20,0),FALSE),"")</f>
        <v>AUF LAGER</v>
      </c>
      <c r="AE108" s="681">
        <f t="shared" ca="1" si="20"/>
        <v>0</v>
      </c>
      <c r="AF108" s="681">
        <f t="shared" ca="1" si="21"/>
        <v>0</v>
      </c>
      <c r="AG108" s="687">
        <f t="shared" ca="1" si="22"/>
        <v>0</v>
      </c>
      <c r="AH108" s="688">
        <f t="shared" ca="1" si="23"/>
        <v>0</v>
      </c>
      <c r="AI108" s="687">
        <f t="shared" ca="1" si="24"/>
        <v>0</v>
      </c>
      <c r="AJ108" s="689" t="str">
        <f t="shared" ca="1" si="25"/>
        <v/>
      </c>
      <c r="AK108" s="689" t="str">
        <f t="shared" ca="1" si="26"/>
        <v/>
      </c>
      <c r="AL108" s="689">
        <f t="shared" ca="1" si="27"/>
        <v>0</v>
      </c>
      <c r="AM108" s="690" t="str">
        <f t="shared" ca="1" si="28"/>
        <v/>
      </c>
      <c r="AN108" s="382"/>
      <c r="AO108" s="314" t="str">
        <f>IF($R$3=1,IF(Y108=AA108,"","NE"),IF(#REF!=$V$10,"NE",""))</f>
        <v/>
      </c>
      <c r="AP108" s="315" t="str">
        <f>IF(AB108=$V$3,IF(VLOOKUP(C108,[1]List1!$A:$E,5,FALSE)=0,1,VLOOKUP(C108,[1]List1!$A:$E,5,FALSE)),"")</f>
        <v/>
      </c>
      <c r="AW108" s="458">
        <f>IFERROR(FIND(VLOOKUP('General price list'!$AB$7,'General price list'!$AC$1:$AD$12,2,FALSE),Q108,1),0)</f>
        <v>0</v>
      </c>
      <c r="AX108" s="458">
        <f>IFERROR(FIND(VLOOKUP('General price list'!$AB$7,'General price list'!$AC$1:$AD$12,2,FALSE),R108,1),0)</f>
        <v>0</v>
      </c>
    </row>
    <row r="109" spans="1:57" ht="15" customHeight="1">
      <c r="A109" s="691" t="str">
        <f>Kat.!C109</f>
        <v xml:space="preserve">                                          </v>
      </c>
      <c r="B109" s="692">
        <v>88</v>
      </c>
      <c r="C109" s="693" t="s">
        <v>871</v>
      </c>
      <c r="D109" s="693" t="s">
        <v>862</v>
      </c>
      <c r="E109" s="694" t="s">
        <v>297</v>
      </c>
      <c r="F109" s="695">
        <f>VLOOKUP(C109,[2]List1!$A:$D,2,FALSE)</f>
        <v>280</v>
      </c>
      <c r="G109" s="696">
        <f t="shared" si="17"/>
        <v>280</v>
      </c>
      <c r="H109" s="697">
        <f t="shared" si="18"/>
        <v>11.4</v>
      </c>
      <c r="I109" s="837">
        <v>20</v>
      </c>
      <c r="J109" s="698" t="s">
        <v>230</v>
      </c>
      <c r="K109" s="856"/>
      <c r="L109" s="857" t="s">
        <v>13826</v>
      </c>
      <c r="M109" s="698" t="s">
        <v>25</v>
      </c>
      <c r="N109" s="869">
        <f>IFERROR(VLOOKUP(C109,[3]List1!$A:$D,4,FALSE),"N/A!")</f>
        <v>2.3552E-2</v>
      </c>
      <c r="O109" s="837">
        <f>IFERROR(VLOOKUP(C109,[3]List1!$A:$D,3,FALSE),"N/A!")</f>
        <v>4000</v>
      </c>
      <c r="P109" s="837">
        <f>IFERROR(VLOOKUP(C109,[3]List1!$A:$D,2,FALSE),"N/A!")</f>
        <v>10800</v>
      </c>
      <c r="Q109" s="698" t="s">
        <v>610</v>
      </c>
      <c r="R109" s="698" t="s">
        <v>24</v>
      </c>
      <c r="S109" s="698"/>
      <c r="T109" s="695">
        <v>40</v>
      </c>
      <c r="U109" s="874"/>
      <c r="V109" s="699" t="str">
        <f>_xlfn.IFNA(HYPERLINK("https://www.klasekpyrotechnics.cz/p40z25"),"")</f>
        <v>https://www.klasekpyrotechnics.cz/p40z25</v>
      </c>
      <c r="W109" s="700" t="str">
        <f>IFERROR(VLOOKUP($C109,Popisy!A:P,MATCH($W$17,Popisy!$A$7:$P$7,0),FALSE),"---------------")</f>
        <v>Fackel grünes Licht + weißer Rauch</v>
      </c>
      <c r="X109" s="891" t="str">
        <f t="shared" si="19"/>
        <v/>
      </c>
      <c r="Y109" s="892"/>
      <c r="Z109" s="700" t="str">
        <f>IFERROR(IF(VLOOKUP(C109,[4]List1!$A:$D,4,FALSE)=0,"",VLOOKUP(C109,[4]List1!$A:$D,4,FALSE)),"")</f>
        <v>60</v>
      </c>
      <c r="AA109" s="707"/>
      <c r="AB109" s="912" t="str">
        <f>IFERROR(IF(VLOOKUP(C109,[1]List1!$A:$D,2,FALSE)="VYPRODÁNO",$V$9,IF(VLOOKUP(C109,[1]List1!$A:$D,2,FALSE)="DOCHÁZÍ",$V$3,VLOOKUP(C109,[1]List1!$A:$D,2,FALSE))),"OFFLINE!")</f>
        <v>SKLADEM</v>
      </c>
      <c r="AC109" s="912" t="str">
        <f ca="1">IF(AO109="NE",$V$10,IF(AB109=$V$3,IF(AP109&lt;1,$V$8,$V$2&amp;" "&amp;AP109&amp;" "&amp;$V$1),IF(AB109="SKLADEM",$V$6,IFERROR(IF(OR(AB109-TODAY()&gt;21,VLOOKUP(C109,[1]List1!$A:$E,4,FALSE)=0),AB109,DAY(AB109)&amp;"."&amp;MONTH(AB109)&amp;"."&amp;YEAR(AB109)&amp;" "&amp;$V$4&amp;VLOOKUP(C109,[1]List1!$A:$E,4,FALSE)&amp;" "&amp;$V$1),AB109))))</f>
        <v>AUF LAGER</v>
      </c>
      <c r="AD109" s="701" t="str">
        <f ca="1">_xlfn.IFNA(VLOOKUP(C109,'General price list'!C:AM,MATCH($AD$20,'General price list'!$C$20:$AM$20,0),FALSE),"")</f>
        <v>AUF LAGER</v>
      </c>
      <c r="AE109" s="695">
        <f t="shared" ca="1" si="20"/>
        <v>0</v>
      </c>
      <c r="AF109" s="695">
        <f t="shared" ca="1" si="21"/>
        <v>0</v>
      </c>
      <c r="AG109" s="702">
        <f t="shared" ca="1" si="22"/>
        <v>0</v>
      </c>
      <c r="AH109" s="703">
        <f t="shared" ca="1" si="23"/>
        <v>0</v>
      </c>
      <c r="AI109" s="702">
        <f t="shared" ca="1" si="24"/>
        <v>0</v>
      </c>
      <c r="AJ109" s="704" t="str">
        <f t="shared" ca="1" si="25"/>
        <v/>
      </c>
      <c r="AK109" s="704" t="str">
        <f t="shared" ca="1" si="26"/>
        <v/>
      </c>
      <c r="AL109" s="704">
        <f t="shared" ca="1" si="27"/>
        <v>0</v>
      </c>
      <c r="AM109" s="705" t="str">
        <f t="shared" ca="1" si="28"/>
        <v/>
      </c>
      <c r="AN109" s="313"/>
      <c r="AO109" s="314" t="str">
        <f>IF($R$3=1,IF(Y109=AA109,"","NE"),IF(#REF!=$V$10,"NE",""))</f>
        <v/>
      </c>
      <c r="AP109" s="315" t="str">
        <f>IF(AB109=$V$3,IF(VLOOKUP(C109,[1]List1!$A:$E,5,FALSE)=0,1,VLOOKUP(C109,[1]List1!$A:$E,5,FALSE)),"")</f>
        <v/>
      </c>
      <c r="AW109" s="458">
        <f>IFERROR(FIND(VLOOKUP('General price list'!$AB$7,'General price list'!$AC$1:$AD$12,2,FALSE),Q109,1),0)</f>
        <v>0</v>
      </c>
      <c r="AX109" s="458">
        <f>IFERROR(FIND(VLOOKUP('General price list'!$AB$7,'General price list'!$AC$1:$AD$12,2,FALSE),R109,1),0)</f>
        <v>0</v>
      </c>
    </row>
    <row r="110" spans="1:57" ht="15" customHeight="1">
      <c r="A110" s="677" t="str">
        <f>Kat.!C110</f>
        <v>×</v>
      </c>
      <c r="B110" s="678">
        <v>89</v>
      </c>
      <c r="C110" s="679" t="s">
        <v>3640</v>
      </c>
      <c r="D110" s="679" t="s">
        <v>3641</v>
      </c>
      <c r="E110" s="680" t="s">
        <v>297</v>
      </c>
      <c r="F110" s="681">
        <f>VLOOKUP(C110,[2]List1!$A:$D,2,FALSE)</f>
        <v>280</v>
      </c>
      <c r="G110" s="682">
        <f t="shared" si="17"/>
        <v>280</v>
      </c>
      <c r="H110" s="683">
        <f t="shared" si="18"/>
        <v>11.4</v>
      </c>
      <c r="I110" s="836">
        <v>20</v>
      </c>
      <c r="J110" s="680" t="s">
        <v>230</v>
      </c>
      <c r="K110" s="854"/>
      <c r="L110" s="855" t="s">
        <v>13826</v>
      </c>
      <c r="M110" s="680" t="s">
        <v>25</v>
      </c>
      <c r="N110" s="868">
        <f>IFERROR(VLOOKUP(C110,[3]List1!$A:$D,4,FALSE),"N/A!")</f>
        <v>2.3552E-2</v>
      </c>
      <c r="O110" s="836">
        <f>IFERROR(VLOOKUP(C110,[3]List1!$A:$D,3,FALSE),"N/A!")</f>
        <v>4000</v>
      </c>
      <c r="P110" s="836">
        <f>IFERROR(VLOOKUP(C110,[3]List1!$A:$D,2,FALSE),"N/A!")</f>
        <v>10800</v>
      </c>
      <c r="Q110" s="680" t="s">
        <v>610</v>
      </c>
      <c r="R110" s="680" t="s">
        <v>24</v>
      </c>
      <c r="S110" s="680"/>
      <c r="T110" s="681">
        <v>40</v>
      </c>
      <c r="U110" s="873"/>
      <c r="V110" s="684" t="str">
        <f>_xlfn.IFNA(HYPERLINK("https://www.klasekpyrotechnics.cz/p40b25"),"")</f>
        <v>https://www.klasekpyrotechnics.cz/p40b25</v>
      </c>
      <c r="W110" s="685" t="str">
        <f>IFERROR(VLOOKUP($C110,Popisy!A:P,MATCH($W$17,Popisy!$A$7:$P$7,0),FALSE),"---------------")</f>
        <v>Fackel weißes Licht + weißer Rauch</v>
      </c>
      <c r="X110" s="889" t="str">
        <f t="shared" si="19"/>
        <v/>
      </c>
      <c r="Y110" s="890"/>
      <c r="Z110" s="685" t="str">
        <f>IFERROR(IF(VLOOKUP(C110,[4]List1!$A:$D,4,FALSE)=0,"",VLOOKUP(C110,[4]List1!$A:$D,4,FALSE)),"")</f>
        <v>60</v>
      </c>
      <c r="AA110" s="707"/>
      <c r="AB110" s="911" t="str">
        <f>IFERROR(IF(VLOOKUP(C110,[1]List1!$A:$D,2,FALSE)="VYPRODÁNO",$V$9,IF(VLOOKUP(C110,[1]List1!$A:$D,2,FALSE)="DOCHÁZÍ",$V$3,VLOOKUP(C110,[1]List1!$A:$D,2,FALSE))),"OFFLINE!")</f>
        <v>SKLADEM</v>
      </c>
      <c r="AC110" s="911" t="str">
        <f ca="1">IF(AO110="NE",$V$10,IF(AB110=$V$3,IF(AP110&lt;1,$V$8,$V$2&amp;" "&amp;AP110&amp;" "&amp;$V$1),IF(AB110="SKLADEM",$V$6,IFERROR(IF(OR(AB110-TODAY()&gt;21,VLOOKUP(C110,[1]List1!$A:$E,4,FALSE)=0),AB110,DAY(AB110)&amp;"."&amp;MONTH(AB110)&amp;"."&amp;YEAR(AB110)&amp;" "&amp;$V$4&amp;VLOOKUP(C110,[1]List1!$A:$E,4,FALSE)&amp;" "&amp;$V$1),AB110))))</f>
        <v>AUF LAGER</v>
      </c>
      <c r="AD110" s="686" t="str">
        <f ca="1">_xlfn.IFNA(VLOOKUP(C110,'General price list'!C:AM,MATCH($AD$20,'General price list'!$C$20:$AM$20,0),FALSE),"")</f>
        <v>AUF LAGER</v>
      </c>
      <c r="AE110" s="681">
        <f t="shared" ca="1" si="20"/>
        <v>0</v>
      </c>
      <c r="AF110" s="681">
        <f t="shared" ca="1" si="21"/>
        <v>0</v>
      </c>
      <c r="AG110" s="687">
        <f t="shared" ca="1" si="22"/>
        <v>0</v>
      </c>
      <c r="AH110" s="688">
        <f t="shared" ca="1" si="23"/>
        <v>0</v>
      </c>
      <c r="AI110" s="687">
        <f t="shared" ca="1" si="24"/>
        <v>0</v>
      </c>
      <c r="AJ110" s="689" t="str">
        <f t="shared" ca="1" si="25"/>
        <v/>
      </c>
      <c r="AK110" s="689" t="str">
        <f t="shared" ca="1" si="26"/>
        <v/>
      </c>
      <c r="AL110" s="689">
        <f t="shared" ca="1" si="27"/>
        <v>0</v>
      </c>
      <c r="AM110" s="690" t="str">
        <f t="shared" ca="1" si="28"/>
        <v/>
      </c>
      <c r="AN110" s="382"/>
      <c r="AO110" s="314" t="str">
        <f>IF($R$3=1,IF(Y110=AA110,"","NE"),IF(#REF!=$V$10,"NE",""))</f>
        <v/>
      </c>
      <c r="AP110" s="315" t="str">
        <f>IF(AB110=$V$3,IF(VLOOKUP(C110,[1]List1!$A:$E,5,FALSE)=0,1,VLOOKUP(C110,[1]List1!$A:$E,5,FALSE)),"")</f>
        <v/>
      </c>
      <c r="AW110" s="458">
        <f>IFERROR(FIND(VLOOKUP('General price list'!$AB$7,'General price list'!$AC$1:$AD$12,2,FALSE),Q110,1),0)</f>
        <v>0</v>
      </c>
      <c r="AX110" s="458">
        <f>IFERROR(FIND(VLOOKUP('General price list'!$AB$7,'General price list'!$AC$1:$AD$12,2,FALSE),R110,1),0)</f>
        <v>0</v>
      </c>
    </row>
    <row r="111" spans="1:57" ht="15" customHeight="1">
      <c r="A111" s="691" t="str">
        <f>Kat.!C111</f>
        <v>×</v>
      </c>
      <c r="B111" s="692">
        <v>90</v>
      </c>
      <c r="C111" s="693" t="s">
        <v>872</v>
      </c>
      <c r="D111" s="693" t="s">
        <v>866</v>
      </c>
      <c r="E111" s="694" t="s">
        <v>297</v>
      </c>
      <c r="F111" s="695">
        <f>VLOOKUP(C111,[2]List1!$A:$D,2,FALSE)</f>
        <v>280</v>
      </c>
      <c r="G111" s="696">
        <f t="shared" si="17"/>
        <v>280</v>
      </c>
      <c r="H111" s="697">
        <f t="shared" si="18"/>
        <v>11.4</v>
      </c>
      <c r="I111" s="837">
        <v>20</v>
      </c>
      <c r="J111" s="698" t="s">
        <v>230</v>
      </c>
      <c r="K111" s="856"/>
      <c r="L111" s="857" t="s">
        <v>13826</v>
      </c>
      <c r="M111" s="698" t="s">
        <v>25</v>
      </c>
      <c r="N111" s="869">
        <f>IFERROR(VLOOKUP(C111,[3]List1!$A:$D,4,FALSE),"N/A!")</f>
        <v>2.3552E-2</v>
      </c>
      <c r="O111" s="837">
        <f>IFERROR(VLOOKUP(C111,[3]List1!$A:$D,3,FALSE),"N/A!")</f>
        <v>4000</v>
      </c>
      <c r="P111" s="837">
        <f>IFERROR(VLOOKUP(C111,[3]List1!$A:$D,2,FALSE),"N/A!")</f>
        <v>9700</v>
      </c>
      <c r="Q111" s="698" t="s">
        <v>610</v>
      </c>
      <c r="R111" s="698" t="s">
        <v>24</v>
      </c>
      <c r="S111" s="698"/>
      <c r="T111" s="695">
        <v>40</v>
      </c>
      <c r="U111" s="874"/>
      <c r="V111" s="699" t="str">
        <f>_xlfn.IFNA(HYPERLINK("https://www.klasekpyrotechnics.cz/p40zl25"),"")</f>
        <v>https://www.klasekpyrotechnics.cz/p40zl25</v>
      </c>
      <c r="W111" s="700" t="str">
        <f>IFERROR(VLOOKUP($C111,Popisy!A:P,MATCH($W$17,Popisy!$A$7:$P$7,0),FALSE),"---------------")</f>
        <v>Fackel gelbes Licht + weißer Rauch</v>
      </c>
      <c r="X111" s="891" t="str">
        <f t="shared" si="19"/>
        <v/>
      </c>
      <c r="Y111" s="892"/>
      <c r="Z111" s="700" t="str">
        <f>IFERROR(IF(VLOOKUP(C111,[4]List1!$A:$D,4,FALSE)=0,"",VLOOKUP(C111,[4]List1!$A:$D,4,FALSE)),"")</f>
        <v>60</v>
      </c>
      <c r="AA111" s="707"/>
      <c r="AB111" s="912" t="str">
        <f>IFERROR(IF(VLOOKUP(C111,[1]List1!$A:$D,2,FALSE)="VYPRODÁNO",$V$9,IF(VLOOKUP(C111,[1]List1!$A:$D,2,FALSE)="DOCHÁZÍ",$V$3,VLOOKUP(C111,[1]List1!$A:$D,2,FALSE))),"OFFLINE!")</f>
        <v>LETZTE STÜCKE</v>
      </c>
      <c r="AC111" s="912" t="str">
        <f ca="1">IF(AO111="NE",$V$10,IF(AB111=$V$3,IF(AP111&lt;1,$V$8,$V$2&amp;" "&amp;AP111&amp;" "&amp;$V$1),IF(AB111="SKLADEM",$V$6,IFERROR(IF(OR(AB111-TODAY()&gt;21,VLOOKUP(C111,[1]List1!$A:$E,4,FALSE)=0),AB111,DAY(AB111)&amp;"."&amp;MONTH(AB111)&amp;"."&amp;YEAR(AB111)&amp;" "&amp;$V$4&amp;VLOOKUP(C111,[1]List1!$A:$E,4,FALSE)&amp;" "&amp;$V$1),AB111))))</f>
        <v>LETZTE 11 KTN</v>
      </c>
      <c r="AD111" s="701" t="str">
        <f ca="1">_xlfn.IFNA(VLOOKUP(C111,'General price list'!C:AM,MATCH($AD$20,'General price list'!$C$20:$AM$20,0),FALSE),"")</f>
        <v>LETZTE 11 KTN</v>
      </c>
      <c r="AE111" s="695">
        <f t="shared" ca="1" si="20"/>
        <v>0</v>
      </c>
      <c r="AF111" s="695">
        <f t="shared" ca="1" si="21"/>
        <v>0</v>
      </c>
      <c r="AG111" s="702">
        <f t="shared" ca="1" si="22"/>
        <v>0</v>
      </c>
      <c r="AH111" s="703">
        <f t="shared" ca="1" si="23"/>
        <v>0</v>
      </c>
      <c r="AI111" s="702">
        <f t="shared" ca="1" si="24"/>
        <v>0</v>
      </c>
      <c r="AJ111" s="704" t="str">
        <f t="shared" ca="1" si="25"/>
        <v/>
      </c>
      <c r="AK111" s="704" t="str">
        <f t="shared" ca="1" si="26"/>
        <v/>
      </c>
      <c r="AL111" s="704">
        <f t="shared" ca="1" si="27"/>
        <v>0</v>
      </c>
      <c r="AM111" s="705" t="str">
        <f t="shared" ca="1" si="28"/>
        <v/>
      </c>
      <c r="AN111" s="313"/>
      <c r="AO111" s="314" t="str">
        <f>IF($R$3=1,IF(Y111=AA111,"","NE"),IF(#REF!=$V$10,"NE",""))</f>
        <v/>
      </c>
      <c r="AP111" s="315">
        <f>IF(AB111=$V$3,IF(VLOOKUP(C111,[1]List1!$A:$E,5,FALSE)=0,1,VLOOKUP(C111,[1]List1!$A:$E,5,FALSE)),"")</f>
        <v>11</v>
      </c>
      <c r="AW111" s="458">
        <f>IFERROR(FIND(VLOOKUP('General price list'!$AB$7,'General price list'!$AC$1:$AD$12,2,FALSE),Q111,1),0)</f>
        <v>0</v>
      </c>
      <c r="AX111" s="458">
        <f>IFERROR(FIND(VLOOKUP('General price list'!$AB$7,'General price list'!$AC$1:$AD$12,2,FALSE),R111,1),0)</f>
        <v>0</v>
      </c>
    </row>
    <row r="112" spans="1:57" ht="15" customHeight="1">
      <c r="A112" s="677" t="str">
        <f>Kat.!C112</f>
        <v xml:space="preserve">                                          </v>
      </c>
      <c r="B112" s="678">
        <v>91</v>
      </c>
      <c r="C112" s="679" t="s">
        <v>2329</v>
      </c>
      <c r="D112" s="679" t="s">
        <v>2330</v>
      </c>
      <c r="E112" s="680" t="s">
        <v>297</v>
      </c>
      <c r="F112" s="681">
        <f>VLOOKUP(C112,[2]List1!$A:$D,2,FALSE)</f>
        <v>280</v>
      </c>
      <c r="G112" s="682">
        <f t="shared" si="17"/>
        <v>280</v>
      </c>
      <c r="H112" s="683">
        <f t="shared" si="18"/>
        <v>11.4</v>
      </c>
      <c r="I112" s="836">
        <v>20</v>
      </c>
      <c r="J112" s="680" t="s">
        <v>230</v>
      </c>
      <c r="K112" s="854"/>
      <c r="L112" s="855" t="s">
        <v>13826</v>
      </c>
      <c r="M112" s="680" t="s">
        <v>25</v>
      </c>
      <c r="N112" s="868">
        <f>IFERROR(VLOOKUP(C112,[3]List1!$A:$D,4,FALSE),"N/A!")</f>
        <v>2.3552E-2</v>
      </c>
      <c r="O112" s="836">
        <f>IFERROR(VLOOKUP(C112,[3]List1!$A:$D,3,FALSE),"N/A!")</f>
        <v>4000</v>
      </c>
      <c r="P112" s="836">
        <f>IFERROR(VLOOKUP(C112,[3]List1!$A:$D,2,FALSE),"N/A!")</f>
        <v>9700</v>
      </c>
      <c r="Q112" s="680" t="s">
        <v>610</v>
      </c>
      <c r="R112" s="680" t="s">
        <v>24</v>
      </c>
      <c r="S112" s="680"/>
      <c r="T112" s="681">
        <v>40</v>
      </c>
      <c r="U112" s="873"/>
      <c r="V112" s="684" t="str">
        <f>_xlfn.IFNA(HYPERLINK("https://www.klasekpyrotechnics.cz/p40mo25"),"")</f>
        <v>https://www.klasekpyrotechnics.cz/p40mo25</v>
      </c>
      <c r="W112" s="685" t="str">
        <f>IFERROR(VLOOKUP($C112,Popisy!A:P,MATCH($W$17,Popisy!$A$7:$P$7,0),FALSE),"---------------")</f>
        <v>Fackel blau Licht + weißer Rauch</v>
      </c>
      <c r="X112" s="889" t="str">
        <f t="shared" si="19"/>
        <v/>
      </c>
      <c r="Y112" s="890"/>
      <c r="Z112" s="685" t="str">
        <f>IFERROR(IF(VLOOKUP(C112,[4]List1!$A:$D,4,FALSE)=0,"",VLOOKUP(C112,[4]List1!$A:$D,4,FALSE)),"")</f>
        <v>60</v>
      </c>
      <c r="AA112" s="707"/>
      <c r="AB112" s="911" t="str">
        <f>IFERROR(IF(VLOOKUP(C112,[1]List1!$A:$D,2,FALSE)="VYPRODÁNO",$V$9,IF(VLOOKUP(C112,[1]List1!$A:$D,2,FALSE)="DOCHÁZÍ",$V$3,VLOOKUP(C112,[1]List1!$A:$D,2,FALSE))),"OFFLINE!")</f>
        <v>SKLADEM</v>
      </c>
      <c r="AC112" s="911" t="str">
        <f ca="1">IF(AO112="NE",$V$10,IF(AB112=$V$3,IF(AP112&lt;1,$V$8,$V$2&amp;" "&amp;AP112&amp;" "&amp;$V$1),IF(AB112="SKLADEM",$V$6,IFERROR(IF(OR(AB112-TODAY()&gt;21,VLOOKUP(C112,[1]List1!$A:$E,4,FALSE)=0),AB112,DAY(AB112)&amp;"."&amp;MONTH(AB112)&amp;"."&amp;YEAR(AB112)&amp;" "&amp;$V$4&amp;VLOOKUP(C112,[1]List1!$A:$E,4,FALSE)&amp;" "&amp;$V$1),AB112))))</f>
        <v>AUF LAGER</v>
      </c>
      <c r="AD112" s="686" t="str">
        <f ca="1">_xlfn.IFNA(VLOOKUP(C112,'General price list'!C:AM,MATCH($AD$20,'General price list'!$C$20:$AM$20,0),FALSE),"")</f>
        <v>AUF LAGER</v>
      </c>
      <c r="AE112" s="681">
        <f t="shared" ca="1" si="20"/>
        <v>0</v>
      </c>
      <c r="AF112" s="681">
        <f t="shared" ca="1" si="21"/>
        <v>0</v>
      </c>
      <c r="AG112" s="687">
        <f t="shared" ca="1" si="22"/>
        <v>0</v>
      </c>
      <c r="AH112" s="688">
        <f t="shared" ca="1" si="23"/>
        <v>0</v>
      </c>
      <c r="AI112" s="687">
        <f t="shared" ca="1" si="24"/>
        <v>0</v>
      </c>
      <c r="AJ112" s="689" t="str">
        <f t="shared" ca="1" si="25"/>
        <v/>
      </c>
      <c r="AK112" s="689" t="str">
        <f t="shared" ca="1" si="26"/>
        <v/>
      </c>
      <c r="AL112" s="689">
        <f t="shared" ca="1" si="27"/>
        <v>0</v>
      </c>
      <c r="AM112" s="690" t="str">
        <f t="shared" ca="1" si="28"/>
        <v/>
      </c>
      <c r="AN112" s="382"/>
      <c r="AO112" s="314" t="str">
        <f>IF($R$3=1,IF(Y112=AA112,"","NE"),IF(#REF!=$V$10,"NE",""))</f>
        <v/>
      </c>
      <c r="AP112" s="315" t="str">
        <f>IF(AB112=$V$3,IF(VLOOKUP(C112,[1]List1!$A:$E,5,FALSE)=0,1,VLOOKUP(C112,[1]List1!$A:$E,5,FALSE)),"")</f>
        <v/>
      </c>
      <c r="AW112" s="458">
        <f>IFERROR(FIND(VLOOKUP('General price list'!$AB$7,'General price list'!$AC$1:$AD$12,2,FALSE),Q112,1),0)</f>
        <v>0</v>
      </c>
      <c r="AX112" s="458">
        <f>IFERROR(FIND(VLOOKUP('General price list'!$AB$7,'General price list'!$AC$1:$AD$12,2,FALSE),R112,1),0)</f>
        <v>0</v>
      </c>
    </row>
    <row r="113" spans="1:57" ht="15" customHeight="1">
      <c r="A113" s="691" t="str">
        <f>Kat.!C113</f>
        <v xml:space="preserve">                                          </v>
      </c>
      <c r="B113" s="692">
        <v>92</v>
      </c>
      <c r="C113" s="693" t="s">
        <v>2331</v>
      </c>
      <c r="D113" s="693" t="s">
        <v>2332</v>
      </c>
      <c r="E113" s="694" t="s">
        <v>2448</v>
      </c>
      <c r="F113" s="695">
        <f>VLOOKUP(C113,[2]List1!$A:$D,2,FALSE)</f>
        <v>111</v>
      </c>
      <c r="G113" s="696">
        <f t="shared" si="17"/>
        <v>111</v>
      </c>
      <c r="H113" s="697">
        <f t="shared" si="18"/>
        <v>4.5</v>
      </c>
      <c r="I113" s="837">
        <v>30</v>
      </c>
      <c r="J113" s="698" t="s">
        <v>230</v>
      </c>
      <c r="K113" s="856"/>
      <c r="L113" s="857" t="s">
        <v>13826</v>
      </c>
      <c r="M113" s="698" t="s">
        <v>25</v>
      </c>
      <c r="N113" s="869">
        <f>IFERROR(VLOOKUP(C113,[3]List1!$A:$D,4,FALSE),"N/A!")</f>
        <v>2.3625E-2</v>
      </c>
      <c r="O113" s="837">
        <f>IFERROR(VLOOKUP(C113,[3]List1!$A:$D,3,FALSE),"N/A!")</f>
        <v>1125</v>
      </c>
      <c r="P113" s="837">
        <f>IFERROR(VLOOKUP(C113,[3]List1!$A:$D,2,FALSE),"N/A!")</f>
        <v>5500</v>
      </c>
      <c r="Q113" s="698" t="s">
        <v>44</v>
      </c>
      <c r="R113" s="698" t="s">
        <v>24</v>
      </c>
      <c r="S113" s="698"/>
      <c r="T113" s="695">
        <v>60</v>
      </c>
      <c r="U113" s="874"/>
      <c r="V113" s="699" t="str">
        <f>_xlfn.IFNA(HYPERLINK("https://www.klasekpyrotechnics.cz/bp60s"),"")</f>
        <v>https://www.klasekpyrotechnics.cz/bp60s</v>
      </c>
      <c r="W113" s="700" t="str">
        <f>IFERROR(VLOOKUP($C113,Popisy!A:P,MATCH($W$17,Popisy!$A$7:$P$7,0),FALSE),"---------------")</f>
        <v>Farbige Fackel(rot, grün, weiß, lila,gelb)</v>
      </c>
      <c r="X113" s="891" t="str">
        <f t="shared" si="19"/>
        <v/>
      </c>
      <c r="Y113" s="892"/>
      <c r="Z113" s="700">
        <f>IFERROR(IF(VLOOKUP(C113,[4]List1!$A:$D,4,FALSE)=0,"",VLOOKUP(C113,[4]List1!$A:$D,4,FALSE)),"")</f>
        <v>66</v>
      </c>
      <c r="AA113" s="707"/>
      <c r="AB113" s="912" t="str">
        <f>IFERROR(IF(VLOOKUP(C113,[1]List1!$A:$D,2,FALSE)="VYPRODÁNO",$V$9,IF(VLOOKUP(C113,[1]List1!$A:$D,2,FALSE)="DOCHÁZÍ",$V$3,VLOOKUP(C113,[1]List1!$A:$D,2,FALSE))),"OFFLINE!")</f>
        <v>SKLADEM</v>
      </c>
      <c r="AC113" s="912" t="str">
        <f ca="1">IF(AO113="NE",$V$10,IF(AB113=$V$3,IF(AP113&lt;1,$V$8,$V$2&amp;" "&amp;AP113&amp;" "&amp;$V$1),IF(AB113="SKLADEM",$V$6,IFERROR(IF(OR(AB113-TODAY()&gt;21,VLOOKUP(C113,[1]List1!$A:$E,4,FALSE)=0),AB113,DAY(AB113)&amp;"."&amp;MONTH(AB113)&amp;"."&amp;YEAR(AB113)&amp;" "&amp;$V$4&amp;VLOOKUP(C113,[1]List1!$A:$E,4,FALSE)&amp;" "&amp;$V$1),AB113))))</f>
        <v>AUF LAGER</v>
      </c>
      <c r="AD113" s="701" t="str">
        <f ca="1">_xlfn.IFNA(VLOOKUP(C113,'General price list'!C:AM,MATCH($AD$20,'General price list'!$C$20:$AM$20,0),FALSE),"")</f>
        <v>AUF LAGER</v>
      </c>
      <c r="AE113" s="695">
        <f t="shared" ca="1" si="20"/>
        <v>0</v>
      </c>
      <c r="AF113" s="695">
        <f t="shared" ca="1" si="21"/>
        <v>0</v>
      </c>
      <c r="AG113" s="702">
        <f t="shared" ca="1" si="22"/>
        <v>0</v>
      </c>
      <c r="AH113" s="703">
        <f t="shared" ca="1" si="23"/>
        <v>0</v>
      </c>
      <c r="AI113" s="702">
        <f t="shared" ca="1" si="24"/>
        <v>0</v>
      </c>
      <c r="AJ113" s="704" t="str">
        <f t="shared" ca="1" si="25"/>
        <v/>
      </c>
      <c r="AK113" s="704" t="str">
        <f t="shared" ca="1" si="26"/>
        <v/>
      </c>
      <c r="AL113" s="704">
        <f t="shared" ca="1" si="27"/>
        <v>0</v>
      </c>
      <c r="AM113" s="705" t="str">
        <f t="shared" ca="1" si="28"/>
        <v/>
      </c>
      <c r="AN113" s="313"/>
      <c r="AO113" s="314" t="str">
        <f>IF($R$3=1,IF(Y113=AA113,"","NE"),IF(#REF!=$V$10,"NE",""))</f>
        <v/>
      </c>
      <c r="AP113" s="315" t="str">
        <f>IF(AB113=$V$3,IF(VLOOKUP(C113,[1]List1!$A:$E,5,FALSE)=0,1,VLOOKUP(C113,[1]List1!$A:$E,5,FALSE)),"")</f>
        <v/>
      </c>
      <c r="AW113" s="458">
        <f>IFERROR(FIND(VLOOKUP('General price list'!$AB$7,'General price list'!$AC$1:$AD$12,2,FALSE),Q113,1),0)</f>
        <v>13</v>
      </c>
      <c r="AX113" s="458">
        <f>IFERROR(FIND(VLOOKUP('General price list'!$AB$7,'General price list'!$AC$1:$AD$12,2,FALSE),R113,1),0)</f>
        <v>0</v>
      </c>
    </row>
    <row r="114" spans="1:57" ht="15" customHeight="1">
      <c r="A114" s="672" t="str">
        <f>Kat.!C114</f>
        <v xml:space="preserve">                                          Stroboskope</v>
      </c>
      <c r="B114" s="678">
        <v>93</v>
      </c>
      <c r="C114" s="679"/>
      <c r="D114" s="679"/>
      <c r="E114" s="680"/>
      <c r="F114" s="681" t="str">
        <f>IFERROR(ROUND(VLOOKUP(C114,'General price list'!$C:$AN,4,FALSE),0),"")</f>
        <v/>
      </c>
      <c r="G114" s="682" t="str">
        <f t="shared" si="17"/>
        <v/>
      </c>
      <c r="H114" s="683" t="str">
        <f t="shared" si="18"/>
        <v/>
      </c>
      <c r="I114" s="836"/>
      <c r="J114" s="680"/>
      <c r="K114" s="854"/>
      <c r="L114" s="855"/>
      <c r="M114" s="680"/>
      <c r="N114" s="868" t="str">
        <f>IFERROR(IF(VLOOKUP($C114,'General price list'!$C:$AN,MATCH(N$20,'General price list'!$C$20:$AM$20,0),FALSE)=0,"",VLOOKUP($C114,'General price list'!$C:$AN,MATCH(N$20,'General price list'!$C$20:$AM$20,0),FALSE)),"")</f>
        <v/>
      </c>
      <c r="O114" s="836" t="str">
        <f>IFERROR(IF(VLOOKUP($C114,'General price list'!$C:$AN,MATCH(O$20,'General price list'!$C$20:$AM$20,0),FALSE)=0,"",VLOOKUP($C114,'General price list'!$C:$AN,MATCH(O$20,'General price list'!$C$20:$AM$20,0),FALSE)),"")</f>
        <v/>
      </c>
      <c r="P114" s="836" t="str">
        <f>IFERROR(IF(VLOOKUP($C114,'General price list'!$C:$AN,MATCH(P$20,'General price list'!$C$20:$AM$20,0),FALSE)=0,"",VLOOKUP($C114,'General price list'!$C:$AN,MATCH(P$20,'General price list'!$C$20:$AM$20,0),FALSE)),"")</f>
        <v/>
      </c>
      <c r="Q114" s="680"/>
      <c r="R114" s="680"/>
      <c r="S114" s="680"/>
      <c r="T114" s="681"/>
      <c r="U114" s="873"/>
      <c r="V114" s="684"/>
      <c r="W114" s="685" t="str">
        <f>IFERROR(VLOOKUP($C114,'General price list'!$C:$AN,MATCH(W$20,'General price list'!$C$20:$AM$20,0),FALSE),"")</f>
        <v/>
      </c>
      <c r="X114" s="889" t="str">
        <f t="shared" si="19"/>
        <v/>
      </c>
      <c r="Y114" s="890"/>
      <c r="Z114" s="685" t="str">
        <f>IFERROR(VLOOKUP($C114,'General price list'!$C:$AN,MATCH(Z$20,'General price list'!$C$20:$AM$20,0),FALSE),"")</f>
        <v/>
      </c>
      <c r="AA114" s="707"/>
      <c r="AB114" s="911" t="str">
        <f>IFERROR(IF(VLOOKUP(C114,[1]List1!$A:$D,2,FALSE)="VYPRODÁNO",$V$9,IF(VLOOKUP(C114,[1]List1!$A:$D,2,FALSE)="DOCHÁZÍ",$V$3,VLOOKUP(C114,[1]List1!$A:$D,2,FALSE))),"OFFLINE!")</f>
        <v>OFFLINE!</v>
      </c>
      <c r="AC114" s="911" t="str">
        <f ca="1">IF(AO114="NE",$V$10,IF(AB114=$V$3,IF(AP114&lt;1,$V$8,$V$2&amp;" "&amp;AP114&amp;" "&amp;$V$1),IF(AB114="SKLADEM",$V$6,IFERROR(IF(OR(AB114-TODAY()&gt;21,VLOOKUP(C114,[1]List1!$A:$E,4,FALSE)=0),AB114,DAY(AB114)&amp;"."&amp;MONTH(AB114)&amp;"."&amp;YEAR(AB114)&amp;" "&amp;$V$4&amp;VLOOKUP(C114,[1]List1!$A:$E,4,FALSE)&amp;" "&amp;$V$1),AB114))))</f>
        <v>OFFLINE!</v>
      </c>
      <c r="AD114" s="686" t="str">
        <f>_xlfn.IFNA(VLOOKUP(C114,'General price list'!C:AM,MATCH($AD$20,'General price list'!$C$20:$AM$20,0),FALSE),"")</f>
        <v/>
      </c>
      <c r="AE114" s="681" t="str">
        <f t="shared" si="20"/>
        <v/>
      </c>
      <c r="AF114" s="681" t="str">
        <f t="shared" si="21"/>
        <v/>
      </c>
      <c r="AG114" s="687" t="str">
        <f t="shared" si="22"/>
        <v/>
      </c>
      <c r="AH114" s="688" t="str">
        <f t="shared" si="23"/>
        <v/>
      </c>
      <c r="AI114" s="687" t="str">
        <f t="shared" si="24"/>
        <v/>
      </c>
      <c r="AJ114" s="689" t="str">
        <f t="shared" si="25"/>
        <v/>
      </c>
      <c r="AK114" s="689" t="str">
        <f t="shared" si="26"/>
        <v/>
      </c>
      <c r="AL114" s="689" t="str">
        <f t="shared" si="27"/>
        <v/>
      </c>
      <c r="AM114" s="690" t="str">
        <f t="shared" si="28"/>
        <v/>
      </c>
      <c r="AN114" s="381"/>
      <c r="AO114" s="314" t="str">
        <f>IF($R$3=1,IF(Y114=AA114,"","NE"),IF(#REF!=$V$10,"NE",""))</f>
        <v/>
      </c>
      <c r="AP114" s="315" t="str">
        <f>IF(AB114=$V$3,IF(VLOOKUP(C114,[1]List1!$A:$E,5,FALSE)=0,1,VLOOKUP(C114,[1]List1!$A:$E,5,FALSE)),"")</f>
        <v/>
      </c>
      <c r="AW114" s="291" t="e">
        <f>VLOOKUP(C114,'General price list'!C:AU,46,FALSE)</f>
        <v>#N/A</v>
      </c>
      <c r="AX114" s="291" t="e">
        <f>VLOOKUP(C114,'General price list'!C:AU,47,FALSE)</f>
        <v>#N/A</v>
      </c>
    </row>
    <row r="115" spans="1:57" ht="15" customHeight="1">
      <c r="A115" s="691" t="str">
        <f>Kat.!C115</f>
        <v xml:space="preserve">                                          </v>
      </c>
      <c r="B115" s="692">
        <v>94</v>
      </c>
      <c r="C115" s="693" t="s">
        <v>847</v>
      </c>
      <c r="D115" s="693" t="s">
        <v>848</v>
      </c>
      <c r="E115" s="694" t="s">
        <v>849</v>
      </c>
      <c r="F115" s="695">
        <f>VLOOKUP(C115,[2]List1!$A:$D,2,FALSE)</f>
        <v>85</v>
      </c>
      <c r="G115" s="696">
        <f t="shared" si="17"/>
        <v>85</v>
      </c>
      <c r="H115" s="697">
        <f t="shared" si="18"/>
        <v>3.5</v>
      </c>
      <c r="I115" s="837">
        <v>36</v>
      </c>
      <c r="J115" s="698" t="s">
        <v>45</v>
      </c>
      <c r="K115" s="856"/>
      <c r="L115" s="857" t="s">
        <v>13828</v>
      </c>
      <c r="M115" s="698" t="s">
        <v>25</v>
      </c>
      <c r="N115" s="869">
        <f>IFERROR(VLOOKUP(C115,[3]List1!$A:$D,4,FALSE),"N/A!")</f>
        <v>1.1664000000000001E-2</v>
      </c>
      <c r="O115" s="837">
        <f>IFERROR(VLOOKUP(C115,[3]List1!$A:$D,3,FALSE),"N/A!")</f>
        <v>5400</v>
      </c>
      <c r="P115" s="837">
        <f>IFERROR(VLOOKUP(C115,[3]List1!$A:$D,2,FALSE),"N/A!")</f>
        <v>8740</v>
      </c>
      <c r="Q115" s="698" t="s">
        <v>610</v>
      </c>
      <c r="R115" s="698" t="s">
        <v>24</v>
      </c>
      <c r="S115" s="698"/>
      <c r="T115" s="695">
        <v>90</v>
      </c>
      <c r="U115" s="874"/>
      <c r="V115" s="699" t="str">
        <f>_xlfn.IFNA(HYPERLINK("https://www.klasekpyrotechnics.cz/s90s"),"")</f>
        <v>https://www.klasekpyrotechnics.cz/s90s</v>
      </c>
      <c r="W115" s="700" t="str">
        <f>IFERROR(VLOOKUP($C115,Popisy!A:P,MATCH($W$17,Popisy!$A$7:$P$7,0),FALSE),"---------------")</f>
        <v>weißes Stroboskop</v>
      </c>
      <c r="X115" s="891" t="str">
        <f t="shared" si="19"/>
        <v/>
      </c>
      <c r="Y115" s="892"/>
      <c r="Z115" s="700" t="str">
        <f>IFERROR(IF(VLOOKUP(C115,[4]List1!$A:$D,4,FALSE)=0,"",VLOOKUP(C115,[4]List1!$A:$D,4,FALSE)),"")</f>
        <v>87</v>
      </c>
      <c r="AA115" s="707"/>
      <c r="AB115" s="912" t="str">
        <f>IFERROR(IF(VLOOKUP(C115,[1]List1!$A:$D,2,FALSE)="VYPRODÁNO",$V$9,IF(VLOOKUP(C115,[1]List1!$A:$D,2,FALSE)="DOCHÁZÍ",$V$3,VLOOKUP(C115,[1]List1!$A:$D,2,FALSE))),"OFFLINE!")</f>
        <v>15.03.2024</v>
      </c>
      <c r="AC115" s="912" t="str">
        <f ca="1">IF(AO115="NE",$V$10,IF(AB115=$V$3,IF(AP115&lt;1,$V$8,$V$2&amp;" "&amp;AP115&amp;" "&amp;$V$1),IF(AB115="SKLADEM",$V$6,IFERROR(IF(OR(AB115-TODAY()&gt;21,VLOOKUP(C115,[1]List1!$A:$E,4,FALSE)=0),AB115,DAY(AB115)&amp;"."&amp;MONTH(AB115)&amp;"."&amp;YEAR(AB115)&amp;" "&amp;$V$4&amp;VLOOKUP(C115,[1]List1!$A:$E,4,FALSE)&amp;" "&amp;$V$1),AB115))))</f>
        <v>15.3.2024 KOMMT 100+ KTN</v>
      </c>
      <c r="AD115" s="701" t="str">
        <f ca="1">_xlfn.IFNA(VLOOKUP(C115,'General price list'!C:AM,MATCH($AD$20,'General price list'!$C$20:$AM$20,0),FALSE),"")</f>
        <v>15.3.2024 KOMMT 100+ KTN</v>
      </c>
      <c r="AE115" s="695">
        <f t="shared" ca="1" si="20"/>
        <v>0</v>
      </c>
      <c r="AF115" s="695">
        <f t="shared" ca="1" si="21"/>
        <v>0</v>
      </c>
      <c r="AG115" s="702">
        <f t="shared" ca="1" si="22"/>
        <v>0</v>
      </c>
      <c r="AH115" s="703">
        <f t="shared" ca="1" si="23"/>
        <v>0</v>
      </c>
      <c r="AI115" s="702">
        <f t="shared" ca="1" si="24"/>
        <v>0</v>
      </c>
      <c r="AJ115" s="704" t="str">
        <f t="shared" ca="1" si="25"/>
        <v/>
      </c>
      <c r="AK115" s="704" t="str">
        <f t="shared" ca="1" si="26"/>
        <v/>
      </c>
      <c r="AL115" s="704">
        <f t="shared" ca="1" si="27"/>
        <v>0</v>
      </c>
      <c r="AM115" s="705" t="str">
        <f t="shared" ca="1" si="28"/>
        <v/>
      </c>
      <c r="AN115" s="382"/>
      <c r="AO115" s="314" t="str">
        <f>IF($R$3=1,IF(Y115=AA115,"","NE"),IF(#REF!=$V$10,"NE",""))</f>
        <v/>
      </c>
      <c r="AP115" s="315" t="str">
        <f>IF(AB115=$V$3,IF(VLOOKUP(C115,[1]List1!$A:$E,5,FALSE)=0,1,VLOOKUP(C115,[1]List1!$A:$E,5,FALSE)),"")</f>
        <v/>
      </c>
      <c r="AW115" s="458">
        <f>IFERROR(FIND(VLOOKUP('General price list'!$AB$7,'General price list'!$AC$1:$AD$12,2,FALSE),Q115,1),0)</f>
        <v>0</v>
      </c>
      <c r="AX115" s="458">
        <f>IFERROR(FIND(VLOOKUP('General price list'!$AB$7,'General price list'!$AC$1:$AD$12,2,FALSE),R115,1),0)</f>
        <v>0</v>
      </c>
    </row>
    <row r="116" spans="1:57" ht="15" customHeight="1">
      <c r="A116" s="677" t="str">
        <f>Kat.!C116</f>
        <v xml:space="preserve">                                          </v>
      </c>
      <c r="B116" s="678">
        <v>95</v>
      </c>
      <c r="C116" s="679" t="s">
        <v>853</v>
      </c>
      <c r="D116" s="679" t="s">
        <v>854</v>
      </c>
      <c r="E116" s="680" t="s">
        <v>603</v>
      </c>
      <c r="F116" s="681">
        <f>VLOOKUP(C116,[2]List1!$A:$D,2,FALSE)</f>
        <v>106</v>
      </c>
      <c r="G116" s="682">
        <f t="shared" si="17"/>
        <v>106</v>
      </c>
      <c r="H116" s="683">
        <f t="shared" si="18"/>
        <v>4.3</v>
      </c>
      <c r="I116" s="836">
        <v>30</v>
      </c>
      <c r="J116" s="680" t="s">
        <v>45</v>
      </c>
      <c r="K116" s="854"/>
      <c r="L116" s="855" t="s">
        <v>13828</v>
      </c>
      <c r="M116" s="680" t="s">
        <v>25</v>
      </c>
      <c r="N116" s="868">
        <f>IFERROR(VLOOKUP(C116,[3]List1!$A:$D,4,FALSE),"N/A!")</f>
        <v>1.1109000000000001E-2</v>
      </c>
      <c r="O116" s="836">
        <f>IFERROR(VLOOKUP(C116,[3]List1!$A:$D,3,FALSE),"N/A!")</f>
        <v>3240</v>
      </c>
      <c r="P116" s="836">
        <f>IFERROR(VLOOKUP(C116,[3]List1!$A:$D,2,FALSE),"N/A!")</f>
        <v>8000</v>
      </c>
      <c r="Q116" s="680" t="s">
        <v>610</v>
      </c>
      <c r="R116" s="680" t="s">
        <v>24</v>
      </c>
      <c r="S116" s="680"/>
      <c r="T116" s="681">
        <v>60</v>
      </c>
      <c r="U116" s="873"/>
      <c r="V116" s="684" t="str">
        <f>_xlfn.IFNA(HYPERLINK("https://www.klasekpyrotechnics.cz/s60s"),"")</f>
        <v>https://www.klasekpyrotechnics.cz/s60s</v>
      </c>
      <c r="W116" s="685" t="str">
        <f>IFERROR(VLOOKUP($C116,Popisy!A:P,MATCH($W$17,Popisy!$A$7:$P$7,0),FALSE),"---------------")</f>
        <v>weißes Stroboskop</v>
      </c>
      <c r="X116" s="889" t="str">
        <f t="shared" si="19"/>
        <v/>
      </c>
      <c r="Y116" s="890"/>
      <c r="Z116" s="685" t="str">
        <f>IFERROR(IF(VLOOKUP(C116,[4]List1!$A:$D,4,FALSE)=0,"",VLOOKUP(C116,[4]List1!$A:$D,4,FALSE)),"")</f>
        <v>95</v>
      </c>
      <c r="AA116" s="707"/>
      <c r="AB116" s="911" t="str">
        <f>IFERROR(IF(VLOOKUP(C116,[1]List1!$A:$D,2,FALSE)="VYPRODÁNO",$V$9,IF(VLOOKUP(C116,[1]List1!$A:$D,2,FALSE)="DOCHÁZÍ",$V$3,VLOOKUP(C116,[1]List1!$A:$D,2,FALSE))),"OFFLINE!")</f>
        <v>15.03.2024</v>
      </c>
      <c r="AC116" s="911" t="str">
        <f ca="1">IF(AO116="NE",$V$10,IF(AB116=$V$3,IF(AP116&lt;1,$V$8,$V$2&amp;" "&amp;AP116&amp;" "&amp;$V$1),IF(AB116="SKLADEM",$V$6,IFERROR(IF(OR(AB116-TODAY()&gt;21,VLOOKUP(C116,[1]List1!$A:$E,4,FALSE)=0),AB116,DAY(AB116)&amp;"."&amp;MONTH(AB116)&amp;"."&amp;YEAR(AB116)&amp;" "&amp;$V$4&amp;VLOOKUP(C116,[1]List1!$A:$E,4,FALSE)&amp;" "&amp;$V$1),AB116))))</f>
        <v>15.3.2024 KOMMT 100+ KTN</v>
      </c>
      <c r="AD116" s="686" t="str">
        <f ca="1">_xlfn.IFNA(VLOOKUP(C116,'General price list'!C:AM,MATCH($AD$20,'General price list'!$C$20:$AM$20,0),FALSE),"")</f>
        <v>15.3.2024 KOMMT 100+ KTN</v>
      </c>
      <c r="AE116" s="681">
        <f t="shared" ca="1" si="20"/>
        <v>0</v>
      </c>
      <c r="AF116" s="681">
        <f t="shared" ca="1" si="21"/>
        <v>0</v>
      </c>
      <c r="AG116" s="687">
        <f t="shared" ca="1" si="22"/>
        <v>0</v>
      </c>
      <c r="AH116" s="688">
        <f t="shared" ca="1" si="23"/>
        <v>0</v>
      </c>
      <c r="AI116" s="687">
        <f t="shared" ca="1" si="24"/>
        <v>0</v>
      </c>
      <c r="AJ116" s="689" t="str">
        <f t="shared" ca="1" si="25"/>
        <v/>
      </c>
      <c r="AK116" s="689" t="str">
        <f t="shared" ca="1" si="26"/>
        <v/>
      </c>
      <c r="AL116" s="689">
        <f t="shared" ca="1" si="27"/>
        <v>0</v>
      </c>
      <c r="AM116" s="690" t="str">
        <f t="shared" ca="1" si="28"/>
        <v/>
      </c>
      <c r="AN116" s="382"/>
      <c r="AO116" s="314" t="str">
        <f>IF($R$3=1,IF(Y116=AA116,"","NE"),IF(#REF!=$V$10,"NE",""))</f>
        <v/>
      </c>
      <c r="AP116" s="315" t="str">
        <f>IF(AB116=$V$3,IF(VLOOKUP(C116,[1]List1!$A:$E,5,FALSE)=0,1,VLOOKUP(C116,[1]List1!$A:$E,5,FALSE)),"")</f>
        <v/>
      </c>
      <c r="AW116" s="458">
        <f>IFERROR(FIND(VLOOKUP('General price list'!$AB$7,'General price list'!$AC$1:$AD$12,2,FALSE),Q116,1),0)</f>
        <v>0</v>
      </c>
      <c r="AX116" s="458">
        <f>IFERROR(FIND(VLOOKUP('General price list'!$AB$7,'General price list'!$AC$1:$AD$12,2,FALSE),R116,1),0)</f>
        <v>0</v>
      </c>
    </row>
    <row r="117" spans="1:57" ht="15" customHeight="1">
      <c r="A117" s="672" t="str">
        <f>Kat.!C117</f>
        <v xml:space="preserve">                                          Fontänen</v>
      </c>
      <c r="B117" s="692">
        <v>96</v>
      </c>
      <c r="C117" s="693"/>
      <c r="D117" s="693"/>
      <c r="E117" s="694"/>
      <c r="F117" s="695" t="str">
        <f>IFERROR(ROUND(VLOOKUP(C117,'General price list'!$C:$AN,4,FALSE),0),"")</f>
        <v/>
      </c>
      <c r="G117" s="696" t="str">
        <f t="shared" si="17"/>
        <v/>
      </c>
      <c r="H117" s="697" t="str">
        <f t="shared" si="18"/>
        <v/>
      </c>
      <c r="I117" s="837"/>
      <c r="J117" s="698"/>
      <c r="K117" s="856"/>
      <c r="L117" s="857"/>
      <c r="M117" s="698"/>
      <c r="N117" s="869" t="str">
        <f>IFERROR(IF(VLOOKUP($C117,'General price list'!$C:$AN,MATCH(N$20,'General price list'!$C$20:$AM$20,0),FALSE)=0,"",VLOOKUP($C117,'General price list'!$C:$AN,MATCH(N$20,'General price list'!$C$20:$AM$20,0),FALSE)),"")</f>
        <v/>
      </c>
      <c r="O117" s="837" t="str">
        <f>IFERROR(IF(VLOOKUP($C117,'General price list'!$C:$AN,MATCH(O$20,'General price list'!$C$20:$AM$20,0),FALSE)=0,"",VLOOKUP($C117,'General price list'!$C:$AN,MATCH(O$20,'General price list'!$C$20:$AM$20,0),FALSE)),"")</f>
        <v/>
      </c>
      <c r="P117" s="837" t="str">
        <f>IFERROR(IF(VLOOKUP($C117,'General price list'!$C:$AN,MATCH(P$20,'General price list'!$C$20:$AM$20,0),FALSE)=0,"",VLOOKUP($C117,'General price list'!$C:$AN,MATCH(P$20,'General price list'!$C$20:$AM$20,0),FALSE)),"")</f>
        <v/>
      </c>
      <c r="Q117" s="698"/>
      <c r="R117" s="698"/>
      <c r="S117" s="698"/>
      <c r="T117" s="695"/>
      <c r="U117" s="874"/>
      <c r="V117" s="699"/>
      <c r="W117" s="700" t="str">
        <f>IFERROR(VLOOKUP($C117,'General price list'!$C:$AN,MATCH(W$20,'General price list'!$C$20:$AM$20,0),FALSE),"")</f>
        <v/>
      </c>
      <c r="X117" s="891" t="str">
        <f t="shared" si="19"/>
        <v/>
      </c>
      <c r="Y117" s="892"/>
      <c r="Z117" s="700" t="str">
        <f>IFERROR(VLOOKUP($C117,'General price list'!$C:$AN,MATCH(Z$20,'General price list'!$C$20:$AM$20,0),FALSE),"")</f>
        <v/>
      </c>
      <c r="AA117" s="707"/>
      <c r="AB117" s="912" t="str">
        <f>IFERROR(IF(VLOOKUP(C117,[1]List1!$A:$D,2,FALSE)="VYPRODÁNO",$V$9,IF(VLOOKUP(C117,[1]List1!$A:$D,2,FALSE)="DOCHÁZÍ",$V$3,VLOOKUP(C117,[1]List1!$A:$D,2,FALSE))),"OFFLINE!")</f>
        <v>OFFLINE!</v>
      </c>
      <c r="AC117" s="912" t="str">
        <f ca="1">IF(AO117="NE",$V$10,IF(AB117=$V$3,IF(AP117&lt;1,$V$8,$V$2&amp;" "&amp;AP117&amp;" "&amp;$V$1),IF(AB117="SKLADEM",$V$6,IFERROR(IF(OR(AB117-TODAY()&gt;21,VLOOKUP(C117,[1]List1!$A:$E,4,FALSE)=0),AB117,DAY(AB117)&amp;"."&amp;MONTH(AB117)&amp;"."&amp;YEAR(AB117)&amp;" "&amp;$V$4&amp;VLOOKUP(C117,[1]List1!$A:$E,4,FALSE)&amp;" "&amp;$V$1),AB117))))</f>
        <v>OFFLINE!</v>
      </c>
      <c r="AD117" s="701" t="str">
        <f>_xlfn.IFNA(VLOOKUP(C117,'General price list'!C:AM,MATCH($AD$20,'General price list'!$C$20:$AM$20,0),FALSE),"")</f>
        <v/>
      </c>
      <c r="AE117" s="695" t="str">
        <f t="shared" si="20"/>
        <v/>
      </c>
      <c r="AF117" s="695" t="str">
        <f t="shared" si="21"/>
        <v/>
      </c>
      <c r="AG117" s="702" t="str">
        <f t="shared" si="22"/>
        <v/>
      </c>
      <c r="AH117" s="703" t="str">
        <f t="shared" si="23"/>
        <v/>
      </c>
      <c r="AI117" s="702" t="str">
        <f t="shared" si="24"/>
        <v/>
      </c>
      <c r="AJ117" s="704" t="str">
        <f t="shared" si="25"/>
        <v/>
      </c>
      <c r="AK117" s="704" t="str">
        <f t="shared" si="26"/>
        <v/>
      </c>
      <c r="AL117" s="704" t="str">
        <f t="shared" si="27"/>
        <v/>
      </c>
      <c r="AM117" s="705" t="str">
        <f t="shared" si="28"/>
        <v/>
      </c>
      <c r="AN117" s="313"/>
      <c r="AO117" s="314" t="str">
        <f>IF($R$3=1,IF(Y117=AA117,"","NE"),IF(#REF!=$V$10,"NE",""))</f>
        <v/>
      </c>
      <c r="AP117" s="315" t="str">
        <f>IF(AB117=$V$3,IF(VLOOKUP(C117,[1]List1!$A:$E,5,FALSE)=0,1,VLOOKUP(C117,[1]List1!$A:$E,5,FALSE)),"")</f>
        <v/>
      </c>
      <c r="AW117" s="291" t="e">
        <f>VLOOKUP(C117,'General price list'!C:AU,46,FALSE)</f>
        <v>#N/A</v>
      </c>
      <c r="AX117" s="291" t="e">
        <f>VLOOKUP(C117,'General price list'!C:AU,47,FALSE)</f>
        <v>#N/A</v>
      </c>
    </row>
    <row r="118" spans="1:57" ht="15" customHeight="1">
      <c r="A118" s="677" t="str">
        <f>Kat.!C118</f>
        <v xml:space="preserve">                                          </v>
      </c>
      <c r="B118" s="678">
        <v>97</v>
      </c>
      <c r="C118" s="679" t="s">
        <v>381</v>
      </c>
      <c r="D118" s="679" t="s">
        <v>382</v>
      </c>
      <c r="E118" s="680" t="s">
        <v>53</v>
      </c>
      <c r="F118" s="681">
        <f>VLOOKUP(C118,[2]List1!$A:$D,2,FALSE)</f>
        <v>119</v>
      </c>
      <c r="G118" s="682">
        <f t="shared" si="17"/>
        <v>119</v>
      </c>
      <c r="H118" s="683">
        <f t="shared" si="18"/>
        <v>4.8</v>
      </c>
      <c r="I118" s="836">
        <v>36</v>
      </c>
      <c r="J118" s="680" t="s">
        <v>45</v>
      </c>
      <c r="K118" s="854"/>
      <c r="L118" s="855" t="s">
        <v>13829</v>
      </c>
      <c r="M118" s="680" t="s">
        <v>25</v>
      </c>
      <c r="N118" s="868">
        <f>IFERROR(VLOOKUP(C118,[3]List1!$A:$D,4,FALSE),"N/A!")</f>
        <v>7.980799999999999E-2</v>
      </c>
      <c r="O118" s="836">
        <f>IFERROR(VLOOKUP(C118,[3]List1!$A:$D,3,FALSE),"N/A!")</f>
        <v>3600</v>
      </c>
      <c r="P118" s="836">
        <f>IFERROR(VLOOKUP(C118,[3]List1!$A:$D,2,FALSE),"N/A!")</f>
        <v>13000</v>
      </c>
      <c r="Q118" s="680" t="s">
        <v>13730</v>
      </c>
      <c r="R118" s="680" t="s">
        <v>18</v>
      </c>
      <c r="S118" s="680"/>
      <c r="T118" s="681">
        <v>25</v>
      </c>
      <c r="U118" s="873"/>
      <c r="V118" s="684" t="str">
        <f>_xlfn.IFNA(HYPERLINK("https://www.klasekpyrotechnics.cz/f1m"),"")</f>
        <v>https://www.klasekpyrotechnics.cz/f1m</v>
      </c>
      <c r="W118" s="685" t="str">
        <f>IFERROR(VLOOKUP($C118,Popisy!A:P,MATCH($W$17,Popisy!$A$7:$P$7,0),FALSE),"---------------")</f>
        <v>Fontänen-Mix, Verpackung enthält je 2 Stk. F1U, F1K</v>
      </c>
      <c r="X118" s="889" t="str">
        <f t="shared" si="19"/>
        <v/>
      </c>
      <c r="Y118" s="890"/>
      <c r="Z118" s="685">
        <f>IFERROR(IF(VLOOKUP(C118,[4]List1!$A:$D,4,FALSE)=0,"",VLOOKUP(C118,[4]List1!$A:$D,4,FALSE)),"")</f>
        <v>16</v>
      </c>
      <c r="AA118" s="707"/>
      <c r="AB118" s="911" t="str">
        <f>IFERROR(IF(VLOOKUP(C118,[1]List1!$A:$D,2,FALSE)="VYPRODÁNO",$V$9,IF(VLOOKUP(C118,[1]List1!$A:$D,2,FALSE)="DOCHÁZÍ",$V$3,VLOOKUP(C118,[1]List1!$A:$D,2,FALSE))),"OFFLINE!")</f>
        <v>SKLADEM</v>
      </c>
      <c r="AC118" s="911" t="str">
        <f ca="1">IF(AO118="NE",$V$10,IF(AB118=$V$3,IF(AP118&lt;1,$V$8,$V$2&amp;" "&amp;AP118&amp;" "&amp;$V$1),IF(AB118="SKLADEM",$V$6,IFERROR(IF(OR(AB118-TODAY()&gt;21,VLOOKUP(C118,[1]List1!$A:$E,4,FALSE)=0),AB118,DAY(AB118)&amp;"."&amp;MONTH(AB118)&amp;"."&amp;YEAR(AB118)&amp;" "&amp;$V$4&amp;VLOOKUP(C118,[1]List1!$A:$E,4,FALSE)&amp;" "&amp;$V$1),AB118))))</f>
        <v>AUF LAGER</v>
      </c>
      <c r="AD118" s="686" t="str">
        <f ca="1">_xlfn.IFNA(VLOOKUP(C118,'General price list'!C:AM,MATCH($AD$20,'General price list'!$C$20:$AM$20,0),FALSE),"")</f>
        <v>AUF LAGER</v>
      </c>
      <c r="AE118" s="681">
        <f t="shared" ca="1" si="20"/>
        <v>0</v>
      </c>
      <c r="AF118" s="681">
        <f t="shared" ca="1" si="21"/>
        <v>0</v>
      </c>
      <c r="AG118" s="687">
        <f t="shared" ca="1" si="22"/>
        <v>0</v>
      </c>
      <c r="AH118" s="688">
        <f t="shared" ca="1" si="23"/>
        <v>0</v>
      </c>
      <c r="AI118" s="687">
        <f t="shared" ca="1" si="24"/>
        <v>0</v>
      </c>
      <c r="AJ118" s="689" t="str">
        <f t="shared" ca="1" si="25"/>
        <v/>
      </c>
      <c r="AK118" s="689" t="str">
        <f t="shared" ca="1" si="26"/>
        <v/>
      </c>
      <c r="AL118" s="689">
        <f t="shared" ca="1" si="27"/>
        <v>0</v>
      </c>
      <c r="AM118" s="690" t="str">
        <f t="shared" ca="1" si="28"/>
        <v/>
      </c>
      <c r="AN118" s="382"/>
      <c r="AO118" s="314" t="str">
        <f>IF($R$3=1,IF(Y118=AA118,"","NE"),IF(#REF!=$V$10,"NE",""))</f>
        <v/>
      </c>
      <c r="AP118" s="315" t="str">
        <f>IF(AB118=$V$3,IF(VLOOKUP(C118,[1]List1!$A:$E,5,FALSE)=0,1,VLOOKUP(C118,[1]List1!$A:$E,5,FALSE)),"")</f>
        <v/>
      </c>
      <c r="AW118" s="458">
        <f>IFERROR(FIND(VLOOKUP('General price list'!$AB$7,'General price list'!$AC$1:$AD$12,2,FALSE),Q118,1),0)</f>
        <v>7</v>
      </c>
      <c r="AX118" s="458">
        <f>IFERROR(FIND(VLOOKUP('General price list'!$AB$7,'General price list'!$AC$1:$AD$12,2,FALSE),R118,1),0)</f>
        <v>0</v>
      </c>
    </row>
    <row r="119" spans="1:57" ht="15" customHeight="1">
      <c r="A119" s="691" t="str">
        <f>Kat.!C119</f>
        <v xml:space="preserve">                                          </v>
      </c>
      <c r="B119" s="692">
        <v>98</v>
      </c>
      <c r="C119" s="693" t="s">
        <v>386</v>
      </c>
      <c r="D119" s="693" t="s">
        <v>12562</v>
      </c>
      <c r="E119" s="694" t="s">
        <v>387</v>
      </c>
      <c r="F119" s="695">
        <f>VLOOKUP(C119,[2]List1!$A:$D,2,FALSE)</f>
        <v>95</v>
      </c>
      <c r="G119" s="696">
        <f t="shared" si="17"/>
        <v>95</v>
      </c>
      <c r="H119" s="697">
        <f t="shared" si="18"/>
        <v>3.9</v>
      </c>
      <c r="I119" s="837">
        <v>50</v>
      </c>
      <c r="J119" s="698" t="s">
        <v>45</v>
      </c>
      <c r="K119" s="856"/>
      <c r="L119" s="857" t="s">
        <v>13830</v>
      </c>
      <c r="M119" s="698" t="s">
        <v>25</v>
      </c>
      <c r="N119" s="869">
        <f>IFERROR(VLOOKUP(C119,[3]List1!$A:$D,4,FALSE),"N/A!")</f>
        <v>5.9895000000000004E-2</v>
      </c>
      <c r="O119" s="837">
        <f>IFERROR(VLOOKUP(C119,[3]List1!$A:$D,3,FALSE),"N/A!")</f>
        <v>5000</v>
      </c>
      <c r="P119" s="837">
        <f>IFERROR(VLOOKUP(C119,[3]List1!$A:$D,2,FALSE),"N/A!")</f>
        <v>11500</v>
      </c>
      <c r="Q119" s="698" t="s">
        <v>388</v>
      </c>
      <c r="R119" s="698" t="s">
        <v>24</v>
      </c>
      <c r="S119" s="698"/>
      <c r="T119" s="695">
        <v>30</v>
      </c>
      <c r="U119" s="874"/>
      <c r="V119" s="699" t="str">
        <f>_xlfn.IFNA(HYPERLINK("https://www.klasekpyrotechnics.cz/f2m"),"")</f>
        <v>https://www.klasekpyrotechnics.cz/f2m</v>
      </c>
      <c r="W119" s="700" t="str">
        <f>IFERROR(VLOOKUP($C119,Popisy!A:P,MATCH($W$17,Popisy!$A$7:$P$7,0),FALSE),"---------------")</f>
        <v>Fontänen-Mix, Verpackung enthält je 2 Stk. F2DF,F2DD</v>
      </c>
      <c r="X119" s="891" t="str">
        <f t="shared" si="19"/>
        <v/>
      </c>
      <c r="Y119" s="892"/>
      <c r="Z119" s="700">
        <f>IFERROR(IF(VLOOKUP(C119,[4]List1!$A:$D,4,FALSE)=0,"",VLOOKUP(C119,[4]List1!$A:$D,4,FALSE)),"")</f>
        <v>20</v>
      </c>
      <c r="AA119" s="707"/>
      <c r="AB119" s="912" t="str">
        <f>IFERROR(IF(VLOOKUP(C119,[1]List1!$A:$D,2,FALSE)="VYPRODÁNO",$V$9,IF(VLOOKUP(C119,[1]List1!$A:$D,2,FALSE)="DOCHÁZÍ",$V$3,VLOOKUP(C119,[1]List1!$A:$D,2,FALSE))),"OFFLINE!")</f>
        <v>SKLADEM</v>
      </c>
      <c r="AC119" s="912" t="str">
        <f ca="1">IF(AO119="NE",$V$10,IF(AB119=$V$3,IF(AP119&lt;1,$V$8,$V$2&amp;" "&amp;AP119&amp;" "&amp;$V$1),IF(AB119="SKLADEM",$V$6,IFERROR(IF(OR(AB119-TODAY()&gt;21,VLOOKUP(C119,[1]List1!$A:$E,4,FALSE)=0),AB119,DAY(AB119)&amp;"."&amp;MONTH(AB119)&amp;"."&amp;YEAR(AB119)&amp;" "&amp;$V$4&amp;VLOOKUP(C119,[1]List1!$A:$E,4,FALSE)&amp;" "&amp;$V$1),AB119))))</f>
        <v>AUF LAGER</v>
      </c>
      <c r="AD119" s="701" t="str">
        <f ca="1">_xlfn.IFNA(VLOOKUP(C119,'General price list'!C:AM,MATCH($AD$20,'General price list'!$C$20:$AM$20,0),FALSE),"")</f>
        <v>AUF LAGER</v>
      </c>
      <c r="AE119" s="695">
        <f t="shared" ca="1" si="20"/>
        <v>0</v>
      </c>
      <c r="AF119" s="695">
        <f t="shared" ca="1" si="21"/>
        <v>0</v>
      </c>
      <c r="AG119" s="702">
        <f t="shared" ca="1" si="22"/>
        <v>0</v>
      </c>
      <c r="AH119" s="703">
        <f t="shared" ca="1" si="23"/>
        <v>0</v>
      </c>
      <c r="AI119" s="702">
        <f t="shared" ca="1" si="24"/>
        <v>0</v>
      </c>
      <c r="AJ119" s="704" t="str">
        <f t="shared" ca="1" si="25"/>
        <v/>
      </c>
      <c r="AK119" s="704" t="str">
        <f t="shared" ca="1" si="26"/>
        <v/>
      </c>
      <c r="AL119" s="704">
        <f t="shared" ca="1" si="27"/>
        <v>0</v>
      </c>
      <c r="AM119" s="705" t="str">
        <f t="shared" ca="1" si="28"/>
        <v/>
      </c>
      <c r="AN119" s="382"/>
      <c r="AO119" s="314" t="str">
        <f>IF($R$3=1,IF(Y119=AA119,"","NE"),IF(#REF!=$V$10,"NE",""))</f>
        <v/>
      </c>
      <c r="AP119" s="315" t="str">
        <f>IF(AB119=$V$3,IF(VLOOKUP(C119,[1]List1!$A:$E,5,FALSE)=0,1,VLOOKUP(C119,[1]List1!$A:$E,5,FALSE)),"")</f>
        <v/>
      </c>
      <c r="AW119" s="458">
        <f>IFERROR(FIND(VLOOKUP('General price list'!$AB$7,'General price list'!$AC$1:$AD$12,2,FALSE),Q119,1),0)</f>
        <v>13</v>
      </c>
      <c r="AX119" s="458">
        <f>IFERROR(FIND(VLOOKUP('General price list'!$AB$7,'General price list'!$AC$1:$AD$12,2,FALSE),R119,1),0)</f>
        <v>0</v>
      </c>
    </row>
    <row r="120" spans="1:57" ht="15" customHeight="1">
      <c r="A120" s="677" t="str">
        <f>Kat.!C120</f>
        <v xml:space="preserve">                                          </v>
      </c>
      <c r="B120" s="678">
        <v>99</v>
      </c>
      <c r="C120" s="679" t="s">
        <v>3698</v>
      </c>
      <c r="D120" s="679" t="s">
        <v>3699</v>
      </c>
      <c r="E120" s="680" t="s">
        <v>11085</v>
      </c>
      <c r="F120" s="681">
        <f>VLOOKUP(C120,[2]List1!$A:$D,2,FALSE)</f>
        <v>108</v>
      </c>
      <c r="G120" s="682">
        <f t="shared" si="17"/>
        <v>108</v>
      </c>
      <c r="H120" s="683">
        <f t="shared" si="18"/>
        <v>4.4000000000000004</v>
      </c>
      <c r="I120" s="836">
        <v>48</v>
      </c>
      <c r="J120" s="680" t="s">
        <v>45</v>
      </c>
      <c r="K120" s="854"/>
      <c r="L120" s="855" t="s">
        <v>13828</v>
      </c>
      <c r="M120" s="680" t="s">
        <v>25</v>
      </c>
      <c r="N120" s="868">
        <f>IFERROR(VLOOKUP(C120,[3]List1!$A:$D,4,FALSE),"N/A!")</f>
        <v>3.9200000000000006E-2</v>
      </c>
      <c r="O120" s="836">
        <f>IFERROR(VLOOKUP(C120,[3]List1!$A:$D,3,FALSE),"N/A!")</f>
        <v>3888</v>
      </c>
      <c r="P120" s="836">
        <f>IFERROR(VLOOKUP(C120,[3]List1!$A:$D,2,FALSE),"N/A!")</f>
        <v>10000</v>
      </c>
      <c r="Q120" s="680" t="s">
        <v>44</v>
      </c>
      <c r="R120" s="680" t="s">
        <v>24</v>
      </c>
      <c r="S120" s="680"/>
      <c r="T120" s="681">
        <v>20</v>
      </c>
      <c r="U120" s="873"/>
      <c r="V120" s="684" t="str">
        <f>_xlfn.IFNA(HYPERLINK("https://www.klasekpyrotechnics.cz/f3cc"),"")</f>
        <v>https://www.klasekpyrotechnics.cz/f3cc</v>
      </c>
      <c r="W120" s="685" t="str">
        <f>IFERROR(VLOOKUP($C120,Popisy!A:P,MATCH($W$17,Popisy!$A$7:$P$7,0),FALSE),"---------------")</f>
        <v>Farbiges Licht(Rot,Blau,Grün)+knisternder Auswurf</v>
      </c>
      <c r="X120" s="889" t="str">
        <f t="shared" si="19"/>
        <v/>
      </c>
      <c r="Y120" s="890"/>
      <c r="Z120" s="685">
        <f>IFERROR(IF(VLOOKUP(C120,[4]List1!$A:$D,4,FALSE)=0,"",VLOOKUP(C120,[4]List1!$A:$D,4,FALSE)),"")</f>
        <v>36</v>
      </c>
      <c r="AA120" s="707"/>
      <c r="AB120" s="911" t="str">
        <f>IFERROR(IF(VLOOKUP(C120,[1]List1!$A:$D,2,FALSE)="VYPRODÁNO",$V$9,IF(VLOOKUP(C120,[1]List1!$A:$D,2,FALSE)="DOCHÁZÍ",$V$3,VLOOKUP(C120,[1]List1!$A:$D,2,FALSE))),"OFFLINE!")</f>
        <v>SKLADEM</v>
      </c>
      <c r="AC120" s="911" t="str">
        <f ca="1">IF(AO120="NE",$V$10,IF(AB120=$V$3,IF(AP120&lt;1,$V$8,$V$2&amp;" "&amp;AP120&amp;" "&amp;$V$1),IF(AB120="SKLADEM",$V$6,IFERROR(IF(OR(AB120-TODAY()&gt;21,VLOOKUP(C120,[1]List1!$A:$E,4,FALSE)=0),AB120,DAY(AB120)&amp;"."&amp;MONTH(AB120)&amp;"."&amp;YEAR(AB120)&amp;" "&amp;$V$4&amp;VLOOKUP(C120,[1]List1!$A:$E,4,FALSE)&amp;" "&amp;$V$1),AB120))))</f>
        <v>AUF LAGER</v>
      </c>
      <c r="AD120" s="686" t="str">
        <f ca="1">_xlfn.IFNA(VLOOKUP(C120,'General price list'!C:AM,MATCH($AD$20,'General price list'!$C$20:$AM$20,0),FALSE),"")</f>
        <v>AUF LAGER</v>
      </c>
      <c r="AE120" s="681">
        <f t="shared" ca="1" si="20"/>
        <v>0</v>
      </c>
      <c r="AF120" s="681">
        <f t="shared" ca="1" si="21"/>
        <v>0</v>
      </c>
      <c r="AG120" s="687">
        <f t="shared" ca="1" si="22"/>
        <v>0</v>
      </c>
      <c r="AH120" s="688">
        <f t="shared" ca="1" si="23"/>
        <v>0</v>
      </c>
      <c r="AI120" s="687">
        <f t="shared" ca="1" si="24"/>
        <v>0</v>
      </c>
      <c r="AJ120" s="689" t="str">
        <f t="shared" ca="1" si="25"/>
        <v/>
      </c>
      <c r="AK120" s="689" t="str">
        <f t="shared" ca="1" si="26"/>
        <v/>
      </c>
      <c r="AL120" s="689">
        <f t="shared" ca="1" si="27"/>
        <v>0</v>
      </c>
      <c r="AM120" s="690" t="str">
        <f t="shared" ca="1" si="28"/>
        <v/>
      </c>
      <c r="AN120" s="382"/>
      <c r="AO120" s="314" t="str">
        <f>IF($R$3=1,IF(Y120=AA120,"","NE"),IF(#REF!=$V$10,"NE",""))</f>
        <v/>
      </c>
      <c r="AP120" s="315" t="str">
        <f>IF(AB120=$V$3,IF(VLOOKUP(C120,[1]List1!$A:$E,5,FALSE)=0,1,VLOOKUP(C120,[1]List1!$A:$E,5,FALSE)),"")</f>
        <v/>
      </c>
      <c r="AW120" s="458">
        <f>IFERROR(FIND(VLOOKUP('General price list'!$AB$7,'General price list'!$AC$1:$AD$12,2,FALSE),Q120,1),0)</f>
        <v>13</v>
      </c>
      <c r="AX120" s="458">
        <f>IFERROR(FIND(VLOOKUP('General price list'!$AB$7,'General price list'!$AC$1:$AD$12,2,FALSE),R120,1),0)</f>
        <v>0</v>
      </c>
    </row>
    <row r="121" spans="1:57" ht="15" customHeight="1">
      <c r="A121" s="691" t="str">
        <f>Kat.!C121</f>
        <v xml:space="preserve">                                          </v>
      </c>
      <c r="B121" s="692">
        <v>100</v>
      </c>
      <c r="C121" s="693" t="s">
        <v>397</v>
      </c>
      <c r="D121" s="693" t="s">
        <v>398</v>
      </c>
      <c r="E121" s="694" t="s">
        <v>399</v>
      </c>
      <c r="F121" s="695">
        <f>VLOOKUP(C121,[2]List1!$A:$D,2,FALSE)</f>
        <v>159</v>
      </c>
      <c r="G121" s="696">
        <f t="shared" si="17"/>
        <v>159</v>
      </c>
      <c r="H121" s="697">
        <f t="shared" si="18"/>
        <v>6.5</v>
      </c>
      <c r="I121" s="837">
        <v>12</v>
      </c>
      <c r="J121" s="698" t="s">
        <v>45</v>
      </c>
      <c r="K121" s="856"/>
      <c r="L121" s="857" t="s">
        <v>13828</v>
      </c>
      <c r="M121" s="698" t="s">
        <v>25</v>
      </c>
      <c r="N121" s="869">
        <f>IFERROR(VLOOKUP(C121,[3]List1!$A:$D,4,FALSE),"N/A!")</f>
        <v>1.984E-2</v>
      </c>
      <c r="O121" s="837">
        <f>IFERROR(VLOOKUP(C121,[3]List1!$A:$D,3,FALSE),"N/A!")</f>
        <v>2304</v>
      </c>
      <c r="P121" s="837">
        <f>IFERROR(VLOOKUP(C121,[3]List1!$A:$D,2,FALSE),"N/A!")</f>
        <v>7800</v>
      </c>
      <c r="Q121" s="698" t="s">
        <v>618</v>
      </c>
      <c r="R121" s="698" t="s">
        <v>24</v>
      </c>
      <c r="S121" s="698"/>
      <c r="T121" s="695">
        <v>100</v>
      </c>
      <c r="U121" s="874"/>
      <c r="V121" s="699" t="str">
        <f>_xlfn.IFNA(HYPERLINK("https://www.klasekpyrotechnics.cz/f6k"),"")</f>
        <v>https://www.klasekpyrotechnics.cz/f6k</v>
      </c>
      <c r="W121" s="700" t="str">
        <f>IFERROR(VLOOKUP($C121,Popisy!A:P,MATCH($W$17,Popisy!$A$7:$P$7,0),FALSE),"---------------")</f>
        <v>6 verschiedenfarbige Effekte</v>
      </c>
      <c r="X121" s="891" t="str">
        <f t="shared" si="19"/>
        <v/>
      </c>
      <c r="Y121" s="892"/>
      <c r="Z121" s="700">
        <f>IFERROR(IF(VLOOKUP(C121,[4]List1!$A:$D,4,FALSE)=0,"",VLOOKUP(C121,[4]List1!$A:$D,4,FALSE)),"")</f>
        <v>60</v>
      </c>
      <c r="AA121" s="707"/>
      <c r="AB121" s="912" t="str">
        <f>IFERROR(IF(VLOOKUP(C121,[1]List1!$A:$D,2,FALSE)="VYPRODÁNO",$V$9,IF(VLOOKUP(C121,[1]List1!$A:$D,2,FALSE)="DOCHÁZÍ",$V$3,VLOOKUP(C121,[1]List1!$A:$D,2,FALSE))),"OFFLINE!")</f>
        <v>SKLADEM</v>
      </c>
      <c r="AC121" s="912" t="str">
        <f ca="1">IF(AO121="NE",$V$10,IF(AB121=$V$3,IF(AP121&lt;1,$V$8,$V$2&amp;" "&amp;AP121&amp;" "&amp;$V$1),IF(AB121="SKLADEM",$V$6,IFERROR(IF(OR(AB121-TODAY()&gt;21,VLOOKUP(C121,[1]List1!$A:$E,4,FALSE)=0),AB121,DAY(AB121)&amp;"."&amp;MONTH(AB121)&amp;"."&amp;YEAR(AB121)&amp;" "&amp;$V$4&amp;VLOOKUP(C121,[1]List1!$A:$E,4,FALSE)&amp;" "&amp;$V$1),AB121))))</f>
        <v>AUF LAGER</v>
      </c>
      <c r="AD121" s="701" t="str">
        <f ca="1">_xlfn.IFNA(VLOOKUP(C121,'General price list'!C:AM,MATCH($AD$20,'General price list'!$C$20:$AM$20,0),FALSE),"")</f>
        <v>AUF LAGER</v>
      </c>
      <c r="AE121" s="695">
        <f t="shared" ca="1" si="20"/>
        <v>0</v>
      </c>
      <c r="AF121" s="695">
        <f t="shared" ca="1" si="21"/>
        <v>0</v>
      </c>
      <c r="AG121" s="702">
        <f t="shared" ca="1" si="22"/>
        <v>0</v>
      </c>
      <c r="AH121" s="703">
        <f t="shared" ca="1" si="23"/>
        <v>0</v>
      </c>
      <c r="AI121" s="702">
        <f t="shared" ca="1" si="24"/>
        <v>0</v>
      </c>
      <c r="AJ121" s="704" t="str">
        <f t="shared" ca="1" si="25"/>
        <v/>
      </c>
      <c r="AK121" s="704" t="str">
        <f t="shared" ca="1" si="26"/>
        <v/>
      </c>
      <c r="AL121" s="704">
        <f t="shared" ca="1" si="27"/>
        <v>0</v>
      </c>
      <c r="AM121" s="705" t="str">
        <f t="shared" ca="1" si="28"/>
        <v/>
      </c>
      <c r="AN121" s="382"/>
      <c r="AO121" s="314" t="str">
        <f>IF($R$3=1,IF(Y121=AA121,"","NE"),IF(#REF!=$V$10,"NE",""))</f>
        <v/>
      </c>
      <c r="AP121" s="315" t="str">
        <f>IF(AB121=$V$3,IF(VLOOKUP(C121,[1]List1!$A:$E,5,FALSE)=0,1,VLOOKUP(C121,[1]List1!$A:$E,5,FALSE)),"")</f>
        <v/>
      </c>
      <c r="AW121" s="458">
        <f>IFERROR(FIND(VLOOKUP('General price list'!$AB$7,'General price list'!$AC$1:$AD$12,2,FALSE),Q121,1),0)</f>
        <v>0</v>
      </c>
      <c r="AX121" s="458">
        <f>IFERROR(FIND(VLOOKUP('General price list'!$AB$7,'General price list'!$AC$1:$AD$12,2,FALSE),R121,1),0)</f>
        <v>0</v>
      </c>
    </row>
    <row r="122" spans="1:57" ht="15" customHeight="1">
      <c r="A122" s="677" t="str">
        <f>Kat.!C122</f>
        <v xml:space="preserve">                                          </v>
      </c>
      <c r="B122" s="678">
        <v>101</v>
      </c>
      <c r="C122" s="679" t="s">
        <v>3731</v>
      </c>
      <c r="D122" s="679" t="s">
        <v>3732</v>
      </c>
      <c r="E122" s="680" t="s">
        <v>11086</v>
      </c>
      <c r="F122" s="681">
        <f>VLOOKUP(C122,[2]List1!$A:$D,2,FALSE)</f>
        <v>215</v>
      </c>
      <c r="G122" s="682">
        <f t="shared" si="17"/>
        <v>215</v>
      </c>
      <c r="H122" s="683">
        <f t="shared" si="18"/>
        <v>8.6999999999999993</v>
      </c>
      <c r="I122" s="836">
        <v>20</v>
      </c>
      <c r="J122" s="680" t="s">
        <v>45</v>
      </c>
      <c r="K122" s="854"/>
      <c r="L122" s="855" t="s">
        <v>13828</v>
      </c>
      <c r="M122" s="680" t="s">
        <v>25</v>
      </c>
      <c r="N122" s="868">
        <f>IFERROR(VLOOKUP(C122,[3]List1!$A:$D,4,FALSE),"N/A!")</f>
        <v>4.2020999999999996E-2</v>
      </c>
      <c r="O122" s="836">
        <f>IFERROR(VLOOKUP(C122,[3]List1!$A:$D,3,FALSE),"N/A!")</f>
        <v>6000</v>
      </c>
      <c r="P122" s="836">
        <f>IFERROR(VLOOKUP(C122,[3]List1!$A:$D,2,FALSE),"N/A!")</f>
        <v>12000</v>
      </c>
      <c r="Q122" s="680" t="s">
        <v>13731</v>
      </c>
      <c r="R122" s="680" t="s">
        <v>24</v>
      </c>
      <c r="S122" s="680"/>
      <c r="T122" s="681">
        <v>20</v>
      </c>
      <c r="U122" s="873"/>
      <c r="V122" s="684" t="str">
        <f>_xlfn.IFNA(HYPERLINK("https://www.klasekpyrotechnics.cz/f16cs"),"")</f>
        <v>https://www.klasekpyrotechnics.cz/f16cs</v>
      </c>
      <c r="W122" s="685" t="str">
        <f>IFERROR(VLOOKUP($C122,Popisy!A:P,MATCH($W$17,Popisy!$A$7:$P$7,0),FALSE),"---------------")</f>
        <v>Starker knisternder Stern</v>
      </c>
      <c r="X122" s="889" t="str">
        <f t="shared" si="19"/>
        <v/>
      </c>
      <c r="Y122" s="890"/>
      <c r="Z122" s="685">
        <f>IFERROR(IF(VLOOKUP(C122,[4]List1!$A:$D,4,FALSE)=0,"",VLOOKUP(C122,[4]List1!$A:$D,4,FALSE)),"")</f>
        <v>30</v>
      </c>
      <c r="AA122" s="707"/>
      <c r="AB122" s="911" t="str">
        <f>IFERROR(IF(VLOOKUP(C122,[1]List1!$A:$D,2,FALSE)="VYPRODÁNO",$V$9,IF(VLOOKUP(C122,[1]List1!$A:$D,2,FALSE)="DOCHÁZÍ",$V$3,VLOOKUP(C122,[1]List1!$A:$D,2,FALSE))),"OFFLINE!")</f>
        <v>SKLADEM</v>
      </c>
      <c r="AC122" s="911" t="str">
        <f ca="1">IF(AO122="NE",$V$10,IF(AB122=$V$3,IF(AP122&lt;1,$V$8,$V$2&amp;" "&amp;AP122&amp;" "&amp;$V$1),IF(AB122="SKLADEM",$V$6,IFERROR(IF(OR(AB122-TODAY()&gt;21,VLOOKUP(C122,[1]List1!$A:$E,4,FALSE)=0),AB122,DAY(AB122)&amp;"."&amp;MONTH(AB122)&amp;"."&amp;YEAR(AB122)&amp;" "&amp;$V$4&amp;VLOOKUP(C122,[1]List1!$A:$E,4,FALSE)&amp;" "&amp;$V$1),AB122))))</f>
        <v>AUF LAGER</v>
      </c>
      <c r="AD122" s="686" t="str">
        <f ca="1">_xlfn.IFNA(VLOOKUP(C122,'General price list'!C:AM,MATCH($AD$20,'General price list'!$C$20:$AM$20,0),FALSE),"")</f>
        <v>AUF LAGER</v>
      </c>
      <c r="AE122" s="681">
        <f t="shared" ca="1" si="20"/>
        <v>0</v>
      </c>
      <c r="AF122" s="681">
        <f t="shared" ca="1" si="21"/>
        <v>0</v>
      </c>
      <c r="AG122" s="687">
        <f t="shared" ca="1" si="22"/>
        <v>0</v>
      </c>
      <c r="AH122" s="688">
        <f t="shared" ca="1" si="23"/>
        <v>0</v>
      </c>
      <c r="AI122" s="687">
        <f t="shared" ca="1" si="24"/>
        <v>0</v>
      </c>
      <c r="AJ122" s="689" t="str">
        <f t="shared" ca="1" si="25"/>
        <v/>
      </c>
      <c r="AK122" s="689" t="str">
        <f t="shared" ca="1" si="26"/>
        <v/>
      </c>
      <c r="AL122" s="689">
        <f t="shared" ca="1" si="27"/>
        <v>0</v>
      </c>
      <c r="AM122" s="690" t="str">
        <f t="shared" ca="1" si="28"/>
        <v/>
      </c>
      <c r="AN122" s="382"/>
      <c r="AO122" s="314" t="str">
        <f>IF($R$3=1,IF(Y122=AA122,"","NE"),IF(#REF!=$V$10,"NE",""))</f>
        <v/>
      </c>
      <c r="AP122" s="315" t="str">
        <f>IF(AB122=$V$3,IF(VLOOKUP(C122,[1]List1!$A:$E,5,FALSE)=0,1,VLOOKUP(C122,[1]List1!$A:$E,5,FALSE)),"")</f>
        <v/>
      </c>
      <c r="AW122" s="458">
        <f>IFERROR(FIND(VLOOKUP('General price list'!$AB$7,'General price list'!$AC$1:$AD$12,2,FALSE),Q122,1),0)</f>
        <v>0</v>
      </c>
      <c r="AX122" s="458">
        <f>IFERROR(FIND(VLOOKUP('General price list'!$AB$7,'General price list'!$AC$1:$AD$12,2,FALSE),R122,1),0)</f>
        <v>0</v>
      </c>
    </row>
    <row r="123" spans="1:57" ht="15" customHeight="1">
      <c r="A123" s="691" t="str">
        <f>Kat.!C123</f>
        <v xml:space="preserve">                                          </v>
      </c>
      <c r="B123" s="692">
        <v>102</v>
      </c>
      <c r="C123" s="693" t="s">
        <v>407</v>
      </c>
      <c r="D123" s="693" t="s">
        <v>408</v>
      </c>
      <c r="E123" s="694" t="s">
        <v>409</v>
      </c>
      <c r="F123" s="695">
        <f>VLOOKUP(C123,[2]List1!$A:$D,2,FALSE)</f>
        <v>87</v>
      </c>
      <c r="G123" s="696">
        <f t="shared" si="17"/>
        <v>87</v>
      </c>
      <c r="H123" s="697">
        <f t="shared" si="18"/>
        <v>3.5</v>
      </c>
      <c r="I123" s="837">
        <v>50</v>
      </c>
      <c r="J123" s="698" t="s">
        <v>45</v>
      </c>
      <c r="K123" s="856"/>
      <c r="L123" s="857" t="s">
        <v>13831</v>
      </c>
      <c r="M123" s="698" t="s">
        <v>25</v>
      </c>
      <c r="N123" s="869">
        <f>IFERROR(VLOOKUP(C123,[3]List1!$A:$D,4,FALSE),"N/A!")</f>
        <v>2.6714000000000002E-2</v>
      </c>
      <c r="O123" s="837">
        <f>IFERROR(VLOOKUP(C123,[3]List1!$A:$D,3,FALSE),"N/A!")</f>
        <v>3000</v>
      </c>
      <c r="P123" s="837">
        <f>IFERROR(VLOOKUP(C123,[3]List1!$A:$D,2,FALSE),"N/A!")</f>
        <v>8800</v>
      </c>
      <c r="Q123" s="698" t="s">
        <v>207</v>
      </c>
      <c r="R123" s="698" t="s">
        <v>24</v>
      </c>
      <c r="S123" s="698"/>
      <c r="T123" s="695">
        <v>20</v>
      </c>
      <c r="U123" s="874"/>
      <c r="V123" s="699" t="str">
        <f>_xlfn.IFNA(HYPERLINK("https://www.klasekpyrotechnics.cz/f8b"),"")</f>
        <v>https://www.klasekpyrotechnics.cz/f8b</v>
      </c>
      <c r="W123" s="700" t="str">
        <f>IFERROR(VLOOKUP($C123,Popisy!A:P,MATCH($W$17,Popisy!$A$7:$P$7,0),FALSE),"---------------")</f>
        <v>Farbeffekt + knallende Sterne</v>
      </c>
      <c r="X123" s="891" t="str">
        <f t="shared" si="19"/>
        <v/>
      </c>
      <c r="Y123" s="892"/>
      <c r="Z123" s="700">
        <f>IFERROR(IF(VLOOKUP(C123,[4]List1!$A:$D,4,FALSE)=0,"",VLOOKUP(C123,[4]List1!$A:$D,4,FALSE)),"")</f>
        <v>24</v>
      </c>
      <c r="AA123" s="707"/>
      <c r="AB123" s="912" t="str">
        <f>IFERROR(IF(VLOOKUP(C123,[1]List1!$A:$D,2,FALSE)="VYPRODÁNO",$V$9,IF(VLOOKUP(C123,[1]List1!$A:$D,2,FALSE)="DOCHÁZÍ",$V$3,VLOOKUP(C123,[1]List1!$A:$D,2,FALSE))),"OFFLINE!")</f>
        <v>SKLADEM</v>
      </c>
      <c r="AC123" s="912" t="str">
        <f ca="1">IF(AO123="NE",$V$10,IF(AB123=$V$3,IF(AP123&lt;1,$V$8,$V$2&amp;" "&amp;AP123&amp;" "&amp;$V$1),IF(AB123="SKLADEM",$V$6,IFERROR(IF(OR(AB123-TODAY()&gt;21,VLOOKUP(C123,[1]List1!$A:$E,4,FALSE)=0),AB123,DAY(AB123)&amp;"."&amp;MONTH(AB123)&amp;"."&amp;YEAR(AB123)&amp;" "&amp;$V$4&amp;VLOOKUP(C123,[1]List1!$A:$E,4,FALSE)&amp;" "&amp;$V$1),AB123))))</f>
        <v>AUF LAGER</v>
      </c>
      <c r="AD123" s="701">
        <f>_xlfn.IFNA(VLOOKUP(C123,'General price list'!C:AM,MATCH($AD$20,'General price list'!$C$20:$AM$20,0),FALSE),"")</f>
        <v>0</v>
      </c>
      <c r="AE123" s="695">
        <f t="shared" si="20"/>
        <v>0</v>
      </c>
      <c r="AF123" s="695">
        <f t="shared" si="21"/>
        <v>0</v>
      </c>
      <c r="AG123" s="702">
        <f t="shared" si="22"/>
        <v>0</v>
      </c>
      <c r="AH123" s="703">
        <f t="shared" si="23"/>
        <v>0</v>
      </c>
      <c r="AI123" s="702">
        <f t="shared" si="24"/>
        <v>0</v>
      </c>
      <c r="AJ123" s="704" t="str">
        <f t="shared" si="25"/>
        <v/>
      </c>
      <c r="AK123" s="704" t="str">
        <f t="shared" si="26"/>
        <v/>
      </c>
      <c r="AL123" s="704">
        <f t="shared" si="27"/>
        <v>0</v>
      </c>
      <c r="AM123" s="705" t="str">
        <f t="shared" si="28"/>
        <v/>
      </c>
      <c r="AN123" s="382"/>
      <c r="AO123" s="314" t="str">
        <f>IF($R$3=1,IF(Y123=AA123,"","NE"),IF(#REF!=$V$10,"NE",""))</f>
        <v/>
      </c>
      <c r="AP123" s="315" t="str">
        <f>IF(AB123=$V$3,IF(VLOOKUP(C123,[1]List1!$A:$E,5,FALSE)=0,1,VLOOKUP(C123,[1]List1!$A:$E,5,FALSE)),"")</f>
        <v/>
      </c>
      <c r="AW123" s="458">
        <f>IFERROR(FIND(VLOOKUP('General price list'!$AB$7,'General price list'!$AC$1:$AD$12,2,FALSE),Q123,1),0)</f>
        <v>0</v>
      </c>
      <c r="AX123" s="458">
        <f>IFERROR(FIND(VLOOKUP('General price list'!$AB$7,'General price list'!$AC$1:$AD$12,2,FALSE),R123,1),0)</f>
        <v>0</v>
      </c>
    </row>
    <row r="124" spans="1:57" ht="15" customHeight="1">
      <c r="A124" s="677" t="str">
        <f>Kat.!C124</f>
        <v xml:space="preserve">                                          </v>
      </c>
      <c r="B124" s="678">
        <v>103</v>
      </c>
      <c r="C124" s="679" t="s">
        <v>2303</v>
      </c>
      <c r="D124" s="679" t="s">
        <v>2304</v>
      </c>
      <c r="E124" s="680" t="s">
        <v>2445</v>
      </c>
      <c r="F124" s="681">
        <f>VLOOKUP(C124,[2]List1!$A:$D,2,FALSE)</f>
        <v>53</v>
      </c>
      <c r="G124" s="682">
        <f t="shared" si="17"/>
        <v>53</v>
      </c>
      <c r="H124" s="683">
        <f t="shared" si="18"/>
        <v>2.2000000000000002</v>
      </c>
      <c r="I124" s="836">
        <v>96</v>
      </c>
      <c r="J124" s="680" t="s">
        <v>45</v>
      </c>
      <c r="K124" s="854"/>
      <c r="L124" s="855" t="s">
        <v>13832</v>
      </c>
      <c r="M124" s="680" t="s">
        <v>25</v>
      </c>
      <c r="N124" s="868">
        <f>IFERROR(VLOOKUP(C124,[3]List1!$A:$D,4,FALSE),"N/A!")</f>
        <v>2.6998999999999999E-2</v>
      </c>
      <c r="O124" s="836">
        <f>IFERROR(VLOOKUP(C124,[3]List1!$A:$D,3,FALSE),"N/A!")</f>
        <v>7200</v>
      </c>
      <c r="P124" s="836">
        <f>IFERROR(VLOOKUP(C124,[3]List1!$A:$D,2,FALSE),"N/A!")</f>
        <v>13000</v>
      </c>
      <c r="Q124" s="680" t="s">
        <v>618</v>
      </c>
      <c r="R124" s="680" t="s">
        <v>24</v>
      </c>
      <c r="S124" s="680"/>
      <c r="T124" s="681">
        <v>90</v>
      </c>
      <c r="U124" s="873"/>
      <c r="V124" s="684" t="str">
        <f>_xlfn.IFNA(HYPERLINK("https://www.klasekpyrotechnics.cz/f10e"),"")</f>
        <v>https://www.klasekpyrotechnics.cz/f10e</v>
      </c>
      <c r="W124" s="685" t="str">
        <f>IFERROR(VLOOKUP($C124,Popisy!A:P,MATCH($W$17,Popisy!$A$7:$P$7,0),FALSE),"---------------")</f>
        <v>Knisternde Fontäne</v>
      </c>
      <c r="X124" s="889" t="str">
        <f t="shared" si="19"/>
        <v/>
      </c>
      <c r="Y124" s="890"/>
      <c r="Z124" s="685">
        <f>IFERROR(IF(VLOOKUP(C124,[4]List1!$A:$D,4,FALSE)=0,"",VLOOKUP(C124,[4]List1!$A:$D,4,FALSE)),"")</f>
        <v>54</v>
      </c>
      <c r="AA124" s="707"/>
      <c r="AB124" s="911" t="str">
        <f>IFERROR(IF(VLOOKUP(C124,[1]List1!$A:$D,2,FALSE)="VYPRODÁNO",$V$9,IF(VLOOKUP(C124,[1]List1!$A:$D,2,FALSE)="DOCHÁZÍ",$V$3,VLOOKUP(C124,[1]List1!$A:$D,2,FALSE))),"OFFLINE!")</f>
        <v>SKLADEM</v>
      </c>
      <c r="AC124" s="911" t="str">
        <f ca="1">IF(AO124="NE",$V$10,IF(AB124=$V$3,IF(AP124&lt;1,$V$8,$V$2&amp;" "&amp;AP124&amp;" "&amp;$V$1),IF(AB124="SKLADEM",$V$6,IFERROR(IF(OR(AB124-TODAY()&gt;21,VLOOKUP(C124,[1]List1!$A:$E,4,FALSE)=0),AB124,DAY(AB124)&amp;"."&amp;MONTH(AB124)&amp;"."&amp;YEAR(AB124)&amp;" "&amp;$V$4&amp;VLOOKUP(C124,[1]List1!$A:$E,4,FALSE)&amp;" "&amp;$V$1),AB124))))</f>
        <v>AUF LAGER</v>
      </c>
      <c r="AD124" s="686" t="str">
        <f ca="1">_xlfn.IFNA(VLOOKUP(C124,'General price list'!C:AM,MATCH($AD$20,'General price list'!$C$20:$AM$20,0),FALSE),"")</f>
        <v>AUF LAGER</v>
      </c>
      <c r="AE124" s="681">
        <f t="shared" ca="1" si="20"/>
        <v>0</v>
      </c>
      <c r="AF124" s="681">
        <f t="shared" ca="1" si="21"/>
        <v>0</v>
      </c>
      <c r="AG124" s="687">
        <f t="shared" ca="1" si="22"/>
        <v>0</v>
      </c>
      <c r="AH124" s="688">
        <f t="shared" ca="1" si="23"/>
        <v>0</v>
      </c>
      <c r="AI124" s="687">
        <f t="shared" ca="1" si="24"/>
        <v>0</v>
      </c>
      <c r="AJ124" s="689" t="str">
        <f t="shared" ca="1" si="25"/>
        <v/>
      </c>
      <c r="AK124" s="689" t="str">
        <f t="shared" ca="1" si="26"/>
        <v/>
      </c>
      <c r="AL124" s="689">
        <f t="shared" ca="1" si="27"/>
        <v>0</v>
      </c>
      <c r="AM124" s="690" t="str">
        <f t="shared" ca="1" si="28"/>
        <v/>
      </c>
      <c r="AN124" s="382"/>
      <c r="AO124" s="314" t="str">
        <f>IF($R$3=1,IF(Y124=AA124,"","NE"),IF(#REF!=$V$10,"NE",""))</f>
        <v/>
      </c>
      <c r="AP124" s="315" t="str">
        <f>IF(AB124=$V$3,IF(VLOOKUP(C124,[1]List1!$A:$E,5,FALSE)=0,1,VLOOKUP(C124,[1]List1!$A:$E,5,FALSE)),"")</f>
        <v/>
      </c>
      <c r="AW124" s="458">
        <f>IFERROR(FIND(VLOOKUP('General price list'!$AB$7,'General price list'!$AC$1:$AD$12,2,FALSE),Q124,1),0)</f>
        <v>0</v>
      </c>
      <c r="AX124" s="458">
        <f>IFERROR(FIND(VLOOKUP('General price list'!$AB$7,'General price list'!$AC$1:$AD$12,2,FALSE),R124,1),0)</f>
        <v>0</v>
      </c>
    </row>
    <row r="125" spans="1:57" ht="15" customHeight="1">
      <c r="A125" s="691" t="str">
        <f>Kat.!C125</f>
        <v xml:space="preserve">                                          </v>
      </c>
      <c r="B125" s="692">
        <v>104</v>
      </c>
      <c r="C125" s="693" t="s">
        <v>418</v>
      </c>
      <c r="D125" s="693" t="s">
        <v>419</v>
      </c>
      <c r="E125" s="694" t="s">
        <v>399</v>
      </c>
      <c r="F125" s="695">
        <f>VLOOKUP(C125,[2]List1!$A:$D,2,FALSE)</f>
        <v>252</v>
      </c>
      <c r="G125" s="696">
        <f t="shared" si="17"/>
        <v>252</v>
      </c>
      <c r="H125" s="697">
        <f t="shared" si="18"/>
        <v>10.3</v>
      </c>
      <c r="I125" s="837">
        <v>12</v>
      </c>
      <c r="J125" s="698" t="s">
        <v>45</v>
      </c>
      <c r="K125" s="856"/>
      <c r="L125" s="857" t="s">
        <v>13832</v>
      </c>
      <c r="M125" s="698" t="s">
        <v>25</v>
      </c>
      <c r="N125" s="869">
        <f>IFERROR(VLOOKUP(C125,[3]List1!$A:$D,4,FALSE),"N/A!")</f>
        <v>6.0736000000000005E-2</v>
      </c>
      <c r="O125" s="837">
        <f>IFERROR(VLOOKUP(C125,[3]List1!$A:$D,3,FALSE),"N/A!")</f>
        <v>2016</v>
      </c>
      <c r="P125" s="837">
        <f>IFERROR(VLOOKUP(C125,[3]List1!$A:$D,2,FALSE),"N/A!")</f>
        <v>8400</v>
      </c>
      <c r="Q125" s="698" t="s">
        <v>13732</v>
      </c>
      <c r="R125" s="698" t="s">
        <v>24</v>
      </c>
      <c r="S125" s="698"/>
      <c r="T125" s="695">
        <v>110</v>
      </c>
      <c r="U125" s="874"/>
      <c r="V125" s="699" t="str">
        <f>_xlfn.IFNA(HYPERLINK("https://www.klasekpyrotechnics.cz/f11m"),"")</f>
        <v>https://www.klasekpyrotechnics.cz/f11m</v>
      </c>
      <c r="W125" s="700" t="str">
        <f>IFERROR(VLOOKUP($C125,Popisy!A:P,MATCH($W$17,Popisy!$A$7:$P$7,0),FALSE),"---------------")</f>
        <v>6 verschiedenfarbige Effekte</v>
      </c>
      <c r="X125" s="891" t="str">
        <f t="shared" si="19"/>
        <v/>
      </c>
      <c r="Y125" s="892"/>
      <c r="Z125" s="700" t="str">
        <f>IFERROR(IF(VLOOKUP(C125,[4]List1!$A:$D,4,FALSE)=0,"",VLOOKUP(C125,[4]List1!$A:$D,4,FALSE)),"")</f>
        <v>16</v>
      </c>
      <c r="AA125" s="707"/>
      <c r="AB125" s="912" t="str">
        <f>IFERROR(IF(VLOOKUP(C125,[1]List1!$A:$D,2,FALSE)="VYPRODÁNO",$V$9,IF(VLOOKUP(C125,[1]List1!$A:$D,2,FALSE)="DOCHÁZÍ",$V$3,VLOOKUP(C125,[1]List1!$A:$D,2,FALSE))),"OFFLINE!")</f>
        <v>20.06.2024</v>
      </c>
      <c r="AC125" s="912" t="str">
        <f ca="1">IF(AO125="NE",$V$10,IF(AB125=$V$3,IF(AP125&lt;1,$V$8,$V$2&amp;" "&amp;AP125&amp;" "&amp;$V$1),IF(AB125="SKLADEM",$V$6,IFERROR(IF(OR(AB125-TODAY()&gt;21,VLOOKUP(C125,[1]List1!$A:$E,4,FALSE)=0),AB125,DAY(AB125)&amp;"."&amp;MONTH(AB125)&amp;"."&amp;YEAR(AB125)&amp;" "&amp;$V$4&amp;VLOOKUP(C125,[1]List1!$A:$E,4,FALSE)&amp;" "&amp;$V$1),AB125))))</f>
        <v>20.06.2024</v>
      </c>
      <c r="AD125" s="701" t="str">
        <f ca="1">_xlfn.IFNA(VLOOKUP(C125,'General price list'!C:AM,MATCH($AD$20,'General price list'!$C$20:$AM$20,0),FALSE),"")</f>
        <v>20.06.2024</v>
      </c>
      <c r="AE125" s="695">
        <f t="shared" ca="1" si="20"/>
        <v>0</v>
      </c>
      <c r="AF125" s="695">
        <f t="shared" ca="1" si="21"/>
        <v>0</v>
      </c>
      <c r="AG125" s="702">
        <f t="shared" ca="1" si="22"/>
        <v>0</v>
      </c>
      <c r="AH125" s="703">
        <f t="shared" ca="1" si="23"/>
        <v>0</v>
      </c>
      <c r="AI125" s="702">
        <f t="shared" ca="1" si="24"/>
        <v>0</v>
      </c>
      <c r="AJ125" s="704" t="str">
        <f t="shared" ca="1" si="25"/>
        <v/>
      </c>
      <c r="AK125" s="704" t="str">
        <f t="shared" ca="1" si="26"/>
        <v/>
      </c>
      <c r="AL125" s="704">
        <f t="shared" ca="1" si="27"/>
        <v>0</v>
      </c>
      <c r="AM125" s="705" t="str">
        <f t="shared" ca="1" si="28"/>
        <v/>
      </c>
      <c r="AN125" s="381"/>
      <c r="AO125" s="314" t="str">
        <f>IF($R$3=1,IF(Y125=AA125,"","NE"),IF(#REF!=$V$10,"NE",""))</f>
        <v/>
      </c>
      <c r="AP125" s="291" t="str">
        <f>IF(AB125=$V$3,IF(VLOOKUP(C125,[1]List1!$A:$E,5,FALSE)=0,1,VLOOKUP(C125,[1]List1!$A:$E,5,FALSE)),"")</f>
        <v/>
      </c>
      <c r="AW125" s="458">
        <f>IFERROR(FIND(VLOOKUP('General price list'!$AB$7,'General price list'!$AC$1:$AD$12,2,FALSE),Q125,1),0)</f>
        <v>0</v>
      </c>
      <c r="AX125" s="458">
        <f>IFERROR(FIND(VLOOKUP('General price list'!$AB$7,'General price list'!$AC$1:$AD$12,2,FALSE),R125,1),0)</f>
        <v>0</v>
      </c>
      <c r="BC125" s="292"/>
      <c r="BD125" s="292"/>
      <c r="BE125" s="292"/>
    </row>
    <row r="126" spans="1:57" ht="15" customHeight="1">
      <c r="A126" s="677" t="str">
        <f>Kat.!C126</f>
        <v xml:space="preserve">                                          </v>
      </c>
      <c r="B126" s="678">
        <v>105</v>
      </c>
      <c r="C126" s="679" t="s">
        <v>421</v>
      </c>
      <c r="D126" s="679" t="s">
        <v>422</v>
      </c>
      <c r="E126" s="680" t="s">
        <v>423</v>
      </c>
      <c r="F126" s="681">
        <f>VLOOKUP(C126,[2]List1!$A:$D,2,FALSE)</f>
        <v>449</v>
      </c>
      <c r="G126" s="682">
        <f t="shared" si="17"/>
        <v>449</v>
      </c>
      <c r="H126" s="683">
        <f t="shared" si="18"/>
        <v>18.3</v>
      </c>
      <c r="I126" s="836">
        <v>8</v>
      </c>
      <c r="J126" s="680" t="s">
        <v>230</v>
      </c>
      <c r="K126" s="854"/>
      <c r="L126" s="855" t="s">
        <v>13826</v>
      </c>
      <c r="M126" s="680" t="s">
        <v>25</v>
      </c>
      <c r="N126" s="868">
        <f>IFERROR(VLOOKUP(C126,[3]List1!$A:$D,4,FALSE),"N/A!")</f>
        <v>5.2488000000000007E-2</v>
      </c>
      <c r="O126" s="836">
        <f>IFERROR(VLOOKUP(C126,[3]List1!$A:$D,3,FALSE),"N/A!")</f>
        <v>624</v>
      </c>
      <c r="P126" s="836">
        <f>IFERROR(VLOOKUP(C126,[3]List1!$A:$D,2,FALSE),"N/A!")</f>
        <v>8500</v>
      </c>
      <c r="Q126" s="680" t="s">
        <v>13732</v>
      </c>
      <c r="R126" s="680" t="s">
        <v>24</v>
      </c>
      <c r="S126" s="680"/>
      <c r="T126" s="681">
        <v>55</v>
      </c>
      <c r="U126" s="873"/>
      <c r="V126" s="684" t="str">
        <f>_xlfn.IFNA(HYPERLINK("https://www.klasekpyrotechnics.cz/f14r"),"")</f>
        <v>https://www.klasekpyrotechnics.cz/f14r</v>
      </c>
      <c r="W126" s="685" t="str">
        <f>IFERROR(VLOOKUP($C126,Popisy!A:P,MATCH($W$17,Popisy!$A$7:$P$7,0),FALSE),"---------------")</f>
        <v>Rotierender Fountain</v>
      </c>
      <c r="X126" s="889" t="str">
        <f t="shared" si="19"/>
        <v/>
      </c>
      <c r="Y126" s="890"/>
      <c r="Z126" s="685">
        <f>IFERROR(IF(VLOOKUP(C126,[4]List1!$A:$D,4,FALSE)=0,"",VLOOKUP(C126,[4]List1!$A:$D,4,FALSE)),"")</f>
        <v>24</v>
      </c>
      <c r="AA126" s="707"/>
      <c r="AB126" s="911" t="str">
        <f>IFERROR(IF(VLOOKUP(C126,[1]List1!$A:$D,2,FALSE)="VYPRODÁNO",$V$9,IF(VLOOKUP(C126,[1]List1!$A:$D,2,FALSE)="DOCHÁZÍ",$V$3,VLOOKUP(C126,[1]List1!$A:$D,2,FALSE))),"OFFLINE!")</f>
        <v>20.06.2024</v>
      </c>
      <c r="AC126" s="911" t="str">
        <f ca="1">IF(AO126="NE",$V$10,IF(AB126=$V$3,IF(AP126&lt;1,$V$8,$V$2&amp;" "&amp;AP126&amp;" "&amp;$V$1),IF(AB126="SKLADEM",$V$6,IFERROR(IF(OR(AB126-TODAY()&gt;21,VLOOKUP(C126,[1]List1!$A:$E,4,FALSE)=0),AB126,DAY(AB126)&amp;"."&amp;MONTH(AB126)&amp;"."&amp;YEAR(AB126)&amp;" "&amp;$V$4&amp;VLOOKUP(C126,[1]List1!$A:$E,4,FALSE)&amp;" "&amp;$V$1),AB126))))</f>
        <v>20.06.2024</v>
      </c>
      <c r="AD126" s="686" t="str">
        <f ca="1">_xlfn.IFNA(VLOOKUP(C126,'General price list'!C:AM,MATCH($AD$20,'General price list'!$C$20:$AM$20,0),FALSE),"")</f>
        <v>20.06.2024</v>
      </c>
      <c r="AE126" s="681">
        <f t="shared" ca="1" si="20"/>
        <v>0</v>
      </c>
      <c r="AF126" s="681">
        <f t="shared" ca="1" si="21"/>
        <v>0</v>
      </c>
      <c r="AG126" s="687">
        <f t="shared" ca="1" si="22"/>
        <v>0</v>
      </c>
      <c r="AH126" s="688">
        <f t="shared" ca="1" si="23"/>
        <v>0</v>
      </c>
      <c r="AI126" s="687">
        <f t="shared" ca="1" si="24"/>
        <v>0</v>
      </c>
      <c r="AJ126" s="689" t="str">
        <f t="shared" ca="1" si="25"/>
        <v/>
      </c>
      <c r="AK126" s="689" t="str">
        <f t="shared" ca="1" si="26"/>
        <v/>
      </c>
      <c r="AL126" s="689">
        <f t="shared" ca="1" si="27"/>
        <v>0</v>
      </c>
      <c r="AM126" s="690" t="str">
        <f t="shared" ca="1" si="28"/>
        <v/>
      </c>
      <c r="AN126" s="382"/>
      <c r="AO126" s="314" t="str">
        <f>IF($R$3=1,IF(Y126=AA126,"","NE"),IF(#REF!=$V$10,"NE",""))</f>
        <v/>
      </c>
      <c r="AP126" s="315" t="str">
        <f>IF(AB126=$V$3,IF(VLOOKUP(C126,[1]List1!$A:$E,5,FALSE)=0,1,VLOOKUP(C126,[1]List1!$A:$E,5,FALSE)),"")</f>
        <v/>
      </c>
      <c r="AW126" s="458">
        <f>IFERROR(FIND(VLOOKUP('General price list'!$AB$7,'General price list'!$AC$1:$AD$12,2,FALSE),Q126,1),0)</f>
        <v>0</v>
      </c>
      <c r="AX126" s="458">
        <f>IFERROR(FIND(VLOOKUP('General price list'!$AB$7,'General price list'!$AC$1:$AD$12,2,FALSE),R126,1),0)</f>
        <v>0</v>
      </c>
    </row>
    <row r="127" spans="1:57" ht="15" customHeight="1">
      <c r="A127" s="672" t="str">
        <f>Kat.!C127</f>
        <v xml:space="preserve">                                          Vulkane</v>
      </c>
      <c r="B127" s="692">
        <v>106</v>
      </c>
      <c r="C127" s="693"/>
      <c r="D127" s="693"/>
      <c r="E127" s="694"/>
      <c r="F127" s="695" t="str">
        <f>IFERROR(ROUND(VLOOKUP(C127,'General price list'!$C:$AN,4,FALSE),0),"")</f>
        <v/>
      </c>
      <c r="G127" s="696" t="str">
        <f t="shared" si="17"/>
        <v/>
      </c>
      <c r="H127" s="697" t="str">
        <f t="shared" si="18"/>
        <v/>
      </c>
      <c r="I127" s="837"/>
      <c r="J127" s="698"/>
      <c r="K127" s="856"/>
      <c r="L127" s="857"/>
      <c r="M127" s="698"/>
      <c r="N127" s="869" t="str">
        <f>IFERROR(IF(VLOOKUP($C127,'General price list'!$C:$AN,MATCH(N$20,'General price list'!$C$20:$AM$20,0),FALSE)=0,"",VLOOKUP($C127,'General price list'!$C:$AN,MATCH(N$20,'General price list'!$C$20:$AM$20,0),FALSE)),"")</f>
        <v/>
      </c>
      <c r="O127" s="837" t="str">
        <f>IFERROR(IF(VLOOKUP($C127,'General price list'!$C:$AN,MATCH(O$20,'General price list'!$C$20:$AM$20,0),FALSE)=0,"",VLOOKUP($C127,'General price list'!$C:$AN,MATCH(O$20,'General price list'!$C$20:$AM$20,0),FALSE)),"")</f>
        <v/>
      </c>
      <c r="P127" s="837" t="str">
        <f>IFERROR(IF(VLOOKUP($C127,'General price list'!$C:$AN,MATCH(P$20,'General price list'!$C$20:$AM$20,0),FALSE)=0,"",VLOOKUP($C127,'General price list'!$C:$AN,MATCH(P$20,'General price list'!$C$20:$AM$20,0),FALSE)),"")</f>
        <v/>
      </c>
      <c r="Q127" s="698"/>
      <c r="R127" s="698"/>
      <c r="S127" s="698"/>
      <c r="T127" s="695"/>
      <c r="U127" s="874"/>
      <c r="V127" s="699"/>
      <c r="W127" s="700" t="str">
        <f>IFERROR(VLOOKUP($C127,'General price list'!$C:$AN,MATCH(W$20,'General price list'!$C$20:$AM$20,0),FALSE),"")</f>
        <v/>
      </c>
      <c r="X127" s="891" t="str">
        <f t="shared" si="19"/>
        <v/>
      </c>
      <c r="Y127" s="892"/>
      <c r="Z127" s="700" t="str">
        <f>IFERROR(VLOOKUP($C127,'General price list'!$C:$AN,MATCH(Z$20,'General price list'!$C$20:$AM$20,0),FALSE),"")</f>
        <v/>
      </c>
      <c r="AA127" s="707"/>
      <c r="AB127" s="912" t="str">
        <f>IFERROR(IF(VLOOKUP(C127,[1]List1!$A:$D,2,FALSE)="VYPRODÁNO",$V$9,IF(VLOOKUP(C127,[1]List1!$A:$D,2,FALSE)="DOCHÁZÍ",$V$3,VLOOKUP(C127,[1]List1!$A:$D,2,FALSE))),"OFFLINE!")</f>
        <v>OFFLINE!</v>
      </c>
      <c r="AC127" s="912" t="str">
        <f ca="1">IF(AO127="NE",$V$10,IF(AB127=$V$3,IF(AP127&lt;1,$V$8,$V$2&amp;" "&amp;AP127&amp;" "&amp;$V$1),IF(AB127="SKLADEM",$V$6,IFERROR(IF(OR(AB127-TODAY()&gt;21,VLOOKUP(C127,[1]List1!$A:$E,4,FALSE)=0),AB127,DAY(AB127)&amp;"."&amp;MONTH(AB127)&amp;"."&amp;YEAR(AB127)&amp;" "&amp;$V$4&amp;VLOOKUP(C127,[1]List1!$A:$E,4,FALSE)&amp;" "&amp;$V$1),AB127))))</f>
        <v>OFFLINE!</v>
      </c>
      <c r="AD127" s="701" t="str">
        <f>_xlfn.IFNA(VLOOKUP(C127,'General price list'!C:AM,MATCH($AD$20,'General price list'!$C$20:$AM$20,0),FALSE),"")</f>
        <v/>
      </c>
      <c r="AE127" s="695" t="str">
        <f t="shared" si="20"/>
        <v/>
      </c>
      <c r="AF127" s="695" t="str">
        <f t="shared" si="21"/>
        <v/>
      </c>
      <c r="AG127" s="702" t="str">
        <f t="shared" si="22"/>
        <v/>
      </c>
      <c r="AH127" s="703" t="str">
        <f t="shared" si="23"/>
        <v/>
      </c>
      <c r="AI127" s="702" t="str">
        <f t="shared" si="24"/>
        <v/>
      </c>
      <c r="AJ127" s="704" t="str">
        <f t="shared" si="25"/>
        <v/>
      </c>
      <c r="AK127" s="704" t="str">
        <f t="shared" si="26"/>
        <v/>
      </c>
      <c r="AL127" s="704" t="str">
        <f t="shared" si="27"/>
        <v/>
      </c>
      <c r="AM127" s="705" t="str">
        <f t="shared" si="28"/>
        <v/>
      </c>
      <c r="AN127" s="382"/>
      <c r="AO127" s="314" t="str">
        <f>IF($R$3=1,IF(Y127=AA127,"","NE"),IF(#REF!=$V$10,"NE",""))</f>
        <v/>
      </c>
      <c r="AP127" s="315" t="str">
        <f>IF(AB127=$V$3,IF(VLOOKUP(C127,[1]List1!$A:$E,5,FALSE)=0,1,VLOOKUP(C127,[1]List1!$A:$E,5,FALSE)),"")</f>
        <v/>
      </c>
      <c r="AW127" s="291" t="e">
        <f>VLOOKUP(C127,'General price list'!C:AU,46,FALSE)</f>
        <v>#N/A</v>
      </c>
      <c r="AX127" s="291" t="e">
        <f>VLOOKUP(C127,'General price list'!C:AU,47,FALSE)</f>
        <v>#N/A</v>
      </c>
    </row>
    <row r="128" spans="1:57" ht="15" customHeight="1">
      <c r="A128" s="677" t="str">
        <f>Kat.!C128</f>
        <v xml:space="preserve">                                          </v>
      </c>
      <c r="B128" s="678">
        <v>107</v>
      </c>
      <c r="C128" s="679" t="s">
        <v>426</v>
      </c>
      <c r="D128" s="679" t="s">
        <v>11768</v>
      </c>
      <c r="E128" s="680" t="s">
        <v>427</v>
      </c>
      <c r="F128" s="681">
        <f>VLOOKUP(C128,[2]List1!$A:$D,2,FALSE)</f>
        <v>227</v>
      </c>
      <c r="G128" s="682">
        <f t="shared" si="17"/>
        <v>227</v>
      </c>
      <c r="H128" s="683">
        <f t="shared" si="18"/>
        <v>9.1999999999999993</v>
      </c>
      <c r="I128" s="836">
        <v>20</v>
      </c>
      <c r="J128" s="680" t="s">
        <v>45</v>
      </c>
      <c r="K128" s="854"/>
      <c r="L128" s="855" t="s">
        <v>13833</v>
      </c>
      <c r="M128" s="680" t="s">
        <v>25</v>
      </c>
      <c r="N128" s="868">
        <f>IFERROR(VLOOKUP(C128,[3]List1!$A:$D,4,FALSE),"N/A!")</f>
        <v>4.0194000000000001E-2</v>
      </c>
      <c r="O128" s="836">
        <f>IFERROR(VLOOKUP(C128,[3]List1!$A:$D,3,FALSE),"N/A!")</f>
        <v>6000</v>
      </c>
      <c r="P128" s="836">
        <f>IFERROR(VLOOKUP(C128,[3]List1!$A:$D,2,FALSE),"N/A!")</f>
        <v>14000</v>
      </c>
      <c r="Q128" s="680" t="s">
        <v>44</v>
      </c>
      <c r="R128" s="680" t="s">
        <v>24</v>
      </c>
      <c r="S128" s="680"/>
      <c r="T128" s="681">
        <v>30</v>
      </c>
      <c r="U128" s="873"/>
      <c r="V128" s="684" t="str">
        <f>_xlfn.IFNA(HYPERLINK("https://www.klasekpyrotechnics.cz/f100c"),"")</f>
        <v>https://www.klasekpyrotechnics.cz/f100c</v>
      </c>
      <c r="W128" s="685" t="str">
        <f>IFERROR(VLOOKUP($C128,Popisy!A:P,MATCH($W$17,Popisy!$A$7:$P$7,0),FALSE),"---------------")</f>
        <v xml:space="preserve">Farbsterne, 3m Effekthöhe, </v>
      </c>
      <c r="X128" s="889" t="str">
        <f t="shared" si="19"/>
        <v/>
      </c>
      <c r="Y128" s="890"/>
      <c r="Z128" s="685">
        <f>IFERROR(IF(VLOOKUP(C128,[4]List1!$A:$D,4,FALSE)=0,"",VLOOKUP(C128,[4]List1!$A:$D,4,FALSE)),"")</f>
        <v>30</v>
      </c>
      <c r="AA128" s="707"/>
      <c r="AB128" s="911" t="str">
        <f>IFERROR(IF(VLOOKUP(C128,[1]List1!$A:$D,2,FALSE)="VYPRODÁNO",$V$9,IF(VLOOKUP(C128,[1]List1!$A:$D,2,FALSE)="DOCHÁZÍ",$V$3,VLOOKUP(C128,[1]List1!$A:$D,2,FALSE))),"OFFLINE!")</f>
        <v>SKLADEM</v>
      </c>
      <c r="AC128" s="911" t="str">
        <f ca="1">IF(AO128="NE",$V$10,IF(AB128=$V$3,IF(AP128&lt;1,$V$8,$V$2&amp;" "&amp;AP128&amp;" "&amp;$V$1),IF(AB128="SKLADEM",$V$6,IFERROR(IF(OR(AB128-TODAY()&gt;21,VLOOKUP(C128,[1]List1!$A:$E,4,FALSE)=0),AB128,DAY(AB128)&amp;"."&amp;MONTH(AB128)&amp;"."&amp;YEAR(AB128)&amp;" "&amp;$V$4&amp;VLOOKUP(C128,[1]List1!$A:$E,4,FALSE)&amp;" "&amp;$V$1),AB128))))</f>
        <v>AUF LAGER</v>
      </c>
      <c r="AD128" s="686" t="str">
        <f ca="1">_xlfn.IFNA(VLOOKUP(C128,'General price list'!C:AM,MATCH($AD$20,'General price list'!$C$20:$AM$20,0),FALSE),"")</f>
        <v>AUF LAGER</v>
      </c>
      <c r="AE128" s="681">
        <f t="shared" ca="1" si="20"/>
        <v>0</v>
      </c>
      <c r="AF128" s="681">
        <f t="shared" ca="1" si="21"/>
        <v>0</v>
      </c>
      <c r="AG128" s="687">
        <f t="shared" ca="1" si="22"/>
        <v>0</v>
      </c>
      <c r="AH128" s="688">
        <f t="shared" ca="1" si="23"/>
        <v>0</v>
      </c>
      <c r="AI128" s="687">
        <f t="shared" ca="1" si="24"/>
        <v>0</v>
      </c>
      <c r="AJ128" s="689" t="str">
        <f t="shared" ca="1" si="25"/>
        <v/>
      </c>
      <c r="AK128" s="689" t="str">
        <f t="shared" ca="1" si="26"/>
        <v/>
      </c>
      <c r="AL128" s="689">
        <f t="shared" ca="1" si="27"/>
        <v>0</v>
      </c>
      <c r="AM128" s="690" t="str">
        <f t="shared" ca="1" si="28"/>
        <v/>
      </c>
      <c r="AN128" s="382"/>
      <c r="AO128" s="314" t="str">
        <f>IF($R$3=1,IF(Y128=AA128,"","NE"),IF(#REF!=$V$10,"NE",""))</f>
        <v/>
      </c>
      <c r="AP128" s="315" t="str">
        <f>IF(AB128=$V$3,IF(VLOOKUP(C128,[1]List1!$A:$E,5,FALSE)=0,1,VLOOKUP(C128,[1]List1!$A:$E,5,FALSE)),"")</f>
        <v/>
      </c>
      <c r="AW128" s="458">
        <f>IFERROR(FIND(VLOOKUP('General price list'!$AB$7,'General price list'!$AC$1:$AD$12,2,FALSE),Q128,1),0)</f>
        <v>13</v>
      </c>
      <c r="AX128" s="458">
        <f>IFERROR(FIND(VLOOKUP('General price list'!$AB$7,'General price list'!$AC$1:$AD$12,2,FALSE),R128,1),0)</f>
        <v>0</v>
      </c>
    </row>
    <row r="129" spans="1:57" ht="15" customHeight="1">
      <c r="A129" s="691" t="str">
        <f>Kat.!C129</f>
        <v xml:space="preserve">                                          </v>
      </c>
      <c r="B129" s="692">
        <v>108</v>
      </c>
      <c r="C129" s="693" t="s">
        <v>430</v>
      </c>
      <c r="D129" s="693" t="s">
        <v>11769</v>
      </c>
      <c r="E129" s="694" t="s">
        <v>393</v>
      </c>
      <c r="F129" s="695">
        <f>VLOOKUP(C129,[2]List1!$A:$D,2,FALSE)</f>
        <v>159</v>
      </c>
      <c r="G129" s="696">
        <f t="shared" si="17"/>
        <v>159</v>
      </c>
      <c r="H129" s="697">
        <f t="shared" si="18"/>
        <v>6.5</v>
      </c>
      <c r="I129" s="837">
        <v>20</v>
      </c>
      <c r="J129" s="698" t="s">
        <v>45</v>
      </c>
      <c r="K129" s="856"/>
      <c r="L129" s="857" t="s">
        <v>13833</v>
      </c>
      <c r="M129" s="698" t="s">
        <v>25</v>
      </c>
      <c r="N129" s="869">
        <f>IFERROR(VLOOKUP(C129,[3]List1!$A:$D,4,FALSE),"N/A!")</f>
        <v>3.14925E-2</v>
      </c>
      <c r="O129" s="837">
        <f>IFERROR(VLOOKUP(C129,[3]List1!$A:$D,3,FALSE),"N/A!")</f>
        <v>4000</v>
      </c>
      <c r="P129" s="837">
        <f>IFERROR(VLOOKUP(C129,[3]List1!$A:$D,2,FALSE),"N/A!")</f>
        <v>10000</v>
      </c>
      <c r="Q129" s="698" t="s">
        <v>44</v>
      </c>
      <c r="R129" s="698" t="s">
        <v>24</v>
      </c>
      <c r="S129" s="698"/>
      <c r="T129" s="695">
        <v>30</v>
      </c>
      <c r="U129" s="874"/>
      <c r="V129" s="699" t="str">
        <f>_xlfn.IFNA(HYPERLINK("https://www.klasekpyrotechnics.cz/f100dc"),"")</f>
        <v>https://www.klasekpyrotechnics.cz/f100dc</v>
      </c>
      <c r="W129" s="700" t="str">
        <f>IFERROR(VLOOKUP($C129,Popisy!A:P,MATCH($W$17,Popisy!$A$7:$P$7,0),FALSE),"---------------")</f>
        <v xml:space="preserve">Knallende Doppelsterne, 3m Effekthöhe, </v>
      </c>
      <c r="X129" s="891" t="str">
        <f t="shared" si="19"/>
        <v/>
      </c>
      <c r="Y129" s="892"/>
      <c r="Z129" s="700">
        <f>IFERROR(IF(VLOOKUP(C129,[4]List1!$A:$D,4,FALSE)=0,"",VLOOKUP(C129,[4]List1!$A:$D,4,FALSE)),"")</f>
        <v>42</v>
      </c>
      <c r="AA129" s="707"/>
      <c r="AB129" s="912" t="str">
        <f>IFERROR(IF(VLOOKUP(C129,[1]List1!$A:$D,2,FALSE)="VYPRODÁNO",$V$9,IF(VLOOKUP(C129,[1]List1!$A:$D,2,FALSE)="DOCHÁZÍ",$V$3,VLOOKUP(C129,[1]List1!$A:$D,2,FALSE))),"OFFLINE!")</f>
        <v>SKLADEM</v>
      </c>
      <c r="AC129" s="912" t="str">
        <f ca="1">IF(AO129="NE",$V$10,IF(AB129=$V$3,IF(AP129&lt;1,$V$8,$V$2&amp;" "&amp;AP129&amp;" "&amp;$V$1),IF(AB129="SKLADEM",$V$6,IFERROR(IF(OR(AB129-TODAY()&gt;21,VLOOKUP(C129,[1]List1!$A:$E,4,FALSE)=0),AB129,DAY(AB129)&amp;"."&amp;MONTH(AB129)&amp;"."&amp;YEAR(AB129)&amp;" "&amp;$V$4&amp;VLOOKUP(C129,[1]List1!$A:$E,4,FALSE)&amp;" "&amp;$V$1),AB129))))</f>
        <v>AUF LAGER</v>
      </c>
      <c r="AD129" s="701" t="str">
        <f ca="1">_xlfn.IFNA(VLOOKUP(C129,'General price list'!C:AM,MATCH($AD$20,'General price list'!$C$20:$AM$20,0),FALSE),"")</f>
        <v>AUF LAGER</v>
      </c>
      <c r="AE129" s="695">
        <f t="shared" ca="1" si="20"/>
        <v>0</v>
      </c>
      <c r="AF129" s="695">
        <f t="shared" ca="1" si="21"/>
        <v>0</v>
      </c>
      <c r="AG129" s="702">
        <f t="shared" ca="1" si="22"/>
        <v>0</v>
      </c>
      <c r="AH129" s="703">
        <f t="shared" ca="1" si="23"/>
        <v>0</v>
      </c>
      <c r="AI129" s="702">
        <f t="shared" ca="1" si="24"/>
        <v>0</v>
      </c>
      <c r="AJ129" s="704" t="str">
        <f t="shared" ca="1" si="25"/>
        <v/>
      </c>
      <c r="AK129" s="704" t="str">
        <f t="shared" ca="1" si="26"/>
        <v/>
      </c>
      <c r="AL129" s="704">
        <f t="shared" ca="1" si="27"/>
        <v>0</v>
      </c>
      <c r="AM129" s="705" t="str">
        <f t="shared" ca="1" si="28"/>
        <v/>
      </c>
      <c r="AN129" s="382"/>
      <c r="AO129" s="314" t="str">
        <f>IF($R$3=1,IF(Y129=AA129,"","NE"),IF(#REF!=$V$10,"NE",""))</f>
        <v/>
      </c>
      <c r="AP129" s="315" t="str">
        <f>IF(AB129=$V$3,IF(VLOOKUP(C129,[1]List1!$A:$E,5,FALSE)=0,1,VLOOKUP(C129,[1]List1!$A:$E,5,FALSE)),"")</f>
        <v/>
      </c>
      <c r="AW129" s="458">
        <f>IFERROR(FIND(VLOOKUP('General price list'!$AB$7,'General price list'!$AC$1:$AD$12,2,FALSE),Q129,1),0)</f>
        <v>13</v>
      </c>
      <c r="AX129" s="458">
        <f>IFERROR(FIND(VLOOKUP('General price list'!$AB$7,'General price list'!$AC$1:$AD$12,2,FALSE),R129,1),0)</f>
        <v>0</v>
      </c>
    </row>
    <row r="130" spans="1:57" ht="15" customHeight="1">
      <c r="A130" s="677" t="str">
        <f>Kat.!C130</f>
        <v>×</v>
      </c>
      <c r="B130" s="678">
        <v>109</v>
      </c>
      <c r="C130" s="679" t="s">
        <v>431</v>
      </c>
      <c r="D130" s="679" t="s">
        <v>11770</v>
      </c>
      <c r="E130" s="680" t="s">
        <v>432</v>
      </c>
      <c r="F130" s="681">
        <f>VLOOKUP(C130,[2]List1!$A:$D,2,FALSE)</f>
        <v>210</v>
      </c>
      <c r="G130" s="682">
        <f t="shared" si="17"/>
        <v>210</v>
      </c>
      <c r="H130" s="683">
        <f t="shared" si="18"/>
        <v>8.5</v>
      </c>
      <c r="I130" s="836">
        <v>25</v>
      </c>
      <c r="J130" s="680" t="s">
        <v>45</v>
      </c>
      <c r="K130" s="854"/>
      <c r="L130" s="855" t="s">
        <v>13834</v>
      </c>
      <c r="M130" s="680" t="s">
        <v>25</v>
      </c>
      <c r="N130" s="868">
        <f>IFERROR(VLOOKUP(C130,[3]List1!$A:$D,4,FALSE),"N/A!")</f>
        <v>4.4226000000000001E-2</v>
      </c>
      <c r="O130" s="836">
        <f>IFERROR(VLOOKUP(C130,[3]List1!$A:$D,3,FALSE),"N/A!")</f>
        <v>7500</v>
      </c>
      <c r="P130" s="836">
        <f>IFERROR(VLOOKUP(C130,[3]List1!$A:$D,2,FALSE),"N/A!")</f>
        <v>13500</v>
      </c>
      <c r="Q130" s="680" t="s">
        <v>13733</v>
      </c>
      <c r="R130" s="680" t="s">
        <v>24</v>
      </c>
      <c r="S130" s="680"/>
      <c r="T130" s="681">
        <v>33</v>
      </c>
      <c r="U130" s="873"/>
      <c r="V130" s="684" t="str">
        <f>_xlfn.IFNA(HYPERLINK("https://www.klasekpyrotechnics.cz/f250ss"),"")</f>
        <v>https://www.klasekpyrotechnics.cz/f250ss</v>
      </c>
      <c r="W130" s="685" t="str">
        <f>IFERROR(VLOOKUP($C130,Popisy!A:P,MATCH($W$17,Popisy!$A$7:$P$7,0),FALSE),"---------------")</f>
        <v>Silbersterne, 4 m Effekthöhe,</v>
      </c>
      <c r="X130" s="889" t="str">
        <f t="shared" si="19"/>
        <v/>
      </c>
      <c r="Y130" s="890"/>
      <c r="Z130" s="685">
        <f>IFERROR(IF(VLOOKUP(C130,[4]List1!$A:$D,4,FALSE)=0,"",VLOOKUP(C130,[4]List1!$A:$D,4,FALSE)),"")</f>
        <v>32</v>
      </c>
      <c r="AA130" s="707"/>
      <c r="AB130" s="911" t="str">
        <f>IFERROR(IF(VLOOKUP(C130,[1]List1!$A:$D,2,FALSE)="VYPRODÁNO",$V$9,IF(VLOOKUP(C130,[1]List1!$A:$D,2,FALSE)="DOCHÁZÍ",$V$3,VLOOKUP(C130,[1]List1!$A:$D,2,FALSE))),"OFFLINE!")</f>
        <v>SKLADEM</v>
      </c>
      <c r="AC130" s="911" t="str">
        <f ca="1">IF(AO130="NE",$V$10,IF(AB130=$V$3,IF(AP130&lt;1,$V$8,$V$2&amp;" "&amp;AP130&amp;" "&amp;$V$1),IF(AB130="SKLADEM",$V$6,IFERROR(IF(OR(AB130-TODAY()&gt;21,VLOOKUP(C130,[1]List1!$A:$E,4,FALSE)=0),AB130,DAY(AB130)&amp;"."&amp;MONTH(AB130)&amp;"."&amp;YEAR(AB130)&amp;" "&amp;$V$4&amp;VLOOKUP(C130,[1]List1!$A:$E,4,FALSE)&amp;" "&amp;$V$1),AB130))))</f>
        <v>AUF LAGER</v>
      </c>
      <c r="AD130" s="686" t="str">
        <f ca="1">_xlfn.IFNA(VLOOKUP(C130,'General price list'!C:AM,MATCH($AD$20,'General price list'!$C$20:$AM$20,0),FALSE),"")</f>
        <v>AUF LAGER</v>
      </c>
      <c r="AE130" s="681">
        <f t="shared" ca="1" si="20"/>
        <v>0</v>
      </c>
      <c r="AF130" s="681">
        <f t="shared" ca="1" si="21"/>
        <v>0</v>
      </c>
      <c r="AG130" s="687">
        <f t="shared" ca="1" si="22"/>
        <v>0</v>
      </c>
      <c r="AH130" s="688">
        <f t="shared" ca="1" si="23"/>
        <v>0</v>
      </c>
      <c r="AI130" s="687">
        <f t="shared" ca="1" si="24"/>
        <v>0</v>
      </c>
      <c r="AJ130" s="689" t="str">
        <f t="shared" ca="1" si="25"/>
        <v/>
      </c>
      <c r="AK130" s="689" t="str">
        <f t="shared" ca="1" si="26"/>
        <v/>
      </c>
      <c r="AL130" s="689">
        <f t="shared" ca="1" si="27"/>
        <v>0</v>
      </c>
      <c r="AM130" s="690" t="str">
        <f t="shared" ca="1" si="28"/>
        <v/>
      </c>
      <c r="AN130" s="382"/>
      <c r="AO130" s="314" t="str">
        <f>IF($R$3=1,IF(Y130=AA130,"","NE"),IF(#REF!=$V$10,"NE",""))</f>
        <v/>
      </c>
      <c r="AP130" s="315" t="str">
        <f>IF(AB130=$V$3,IF(VLOOKUP(C130,[1]List1!$A:$E,5,FALSE)=0,1,VLOOKUP(C130,[1]List1!$A:$E,5,FALSE)),"")</f>
        <v/>
      </c>
      <c r="AW130" s="458">
        <f>IFERROR(FIND(VLOOKUP('General price list'!$AB$7,'General price list'!$AC$1:$AD$12,2,FALSE),Q130,1),0)</f>
        <v>16</v>
      </c>
      <c r="AX130" s="458">
        <f>IFERROR(FIND(VLOOKUP('General price list'!$AB$7,'General price list'!$AC$1:$AD$12,2,FALSE),R130,1),0)</f>
        <v>0</v>
      </c>
    </row>
    <row r="131" spans="1:57" ht="15" customHeight="1">
      <c r="A131" s="691" t="str">
        <f>Kat.!C131</f>
        <v xml:space="preserve">                                          </v>
      </c>
      <c r="B131" s="692">
        <v>110</v>
      </c>
      <c r="C131" s="693" t="s">
        <v>436</v>
      </c>
      <c r="D131" s="693" t="s">
        <v>11771</v>
      </c>
      <c r="E131" s="694" t="s">
        <v>432</v>
      </c>
      <c r="F131" s="695">
        <f>VLOOKUP(C131,[2]List1!$A:$D,2,FALSE)</f>
        <v>210</v>
      </c>
      <c r="G131" s="696">
        <f t="shared" si="17"/>
        <v>210</v>
      </c>
      <c r="H131" s="697">
        <f t="shared" si="18"/>
        <v>8.5</v>
      </c>
      <c r="I131" s="837">
        <v>25</v>
      </c>
      <c r="J131" s="698" t="s">
        <v>45</v>
      </c>
      <c r="K131" s="856"/>
      <c r="L131" s="857" t="s">
        <v>13834</v>
      </c>
      <c r="M131" s="698" t="s">
        <v>25</v>
      </c>
      <c r="N131" s="869">
        <f>IFERROR(VLOOKUP(C131,[3]List1!$A:$D,4,FALSE),"N/A!")</f>
        <v>4.4226000000000001E-2</v>
      </c>
      <c r="O131" s="837">
        <f>IFERROR(VLOOKUP(C131,[3]List1!$A:$D,3,FALSE),"N/A!")</f>
        <v>7500</v>
      </c>
      <c r="P131" s="837">
        <f>IFERROR(VLOOKUP(C131,[3]List1!$A:$D,2,FALSE),"N/A!")</f>
        <v>13500</v>
      </c>
      <c r="Q131" s="698" t="s">
        <v>13733</v>
      </c>
      <c r="R131" s="698" t="s">
        <v>24</v>
      </c>
      <c r="S131" s="698"/>
      <c r="T131" s="695">
        <v>33</v>
      </c>
      <c r="U131" s="874"/>
      <c r="V131" s="699" t="str">
        <f>_xlfn.IFNA(HYPERLINK("https://www.klasekpyrotechnics.cz/f250sc"),"")</f>
        <v>https://www.klasekpyrotechnics.cz/f250sc</v>
      </c>
      <c r="W131" s="700" t="str">
        <f>IFERROR(VLOOKUP($C131,Popisy!A:P,MATCH($W$17,Popisy!$A$7:$P$7,0),FALSE),"---------------")</f>
        <v xml:space="preserve">Knallende Silbersterne, 4 m Effekthöhe, </v>
      </c>
      <c r="X131" s="891" t="str">
        <f t="shared" si="19"/>
        <v/>
      </c>
      <c r="Y131" s="892"/>
      <c r="Z131" s="700">
        <f>IFERROR(IF(VLOOKUP(C131,[4]List1!$A:$D,4,FALSE)=0,"",VLOOKUP(C131,[4]List1!$A:$D,4,FALSE)),"")</f>
        <v>32</v>
      </c>
      <c r="AA131" s="707"/>
      <c r="AB131" s="912" t="str">
        <f>IFERROR(IF(VLOOKUP(C131,[1]List1!$A:$D,2,FALSE)="VYPRODÁNO",$V$9,IF(VLOOKUP(C131,[1]List1!$A:$D,2,FALSE)="DOCHÁZÍ",$V$3,VLOOKUP(C131,[1]List1!$A:$D,2,FALSE))),"OFFLINE!")</f>
        <v>SKLADEM</v>
      </c>
      <c r="AC131" s="912" t="str">
        <f ca="1">IF(AO131="NE",$V$10,IF(AB131=$V$3,IF(AP131&lt;1,$V$8,$V$2&amp;" "&amp;AP131&amp;" "&amp;$V$1),IF(AB131="SKLADEM",$V$6,IFERROR(IF(OR(AB131-TODAY()&gt;21,VLOOKUP(C131,[1]List1!$A:$E,4,FALSE)=0),AB131,DAY(AB131)&amp;"."&amp;MONTH(AB131)&amp;"."&amp;YEAR(AB131)&amp;" "&amp;$V$4&amp;VLOOKUP(C131,[1]List1!$A:$E,4,FALSE)&amp;" "&amp;$V$1),AB131))))</f>
        <v>AUF LAGER</v>
      </c>
      <c r="AD131" s="701" t="str">
        <f ca="1">_xlfn.IFNA(VLOOKUP(C131,'General price list'!C:AM,MATCH($AD$20,'General price list'!$C$20:$AM$20,0),FALSE),"")</f>
        <v>AUF LAGER</v>
      </c>
      <c r="AE131" s="695">
        <f t="shared" ca="1" si="20"/>
        <v>0</v>
      </c>
      <c r="AF131" s="695">
        <f t="shared" ca="1" si="21"/>
        <v>0</v>
      </c>
      <c r="AG131" s="702">
        <f t="shared" ca="1" si="22"/>
        <v>0</v>
      </c>
      <c r="AH131" s="703">
        <f t="shared" ca="1" si="23"/>
        <v>0</v>
      </c>
      <c r="AI131" s="702">
        <f t="shared" ca="1" si="24"/>
        <v>0</v>
      </c>
      <c r="AJ131" s="704" t="str">
        <f t="shared" ca="1" si="25"/>
        <v/>
      </c>
      <c r="AK131" s="704" t="str">
        <f t="shared" ca="1" si="26"/>
        <v/>
      </c>
      <c r="AL131" s="704">
        <f t="shared" ca="1" si="27"/>
        <v>0</v>
      </c>
      <c r="AM131" s="705" t="str">
        <f t="shared" ca="1" si="28"/>
        <v/>
      </c>
      <c r="AN131" s="382"/>
      <c r="AO131" s="314" t="str">
        <f>IF($R$3=1,IF(Y131=AA131,"","NE"),IF(#REF!=$V$10,"NE",""))</f>
        <v/>
      </c>
      <c r="AP131" s="315" t="str">
        <f>IF(AB131=$V$3,IF(VLOOKUP(C131,[1]List1!$A:$E,5,FALSE)=0,1,VLOOKUP(C131,[1]List1!$A:$E,5,FALSE)),"")</f>
        <v/>
      </c>
      <c r="AW131" s="458">
        <f>IFERROR(FIND(VLOOKUP('General price list'!$AB$7,'General price list'!$AC$1:$AD$12,2,FALSE),Q131,1),0)</f>
        <v>16</v>
      </c>
      <c r="AX131" s="458">
        <f>IFERROR(FIND(VLOOKUP('General price list'!$AB$7,'General price list'!$AC$1:$AD$12,2,FALSE),R131,1),0)</f>
        <v>0</v>
      </c>
    </row>
    <row r="132" spans="1:57" ht="15" customHeight="1">
      <c r="A132" s="677" t="str">
        <f>Kat.!C132</f>
        <v xml:space="preserve">                                          </v>
      </c>
      <c r="B132" s="678">
        <v>111</v>
      </c>
      <c r="C132" s="679" t="s">
        <v>440</v>
      </c>
      <c r="D132" s="679" t="s">
        <v>13634</v>
      </c>
      <c r="E132" s="680" t="s">
        <v>432</v>
      </c>
      <c r="F132" s="681">
        <f>VLOOKUP(C132,[2]List1!$A:$D,2,FALSE)</f>
        <v>210</v>
      </c>
      <c r="G132" s="682">
        <f t="shared" si="17"/>
        <v>210</v>
      </c>
      <c r="H132" s="683">
        <f t="shared" si="18"/>
        <v>8.5</v>
      </c>
      <c r="I132" s="836">
        <v>25</v>
      </c>
      <c r="J132" s="680" t="s">
        <v>45</v>
      </c>
      <c r="K132" s="854"/>
      <c r="L132" s="855" t="s">
        <v>13834</v>
      </c>
      <c r="M132" s="680" t="s">
        <v>25</v>
      </c>
      <c r="N132" s="868">
        <f>IFERROR(VLOOKUP(C132,[3]List1!$A:$D,4,FALSE),"N/A!")</f>
        <v>4.4226000000000001E-2</v>
      </c>
      <c r="O132" s="836">
        <f>IFERROR(VLOOKUP(C132,[3]List1!$A:$D,3,FALSE),"N/A!")</f>
        <v>7500</v>
      </c>
      <c r="P132" s="836">
        <f>IFERROR(VLOOKUP(C132,[3]List1!$A:$D,2,FALSE),"N/A!")</f>
        <v>13500</v>
      </c>
      <c r="Q132" s="680" t="s">
        <v>13733</v>
      </c>
      <c r="R132" s="680" t="s">
        <v>24</v>
      </c>
      <c r="S132" s="680"/>
      <c r="T132" s="681">
        <v>33</v>
      </c>
      <c r="U132" s="873"/>
      <c r="V132" s="684" t="str">
        <f>_xlfn.IFNA(HYPERLINK("https://www.klasekpyrotechnics.cz/f250c"),"")</f>
        <v>https://www.klasekpyrotechnics.cz/f250c</v>
      </c>
      <c r="W132" s="685" t="str">
        <f>IFERROR(VLOOKUP($C132,Popisy!A:P,MATCH($W$17,Popisy!$A$7:$P$7,0),FALSE),"---------------")</f>
        <v xml:space="preserve">Farbsterne, 4 m Effekthöhe, </v>
      </c>
      <c r="X132" s="889" t="str">
        <f t="shared" si="19"/>
        <v/>
      </c>
      <c r="Y132" s="890"/>
      <c r="Z132" s="685">
        <f>IFERROR(IF(VLOOKUP(C132,[4]List1!$A:$D,4,FALSE)=0,"",VLOOKUP(C132,[4]List1!$A:$D,4,FALSE)),"")</f>
        <v>32</v>
      </c>
      <c r="AA132" s="707"/>
      <c r="AB132" s="911" t="str">
        <f>IFERROR(IF(VLOOKUP(C132,[1]List1!$A:$D,2,FALSE)="VYPRODÁNO",$V$9,IF(VLOOKUP(C132,[1]List1!$A:$D,2,FALSE)="DOCHÁZÍ",$V$3,VLOOKUP(C132,[1]List1!$A:$D,2,FALSE))),"OFFLINE!")</f>
        <v>30.09.2024</v>
      </c>
      <c r="AC132" s="911" t="str">
        <f ca="1">IF(AO132="NE",$V$10,IF(AB132=$V$3,IF(AP132&lt;1,$V$8,$V$2&amp;" "&amp;AP132&amp;" "&amp;$V$1),IF(AB132="SKLADEM",$V$6,IFERROR(IF(OR(AB132-TODAY()&gt;21,VLOOKUP(C132,[1]List1!$A:$E,4,FALSE)=0),AB132,DAY(AB132)&amp;"."&amp;MONTH(AB132)&amp;"."&amp;YEAR(AB132)&amp;" "&amp;$V$4&amp;VLOOKUP(C132,[1]List1!$A:$E,4,FALSE)&amp;" "&amp;$V$1),AB132))))</f>
        <v>30.09.2024</v>
      </c>
      <c r="AD132" s="686" t="str">
        <f ca="1">_xlfn.IFNA(VLOOKUP(C132,'General price list'!C:AM,MATCH($AD$20,'General price list'!$C$20:$AM$20,0),FALSE),"")</f>
        <v>30.09.2024</v>
      </c>
      <c r="AE132" s="681">
        <f t="shared" ca="1" si="20"/>
        <v>0</v>
      </c>
      <c r="AF132" s="681">
        <f t="shared" ca="1" si="21"/>
        <v>0</v>
      </c>
      <c r="AG132" s="687">
        <f t="shared" ca="1" si="22"/>
        <v>0</v>
      </c>
      <c r="AH132" s="688">
        <f t="shared" ca="1" si="23"/>
        <v>0</v>
      </c>
      <c r="AI132" s="687">
        <f t="shared" ca="1" si="24"/>
        <v>0</v>
      </c>
      <c r="AJ132" s="689" t="str">
        <f t="shared" ca="1" si="25"/>
        <v/>
      </c>
      <c r="AK132" s="689" t="str">
        <f t="shared" ca="1" si="26"/>
        <v/>
      </c>
      <c r="AL132" s="689">
        <f t="shared" ca="1" si="27"/>
        <v>0</v>
      </c>
      <c r="AM132" s="690" t="str">
        <f t="shared" ca="1" si="28"/>
        <v/>
      </c>
      <c r="AN132" s="382"/>
      <c r="AO132" s="314" t="str">
        <f>IF($R$3=1,IF(Y132=AA132,"","NE"),IF(#REF!=$V$10,"NE",""))</f>
        <v/>
      </c>
      <c r="AP132" s="315" t="str">
        <f>IF(AB132=$V$3,IF(VLOOKUP(C132,[1]List1!$A:$E,5,FALSE)=0,1,VLOOKUP(C132,[1]List1!$A:$E,5,FALSE)),"")</f>
        <v/>
      </c>
      <c r="AW132" s="458">
        <f>IFERROR(FIND(VLOOKUP('General price list'!$AB$7,'General price list'!$AC$1:$AD$12,2,FALSE),Q132,1),0)</f>
        <v>16</v>
      </c>
      <c r="AX132" s="458">
        <f>IFERROR(FIND(VLOOKUP('General price list'!$AB$7,'General price list'!$AC$1:$AD$12,2,FALSE),R132,1),0)</f>
        <v>0</v>
      </c>
    </row>
    <row r="133" spans="1:57" ht="15" customHeight="1">
      <c r="A133" s="691" t="str">
        <f>Kat.!C133</f>
        <v xml:space="preserve">                                          </v>
      </c>
      <c r="B133" s="692">
        <v>112</v>
      </c>
      <c r="C133" s="693" t="s">
        <v>442</v>
      </c>
      <c r="D133" s="693" t="s">
        <v>443</v>
      </c>
      <c r="E133" s="694" t="s">
        <v>444</v>
      </c>
      <c r="F133" s="695">
        <f>VLOOKUP(C133,[2]List1!$A:$D,2,FALSE)</f>
        <v>451</v>
      </c>
      <c r="G133" s="696">
        <f t="shared" si="17"/>
        <v>451</v>
      </c>
      <c r="H133" s="697">
        <f t="shared" si="18"/>
        <v>18.3</v>
      </c>
      <c r="I133" s="837">
        <v>15</v>
      </c>
      <c r="J133" s="698" t="s">
        <v>45</v>
      </c>
      <c r="K133" s="856"/>
      <c r="L133" s="857" t="s">
        <v>13828</v>
      </c>
      <c r="M133" s="698" t="s">
        <v>25</v>
      </c>
      <c r="N133" s="869">
        <f>IFERROR(VLOOKUP(C133,[3]List1!$A:$D,4,FALSE),"N/A!")</f>
        <v>9.7143500000000008E-2</v>
      </c>
      <c r="O133" s="837">
        <f>IFERROR(VLOOKUP(C133,[3]List1!$A:$D,3,FALSE),"N/A!")</f>
        <v>7500</v>
      </c>
      <c r="P133" s="837">
        <f>IFERROR(VLOOKUP(C133,[3]List1!$A:$D,2,FALSE),"N/A!")</f>
        <v>22000</v>
      </c>
      <c r="Q133" s="698" t="s">
        <v>13734</v>
      </c>
      <c r="R133" s="698" t="s">
        <v>24</v>
      </c>
      <c r="S133" s="698"/>
      <c r="T133" s="695">
        <v>45</v>
      </c>
      <c r="U133" s="874"/>
      <c r="V133" s="699" t="str">
        <f>_xlfn.IFNA(HYPERLINK("https://www.klasekpyrotechnics.cz/f500sig"),"")</f>
        <v>https://www.klasekpyrotechnics.cz/f500sig</v>
      </c>
      <c r="W133" s="700" t="str">
        <f>IFERROR(VLOOKUP($C133,Popisy!A:P,MATCH($W$17,Popisy!$A$7:$P$7,0),FALSE),"---------------")</f>
        <v xml:space="preserve">starrende Sterne+bunte Sterne, 5 m Effekthöhe, </v>
      </c>
      <c r="X133" s="891" t="str">
        <f t="shared" si="19"/>
        <v/>
      </c>
      <c r="Y133" s="892"/>
      <c r="Z133" s="700" t="str">
        <f>IFERROR(IF(VLOOKUP(C133,[4]List1!$A:$D,4,FALSE)=0,"",VLOOKUP(C133,[4]List1!$A:$D,4,FALSE)),"")</f>
        <v>16</v>
      </c>
      <c r="AA133" s="707"/>
      <c r="AB133" s="912" t="str">
        <f>IFERROR(IF(VLOOKUP(C133,[1]List1!$A:$D,2,FALSE)="VYPRODÁNO",$V$9,IF(VLOOKUP(C133,[1]List1!$A:$D,2,FALSE)="DOCHÁZÍ",$V$3,VLOOKUP(C133,[1]List1!$A:$D,2,FALSE))),"OFFLINE!")</f>
        <v>LETZTE STÜCKE</v>
      </c>
      <c r="AC133" s="912" t="str">
        <f ca="1">IF(AO133="NE",$V$10,IF(AB133=$V$3,IF(AP133&lt;1,$V$8,$V$2&amp;" "&amp;AP133&amp;" "&amp;$V$1),IF(AB133="SKLADEM",$V$6,IFERROR(IF(OR(AB133-TODAY()&gt;21,VLOOKUP(C133,[1]List1!$A:$E,4,FALSE)=0),AB133,DAY(AB133)&amp;"."&amp;MONTH(AB133)&amp;"."&amp;YEAR(AB133)&amp;" "&amp;$V$4&amp;VLOOKUP(C133,[1]List1!$A:$E,4,FALSE)&amp;" "&amp;$V$1),AB133))))</f>
        <v>LETZTE 11 KTN</v>
      </c>
      <c r="AD133" s="701" t="str">
        <f ca="1">_xlfn.IFNA(VLOOKUP(C133,'General price list'!C:AM,MATCH($AD$20,'General price list'!$C$20:$AM$20,0),FALSE),"")</f>
        <v>LETZTE 11 KTN</v>
      </c>
      <c r="AE133" s="695">
        <f t="shared" ca="1" si="20"/>
        <v>0</v>
      </c>
      <c r="AF133" s="695">
        <f t="shared" ca="1" si="21"/>
        <v>0</v>
      </c>
      <c r="AG133" s="702">
        <f t="shared" ca="1" si="22"/>
        <v>0</v>
      </c>
      <c r="AH133" s="703">
        <f t="shared" ca="1" si="23"/>
        <v>0</v>
      </c>
      <c r="AI133" s="702">
        <f t="shared" ca="1" si="24"/>
        <v>0</v>
      </c>
      <c r="AJ133" s="704" t="str">
        <f t="shared" ca="1" si="25"/>
        <v/>
      </c>
      <c r="AK133" s="704" t="str">
        <f t="shared" ca="1" si="26"/>
        <v/>
      </c>
      <c r="AL133" s="704">
        <f t="shared" ca="1" si="27"/>
        <v>0</v>
      </c>
      <c r="AM133" s="705" t="str">
        <f t="shared" ca="1" si="28"/>
        <v/>
      </c>
      <c r="AN133" s="382"/>
      <c r="AO133" s="314" t="str">
        <f>IF($R$3=1,IF(Y133=AA133,"","NE"),IF(#REF!=$V$10,"NE",""))</f>
        <v/>
      </c>
      <c r="AP133" s="315">
        <f>IF(AB133=$V$3,IF(VLOOKUP(C133,[1]List1!$A:$E,5,FALSE)=0,1,VLOOKUP(C133,[1]List1!$A:$E,5,FALSE)),"")</f>
        <v>11</v>
      </c>
      <c r="AW133" s="458">
        <f>IFERROR(FIND(VLOOKUP('General price list'!$AB$7,'General price list'!$AC$1:$AD$12,2,FALSE),Q133,1),0)</f>
        <v>22</v>
      </c>
      <c r="AX133" s="458">
        <f>IFERROR(FIND(VLOOKUP('General price list'!$AB$7,'General price list'!$AC$1:$AD$12,2,FALSE),R133,1),0)</f>
        <v>0</v>
      </c>
    </row>
    <row r="134" spans="1:57" ht="15" customHeight="1">
      <c r="A134" s="672" t="str">
        <f>Kat.!C134</f>
        <v xml:space="preserve">                                          Interieur Fontänen</v>
      </c>
      <c r="B134" s="678">
        <v>113</v>
      </c>
      <c r="C134" s="679"/>
      <c r="D134" s="679"/>
      <c r="E134" s="680"/>
      <c r="F134" s="681" t="str">
        <f>IFERROR(ROUND(VLOOKUP(C134,'General price list'!$C:$AN,4,FALSE),0),"")</f>
        <v/>
      </c>
      <c r="G134" s="682" t="str">
        <f t="shared" si="17"/>
        <v/>
      </c>
      <c r="H134" s="683" t="str">
        <f t="shared" si="18"/>
        <v/>
      </c>
      <c r="I134" s="836"/>
      <c r="J134" s="680"/>
      <c r="K134" s="854"/>
      <c r="L134" s="855"/>
      <c r="M134" s="680"/>
      <c r="N134" s="868" t="str">
        <f>IFERROR(IF(VLOOKUP($C134,'General price list'!$C:$AN,MATCH(N$20,'General price list'!$C$20:$AM$20,0),FALSE)=0,"",VLOOKUP($C134,'General price list'!$C:$AN,MATCH(N$20,'General price list'!$C$20:$AM$20,0),FALSE)),"")</f>
        <v/>
      </c>
      <c r="O134" s="836" t="str">
        <f>IFERROR(IF(VLOOKUP($C134,'General price list'!$C:$AN,MATCH(O$20,'General price list'!$C$20:$AM$20,0),FALSE)=0,"",VLOOKUP($C134,'General price list'!$C:$AN,MATCH(O$20,'General price list'!$C$20:$AM$20,0),FALSE)),"")</f>
        <v/>
      </c>
      <c r="P134" s="836" t="str">
        <f>IFERROR(IF(VLOOKUP($C134,'General price list'!$C:$AN,MATCH(P$20,'General price list'!$C$20:$AM$20,0),FALSE)=0,"",VLOOKUP($C134,'General price list'!$C:$AN,MATCH(P$20,'General price list'!$C$20:$AM$20,0),FALSE)),"")</f>
        <v/>
      </c>
      <c r="Q134" s="680"/>
      <c r="R134" s="680"/>
      <c r="S134" s="680"/>
      <c r="T134" s="681"/>
      <c r="U134" s="873"/>
      <c r="V134" s="684"/>
      <c r="W134" s="685" t="str">
        <f>IFERROR(VLOOKUP($C134,'General price list'!$C:$AN,MATCH(W$20,'General price list'!$C$20:$AM$20,0),FALSE),"")</f>
        <v/>
      </c>
      <c r="X134" s="889" t="str">
        <f t="shared" si="19"/>
        <v/>
      </c>
      <c r="Y134" s="890"/>
      <c r="Z134" s="685" t="str">
        <f>IFERROR(VLOOKUP($C134,'General price list'!$C:$AN,MATCH(Z$20,'General price list'!$C$20:$AM$20,0),FALSE),"")</f>
        <v/>
      </c>
      <c r="AA134" s="707"/>
      <c r="AB134" s="911" t="str">
        <f>IFERROR(IF(VLOOKUP(C134,[1]List1!$A:$D,2,FALSE)="VYPRODÁNO",$V$9,IF(VLOOKUP(C134,[1]List1!$A:$D,2,FALSE)="DOCHÁZÍ",$V$3,VLOOKUP(C134,[1]List1!$A:$D,2,FALSE))),"OFFLINE!")</f>
        <v>OFFLINE!</v>
      </c>
      <c r="AC134" s="911" t="str">
        <f ca="1">IF(AO134="NE",$V$10,IF(AB134=$V$3,IF(AP134&lt;1,$V$8,$V$2&amp;" "&amp;AP134&amp;" "&amp;$V$1),IF(AB134="SKLADEM",$V$6,IFERROR(IF(OR(AB134-TODAY()&gt;21,VLOOKUP(C134,[1]List1!$A:$E,4,FALSE)=0),AB134,DAY(AB134)&amp;"."&amp;MONTH(AB134)&amp;"."&amp;YEAR(AB134)&amp;" "&amp;$V$4&amp;VLOOKUP(C134,[1]List1!$A:$E,4,FALSE)&amp;" "&amp;$V$1),AB134))))</f>
        <v>OFFLINE!</v>
      </c>
      <c r="AD134" s="686" t="str">
        <f>_xlfn.IFNA(VLOOKUP(C134,'General price list'!C:AM,MATCH($AD$20,'General price list'!$C$20:$AM$20,0),FALSE),"")</f>
        <v/>
      </c>
      <c r="AE134" s="681" t="str">
        <f t="shared" si="20"/>
        <v/>
      </c>
      <c r="AF134" s="681" t="str">
        <f t="shared" si="21"/>
        <v/>
      </c>
      <c r="AG134" s="687" t="str">
        <f t="shared" si="22"/>
        <v/>
      </c>
      <c r="AH134" s="688" t="str">
        <f t="shared" si="23"/>
        <v/>
      </c>
      <c r="AI134" s="687" t="str">
        <f t="shared" si="24"/>
        <v/>
      </c>
      <c r="AJ134" s="689" t="str">
        <f t="shared" si="25"/>
        <v/>
      </c>
      <c r="AK134" s="689" t="str">
        <f t="shared" si="26"/>
        <v/>
      </c>
      <c r="AL134" s="689" t="str">
        <f t="shared" si="27"/>
        <v/>
      </c>
      <c r="AM134" s="690" t="str">
        <f t="shared" si="28"/>
        <v/>
      </c>
      <c r="AN134" s="382"/>
      <c r="AO134" s="314" t="str">
        <f>IF($R$3=1,IF(Y134=AA134,"","NE"),IF(#REF!=$V$10,"NE",""))</f>
        <v/>
      </c>
      <c r="AP134" s="315" t="str">
        <f>IF(AB134=$V$3,IF(VLOOKUP(C134,[1]List1!$A:$E,5,FALSE)=0,1,VLOOKUP(C134,[1]List1!$A:$E,5,FALSE)),"")</f>
        <v/>
      </c>
      <c r="AW134" s="291" t="e">
        <f>VLOOKUP(C134,'General price list'!C:AU,46,FALSE)</f>
        <v>#N/A</v>
      </c>
      <c r="AX134" s="291" t="e">
        <f>VLOOKUP(C134,'General price list'!C:AU,47,FALSE)</f>
        <v>#N/A</v>
      </c>
    </row>
    <row r="135" spans="1:57" ht="15" customHeight="1">
      <c r="A135" s="691" t="str">
        <f>Kat.!C135</f>
        <v xml:space="preserve">                                          </v>
      </c>
      <c r="B135" s="692">
        <v>114</v>
      </c>
      <c r="C135" s="693" t="s">
        <v>483</v>
      </c>
      <c r="D135" s="693" t="s">
        <v>484</v>
      </c>
      <c r="E135" s="694" t="s">
        <v>485</v>
      </c>
      <c r="F135" s="695">
        <f>VLOOKUP(C135,[2]List1!$A:$D,2,FALSE)</f>
        <v>34</v>
      </c>
      <c r="G135" s="696">
        <f t="shared" si="17"/>
        <v>34</v>
      </c>
      <c r="H135" s="697">
        <f t="shared" si="18"/>
        <v>1.4</v>
      </c>
      <c r="I135" s="837">
        <v>100</v>
      </c>
      <c r="J135" s="698" t="s">
        <v>23</v>
      </c>
      <c r="K135" s="856"/>
      <c r="L135" s="857" t="s">
        <v>13835</v>
      </c>
      <c r="M135" s="698" t="s">
        <v>25</v>
      </c>
      <c r="N135" s="869">
        <f>IFERROR(VLOOKUP(C135,[3]List1!$A:$D,4,FALSE),"N/A!")</f>
        <v>2.3715E-2</v>
      </c>
      <c r="O135" s="837">
        <f>IFERROR(VLOOKUP(C135,[3]List1!$A:$D,3,FALSE),"N/A!")</f>
        <v>1800</v>
      </c>
      <c r="P135" s="837">
        <f>IFERROR(VLOOKUP(C135,[3]List1!$A:$D,2,FALSE),"N/A!")</f>
        <v>8000</v>
      </c>
      <c r="Q135" s="698" t="s">
        <v>610</v>
      </c>
      <c r="R135" s="698" t="s">
        <v>24</v>
      </c>
      <c r="S135" s="698"/>
      <c r="T135" s="695">
        <v>30</v>
      </c>
      <c r="U135" s="874"/>
      <c r="V135" s="699" t="str">
        <f>_xlfn.IFNA(HYPERLINK("https://www.klasekpyrotechnics.cz/df10cm"),"")</f>
        <v>https://www.klasekpyrotechnics.cz/df10cm</v>
      </c>
      <c r="W135" s="700" t="str">
        <f>IFERROR(VLOOKUP($C135,Popisy!A:P,MATCH($W$17,Popisy!$A$7:$P$7,0),FALSE),"---------------")</f>
        <v>Silberne Sterne (kaltes Feuer), Länge 10 cm, Lebensmittelattest!</v>
      </c>
      <c r="X135" s="891" t="str">
        <f t="shared" si="19"/>
        <v/>
      </c>
      <c r="Y135" s="892"/>
      <c r="Z135" s="700">
        <f>IFERROR(IF(VLOOKUP(C135,[4]List1!$A:$D,4,FALSE)=0,"",VLOOKUP(C135,[4]List1!$A:$D,4,FALSE)),"")</f>
        <v>48</v>
      </c>
      <c r="AA135" s="707"/>
      <c r="AB135" s="912" t="str">
        <f>IFERROR(IF(VLOOKUP(C135,[1]List1!$A:$D,2,FALSE)="VYPRODÁNO",$V$9,IF(VLOOKUP(C135,[1]List1!$A:$D,2,FALSE)="DOCHÁZÍ",$V$3,VLOOKUP(C135,[1]List1!$A:$D,2,FALSE))),"OFFLINE!")</f>
        <v>15.08.2024</v>
      </c>
      <c r="AC135" s="912" t="str">
        <f ca="1">IF(AO135="NE",$V$10,IF(AB135=$V$3,IF(AP135&lt;1,$V$8,$V$2&amp;" "&amp;AP135&amp;" "&amp;$V$1),IF(AB135="SKLADEM",$V$6,IFERROR(IF(OR(AB135-TODAY()&gt;21,VLOOKUP(C135,[1]List1!$A:$E,4,FALSE)=0),AB135,DAY(AB135)&amp;"."&amp;MONTH(AB135)&amp;"."&amp;YEAR(AB135)&amp;" "&amp;$V$4&amp;VLOOKUP(C135,[1]List1!$A:$E,4,FALSE)&amp;" "&amp;$V$1),AB135))))</f>
        <v>15.08.2024</v>
      </c>
      <c r="AD135" s="701" t="str">
        <f ca="1">_xlfn.IFNA(VLOOKUP(C135,'General price list'!C:AM,MATCH($AD$20,'General price list'!$C$20:$AM$20,0),FALSE),"")</f>
        <v>15.08.2024</v>
      </c>
      <c r="AE135" s="695">
        <f t="shared" ca="1" si="20"/>
        <v>0</v>
      </c>
      <c r="AF135" s="695">
        <f t="shared" ca="1" si="21"/>
        <v>0</v>
      </c>
      <c r="AG135" s="702">
        <f t="shared" ca="1" si="22"/>
        <v>0</v>
      </c>
      <c r="AH135" s="703">
        <f t="shared" ca="1" si="23"/>
        <v>0</v>
      </c>
      <c r="AI135" s="702">
        <f t="shared" ca="1" si="24"/>
        <v>0</v>
      </c>
      <c r="AJ135" s="704" t="str">
        <f t="shared" ca="1" si="25"/>
        <v/>
      </c>
      <c r="AK135" s="704" t="str">
        <f t="shared" ca="1" si="26"/>
        <v/>
      </c>
      <c r="AL135" s="704">
        <f t="shared" ca="1" si="27"/>
        <v>0</v>
      </c>
      <c r="AM135" s="705" t="str">
        <f t="shared" ca="1" si="28"/>
        <v/>
      </c>
      <c r="AN135" s="382"/>
      <c r="AO135" s="314" t="str">
        <f>IF($R$3=1,IF(Y135=AA135,"","NE"),IF(#REF!=$V$10,"NE",""))</f>
        <v/>
      </c>
      <c r="AP135" s="315" t="str">
        <f>IF(AB135=$V$3,IF(VLOOKUP(C135,[1]List1!$A:$E,5,FALSE)=0,1,VLOOKUP(C135,[1]List1!$A:$E,5,FALSE)),"")</f>
        <v/>
      </c>
      <c r="AW135" s="458">
        <f>IFERROR(FIND(VLOOKUP('General price list'!$AB$7,'General price list'!$AC$1:$AD$12,2,FALSE),Q135,1),0)</f>
        <v>0</v>
      </c>
      <c r="AX135" s="458">
        <f>IFERROR(FIND(VLOOKUP('General price list'!$AB$7,'General price list'!$AC$1:$AD$12,2,FALSE),R135,1),0)</f>
        <v>0</v>
      </c>
    </row>
    <row r="136" spans="1:57" ht="15" customHeight="1">
      <c r="A136" s="677" t="str">
        <f>Kat.!C136</f>
        <v xml:space="preserve">                                          </v>
      </c>
      <c r="B136" s="678">
        <v>115</v>
      </c>
      <c r="C136" s="679" t="s">
        <v>489</v>
      </c>
      <c r="D136" s="679" t="s">
        <v>490</v>
      </c>
      <c r="E136" s="680" t="s">
        <v>491</v>
      </c>
      <c r="F136" s="681">
        <f>VLOOKUP(C136,[2]List1!$A:$D,2,FALSE)</f>
        <v>54</v>
      </c>
      <c r="G136" s="682">
        <f t="shared" si="17"/>
        <v>54</v>
      </c>
      <c r="H136" s="683">
        <f t="shared" si="18"/>
        <v>2.2000000000000002</v>
      </c>
      <c r="I136" s="836">
        <v>50</v>
      </c>
      <c r="J136" s="680" t="s">
        <v>23</v>
      </c>
      <c r="K136" s="854"/>
      <c r="L136" s="855" t="s">
        <v>13835</v>
      </c>
      <c r="M136" s="680" t="s">
        <v>25</v>
      </c>
      <c r="N136" s="868">
        <f>IFERROR(VLOOKUP(C136,[3]List1!$A:$D,4,FALSE),"N/A!")</f>
        <v>2.2100000000000002E-2</v>
      </c>
      <c r="O136" s="836">
        <f>IFERROR(VLOOKUP(C136,[3]List1!$A:$D,3,FALSE),"N/A!")</f>
        <v>1800</v>
      </c>
      <c r="P136" s="836">
        <f>IFERROR(VLOOKUP(C136,[3]List1!$A:$D,2,FALSE),"N/A!")</f>
        <v>6400</v>
      </c>
      <c r="Q136" s="680" t="s">
        <v>610</v>
      </c>
      <c r="R136" s="680" t="s">
        <v>24</v>
      </c>
      <c r="S136" s="680"/>
      <c r="T136" s="681">
        <v>60</v>
      </c>
      <c r="U136" s="873"/>
      <c r="V136" s="684" t="str">
        <f>_xlfn.IFNA(HYPERLINK("https://www.klasekpyrotechnics.cz/df20cm"),"")</f>
        <v>https://www.klasekpyrotechnics.cz/df20cm</v>
      </c>
      <c r="W136" s="685" t="str">
        <f>IFERROR(VLOOKUP($C136,Popisy!A:P,MATCH($W$17,Popisy!$A$7:$P$7,0),FALSE),"---------------")</f>
        <v>Silberne Sterne (kaltes Feuer), Länge 20 cm, Lebensmittelattest! Silbernes Papier für 1 Stk.</v>
      </c>
      <c r="X136" s="889" t="str">
        <f t="shared" si="19"/>
        <v/>
      </c>
      <c r="Y136" s="890"/>
      <c r="Z136" s="685">
        <f>IFERROR(IF(VLOOKUP(C136,[4]List1!$A:$D,4,FALSE)=0,"",VLOOKUP(C136,[4]List1!$A:$D,4,FALSE)),"")</f>
        <v>54</v>
      </c>
      <c r="AA136" s="707"/>
      <c r="AB136" s="911" t="str">
        <f>IFERROR(IF(VLOOKUP(C136,[1]List1!$A:$D,2,FALSE)="VYPRODÁNO",$V$9,IF(VLOOKUP(C136,[1]List1!$A:$D,2,FALSE)="DOCHÁZÍ",$V$3,VLOOKUP(C136,[1]List1!$A:$D,2,FALSE))),"OFFLINE!")</f>
        <v>SKLADEM</v>
      </c>
      <c r="AC136" s="911" t="str">
        <f ca="1">IF(AO136="NE",$V$10,IF(AB136=$V$3,IF(AP136&lt;1,$V$8,$V$2&amp;" "&amp;AP136&amp;" "&amp;$V$1),IF(AB136="SKLADEM",$V$6,IFERROR(IF(OR(AB136-TODAY()&gt;21,VLOOKUP(C136,[1]List1!$A:$E,4,FALSE)=0),AB136,DAY(AB136)&amp;"."&amp;MONTH(AB136)&amp;"."&amp;YEAR(AB136)&amp;" "&amp;$V$4&amp;VLOOKUP(C136,[1]List1!$A:$E,4,FALSE)&amp;" "&amp;$V$1),AB136))))</f>
        <v>AUF LAGER</v>
      </c>
      <c r="AD136" s="686">
        <f>_xlfn.IFNA(VLOOKUP(C136,'General price list'!C:AM,MATCH($AD$20,'General price list'!$C$20:$AM$20,0),FALSE),"")</f>
        <v>0</v>
      </c>
      <c r="AE136" s="681">
        <f t="shared" si="20"/>
        <v>0</v>
      </c>
      <c r="AF136" s="681">
        <f t="shared" si="21"/>
        <v>0</v>
      </c>
      <c r="AG136" s="687">
        <f t="shared" si="22"/>
        <v>0</v>
      </c>
      <c r="AH136" s="688">
        <f t="shared" si="23"/>
        <v>0</v>
      </c>
      <c r="AI136" s="687">
        <f t="shared" si="24"/>
        <v>0</v>
      </c>
      <c r="AJ136" s="689" t="str">
        <f t="shared" si="25"/>
        <v/>
      </c>
      <c r="AK136" s="689" t="str">
        <f t="shared" si="26"/>
        <v/>
      </c>
      <c r="AL136" s="689">
        <f t="shared" si="27"/>
        <v>0</v>
      </c>
      <c r="AM136" s="690" t="str">
        <f t="shared" si="28"/>
        <v/>
      </c>
      <c r="AN136" s="382"/>
      <c r="AO136" s="314" t="str">
        <f>IF($R$3=1,IF(Y136=AA136,"","NE"),IF(#REF!=$V$10,"NE",""))</f>
        <v/>
      </c>
      <c r="AP136" s="315" t="str">
        <f>IF(AB136=$V$3,IF(VLOOKUP(C136,[1]List1!$A:$E,5,FALSE)=0,1,VLOOKUP(C136,[1]List1!$A:$E,5,FALSE)),"")</f>
        <v/>
      </c>
      <c r="AW136" s="458">
        <f>IFERROR(FIND(VLOOKUP('General price list'!$AB$7,'General price list'!$AC$1:$AD$12,2,FALSE),Q136,1),0)</f>
        <v>0</v>
      </c>
      <c r="AX136" s="458">
        <f>IFERROR(FIND(VLOOKUP('General price list'!$AB$7,'General price list'!$AC$1:$AD$12,2,FALSE),R136,1),0)</f>
        <v>0</v>
      </c>
    </row>
    <row r="137" spans="1:57" ht="15" customHeight="1">
      <c r="A137" s="691" t="str">
        <f>Kat.!C137</f>
        <v xml:space="preserve">                                          </v>
      </c>
      <c r="B137" s="692">
        <v>116</v>
      </c>
      <c r="C137" s="693" t="s">
        <v>497</v>
      </c>
      <c r="D137" s="693" t="s">
        <v>498</v>
      </c>
      <c r="E137" s="694" t="s">
        <v>491</v>
      </c>
      <c r="F137" s="695">
        <f>VLOOKUP(C137,[2]List1!$A:$D,2,FALSE)</f>
        <v>79</v>
      </c>
      <c r="G137" s="696">
        <f t="shared" si="17"/>
        <v>79</v>
      </c>
      <c r="H137" s="697">
        <f t="shared" si="18"/>
        <v>3.2</v>
      </c>
      <c r="I137" s="837">
        <v>50</v>
      </c>
      <c r="J137" s="698" t="s">
        <v>23</v>
      </c>
      <c r="K137" s="856"/>
      <c r="L137" s="857" t="s">
        <v>13835</v>
      </c>
      <c r="M137" s="698" t="s">
        <v>25</v>
      </c>
      <c r="N137" s="869">
        <f>IFERROR(VLOOKUP(C137,[3]List1!$A:$D,4,FALSE),"N/A!")</f>
        <v>3.8079999999999996E-2</v>
      </c>
      <c r="O137" s="837">
        <f>IFERROR(VLOOKUP(C137,[3]List1!$A:$D,3,FALSE),"N/A!")</f>
        <v>2100</v>
      </c>
      <c r="P137" s="837">
        <f>IFERROR(VLOOKUP(C137,[3]List1!$A:$D,2,FALSE),"N/A!")</f>
        <v>10500</v>
      </c>
      <c r="Q137" s="698" t="s">
        <v>13735</v>
      </c>
      <c r="R137" s="698" t="s">
        <v>24</v>
      </c>
      <c r="S137" s="698"/>
      <c r="T137" s="695">
        <v>90</v>
      </c>
      <c r="U137" s="874"/>
      <c r="V137" s="699" t="str">
        <f>_xlfn.IFNA(HYPERLINK("https://www.klasekpyrotechnics.cz/df30cm"),"")</f>
        <v>https://www.klasekpyrotechnics.cz/df30cm</v>
      </c>
      <c r="W137" s="700" t="str">
        <f>IFERROR(VLOOKUP($C137,Popisy!A:P,MATCH($W$17,Popisy!$A$7:$P$7,0),FALSE),"---------------")</f>
        <v>Silberne Sterne (kaltes Feuer), Länge 30 cm, Lebensmittelattest! Golden Papier für 1 Stk.</v>
      </c>
      <c r="X137" s="891" t="str">
        <f t="shared" si="19"/>
        <v/>
      </c>
      <c r="Y137" s="892"/>
      <c r="Z137" s="700">
        <f>IFERROR(IF(VLOOKUP(C137,[4]List1!$A:$D,4,FALSE)=0,"",VLOOKUP(C137,[4]List1!$A:$D,4,FALSE)),"")</f>
        <v>40</v>
      </c>
      <c r="AA137" s="707"/>
      <c r="AB137" s="912" t="str">
        <f>IFERROR(IF(VLOOKUP(C137,[1]List1!$A:$D,2,FALSE)="VYPRODÁNO",$V$9,IF(VLOOKUP(C137,[1]List1!$A:$D,2,FALSE)="DOCHÁZÍ",$V$3,VLOOKUP(C137,[1]List1!$A:$D,2,FALSE))),"OFFLINE!")</f>
        <v>15.03.2024</v>
      </c>
      <c r="AC137" s="912" t="str">
        <f ca="1">IF(AO137="NE",$V$10,IF(AB137=$V$3,IF(AP137&lt;1,$V$8,$V$2&amp;" "&amp;AP137&amp;" "&amp;$V$1),IF(AB137="SKLADEM",$V$6,IFERROR(IF(OR(AB137-TODAY()&gt;21,VLOOKUP(C137,[1]List1!$A:$E,4,FALSE)=0),AB137,DAY(AB137)&amp;"."&amp;MONTH(AB137)&amp;"."&amp;YEAR(AB137)&amp;" "&amp;$V$4&amp;VLOOKUP(C137,[1]List1!$A:$E,4,FALSE)&amp;" "&amp;$V$1),AB137))))</f>
        <v>15.3.2024 KOMMT 100+ KTN</v>
      </c>
      <c r="AD137" s="701" t="str">
        <f ca="1">_xlfn.IFNA(VLOOKUP(C137,'General price list'!C:AM,MATCH($AD$20,'General price list'!$C$20:$AM$20,0),FALSE),"")</f>
        <v>15.3.2024 KOMMT 100+ KTN</v>
      </c>
      <c r="AE137" s="695">
        <f t="shared" ca="1" si="20"/>
        <v>0</v>
      </c>
      <c r="AF137" s="695">
        <f t="shared" ca="1" si="21"/>
        <v>0</v>
      </c>
      <c r="AG137" s="702">
        <f t="shared" ca="1" si="22"/>
        <v>0</v>
      </c>
      <c r="AH137" s="703">
        <f t="shared" ca="1" si="23"/>
        <v>0</v>
      </c>
      <c r="AI137" s="702">
        <f t="shared" ca="1" si="24"/>
        <v>0</v>
      </c>
      <c r="AJ137" s="704" t="str">
        <f t="shared" ca="1" si="25"/>
        <v/>
      </c>
      <c r="AK137" s="704" t="str">
        <f t="shared" ca="1" si="26"/>
        <v/>
      </c>
      <c r="AL137" s="704">
        <f t="shared" ca="1" si="27"/>
        <v>0</v>
      </c>
      <c r="AM137" s="705" t="str">
        <f t="shared" ca="1" si="28"/>
        <v/>
      </c>
      <c r="AN137" s="382"/>
      <c r="AO137" s="314" t="str">
        <f>IF($R$3=1,IF(Y137=AA137,"","NE"),IF(#REF!=$V$10,"NE",""))</f>
        <v/>
      </c>
      <c r="AP137" s="315" t="str">
        <f>IF(AB137=$V$3,IF(VLOOKUP(C137,[1]List1!$A:$E,5,FALSE)=0,1,VLOOKUP(C137,[1]List1!$A:$E,5,FALSE)),"")</f>
        <v/>
      </c>
      <c r="AW137" s="458">
        <f>IFERROR(FIND(VLOOKUP('General price list'!$AB$7,'General price list'!$AC$1:$AD$12,2,FALSE),Q137,1),0)</f>
        <v>13</v>
      </c>
      <c r="AX137" s="458">
        <f>IFERROR(FIND(VLOOKUP('General price list'!$AB$7,'General price list'!$AC$1:$AD$12,2,FALSE),R137,1),0)</f>
        <v>0</v>
      </c>
    </row>
    <row r="138" spans="1:57" ht="15" customHeight="1">
      <c r="A138" s="672" t="str">
        <f>Kat.!C138</f>
        <v xml:space="preserve">                                          Römische Kerzen 7 mm</v>
      </c>
      <c r="B138" s="678">
        <v>117</v>
      </c>
      <c r="C138" s="679"/>
      <c r="D138" s="679"/>
      <c r="E138" s="680"/>
      <c r="F138" s="681" t="str">
        <f>IFERROR(ROUND(VLOOKUP(C138,'General price list'!$C:$AN,4,FALSE),0),"")</f>
        <v/>
      </c>
      <c r="G138" s="682" t="str">
        <f t="shared" si="17"/>
        <v/>
      </c>
      <c r="H138" s="683" t="str">
        <f t="shared" si="18"/>
        <v/>
      </c>
      <c r="I138" s="836"/>
      <c r="J138" s="680"/>
      <c r="K138" s="854"/>
      <c r="L138" s="855"/>
      <c r="M138" s="680"/>
      <c r="N138" s="868" t="str">
        <f>IFERROR(IF(VLOOKUP($C138,'General price list'!$C:$AN,MATCH(N$20,'General price list'!$C$20:$AM$20,0),FALSE)=0,"",VLOOKUP($C138,'General price list'!$C:$AN,MATCH(N$20,'General price list'!$C$20:$AM$20,0),FALSE)),"")</f>
        <v/>
      </c>
      <c r="O138" s="836" t="str">
        <f>IFERROR(IF(VLOOKUP($C138,'General price list'!$C:$AN,MATCH(O$20,'General price list'!$C$20:$AM$20,0),FALSE)=0,"",VLOOKUP($C138,'General price list'!$C:$AN,MATCH(O$20,'General price list'!$C$20:$AM$20,0),FALSE)),"")</f>
        <v/>
      </c>
      <c r="P138" s="836" t="str">
        <f>IFERROR(IF(VLOOKUP($C138,'General price list'!$C:$AN,MATCH(P$20,'General price list'!$C$20:$AM$20,0),FALSE)=0,"",VLOOKUP($C138,'General price list'!$C:$AN,MATCH(P$20,'General price list'!$C$20:$AM$20,0),FALSE)),"")</f>
        <v/>
      </c>
      <c r="Q138" s="680"/>
      <c r="R138" s="680"/>
      <c r="S138" s="680"/>
      <c r="T138" s="681"/>
      <c r="U138" s="873"/>
      <c r="V138" s="684"/>
      <c r="W138" s="685" t="str">
        <f>IFERROR(VLOOKUP($C138,'General price list'!$C:$AN,MATCH(W$20,'General price list'!$C$20:$AM$20,0),FALSE),"")</f>
        <v/>
      </c>
      <c r="X138" s="889" t="str">
        <f t="shared" si="19"/>
        <v/>
      </c>
      <c r="Y138" s="890"/>
      <c r="Z138" s="685" t="str">
        <f>IFERROR(VLOOKUP($C138,'General price list'!$C:$AN,MATCH(Z$20,'General price list'!$C$20:$AM$20,0),FALSE),"")</f>
        <v/>
      </c>
      <c r="AA138" s="707"/>
      <c r="AB138" s="911" t="str">
        <f>IFERROR(IF(VLOOKUP(C138,[1]List1!$A:$D,2,FALSE)="VYPRODÁNO",$V$9,IF(VLOOKUP(C138,[1]List1!$A:$D,2,FALSE)="DOCHÁZÍ",$V$3,VLOOKUP(C138,[1]List1!$A:$D,2,FALSE))),"OFFLINE!")</f>
        <v>OFFLINE!</v>
      </c>
      <c r="AC138" s="911" t="str">
        <f ca="1">IF(AO138="NE",$V$10,IF(AB138=$V$3,IF(AP138&lt;1,$V$8,$V$2&amp;" "&amp;AP138&amp;" "&amp;$V$1),IF(AB138="SKLADEM",$V$6,IFERROR(IF(OR(AB138-TODAY()&gt;21,VLOOKUP(C138,[1]List1!$A:$E,4,FALSE)=0),AB138,DAY(AB138)&amp;"."&amp;MONTH(AB138)&amp;"."&amp;YEAR(AB138)&amp;" "&amp;$V$4&amp;VLOOKUP(C138,[1]List1!$A:$E,4,FALSE)&amp;" "&amp;$V$1),AB138))))</f>
        <v>OFFLINE!</v>
      </c>
      <c r="AD138" s="686" t="str">
        <f>_xlfn.IFNA(VLOOKUP(C138,'General price list'!C:AM,MATCH($AD$20,'General price list'!$C$20:$AM$20,0),FALSE),"")</f>
        <v/>
      </c>
      <c r="AE138" s="681" t="str">
        <f t="shared" si="20"/>
        <v/>
      </c>
      <c r="AF138" s="681" t="str">
        <f t="shared" si="21"/>
        <v/>
      </c>
      <c r="AG138" s="687" t="str">
        <f t="shared" si="22"/>
        <v/>
      </c>
      <c r="AH138" s="688" t="str">
        <f t="shared" si="23"/>
        <v/>
      </c>
      <c r="AI138" s="687" t="str">
        <f t="shared" si="24"/>
        <v/>
      </c>
      <c r="AJ138" s="689" t="str">
        <f t="shared" si="25"/>
        <v/>
      </c>
      <c r="AK138" s="689" t="str">
        <f t="shared" si="26"/>
        <v/>
      </c>
      <c r="AL138" s="689" t="str">
        <f t="shared" si="27"/>
        <v/>
      </c>
      <c r="AM138" s="690" t="str">
        <f t="shared" si="28"/>
        <v/>
      </c>
      <c r="AN138" s="382"/>
      <c r="AO138" s="314" t="str">
        <f>IF($R$3=1,IF(Y138=AA138,"","NE"),IF(#REF!=$V$10,"NE",""))</f>
        <v/>
      </c>
      <c r="AP138" s="315" t="str">
        <f>IF(AB138=$V$3,IF(VLOOKUP(C138,[1]List1!$A:$E,5,FALSE)=0,1,VLOOKUP(C138,[1]List1!$A:$E,5,FALSE)),"")</f>
        <v/>
      </c>
      <c r="AW138" s="291" t="e">
        <f>VLOOKUP(C138,'General price list'!C:AU,46,FALSE)</f>
        <v>#N/A</v>
      </c>
      <c r="AX138" s="291" t="e">
        <f>VLOOKUP(C138,'General price list'!C:AU,47,FALSE)</f>
        <v>#N/A</v>
      </c>
    </row>
    <row r="139" spans="1:57" ht="15" customHeight="1">
      <c r="A139" s="691" t="str">
        <f>Kat.!C139</f>
        <v xml:space="preserve">                                          </v>
      </c>
      <c r="B139" s="692">
        <v>118</v>
      </c>
      <c r="C139" s="693" t="s">
        <v>565</v>
      </c>
      <c r="D139" s="693" t="s">
        <v>566</v>
      </c>
      <c r="E139" s="694" t="s">
        <v>567</v>
      </c>
      <c r="F139" s="695">
        <f>VLOOKUP(C139,[2]List1!$A:$D,2,FALSE)</f>
        <v>101</v>
      </c>
      <c r="G139" s="696">
        <f t="shared" si="17"/>
        <v>101</v>
      </c>
      <c r="H139" s="697">
        <f t="shared" si="18"/>
        <v>4.0999999999999996</v>
      </c>
      <c r="I139" s="837">
        <v>24</v>
      </c>
      <c r="J139" s="698" t="s">
        <v>45</v>
      </c>
      <c r="K139" s="856"/>
      <c r="L139" s="857" t="s">
        <v>13836</v>
      </c>
      <c r="M139" s="698" t="s">
        <v>25</v>
      </c>
      <c r="N139" s="869">
        <f>IFERROR(VLOOKUP(C139,[3]List1!$A:$D,4,FALSE),"N/A!")</f>
        <v>2.1160000000000005E-2</v>
      </c>
      <c r="O139" s="837">
        <f>IFERROR(VLOOKUP(C139,[3]List1!$A:$D,3,FALSE),"N/A!")</f>
        <v>1728</v>
      </c>
      <c r="P139" s="837">
        <f>IFERROR(VLOOKUP(C139,[3]List1!$A:$D,2,FALSE),"N/A!")</f>
        <v>9664</v>
      </c>
      <c r="Q139" s="698" t="s">
        <v>610</v>
      </c>
      <c r="R139" s="698"/>
      <c r="S139" s="698"/>
      <c r="T139" s="695"/>
      <c r="U139" s="874"/>
      <c r="V139" s="699" t="str">
        <f>_xlfn.IFNA(HYPERLINK("https://www.klasekpyrotechnics.cz/r4420b"),"")</f>
        <v>https://www.klasekpyrotechnics.cz/r4420b</v>
      </c>
      <c r="W139" s="700" t="str">
        <f>IFERROR(VLOOKUP($C139,Popisy!A:P,MATCH($W$17,Popisy!$A$7:$P$7,0),FALSE),"---------------")</f>
        <v>20 schuss farbige Leuchtgeschosse, 44 cm Länge</v>
      </c>
      <c r="X139" s="891" t="str">
        <f t="shared" si="19"/>
        <v/>
      </c>
      <c r="Y139" s="892"/>
      <c r="Z139" s="700">
        <f>IFERROR(IF(VLOOKUP(C139,[4]List1!$A:$D,4,FALSE)=0,"",VLOOKUP(C139,[4]List1!$A:$D,4,FALSE)),"")</f>
        <v>56</v>
      </c>
      <c r="AA139" s="707"/>
      <c r="AB139" s="912" t="str">
        <f>IFERROR(IF(VLOOKUP(C139,[1]List1!$A:$D,2,FALSE)="VYPRODÁNO",$V$9,IF(VLOOKUP(C139,[1]List1!$A:$D,2,FALSE)="DOCHÁZÍ",$V$3,VLOOKUP(C139,[1]List1!$A:$D,2,FALSE))),"OFFLINE!")</f>
        <v>SKLADEM</v>
      </c>
      <c r="AC139" s="912" t="str">
        <f ca="1">IF(AO139="NE",$V$10,IF(AB139=$V$3,IF(AP139&lt;1,$V$8,$V$2&amp;" "&amp;AP139&amp;" "&amp;$V$1),IF(AB139="SKLADEM",$V$6,IFERROR(IF(OR(AB139-TODAY()&gt;21,VLOOKUP(C139,[1]List1!$A:$E,4,FALSE)=0),AB139,DAY(AB139)&amp;"."&amp;MONTH(AB139)&amp;"."&amp;YEAR(AB139)&amp;" "&amp;$V$4&amp;VLOOKUP(C139,[1]List1!$A:$E,4,FALSE)&amp;" "&amp;$V$1),AB139))))</f>
        <v>AUF LAGER</v>
      </c>
      <c r="AD139" s="701" t="str">
        <f ca="1">_xlfn.IFNA(VLOOKUP(C139,'General price list'!C:AM,MATCH($AD$20,'General price list'!$C$20:$AM$20,0),FALSE),"")</f>
        <v>AUF LAGER</v>
      </c>
      <c r="AE139" s="695">
        <f t="shared" ca="1" si="20"/>
        <v>0</v>
      </c>
      <c r="AF139" s="695">
        <f t="shared" ca="1" si="21"/>
        <v>0</v>
      </c>
      <c r="AG139" s="702">
        <f t="shared" ca="1" si="22"/>
        <v>0</v>
      </c>
      <c r="AH139" s="703">
        <f t="shared" ca="1" si="23"/>
        <v>0</v>
      </c>
      <c r="AI139" s="702">
        <f t="shared" ca="1" si="24"/>
        <v>0</v>
      </c>
      <c r="AJ139" s="704" t="str">
        <f t="shared" ca="1" si="25"/>
        <v/>
      </c>
      <c r="AK139" s="704" t="str">
        <f t="shared" ca="1" si="26"/>
        <v/>
      </c>
      <c r="AL139" s="704">
        <f t="shared" ca="1" si="27"/>
        <v>0</v>
      </c>
      <c r="AM139" s="705" t="str">
        <f t="shared" ca="1" si="28"/>
        <v/>
      </c>
      <c r="AN139" s="313"/>
      <c r="AO139" s="314" t="str">
        <f>IF($R$3=1,IF(Y139=AA139,"","NE"),IF(#REF!=$V$10,"NE",""))</f>
        <v/>
      </c>
      <c r="AP139" s="315" t="str">
        <f>IF(AB139=$V$3,IF(VLOOKUP(C139,[1]List1!$A:$E,5,FALSE)=0,1,VLOOKUP(C139,[1]List1!$A:$E,5,FALSE)),"")</f>
        <v/>
      </c>
      <c r="AW139" s="458">
        <f>IFERROR(FIND(VLOOKUP('General price list'!$AB$7,'General price list'!$AC$1:$AD$12,2,FALSE),Q139,1),0)</f>
        <v>0</v>
      </c>
      <c r="AX139" s="458">
        <f>IFERROR(FIND(VLOOKUP('General price list'!$AB$7,'General price list'!$AC$1:$AD$12,2,FALSE),R139,1),0)</f>
        <v>0</v>
      </c>
    </row>
    <row r="140" spans="1:57" ht="15" customHeight="1">
      <c r="A140" s="677" t="str">
        <f>Kat.!C140</f>
        <v xml:space="preserve">                                          </v>
      </c>
      <c r="B140" s="678">
        <v>119</v>
      </c>
      <c r="C140" s="679" t="s">
        <v>2306</v>
      </c>
      <c r="D140" s="679" t="s">
        <v>572</v>
      </c>
      <c r="E140" s="680" t="s">
        <v>417</v>
      </c>
      <c r="F140" s="681">
        <f>VLOOKUP(C140,[2]List1!$A:$D,2,FALSE)</f>
        <v>86</v>
      </c>
      <c r="G140" s="682">
        <f t="shared" si="17"/>
        <v>86</v>
      </c>
      <c r="H140" s="683">
        <f t="shared" si="18"/>
        <v>3.5</v>
      </c>
      <c r="I140" s="836">
        <v>36</v>
      </c>
      <c r="J140" s="680" t="s">
        <v>45</v>
      </c>
      <c r="K140" s="854"/>
      <c r="L140" s="855" t="s">
        <v>13828</v>
      </c>
      <c r="M140" s="680" t="s">
        <v>25</v>
      </c>
      <c r="N140" s="868">
        <f>IFERROR(VLOOKUP(C140,[3]List1!$A:$D,4,FALSE),"N/A!")</f>
        <v>2.1628750000000002E-2</v>
      </c>
      <c r="O140" s="836">
        <f>IFERROR(VLOOKUP(C140,[3]List1!$A:$D,3,FALSE),"N/A!")</f>
        <v>2592</v>
      </c>
      <c r="P140" s="836">
        <f>IFERROR(VLOOKUP(C140,[3]List1!$A:$D,2,FALSE),"N/A!")</f>
        <v>12500</v>
      </c>
      <c r="Q140" s="680" t="s">
        <v>13736</v>
      </c>
      <c r="R140" s="680" t="s">
        <v>18</v>
      </c>
      <c r="S140" s="680"/>
      <c r="T140" s="681"/>
      <c r="U140" s="873"/>
      <c r="V140" s="684" t="str">
        <f>_xlfn.IFNA(HYPERLINK("https://www.klasekpyrotechnics.cz/r7040c"),"")</f>
        <v>https://www.klasekpyrotechnics.cz/r7040c</v>
      </c>
      <c r="W140" s="685" t="str">
        <f>IFERROR(VLOOKUP($C140,Popisy!A:P,MATCH($W$17,Popisy!$A$7:$P$7,0),FALSE),"---------------")</f>
        <v>40 schuss farbige Leuchtgeschosse, 70 cm Länge</v>
      </c>
      <c r="X140" s="889" t="str">
        <f t="shared" si="19"/>
        <v/>
      </c>
      <c r="Y140" s="890"/>
      <c r="Z140" s="685" t="str">
        <f>IFERROR(IF(VLOOKUP(C140,[4]List1!$A:$D,4,FALSE)=0,"",VLOOKUP(C140,[4]List1!$A:$D,4,FALSE)),"")</f>
        <v>56</v>
      </c>
      <c r="AA140" s="707"/>
      <c r="AB140" s="911" t="str">
        <f>IFERROR(IF(VLOOKUP(C140,[1]List1!$A:$D,2,FALSE)="VYPRODÁNO",$V$9,IF(VLOOKUP(C140,[1]List1!$A:$D,2,FALSE)="DOCHÁZÍ",$V$3,VLOOKUP(C140,[1]List1!$A:$D,2,FALSE))),"OFFLINE!")</f>
        <v>SKLADEM</v>
      </c>
      <c r="AC140" s="911" t="str">
        <f ca="1">IF(AO140="NE",$V$10,IF(AB140=$V$3,IF(AP140&lt;1,$V$8,$V$2&amp;" "&amp;AP140&amp;" "&amp;$V$1),IF(AB140="SKLADEM",$V$6,IFERROR(IF(OR(AB140-TODAY()&gt;21,VLOOKUP(C140,[1]List1!$A:$E,4,FALSE)=0),AB140,DAY(AB140)&amp;"."&amp;MONTH(AB140)&amp;"."&amp;YEAR(AB140)&amp;" "&amp;$V$4&amp;VLOOKUP(C140,[1]List1!$A:$E,4,FALSE)&amp;" "&amp;$V$1),AB140))))</f>
        <v>AUF LAGER</v>
      </c>
      <c r="AD140" s="686" t="str">
        <f ca="1">_xlfn.IFNA(VLOOKUP(C140,'General price list'!C:AM,MATCH($AD$20,'General price list'!$C$20:$AM$20,0),FALSE),"")</f>
        <v>AUF LAGER</v>
      </c>
      <c r="AE140" s="681">
        <f t="shared" ca="1" si="20"/>
        <v>0</v>
      </c>
      <c r="AF140" s="681">
        <f t="shared" ca="1" si="21"/>
        <v>0</v>
      </c>
      <c r="AG140" s="687">
        <f t="shared" ca="1" si="22"/>
        <v>0</v>
      </c>
      <c r="AH140" s="688">
        <f t="shared" ca="1" si="23"/>
        <v>0</v>
      </c>
      <c r="AI140" s="687">
        <f t="shared" ca="1" si="24"/>
        <v>0</v>
      </c>
      <c r="AJ140" s="689" t="str">
        <f t="shared" ca="1" si="25"/>
        <v/>
      </c>
      <c r="AK140" s="689" t="str">
        <f t="shared" ca="1" si="26"/>
        <v/>
      </c>
      <c r="AL140" s="689">
        <f t="shared" ca="1" si="27"/>
        <v>0</v>
      </c>
      <c r="AM140" s="690" t="str">
        <f t="shared" ca="1" si="28"/>
        <v/>
      </c>
      <c r="AN140" s="381"/>
      <c r="AO140" s="314" t="str">
        <f>IF($R$3=1,IF(Y140=AA140,"","NE"),IF(#REF!=$V$10,"NE",""))</f>
        <v/>
      </c>
      <c r="AP140" s="291" t="str">
        <f>IF(AB140=$V$3,IF(VLOOKUP(C140,[1]List1!$A:$E,5,FALSE)=0,1,VLOOKUP(C140,[1]List1!$A:$E,5,FALSE)),"")</f>
        <v/>
      </c>
      <c r="AW140" s="458">
        <f>IFERROR(FIND(VLOOKUP('General price list'!$AB$7,'General price list'!$AC$1:$AD$12,2,FALSE),Q140,1),0)</f>
        <v>0</v>
      </c>
      <c r="AX140" s="458">
        <f>IFERROR(FIND(VLOOKUP('General price list'!$AB$7,'General price list'!$AC$1:$AD$12,2,FALSE),R140,1),0)</f>
        <v>0</v>
      </c>
      <c r="BC140" s="292"/>
      <c r="BD140" s="292"/>
      <c r="BE140" s="292"/>
    </row>
    <row r="141" spans="1:57" ht="15" customHeight="1">
      <c r="A141" s="672" t="str">
        <f>Kat.!C141</f>
        <v xml:space="preserve">                                          Römische Kerzen 10mm</v>
      </c>
      <c r="B141" s="692">
        <v>120</v>
      </c>
      <c r="C141" s="693"/>
      <c r="D141" s="693"/>
      <c r="E141" s="694"/>
      <c r="F141" s="695" t="str">
        <f>IFERROR(ROUND(VLOOKUP(C141,'General price list'!$C:$AN,4,FALSE),0),"")</f>
        <v/>
      </c>
      <c r="G141" s="696" t="str">
        <f t="shared" si="17"/>
        <v/>
      </c>
      <c r="H141" s="697" t="str">
        <f t="shared" si="18"/>
        <v/>
      </c>
      <c r="I141" s="837"/>
      <c r="J141" s="698"/>
      <c r="K141" s="856"/>
      <c r="L141" s="857"/>
      <c r="M141" s="698"/>
      <c r="N141" s="869" t="str">
        <f>IFERROR(IF(VLOOKUP($C141,'General price list'!$C:$AN,MATCH(N$20,'General price list'!$C$20:$AM$20,0),FALSE)=0,"",VLOOKUP($C141,'General price list'!$C:$AN,MATCH(N$20,'General price list'!$C$20:$AM$20,0),FALSE)),"")</f>
        <v/>
      </c>
      <c r="O141" s="837" t="str">
        <f>IFERROR(IF(VLOOKUP($C141,'General price list'!$C:$AN,MATCH(O$20,'General price list'!$C$20:$AM$20,0),FALSE)=0,"",VLOOKUP($C141,'General price list'!$C:$AN,MATCH(O$20,'General price list'!$C$20:$AM$20,0),FALSE)),"")</f>
        <v/>
      </c>
      <c r="P141" s="837" t="str">
        <f>IFERROR(IF(VLOOKUP($C141,'General price list'!$C:$AN,MATCH(P$20,'General price list'!$C$20:$AM$20,0),FALSE)=0,"",VLOOKUP($C141,'General price list'!$C:$AN,MATCH(P$20,'General price list'!$C$20:$AM$20,0),FALSE)),"")</f>
        <v/>
      </c>
      <c r="Q141" s="698"/>
      <c r="R141" s="698"/>
      <c r="S141" s="698"/>
      <c r="T141" s="695"/>
      <c r="U141" s="874"/>
      <c r="V141" s="699"/>
      <c r="W141" s="700" t="str">
        <f>IFERROR(VLOOKUP($C141,'General price list'!$C:$AN,MATCH(W$20,'General price list'!$C$20:$AM$20,0),FALSE),"")</f>
        <v/>
      </c>
      <c r="X141" s="891" t="str">
        <f t="shared" si="19"/>
        <v/>
      </c>
      <c r="Y141" s="892"/>
      <c r="Z141" s="700" t="str">
        <f>IFERROR(VLOOKUP($C141,'General price list'!$C:$AN,MATCH(Z$20,'General price list'!$C$20:$AM$20,0),FALSE),"")</f>
        <v/>
      </c>
      <c r="AA141" s="707"/>
      <c r="AB141" s="912" t="str">
        <f>IFERROR(IF(VLOOKUP(C141,[1]List1!$A:$D,2,FALSE)="VYPRODÁNO",$V$9,IF(VLOOKUP(C141,[1]List1!$A:$D,2,FALSE)="DOCHÁZÍ",$V$3,VLOOKUP(C141,[1]List1!$A:$D,2,FALSE))),"OFFLINE!")</f>
        <v>OFFLINE!</v>
      </c>
      <c r="AC141" s="912" t="str">
        <f ca="1">IF(AO141="NE",$V$10,IF(AB141=$V$3,IF(AP141&lt;1,$V$8,$V$2&amp;" "&amp;AP141&amp;" "&amp;$V$1),IF(AB141="SKLADEM",$V$6,IFERROR(IF(OR(AB141-TODAY()&gt;21,VLOOKUP(C141,[1]List1!$A:$E,4,FALSE)=0),AB141,DAY(AB141)&amp;"."&amp;MONTH(AB141)&amp;"."&amp;YEAR(AB141)&amp;" "&amp;$V$4&amp;VLOOKUP(C141,[1]List1!$A:$E,4,FALSE)&amp;" "&amp;$V$1),AB141))))</f>
        <v>OFFLINE!</v>
      </c>
      <c r="AD141" s="701" t="str">
        <f>_xlfn.IFNA(VLOOKUP(C141,'General price list'!C:AM,MATCH($AD$20,'General price list'!$C$20:$AM$20,0),FALSE),"")</f>
        <v/>
      </c>
      <c r="AE141" s="695" t="str">
        <f t="shared" si="20"/>
        <v/>
      </c>
      <c r="AF141" s="695" t="str">
        <f t="shared" si="21"/>
        <v/>
      </c>
      <c r="AG141" s="702" t="str">
        <f t="shared" si="22"/>
        <v/>
      </c>
      <c r="AH141" s="703" t="str">
        <f t="shared" si="23"/>
        <v/>
      </c>
      <c r="AI141" s="702" t="str">
        <f t="shared" si="24"/>
        <v/>
      </c>
      <c r="AJ141" s="704" t="str">
        <f t="shared" si="25"/>
        <v/>
      </c>
      <c r="AK141" s="704" t="str">
        <f t="shared" si="26"/>
        <v/>
      </c>
      <c r="AL141" s="704" t="str">
        <f t="shared" si="27"/>
        <v/>
      </c>
      <c r="AM141" s="705" t="str">
        <f t="shared" si="28"/>
        <v/>
      </c>
      <c r="AN141" s="313"/>
      <c r="AO141" s="314" t="str">
        <f>IF($R$3=1,IF(Y141=AA141,"","NE"),IF(#REF!=$V$10,"NE",""))</f>
        <v/>
      </c>
      <c r="AP141" s="315" t="str">
        <f>IF(AB141=$V$3,IF(VLOOKUP(C141,[1]List1!$A:$E,5,FALSE)=0,1,VLOOKUP(C141,[1]List1!$A:$E,5,FALSE)),"")</f>
        <v/>
      </c>
      <c r="AW141" s="291" t="e">
        <f>VLOOKUP(C141,'General price list'!C:AU,46,FALSE)</f>
        <v>#N/A</v>
      </c>
      <c r="AX141" s="291" t="e">
        <f>VLOOKUP(C141,'General price list'!C:AU,47,FALSE)</f>
        <v>#N/A</v>
      </c>
    </row>
    <row r="142" spans="1:57" ht="15" customHeight="1">
      <c r="A142" s="677" t="str">
        <f>Kat.!C142</f>
        <v xml:space="preserve">                                          </v>
      </c>
      <c r="B142" s="678">
        <v>121</v>
      </c>
      <c r="C142" s="679" t="s">
        <v>575</v>
      </c>
      <c r="D142" s="679" t="s">
        <v>576</v>
      </c>
      <c r="E142" s="680" t="s">
        <v>577</v>
      </c>
      <c r="F142" s="681">
        <f>VLOOKUP(C142,[2]List1!$A:$D,2,FALSE)</f>
        <v>61</v>
      </c>
      <c r="G142" s="682">
        <f t="shared" si="17"/>
        <v>61</v>
      </c>
      <c r="H142" s="683">
        <f t="shared" si="18"/>
        <v>2.5</v>
      </c>
      <c r="I142" s="836">
        <v>40</v>
      </c>
      <c r="J142" s="680" t="s">
        <v>45</v>
      </c>
      <c r="K142" s="854"/>
      <c r="L142" s="855" t="s">
        <v>13828</v>
      </c>
      <c r="M142" s="680" t="s">
        <v>25</v>
      </c>
      <c r="N142" s="868">
        <f>IFERROR(VLOOKUP(C142,[3]List1!$A:$D,4,FALSE),"N/A!")</f>
        <v>3.4720000000000001E-2</v>
      </c>
      <c r="O142" s="836">
        <f>IFERROR(VLOOKUP(C142,[3]List1!$A:$D,3,FALSE),"N/A!")</f>
        <v>1280</v>
      </c>
      <c r="P142" s="836">
        <f>IFERROR(VLOOKUP(C142,[3]List1!$A:$D,2,FALSE),"N/A!")</f>
        <v>13600</v>
      </c>
      <c r="Q142" s="680" t="s">
        <v>610</v>
      </c>
      <c r="R142" s="680" t="s">
        <v>618</v>
      </c>
      <c r="S142" s="680"/>
      <c r="T142" s="681">
        <v>20</v>
      </c>
      <c r="U142" s="873"/>
      <c r="V142" s="684" t="str">
        <f>_xlfn.IFNA(HYPERLINK("https://www.klasekpyrotechnics.cz/r5410b"),"")</f>
        <v>https://www.klasekpyrotechnics.cz/r5410b</v>
      </c>
      <c r="W142" s="685" t="str">
        <f>IFERROR(VLOOKUP($C142,Popisy!A:P,MATCH($W$17,Popisy!$A$7:$P$7,0),FALSE),"---------------")</f>
        <v>10 schuss farbige Leuchtgeschosse, 54 cm Länge</v>
      </c>
      <c r="X142" s="889" t="str">
        <f t="shared" si="19"/>
        <v/>
      </c>
      <c r="Y142" s="890"/>
      <c r="Z142" s="685">
        <f>IFERROR(IF(VLOOKUP(C142,[4]List1!$A:$D,4,FALSE)=0,"",VLOOKUP(C142,[4]List1!$A:$D,4,FALSE)),"")</f>
        <v>40</v>
      </c>
      <c r="AA142" s="707"/>
      <c r="AB142" s="911" t="str">
        <f>IFERROR(IF(VLOOKUP(C142,[1]List1!$A:$D,2,FALSE)="VYPRODÁNO",$V$9,IF(VLOOKUP(C142,[1]List1!$A:$D,2,FALSE)="DOCHÁZÍ",$V$3,VLOOKUP(C142,[1]List1!$A:$D,2,FALSE))),"OFFLINE!")</f>
        <v>SKLADEM</v>
      </c>
      <c r="AC142" s="911" t="str">
        <f ca="1">IF(AO142="NE",$V$10,IF(AB142=$V$3,IF(AP142&lt;1,$V$8,$V$2&amp;" "&amp;AP142&amp;" "&amp;$V$1),IF(AB142="SKLADEM",$V$6,IFERROR(IF(OR(AB142-TODAY()&gt;21,VLOOKUP(C142,[1]List1!$A:$E,4,FALSE)=0),AB142,DAY(AB142)&amp;"."&amp;MONTH(AB142)&amp;"."&amp;YEAR(AB142)&amp;" "&amp;$V$4&amp;VLOOKUP(C142,[1]List1!$A:$E,4,FALSE)&amp;" "&amp;$V$1),AB142))))</f>
        <v>AUF LAGER</v>
      </c>
      <c r="AD142" s="686" t="str">
        <f ca="1">_xlfn.IFNA(VLOOKUP(C142,'General price list'!C:AM,MATCH($AD$20,'General price list'!$C$20:$AM$20,0),FALSE),"")</f>
        <v>AUF LAGER</v>
      </c>
      <c r="AE142" s="681">
        <f t="shared" ca="1" si="20"/>
        <v>0</v>
      </c>
      <c r="AF142" s="681">
        <f t="shared" ca="1" si="21"/>
        <v>0</v>
      </c>
      <c r="AG142" s="687">
        <f t="shared" ca="1" si="22"/>
        <v>0</v>
      </c>
      <c r="AH142" s="688">
        <f t="shared" ca="1" si="23"/>
        <v>0</v>
      </c>
      <c r="AI142" s="687">
        <f t="shared" ca="1" si="24"/>
        <v>0</v>
      </c>
      <c r="AJ142" s="689" t="str">
        <f t="shared" ca="1" si="25"/>
        <v/>
      </c>
      <c r="AK142" s="689" t="str">
        <f t="shared" ca="1" si="26"/>
        <v/>
      </c>
      <c r="AL142" s="689">
        <f t="shared" ca="1" si="27"/>
        <v>0</v>
      </c>
      <c r="AM142" s="690" t="str">
        <f t="shared" ca="1" si="28"/>
        <v/>
      </c>
      <c r="AN142" s="313"/>
      <c r="AO142" s="314" t="str">
        <f>IF($R$3=1,IF(Y142=AA142,"","NE"),IF(#REF!=$V$10,"NE",""))</f>
        <v/>
      </c>
      <c r="AP142" s="315" t="str">
        <f>IF(AB142=$V$3,IF(VLOOKUP(C142,[1]List1!$A:$E,5,FALSE)=0,1,VLOOKUP(C142,[1]List1!$A:$E,5,FALSE)),"")</f>
        <v/>
      </c>
      <c r="AW142" s="458">
        <f>IFERROR(FIND(VLOOKUP('General price list'!$AB$7,'General price list'!$AC$1:$AD$12,2,FALSE),Q142,1),0)</f>
        <v>0</v>
      </c>
      <c r="AX142" s="458">
        <f>IFERROR(FIND(VLOOKUP('General price list'!$AB$7,'General price list'!$AC$1:$AD$12,2,FALSE),R142,1),0)</f>
        <v>0</v>
      </c>
    </row>
    <row r="143" spans="1:57" ht="15" customHeight="1">
      <c r="A143" s="691" t="str">
        <f>Kat.!C143</f>
        <v xml:space="preserve">                                          </v>
      </c>
      <c r="B143" s="692">
        <v>122</v>
      </c>
      <c r="C143" s="693" t="s">
        <v>581</v>
      </c>
      <c r="D143" s="693" t="s">
        <v>582</v>
      </c>
      <c r="E143" s="694" t="s">
        <v>583</v>
      </c>
      <c r="F143" s="695">
        <f>VLOOKUP(C143,[2]List1!$A:$D,2,FALSE)</f>
        <v>263</v>
      </c>
      <c r="G143" s="696">
        <f t="shared" si="17"/>
        <v>263</v>
      </c>
      <c r="H143" s="697">
        <f t="shared" si="18"/>
        <v>10.7</v>
      </c>
      <c r="I143" s="837">
        <v>15</v>
      </c>
      <c r="J143" s="698" t="s">
        <v>45</v>
      </c>
      <c r="K143" s="856"/>
      <c r="L143" s="857" t="s">
        <v>13837</v>
      </c>
      <c r="M143" s="698" t="s">
        <v>25</v>
      </c>
      <c r="N143" s="869">
        <f>IFERROR(VLOOKUP(C143,[3]List1!$A:$D,4,FALSE),"N/A!")</f>
        <v>3.9200000000000006E-2</v>
      </c>
      <c r="O143" s="837">
        <f>IFERROR(VLOOKUP(C143,[3]List1!$A:$D,3,FALSE),"N/A!")</f>
        <v>2880</v>
      </c>
      <c r="P143" s="837">
        <f>IFERROR(VLOOKUP(C143,[3]List1!$A:$D,2,FALSE),"N/A!")</f>
        <v>17000</v>
      </c>
      <c r="Q143" s="698" t="s">
        <v>44</v>
      </c>
      <c r="R143" s="698" t="s">
        <v>618</v>
      </c>
      <c r="S143" s="698"/>
      <c r="T143" s="695">
        <v>40</v>
      </c>
      <c r="U143" s="874"/>
      <c r="V143" s="699" t="str">
        <f>_xlfn.IFNA(HYPERLINK("https://www.klasekpyrotechnics.cz/r5420k"),"")</f>
        <v>https://www.klasekpyrotechnics.cz/r5420k</v>
      </c>
      <c r="W143" s="700" t="str">
        <f>IFERROR(VLOOKUP($C143,Popisy!A:P,MATCH($W$17,Popisy!$A$7:$P$7,0),FALSE),"---------------")</f>
        <v>20 schuss knallende Kometen, 54 cm Länge</v>
      </c>
      <c r="X143" s="891" t="str">
        <f t="shared" si="19"/>
        <v/>
      </c>
      <c r="Y143" s="892"/>
      <c r="Z143" s="700">
        <f>IFERROR(IF(VLOOKUP(C143,[4]List1!$A:$D,4,FALSE)=0,"",VLOOKUP(C143,[4]List1!$A:$D,4,FALSE)),"")</f>
        <v>36</v>
      </c>
      <c r="AA143" s="707"/>
      <c r="AB143" s="912" t="str">
        <f>IFERROR(IF(VLOOKUP(C143,[1]List1!$A:$D,2,FALSE)="VYPRODÁNO",$V$9,IF(VLOOKUP(C143,[1]List1!$A:$D,2,FALSE)="DOCHÁZÍ",$V$3,VLOOKUP(C143,[1]List1!$A:$D,2,FALSE))),"OFFLINE!")</f>
        <v>SKLADEM</v>
      </c>
      <c r="AC143" s="912" t="str">
        <f ca="1">IF(AO143="NE",$V$10,IF(AB143=$V$3,IF(AP143&lt;1,$V$8,$V$2&amp;" "&amp;AP143&amp;" "&amp;$V$1),IF(AB143="SKLADEM",$V$6,IFERROR(IF(OR(AB143-TODAY()&gt;21,VLOOKUP(C143,[1]List1!$A:$E,4,FALSE)=0),AB143,DAY(AB143)&amp;"."&amp;MONTH(AB143)&amp;"."&amp;YEAR(AB143)&amp;" "&amp;$V$4&amp;VLOOKUP(C143,[1]List1!$A:$E,4,FALSE)&amp;" "&amp;$V$1),AB143))))</f>
        <v>AUF LAGER</v>
      </c>
      <c r="AD143" s="701" t="str">
        <f ca="1">_xlfn.IFNA(VLOOKUP(C143,'General price list'!C:AM,MATCH($AD$20,'General price list'!$C$20:$AM$20,0),FALSE),"")</f>
        <v>AUF LAGER</v>
      </c>
      <c r="AE143" s="695">
        <f t="shared" ca="1" si="20"/>
        <v>0</v>
      </c>
      <c r="AF143" s="695">
        <f t="shared" ca="1" si="21"/>
        <v>0</v>
      </c>
      <c r="AG143" s="702">
        <f t="shared" ca="1" si="22"/>
        <v>0</v>
      </c>
      <c r="AH143" s="703">
        <f t="shared" ca="1" si="23"/>
        <v>0</v>
      </c>
      <c r="AI143" s="702">
        <f t="shared" ca="1" si="24"/>
        <v>0</v>
      </c>
      <c r="AJ143" s="704" t="str">
        <f t="shared" ca="1" si="25"/>
        <v/>
      </c>
      <c r="AK143" s="704" t="str">
        <f t="shared" ca="1" si="26"/>
        <v/>
      </c>
      <c r="AL143" s="704">
        <f t="shared" ca="1" si="27"/>
        <v>0</v>
      </c>
      <c r="AM143" s="705" t="str">
        <f t="shared" ca="1" si="28"/>
        <v/>
      </c>
      <c r="AN143" s="382"/>
      <c r="AO143" s="314" t="str">
        <f>IF($R$3=1,IF(Y143=AA143,"","NE"),IF(#REF!=$V$10,"NE",""))</f>
        <v/>
      </c>
      <c r="AP143" s="315" t="str">
        <f>IF(AB143=$V$3,IF(VLOOKUP(C143,[1]List1!$A:$E,5,FALSE)=0,1,VLOOKUP(C143,[1]List1!$A:$E,5,FALSE)),"")</f>
        <v/>
      </c>
      <c r="AW143" s="458">
        <f>IFERROR(FIND(VLOOKUP('General price list'!$AB$7,'General price list'!$AC$1:$AD$12,2,FALSE),Q143,1),0)</f>
        <v>13</v>
      </c>
      <c r="AX143" s="458">
        <f>IFERROR(FIND(VLOOKUP('General price list'!$AB$7,'General price list'!$AC$1:$AD$12,2,FALSE),R143,1),0)</f>
        <v>0</v>
      </c>
    </row>
    <row r="144" spans="1:57" ht="15" customHeight="1">
      <c r="A144" s="677" t="str">
        <f>Kat.!C144</f>
        <v xml:space="preserve">                                          </v>
      </c>
      <c r="B144" s="678">
        <v>123</v>
      </c>
      <c r="C144" s="679" t="s">
        <v>587</v>
      </c>
      <c r="D144" s="679" t="s">
        <v>582</v>
      </c>
      <c r="E144" s="680" t="s">
        <v>583</v>
      </c>
      <c r="F144" s="681">
        <f>VLOOKUP(C144,[2]List1!$A:$D,2,FALSE)</f>
        <v>305</v>
      </c>
      <c r="G144" s="682">
        <f t="shared" si="17"/>
        <v>305</v>
      </c>
      <c r="H144" s="683">
        <f t="shared" si="18"/>
        <v>12.4</v>
      </c>
      <c r="I144" s="836">
        <v>15</v>
      </c>
      <c r="J144" s="680" t="s">
        <v>45</v>
      </c>
      <c r="K144" s="854"/>
      <c r="L144" s="855" t="s">
        <v>13837</v>
      </c>
      <c r="M144" s="680" t="s">
        <v>25</v>
      </c>
      <c r="N144" s="868">
        <f>IFERROR(VLOOKUP(C144,[3]List1!$A:$D,4,FALSE),"N/A!")</f>
        <v>4.6512000000000005E-2</v>
      </c>
      <c r="O144" s="836">
        <f>IFERROR(VLOOKUP(C144,[3]List1!$A:$D,3,FALSE),"N/A!")</f>
        <v>2880</v>
      </c>
      <c r="P144" s="836">
        <f>IFERROR(VLOOKUP(C144,[3]List1!$A:$D,2,FALSE),"N/A!")</f>
        <v>21930</v>
      </c>
      <c r="Q144" s="680" t="s">
        <v>13737</v>
      </c>
      <c r="R144" s="680" t="s">
        <v>610</v>
      </c>
      <c r="S144" s="680"/>
      <c r="T144" s="681">
        <v>40</v>
      </c>
      <c r="U144" s="873"/>
      <c r="V144" s="684" t="str">
        <f>_xlfn.IFNA(HYPERLINK("https://www.klasekpyrotechnics.cz/r7020k"),"")</f>
        <v>https://www.klasekpyrotechnics.cz/r7020k</v>
      </c>
      <c r="W144" s="685" t="str">
        <f>IFERROR(VLOOKUP($C144,Popisy!A:P,MATCH($W$17,Popisy!$A$7:$P$7,0),FALSE),"---------------")</f>
        <v>20 schuss knallende Kometen, 70 cm Länge</v>
      </c>
      <c r="X144" s="889" t="str">
        <f t="shared" si="19"/>
        <v/>
      </c>
      <c r="Y144" s="890"/>
      <c r="Z144" s="685">
        <f>IFERROR(IF(VLOOKUP(C144,[4]List1!$A:$D,4,FALSE)=0,"",VLOOKUP(C144,[4]List1!$A:$D,4,FALSE)),"")</f>
        <v>24</v>
      </c>
      <c r="AA144" s="707"/>
      <c r="AB144" s="911" t="str">
        <f>IFERROR(IF(VLOOKUP(C144,[1]List1!$A:$D,2,FALSE)="VYPRODÁNO",$V$9,IF(VLOOKUP(C144,[1]List1!$A:$D,2,FALSE)="DOCHÁZÍ",$V$3,VLOOKUP(C144,[1]List1!$A:$D,2,FALSE))),"OFFLINE!")</f>
        <v>SKLADEM</v>
      </c>
      <c r="AC144" s="911" t="str">
        <f ca="1">IF(AO144="NE",$V$10,IF(AB144=$V$3,IF(AP144&lt;1,$V$8,$V$2&amp;" "&amp;AP144&amp;" "&amp;$V$1),IF(AB144="SKLADEM",$V$6,IFERROR(IF(OR(AB144-TODAY()&gt;21,VLOOKUP(C144,[1]List1!$A:$E,4,FALSE)=0),AB144,DAY(AB144)&amp;"."&amp;MONTH(AB144)&amp;"."&amp;YEAR(AB144)&amp;" "&amp;$V$4&amp;VLOOKUP(C144,[1]List1!$A:$E,4,FALSE)&amp;" "&amp;$V$1),AB144))))</f>
        <v>AUF LAGER</v>
      </c>
      <c r="AD144" s="686" t="str">
        <f ca="1">_xlfn.IFNA(VLOOKUP(C144,'General price list'!C:AM,MATCH($AD$20,'General price list'!$C$20:$AM$20,0),FALSE),"")</f>
        <v>AUF LAGER</v>
      </c>
      <c r="AE144" s="681">
        <f t="shared" ca="1" si="20"/>
        <v>0</v>
      </c>
      <c r="AF144" s="681">
        <f t="shared" ca="1" si="21"/>
        <v>0</v>
      </c>
      <c r="AG144" s="687">
        <f t="shared" ca="1" si="22"/>
        <v>0</v>
      </c>
      <c r="AH144" s="688">
        <f t="shared" ca="1" si="23"/>
        <v>0</v>
      </c>
      <c r="AI144" s="687">
        <f t="shared" ca="1" si="24"/>
        <v>0</v>
      </c>
      <c r="AJ144" s="689" t="str">
        <f t="shared" ca="1" si="25"/>
        <v/>
      </c>
      <c r="AK144" s="689" t="str">
        <f t="shared" ca="1" si="26"/>
        <v/>
      </c>
      <c r="AL144" s="689">
        <f t="shared" ca="1" si="27"/>
        <v>0</v>
      </c>
      <c r="AM144" s="690" t="str">
        <f t="shared" ca="1" si="28"/>
        <v/>
      </c>
      <c r="AN144" s="382"/>
      <c r="AO144" s="314" t="str">
        <f>IF($R$3=1,IF(Y144=AA144,"","NE"),IF(#REF!=$V$10,"NE",""))</f>
        <v/>
      </c>
      <c r="AP144" s="315" t="str">
        <f>IF(AB144=$V$3,IF(VLOOKUP(C144,[1]List1!$A:$E,5,FALSE)=0,1,VLOOKUP(C144,[1]List1!$A:$E,5,FALSE)),"")</f>
        <v/>
      </c>
      <c r="AW144" s="458">
        <f>IFERROR(FIND(VLOOKUP('General price list'!$AB$7,'General price list'!$AC$1:$AD$12,2,FALSE),Q144,1),0)</f>
        <v>9</v>
      </c>
      <c r="AX144" s="458">
        <f>IFERROR(FIND(VLOOKUP('General price list'!$AB$7,'General price list'!$AC$1:$AD$12,2,FALSE),R144,1),0)</f>
        <v>0</v>
      </c>
    </row>
    <row r="145" spans="1:50" ht="15" customHeight="1">
      <c r="A145" s="691" t="str">
        <f>Kat.!C145</f>
        <v xml:space="preserve">                                          </v>
      </c>
      <c r="B145" s="692">
        <v>124</v>
      </c>
      <c r="C145" s="693" t="s">
        <v>591</v>
      </c>
      <c r="D145" s="693" t="s">
        <v>592</v>
      </c>
      <c r="E145" s="694" t="s">
        <v>593</v>
      </c>
      <c r="F145" s="695">
        <f>VLOOKUP(C145,[2]List1!$A:$D,2,FALSE)</f>
        <v>245</v>
      </c>
      <c r="G145" s="696">
        <f t="shared" si="17"/>
        <v>245</v>
      </c>
      <c r="H145" s="697">
        <f t="shared" si="18"/>
        <v>10</v>
      </c>
      <c r="I145" s="837">
        <v>15</v>
      </c>
      <c r="J145" s="698" t="s">
        <v>45</v>
      </c>
      <c r="K145" s="856"/>
      <c r="L145" s="857" t="s">
        <v>13837</v>
      </c>
      <c r="M145" s="698" t="s">
        <v>25</v>
      </c>
      <c r="N145" s="869">
        <f>IFERROR(VLOOKUP(C145,[3]List1!$A:$D,4,FALSE),"N/A!")</f>
        <v>3.5959999999999999E-2</v>
      </c>
      <c r="O145" s="837">
        <f>IFERROR(VLOOKUP(C145,[3]List1!$A:$D,3,FALSE),"N/A!")</f>
        <v>2400</v>
      </c>
      <c r="P145" s="837">
        <f>IFERROR(VLOOKUP(C145,[3]List1!$A:$D,2,FALSE),"N/A!")</f>
        <v>16335</v>
      </c>
      <c r="Q145" s="698" t="s">
        <v>2057</v>
      </c>
      <c r="R145" s="698" t="s">
        <v>207</v>
      </c>
      <c r="S145" s="698"/>
      <c r="T145" s="695">
        <v>40</v>
      </c>
      <c r="U145" s="874"/>
      <c r="V145" s="699" t="str">
        <f>_xlfn.IFNA(HYPERLINK("https://www.klasekpyrotechnics.cz/r6020b"),"")</f>
        <v>https://www.klasekpyrotechnics.cz/r6020b</v>
      </c>
      <c r="W145" s="700" t="str">
        <f>IFERROR(VLOOKUP($C145,Popisy!A:P,MATCH($W$17,Popisy!$A$7:$P$7,0),FALSE),"---------------")</f>
        <v>20 schuss farbige Leuchtgeschosse, 60 cm Länge</v>
      </c>
      <c r="X145" s="891" t="str">
        <f t="shared" si="19"/>
        <v/>
      </c>
      <c r="Y145" s="892"/>
      <c r="Z145" s="700">
        <f>IFERROR(IF(VLOOKUP(C145,[4]List1!$A:$D,4,FALSE)=0,"",VLOOKUP(C145,[4]List1!$A:$D,4,FALSE)),"")</f>
        <v>36</v>
      </c>
      <c r="AA145" s="707"/>
      <c r="AB145" s="912" t="str">
        <f>IFERROR(IF(VLOOKUP(C145,[1]List1!$A:$D,2,FALSE)="VYPRODÁNO",$V$9,IF(VLOOKUP(C145,[1]List1!$A:$D,2,FALSE)="DOCHÁZÍ",$V$3,VLOOKUP(C145,[1]List1!$A:$D,2,FALSE))),"OFFLINE!")</f>
        <v>SKLADEM</v>
      </c>
      <c r="AC145" s="912" t="str">
        <f ca="1">IF(AO145="NE",$V$10,IF(AB145=$V$3,IF(AP145&lt;1,$V$8,$V$2&amp;" "&amp;AP145&amp;" "&amp;$V$1),IF(AB145="SKLADEM",$V$6,IFERROR(IF(OR(AB145-TODAY()&gt;21,VLOOKUP(C145,[1]List1!$A:$E,4,FALSE)=0),AB145,DAY(AB145)&amp;"."&amp;MONTH(AB145)&amp;"."&amp;YEAR(AB145)&amp;" "&amp;$V$4&amp;VLOOKUP(C145,[1]List1!$A:$E,4,FALSE)&amp;" "&amp;$V$1),AB145))))</f>
        <v>AUF LAGER</v>
      </c>
      <c r="AD145" s="701">
        <f>_xlfn.IFNA(VLOOKUP(C145,'General price list'!C:AM,MATCH($AD$20,'General price list'!$C$20:$AM$20,0),FALSE),"")</f>
        <v>0</v>
      </c>
      <c r="AE145" s="695">
        <f t="shared" si="20"/>
        <v>0</v>
      </c>
      <c r="AF145" s="695">
        <f t="shared" si="21"/>
        <v>0</v>
      </c>
      <c r="AG145" s="702">
        <f t="shared" si="22"/>
        <v>0</v>
      </c>
      <c r="AH145" s="703">
        <f t="shared" si="23"/>
        <v>0</v>
      </c>
      <c r="AI145" s="702">
        <f t="shared" si="24"/>
        <v>0</v>
      </c>
      <c r="AJ145" s="704" t="str">
        <f t="shared" si="25"/>
        <v/>
      </c>
      <c r="AK145" s="704" t="str">
        <f t="shared" si="26"/>
        <v/>
      </c>
      <c r="AL145" s="704">
        <f t="shared" si="27"/>
        <v>0</v>
      </c>
      <c r="AM145" s="705" t="str">
        <f t="shared" si="28"/>
        <v/>
      </c>
      <c r="AN145" s="382"/>
      <c r="AO145" s="314" t="str">
        <f>IF($R$3=1,IF(Y145=AA145,"","NE"),IF(#REF!=$V$10,"NE",""))</f>
        <v/>
      </c>
      <c r="AP145" s="315" t="str">
        <f>IF(AB145=$V$3,IF(VLOOKUP(C145,[1]List1!$A:$E,5,FALSE)=0,1,VLOOKUP(C145,[1]List1!$A:$E,5,FALSE)),"")</f>
        <v/>
      </c>
      <c r="AW145" s="458">
        <f>IFERROR(FIND(VLOOKUP('General price list'!$AB$7,'General price list'!$AC$1:$AD$12,2,FALSE),Q145,1),0)</f>
        <v>10</v>
      </c>
      <c r="AX145" s="458">
        <f>IFERROR(FIND(VLOOKUP('General price list'!$AB$7,'General price list'!$AC$1:$AD$12,2,FALSE),R145,1),0)</f>
        <v>0</v>
      </c>
    </row>
    <row r="146" spans="1:50" ht="15" customHeight="1">
      <c r="A146" s="677" t="str">
        <f>Kat.!C146</f>
        <v xml:space="preserve">                                          </v>
      </c>
      <c r="B146" s="678">
        <v>125</v>
      </c>
      <c r="C146" s="679" t="s">
        <v>601</v>
      </c>
      <c r="D146" s="679" t="s">
        <v>602</v>
      </c>
      <c r="E146" s="680" t="s">
        <v>597</v>
      </c>
      <c r="F146" s="681">
        <f>VLOOKUP(C146,[2]List1!$A:$D,2,FALSE)</f>
        <v>146</v>
      </c>
      <c r="G146" s="682">
        <f t="shared" si="17"/>
        <v>146</v>
      </c>
      <c r="H146" s="683">
        <f t="shared" si="18"/>
        <v>5.9</v>
      </c>
      <c r="I146" s="836">
        <v>25</v>
      </c>
      <c r="J146" s="680" t="s">
        <v>45</v>
      </c>
      <c r="K146" s="854"/>
      <c r="L146" s="855" t="s">
        <v>13836</v>
      </c>
      <c r="M146" s="680" t="s">
        <v>25</v>
      </c>
      <c r="N146" s="868">
        <f>IFERROR(VLOOKUP(C146,[3]List1!$A:$D,4,FALSE),"N/A!")</f>
        <v>3.6432000000000006E-2</v>
      </c>
      <c r="O146" s="836">
        <f>IFERROR(VLOOKUP(C146,[3]List1!$A:$D,3,FALSE),"N/A!")</f>
        <v>2400</v>
      </c>
      <c r="P146" s="836">
        <f>IFERROR(VLOOKUP(C146,[3]List1!$A:$D,2,FALSE),"N/A!")</f>
        <v>15800</v>
      </c>
      <c r="Q146" s="680" t="s">
        <v>1038</v>
      </c>
      <c r="R146" s="680" t="s">
        <v>618</v>
      </c>
      <c r="S146" s="680"/>
      <c r="T146" s="681">
        <v>40</v>
      </c>
      <c r="U146" s="873"/>
      <c r="V146" s="684" t="str">
        <f>_xlfn.IFNA(HYPERLINK("https://www.klasekpyrotechnics.cz/r6520bk-2"),"")</f>
        <v>https://www.klasekpyrotechnics.cz/r6520bk-2</v>
      </c>
      <c r="W146" s="685" t="str">
        <f>IFERROR(VLOOKUP($C146,Popisy!A:P,MATCH($W$17,Popisy!$A$7:$P$7,0),FALSE),"---------------")</f>
        <v>10 schuss farbige Leuchtgeschosse + 10 schuss knallende kometen, 65 cm Länge</v>
      </c>
      <c r="X146" s="889" t="str">
        <f t="shared" si="19"/>
        <v/>
      </c>
      <c r="Y146" s="890"/>
      <c r="Z146" s="685">
        <f>IFERROR(IF(VLOOKUP(C146,[4]List1!$A:$D,4,FALSE)=0,"",VLOOKUP(C146,[4]List1!$A:$D,4,FALSE)),"")</f>
        <v>28</v>
      </c>
      <c r="AA146" s="707"/>
      <c r="AB146" s="911" t="str">
        <f>IFERROR(IF(VLOOKUP(C146,[1]List1!$A:$D,2,FALSE)="VYPRODÁNO",$V$9,IF(VLOOKUP(C146,[1]List1!$A:$D,2,FALSE)="DOCHÁZÍ",$V$3,VLOOKUP(C146,[1]List1!$A:$D,2,FALSE))),"OFFLINE!")</f>
        <v>SKLADEM</v>
      </c>
      <c r="AC146" s="911" t="str">
        <f ca="1">IF(AO146="NE",$V$10,IF(AB146=$V$3,IF(AP146&lt;1,$V$8,$V$2&amp;" "&amp;AP146&amp;" "&amp;$V$1),IF(AB146="SKLADEM",$V$6,IFERROR(IF(OR(AB146-TODAY()&gt;21,VLOOKUP(C146,[1]List1!$A:$E,4,FALSE)=0),AB146,DAY(AB146)&amp;"."&amp;MONTH(AB146)&amp;"."&amp;YEAR(AB146)&amp;" "&amp;$V$4&amp;VLOOKUP(C146,[1]List1!$A:$E,4,FALSE)&amp;" "&amp;$V$1),AB146))))</f>
        <v>AUF LAGER</v>
      </c>
      <c r="AD146" s="686" t="str">
        <f ca="1">_xlfn.IFNA(VLOOKUP(C146,'General price list'!C:AM,MATCH($AD$20,'General price list'!$C$20:$AM$20,0),FALSE),"")</f>
        <v>AUF LAGER</v>
      </c>
      <c r="AE146" s="681">
        <f t="shared" ca="1" si="20"/>
        <v>0</v>
      </c>
      <c r="AF146" s="681">
        <f t="shared" ca="1" si="21"/>
        <v>0</v>
      </c>
      <c r="AG146" s="687">
        <f t="shared" ca="1" si="22"/>
        <v>0</v>
      </c>
      <c r="AH146" s="688">
        <f t="shared" ca="1" si="23"/>
        <v>0</v>
      </c>
      <c r="AI146" s="687">
        <f t="shared" ca="1" si="24"/>
        <v>0</v>
      </c>
      <c r="AJ146" s="689" t="str">
        <f t="shared" ca="1" si="25"/>
        <v/>
      </c>
      <c r="AK146" s="689" t="str">
        <f t="shared" ca="1" si="26"/>
        <v/>
      </c>
      <c r="AL146" s="689">
        <f t="shared" ca="1" si="27"/>
        <v>0</v>
      </c>
      <c r="AM146" s="690" t="str">
        <f t="shared" ca="1" si="28"/>
        <v/>
      </c>
      <c r="AN146" s="382"/>
      <c r="AO146" s="314" t="str">
        <f>IF($R$3=1,IF(Y146=AA146,"","NE"),IF(#REF!=$V$10,"NE",""))</f>
        <v/>
      </c>
      <c r="AP146" s="315" t="str">
        <f>IF(AB146=$V$3,IF(VLOOKUP(C146,[1]List1!$A:$E,5,FALSE)=0,1,VLOOKUP(C146,[1]List1!$A:$E,5,FALSE)),"")</f>
        <v/>
      </c>
      <c r="AW146" s="458">
        <f>IFERROR(FIND(VLOOKUP('General price list'!$AB$7,'General price list'!$AC$1:$AD$12,2,FALSE),Q146,1),0)</f>
        <v>10</v>
      </c>
      <c r="AX146" s="458">
        <f>IFERROR(FIND(VLOOKUP('General price list'!$AB$7,'General price list'!$AC$1:$AD$12,2,FALSE),R146,1),0)</f>
        <v>0</v>
      </c>
    </row>
    <row r="147" spans="1:50" ht="15" customHeight="1">
      <c r="A147" s="691" t="str">
        <f>Kat.!C147</f>
        <v xml:space="preserve">                                          </v>
      </c>
      <c r="B147" s="692">
        <v>126</v>
      </c>
      <c r="C147" s="693" t="s">
        <v>604</v>
      </c>
      <c r="D147" s="693" t="s">
        <v>605</v>
      </c>
      <c r="E147" s="694" t="s">
        <v>603</v>
      </c>
      <c r="F147" s="695">
        <f>VLOOKUP(C147,[2]List1!$A:$D,2,FALSE)</f>
        <v>136</v>
      </c>
      <c r="G147" s="696">
        <f t="shared" si="17"/>
        <v>136</v>
      </c>
      <c r="H147" s="697">
        <f t="shared" si="18"/>
        <v>5.5</v>
      </c>
      <c r="I147" s="837">
        <v>30</v>
      </c>
      <c r="J147" s="698" t="s">
        <v>45</v>
      </c>
      <c r="K147" s="856"/>
      <c r="L147" s="857" t="s">
        <v>13838</v>
      </c>
      <c r="M147" s="698" t="s">
        <v>25</v>
      </c>
      <c r="N147" s="869">
        <f>IFERROR(VLOOKUP(C147,[3]List1!$A:$D,4,FALSE),"N/A!")</f>
        <v>3.9215000000000007E-2</v>
      </c>
      <c r="O147" s="837">
        <f>IFERROR(VLOOKUP(C147,[3]List1!$A:$D,3,FALSE),"N/A!")</f>
        <v>2880</v>
      </c>
      <c r="P147" s="837">
        <f>IFERROR(VLOOKUP(C147,[3]List1!$A:$D,2,FALSE),"N/A!")</f>
        <v>19920</v>
      </c>
      <c r="Q147" s="698" t="s">
        <v>1038</v>
      </c>
      <c r="R147" s="698" t="s">
        <v>618</v>
      </c>
      <c r="S147" s="698"/>
      <c r="T147" s="695">
        <v>40</v>
      </c>
      <c r="U147" s="874"/>
      <c r="V147" s="699" t="str">
        <f>_xlfn.IFNA(HYPERLINK("https://www.klasekpyrotechnics.cz/r6020m"),"")</f>
        <v>https://www.klasekpyrotechnics.cz/r6020m</v>
      </c>
      <c r="W147" s="700" t="str">
        <f>IFERROR(VLOOKUP($C147,Popisy!A:P,MATCH($W$17,Popisy!$A$7:$P$7,0),FALSE),"---------------")</f>
        <v>Mix 20 schuss römische Kerzen (R5420K-2stk,R6020B,R6520BK,R7020BK-2stk), 60cm Länge</v>
      </c>
      <c r="X147" s="891" t="str">
        <f t="shared" si="19"/>
        <v/>
      </c>
      <c r="Y147" s="892"/>
      <c r="Z147" s="700">
        <f>IFERROR(IF(VLOOKUP(C147,[4]List1!$A:$D,4,FALSE)=0,"",VLOOKUP(C147,[4]List1!$A:$D,4,FALSE)),"")</f>
        <v>30</v>
      </c>
      <c r="AA147" s="707"/>
      <c r="AB147" s="912" t="str">
        <f>IFERROR(IF(VLOOKUP(C147,[1]List1!$A:$D,2,FALSE)="VYPRODÁNO",$V$9,IF(VLOOKUP(C147,[1]List1!$A:$D,2,FALSE)="DOCHÁZÍ",$V$3,VLOOKUP(C147,[1]List1!$A:$D,2,FALSE))),"OFFLINE!")</f>
        <v>SKLADEM</v>
      </c>
      <c r="AC147" s="912" t="str">
        <f ca="1">IF(AO147="NE",$V$10,IF(AB147=$V$3,IF(AP147&lt;1,$V$8,$V$2&amp;" "&amp;AP147&amp;" "&amp;$V$1),IF(AB147="SKLADEM",$V$6,IFERROR(IF(OR(AB147-TODAY()&gt;21,VLOOKUP(C147,[1]List1!$A:$E,4,FALSE)=0),AB147,DAY(AB147)&amp;"."&amp;MONTH(AB147)&amp;"."&amp;YEAR(AB147)&amp;" "&amp;$V$4&amp;VLOOKUP(C147,[1]List1!$A:$E,4,FALSE)&amp;" "&amp;$V$1),AB147))))</f>
        <v>AUF LAGER</v>
      </c>
      <c r="AD147" s="701" t="str">
        <f ca="1">_xlfn.IFNA(VLOOKUP(C147,'General price list'!C:AM,MATCH($AD$20,'General price list'!$C$20:$AM$20,0),FALSE),"")</f>
        <v>AUF LAGER</v>
      </c>
      <c r="AE147" s="695">
        <f t="shared" ca="1" si="20"/>
        <v>0</v>
      </c>
      <c r="AF147" s="695">
        <f t="shared" ca="1" si="21"/>
        <v>0</v>
      </c>
      <c r="AG147" s="702">
        <f t="shared" ca="1" si="22"/>
        <v>0</v>
      </c>
      <c r="AH147" s="703">
        <f t="shared" ca="1" si="23"/>
        <v>0</v>
      </c>
      <c r="AI147" s="702">
        <f t="shared" ca="1" si="24"/>
        <v>0</v>
      </c>
      <c r="AJ147" s="704" t="str">
        <f t="shared" ca="1" si="25"/>
        <v/>
      </c>
      <c r="AK147" s="704" t="str">
        <f t="shared" ca="1" si="26"/>
        <v/>
      </c>
      <c r="AL147" s="704">
        <f t="shared" ca="1" si="27"/>
        <v>0</v>
      </c>
      <c r="AM147" s="705" t="str">
        <f t="shared" ca="1" si="28"/>
        <v/>
      </c>
      <c r="AN147" s="382"/>
      <c r="AO147" s="314" t="str">
        <f>IF($R$3=1,IF(Y147=AA147,"","NE"),IF(#REF!=$V$10,"NE",""))</f>
        <v/>
      </c>
      <c r="AP147" s="292" t="str">
        <f>IF(AB147=$V$3,IF(VLOOKUP(C147,[1]List1!$A:$E,5,FALSE)=0,1,VLOOKUP(C147,[1]List1!$A:$E,5,FALSE)),"")</f>
        <v/>
      </c>
      <c r="AW147" s="458">
        <f>IFERROR(FIND(VLOOKUP('General price list'!$AB$7,'General price list'!$AC$1:$AD$12,2,FALSE),Q147,1),0)</f>
        <v>10</v>
      </c>
      <c r="AX147" s="458">
        <f>IFERROR(FIND(VLOOKUP('General price list'!$AB$7,'General price list'!$AC$1:$AD$12,2,FALSE),R147,1),0)</f>
        <v>0</v>
      </c>
    </row>
    <row r="148" spans="1:50" ht="15" customHeight="1">
      <c r="A148" s="677" t="str">
        <f>Kat.!C148</f>
        <v xml:space="preserve">                                          </v>
      </c>
      <c r="B148" s="678">
        <v>127</v>
      </c>
      <c r="C148" s="679" t="s">
        <v>609</v>
      </c>
      <c r="D148" s="679" t="s">
        <v>605</v>
      </c>
      <c r="E148" s="680" t="s">
        <v>583</v>
      </c>
      <c r="F148" s="681">
        <f>VLOOKUP(C148,[2]List1!$A:$D,2,FALSE)</f>
        <v>282</v>
      </c>
      <c r="G148" s="682">
        <f t="shared" si="17"/>
        <v>282</v>
      </c>
      <c r="H148" s="683">
        <f t="shared" si="18"/>
        <v>11.5</v>
      </c>
      <c r="I148" s="836">
        <v>15</v>
      </c>
      <c r="J148" s="680" t="s">
        <v>45</v>
      </c>
      <c r="K148" s="854" t="s">
        <v>12593</v>
      </c>
      <c r="L148" s="855" t="s">
        <v>13838</v>
      </c>
      <c r="M148" s="680" t="s">
        <v>25</v>
      </c>
      <c r="N148" s="868">
        <f>IFERROR(VLOOKUP(C148,[3]List1!$A:$D,4,FALSE),"N/A!")</f>
        <v>4.7879999999999999E-2</v>
      </c>
      <c r="O148" s="836">
        <f>IFERROR(VLOOKUP(C148,[3]List1!$A:$D,3,FALSE),"N/A!")</f>
        <v>2880</v>
      </c>
      <c r="P148" s="836">
        <f>IFERROR(VLOOKUP(C148,[3]List1!$A:$D,2,FALSE),"N/A!")</f>
        <v>21450</v>
      </c>
      <c r="Q148" s="680" t="s">
        <v>1038</v>
      </c>
      <c r="R148" s="680" t="s">
        <v>207</v>
      </c>
      <c r="S148" s="680"/>
      <c r="T148" s="681">
        <v>40</v>
      </c>
      <c r="U148" s="873"/>
      <c r="V148" s="684" t="str">
        <f>_xlfn.IFNA(HYPERLINK("https://www.klasekpyrotechnics.cz/r7020m"),"")</f>
        <v>https://www.klasekpyrotechnics.cz/r7020m</v>
      </c>
      <c r="W148" s="685" t="str">
        <f>IFERROR(VLOOKUP($C148,Popisy!A:P,MATCH($W$17,Popisy!$A$7:$P$7,0),FALSE),"---------------")</f>
        <v>Mix 20 schuss römische Kerzen (3stk-R7020K,R6020B,R6520BK,R7020BK), 70cm Länge</v>
      </c>
      <c r="X148" s="889" t="str">
        <f t="shared" si="19"/>
        <v/>
      </c>
      <c r="Y148" s="890"/>
      <c r="Z148" s="685">
        <f>IFERROR(IF(VLOOKUP(C148,[4]List1!$A:$D,4,FALSE)=0,"",VLOOKUP(C148,[4]List1!$A:$D,4,FALSE)),"")</f>
        <v>27</v>
      </c>
      <c r="AA148" s="707"/>
      <c r="AB148" s="911" t="str">
        <f>IFERROR(IF(VLOOKUP(C148,[1]List1!$A:$D,2,FALSE)="VYPRODÁNO",$V$9,IF(VLOOKUP(C148,[1]List1!$A:$D,2,FALSE)="DOCHÁZÍ",$V$3,VLOOKUP(C148,[1]List1!$A:$D,2,FALSE))),"OFFLINE!")</f>
        <v>SKLADEM</v>
      </c>
      <c r="AC148" s="911" t="str">
        <f ca="1">IF(AO148="NE",$V$10,IF(AB148=$V$3,IF(AP148&lt;1,$V$8,$V$2&amp;" "&amp;AP148&amp;" "&amp;$V$1),IF(AB148="SKLADEM",$V$6,IFERROR(IF(OR(AB148-TODAY()&gt;21,VLOOKUP(C148,[1]List1!$A:$E,4,FALSE)=0),AB148,DAY(AB148)&amp;"."&amp;MONTH(AB148)&amp;"."&amp;YEAR(AB148)&amp;" "&amp;$V$4&amp;VLOOKUP(C148,[1]List1!$A:$E,4,FALSE)&amp;" "&amp;$V$1),AB148))))</f>
        <v>AUF LAGER</v>
      </c>
      <c r="AD148" s="686" t="str">
        <f ca="1">_xlfn.IFNA(VLOOKUP(C148,'General price list'!C:AM,MATCH($AD$20,'General price list'!$C$20:$AM$20,0),FALSE),"")</f>
        <v>AUF LAGER</v>
      </c>
      <c r="AE148" s="681">
        <f t="shared" ca="1" si="20"/>
        <v>0</v>
      </c>
      <c r="AF148" s="681">
        <f t="shared" ca="1" si="21"/>
        <v>0</v>
      </c>
      <c r="AG148" s="687">
        <f t="shared" ca="1" si="22"/>
        <v>0</v>
      </c>
      <c r="AH148" s="688">
        <f t="shared" ca="1" si="23"/>
        <v>0</v>
      </c>
      <c r="AI148" s="687">
        <f t="shared" ca="1" si="24"/>
        <v>0</v>
      </c>
      <c r="AJ148" s="689" t="str">
        <f t="shared" ca="1" si="25"/>
        <v/>
      </c>
      <c r="AK148" s="689" t="str">
        <f t="shared" ca="1" si="26"/>
        <v/>
      </c>
      <c r="AL148" s="689">
        <f t="shared" ca="1" si="27"/>
        <v>0</v>
      </c>
      <c r="AM148" s="690" t="str">
        <f t="shared" ca="1" si="28"/>
        <v/>
      </c>
      <c r="AN148" s="382"/>
      <c r="AO148" s="314" t="str">
        <f>IF($R$3=1,IF(Y148=AA148,"","NE"),IF(#REF!=$V$10,"NE",""))</f>
        <v/>
      </c>
      <c r="AP148" s="315" t="str">
        <f>IF(AB148=$V$3,IF(VLOOKUP(C148,[1]List1!$A:$E,5,FALSE)=0,1,VLOOKUP(C148,[1]List1!$A:$E,5,FALSE)),"")</f>
        <v/>
      </c>
      <c r="AW148" s="458">
        <f>IFERROR(FIND(VLOOKUP('General price list'!$AB$7,'General price list'!$AC$1:$AD$12,2,FALSE),Q148,1),0)</f>
        <v>10</v>
      </c>
      <c r="AX148" s="458">
        <f>IFERROR(FIND(VLOOKUP('General price list'!$AB$7,'General price list'!$AC$1:$AD$12,2,FALSE),R148,1),0)</f>
        <v>0</v>
      </c>
    </row>
    <row r="149" spans="1:50" ht="15" customHeight="1">
      <c r="A149" s="672" t="str">
        <f>Kat.!C149</f>
        <v xml:space="preserve">                                          Römische Kerzen 20mm</v>
      </c>
      <c r="B149" s="692">
        <v>128</v>
      </c>
      <c r="C149" s="693"/>
      <c r="D149" s="693"/>
      <c r="E149" s="694"/>
      <c r="F149" s="695" t="str">
        <f>IFERROR(ROUND(VLOOKUP(C149,'General price list'!$C:$AN,4,FALSE),0),"")</f>
        <v/>
      </c>
      <c r="G149" s="696" t="str">
        <f t="shared" si="17"/>
        <v/>
      </c>
      <c r="H149" s="697" t="str">
        <f t="shared" si="18"/>
        <v/>
      </c>
      <c r="I149" s="837"/>
      <c r="J149" s="698"/>
      <c r="K149" s="856"/>
      <c r="L149" s="857"/>
      <c r="M149" s="698"/>
      <c r="N149" s="869" t="str">
        <f>IFERROR(IF(VLOOKUP($C149,'General price list'!$C:$AN,MATCH(N$20,'General price list'!$C$20:$AM$20,0),FALSE)=0,"",VLOOKUP($C149,'General price list'!$C:$AN,MATCH(N$20,'General price list'!$C$20:$AM$20,0),FALSE)),"")</f>
        <v/>
      </c>
      <c r="O149" s="837" t="str">
        <f>IFERROR(IF(VLOOKUP($C149,'General price list'!$C:$AN,MATCH(O$20,'General price list'!$C$20:$AM$20,0),FALSE)=0,"",VLOOKUP($C149,'General price list'!$C:$AN,MATCH(O$20,'General price list'!$C$20:$AM$20,0),FALSE)),"")</f>
        <v/>
      </c>
      <c r="P149" s="837" t="str">
        <f>IFERROR(IF(VLOOKUP($C149,'General price list'!$C:$AN,MATCH(P$20,'General price list'!$C$20:$AM$20,0),FALSE)=0,"",VLOOKUP($C149,'General price list'!$C:$AN,MATCH(P$20,'General price list'!$C$20:$AM$20,0),FALSE)),"")</f>
        <v/>
      </c>
      <c r="Q149" s="698"/>
      <c r="R149" s="698"/>
      <c r="S149" s="698"/>
      <c r="T149" s="695"/>
      <c r="U149" s="874"/>
      <c r="V149" s="699"/>
      <c r="W149" s="700" t="str">
        <f>IFERROR(VLOOKUP($C149,'General price list'!$C:$AN,MATCH(W$20,'General price list'!$C$20:$AM$20,0),FALSE),"")</f>
        <v/>
      </c>
      <c r="X149" s="891" t="str">
        <f t="shared" si="19"/>
        <v/>
      </c>
      <c r="Y149" s="892"/>
      <c r="Z149" s="700" t="str">
        <f>IFERROR(VLOOKUP($C149,'General price list'!$C:$AN,MATCH(Z$20,'General price list'!$C$20:$AM$20,0),FALSE),"")</f>
        <v/>
      </c>
      <c r="AA149" s="707"/>
      <c r="AB149" s="912" t="str">
        <f>IFERROR(IF(VLOOKUP(C149,[1]List1!$A:$D,2,FALSE)="VYPRODÁNO",$V$9,IF(VLOOKUP(C149,[1]List1!$A:$D,2,FALSE)="DOCHÁZÍ",$V$3,VLOOKUP(C149,[1]List1!$A:$D,2,FALSE))),"OFFLINE!")</f>
        <v>OFFLINE!</v>
      </c>
      <c r="AC149" s="912" t="str">
        <f ca="1">IF(AO149="NE",$V$10,IF(AB149=$V$3,IF(AP149&lt;1,$V$8,$V$2&amp;" "&amp;AP149&amp;" "&amp;$V$1),IF(AB149="SKLADEM",$V$6,IFERROR(IF(OR(AB149-TODAY()&gt;21,VLOOKUP(C149,[1]List1!$A:$E,4,FALSE)=0),AB149,DAY(AB149)&amp;"."&amp;MONTH(AB149)&amp;"."&amp;YEAR(AB149)&amp;" "&amp;$V$4&amp;VLOOKUP(C149,[1]List1!$A:$E,4,FALSE)&amp;" "&amp;$V$1),AB149))))</f>
        <v>OFFLINE!</v>
      </c>
      <c r="AD149" s="701" t="str">
        <f>_xlfn.IFNA(VLOOKUP(C149,'General price list'!C:AM,MATCH($AD$20,'General price list'!$C$20:$AM$20,0),FALSE),"")</f>
        <v/>
      </c>
      <c r="AE149" s="695" t="str">
        <f t="shared" si="20"/>
        <v/>
      </c>
      <c r="AF149" s="695" t="str">
        <f t="shared" si="21"/>
        <v/>
      </c>
      <c r="AG149" s="702" t="str">
        <f t="shared" si="22"/>
        <v/>
      </c>
      <c r="AH149" s="703" t="str">
        <f t="shared" si="23"/>
        <v/>
      </c>
      <c r="AI149" s="702" t="str">
        <f t="shared" si="24"/>
        <v/>
      </c>
      <c r="AJ149" s="704" t="str">
        <f t="shared" si="25"/>
        <v/>
      </c>
      <c r="AK149" s="704" t="str">
        <f t="shared" si="26"/>
        <v/>
      </c>
      <c r="AL149" s="704" t="str">
        <f t="shared" si="27"/>
        <v/>
      </c>
      <c r="AM149" s="705" t="str">
        <f t="shared" si="28"/>
        <v/>
      </c>
      <c r="AN149" s="381"/>
      <c r="AO149" s="314" t="str">
        <f>IF($R$3=1,IF(Y149=AA149,"","NE"),IF(#REF!=$V$10,"NE",""))</f>
        <v/>
      </c>
      <c r="AP149" s="315" t="str">
        <f>IF(AB149=$V$3,IF(VLOOKUP(C149,[1]List1!$A:$E,5,FALSE)=0,1,VLOOKUP(C149,[1]List1!$A:$E,5,FALSE)),"")</f>
        <v/>
      </c>
      <c r="AW149" s="291" t="e">
        <f>VLOOKUP(C149,'General price list'!C:AU,46,FALSE)</f>
        <v>#N/A</v>
      </c>
      <c r="AX149" s="291" t="e">
        <f>VLOOKUP(C149,'General price list'!C:AU,47,FALSE)</f>
        <v>#N/A</v>
      </c>
    </row>
    <row r="150" spans="1:50" ht="15" customHeight="1">
      <c r="A150" s="677" t="str">
        <f>Kat.!C150</f>
        <v xml:space="preserve">                                          </v>
      </c>
      <c r="B150" s="678">
        <v>129</v>
      </c>
      <c r="C150" s="679" t="s">
        <v>2307</v>
      </c>
      <c r="D150" s="679" t="s">
        <v>2308</v>
      </c>
      <c r="E150" s="680" t="s">
        <v>617</v>
      </c>
      <c r="F150" s="681">
        <f>VLOOKUP(C150,[2]List1!$A:$D,2,FALSE)</f>
        <v>235</v>
      </c>
      <c r="G150" s="682">
        <f t="shared" si="17"/>
        <v>235</v>
      </c>
      <c r="H150" s="683">
        <f t="shared" si="18"/>
        <v>9.6</v>
      </c>
      <c r="I150" s="836">
        <v>24</v>
      </c>
      <c r="J150" s="680" t="s">
        <v>45</v>
      </c>
      <c r="K150" s="854"/>
      <c r="L150" s="855" t="s">
        <v>13828</v>
      </c>
      <c r="M150" s="680" t="s">
        <v>25</v>
      </c>
      <c r="N150" s="868">
        <f>IFERROR(VLOOKUP(C150,[3]List1!$A:$D,4,FALSE),"N/A!")</f>
        <v>5.2359999999999997E-2</v>
      </c>
      <c r="O150" s="836">
        <f>IFERROR(VLOOKUP(C150,[3]List1!$A:$D,3,FALSE),"N/A!")</f>
        <v>4608</v>
      </c>
      <c r="P150" s="836">
        <f>IFERROR(VLOOKUP(C150,[3]List1!$A:$D,2,FALSE),"N/A!")</f>
        <v>21000</v>
      </c>
      <c r="Q150" s="680" t="s">
        <v>13738</v>
      </c>
      <c r="R150" s="680" t="s">
        <v>207</v>
      </c>
      <c r="S150" s="680"/>
      <c r="T150" s="681">
        <v>35</v>
      </c>
      <c r="U150" s="873"/>
      <c r="V150" s="684" t="str">
        <f>_xlfn.IFNA(HYPERLINK("https://www.klasekpyrotechnics.cz/r6508s"),"")</f>
        <v>https://www.klasekpyrotechnics.cz/r6508s</v>
      </c>
      <c r="W150" s="685" t="str">
        <f>IFERROR(VLOOKUP($C150,Popisy!A:P,MATCH($W$17,Popisy!$A$7:$P$7,0),FALSE),"---------------")</f>
        <v>8 Schüsse Silberpfeife, 65cm lang</v>
      </c>
      <c r="X150" s="889" t="str">
        <f t="shared" si="19"/>
        <v/>
      </c>
      <c r="Y150" s="890"/>
      <c r="Z150" s="685">
        <f>IFERROR(IF(VLOOKUP(C150,[4]List1!$A:$D,4,FALSE)=0,"",VLOOKUP(C150,[4]List1!$A:$D,4,FALSE)),"")</f>
        <v>30</v>
      </c>
      <c r="AA150" s="707"/>
      <c r="AB150" s="911" t="str">
        <f>IFERROR(IF(VLOOKUP(C150,[1]List1!$A:$D,2,FALSE)="VYPRODÁNO",$V$9,IF(VLOOKUP(C150,[1]List1!$A:$D,2,FALSE)="DOCHÁZÍ",$V$3,VLOOKUP(C150,[1]List1!$A:$D,2,FALSE))),"OFFLINE!")</f>
        <v>SKLADEM</v>
      </c>
      <c r="AC150" s="911" t="str">
        <f ca="1">IF(AO150="NE",$V$10,IF(AB150=$V$3,IF(AP150&lt;1,$V$8,$V$2&amp;" "&amp;AP150&amp;" "&amp;$V$1),IF(AB150="SKLADEM",$V$6,IFERROR(IF(OR(AB150-TODAY()&gt;21,VLOOKUP(C150,[1]List1!$A:$E,4,FALSE)=0),AB150,DAY(AB150)&amp;"."&amp;MONTH(AB150)&amp;"."&amp;YEAR(AB150)&amp;" "&amp;$V$4&amp;VLOOKUP(C150,[1]List1!$A:$E,4,FALSE)&amp;" "&amp;$V$1),AB150))))</f>
        <v>AUF LAGER</v>
      </c>
      <c r="AD150" s="686" t="str">
        <f ca="1">_xlfn.IFNA(VLOOKUP(C150,'General price list'!C:AM,MATCH($AD$20,'General price list'!$C$20:$AM$20,0),FALSE),"")</f>
        <v>AUF LAGER</v>
      </c>
      <c r="AE150" s="681">
        <f t="shared" ca="1" si="20"/>
        <v>0</v>
      </c>
      <c r="AF150" s="681">
        <f t="shared" ca="1" si="21"/>
        <v>0</v>
      </c>
      <c r="AG150" s="687">
        <f t="shared" ca="1" si="22"/>
        <v>0</v>
      </c>
      <c r="AH150" s="688">
        <f t="shared" ca="1" si="23"/>
        <v>0</v>
      </c>
      <c r="AI150" s="687">
        <f t="shared" ca="1" si="24"/>
        <v>0</v>
      </c>
      <c r="AJ150" s="689" t="str">
        <f t="shared" ca="1" si="25"/>
        <v/>
      </c>
      <c r="AK150" s="689" t="str">
        <f t="shared" ca="1" si="26"/>
        <v/>
      </c>
      <c r="AL150" s="689">
        <f t="shared" ca="1" si="27"/>
        <v>0</v>
      </c>
      <c r="AM150" s="690" t="str">
        <f t="shared" ca="1" si="28"/>
        <v/>
      </c>
      <c r="AN150" s="382"/>
      <c r="AO150" s="314" t="str">
        <f>IF($R$3=1,IF(Y150=AA150,"","NE"),IF(#REF!=$V$10,"NE",""))</f>
        <v/>
      </c>
      <c r="AP150" s="315" t="str">
        <f>IF(AB150=$V$3,IF(VLOOKUP(C150,[1]List1!$A:$E,5,FALSE)=0,1,VLOOKUP(C150,[1]List1!$A:$E,5,FALSE)),"")</f>
        <v/>
      </c>
      <c r="AW150" s="458">
        <f>IFERROR(FIND(VLOOKUP('General price list'!$AB$7,'General price list'!$AC$1:$AD$12,2,FALSE),Q150,1),0)</f>
        <v>13</v>
      </c>
      <c r="AX150" s="458">
        <f>IFERROR(FIND(VLOOKUP('General price list'!$AB$7,'General price list'!$AC$1:$AD$12,2,FALSE),R150,1),0)</f>
        <v>0</v>
      </c>
    </row>
    <row r="151" spans="1:50" ht="15" customHeight="1">
      <c r="A151" s="672" t="str">
        <f>Kat.!C151</f>
        <v xml:space="preserve">                                          Batterien der römischen Kerzen</v>
      </c>
      <c r="B151" s="692">
        <v>130</v>
      </c>
      <c r="C151" s="693"/>
      <c r="D151" s="693"/>
      <c r="E151" s="694"/>
      <c r="F151" s="695" t="str">
        <f>IFERROR(ROUND(VLOOKUP(C151,'General price list'!$C:$AN,4,FALSE),0),"")</f>
        <v/>
      </c>
      <c r="G151" s="696" t="str">
        <f t="shared" ref="G151:G214" si="29">IFERROR((F151)*$B$19,"")</f>
        <v/>
      </c>
      <c r="H151" s="697" t="str">
        <f t="shared" ref="H151:H214" si="30">IFERROR(ROUND(G151/$F$19,1),"")</f>
        <v/>
      </c>
      <c r="I151" s="837"/>
      <c r="J151" s="698"/>
      <c r="K151" s="856"/>
      <c r="L151" s="857"/>
      <c r="M151" s="698"/>
      <c r="N151" s="869" t="str">
        <f>IFERROR(IF(VLOOKUP($C151,'General price list'!$C:$AN,MATCH(N$20,'General price list'!$C$20:$AM$20,0),FALSE)=0,"",VLOOKUP($C151,'General price list'!$C:$AN,MATCH(N$20,'General price list'!$C$20:$AM$20,0),FALSE)),"")</f>
        <v/>
      </c>
      <c r="O151" s="837" t="str">
        <f>IFERROR(IF(VLOOKUP($C151,'General price list'!$C:$AN,MATCH(O$20,'General price list'!$C$20:$AM$20,0),FALSE)=0,"",VLOOKUP($C151,'General price list'!$C:$AN,MATCH(O$20,'General price list'!$C$20:$AM$20,0),FALSE)),"")</f>
        <v/>
      </c>
      <c r="P151" s="837" t="str">
        <f>IFERROR(IF(VLOOKUP($C151,'General price list'!$C:$AN,MATCH(P$20,'General price list'!$C$20:$AM$20,0),FALSE)=0,"",VLOOKUP($C151,'General price list'!$C:$AN,MATCH(P$20,'General price list'!$C$20:$AM$20,0),FALSE)),"")</f>
        <v/>
      </c>
      <c r="Q151" s="698"/>
      <c r="R151" s="698"/>
      <c r="S151" s="698"/>
      <c r="T151" s="695"/>
      <c r="U151" s="874"/>
      <c r="V151" s="699"/>
      <c r="W151" s="700" t="str">
        <f>IFERROR(VLOOKUP($C151,'General price list'!$C:$AN,MATCH(W$20,'General price list'!$C$20:$AM$20,0),FALSE),"")</f>
        <v/>
      </c>
      <c r="X151" s="891" t="str">
        <f t="shared" ref="X151:X214" si="31">IF(AA151&lt;0.0001,"",AA151)</f>
        <v/>
      </c>
      <c r="Y151" s="892"/>
      <c r="Z151" s="700" t="str">
        <f>IFERROR(VLOOKUP($C151,'General price list'!$C:$AN,MATCH(Z$20,'General price list'!$C$20:$AM$20,0),FALSE),"")</f>
        <v/>
      </c>
      <c r="AA151" s="707"/>
      <c r="AB151" s="912" t="str">
        <f>IFERROR(IF(VLOOKUP(C151,[1]List1!$A:$D,2,FALSE)="VYPRODÁNO",$V$9,IF(VLOOKUP(C151,[1]List1!$A:$D,2,FALSE)="DOCHÁZÍ",$V$3,VLOOKUP(C151,[1]List1!$A:$D,2,FALSE))),"OFFLINE!")</f>
        <v>OFFLINE!</v>
      </c>
      <c r="AC151" s="912" t="str">
        <f ca="1">IF(AO151="NE",$V$10,IF(AB151=$V$3,IF(AP151&lt;1,$V$8,$V$2&amp;" "&amp;AP151&amp;" "&amp;$V$1),IF(AB151="SKLADEM",$V$6,IFERROR(IF(OR(AB151-TODAY()&gt;21,VLOOKUP(C151,[1]List1!$A:$E,4,FALSE)=0),AB151,DAY(AB151)&amp;"."&amp;MONTH(AB151)&amp;"."&amp;YEAR(AB151)&amp;" "&amp;$V$4&amp;VLOOKUP(C151,[1]List1!$A:$E,4,FALSE)&amp;" "&amp;$V$1),AB151))))</f>
        <v>OFFLINE!</v>
      </c>
      <c r="AD151" s="701" t="str">
        <f>_xlfn.IFNA(VLOOKUP(C151,'General price list'!C:AM,MATCH($AD$20,'General price list'!$C$20:$AM$20,0),FALSE),"")</f>
        <v/>
      </c>
      <c r="AE151" s="695" t="str">
        <f t="shared" ref="AE151:AE214" si="32">IFERROR(IF(AD151=$V$10,0,G151*I151*AA151),"")</f>
        <v/>
      </c>
      <c r="AF151" s="695" t="str">
        <f t="shared" ref="AF151:AF214" si="33">IFERROR(IF($W$17=$AB$8,AG151*1.23,AE151*1.21),"")</f>
        <v/>
      </c>
      <c r="AG151" s="702" t="str">
        <f t="shared" ref="AG151:AG214" si="34">IFERROR(IF($V$10=AD151,0,H151*I151*AA151),"")</f>
        <v/>
      </c>
      <c r="AH151" s="703" t="str">
        <f t="shared" ref="AH151:AH214" si="35">IFERROR(IF($V$10=AD151,0,(P151*AA151)/1000),"")</f>
        <v/>
      </c>
      <c r="AI151" s="702" t="str">
        <f t="shared" ref="AI151:AI214" si="36">IFERROR(IF($V$10=AD151,0,N151*AA151),"")</f>
        <v/>
      </c>
      <c r="AJ151" s="704" t="str">
        <f t="shared" ref="AJ151:AJ214" si="37">IFERROR(IF($V$10=AD151,"",IF(M151="1.1G",(O151/1000)*AA151,"")),0)</f>
        <v/>
      </c>
      <c r="AK151" s="704" t="str">
        <f t="shared" ref="AK151:AK214" si="38">IFERROR(IF($V$10=AD151,"",IF(M151="1.3G",(O151/1000)*AA151,"")),0)</f>
        <v/>
      </c>
      <c r="AL151" s="704" t="str">
        <f t="shared" ref="AL151:AL214" si="39">IFERROR(IF($V$10=AD151,"",IF(M151="1.4G",(O151/1000)*AA151,"")),0)</f>
        <v/>
      </c>
      <c r="AM151" s="705" t="str">
        <f t="shared" ref="AM151:AM214" si="40">IFERROR(IF(SUM(AJ151:AL151)=0,"",SUM(AJ151:AL151)),"")</f>
        <v/>
      </c>
      <c r="AN151" s="313"/>
      <c r="AO151" s="314" t="str">
        <f>IF($R$3=1,IF(Y151=AA151,"","NE"),IF(#REF!=$V$10,"NE",""))</f>
        <v/>
      </c>
      <c r="AP151" s="315" t="str">
        <f>IF(AB151=$V$3,IF(VLOOKUP(C151,[1]List1!$A:$E,5,FALSE)=0,1,VLOOKUP(C151,[1]List1!$A:$E,5,FALSE)),"")</f>
        <v/>
      </c>
      <c r="AW151" s="291" t="e">
        <f>VLOOKUP(C151,'General price list'!C:AU,46,FALSE)</f>
        <v>#N/A</v>
      </c>
      <c r="AX151" s="291" t="e">
        <f>VLOOKUP(C151,'General price list'!C:AU,47,FALSE)</f>
        <v>#N/A</v>
      </c>
    </row>
    <row r="152" spans="1:50" ht="15" customHeight="1">
      <c r="A152" s="677" t="str">
        <f>Kat.!C152</f>
        <v xml:space="preserve">                                          </v>
      </c>
      <c r="B152" s="678">
        <v>131</v>
      </c>
      <c r="C152" s="679" t="s">
        <v>644</v>
      </c>
      <c r="D152" s="679" t="s">
        <v>645</v>
      </c>
      <c r="E152" s="680" t="s">
        <v>133</v>
      </c>
      <c r="F152" s="681">
        <f>VLOOKUP(C152,[2]List1!$A:$D,2,FALSE)</f>
        <v>71</v>
      </c>
      <c r="G152" s="682">
        <f t="shared" si="29"/>
        <v>71</v>
      </c>
      <c r="H152" s="683">
        <f t="shared" si="30"/>
        <v>2.9</v>
      </c>
      <c r="I152" s="836">
        <v>40</v>
      </c>
      <c r="J152" s="680" t="s">
        <v>45</v>
      </c>
      <c r="K152" s="854"/>
      <c r="L152" s="855" t="s">
        <v>13839</v>
      </c>
      <c r="M152" s="680" t="s">
        <v>25</v>
      </c>
      <c r="N152" s="868">
        <f>IFERROR(VLOOKUP(C152,[3]List1!$A:$D,4,FALSE),"N/A!")</f>
        <v>4.9104000000000002E-2</v>
      </c>
      <c r="O152" s="836">
        <f>IFERROR(VLOOKUP(C152,[3]List1!$A:$D,3,FALSE),"N/A!")</f>
        <v>1680</v>
      </c>
      <c r="P152" s="836">
        <f>IFERROR(VLOOKUP(C152,[3]List1!$A:$D,2,FALSE),"N/A!")</f>
        <v>10000</v>
      </c>
      <c r="Q152" s="680" t="s">
        <v>207</v>
      </c>
      <c r="R152" s="680" t="s">
        <v>24</v>
      </c>
      <c r="S152" s="680"/>
      <c r="T152" s="681">
        <v>20</v>
      </c>
      <c r="U152" s="873"/>
      <c r="V152" s="684" t="str">
        <f>_xlfn.IFNA(HYPERLINK("https://www.klasekpyrotechnics.cz/r100m"),"")</f>
        <v>https://www.klasekpyrotechnics.cz/r100m</v>
      </c>
      <c r="W152" s="685" t="str">
        <f>IFERROR(VLOOKUP($C152,Popisy!A:P,MATCH($W$17,Popisy!$A$7:$P$7,0),FALSE),"---------------")</f>
        <v>91 Schuss Römische Kerze, 4 verschiedenfarbige Effekte</v>
      </c>
      <c r="X152" s="889" t="str">
        <f t="shared" si="31"/>
        <v/>
      </c>
      <c r="Y152" s="890"/>
      <c r="Z152" s="685">
        <f>IFERROR(IF(VLOOKUP(C152,[4]List1!$A:$D,4,FALSE)=0,"",VLOOKUP(C152,[4]List1!$A:$D,4,FALSE)),"")</f>
        <v>30</v>
      </c>
      <c r="AA152" s="707"/>
      <c r="AB152" s="911" t="str">
        <f>IFERROR(IF(VLOOKUP(C152,[1]List1!$A:$D,2,FALSE)="VYPRODÁNO",$V$9,IF(VLOOKUP(C152,[1]List1!$A:$D,2,FALSE)="DOCHÁZÍ",$V$3,VLOOKUP(C152,[1]List1!$A:$D,2,FALSE))),"OFFLINE!")</f>
        <v>15.03.2024</v>
      </c>
      <c r="AC152" s="911" t="str">
        <f ca="1">IF(AO152="NE",$V$10,IF(AB152=$V$3,IF(AP152&lt;1,$V$8,$V$2&amp;" "&amp;AP152&amp;" "&amp;$V$1),IF(AB152="SKLADEM",$V$6,IFERROR(IF(OR(AB152-TODAY()&gt;21,VLOOKUP(C152,[1]List1!$A:$E,4,FALSE)=0),AB152,DAY(AB152)&amp;"."&amp;MONTH(AB152)&amp;"."&amp;YEAR(AB152)&amp;" "&amp;$V$4&amp;VLOOKUP(C152,[1]List1!$A:$E,4,FALSE)&amp;" "&amp;$V$1),AB152))))</f>
        <v>15.3.2024 KOMMT 100+ KTN</v>
      </c>
      <c r="AD152" s="686" t="str">
        <f ca="1">_xlfn.IFNA(VLOOKUP(C152,'General price list'!C:AM,MATCH($AD$20,'General price list'!$C$20:$AM$20,0),FALSE),"")</f>
        <v>15.3.2024 KOMMT 100+ KTN</v>
      </c>
      <c r="AE152" s="681">
        <f t="shared" ca="1" si="32"/>
        <v>0</v>
      </c>
      <c r="AF152" s="681">
        <f t="shared" ca="1" si="33"/>
        <v>0</v>
      </c>
      <c r="AG152" s="687">
        <f t="shared" ca="1" si="34"/>
        <v>0</v>
      </c>
      <c r="AH152" s="688">
        <f t="shared" ca="1" si="35"/>
        <v>0</v>
      </c>
      <c r="AI152" s="687">
        <f t="shared" ca="1" si="36"/>
        <v>0</v>
      </c>
      <c r="AJ152" s="689" t="str">
        <f t="shared" ca="1" si="37"/>
        <v/>
      </c>
      <c r="AK152" s="689" t="str">
        <f t="shared" ca="1" si="38"/>
        <v/>
      </c>
      <c r="AL152" s="689">
        <f t="shared" ca="1" si="39"/>
        <v>0</v>
      </c>
      <c r="AM152" s="690" t="str">
        <f t="shared" ca="1" si="40"/>
        <v/>
      </c>
      <c r="AN152" s="382"/>
      <c r="AO152" s="314" t="str">
        <f>IF($R$3=1,IF(Y152=AA152,"","NE"),IF(#REF!=$V$10,"NE",""))</f>
        <v/>
      </c>
      <c r="AP152" s="315" t="str">
        <f>IF(AB152=$V$3,IF(VLOOKUP(C152,[1]List1!$A:$E,5,FALSE)=0,1,VLOOKUP(C152,[1]List1!$A:$E,5,FALSE)),"")</f>
        <v/>
      </c>
      <c r="AW152" s="458">
        <f>IFERROR(FIND(VLOOKUP('General price list'!$AB$7,'General price list'!$AC$1:$AD$12,2,FALSE),Q152,1),0)</f>
        <v>0</v>
      </c>
      <c r="AX152" s="458">
        <f>IFERROR(FIND(VLOOKUP('General price list'!$AB$7,'General price list'!$AC$1:$AD$12,2,FALSE),R152,1),0)</f>
        <v>0</v>
      </c>
    </row>
    <row r="153" spans="1:50" ht="15" customHeight="1">
      <c r="A153" s="672" t="str">
        <f>Kat.!C153</f>
        <v xml:space="preserve">                                          Schießröhre F2</v>
      </c>
      <c r="B153" s="692">
        <v>132</v>
      </c>
      <c r="C153" s="693"/>
      <c r="D153" s="693"/>
      <c r="E153" s="694"/>
      <c r="F153" s="695" t="str">
        <f>IFERROR(ROUND(VLOOKUP(C153,'General price list'!$C:$AN,4,FALSE),0),"")</f>
        <v/>
      </c>
      <c r="G153" s="696" t="str">
        <f t="shared" si="29"/>
        <v/>
      </c>
      <c r="H153" s="697" t="str">
        <f t="shared" si="30"/>
        <v/>
      </c>
      <c r="I153" s="837"/>
      <c r="J153" s="698"/>
      <c r="K153" s="856"/>
      <c r="L153" s="857"/>
      <c r="M153" s="698"/>
      <c r="N153" s="869" t="str">
        <f>IFERROR(IF(VLOOKUP($C153,'General price list'!$C:$AN,MATCH(N$20,'General price list'!$C$20:$AM$20,0),FALSE)=0,"",VLOOKUP($C153,'General price list'!$C:$AN,MATCH(N$20,'General price list'!$C$20:$AM$20,0),FALSE)),"")</f>
        <v/>
      </c>
      <c r="O153" s="837" t="str">
        <f>IFERROR(IF(VLOOKUP($C153,'General price list'!$C:$AN,MATCH(O$20,'General price list'!$C$20:$AM$20,0),FALSE)=0,"",VLOOKUP($C153,'General price list'!$C:$AN,MATCH(O$20,'General price list'!$C$20:$AM$20,0),FALSE)),"")</f>
        <v/>
      </c>
      <c r="P153" s="837" t="str">
        <f>IFERROR(IF(VLOOKUP($C153,'General price list'!$C:$AN,MATCH(P$20,'General price list'!$C$20:$AM$20,0),FALSE)=0,"",VLOOKUP($C153,'General price list'!$C:$AN,MATCH(P$20,'General price list'!$C$20:$AM$20,0),FALSE)),"")</f>
        <v/>
      </c>
      <c r="Q153" s="698"/>
      <c r="R153" s="698"/>
      <c r="S153" s="698"/>
      <c r="T153" s="695"/>
      <c r="U153" s="874"/>
      <c r="V153" s="699"/>
      <c r="W153" s="700" t="str">
        <f>IFERROR(VLOOKUP($C153,'General price list'!$C:$AN,MATCH(W$20,'General price list'!$C$20:$AM$20,0),FALSE),"")</f>
        <v/>
      </c>
      <c r="X153" s="891" t="str">
        <f t="shared" si="31"/>
        <v/>
      </c>
      <c r="Y153" s="892"/>
      <c r="Z153" s="700" t="str">
        <f>IFERROR(VLOOKUP($C153,'General price list'!$C:$AN,MATCH(Z$20,'General price list'!$C$20:$AM$20,0),FALSE),"")</f>
        <v/>
      </c>
      <c r="AA153" s="707"/>
      <c r="AB153" s="912" t="str">
        <f>IFERROR(IF(VLOOKUP(C153,[1]List1!$A:$D,2,FALSE)="VYPRODÁNO",$V$9,IF(VLOOKUP(C153,[1]List1!$A:$D,2,FALSE)="DOCHÁZÍ",$V$3,VLOOKUP(C153,[1]List1!$A:$D,2,FALSE))),"OFFLINE!")</f>
        <v>OFFLINE!</v>
      </c>
      <c r="AC153" s="912" t="str">
        <f ca="1">IF(AO153="NE",$V$10,IF(AB153=$V$3,IF(AP153&lt;1,$V$8,$V$2&amp;" "&amp;AP153&amp;" "&amp;$V$1),IF(AB153="SKLADEM",$V$6,IFERROR(IF(OR(AB153-TODAY()&gt;21,VLOOKUP(C153,[1]List1!$A:$E,4,FALSE)=0),AB153,DAY(AB153)&amp;"."&amp;MONTH(AB153)&amp;"."&amp;YEAR(AB153)&amp;" "&amp;$V$4&amp;VLOOKUP(C153,[1]List1!$A:$E,4,FALSE)&amp;" "&amp;$V$1),AB153))))</f>
        <v>OFFLINE!</v>
      </c>
      <c r="AD153" s="701" t="str">
        <f>_xlfn.IFNA(VLOOKUP(C153,'General price list'!C:AM,MATCH($AD$20,'General price list'!$C$20:$AM$20,0),FALSE),"")</f>
        <v/>
      </c>
      <c r="AE153" s="695" t="str">
        <f t="shared" si="32"/>
        <v/>
      </c>
      <c r="AF153" s="695" t="str">
        <f t="shared" si="33"/>
        <v/>
      </c>
      <c r="AG153" s="702" t="str">
        <f t="shared" si="34"/>
        <v/>
      </c>
      <c r="AH153" s="703" t="str">
        <f t="shared" si="35"/>
        <v/>
      </c>
      <c r="AI153" s="702" t="str">
        <f t="shared" si="36"/>
        <v/>
      </c>
      <c r="AJ153" s="704" t="str">
        <f t="shared" si="37"/>
        <v/>
      </c>
      <c r="AK153" s="704" t="str">
        <f t="shared" si="38"/>
        <v/>
      </c>
      <c r="AL153" s="704" t="str">
        <f t="shared" si="39"/>
        <v/>
      </c>
      <c r="AM153" s="705" t="str">
        <f t="shared" si="40"/>
        <v/>
      </c>
      <c r="AN153" s="382"/>
      <c r="AO153" s="314" t="str">
        <f>IF($R$3=1,IF(Y153=AA153,"","NE"),IF(#REF!=$V$10,"NE",""))</f>
        <v/>
      </c>
      <c r="AP153" s="315" t="str">
        <f>IF(AB153=$V$3,IF(VLOOKUP(C153,[1]List1!$A:$E,5,FALSE)=0,1,VLOOKUP(C153,[1]List1!$A:$E,5,FALSE)),"")</f>
        <v/>
      </c>
      <c r="AW153" s="291" t="e">
        <f>VLOOKUP(C153,'General price list'!C:AU,46,FALSE)</f>
        <v>#N/A</v>
      </c>
      <c r="AX153" s="291" t="e">
        <f>VLOOKUP(C153,'General price list'!C:AU,47,FALSE)</f>
        <v>#N/A</v>
      </c>
    </row>
    <row r="154" spans="1:50" ht="15" customHeight="1">
      <c r="A154" s="677" t="str">
        <f>Kat.!C154</f>
        <v xml:space="preserve">                                          </v>
      </c>
      <c r="B154" s="678">
        <v>133</v>
      </c>
      <c r="C154" s="679" t="s">
        <v>649</v>
      </c>
      <c r="D154" s="679" t="s">
        <v>650</v>
      </c>
      <c r="E154" s="680" t="s">
        <v>651</v>
      </c>
      <c r="F154" s="681">
        <f>VLOOKUP(C154,[2]List1!$A:$D,2,FALSE)</f>
        <v>128</v>
      </c>
      <c r="G154" s="682">
        <f t="shared" si="29"/>
        <v>128</v>
      </c>
      <c r="H154" s="683">
        <f t="shared" si="30"/>
        <v>5.2</v>
      </c>
      <c r="I154" s="836">
        <v>30</v>
      </c>
      <c r="J154" s="680" t="s">
        <v>45</v>
      </c>
      <c r="K154" s="854" t="s">
        <v>12593</v>
      </c>
      <c r="L154" s="855" t="s">
        <v>13840</v>
      </c>
      <c r="M154" s="680" t="s">
        <v>131</v>
      </c>
      <c r="N154" s="868">
        <f>IFERROR(VLOOKUP(C154,[3]List1!$A:$D,4,FALSE),"N/A!")</f>
        <v>5.9518750000000002E-2</v>
      </c>
      <c r="O154" s="836">
        <f>IFERROR(VLOOKUP(C154,[3]List1!$A:$D,3,FALSE),"N/A!")</f>
        <v>2400</v>
      </c>
      <c r="P154" s="836">
        <f>IFERROR(VLOOKUP(C154,[3]List1!$A:$D,2,FALSE),"N/A!")</f>
        <v>15000</v>
      </c>
      <c r="Q154" s="680" t="s">
        <v>1198</v>
      </c>
      <c r="R154" s="680" t="s">
        <v>24</v>
      </c>
      <c r="S154" s="680"/>
      <c r="T154" s="681"/>
      <c r="U154" s="873"/>
      <c r="V154" s="684" t="str">
        <f>_xlfn.IFNA(HYPERLINK("https://www.klasekpyrotechnics.cz/ss20d"),"")</f>
        <v>https://www.klasekpyrotechnics.cz/ss20d</v>
      </c>
      <c r="W154" s="685" t="str">
        <f>IFERROR(VLOOKUP($C154,Popisy!A:P,MATCH($W$17,Popisy!$A$7:$P$7,0),FALSE),"---------------")</f>
        <v>silberne Treibladung+rote Spur und titanische Detonation</v>
      </c>
      <c r="X154" s="889" t="str">
        <f t="shared" si="31"/>
        <v/>
      </c>
      <c r="Y154" s="890"/>
      <c r="Z154" s="685">
        <f>IFERROR(IF(VLOOKUP(C154,[4]List1!$A:$D,4,FALSE)=0,"",VLOOKUP(C154,[4]List1!$A:$D,4,FALSE)),"")</f>
        <v>28</v>
      </c>
      <c r="AA154" s="707"/>
      <c r="AB154" s="911" t="str">
        <f>IFERROR(IF(VLOOKUP(C154,[1]List1!$A:$D,2,FALSE)="VYPRODÁNO",$V$9,IF(VLOOKUP(C154,[1]List1!$A:$D,2,FALSE)="DOCHÁZÍ",$V$3,VLOOKUP(C154,[1]List1!$A:$D,2,FALSE))),"OFFLINE!")</f>
        <v>20.06.2024</v>
      </c>
      <c r="AC154" s="911" t="str">
        <f ca="1">IF(AO154="NE",$V$10,IF(AB154=$V$3,IF(AP154&lt;1,$V$8,$V$2&amp;" "&amp;AP154&amp;" "&amp;$V$1),IF(AB154="SKLADEM",$V$6,IFERROR(IF(OR(AB154-TODAY()&gt;21,VLOOKUP(C154,[1]List1!$A:$E,4,FALSE)=0),AB154,DAY(AB154)&amp;"."&amp;MONTH(AB154)&amp;"."&amp;YEAR(AB154)&amp;" "&amp;$V$4&amp;VLOOKUP(C154,[1]List1!$A:$E,4,FALSE)&amp;" "&amp;$V$1),AB154))))</f>
        <v>20.06.2024</v>
      </c>
      <c r="AD154" s="686" t="str">
        <f ca="1">_xlfn.IFNA(VLOOKUP(C154,'General price list'!C:AM,MATCH($AD$20,'General price list'!$C$20:$AM$20,0),FALSE),"")</f>
        <v>20.06.2024</v>
      </c>
      <c r="AE154" s="681">
        <f t="shared" ca="1" si="32"/>
        <v>0</v>
      </c>
      <c r="AF154" s="681">
        <f t="shared" ca="1" si="33"/>
        <v>0</v>
      </c>
      <c r="AG154" s="687">
        <f t="shared" ca="1" si="34"/>
        <v>0</v>
      </c>
      <c r="AH154" s="688">
        <f t="shared" ca="1" si="35"/>
        <v>0</v>
      </c>
      <c r="AI154" s="687">
        <f t="shared" ca="1" si="36"/>
        <v>0</v>
      </c>
      <c r="AJ154" s="689" t="str">
        <f t="shared" ca="1" si="37"/>
        <v/>
      </c>
      <c r="AK154" s="689">
        <f t="shared" ca="1" si="38"/>
        <v>0</v>
      </c>
      <c r="AL154" s="689" t="str">
        <f t="shared" ca="1" si="39"/>
        <v/>
      </c>
      <c r="AM154" s="690" t="str">
        <f t="shared" ca="1" si="40"/>
        <v/>
      </c>
      <c r="AN154" s="382"/>
      <c r="AO154" s="314" t="str">
        <f>IF($R$3=1,IF(Y154=AA154,"","NE"),IF(#REF!=$V$10,"NE",""))</f>
        <v/>
      </c>
      <c r="AP154" s="315" t="str">
        <f>IF(AB154=$V$3,IF(VLOOKUP(C154,[1]List1!$A:$E,5,FALSE)=0,1,VLOOKUP(C154,[1]List1!$A:$E,5,FALSE)),"")</f>
        <v/>
      </c>
      <c r="AW154" s="458">
        <f>IFERROR(FIND(VLOOKUP('General price list'!$AB$7,'General price list'!$AC$1:$AD$12,2,FALSE),Q154,1),0)</f>
        <v>13</v>
      </c>
      <c r="AX154" s="458">
        <f>IFERROR(FIND(VLOOKUP('General price list'!$AB$7,'General price list'!$AC$1:$AD$12,2,FALSE),R154,1),0)</f>
        <v>0</v>
      </c>
    </row>
    <row r="155" spans="1:50" ht="15" customHeight="1">
      <c r="A155" s="691" t="str">
        <f>Kat.!C155</f>
        <v xml:space="preserve">                                          </v>
      </c>
      <c r="B155" s="692">
        <v>134</v>
      </c>
      <c r="C155" s="693" t="s">
        <v>2309</v>
      </c>
      <c r="D155" s="693" t="s">
        <v>2310</v>
      </c>
      <c r="E155" s="694" t="s">
        <v>380</v>
      </c>
      <c r="F155" s="695">
        <f>VLOOKUP(C155,[2]List1!$A:$D,2,FALSE)</f>
        <v>170</v>
      </c>
      <c r="G155" s="696">
        <f t="shared" si="29"/>
        <v>170</v>
      </c>
      <c r="H155" s="697">
        <f t="shared" si="30"/>
        <v>6.9</v>
      </c>
      <c r="I155" s="837">
        <v>24</v>
      </c>
      <c r="J155" s="698" t="s">
        <v>45</v>
      </c>
      <c r="K155" s="856"/>
      <c r="L155" s="857" t="s">
        <v>13841</v>
      </c>
      <c r="M155" s="698" t="s">
        <v>25</v>
      </c>
      <c r="N155" s="869">
        <f>IFERROR(VLOOKUP(C155,[3]List1!$A:$D,4,FALSE),"N/A!")</f>
        <v>4.3512000000000002E-2</v>
      </c>
      <c r="O155" s="837">
        <f>IFERROR(VLOOKUP(C155,[3]List1!$A:$D,3,FALSE),"N/A!")</f>
        <v>1584</v>
      </c>
      <c r="P155" s="837">
        <f>IFERROR(VLOOKUP(C155,[3]List1!$A:$D,2,FALSE),"N/A!")</f>
        <v>11500</v>
      </c>
      <c r="Q155" s="698" t="s">
        <v>1198</v>
      </c>
      <c r="R155" s="698" t="s">
        <v>24</v>
      </c>
      <c r="S155" s="698"/>
      <c r="T155" s="695"/>
      <c r="U155" s="874"/>
      <c r="V155" s="699" t="str">
        <f>_xlfn.IFNA(HYPERLINK("https://www.klasekpyrotechnics.cz/ss25sc"),"")</f>
        <v>https://www.klasekpyrotechnics.cz/ss25sc</v>
      </c>
      <c r="W155" s="700" t="str">
        <f>IFERROR(VLOOKUP($C155,Popisy!A:P,MATCH($W$17,Popisy!$A$7:$P$7,0),FALSE),"---------------")</f>
        <v xml:space="preserve">Pfeifende Spur </v>
      </c>
      <c r="X155" s="891" t="str">
        <f t="shared" si="31"/>
        <v/>
      </c>
      <c r="Y155" s="892"/>
      <c r="Z155" s="700">
        <f>IFERROR(IF(VLOOKUP(C155,[4]List1!$A:$D,4,FALSE)=0,"",VLOOKUP(C155,[4]List1!$A:$D,4,FALSE)),"")</f>
        <v>36</v>
      </c>
      <c r="AA155" s="707"/>
      <c r="AB155" s="912" t="str">
        <f>IFERROR(IF(VLOOKUP(C155,[1]List1!$A:$D,2,FALSE)="VYPRODÁNO",$V$9,IF(VLOOKUP(C155,[1]List1!$A:$D,2,FALSE)="DOCHÁZÍ",$V$3,VLOOKUP(C155,[1]List1!$A:$D,2,FALSE))),"OFFLINE!")</f>
        <v>SKLADEM</v>
      </c>
      <c r="AC155" s="912" t="str">
        <f ca="1">IF(AO155="NE",$V$10,IF(AB155=$V$3,IF(AP155&lt;1,$V$8,$V$2&amp;" "&amp;AP155&amp;" "&amp;$V$1),IF(AB155="SKLADEM",$V$6,IFERROR(IF(OR(AB155-TODAY()&gt;21,VLOOKUP(C155,[1]List1!$A:$E,4,FALSE)=0),AB155,DAY(AB155)&amp;"."&amp;MONTH(AB155)&amp;"."&amp;YEAR(AB155)&amp;" "&amp;$V$4&amp;VLOOKUP(C155,[1]List1!$A:$E,4,FALSE)&amp;" "&amp;$V$1),AB155))))</f>
        <v>AUF LAGER</v>
      </c>
      <c r="AD155" s="701" t="str">
        <f ca="1">_xlfn.IFNA(VLOOKUP(C155,'General price list'!C:AM,MATCH($AD$20,'General price list'!$C$20:$AM$20,0),FALSE),"")</f>
        <v>AUF LAGER</v>
      </c>
      <c r="AE155" s="695">
        <f t="shared" ca="1" si="32"/>
        <v>0</v>
      </c>
      <c r="AF155" s="695">
        <f t="shared" ca="1" si="33"/>
        <v>0</v>
      </c>
      <c r="AG155" s="702">
        <f t="shared" ca="1" si="34"/>
        <v>0</v>
      </c>
      <c r="AH155" s="703">
        <f t="shared" ca="1" si="35"/>
        <v>0</v>
      </c>
      <c r="AI155" s="702">
        <f t="shared" ca="1" si="36"/>
        <v>0</v>
      </c>
      <c r="AJ155" s="704" t="str">
        <f t="shared" ca="1" si="37"/>
        <v/>
      </c>
      <c r="AK155" s="704" t="str">
        <f t="shared" ca="1" si="38"/>
        <v/>
      </c>
      <c r="AL155" s="704">
        <f t="shared" ca="1" si="39"/>
        <v>0</v>
      </c>
      <c r="AM155" s="705" t="str">
        <f t="shared" ca="1" si="40"/>
        <v/>
      </c>
      <c r="AN155" s="382"/>
      <c r="AO155" s="314" t="str">
        <f>IF($R$3=1,IF(Y155=AA155,"","NE"),IF(#REF!=$V$10,"NE",""))</f>
        <v/>
      </c>
      <c r="AP155" s="315" t="str">
        <f>IF(AB155=$V$3,IF(VLOOKUP(C155,[1]List1!$A:$E,5,FALSE)=0,1,VLOOKUP(C155,[1]List1!$A:$E,5,FALSE)),"")</f>
        <v/>
      </c>
      <c r="AW155" s="458">
        <f>IFERROR(FIND(VLOOKUP('General price list'!$AB$7,'General price list'!$AC$1:$AD$12,2,FALSE),Q155,1),0)</f>
        <v>13</v>
      </c>
      <c r="AX155" s="458">
        <f>IFERROR(FIND(VLOOKUP('General price list'!$AB$7,'General price list'!$AC$1:$AD$12,2,FALSE),R155,1),0)</f>
        <v>0</v>
      </c>
    </row>
    <row r="156" spans="1:50" ht="15" customHeight="1">
      <c r="A156" s="677" t="str">
        <f>Kat.!C156</f>
        <v xml:space="preserve">                                          </v>
      </c>
      <c r="B156" s="678">
        <v>135</v>
      </c>
      <c r="C156" s="679" t="s">
        <v>660</v>
      </c>
      <c r="D156" s="679" t="s">
        <v>661</v>
      </c>
      <c r="E156" s="680" t="s">
        <v>662</v>
      </c>
      <c r="F156" s="681">
        <f>VLOOKUP(C156,[2]List1!$A:$D,2,FALSE)</f>
        <v>148</v>
      </c>
      <c r="G156" s="682">
        <f t="shared" si="29"/>
        <v>148</v>
      </c>
      <c r="H156" s="683">
        <f t="shared" si="30"/>
        <v>6</v>
      </c>
      <c r="I156" s="836">
        <v>30</v>
      </c>
      <c r="J156" s="680" t="s">
        <v>45</v>
      </c>
      <c r="K156" s="854"/>
      <c r="L156" s="855" t="s">
        <v>13842</v>
      </c>
      <c r="M156" s="680" t="s">
        <v>25</v>
      </c>
      <c r="N156" s="868">
        <f>IFERROR(VLOOKUP(C156,[3]List1!$A:$D,4,FALSE),"N/A!")</f>
        <v>8.5680000000000006E-2</v>
      </c>
      <c r="O156" s="836">
        <f>IFERROR(VLOOKUP(C156,[3]List1!$A:$D,3,FALSE),"N/A!")</f>
        <v>2880</v>
      </c>
      <c r="P156" s="836">
        <f>IFERROR(VLOOKUP(C156,[3]List1!$A:$D,2,FALSE),"N/A!")</f>
        <v>19000</v>
      </c>
      <c r="Q156" s="680" t="s">
        <v>13739</v>
      </c>
      <c r="R156" s="680" t="s">
        <v>24</v>
      </c>
      <c r="S156" s="680"/>
      <c r="T156" s="681"/>
      <c r="U156" s="873"/>
      <c r="V156" s="684" t="str">
        <f>_xlfn.IFNA(HYPERLINK("https://www.klasekpyrotechnics.cz/ss30sigf2"),"")</f>
        <v>https://www.klasekpyrotechnics.cz/ss30sigf2</v>
      </c>
      <c r="W156" s="685" t="str">
        <f>IFERROR(VLOOKUP($C156,Popisy!A:P,MATCH($W$17,Popisy!$A$7:$P$7,0),FALSE),"---------------")</f>
        <v>4 verschiedenfarbige Effekte</v>
      </c>
      <c r="X156" s="889" t="str">
        <f t="shared" si="31"/>
        <v/>
      </c>
      <c r="Y156" s="890"/>
      <c r="Z156" s="685">
        <f>IFERROR(IF(VLOOKUP(C156,[4]List1!$A:$D,4,FALSE)=0,"",VLOOKUP(C156,[4]List1!$A:$D,4,FALSE)),"")</f>
        <v>18</v>
      </c>
      <c r="AA156" s="707"/>
      <c r="AB156" s="911" t="str">
        <f>IFERROR(IF(VLOOKUP(C156,[1]List1!$A:$D,2,FALSE)="VYPRODÁNO",$V$9,IF(VLOOKUP(C156,[1]List1!$A:$D,2,FALSE)="DOCHÁZÍ",$V$3,VLOOKUP(C156,[1]List1!$A:$D,2,FALSE))),"OFFLINE!")</f>
        <v>SKLADEM</v>
      </c>
      <c r="AC156" s="911" t="str">
        <f ca="1">IF(AO156="NE",$V$10,IF(AB156=$V$3,IF(AP156&lt;1,$V$8,$V$2&amp;" "&amp;AP156&amp;" "&amp;$V$1),IF(AB156="SKLADEM",$V$6,IFERROR(IF(OR(AB156-TODAY()&gt;21,VLOOKUP(C156,[1]List1!$A:$E,4,FALSE)=0),AB156,DAY(AB156)&amp;"."&amp;MONTH(AB156)&amp;"."&amp;YEAR(AB156)&amp;" "&amp;$V$4&amp;VLOOKUP(C156,[1]List1!$A:$E,4,FALSE)&amp;" "&amp;$V$1),AB156))))</f>
        <v>AUF LAGER</v>
      </c>
      <c r="AD156" s="686" t="str">
        <f ca="1">_xlfn.IFNA(VLOOKUP(C156,'General price list'!C:AM,MATCH($AD$20,'General price list'!$C$20:$AM$20,0),FALSE),"")</f>
        <v>AUF LAGER</v>
      </c>
      <c r="AE156" s="681">
        <f t="shared" ca="1" si="32"/>
        <v>0</v>
      </c>
      <c r="AF156" s="681">
        <f t="shared" ca="1" si="33"/>
        <v>0</v>
      </c>
      <c r="AG156" s="687">
        <f t="shared" ca="1" si="34"/>
        <v>0</v>
      </c>
      <c r="AH156" s="688">
        <f t="shared" ca="1" si="35"/>
        <v>0</v>
      </c>
      <c r="AI156" s="687">
        <f t="shared" ca="1" si="36"/>
        <v>0</v>
      </c>
      <c r="AJ156" s="689" t="str">
        <f t="shared" ca="1" si="37"/>
        <v/>
      </c>
      <c r="AK156" s="689" t="str">
        <f t="shared" ca="1" si="38"/>
        <v/>
      </c>
      <c r="AL156" s="689">
        <f t="shared" ca="1" si="39"/>
        <v>0</v>
      </c>
      <c r="AM156" s="690" t="str">
        <f t="shared" ca="1" si="40"/>
        <v/>
      </c>
      <c r="AN156" s="382"/>
      <c r="AO156" s="314" t="str">
        <f>IF($R$3=1,IF(Y156=AA156,"","NE"),IF(#REF!=$V$10,"NE",""))</f>
        <v/>
      </c>
      <c r="AP156" s="315" t="str">
        <f>IF(AB156=$V$3,IF(VLOOKUP(C156,[1]List1!$A:$E,5,FALSE)=0,1,VLOOKUP(C156,[1]List1!$A:$E,5,FALSE)),"")</f>
        <v/>
      </c>
      <c r="AW156" s="458">
        <f>IFERROR(FIND(VLOOKUP('General price list'!$AB$7,'General price list'!$AC$1:$AD$12,2,FALSE),Q156,1),0)</f>
        <v>13</v>
      </c>
      <c r="AX156" s="458">
        <f>IFERROR(FIND(VLOOKUP('General price list'!$AB$7,'General price list'!$AC$1:$AD$12,2,FALSE),R156,1),0)</f>
        <v>0</v>
      </c>
    </row>
    <row r="157" spans="1:50" ht="15" customHeight="1">
      <c r="A157" s="672" t="str">
        <f>Kat.!C157</f>
        <v xml:space="preserve">                                          Schießröhre 3 schuss, 20mm Mörser</v>
      </c>
      <c r="B157" s="692">
        <v>136</v>
      </c>
      <c r="C157" s="693"/>
      <c r="D157" s="693"/>
      <c r="E157" s="694"/>
      <c r="F157" s="695" t="str">
        <f>IFERROR(ROUND(VLOOKUP(C157,'General price list'!$C:$AN,4,FALSE),0),"")</f>
        <v/>
      </c>
      <c r="G157" s="696" t="str">
        <f t="shared" si="29"/>
        <v/>
      </c>
      <c r="H157" s="697" t="str">
        <f t="shared" si="30"/>
        <v/>
      </c>
      <c r="I157" s="837"/>
      <c r="J157" s="698"/>
      <c r="K157" s="856"/>
      <c r="L157" s="857"/>
      <c r="M157" s="698"/>
      <c r="N157" s="869" t="str">
        <f>IFERROR(IF(VLOOKUP($C157,'General price list'!$C:$AN,MATCH(N$20,'General price list'!$C$20:$AM$20,0),FALSE)=0,"",VLOOKUP($C157,'General price list'!$C:$AN,MATCH(N$20,'General price list'!$C$20:$AM$20,0),FALSE)),"")</f>
        <v/>
      </c>
      <c r="O157" s="837" t="str">
        <f>IFERROR(IF(VLOOKUP($C157,'General price list'!$C:$AN,MATCH(O$20,'General price list'!$C$20:$AM$20,0),FALSE)=0,"",VLOOKUP($C157,'General price list'!$C:$AN,MATCH(O$20,'General price list'!$C$20:$AM$20,0),FALSE)),"")</f>
        <v/>
      </c>
      <c r="P157" s="837" t="str">
        <f>IFERROR(IF(VLOOKUP($C157,'General price list'!$C:$AN,MATCH(P$20,'General price list'!$C$20:$AM$20,0),FALSE)=0,"",VLOOKUP($C157,'General price list'!$C:$AN,MATCH(P$20,'General price list'!$C$20:$AM$20,0),FALSE)),"")</f>
        <v/>
      </c>
      <c r="Q157" s="698"/>
      <c r="R157" s="698"/>
      <c r="S157" s="698"/>
      <c r="T157" s="695"/>
      <c r="U157" s="874"/>
      <c r="V157" s="699"/>
      <c r="W157" s="700" t="str">
        <f>IFERROR(VLOOKUP($C157,'General price list'!$C:$AN,MATCH(W$20,'General price list'!$C$20:$AM$20,0),FALSE),"")</f>
        <v/>
      </c>
      <c r="X157" s="891" t="str">
        <f t="shared" si="31"/>
        <v/>
      </c>
      <c r="Y157" s="892"/>
      <c r="Z157" s="700" t="str">
        <f>IFERROR(VLOOKUP($C157,'General price list'!$C:$AN,MATCH(Z$20,'General price list'!$C$20:$AM$20,0),FALSE),"")</f>
        <v/>
      </c>
      <c r="AA157" s="707"/>
      <c r="AB157" s="912" t="str">
        <f>IFERROR(IF(VLOOKUP(C157,[1]List1!$A:$D,2,FALSE)="VYPRODÁNO",$V$9,IF(VLOOKUP(C157,[1]List1!$A:$D,2,FALSE)="DOCHÁZÍ",$V$3,VLOOKUP(C157,[1]List1!$A:$D,2,FALSE))),"OFFLINE!")</f>
        <v>OFFLINE!</v>
      </c>
      <c r="AC157" s="912" t="str">
        <f ca="1">IF(AO157="NE",$V$10,IF(AB157=$V$3,IF(AP157&lt;1,$V$8,$V$2&amp;" "&amp;AP157&amp;" "&amp;$V$1),IF(AB157="SKLADEM",$V$6,IFERROR(IF(OR(AB157-TODAY()&gt;21,VLOOKUP(C157,[1]List1!$A:$E,4,FALSE)=0),AB157,DAY(AB157)&amp;"."&amp;MONTH(AB157)&amp;"."&amp;YEAR(AB157)&amp;" "&amp;$V$4&amp;VLOOKUP(C157,[1]List1!$A:$E,4,FALSE)&amp;" "&amp;$V$1),AB157))))</f>
        <v>OFFLINE!</v>
      </c>
      <c r="AD157" s="701" t="str">
        <f>_xlfn.IFNA(VLOOKUP(C157,'General price list'!C:AM,MATCH($AD$20,'General price list'!$C$20:$AM$20,0),FALSE),"")</f>
        <v/>
      </c>
      <c r="AE157" s="695" t="str">
        <f t="shared" si="32"/>
        <v/>
      </c>
      <c r="AF157" s="695" t="str">
        <f t="shared" si="33"/>
        <v/>
      </c>
      <c r="AG157" s="702" t="str">
        <f t="shared" si="34"/>
        <v/>
      </c>
      <c r="AH157" s="703" t="str">
        <f t="shared" si="35"/>
        <v/>
      </c>
      <c r="AI157" s="702" t="str">
        <f t="shared" si="36"/>
        <v/>
      </c>
      <c r="AJ157" s="704" t="str">
        <f t="shared" si="37"/>
        <v/>
      </c>
      <c r="AK157" s="704" t="str">
        <f t="shared" si="38"/>
        <v/>
      </c>
      <c r="AL157" s="704" t="str">
        <f t="shared" si="39"/>
        <v/>
      </c>
      <c r="AM157" s="705" t="str">
        <f t="shared" si="40"/>
        <v/>
      </c>
      <c r="AN157" s="382"/>
      <c r="AO157" s="314" t="str">
        <f>IF($R$3=1,IF(Y157=AA157,"","NE"),IF(#REF!=$V$10,"NE",""))</f>
        <v/>
      </c>
      <c r="AP157" s="315" t="str">
        <f>IF(AB157=$V$3,IF(VLOOKUP(C157,[1]List1!$A:$E,5,FALSE)=0,1,VLOOKUP(C157,[1]List1!$A:$E,5,FALSE)),"")</f>
        <v/>
      </c>
      <c r="AW157" s="291" t="e">
        <f>VLOOKUP(C157,'General price list'!C:AU,46,FALSE)</f>
        <v>#N/A</v>
      </c>
      <c r="AX157" s="291" t="e">
        <f>VLOOKUP(C157,'General price list'!C:AU,47,FALSE)</f>
        <v>#N/A</v>
      </c>
    </row>
    <row r="158" spans="1:50" ht="15" customHeight="1">
      <c r="A158" s="677" t="str">
        <f>Kat.!C158</f>
        <v xml:space="preserve">                                          </v>
      </c>
      <c r="B158" s="678">
        <v>137</v>
      </c>
      <c r="C158" s="679" t="s">
        <v>2643</v>
      </c>
      <c r="D158" s="679" t="s">
        <v>2335</v>
      </c>
      <c r="E158" s="680" t="s">
        <v>297</v>
      </c>
      <c r="F158" s="681">
        <f>VLOOKUP(C158,[2]List1!$A:$D,2,FALSE)</f>
        <v>197</v>
      </c>
      <c r="G158" s="682">
        <f t="shared" si="29"/>
        <v>197</v>
      </c>
      <c r="H158" s="683">
        <f t="shared" si="30"/>
        <v>8</v>
      </c>
      <c r="I158" s="836">
        <v>20</v>
      </c>
      <c r="J158" s="680" t="s">
        <v>45</v>
      </c>
      <c r="K158" s="854"/>
      <c r="L158" s="855" t="s">
        <v>13843</v>
      </c>
      <c r="M158" s="680" t="s">
        <v>131</v>
      </c>
      <c r="N158" s="868">
        <f>IFERROR(VLOOKUP(C158,[3]List1!$A:$D,4,FALSE),"N/A!")</f>
        <v>5.4022499999999994E-2</v>
      </c>
      <c r="O158" s="836">
        <f>IFERROR(VLOOKUP(C158,[3]List1!$A:$D,3,FALSE),"N/A!")</f>
        <v>2400</v>
      </c>
      <c r="P158" s="836">
        <f>IFERROR(VLOOKUP(C158,[3]List1!$A:$D,2,FALSE),"N/A!")</f>
        <v>15000</v>
      </c>
      <c r="Q158" s="680" t="s">
        <v>13740</v>
      </c>
      <c r="R158" s="680" t="s">
        <v>24</v>
      </c>
      <c r="S158" s="680"/>
      <c r="T158" s="681">
        <v>1</v>
      </c>
      <c r="U158" s="873"/>
      <c r="V158" s="684" t="str">
        <f>_xlfn.IFNA(HYPERLINK("https://www.klasekpyrotechnics.cz/c320d"),"")</f>
        <v>https://www.klasekpyrotechnics.cz/c320d</v>
      </c>
      <c r="W158" s="685" t="str">
        <f>IFERROR(VLOOKUP($C158,Popisy!A:P,MATCH($W$17,Popisy!$A$7:$P$7,0),FALSE),"---------------")</f>
        <v>Silberne Mine mit der roten Spur und mit der titanischen Detonation</v>
      </c>
      <c r="X158" s="889" t="str">
        <f t="shared" si="31"/>
        <v/>
      </c>
      <c r="Y158" s="890"/>
      <c r="Z158" s="685">
        <f>IFERROR(IF(VLOOKUP(C158,[4]List1!$A:$D,4,FALSE)=0,"",VLOOKUP(C158,[4]List1!$A:$D,4,FALSE)),"")</f>
        <v>25</v>
      </c>
      <c r="AA158" s="707"/>
      <c r="AB158" s="911" t="str">
        <f>IFERROR(IF(VLOOKUP(C158,[1]List1!$A:$D,2,FALSE)="VYPRODÁNO",$V$9,IF(VLOOKUP(C158,[1]List1!$A:$D,2,FALSE)="DOCHÁZÍ",$V$3,VLOOKUP(C158,[1]List1!$A:$D,2,FALSE))),"OFFLINE!")</f>
        <v>15.06.2024</v>
      </c>
      <c r="AC158" s="911" t="str">
        <f ca="1">IF(AO158="NE",$V$10,IF(AB158=$V$3,IF(AP158&lt;1,$V$8,$V$2&amp;" "&amp;AP158&amp;" "&amp;$V$1),IF(AB158="SKLADEM",$V$6,IFERROR(IF(OR(AB158-TODAY()&gt;21,VLOOKUP(C158,[1]List1!$A:$E,4,FALSE)=0),AB158,DAY(AB158)&amp;"."&amp;MONTH(AB158)&amp;"."&amp;YEAR(AB158)&amp;" "&amp;$V$4&amp;VLOOKUP(C158,[1]List1!$A:$E,4,FALSE)&amp;" "&amp;$V$1),AB158))))</f>
        <v>15.06.2024</v>
      </c>
      <c r="AD158" s="686" t="str">
        <f ca="1">_xlfn.IFNA(VLOOKUP(C158,'General price list'!C:AM,MATCH($AD$20,'General price list'!$C$20:$AM$20,0),FALSE),"")</f>
        <v>15.06.2024</v>
      </c>
      <c r="AE158" s="681">
        <f t="shared" ca="1" si="32"/>
        <v>0</v>
      </c>
      <c r="AF158" s="681">
        <f t="shared" ca="1" si="33"/>
        <v>0</v>
      </c>
      <c r="AG158" s="687">
        <f t="shared" ca="1" si="34"/>
        <v>0</v>
      </c>
      <c r="AH158" s="688">
        <f t="shared" ca="1" si="35"/>
        <v>0</v>
      </c>
      <c r="AI158" s="687">
        <f t="shared" ca="1" si="36"/>
        <v>0</v>
      </c>
      <c r="AJ158" s="689" t="str">
        <f t="shared" ca="1" si="37"/>
        <v/>
      </c>
      <c r="AK158" s="689">
        <f t="shared" ca="1" si="38"/>
        <v>0</v>
      </c>
      <c r="AL158" s="689" t="str">
        <f t="shared" ca="1" si="39"/>
        <v/>
      </c>
      <c r="AM158" s="690" t="str">
        <f t="shared" ca="1" si="40"/>
        <v/>
      </c>
      <c r="AN158" s="382"/>
      <c r="AO158" s="314" t="str">
        <f>IF($R$3=1,IF(Y158=AA158,"","NE"),IF(#REF!=$V$10,"NE",""))</f>
        <v/>
      </c>
      <c r="AP158" s="315" t="str">
        <f>IF(AB158=$V$3,IF(VLOOKUP(C158,[1]List1!$A:$E,5,FALSE)=0,1,VLOOKUP(C158,[1]List1!$A:$E,5,FALSE)),"")</f>
        <v/>
      </c>
      <c r="AW158" s="458">
        <f>IFERROR(FIND(VLOOKUP('General price list'!$AB$7,'General price list'!$AC$1:$AD$12,2,FALSE),Q158,1),0)</f>
        <v>10</v>
      </c>
      <c r="AX158" s="458">
        <f>IFERROR(FIND(VLOOKUP('General price list'!$AB$7,'General price list'!$AC$1:$AD$12,2,FALSE),R158,1),0)</f>
        <v>0</v>
      </c>
    </row>
    <row r="159" spans="1:50" ht="15" customHeight="1">
      <c r="A159" s="672" t="str">
        <f>Kat.!C159</f>
        <v xml:space="preserve">                                          Schießröhre 3 schuss, 30mm Mörser</v>
      </c>
      <c r="B159" s="692">
        <v>138</v>
      </c>
      <c r="C159" s="693"/>
      <c r="D159" s="693"/>
      <c r="E159" s="694"/>
      <c r="F159" s="695" t="str">
        <f>IFERROR(ROUND(VLOOKUP(C159,'General price list'!$C:$AN,4,FALSE),0),"")</f>
        <v/>
      </c>
      <c r="G159" s="696" t="str">
        <f t="shared" si="29"/>
        <v/>
      </c>
      <c r="H159" s="697" t="str">
        <f t="shared" si="30"/>
        <v/>
      </c>
      <c r="I159" s="837"/>
      <c r="J159" s="698"/>
      <c r="K159" s="856"/>
      <c r="L159" s="857"/>
      <c r="M159" s="698"/>
      <c r="N159" s="869" t="str">
        <f>IFERROR(IF(VLOOKUP($C159,'General price list'!$C:$AN,MATCH(N$20,'General price list'!$C$20:$AM$20,0),FALSE)=0,"",VLOOKUP($C159,'General price list'!$C:$AN,MATCH(N$20,'General price list'!$C$20:$AM$20,0),FALSE)),"")</f>
        <v/>
      </c>
      <c r="O159" s="837" t="str">
        <f>IFERROR(IF(VLOOKUP($C159,'General price list'!$C:$AN,MATCH(O$20,'General price list'!$C$20:$AM$20,0),FALSE)=0,"",VLOOKUP($C159,'General price list'!$C:$AN,MATCH(O$20,'General price list'!$C$20:$AM$20,0),FALSE)),"")</f>
        <v/>
      </c>
      <c r="P159" s="837" t="str">
        <f>IFERROR(IF(VLOOKUP($C159,'General price list'!$C:$AN,MATCH(P$20,'General price list'!$C$20:$AM$20,0),FALSE)=0,"",VLOOKUP($C159,'General price list'!$C:$AN,MATCH(P$20,'General price list'!$C$20:$AM$20,0),FALSE)),"")</f>
        <v/>
      </c>
      <c r="Q159" s="698"/>
      <c r="R159" s="698"/>
      <c r="S159" s="698"/>
      <c r="T159" s="695"/>
      <c r="U159" s="874"/>
      <c r="V159" s="699"/>
      <c r="W159" s="700" t="str">
        <f>IFERROR(VLOOKUP($C159,'General price list'!$C:$AN,MATCH(W$20,'General price list'!$C$20:$AM$20,0),FALSE),"")</f>
        <v/>
      </c>
      <c r="X159" s="891" t="str">
        <f t="shared" si="31"/>
        <v/>
      </c>
      <c r="Y159" s="892"/>
      <c r="Z159" s="700" t="str">
        <f>IFERROR(VLOOKUP($C159,'General price list'!$C:$AN,MATCH(Z$20,'General price list'!$C$20:$AM$20,0),FALSE),"")</f>
        <v/>
      </c>
      <c r="AA159" s="707"/>
      <c r="AB159" s="912" t="str">
        <f>IFERROR(IF(VLOOKUP(C159,[1]List1!$A:$D,2,FALSE)="VYPRODÁNO",$V$9,IF(VLOOKUP(C159,[1]List1!$A:$D,2,FALSE)="DOCHÁZÍ",$V$3,VLOOKUP(C159,[1]List1!$A:$D,2,FALSE))),"OFFLINE!")</f>
        <v>OFFLINE!</v>
      </c>
      <c r="AC159" s="912" t="str">
        <f ca="1">IF(AO159="NE",$V$10,IF(AB159=$V$3,IF(AP159&lt;1,$V$8,$V$2&amp;" "&amp;AP159&amp;" "&amp;$V$1),IF(AB159="SKLADEM",$V$6,IFERROR(IF(OR(AB159-TODAY()&gt;21,VLOOKUP(C159,[1]List1!$A:$E,4,FALSE)=0),AB159,DAY(AB159)&amp;"."&amp;MONTH(AB159)&amp;"."&amp;YEAR(AB159)&amp;" "&amp;$V$4&amp;VLOOKUP(C159,[1]List1!$A:$E,4,FALSE)&amp;" "&amp;$V$1),AB159))))</f>
        <v>OFFLINE!</v>
      </c>
      <c r="AD159" s="701" t="str">
        <f>_xlfn.IFNA(VLOOKUP(C159,'General price list'!C:AM,MATCH($AD$20,'General price list'!$C$20:$AM$20,0),FALSE),"")</f>
        <v/>
      </c>
      <c r="AE159" s="695" t="str">
        <f t="shared" si="32"/>
        <v/>
      </c>
      <c r="AF159" s="695" t="str">
        <f t="shared" si="33"/>
        <v/>
      </c>
      <c r="AG159" s="702" t="str">
        <f t="shared" si="34"/>
        <v/>
      </c>
      <c r="AH159" s="703" t="str">
        <f t="shared" si="35"/>
        <v/>
      </c>
      <c r="AI159" s="702" t="str">
        <f t="shared" si="36"/>
        <v/>
      </c>
      <c r="AJ159" s="704" t="str">
        <f t="shared" si="37"/>
        <v/>
      </c>
      <c r="AK159" s="704" t="str">
        <f t="shared" si="38"/>
        <v/>
      </c>
      <c r="AL159" s="704" t="str">
        <f t="shared" si="39"/>
        <v/>
      </c>
      <c r="AM159" s="705" t="str">
        <f t="shared" si="40"/>
        <v/>
      </c>
      <c r="AN159" s="382"/>
      <c r="AO159" s="314" t="str">
        <f>IF($R$3=1,IF(Y159=AA159,"","NE"),IF(#REF!=$V$10,"NE",""))</f>
        <v/>
      </c>
      <c r="AP159" s="315" t="str">
        <f>IF(AB159=$V$3,IF(VLOOKUP(C159,[1]List1!$A:$E,5,FALSE)=0,1,VLOOKUP(C159,[1]List1!$A:$E,5,FALSE)),"")</f>
        <v/>
      </c>
      <c r="AW159" s="291" t="e">
        <f>VLOOKUP(C159,'General price list'!C:AU,46,FALSE)</f>
        <v>#N/A</v>
      </c>
      <c r="AX159" s="291" t="e">
        <f>VLOOKUP(C159,'General price list'!C:AU,47,FALSE)</f>
        <v>#N/A</v>
      </c>
    </row>
    <row r="160" spans="1:50" ht="15" customHeight="1">
      <c r="A160" s="677" t="str">
        <f>Kat.!C160</f>
        <v xml:space="preserve">                                          </v>
      </c>
      <c r="B160" s="678">
        <v>139</v>
      </c>
      <c r="C160" s="679" t="s">
        <v>2363</v>
      </c>
      <c r="D160" s="679" t="s">
        <v>2335</v>
      </c>
      <c r="E160" s="680" t="s">
        <v>2446</v>
      </c>
      <c r="F160" s="681">
        <f>VLOOKUP(C160,[2]List1!$A:$D,2,FALSE)</f>
        <v>127</v>
      </c>
      <c r="G160" s="682">
        <f t="shared" si="29"/>
        <v>127</v>
      </c>
      <c r="H160" s="683">
        <f t="shared" si="30"/>
        <v>5.2</v>
      </c>
      <c r="I160" s="836">
        <v>18</v>
      </c>
      <c r="J160" s="680" t="s">
        <v>45</v>
      </c>
      <c r="K160" s="854"/>
      <c r="L160" s="855" t="s">
        <v>13843</v>
      </c>
      <c r="M160" s="680" t="s">
        <v>131</v>
      </c>
      <c r="N160" s="868">
        <f>IFERROR(VLOOKUP(C160,[3]List1!$A:$D,4,FALSE),"N/A!")</f>
        <v>2.4624E-2</v>
      </c>
      <c r="O160" s="836">
        <f>IFERROR(VLOOKUP(C160,[3]List1!$A:$D,3,FALSE),"N/A!")</f>
        <v>864</v>
      </c>
      <c r="P160" s="836">
        <f>IFERROR(VLOOKUP(C160,[3]List1!$A:$D,2,FALSE),"N/A!")</f>
        <v>8000</v>
      </c>
      <c r="Q160" s="680" t="s">
        <v>13741</v>
      </c>
      <c r="R160" s="680" t="s">
        <v>24</v>
      </c>
      <c r="S160" s="680"/>
      <c r="T160" s="681">
        <v>1</v>
      </c>
      <c r="U160" s="873"/>
      <c r="V160" s="684" t="str">
        <f>_xlfn.IFNA(HYPERLINK("https://www.klasekpyrotechnics.cz/c330d"),"")</f>
        <v>https://www.klasekpyrotechnics.cz/c330d</v>
      </c>
      <c r="W160" s="685" t="str">
        <f>IFERROR(VLOOKUP($C160,Popisy!A:P,MATCH($W$17,Popisy!$A$7:$P$7,0),FALSE),"---------------")</f>
        <v>Silberne Minen mit der roten Spur und mit der titanischen Detonation</v>
      </c>
      <c r="X160" s="889" t="str">
        <f t="shared" si="31"/>
        <v/>
      </c>
      <c r="Y160" s="890"/>
      <c r="Z160" s="685">
        <f>IFERROR(IF(VLOOKUP(C160,[4]List1!$A:$D,4,FALSE)=0,"",VLOOKUP(C160,[4]List1!$A:$D,4,FALSE)),"")</f>
        <v>56</v>
      </c>
      <c r="AA160" s="707"/>
      <c r="AB160" s="911" t="str">
        <f>IFERROR(IF(VLOOKUP(C160,[1]List1!$A:$D,2,FALSE)="VYPRODÁNO",$V$9,IF(VLOOKUP(C160,[1]List1!$A:$D,2,FALSE)="DOCHÁZÍ",$V$3,VLOOKUP(C160,[1]List1!$A:$D,2,FALSE))),"OFFLINE!")</f>
        <v>15.03.2024</v>
      </c>
      <c r="AC160" s="911" t="str">
        <f ca="1">IF(AO160="NE",$V$10,IF(AB160=$V$3,IF(AP160&lt;1,$V$8,$V$2&amp;" "&amp;AP160&amp;" "&amp;$V$1),IF(AB160="SKLADEM",$V$6,IFERROR(IF(OR(AB160-TODAY()&gt;21,VLOOKUP(C160,[1]List1!$A:$E,4,FALSE)=0),AB160,DAY(AB160)&amp;"."&amp;MONTH(AB160)&amp;"."&amp;YEAR(AB160)&amp;" "&amp;$V$4&amp;VLOOKUP(C160,[1]List1!$A:$E,4,FALSE)&amp;" "&amp;$V$1),AB160))))</f>
        <v>15.3.2024 KOMMT 100+ KTN</v>
      </c>
      <c r="AD160" s="686" t="str">
        <f ca="1">_xlfn.IFNA(VLOOKUP(C160,'General price list'!C:AM,MATCH($AD$20,'General price list'!$C$20:$AM$20,0),FALSE),"")</f>
        <v>15.3.2024 KOMMT 100+ KTN</v>
      </c>
      <c r="AE160" s="681">
        <f t="shared" ca="1" si="32"/>
        <v>0</v>
      </c>
      <c r="AF160" s="681">
        <f t="shared" ca="1" si="33"/>
        <v>0</v>
      </c>
      <c r="AG160" s="687">
        <f t="shared" ca="1" si="34"/>
        <v>0</v>
      </c>
      <c r="AH160" s="688">
        <f t="shared" ca="1" si="35"/>
        <v>0</v>
      </c>
      <c r="AI160" s="687">
        <f t="shared" ca="1" si="36"/>
        <v>0</v>
      </c>
      <c r="AJ160" s="689" t="str">
        <f t="shared" ca="1" si="37"/>
        <v/>
      </c>
      <c r="AK160" s="689">
        <f t="shared" ca="1" si="38"/>
        <v>0</v>
      </c>
      <c r="AL160" s="689" t="str">
        <f t="shared" ca="1" si="39"/>
        <v/>
      </c>
      <c r="AM160" s="690" t="str">
        <f t="shared" ca="1" si="40"/>
        <v/>
      </c>
      <c r="AN160" s="382"/>
      <c r="AO160" s="314" t="str">
        <f>IF($R$3=1,IF(Y160=AA160,"","NE"),IF(#REF!=$V$10,"NE",""))</f>
        <v/>
      </c>
      <c r="AP160" s="315" t="str">
        <f>IF(AB160=$V$3,IF(VLOOKUP(C160,[1]List1!$A:$E,5,FALSE)=0,1,VLOOKUP(C160,[1]List1!$A:$E,5,FALSE)),"")</f>
        <v/>
      </c>
      <c r="AW160" s="458">
        <f>IFERROR(FIND(VLOOKUP('General price list'!$AB$7,'General price list'!$AC$1:$AD$12,2,FALSE),Q160,1),0)</f>
        <v>10</v>
      </c>
      <c r="AX160" s="458">
        <f>IFERROR(FIND(VLOOKUP('General price list'!$AB$7,'General price list'!$AC$1:$AD$12,2,FALSE),R160,1),0)</f>
        <v>0</v>
      </c>
    </row>
    <row r="161" spans="1:50" ht="15" customHeight="1">
      <c r="A161" s="672" t="str">
        <f>Kat.!C161</f>
        <v xml:space="preserve">                                          Reibkopfknaller</v>
      </c>
      <c r="B161" s="692">
        <v>140</v>
      </c>
      <c r="C161" s="693"/>
      <c r="D161" s="693"/>
      <c r="E161" s="694"/>
      <c r="F161" s="695" t="str">
        <f>IFERROR(ROUND(VLOOKUP(C161,'General price list'!$C:$AN,4,FALSE),0),"")</f>
        <v/>
      </c>
      <c r="G161" s="696" t="str">
        <f t="shared" si="29"/>
        <v/>
      </c>
      <c r="H161" s="697" t="str">
        <f t="shared" si="30"/>
        <v/>
      </c>
      <c r="I161" s="837"/>
      <c r="J161" s="698"/>
      <c r="K161" s="856"/>
      <c r="L161" s="857"/>
      <c r="M161" s="698"/>
      <c r="N161" s="869" t="str">
        <f>IFERROR(IF(VLOOKUP($C161,'General price list'!$C:$AN,MATCH(N$20,'General price list'!$C$20:$AM$20,0),FALSE)=0,"",VLOOKUP($C161,'General price list'!$C:$AN,MATCH(N$20,'General price list'!$C$20:$AM$20,0),FALSE)),"")</f>
        <v/>
      </c>
      <c r="O161" s="837" t="str">
        <f>IFERROR(IF(VLOOKUP($C161,'General price list'!$C:$AN,MATCH(O$20,'General price list'!$C$20:$AM$20,0),FALSE)=0,"",VLOOKUP($C161,'General price list'!$C:$AN,MATCH(O$20,'General price list'!$C$20:$AM$20,0),FALSE)),"")</f>
        <v/>
      </c>
      <c r="P161" s="837" t="str">
        <f>IFERROR(IF(VLOOKUP($C161,'General price list'!$C:$AN,MATCH(P$20,'General price list'!$C$20:$AM$20,0),FALSE)=0,"",VLOOKUP($C161,'General price list'!$C:$AN,MATCH(P$20,'General price list'!$C$20:$AM$20,0),FALSE)),"")</f>
        <v/>
      </c>
      <c r="Q161" s="698"/>
      <c r="R161" s="698"/>
      <c r="S161" s="698"/>
      <c r="T161" s="695"/>
      <c r="U161" s="874"/>
      <c r="V161" s="699"/>
      <c r="W161" s="700" t="str">
        <f>IFERROR(VLOOKUP($C161,'General price list'!$C:$AN,MATCH(W$20,'General price list'!$C$20:$AM$20,0),FALSE),"")</f>
        <v/>
      </c>
      <c r="X161" s="891" t="str">
        <f t="shared" si="31"/>
        <v/>
      </c>
      <c r="Y161" s="892"/>
      <c r="Z161" s="700" t="str">
        <f>IFERROR(VLOOKUP($C161,'General price list'!$C:$AN,MATCH(Z$20,'General price list'!$C$20:$AM$20,0),FALSE),"")</f>
        <v/>
      </c>
      <c r="AA161" s="707"/>
      <c r="AB161" s="912" t="str">
        <f>IFERROR(IF(VLOOKUP(C161,[1]List1!$A:$D,2,FALSE)="VYPRODÁNO",$V$9,IF(VLOOKUP(C161,[1]List1!$A:$D,2,FALSE)="DOCHÁZÍ",$V$3,VLOOKUP(C161,[1]List1!$A:$D,2,FALSE))),"OFFLINE!")</f>
        <v>OFFLINE!</v>
      </c>
      <c r="AC161" s="912" t="str">
        <f ca="1">IF(AO161="NE",$V$10,IF(AB161=$V$3,IF(AP161&lt;1,$V$8,$V$2&amp;" "&amp;AP161&amp;" "&amp;$V$1),IF(AB161="SKLADEM",$V$6,IFERROR(IF(OR(AB161-TODAY()&gt;21,VLOOKUP(C161,[1]List1!$A:$E,4,FALSE)=0),AB161,DAY(AB161)&amp;"."&amp;MONTH(AB161)&amp;"."&amp;YEAR(AB161)&amp;" "&amp;$V$4&amp;VLOOKUP(C161,[1]List1!$A:$E,4,FALSE)&amp;" "&amp;$V$1),AB161))))</f>
        <v>OFFLINE!</v>
      </c>
      <c r="AD161" s="701" t="str">
        <f>_xlfn.IFNA(VLOOKUP(C161,'General price list'!C:AM,MATCH($AD$20,'General price list'!$C$20:$AM$20,0),FALSE),"")</f>
        <v/>
      </c>
      <c r="AE161" s="695" t="str">
        <f t="shared" si="32"/>
        <v/>
      </c>
      <c r="AF161" s="695" t="str">
        <f t="shared" si="33"/>
        <v/>
      </c>
      <c r="AG161" s="702" t="str">
        <f t="shared" si="34"/>
        <v/>
      </c>
      <c r="AH161" s="703" t="str">
        <f t="shared" si="35"/>
        <v/>
      </c>
      <c r="AI161" s="702" t="str">
        <f t="shared" si="36"/>
        <v/>
      </c>
      <c r="AJ161" s="704" t="str">
        <f t="shared" si="37"/>
        <v/>
      </c>
      <c r="AK161" s="704" t="str">
        <f t="shared" si="38"/>
        <v/>
      </c>
      <c r="AL161" s="704" t="str">
        <f t="shared" si="39"/>
        <v/>
      </c>
      <c r="AM161" s="705" t="str">
        <f t="shared" si="40"/>
        <v/>
      </c>
      <c r="AN161" s="381"/>
      <c r="AO161" s="314" t="str">
        <f>IF($R$3=1,IF(Y161=AA161,"","NE"),IF(#REF!=$V$10,"NE",""))</f>
        <v/>
      </c>
      <c r="AP161" s="315" t="str">
        <f>IF(AB161=$V$3,IF(VLOOKUP(C161,[1]List1!$A:$E,5,FALSE)=0,1,VLOOKUP(C161,[1]List1!$A:$E,5,FALSE)),"")</f>
        <v/>
      </c>
      <c r="AW161" s="291" t="e">
        <f>VLOOKUP(C161,'General price list'!C:AU,46,FALSE)</f>
        <v>#N/A</v>
      </c>
      <c r="AX161" s="291" t="e">
        <f>VLOOKUP(C161,'General price list'!C:AU,47,FALSE)</f>
        <v>#N/A</v>
      </c>
    </row>
    <row r="162" spans="1:50" ht="15" customHeight="1">
      <c r="A162" s="677" t="str">
        <f>Kat.!C162</f>
        <v xml:space="preserve">                                          </v>
      </c>
      <c r="B162" s="678">
        <v>141</v>
      </c>
      <c r="C162" s="679" t="s">
        <v>4233</v>
      </c>
      <c r="D162" s="679" t="s">
        <v>4234</v>
      </c>
      <c r="E162" s="680" t="s">
        <v>683</v>
      </c>
      <c r="F162" s="681">
        <f>VLOOKUP(C162,[2]List1!$A:$D,2,FALSE)</f>
        <v>71</v>
      </c>
      <c r="G162" s="682">
        <f t="shared" si="29"/>
        <v>71</v>
      </c>
      <c r="H162" s="683">
        <f t="shared" si="30"/>
        <v>2.9</v>
      </c>
      <c r="I162" s="836">
        <v>50</v>
      </c>
      <c r="J162" s="680" t="s">
        <v>45</v>
      </c>
      <c r="K162" s="854"/>
      <c r="L162" s="855" t="s">
        <v>13828</v>
      </c>
      <c r="M162" s="680" t="s">
        <v>25</v>
      </c>
      <c r="N162" s="868">
        <f>IFERROR(VLOOKUP(C162,[3]List1!$A:$D,4,FALSE),"N/A!")</f>
        <v>2.935625E-2</v>
      </c>
      <c r="O162" s="836">
        <f>IFERROR(VLOOKUP(C162,[3]List1!$A:$D,3,FALSE),"N/A!")</f>
        <v>4250</v>
      </c>
      <c r="P162" s="836">
        <f>IFERROR(VLOOKUP(C162,[3]List1!$A:$D,2,FALSE),"N/A!")</f>
        <v>20000</v>
      </c>
      <c r="Q162" s="680" t="s">
        <v>156</v>
      </c>
      <c r="R162" s="680" t="s">
        <v>24</v>
      </c>
      <c r="S162" s="680"/>
      <c r="T162" s="681"/>
      <c r="U162" s="873"/>
      <c r="V162" s="684" t="str">
        <f>_xlfn.IFNA(HYPERLINK("https://www.klasekpyrotechnics.cz/k0203bp"),"")</f>
        <v>https://www.klasekpyrotechnics.cz/k0203bp</v>
      </c>
      <c r="W162" s="685" t="str">
        <f>IFERROR(VLOOKUP($C162,Popisy!A:P,MATCH($W$17,Popisy!$A$7:$P$7,0),FALSE),"---------------")</f>
        <v xml:space="preserve">Großer Reibkopfknaller, Explosionskraft 110dB von 8m(schwarz powder) </v>
      </c>
      <c r="X162" s="889" t="str">
        <f t="shared" si="31"/>
        <v/>
      </c>
      <c r="Y162" s="890"/>
      <c r="Z162" s="685">
        <f>IFERROR(IF(VLOOKUP(C162,[4]List1!$A:$D,4,FALSE)=0,"",VLOOKUP(C162,[4]List1!$A:$D,4,FALSE)),"")</f>
        <v>36</v>
      </c>
      <c r="AA162" s="707"/>
      <c r="AB162" s="911" t="str">
        <f>IFERROR(IF(VLOOKUP(C162,[1]List1!$A:$D,2,FALSE)="VYPRODÁNO",$V$9,IF(VLOOKUP(C162,[1]List1!$A:$D,2,FALSE)="DOCHÁZÍ",$V$3,VLOOKUP(C162,[1]List1!$A:$D,2,FALSE))),"OFFLINE!")</f>
        <v>LETZTE STÜCKE</v>
      </c>
      <c r="AC162" s="911" t="str">
        <f ca="1">IF(AO162="NE",$V$10,IF(AB162=$V$3,IF(AP162&lt;1,$V$8,$V$2&amp;" "&amp;AP162&amp;" "&amp;$V$1),IF(AB162="SKLADEM",$V$6,IFERROR(IF(OR(AB162-TODAY()&gt;21,VLOOKUP(C162,[1]List1!$A:$E,4,FALSE)=0),AB162,DAY(AB162)&amp;"."&amp;MONTH(AB162)&amp;"."&amp;YEAR(AB162)&amp;" "&amp;$V$4&amp;VLOOKUP(C162,[1]List1!$A:$E,4,FALSE)&amp;" "&amp;$V$1),AB162))))</f>
        <v>LETZTE 51 KTN</v>
      </c>
      <c r="AD162" s="686" t="str">
        <f ca="1">_xlfn.IFNA(VLOOKUP(C162,'General price list'!C:AM,MATCH($AD$20,'General price list'!$C$20:$AM$20,0),FALSE),"")</f>
        <v>LETZTE 51 KTN</v>
      </c>
      <c r="AE162" s="681">
        <f t="shared" ca="1" si="32"/>
        <v>0</v>
      </c>
      <c r="AF162" s="681">
        <f t="shared" ca="1" si="33"/>
        <v>0</v>
      </c>
      <c r="AG162" s="687">
        <f t="shared" ca="1" si="34"/>
        <v>0</v>
      </c>
      <c r="AH162" s="688">
        <f t="shared" ca="1" si="35"/>
        <v>0</v>
      </c>
      <c r="AI162" s="687">
        <f t="shared" ca="1" si="36"/>
        <v>0</v>
      </c>
      <c r="AJ162" s="689" t="str">
        <f t="shared" ca="1" si="37"/>
        <v/>
      </c>
      <c r="AK162" s="689" t="str">
        <f t="shared" ca="1" si="38"/>
        <v/>
      </c>
      <c r="AL162" s="689">
        <f t="shared" ca="1" si="39"/>
        <v>0</v>
      </c>
      <c r="AM162" s="690" t="str">
        <f t="shared" ca="1" si="40"/>
        <v/>
      </c>
      <c r="AN162" s="313"/>
      <c r="AO162" s="314" t="str">
        <f>IF($R$3=1,IF(Y162=AA162,"","NE"),IF(#REF!=$V$10,"NE",""))</f>
        <v/>
      </c>
      <c r="AP162" s="315">
        <f>IF(AB162=$V$3,IF(VLOOKUP(C162,[1]List1!$A:$E,5,FALSE)=0,1,VLOOKUP(C162,[1]List1!$A:$E,5,FALSE)),"")</f>
        <v>51</v>
      </c>
      <c r="AW162" s="458">
        <f>IFERROR(FIND(VLOOKUP('General price list'!$AB$7,'General price list'!$AC$1:$AD$12,2,FALSE),Q162,1),0)</f>
        <v>7</v>
      </c>
      <c r="AX162" s="458">
        <f>IFERROR(FIND(VLOOKUP('General price list'!$AB$7,'General price list'!$AC$1:$AD$12,2,FALSE),R162,1),0)</f>
        <v>0</v>
      </c>
    </row>
    <row r="163" spans="1:50" ht="15" customHeight="1">
      <c r="A163" s="672" t="str">
        <f>Kat.!C163</f>
        <v xml:space="preserve">                                          Knallkörper mit der Zündschnur F2</v>
      </c>
      <c r="B163" s="692">
        <v>142</v>
      </c>
      <c r="C163" s="693"/>
      <c r="D163" s="693"/>
      <c r="E163" s="694"/>
      <c r="F163" s="695" t="str">
        <f>IFERROR(ROUND(VLOOKUP(C163,'General price list'!$C:$AN,4,FALSE),0),"")</f>
        <v/>
      </c>
      <c r="G163" s="696" t="str">
        <f t="shared" si="29"/>
        <v/>
      </c>
      <c r="H163" s="697" t="str">
        <f t="shared" si="30"/>
        <v/>
      </c>
      <c r="I163" s="837"/>
      <c r="J163" s="698"/>
      <c r="K163" s="856"/>
      <c r="L163" s="857"/>
      <c r="M163" s="698"/>
      <c r="N163" s="869" t="str">
        <f>IFERROR(IF(VLOOKUP($C163,'General price list'!$C:$AN,MATCH(N$20,'General price list'!$C$20:$AM$20,0),FALSE)=0,"",VLOOKUP($C163,'General price list'!$C:$AN,MATCH(N$20,'General price list'!$C$20:$AM$20,0),FALSE)),"")</f>
        <v/>
      </c>
      <c r="O163" s="837" t="str">
        <f>IFERROR(IF(VLOOKUP($C163,'General price list'!$C:$AN,MATCH(O$20,'General price list'!$C$20:$AM$20,0),FALSE)=0,"",VLOOKUP($C163,'General price list'!$C:$AN,MATCH(O$20,'General price list'!$C$20:$AM$20,0),FALSE)),"")</f>
        <v/>
      </c>
      <c r="P163" s="837" t="str">
        <f>IFERROR(IF(VLOOKUP($C163,'General price list'!$C:$AN,MATCH(P$20,'General price list'!$C$20:$AM$20,0),FALSE)=0,"",VLOOKUP($C163,'General price list'!$C:$AN,MATCH(P$20,'General price list'!$C$20:$AM$20,0),FALSE)),"")</f>
        <v/>
      </c>
      <c r="Q163" s="698"/>
      <c r="R163" s="698"/>
      <c r="S163" s="698"/>
      <c r="T163" s="695"/>
      <c r="U163" s="874"/>
      <c r="V163" s="699"/>
      <c r="W163" s="700" t="str">
        <f>IFERROR(VLOOKUP($C163,'General price list'!$C:$AN,MATCH(W$20,'General price list'!$C$20:$AM$20,0),FALSE),"")</f>
        <v/>
      </c>
      <c r="X163" s="891" t="str">
        <f t="shared" si="31"/>
        <v/>
      </c>
      <c r="Y163" s="892"/>
      <c r="Z163" s="700" t="str">
        <f>IFERROR(VLOOKUP($C163,'General price list'!$C:$AN,MATCH(Z$20,'General price list'!$C$20:$AM$20,0),FALSE),"")</f>
        <v/>
      </c>
      <c r="AA163" s="707"/>
      <c r="AB163" s="912" t="str">
        <f>IFERROR(IF(VLOOKUP(C163,[1]List1!$A:$D,2,FALSE)="VYPRODÁNO",$V$9,IF(VLOOKUP(C163,[1]List1!$A:$D,2,FALSE)="DOCHÁZÍ",$V$3,VLOOKUP(C163,[1]List1!$A:$D,2,FALSE))),"OFFLINE!")</f>
        <v>OFFLINE!</v>
      </c>
      <c r="AC163" s="912" t="str">
        <f ca="1">IF(AO163="NE",$V$10,IF(AB163=$V$3,IF(AP163&lt;1,$V$8,$V$2&amp;" "&amp;AP163&amp;" "&amp;$V$1),IF(AB163="SKLADEM",$V$6,IFERROR(IF(OR(AB163-TODAY()&gt;21,VLOOKUP(C163,[1]List1!$A:$E,4,FALSE)=0),AB163,DAY(AB163)&amp;"."&amp;MONTH(AB163)&amp;"."&amp;YEAR(AB163)&amp;" "&amp;$V$4&amp;VLOOKUP(C163,[1]List1!$A:$E,4,FALSE)&amp;" "&amp;$V$1),AB163))))</f>
        <v>OFFLINE!</v>
      </c>
      <c r="AD163" s="701" t="str">
        <f>_xlfn.IFNA(VLOOKUP(C163,'General price list'!C:AM,MATCH($AD$20,'General price list'!$C$20:$AM$20,0),FALSE),"")</f>
        <v/>
      </c>
      <c r="AE163" s="695" t="str">
        <f t="shared" si="32"/>
        <v/>
      </c>
      <c r="AF163" s="695" t="str">
        <f t="shared" si="33"/>
        <v/>
      </c>
      <c r="AG163" s="702" t="str">
        <f t="shared" si="34"/>
        <v/>
      </c>
      <c r="AH163" s="703" t="str">
        <f t="shared" si="35"/>
        <v/>
      </c>
      <c r="AI163" s="702" t="str">
        <f t="shared" si="36"/>
        <v/>
      </c>
      <c r="AJ163" s="704" t="str">
        <f t="shared" si="37"/>
        <v/>
      </c>
      <c r="AK163" s="704" t="str">
        <f t="shared" si="38"/>
        <v/>
      </c>
      <c r="AL163" s="704" t="str">
        <f t="shared" si="39"/>
        <v/>
      </c>
      <c r="AM163" s="705" t="str">
        <f t="shared" si="40"/>
        <v/>
      </c>
      <c r="AN163" s="313"/>
      <c r="AO163" s="314" t="str">
        <f>IF($R$3=1,IF(Y163=AA163,"","NE"),IF(#REF!=$V$10,"NE",""))</f>
        <v/>
      </c>
      <c r="AP163" s="315" t="str">
        <f>IF(AB163=$V$3,IF(VLOOKUP(C163,[1]List1!$A:$E,5,FALSE)=0,1,VLOOKUP(C163,[1]List1!$A:$E,5,FALSE)),"")</f>
        <v/>
      </c>
      <c r="AW163" s="291" t="e">
        <f>VLOOKUP(C163,'General price list'!C:AU,46,FALSE)</f>
        <v>#N/A</v>
      </c>
      <c r="AX163" s="291" t="e">
        <f>VLOOKUP(C163,'General price list'!C:AU,47,FALSE)</f>
        <v>#N/A</v>
      </c>
    </row>
    <row r="164" spans="1:50" ht="15" customHeight="1">
      <c r="A164" s="677" t="str">
        <f>Kat.!C164</f>
        <v xml:space="preserve">                                          </v>
      </c>
      <c r="B164" s="678">
        <v>143</v>
      </c>
      <c r="C164" s="679" t="s">
        <v>704</v>
      </c>
      <c r="D164" s="679" t="s">
        <v>705</v>
      </c>
      <c r="E164" s="680" t="s">
        <v>706</v>
      </c>
      <c r="F164" s="681">
        <f>VLOOKUP(C164,[2]List1!$A:$D,2,FALSE)</f>
        <v>93</v>
      </c>
      <c r="G164" s="682">
        <f t="shared" si="29"/>
        <v>93</v>
      </c>
      <c r="H164" s="683">
        <f t="shared" si="30"/>
        <v>3.8</v>
      </c>
      <c r="I164" s="836">
        <v>50</v>
      </c>
      <c r="J164" s="680" t="s">
        <v>45</v>
      </c>
      <c r="K164" s="854"/>
      <c r="L164" s="855" t="s">
        <v>13844</v>
      </c>
      <c r="M164" s="680" t="s">
        <v>25</v>
      </c>
      <c r="N164" s="868">
        <f>IFERROR(VLOOKUP(C164,[3]List1!$A:$D,4,FALSE),"N/A!")</f>
        <v>4.4562500000000005E-2</v>
      </c>
      <c r="O164" s="836">
        <f>IFERROR(VLOOKUP(C164,[3]List1!$A:$D,3,FALSE),"N/A!")</f>
        <v>2000</v>
      </c>
      <c r="P164" s="836">
        <f>IFERROR(VLOOKUP(C164,[3]List1!$A:$D,2,FALSE),"N/A!")</f>
        <v>30000</v>
      </c>
      <c r="Q164" s="680" t="s">
        <v>13742</v>
      </c>
      <c r="R164" s="680" t="s">
        <v>24</v>
      </c>
      <c r="S164" s="680"/>
      <c r="T164" s="681"/>
      <c r="U164" s="873"/>
      <c r="V164" s="684" t="str">
        <f>_xlfn.IFNA(HYPERLINK("https://www.klasekpyrotechnics.cz/pb120d"),"")</f>
        <v>https://www.klasekpyrotechnics.cz/pb120d</v>
      </c>
      <c r="W164" s="685" t="str">
        <f>IFERROR(VLOOKUP($C164,Popisy!A:P,MATCH($W$17,Popisy!$A$7:$P$7,0),FALSE),"---------------")</f>
        <v xml:space="preserve">Explosionskraft 120dB von 8m(schwarz powder) </v>
      </c>
      <c r="X164" s="889" t="str">
        <f t="shared" si="31"/>
        <v/>
      </c>
      <c r="Y164" s="890"/>
      <c r="Z164" s="685">
        <f>IFERROR(IF(VLOOKUP(C164,[4]List1!$A:$D,4,FALSE)=0,"",VLOOKUP(C164,[4]List1!$A:$D,4,FALSE)),"")</f>
        <v>28</v>
      </c>
      <c r="AA164" s="707"/>
      <c r="AB164" s="911" t="str">
        <f>IFERROR(IF(VLOOKUP(C164,[1]List1!$A:$D,2,FALSE)="VYPRODÁNO",$V$9,IF(VLOOKUP(C164,[1]List1!$A:$D,2,FALSE)="DOCHÁZÍ",$V$3,VLOOKUP(C164,[1]List1!$A:$D,2,FALSE))),"OFFLINE!")</f>
        <v>30.04.2024</v>
      </c>
      <c r="AC164" s="911" t="str">
        <f ca="1">IF(AO164="NE",$V$10,IF(AB164=$V$3,IF(AP164&lt;1,$V$8,$V$2&amp;" "&amp;AP164&amp;" "&amp;$V$1),IF(AB164="SKLADEM",$V$6,IFERROR(IF(OR(AB164-TODAY()&gt;21,VLOOKUP(C164,[1]List1!$A:$E,4,FALSE)=0),AB164,DAY(AB164)&amp;"."&amp;MONTH(AB164)&amp;"."&amp;YEAR(AB164)&amp;" "&amp;$V$4&amp;VLOOKUP(C164,[1]List1!$A:$E,4,FALSE)&amp;" "&amp;$V$1),AB164))))</f>
        <v>30.04.2024</v>
      </c>
      <c r="AD164" s="686" t="str">
        <f ca="1">_xlfn.IFNA(VLOOKUP(C164,'General price list'!C:AM,MATCH($AD$20,'General price list'!$C$20:$AM$20,0),FALSE),"")</f>
        <v>30.04.2024</v>
      </c>
      <c r="AE164" s="681">
        <f t="shared" ca="1" si="32"/>
        <v>0</v>
      </c>
      <c r="AF164" s="681">
        <f t="shared" ca="1" si="33"/>
        <v>0</v>
      </c>
      <c r="AG164" s="687">
        <f t="shared" ca="1" si="34"/>
        <v>0</v>
      </c>
      <c r="AH164" s="688">
        <f t="shared" ca="1" si="35"/>
        <v>0</v>
      </c>
      <c r="AI164" s="687">
        <f t="shared" ca="1" si="36"/>
        <v>0</v>
      </c>
      <c r="AJ164" s="689" t="str">
        <f t="shared" ca="1" si="37"/>
        <v/>
      </c>
      <c r="AK164" s="689" t="str">
        <f t="shared" ca="1" si="38"/>
        <v/>
      </c>
      <c r="AL164" s="689">
        <f t="shared" ca="1" si="39"/>
        <v>0</v>
      </c>
      <c r="AM164" s="690" t="str">
        <f t="shared" ca="1" si="40"/>
        <v/>
      </c>
      <c r="AN164" s="382"/>
      <c r="AO164" s="314" t="str">
        <f>IF($R$3=1,IF(Y164=AA164,"","NE"),IF(#REF!=$V$10,"NE",""))</f>
        <v/>
      </c>
      <c r="AP164" s="315" t="str">
        <f>IF(AB164=$V$3,IF(VLOOKUP(C164,[1]List1!$A:$E,5,FALSE)=0,1,VLOOKUP(C164,[1]List1!$A:$E,5,FALSE)),"")</f>
        <v/>
      </c>
      <c r="AW164" s="458">
        <f>IFERROR(FIND(VLOOKUP('General price list'!$AB$7,'General price list'!$AC$1:$AD$12,2,FALSE),Q164,1),0)</f>
        <v>10</v>
      </c>
      <c r="AX164" s="458">
        <f>IFERROR(FIND(VLOOKUP('General price list'!$AB$7,'General price list'!$AC$1:$AD$12,2,FALSE),R164,1),0)</f>
        <v>0</v>
      </c>
    </row>
    <row r="165" spans="1:50" ht="15" customHeight="1">
      <c r="A165" s="672" t="str">
        <f>Kat.!C165</f>
        <v xml:space="preserve">                                          Knallkörper mit der Zündschnur F3</v>
      </c>
      <c r="B165" s="692">
        <v>144</v>
      </c>
      <c r="C165" s="693"/>
      <c r="D165" s="693"/>
      <c r="E165" s="694"/>
      <c r="F165" s="695" t="str">
        <f>IFERROR(ROUND(VLOOKUP(C165,'General price list'!$C:$AN,4,FALSE),0),"")</f>
        <v/>
      </c>
      <c r="G165" s="696" t="str">
        <f t="shared" si="29"/>
        <v/>
      </c>
      <c r="H165" s="697" t="str">
        <f t="shared" si="30"/>
        <v/>
      </c>
      <c r="I165" s="837"/>
      <c r="J165" s="698"/>
      <c r="K165" s="856"/>
      <c r="L165" s="857"/>
      <c r="M165" s="698"/>
      <c r="N165" s="869" t="str">
        <f>IFERROR(IF(VLOOKUP($C165,'General price list'!$C:$AN,MATCH(N$20,'General price list'!$C$20:$AM$20,0),FALSE)=0,"",VLOOKUP($C165,'General price list'!$C:$AN,MATCH(N$20,'General price list'!$C$20:$AM$20,0),FALSE)),"")</f>
        <v/>
      </c>
      <c r="O165" s="837" t="str">
        <f>IFERROR(IF(VLOOKUP($C165,'General price list'!$C:$AN,MATCH(O$20,'General price list'!$C$20:$AM$20,0),FALSE)=0,"",VLOOKUP($C165,'General price list'!$C:$AN,MATCH(O$20,'General price list'!$C$20:$AM$20,0),FALSE)),"")</f>
        <v/>
      </c>
      <c r="P165" s="837" t="str">
        <f>IFERROR(IF(VLOOKUP($C165,'General price list'!$C:$AN,MATCH(P$20,'General price list'!$C$20:$AM$20,0),FALSE)=0,"",VLOOKUP($C165,'General price list'!$C:$AN,MATCH(P$20,'General price list'!$C$20:$AM$20,0),FALSE)),"")</f>
        <v/>
      </c>
      <c r="Q165" s="698"/>
      <c r="R165" s="698"/>
      <c r="S165" s="698"/>
      <c r="T165" s="695"/>
      <c r="U165" s="874"/>
      <c r="V165" s="699"/>
      <c r="W165" s="700" t="str">
        <f>IFERROR(VLOOKUP($C165,'General price list'!$C:$AN,MATCH(W$20,'General price list'!$C$20:$AM$20,0),FALSE),"")</f>
        <v/>
      </c>
      <c r="X165" s="891" t="str">
        <f t="shared" si="31"/>
        <v/>
      </c>
      <c r="Y165" s="892"/>
      <c r="Z165" s="700" t="str">
        <f>IFERROR(VLOOKUP($C165,'General price list'!$C:$AN,MATCH(Z$20,'General price list'!$C$20:$AM$20,0),FALSE),"")</f>
        <v/>
      </c>
      <c r="AA165" s="707"/>
      <c r="AB165" s="912" t="str">
        <f>IFERROR(IF(VLOOKUP(C165,[1]List1!$A:$D,2,FALSE)="VYPRODÁNO",$V$9,IF(VLOOKUP(C165,[1]List1!$A:$D,2,FALSE)="DOCHÁZÍ",$V$3,VLOOKUP(C165,[1]List1!$A:$D,2,FALSE))),"OFFLINE!")</f>
        <v>OFFLINE!</v>
      </c>
      <c r="AC165" s="912" t="str">
        <f ca="1">IF(AO165="NE",$V$10,IF(AB165=$V$3,IF(AP165&lt;1,$V$8,$V$2&amp;" "&amp;AP165&amp;" "&amp;$V$1),IF(AB165="SKLADEM",$V$6,IFERROR(IF(OR(AB165-TODAY()&gt;21,VLOOKUP(C165,[1]List1!$A:$E,4,FALSE)=0),AB165,DAY(AB165)&amp;"."&amp;MONTH(AB165)&amp;"."&amp;YEAR(AB165)&amp;" "&amp;$V$4&amp;VLOOKUP(C165,[1]List1!$A:$E,4,FALSE)&amp;" "&amp;$V$1),AB165))))</f>
        <v>OFFLINE!</v>
      </c>
      <c r="AD165" s="701" t="str">
        <f>_xlfn.IFNA(VLOOKUP(C165,'General price list'!C:AM,MATCH($AD$20,'General price list'!$C$20:$AM$20,0),FALSE),"")</f>
        <v/>
      </c>
      <c r="AE165" s="695" t="str">
        <f t="shared" si="32"/>
        <v/>
      </c>
      <c r="AF165" s="695" t="str">
        <f t="shared" si="33"/>
        <v/>
      </c>
      <c r="AG165" s="702" t="str">
        <f t="shared" si="34"/>
        <v/>
      </c>
      <c r="AH165" s="703" t="str">
        <f t="shared" si="35"/>
        <v/>
      </c>
      <c r="AI165" s="702" t="str">
        <f t="shared" si="36"/>
        <v/>
      </c>
      <c r="AJ165" s="704" t="str">
        <f t="shared" si="37"/>
        <v/>
      </c>
      <c r="AK165" s="704" t="str">
        <f t="shared" si="38"/>
        <v/>
      </c>
      <c r="AL165" s="704" t="str">
        <f t="shared" si="39"/>
        <v/>
      </c>
      <c r="AM165" s="705" t="str">
        <f t="shared" si="40"/>
        <v/>
      </c>
      <c r="AN165" s="382"/>
      <c r="AO165" s="314" t="str">
        <f>IF($R$3=1,IF(Y165=AA165,"","NE"),IF(#REF!=$V$10,"NE",""))</f>
        <v/>
      </c>
      <c r="AP165" s="315" t="str">
        <f>IF(AB165=$V$3,IF(VLOOKUP(C165,[1]List1!$A:$E,5,FALSE)=0,1,VLOOKUP(C165,[1]List1!$A:$E,5,FALSE)),"")</f>
        <v/>
      </c>
      <c r="AW165" s="291" t="e">
        <f>VLOOKUP(C165,'General price list'!C:AU,46,FALSE)</f>
        <v>#N/A</v>
      </c>
      <c r="AX165" s="291" t="e">
        <f>VLOOKUP(C165,'General price list'!C:AU,47,FALSE)</f>
        <v>#N/A</v>
      </c>
    </row>
    <row r="166" spans="1:50" ht="15" customHeight="1">
      <c r="A166" s="677" t="str">
        <f>Kat.!C166</f>
        <v xml:space="preserve">                                          </v>
      </c>
      <c r="B166" s="678">
        <v>145</v>
      </c>
      <c r="C166" s="679" t="s">
        <v>725</v>
      </c>
      <c r="D166" s="679" t="s">
        <v>726</v>
      </c>
      <c r="E166" s="680" t="s">
        <v>706</v>
      </c>
      <c r="F166" s="681">
        <f>VLOOKUP(C166,[2]List1!$A:$D,2,FALSE)</f>
        <v>49</v>
      </c>
      <c r="G166" s="682">
        <f t="shared" si="29"/>
        <v>49</v>
      </c>
      <c r="H166" s="683">
        <f t="shared" si="30"/>
        <v>2</v>
      </c>
      <c r="I166" s="836">
        <v>50</v>
      </c>
      <c r="J166" s="680" t="s">
        <v>130</v>
      </c>
      <c r="K166" s="854" t="s">
        <v>12593</v>
      </c>
      <c r="L166" s="855" t="s">
        <v>13845</v>
      </c>
      <c r="M166" s="680" t="s">
        <v>25</v>
      </c>
      <c r="N166" s="868">
        <f>IFERROR(VLOOKUP(C166,[3]List1!$A:$D,4,FALSE),"N/A!")</f>
        <v>2.6400000000000003E-2</v>
      </c>
      <c r="O166" s="836">
        <f>IFERROR(VLOOKUP(C166,[3]List1!$A:$D,3,FALSE),"N/A!")</f>
        <v>490.00000000000006</v>
      </c>
      <c r="P166" s="836">
        <f>IFERROR(VLOOKUP(C166,[3]List1!$A:$D,2,FALSE),"N/A!")</f>
        <v>15500</v>
      </c>
      <c r="Q166" s="680" t="s">
        <v>13743</v>
      </c>
      <c r="R166" s="680" t="s">
        <v>24</v>
      </c>
      <c r="S166" s="680"/>
      <c r="T166" s="681"/>
      <c r="U166" s="873"/>
      <c r="V166" s="684" t="str">
        <f>_xlfn.IFNA(HYPERLINK("https://www.klasekpyrotechnics.cz/p5a13"),"")</f>
        <v>https://www.klasekpyrotechnics.cz/p5a13</v>
      </c>
      <c r="W166" s="685" t="str">
        <f>IFERROR(VLOOKUP($C166,Popisy!A:P,MATCH($W$17,Popisy!$A$7:$P$7,0),FALSE),"---------------")</f>
        <v>Explosionskraft 120dB von 15m</v>
      </c>
      <c r="X166" s="889" t="str">
        <f t="shared" si="31"/>
        <v/>
      </c>
      <c r="Y166" s="890"/>
      <c r="Z166" s="685">
        <f>IFERROR(IF(VLOOKUP(C166,[4]List1!$A:$D,4,FALSE)=0,"",VLOOKUP(C166,[4]List1!$A:$D,4,FALSE)),"")</f>
        <v>42</v>
      </c>
      <c r="AA166" s="707"/>
      <c r="AB166" s="911" t="str">
        <f>IFERROR(IF(VLOOKUP(C166,[1]List1!$A:$D,2,FALSE)="VYPRODÁNO",$V$9,IF(VLOOKUP(C166,[1]List1!$A:$D,2,FALSE)="DOCHÁZÍ",$V$3,VLOOKUP(C166,[1]List1!$A:$D,2,FALSE))),"OFFLINE!")</f>
        <v>SKLADEM</v>
      </c>
      <c r="AC166" s="911" t="str">
        <f ca="1">IF(AO166="NE",$V$10,IF(AB166=$V$3,IF(AP166&lt;1,$V$8,$V$2&amp;" "&amp;AP166&amp;" "&amp;$V$1),IF(AB166="SKLADEM",$V$6,IFERROR(IF(OR(AB166-TODAY()&gt;21,VLOOKUP(C166,[1]List1!$A:$E,4,FALSE)=0),AB166,DAY(AB166)&amp;"."&amp;MONTH(AB166)&amp;"."&amp;YEAR(AB166)&amp;" "&amp;$V$4&amp;VLOOKUP(C166,[1]List1!$A:$E,4,FALSE)&amp;" "&amp;$V$1),AB166))))</f>
        <v>AUF LAGER</v>
      </c>
      <c r="AD166" s="686" t="str">
        <f ca="1">_xlfn.IFNA(VLOOKUP(C166,'General price list'!C:AM,MATCH($AD$20,'General price list'!$C$20:$AM$20,0),FALSE),"")</f>
        <v>AUF LAGER</v>
      </c>
      <c r="AE166" s="681">
        <f t="shared" ca="1" si="32"/>
        <v>0</v>
      </c>
      <c r="AF166" s="681">
        <f t="shared" ca="1" si="33"/>
        <v>0</v>
      </c>
      <c r="AG166" s="687">
        <f t="shared" ca="1" si="34"/>
        <v>0</v>
      </c>
      <c r="AH166" s="688">
        <f t="shared" ca="1" si="35"/>
        <v>0</v>
      </c>
      <c r="AI166" s="687">
        <f t="shared" ca="1" si="36"/>
        <v>0</v>
      </c>
      <c r="AJ166" s="689" t="str">
        <f t="shared" ca="1" si="37"/>
        <v/>
      </c>
      <c r="AK166" s="689" t="str">
        <f t="shared" ca="1" si="38"/>
        <v/>
      </c>
      <c r="AL166" s="689">
        <f t="shared" ca="1" si="39"/>
        <v>0</v>
      </c>
      <c r="AM166" s="690" t="str">
        <f t="shared" ca="1" si="40"/>
        <v/>
      </c>
      <c r="AN166" s="382"/>
      <c r="AO166" s="314" t="str">
        <f>IF($R$3=1,IF(Y166=AA166,"","NE"),IF(#REF!=$V$10,"NE",""))</f>
        <v/>
      </c>
      <c r="AP166" s="315" t="str">
        <f>IF(AB166=$V$3,IF(VLOOKUP(C166,[1]List1!$A:$E,5,FALSE)=0,1,VLOOKUP(C166,[1]List1!$A:$E,5,FALSE)),"")</f>
        <v/>
      </c>
      <c r="AW166" s="458">
        <f>IFERROR(FIND(VLOOKUP('General price list'!$AB$7,'General price list'!$AC$1:$AD$12,2,FALSE),Q166,1),0)</f>
        <v>0</v>
      </c>
      <c r="AX166" s="458">
        <f>IFERROR(FIND(VLOOKUP('General price list'!$AB$7,'General price list'!$AC$1:$AD$12,2,FALSE),R166,1),0)</f>
        <v>0</v>
      </c>
    </row>
    <row r="167" spans="1:50" ht="15" customHeight="1">
      <c r="A167" s="691" t="str">
        <f>Kat.!C167</f>
        <v xml:space="preserve">                                          </v>
      </c>
      <c r="B167" s="692">
        <v>146</v>
      </c>
      <c r="C167" s="693" t="s">
        <v>727</v>
      </c>
      <c r="D167" s="693" t="s">
        <v>728</v>
      </c>
      <c r="E167" s="694" t="s">
        <v>706</v>
      </c>
      <c r="F167" s="695">
        <f>VLOOKUP(C167,[2]List1!$A:$D,2,FALSE)</f>
        <v>49</v>
      </c>
      <c r="G167" s="696">
        <f t="shared" si="29"/>
        <v>49</v>
      </c>
      <c r="H167" s="697">
        <f t="shared" si="30"/>
        <v>2</v>
      </c>
      <c r="I167" s="837">
        <v>50</v>
      </c>
      <c r="J167" s="698" t="s">
        <v>130</v>
      </c>
      <c r="K167" s="856" t="s">
        <v>12593</v>
      </c>
      <c r="L167" s="857" t="s">
        <v>13845</v>
      </c>
      <c r="M167" s="698" t="s">
        <v>25</v>
      </c>
      <c r="N167" s="869">
        <f>IFERROR(VLOOKUP(C167,[3]List1!$A:$D,4,FALSE),"N/A!")</f>
        <v>2.6400000000000003E-2</v>
      </c>
      <c r="O167" s="837">
        <f>IFERROR(VLOOKUP(C167,[3]List1!$A:$D,3,FALSE),"N/A!")</f>
        <v>490.00000000000006</v>
      </c>
      <c r="P167" s="837">
        <f>IFERROR(VLOOKUP(C167,[3]List1!$A:$D,2,FALSE),"N/A!")</f>
        <v>15500</v>
      </c>
      <c r="Q167" s="698" t="s">
        <v>13743</v>
      </c>
      <c r="R167" s="698" t="s">
        <v>24</v>
      </c>
      <c r="S167" s="698"/>
      <c r="T167" s="695"/>
      <c r="U167" s="874"/>
      <c r="V167" s="699" t="str">
        <f>_xlfn.IFNA(HYPERLINK("https://www.klasekpyrotechnics.cz/p5d13"),"")</f>
        <v>https://www.klasekpyrotechnics.cz/p5d13</v>
      </c>
      <c r="W167" s="700" t="str">
        <f>IFERROR(VLOOKUP($C167,Popisy!A:P,MATCH($W$17,Popisy!$A$7:$P$7,0),FALSE),"---------------")</f>
        <v>Explosionskraft 120dB von 15m</v>
      </c>
      <c r="X167" s="891" t="str">
        <f t="shared" si="31"/>
        <v/>
      </c>
      <c r="Y167" s="892"/>
      <c r="Z167" s="700">
        <f>IFERROR(IF(VLOOKUP(C167,[4]List1!$A:$D,4,FALSE)=0,"",VLOOKUP(C167,[4]List1!$A:$D,4,FALSE)),"")</f>
        <v>42</v>
      </c>
      <c r="AA167" s="707"/>
      <c r="AB167" s="912" t="str">
        <f>IFERROR(IF(VLOOKUP(C167,[1]List1!$A:$D,2,FALSE)="VYPRODÁNO",$V$9,IF(VLOOKUP(C167,[1]List1!$A:$D,2,FALSE)="DOCHÁZÍ",$V$3,VLOOKUP(C167,[1]List1!$A:$D,2,FALSE))),"OFFLINE!")</f>
        <v>SKLADEM</v>
      </c>
      <c r="AC167" s="912" t="str">
        <f ca="1">IF(AO167="NE",$V$10,IF(AB167=$V$3,IF(AP167&lt;1,$V$8,$V$2&amp;" "&amp;AP167&amp;" "&amp;$V$1),IF(AB167="SKLADEM",$V$6,IFERROR(IF(OR(AB167-TODAY()&gt;21,VLOOKUP(C167,[1]List1!$A:$E,4,FALSE)=0),AB167,DAY(AB167)&amp;"."&amp;MONTH(AB167)&amp;"."&amp;YEAR(AB167)&amp;" "&amp;$V$4&amp;VLOOKUP(C167,[1]List1!$A:$E,4,FALSE)&amp;" "&amp;$V$1),AB167))))</f>
        <v>AUF LAGER</v>
      </c>
      <c r="AD167" s="701" t="str">
        <f ca="1">_xlfn.IFNA(VLOOKUP(C167,'General price list'!C:AM,MATCH($AD$20,'General price list'!$C$20:$AM$20,0),FALSE),"")</f>
        <v>AUF LAGER</v>
      </c>
      <c r="AE167" s="695">
        <f t="shared" ca="1" si="32"/>
        <v>0</v>
      </c>
      <c r="AF167" s="695">
        <f t="shared" ca="1" si="33"/>
        <v>0</v>
      </c>
      <c r="AG167" s="702">
        <f t="shared" ca="1" si="34"/>
        <v>0</v>
      </c>
      <c r="AH167" s="703">
        <f t="shared" ca="1" si="35"/>
        <v>0</v>
      </c>
      <c r="AI167" s="702">
        <f t="shared" ca="1" si="36"/>
        <v>0</v>
      </c>
      <c r="AJ167" s="704" t="str">
        <f t="shared" ca="1" si="37"/>
        <v/>
      </c>
      <c r="AK167" s="704" t="str">
        <f t="shared" ca="1" si="38"/>
        <v/>
      </c>
      <c r="AL167" s="704">
        <f t="shared" ca="1" si="39"/>
        <v>0</v>
      </c>
      <c r="AM167" s="705" t="str">
        <f t="shared" ca="1" si="40"/>
        <v/>
      </c>
      <c r="AN167" s="382"/>
      <c r="AO167" s="314" t="str">
        <f>IF($R$3=1,IF(Y167=AA167,"","NE"),IF(#REF!=$V$10,"NE",""))</f>
        <v/>
      </c>
      <c r="AP167" s="315" t="str">
        <f>IF(AB167=$V$3,IF(VLOOKUP(C167,[1]List1!$A:$E,5,FALSE)=0,1,VLOOKUP(C167,[1]List1!$A:$E,5,FALSE)),"")</f>
        <v/>
      </c>
      <c r="AW167" s="458">
        <f>IFERROR(FIND(VLOOKUP('General price list'!$AB$7,'General price list'!$AC$1:$AD$12,2,FALSE),Q167,1),0)</f>
        <v>0</v>
      </c>
      <c r="AX167" s="458">
        <f>IFERROR(FIND(VLOOKUP('General price list'!$AB$7,'General price list'!$AC$1:$AD$12,2,FALSE),R167,1),0)</f>
        <v>0</v>
      </c>
    </row>
    <row r="168" spans="1:50" ht="15" customHeight="1">
      <c r="A168" s="677" t="str">
        <f>Kat.!C168</f>
        <v xml:space="preserve">                                          </v>
      </c>
      <c r="B168" s="678">
        <v>147</v>
      </c>
      <c r="C168" s="679" t="s">
        <v>4289</v>
      </c>
      <c r="D168" s="679" t="s">
        <v>4290</v>
      </c>
      <c r="E168" s="680" t="s">
        <v>719</v>
      </c>
      <c r="F168" s="681">
        <f>VLOOKUP(C168,[2]List1!$A:$D,2,FALSE)</f>
        <v>93</v>
      </c>
      <c r="G168" s="682">
        <f t="shared" si="29"/>
        <v>93</v>
      </c>
      <c r="H168" s="683">
        <f t="shared" si="30"/>
        <v>3.8</v>
      </c>
      <c r="I168" s="836">
        <v>60</v>
      </c>
      <c r="J168" s="680" t="s">
        <v>130</v>
      </c>
      <c r="K168" s="854" t="s">
        <v>12593</v>
      </c>
      <c r="L168" s="855" t="s">
        <v>13845</v>
      </c>
      <c r="M168" s="680" t="s">
        <v>25</v>
      </c>
      <c r="N168" s="868">
        <f>IFERROR(VLOOKUP(C168,[3]List1!$A:$D,4,FALSE),"N/A!")</f>
        <v>3.8375999999999993E-2</v>
      </c>
      <c r="O168" s="836">
        <f>IFERROR(VLOOKUP(C168,[3]List1!$A:$D,3,FALSE),"N/A!")</f>
        <v>1200</v>
      </c>
      <c r="P168" s="836">
        <f>IFERROR(VLOOKUP(C168,[3]List1!$A:$D,2,FALSE),"N/A!")</f>
        <v>25000</v>
      </c>
      <c r="Q168" s="680" t="s">
        <v>13744</v>
      </c>
      <c r="R168" s="680" t="s">
        <v>24</v>
      </c>
      <c r="S168" s="680"/>
      <c r="T168" s="681"/>
      <c r="U168" s="873"/>
      <c r="V168" s="684" t="str">
        <f>_xlfn.IFNA(HYPERLINK("https://www.klasekpyrotechnics.cz/p6a13_gf3"),"")</f>
        <v>https://www.klasekpyrotechnics.cz/p6a13_gf3</v>
      </c>
      <c r="W168" s="685" t="str">
        <f>IFERROR(VLOOKUP($C168,Popisy!A:P,MATCH($W$17,Popisy!$A$7:$P$7,0),FALSE),"---------------")</f>
        <v>Explosionskraft 120dB von 15m mit grünes Licht</v>
      </c>
      <c r="X168" s="889" t="str">
        <f t="shared" si="31"/>
        <v/>
      </c>
      <c r="Y168" s="890"/>
      <c r="Z168" s="685">
        <f>IFERROR(IF(VLOOKUP(C168,[4]List1!$A:$D,4,FALSE)=0,"",VLOOKUP(C168,[4]List1!$A:$D,4,FALSE)),"")</f>
        <v>26</v>
      </c>
      <c r="AA168" s="707"/>
      <c r="AB168" s="911" t="str">
        <f>IFERROR(IF(VLOOKUP(C168,[1]List1!$A:$D,2,FALSE)="VYPRODÁNO",$V$9,IF(VLOOKUP(C168,[1]List1!$A:$D,2,FALSE)="DOCHÁZÍ",$V$3,VLOOKUP(C168,[1]List1!$A:$D,2,FALSE))),"OFFLINE!")</f>
        <v>01.09.2024</v>
      </c>
      <c r="AC168" s="911" t="str">
        <f ca="1">IF(AO168="NE",$V$10,IF(AB168=$V$3,IF(AP168&lt;1,$V$8,$V$2&amp;" "&amp;AP168&amp;" "&amp;$V$1),IF(AB168="SKLADEM",$V$6,IFERROR(IF(OR(AB168-TODAY()&gt;21,VLOOKUP(C168,[1]List1!$A:$E,4,FALSE)=0),AB168,DAY(AB168)&amp;"."&amp;MONTH(AB168)&amp;"."&amp;YEAR(AB168)&amp;" "&amp;$V$4&amp;VLOOKUP(C168,[1]List1!$A:$E,4,FALSE)&amp;" "&amp;$V$1),AB168))))</f>
        <v>01.09.2024</v>
      </c>
      <c r="AD168" s="686" t="str">
        <f ca="1">_xlfn.IFNA(VLOOKUP(C168,'General price list'!C:AM,MATCH($AD$20,'General price list'!$C$20:$AM$20,0),FALSE),"")</f>
        <v>01.09.2024</v>
      </c>
      <c r="AE168" s="681">
        <f t="shared" ca="1" si="32"/>
        <v>0</v>
      </c>
      <c r="AF168" s="681">
        <f t="shared" ca="1" si="33"/>
        <v>0</v>
      </c>
      <c r="AG168" s="687">
        <f t="shared" ca="1" si="34"/>
        <v>0</v>
      </c>
      <c r="AH168" s="688">
        <f t="shared" ca="1" si="35"/>
        <v>0</v>
      </c>
      <c r="AI168" s="687">
        <f t="shared" ca="1" si="36"/>
        <v>0</v>
      </c>
      <c r="AJ168" s="689" t="str">
        <f t="shared" ca="1" si="37"/>
        <v/>
      </c>
      <c r="AK168" s="689" t="str">
        <f t="shared" ca="1" si="38"/>
        <v/>
      </c>
      <c r="AL168" s="689">
        <f t="shared" ca="1" si="39"/>
        <v>0</v>
      </c>
      <c r="AM168" s="690" t="str">
        <f t="shared" ca="1" si="40"/>
        <v/>
      </c>
      <c r="AN168" s="313"/>
      <c r="AO168" s="314" t="str">
        <f>IF($R$3=1,IF(Y168=AA168,"","NE"),IF(#REF!=$V$10,"NE",""))</f>
        <v/>
      </c>
      <c r="AP168" s="315" t="str">
        <f>IF(AB168=$V$3,IF(VLOOKUP(C168,[1]List1!$A:$E,5,FALSE)=0,1,VLOOKUP(C168,[1]List1!$A:$E,5,FALSE)),"")</f>
        <v/>
      </c>
      <c r="AW168" s="458">
        <f>IFERROR(FIND(VLOOKUP('General price list'!$AB$7,'General price list'!$AC$1:$AD$12,2,FALSE),Q168,1),0)</f>
        <v>10</v>
      </c>
      <c r="AX168" s="458">
        <f>IFERROR(FIND(VLOOKUP('General price list'!$AB$7,'General price list'!$AC$1:$AD$12,2,FALSE),R168,1),0)</f>
        <v>0</v>
      </c>
    </row>
    <row r="169" spans="1:50" ht="15" customHeight="1">
      <c r="A169" s="691" t="str">
        <f>Kat.!C169</f>
        <v xml:space="preserve">                                          </v>
      </c>
      <c r="B169" s="692">
        <v>148</v>
      </c>
      <c r="C169" s="693" t="s">
        <v>4292</v>
      </c>
      <c r="D169" s="693" t="s">
        <v>4293</v>
      </c>
      <c r="E169" s="694" t="s">
        <v>719</v>
      </c>
      <c r="F169" s="695">
        <f>VLOOKUP(C169,[2]List1!$A:$D,2,FALSE)</f>
        <v>93</v>
      </c>
      <c r="G169" s="696">
        <f t="shared" si="29"/>
        <v>93</v>
      </c>
      <c r="H169" s="697">
        <f t="shared" si="30"/>
        <v>3.8</v>
      </c>
      <c r="I169" s="837">
        <v>60</v>
      </c>
      <c r="J169" s="698" t="s">
        <v>130</v>
      </c>
      <c r="K169" s="856" t="s">
        <v>12593</v>
      </c>
      <c r="L169" s="857" t="s">
        <v>13845</v>
      </c>
      <c r="M169" s="698" t="s">
        <v>25</v>
      </c>
      <c r="N169" s="869">
        <f>IFERROR(VLOOKUP(C169,[3]List1!$A:$D,4,FALSE),"N/A!")</f>
        <v>3.8375999999999993E-2</v>
      </c>
      <c r="O169" s="837">
        <f>IFERROR(VLOOKUP(C169,[3]List1!$A:$D,3,FALSE),"N/A!")</f>
        <v>1200</v>
      </c>
      <c r="P169" s="837">
        <f>IFERROR(VLOOKUP(C169,[3]List1!$A:$D,2,FALSE),"N/A!")</f>
        <v>25000</v>
      </c>
      <c r="Q169" s="698" t="s">
        <v>13744</v>
      </c>
      <c r="R169" s="698" t="s">
        <v>24</v>
      </c>
      <c r="S169" s="698"/>
      <c r="T169" s="695"/>
      <c r="U169" s="874"/>
      <c r="V169" s="699" t="str">
        <f>_xlfn.IFNA(HYPERLINK("https://www.klasekpyrotechnics.cz/p6a13_rf3"),"")</f>
        <v>https://www.klasekpyrotechnics.cz/p6a13_rf3</v>
      </c>
      <c r="W169" s="700" t="str">
        <f>IFERROR(VLOOKUP($C169,Popisy!A:P,MATCH($W$17,Popisy!$A$7:$P$7,0),FALSE),"---------------")</f>
        <v>Explosionskraft 120dB von 15m mit rot Licht</v>
      </c>
      <c r="X169" s="891" t="str">
        <f t="shared" si="31"/>
        <v/>
      </c>
      <c r="Y169" s="892"/>
      <c r="Z169" s="700">
        <f>IFERROR(IF(VLOOKUP(C169,[4]List1!$A:$D,4,FALSE)=0,"",VLOOKUP(C169,[4]List1!$A:$D,4,FALSE)),"")</f>
        <v>26</v>
      </c>
      <c r="AA169" s="707"/>
      <c r="AB169" s="912" t="str">
        <f>IFERROR(IF(VLOOKUP(C169,[1]List1!$A:$D,2,FALSE)="VYPRODÁNO",$V$9,IF(VLOOKUP(C169,[1]List1!$A:$D,2,FALSE)="DOCHÁZÍ",$V$3,VLOOKUP(C169,[1]List1!$A:$D,2,FALSE))),"OFFLINE!")</f>
        <v>SKLADEM</v>
      </c>
      <c r="AC169" s="912" t="str">
        <f ca="1">IF(AO169="NE",$V$10,IF(AB169=$V$3,IF(AP169&lt;1,$V$8,$V$2&amp;" "&amp;AP169&amp;" "&amp;$V$1),IF(AB169="SKLADEM",$V$6,IFERROR(IF(OR(AB169-TODAY()&gt;21,VLOOKUP(C169,[1]List1!$A:$E,4,FALSE)=0),AB169,DAY(AB169)&amp;"."&amp;MONTH(AB169)&amp;"."&amp;YEAR(AB169)&amp;" "&amp;$V$4&amp;VLOOKUP(C169,[1]List1!$A:$E,4,FALSE)&amp;" "&amp;$V$1),AB169))))</f>
        <v>AUF LAGER</v>
      </c>
      <c r="AD169" s="701">
        <f>_xlfn.IFNA(VLOOKUP(C169,'General price list'!C:AM,MATCH($AD$20,'General price list'!$C$20:$AM$20,0),FALSE),"")</f>
        <v>0</v>
      </c>
      <c r="AE169" s="695">
        <f t="shared" si="32"/>
        <v>0</v>
      </c>
      <c r="AF169" s="695">
        <f t="shared" si="33"/>
        <v>0</v>
      </c>
      <c r="AG169" s="702">
        <f t="shared" si="34"/>
        <v>0</v>
      </c>
      <c r="AH169" s="703">
        <f t="shared" si="35"/>
        <v>0</v>
      </c>
      <c r="AI169" s="702">
        <f t="shared" si="36"/>
        <v>0</v>
      </c>
      <c r="AJ169" s="704" t="str">
        <f t="shared" si="37"/>
        <v/>
      </c>
      <c r="AK169" s="704" t="str">
        <f t="shared" si="38"/>
        <v/>
      </c>
      <c r="AL169" s="704">
        <f t="shared" si="39"/>
        <v>0</v>
      </c>
      <c r="AM169" s="705" t="str">
        <f t="shared" si="40"/>
        <v/>
      </c>
      <c r="AN169" s="313"/>
      <c r="AO169" s="314" t="str">
        <f>IF($R$3=1,IF(Y169=AA169,"","NE"),IF(#REF!=$V$10,"NE",""))</f>
        <v/>
      </c>
      <c r="AP169" s="315" t="str">
        <f>IF(AB169=$V$3,IF(VLOOKUP(C169,[1]List1!$A:$E,5,FALSE)=0,1,VLOOKUP(C169,[1]List1!$A:$E,5,FALSE)),"")</f>
        <v/>
      </c>
      <c r="AW169" s="458">
        <f>IFERROR(FIND(VLOOKUP('General price list'!$AB$7,'General price list'!$AC$1:$AD$12,2,FALSE),Q169,1),0)</f>
        <v>10</v>
      </c>
      <c r="AX169" s="458">
        <f>IFERROR(FIND(VLOOKUP('General price list'!$AB$7,'General price list'!$AC$1:$AD$12,2,FALSE),R169,1),0)</f>
        <v>0</v>
      </c>
    </row>
    <row r="170" spans="1:50" ht="15" customHeight="1">
      <c r="A170" s="677" t="str">
        <f>Kat.!C170</f>
        <v>×</v>
      </c>
      <c r="B170" s="678">
        <v>149</v>
      </c>
      <c r="C170" s="679" t="s">
        <v>4302</v>
      </c>
      <c r="D170" s="679" t="s">
        <v>4293</v>
      </c>
      <c r="E170" s="680" t="s">
        <v>719</v>
      </c>
      <c r="F170" s="681">
        <f>VLOOKUP(C170,[2]List1!$A:$D,2,FALSE)</f>
        <v>93</v>
      </c>
      <c r="G170" s="682">
        <f t="shared" si="29"/>
        <v>93</v>
      </c>
      <c r="H170" s="683">
        <f t="shared" si="30"/>
        <v>3.8</v>
      </c>
      <c r="I170" s="836">
        <v>60</v>
      </c>
      <c r="J170" s="680" t="s">
        <v>130</v>
      </c>
      <c r="K170" s="854"/>
      <c r="L170" s="855" t="s">
        <v>13845</v>
      </c>
      <c r="M170" s="680" t="s">
        <v>25</v>
      </c>
      <c r="N170" s="868">
        <f>IFERROR(VLOOKUP(C170,[3]List1!$A:$D,4,FALSE),"N/A!")</f>
        <v>3.8375999999999993E-2</v>
      </c>
      <c r="O170" s="836">
        <f>IFERROR(VLOOKUP(C170,[3]List1!$A:$D,3,FALSE),"N/A!")</f>
        <v>1200</v>
      </c>
      <c r="P170" s="836">
        <f>IFERROR(VLOOKUP(C170,[3]List1!$A:$D,2,FALSE),"N/A!")</f>
        <v>25000</v>
      </c>
      <c r="Q170" s="680" t="s">
        <v>13744</v>
      </c>
      <c r="R170" s="680" t="s">
        <v>24</v>
      </c>
      <c r="S170" s="680"/>
      <c r="T170" s="681"/>
      <c r="U170" s="873"/>
      <c r="V170" s="684" t="str">
        <f>_xlfn.IFNA(HYPERLINK("https://www.klasekpyrotechnics.cz/p6a13_rf3-1"),"")</f>
        <v>https://www.klasekpyrotechnics.cz/p6a13_rf3-1</v>
      </c>
      <c r="W170" s="685" t="str">
        <f>IFERROR(VLOOKUP($C170,Popisy!A:P,MATCH($W$17,Popisy!$A$7:$P$7,0),FALSE),"---------------")</f>
        <v>Explosionskraft 120dB von 15m mit rot Licht</v>
      </c>
      <c r="X170" s="889" t="str">
        <f t="shared" si="31"/>
        <v/>
      </c>
      <c r="Y170" s="890"/>
      <c r="Z170" s="685">
        <f>IFERROR(IF(VLOOKUP(C170,[4]List1!$A:$D,4,FALSE)=0,"",VLOOKUP(C170,[4]List1!$A:$D,4,FALSE)),"")</f>
        <v>26</v>
      </c>
      <c r="AA170" s="707"/>
      <c r="AB170" s="911" t="str">
        <f>IFERROR(IF(VLOOKUP(C170,[1]List1!$A:$D,2,FALSE)="VYPRODÁNO",$V$9,IF(VLOOKUP(C170,[1]List1!$A:$D,2,FALSE)="DOCHÁZÍ",$V$3,VLOOKUP(C170,[1]List1!$A:$D,2,FALSE))),"OFFLINE!")</f>
        <v>SKLADEM</v>
      </c>
      <c r="AC170" s="911" t="str">
        <f ca="1">IF(AO170="NE",$V$10,IF(AB170=$V$3,IF(AP170&lt;1,$V$8,$V$2&amp;" "&amp;AP170&amp;" "&amp;$V$1),IF(AB170="SKLADEM",$V$6,IFERROR(IF(OR(AB170-TODAY()&gt;21,VLOOKUP(C170,[1]List1!$A:$E,4,FALSE)=0),AB170,DAY(AB170)&amp;"."&amp;MONTH(AB170)&amp;"."&amp;YEAR(AB170)&amp;" "&amp;$V$4&amp;VLOOKUP(C170,[1]List1!$A:$E,4,FALSE)&amp;" "&amp;$V$1),AB170))))</f>
        <v>AUF LAGER</v>
      </c>
      <c r="AD170" s="686" t="str">
        <f ca="1">_xlfn.IFNA(VLOOKUP(C170,'General price list'!C:AM,MATCH($AD$20,'General price list'!$C$20:$AM$20,0),FALSE),"")</f>
        <v>AUF LAGER</v>
      </c>
      <c r="AE170" s="681">
        <f t="shared" ca="1" si="32"/>
        <v>0</v>
      </c>
      <c r="AF170" s="681">
        <f t="shared" ca="1" si="33"/>
        <v>0</v>
      </c>
      <c r="AG170" s="687">
        <f t="shared" ca="1" si="34"/>
        <v>0</v>
      </c>
      <c r="AH170" s="688">
        <f t="shared" ca="1" si="35"/>
        <v>0</v>
      </c>
      <c r="AI170" s="687">
        <f t="shared" ca="1" si="36"/>
        <v>0</v>
      </c>
      <c r="AJ170" s="689" t="str">
        <f t="shared" ca="1" si="37"/>
        <v/>
      </c>
      <c r="AK170" s="689" t="str">
        <f t="shared" ca="1" si="38"/>
        <v/>
      </c>
      <c r="AL170" s="689">
        <f t="shared" ca="1" si="39"/>
        <v>0</v>
      </c>
      <c r="AM170" s="690" t="str">
        <f t="shared" ca="1" si="40"/>
        <v/>
      </c>
      <c r="AN170" s="313"/>
      <c r="AO170" s="314" t="str">
        <f>IF($R$3=1,IF(Y170=AA170,"","NE"),IF(#REF!=$V$10,"NE",""))</f>
        <v/>
      </c>
      <c r="AP170" s="315" t="str">
        <f>IF(AB170=$V$3,IF(VLOOKUP(C170,[1]List1!$A:$E,5,FALSE)=0,1,VLOOKUP(C170,[1]List1!$A:$E,5,FALSE)),"")</f>
        <v/>
      </c>
      <c r="AW170" s="458">
        <f>IFERROR(FIND(VLOOKUP('General price list'!$AB$7,'General price list'!$AC$1:$AD$12,2,FALSE),Q170,1),0)</f>
        <v>10</v>
      </c>
      <c r="AX170" s="458">
        <f>IFERROR(FIND(VLOOKUP('General price list'!$AB$7,'General price list'!$AC$1:$AD$12,2,FALSE),R170,1),0)</f>
        <v>0</v>
      </c>
    </row>
    <row r="171" spans="1:50" ht="15" customHeight="1">
      <c r="A171" s="672" t="str">
        <f>Kat.!C171</f>
        <v xml:space="preserve">                                          Batterien der Knallkörper</v>
      </c>
      <c r="B171" s="692">
        <v>150</v>
      </c>
      <c r="C171" s="693"/>
      <c r="D171" s="693"/>
      <c r="E171" s="694"/>
      <c r="F171" s="695" t="str">
        <f>IFERROR(ROUND(VLOOKUP(C171,'General price list'!$C:$AN,4,FALSE),0),"")</f>
        <v/>
      </c>
      <c r="G171" s="696" t="str">
        <f t="shared" si="29"/>
        <v/>
      </c>
      <c r="H171" s="697" t="str">
        <f t="shared" si="30"/>
        <v/>
      </c>
      <c r="I171" s="837"/>
      <c r="J171" s="698"/>
      <c r="K171" s="856"/>
      <c r="L171" s="857"/>
      <c r="M171" s="698"/>
      <c r="N171" s="869" t="str">
        <f>IFERROR(IF(VLOOKUP($C171,'General price list'!$C:$AN,MATCH(N$20,'General price list'!$C$20:$AM$20,0),FALSE)=0,"",VLOOKUP($C171,'General price list'!$C:$AN,MATCH(N$20,'General price list'!$C$20:$AM$20,0),FALSE)),"")</f>
        <v/>
      </c>
      <c r="O171" s="837" t="str">
        <f>IFERROR(IF(VLOOKUP($C171,'General price list'!$C:$AN,MATCH(O$20,'General price list'!$C$20:$AM$20,0),FALSE)=0,"",VLOOKUP($C171,'General price list'!$C:$AN,MATCH(O$20,'General price list'!$C$20:$AM$20,0),FALSE)),"")</f>
        <v/>
      </c>
      <c r="P171" s="837" t="str">
        <f>IFERROR(IF(VLOOKUP($C171,'General price list'!$C:$AN,MATCH(P$20,'General price list'!$C$20:$AM$20,0),FALSE)=0,"",VLOOKUP($C171,'General price list'!$C:$AN,MATCH(P$20,'General price list'!$C$20:$AM$20,0),FALSE)),"")</f>
        <v/>
      </c>
      <c r="Q171" s="698"/>
      <c r="R171" s="698"/>
      <c r="S171" s="698"/>
      <c r="T171" s="695"/>
      <c r="U171" s="874"/>
      <c r="V171" s="699"/>
      <c r="W171" s="700" t="str">
        <f>IFERROR(VLOOKUP($C171,'General price list'!$C:$AN,MATCH(W$20,'General price list'!$C$20:$AM$20,0),FALSE),"")</f>
        <v/>
      </c>
      <c r="X171" s="891" t="str">
        <f t="shared" si="31"/>
        <v/>
      </c>
      <c r="Y171" s="892"/>
      <c r="Z171" s="700" t="str">
        <f>IFERROR(VLOOKUP($C171,'General price list'!$C:$AN,MATCH(Z$20,'General price list'!$C$20:$AM$20,0),FALSE),"")</f>
        <v/>
      </c>
      <c r="AA171" s="707"/>
      <c r="AB171" s="912" t="str">
        <f>IFERROR(IF(VLOOKUP(C171,[1]List1!$A:$D,2,FALSE)="VYPRODÁNO",$V$9,IF(VLOOKUP(C171,[1]List1!$A:$D,2,FALSE)="DOCHÁZÍ",$V$3,VLOOKUP(C171,[1]List1!$A:$D,2,FALSE))),"OFFLINE!")</f>
        <v>OFFLINE!</v>
      </c>
      <c r="AC171" s="912" t="str">
        <f ca="1">IF(AO171="NE",$V$10,IF(AB171=$V$3,IF(AP171&lt;1,$V$8,$V$2&amp;" "&amp;AP171&amp;" "&amp;$V$1),IF(AB171="SKLADEM",$V$6,IFERROR(IF(OR(AB171-TODAY()&gt;21,VLOOKUP(C171,[1]List1!$A:$E,4,FALSE)=0),AB171,DAY(AB171)&amp;"."&amp;MONTH(AB171)&amp;"."&amp;YEAR(AB171)&amp;" "&amp;$V$4&amp;VLOOKUP(C171,[1]List1!$A:$E,4,FALSE)&amp;" "&amp;$V$1),AB171))))</f>
        <v>OFFLINE!</v>
      </c>
      <c r="AD171" s="701" t="str">
        <f>_xlfn.IFNA(VLOOKUP(C171,'General price list'!C:AM,MATCH($AD$20,'General price list'!$C$20:$AM$20,0),FALSE),"")</f>
        <v/>
      </c>
      <c r="AE171" s="695" t="str">
        <f t="shared" si="32"/>
        <v/>
      </c>
      <c r="AF171" s="695" t="str">
        <f t="shared" si="33"/>
        <v/>
      </c>
      <c r="AG171" s="702" t="str">
        <f t="shared" si="34"/>
        <v/>
      </c>
      <c r="AH171" s="703" t="str">
        <f t="shared" si="35"/>
        <v/>
      </c>
      <c r="AI171" s="702" t="str">
        <f t="shared" si="36"/>
        <v/>
      </c>
      <c r="AJ171" s="704" t="str">
        <f t="shared" si="37"/>
        <v/>
      </c>
      <c r="AK171" s="704" t="str">
        <f t="shared" si="38"/>
        <v/>
      </c>
      <c r="AL171" s="704" t="str">
        <f t="shared" si="39"/>
        <v/>
      </c>
      <c r="AM171" s="705" t="str">
        <f t="shared" si="40"/>
        <v/>
      </c>
      <c r="AN171" s="313"/>
      <c r="AO171" s="314" t="str">
        <f>IF($R$3=1,IF(Y171=AA171,"","NE"),IF(#REF!=$V$10,"NE",""))</f>
        <v/>
      </c>
      <c r="AP171" s="315" t="str">
        <f>IF(AB171=$V$3,IF(VLOOKUP(C171,[1]List1!$A:$E,5,FALSE)=0,1,VLOOKUP(C171,[1]List1!$A:$E,5,FALSE)),"")</f>
        <v/>
      </c>
      <c r="AW171" s="291" t="e">
        <f>VLOOKUP(C171,'General price list'!C:AU,46,FALSE)</f>
        <v>#N/A</v>
      </c>
      <c r="AX171" s="291" t="e">
        <f>VLOOKUP(C171,'General price list'!C:AU,47,FALSE)</f>
        <v>#N/A</v>
      </c>
    </row>
    <row r="172" spans="1:50" ht="15" customHeight="1">
      <c r="A172" s="677" t="str">
        <f>Kat.!C172</f>
        <v xml:space="preserve">                                          </v>
      </c>
      <c r="B172" s="678">
        <v>151</v>
      </c>
      <c r="C172" s="679" t="s">
        <v>93</v>
      </c>
      <c r="D172" s="679" t="s">
        <v>4354</v>
      </c>
      <c r="E172" s="680" t="s">
        <v>94</v>
      </c>
      <c r="F172" s="681">
        <f>VLOOKUP(C172,[2]List1!$A:$D,2,FALSE)</f>
        <v>63</v>
      </c>
      <c r="G172" s="682">
        <f t="shared" si="29"/>
        <v>63</v>
      </c>
      <c r="H172" s="683">
        <f t="shared" si="30"/>
        <v>2.6</v>
      </c>
      <c r="I172" s="836">
        <v>40</v>
      </c>
      <c r="J172" s="680" t="s">
        <v>45</v>
      </c>
      <c r="K172" s="854"/>
      <c r="L172" s="855" t="s">
        <v>13846</v>
      </c>
      <c r="M172" s="680" t="s">
        <v>25</v>
      </c>
      <c r="N172" s="868">
        <f>IFERROR(VLOOKUP(C172,[3]List1!$A:$D,4,FALSE),"N/A!")</f>
        <v>1.864275E-2</v>
      </c>
      <c r="O172" s="836">
        <f>IFERROR(VLOOKUP(C172,[3]List1!$A:$D,3,FALSE),"N/A!")</f>
        <v>1800</v>
      </c>
      <c r="P172" s="836">
        <f>IFERROR(VLOOKUP(C172,[3]List1!$A:$D,2,FALSE),"N/A!")</f>
        <v>2500</v>
      </c>
      <c r="Q172" s="680" t="s">
        <v>150</v>
      </c>
      <c r="R172" s="680" t="s">
        <v>24</v>
      </c>
      <c r="S172" s="680"/>
      <c r="T172" s="681"/>
      <c r="U172" s="873"/>
      <c r="V172" s="684" t="str">
        <f>_xlfn.IFNA(HYPERLINK("https://www.klasekpyrotechnics.cz/eb15"),"")</f>
        <v>https://www.klasekpyrotechnics.cz/eb15</v>
      </c>
      <c r="W172" s="685" t="str">
        <f>IFERROR(VLOOKUP($C172,Popisy!A:P,MATCH($W$17,Popisy!$A$7:$P$7,0),FALSE),"---------------")</f>
        <v>Knallende Ballone 15 g, Durchmesser 38mm</v>
      </c>
      <c r="X172" s="889" t="str">
        <f t="shared" si="31"/>
        <v/>
      </c>
      <c r="Y172" s="890"/>
      <c r="Z172" s="685" t="str">
        <f>IFERROR(IF(VLOOKUP(C172,[4]List1!$A:$D,4,FALSE)=0,"",VLOOKUP(C172,[4]List1!$A:$D,4,FALSE)),"")</f>
        <v>87</v>
      </c>
      <c r="AA172" s="707"/>
      <c r="AB172" s="911" t="str">
        <f>IFERROR(IF(VLOOKUP(C172,[1]List1!$A:$D,2,FALSE)="VYPRODÁNO",$V$9,IF(VLOOKUP(C172,[1]List1!$A:$D,2,FALSE)="DOCHÁZÍ",$V$3,VLOOKUP(C172,[1]List1!$A:$D,2,FALSE))),"OFFLINE!")</f>
        <v>15.09.2024</v>
      </c>
      <c r="AC172" s="911" t="str">
        <f ca="1">IF(AO172="NE",$V$10,IF(AB172=$V$3,IF(AP172&lt;1,$V$8,$V$2&amp;" "&amp;AP172&amp;" "&amp;$V$1),IF(AB172="SKLADEM",$V$6,IFERROR(IF(OR(AB172-TODAY()&gt;21,VLOOKUP(C172,[1]List1!$A:$E,4,FALSE)=0),AB172,DAY(AB172)&amp;"."&amp;MONTH(AB172)&amp;"."&amp;YEAR(AB172)&amp;" "&amp;$V$4&amp;VLOOKUP(C172,[1]List1!$A:$E,4,FALSE)&amp;" "&amp;$V$1),AB172))))</f>
        <v>15.09.2024</v>
      </c>
      <c r="AD172" s="686" t="str">
        <f ca="1">_xlfn.IFNA(VLOOKUP(C172,'General price list'!C:AM,MATCH($AD$20,'General price list'!$C$20:$AM$20,0),FALSE),"")</f>
        <v>15.09.2024</v>
      </c>
      <c r="AE172" s="681">
        <f t="shared" ca="1" si="32"/>
        <v>0</v>
      </c>
      <c r="AF172" s="681">
        <f t="shared" ca="1" si="33"/>
        <v>0</v>
      </c>
      <c r="AG172" s="687">
        <f t="shared" ca="1" si="34"/>
        <v>0</v>
      </c>
      <c r="AH172" s="688">
        <f t="shared" ca="1" si="35"/>
        <v>0</v>
      </c>
      <c r="AI172" s="687">
        <f t="shared" ca="1" si="36"/>
        <v>0</v>
      </c>
      <c r="AJ172" s="689" t="str">
        <f t="shared" ca="1" si="37"/>
        <v/>
      </c>
      <c r="AK172" s="689" t="str">
        <f t="shared" ca="1" si="38"/>
        <v/>
      </c>
      <c r="AL172" s="689">
        <f t="shared" ca="1" si="39"/>
        <v>0</v>
      </c>
      <c r="AM172" s="690" t="str">
        <f t="shared" ca="1" si="40"/>
        <v/>
      </c>
      <c r="AN172" s="313"/>
      <c r="AO172" s="314" t="str">
        <f>IF($R$3=1,IF(Y172=AA172,"","NE"),IF(#REF!=$V$10,"NE",""))</f>
        <v/>
      </c>
      <c r="AP172" s="315" t="str">
        <f>IF(AB172=$V$3,IF(VLOOKUP(C172,[1]List1!$A:$E,5,FALSE)=0,1,VLOOKUP(C172,[1]List1!$A:$E,5,FALSE)),"")</f>
        <v/>
      </c>
      <c r="AW172" s="458">
        <f>IFERROR(FIND(VLOOKUP('General price list'!$AB$7,'General price list'!$AC$1:$AD$12,2,FALSE),Q172,1),0)</f>
        <v>10</v>
      </c>
      <c r="AX172" s="458">
        <f>IFERROR(FIND(VLOOKUP('General price list'!$AB$7,'General price list'!$AC$1:$AD$12,2,FALSE),R172,1),0)</f>
        <v>0</v>
      </c>
    </row>
    <row r="173" spans="1:50" ht="15" customHeight="1">
      <c r="A173" s="691" t="str">
        <f>Kat.!C173</f>
        <v>×</v>
      </c>
      <c r="B173" s="692">
        <v>152</v>
      </c>
      <c r="C173" s="693" t="s">
        <v>2297</v>
      </c>
      <c r="D173" s="693" t="s">
        <v>2298</v>
      </c>
      <c r="E173" s="694" t="s">
        <v>94</v>
      </c>
      <c r="F173" s="695">
        <f>VLOOKUP(C173,[2]List1!$A:$D,2,FALSE)</f>
        <v>71</v>
      </c>
      <c r="G173" s="696">
        <f t="shared" si="29"/>
        <v>71</v>
      </c>
      <c r="H173" s="697">
        <f t="shared" si="30"/>
        <v>2.9</v>
      </c>
      <c r="I173" s="837">
        <v>40</v>
      </c>
      <c r="J173" s="698" t="s">
        <v>45</v>
      </c>
      <c r="K173" s="856"/>
      <c r="L173" s="857" t="s">
        <v>13828</v>
      </c>
      <c r="M173" s="698" t="s">
        <v>25</v>
      </c>
      <c r="N173" s="869">
        <f>IFERROR(VLOOKUP(C173,[3]List1!$A:$D,4,FALSE),"N/A!")</f>
        <v>1.9447200000000001E-2</v>
      </c>
      <c r="O173" s="837">
        <f>IFERROR(VLOOKUP(C173,[3]List1!$A:$D,3,FALSE),"N/A!")</f>
        <v>1800</v>
      </c>
      <c r="P173" s="837">
        <f>IFERROR(VLOOKUP(C173,[3]List1!$A:$D,2,FALSE),"N/A!")</f>
        <v>3000</v>
      </c>
      <c r="Q173" s="698" t="s">
        <v>207</v>
      </c>
      <c r="R173" s="698" t="s">
        <v>24</v>
      </c>
      <c r="S173" s="698"/>
      <c r="T173" s="695"/>
      <c r="U173" s="874"/>
      <c r="V173" s="699" t="str">
        <f>_xlfn.IFNA(HYPERLINK("https://www.klasekpyrotechnics.cz/eb9"),"")</f>
        <v>https://www.klasekpyrotechnics.cz/eb9</v>
      </c>
      <c r="W173" s="700" t="str">
        <f>IFERROR(VLOOKUP($C173,Popisy!A:P,MATCH($W$17,Popisy!$A$7:$P$7,0),FALSE),"---------------")</f>
        <v>Knallende Ballone 15 g(Doppeleffekt), Durchmesser 42mm</v>
      </c>
      <c r="X173" s="891" t="str">
        <f t="shared" si="31"/>
        <v/>
      </c>
      <c r="Y173" s="892"/>
      <c r="Z173" s="700">
        <f>IFERROR(IF(VLOOKUP(C173,[4]List1!$A:$D,4,FALSE)=0,"",VLOOKUP(C173,[4]List1!$A:$D,4,FALSE)),"")</f>
        <v>60</v>
      </c>
      <c r="AA173" s="707"/>
      <c r="AB173" s="912" t="str">
        <f>IFERROR(IF(VLOOKUP(C173,[1]List1!$A:$D,2,FALSE)="VYPRODÁNO",$V$9,IF(VLOOKUP(C173,[1]List1!$A:$D,2,FALSE)="DOCHÁZÍ",$V$3,VLOOKUP(C173,[1]List1!$A:$D,2,FALSE))),"OFFLINE!")</f>
        <v>LETZTE STÜCKE</v>
      </c>
      <c r="AC173" s="912" t="str">
        <f ca="1">IF(AO173="NE",$V$10,IF(AB173=$V$3,IF(AP173&lt;1,$V$8,$V$2&amp;" "&amp;AP173&amp;" "&amp;$V$1),IF(AB173="SKLADEM",$V$6,IFERROR(IF(OR(AB173-TODAY()&gt;21,VLOOKUP(C173,[1]List1!$A:$E,4,FALSE)=0),AB173,DAY(AB173)&amp;"."&amp;MONTH(AB173)&amp;"."&amp;YEAR(AB173)&amp;" "&amp;$V$4&amp;VLOOKUP(C173,[1]List1!$A:$E,4,FALSE)&amp;" "&amp;$V$1),AB173))))</f>
        <v>LETZTE 12 KTN</v>
      </c>
      <c r="AD173" s="701" t="str">
        <f ca="1">_xlfn.IFNA(VLOOKUP(C173,'General price list'!C:AM,MATCH($AD$20,'General price list'!$C$20:$AM$20,0),FALSE),"")</f>
        <v>LETZTE 12 KTN</v>
      </c>
      <c r="AE173" s="695">
        <f t="shared" ca="1" si="32"/>
        <v>0</v>
      </c>
      <c r="AF173" s="695">
        <f t="shared" ca="1" si="33"/>
        <v>0</v>
      </c>
      <c r="AG173" s="702">
        <f t="shared" ca="1" si="34"/>
        <v>0</v>
      </c>
      <c r="AH173" s="703">
        <f t="shared" ca="1" si="35"/>
        <v>0</v>
      </c>
      <c r="AI173" s="702">
        <f t="shared" ca="1" si="36"/>
        <v>0</v>
      </c>
      <c r="AJ173" s="704" t="str">
        <f t="shared" ca="1" si="37"/>
        <v/>
      </c>
      <c r="AK173" s="704" t="str">
        <f t="shared" ca="1" si="38"/>
        <v/>
      </c>
      <c r="AL173" s="704">
        <f t="shared" ca="1" si="39"/>
        <v>0</v>
      </c>
      <c r="AM173" s="705" t="str">
        <f t="shared" ca="1" si="40"/>
        <v/>
      </c>
      <c r="AN173" s="381"/>
      <c r="AO173" s="314" t="str">
        <f>IF($R$3=1,IF(Y173=AA173,"","NE"),IF(#REF!=$V$10,"NE",""))</f>
        <v/>
      </c>
      <c r="AP173" s="315">
        <f>IF(AB173=$V$3,IF(VLOOKUP(C173,[1]List1!$A:$E,5,FALSE)=0,1,VLOOKUP(C173,[1]List1!$A:$E,5,FALSE)),"")</f>
        <v>12</v>
      </c>
      <c r="AW173" s="458">
        <f>IFERROR(FIND(VLOOKUP('General price list'!$AB$7,'General price list'!$AC$1:$AD$12,2,FALSE),Q173,1),0)</f>
        <v>0</v>
      </c>
      <c r="AX173" s="458">
        <f>IFERROR(FIND(VLOOKUP('General price list'!$AB$7,'General price list'!$AC$1:$AD$12,2,FALSE),R173,1),0)</f>
        <v>0</v>
      </c>
    </row>
    <row r="174" spans="1:50" ht="15" customHeight="1">
      <c r="A174" s="672" t="str">
        <f>Kat.!C174</f>
        <v xml:space="preserve">                                          Raketensets F2-1.4G</v>
      </c>
      <c r="B174" s="678">
        <v>153</v>
      </c>
      <c r="C174" s="679"/>
      <c r="D174" s="679"/>
      <c r="E174" s="680"/>
      <c r="F174" s="681" t="str">
        <f>IFERROR(ROUND(VLOOKUP(C174,'General price list'!$C:$AN,4,FALSE),0),"")</f>
        <v/>
      </c>
      <c r="G174" s="682" t="str">
        <f t="shared" si="29"/>
        <v/>
      </c>
      <c r="H174" s="683" t="str">
        <f t="shared" si="30"/>
        <v/>
      </c>
      <c r="I174" s="836"/>
      <c r="J174" s="680"/>
      <c r="K174" s="854"/>
      <c r="L174" s="855"/>
      <c r="M174" s="680"/>
      <c r="N174" s="868" t="str">
        <f>IFERROR(IF(VLOOKUP($C174,'General price list'!$C:$AN,MATCH(N$20,'General price list'!$C$20:$AM$20,0),FALSE)=0,"",VLOOKUP($C174,'General price list'!$C:$AN,MATCH(N$20,'General price list'!$C$20:$AM$20,0),FALSE)),"")</f>
        <v/>
      </c>
      <c r="O174" s="836" t="str">
        <f>IFERROR(IF(VLOOKUP($C174,'General price list'!$C:$AN,MATCH(O$20,'General price list'!$C$20:$AM$20,0),FALSE)=0,"",VLOOKUP($C174,'General price list'!$C:$AN,MATCH(O$20,'General price list'!$C$20:$AM$20,0),FALSE)),"")</f>
        <v/>
      </c>
      <c r="P174" s="836" t="str">
        <f>IFERROR(IF(VLOOKUP($C174,'General price list'!$C:$AN,MATCH(P$20,'General price list'!$C$20:$AM$20,0),FALSE)=0,"",VLOOKUP($C174,'General price list'!$C:$AN,MATCH(P$20,'General price list'!$C$20:$AM$20,0),FALSE)),"")</f>
        <v/>
      </c>
      <c r="Q174" s="680"/>
      <c r="R174" s="680"/>
      <c r="S174" s="680"/>
      <c r="T174" s="681"/>
      <c r="U174" s="873"/>
      <c r="V174" s="684"/>
      <c r="W174" s="685" t="str">
        <f>IFERROR(VLOOKUP($C174,'General price list'!$C:$AN,MATCH(W$20,'General price list'!$C$20:$AM$20,0),FALSE),"")</f>
        <v/>
      </c>
      <c r="X174" s="889" t="str">
        <f t="shared" si="31"/>
        <v/>
      </c>
      <c r="Y174" s="890"/>
      <c r="Z174" s="685" t="str">
        <f>IFERROR(VLOOKUP($C174,'General price list'!$C:$AN,MATCH(Z$20,'General price list'!$C$20:$AM$20,0),FALSE),"")</f>
        <v/>
      </c>
      <c r="AA174" s="707"/>
      <c r="AB174" s="911" t="str">
        <f>IFERROR(IF(VLOOKUP(C174,[1]List1!$A:$D,2,FALSE)="VYPRODÁNO",$V$9,IF(VLOOKUP(C174,[1]List1!$A:$D,2,FALSE)="DOCHÁZÍ",$V$3,VLOOKUP(C174,[1]List1!$A:$D,2,FALSE))),"OFFLINE!")</f>
        <v>OFFLINE!</v>
      </c>
      <c r="AC174" s="911" t="str">
        <f ca="1">IF(AO174="NE",$V$10,IF(AB174=$V$3,IF(AP174&lt;1,$V$8,$V$2&amp;" "&amp;AP174&amp;" "&amp;$V$1),IF(AB174="SKLADEM",$V$6,IFERROR(IF(OR(AB174-TODAY()&gt;21,VLOOKUP(C174,[1]List1!$A:$E,4,FALSE)=0),AB174,DAY(AB174)&amp;"."&amp;MONTH(AB174)&amp;"."&amp;YEAR(AB174)&amp;" "&amp;$V$4&amp;VLOOKUP(C174,[1]List1!$A:$E,4,FALSE)&amp;" "&amp;$V$1),AB174))))</f>
        <v>OFFLINE!</v>
      </c>
      <c r="AD174" s="686" t="str">
        <f>_xlfn.IFNA(VLOOKUP(C174,'General price list'!C:AM,MATCH($AD$20,'General price list'!$C$20:$AM$20,0),FALSE),"")</f>
        <v/>
      </c>
      <c r="AE174" s="681" t="str">
        <f t="shared" si="32"/>
        <v/>
      </c>
      <c r="AF174" s="681" t="str">
        <f t="shared" si="33"/>
        <v/>
      </c>
      <c r="AG174" s="687" t="str">
        <f t="shared" si="34"/>
        <v/>
      </c>
      <c r="AH174" s="688" t="str">
        <f t="shared" si="35"/>
        <v/>
      </c>
      <c r="AI174" s="687" t="str">
        <f t="shared" si="36"/>
        <v/>
      </c>
      <c r="AJ174" s="689" t="str">
        <f t="shared" si="37"/>
        <v/>
      </c>
      <c r="AK174" s="689" t="str">
        <f t="shared" si="38"/>
        <v/>
      </c>
      <c r="AL174" s="689" t="str">
        <f t="shared" si="39"/>
        <v/>
      </c>
      <c r="AM174" s="690" t="str">
        <f t="shared" si="40"/>
        <v/>
      </c>
      <c r="AN174" s="313"/>
      <c r="AO174" s="314" t="str">
        <f>IF($R$3=1,IF(Y174=AA174,"","NE"),IF(#REF!=$V$10,"NE",""))</f>
        <v/>
      </c>
      <c r="AP174" s="315" t="str">
        <f>IF(AB174=$V$3,IF(VLOOKUP(C174,[1]List1!$A:$E,5,FALSE)=0,1,VLOOKUP(C174,[1]List1!$A:$E,5,FALSE)),"")</f>
        <v/>
      </c>
      <c r="AW174" s="291" t="e">
        <f>VLOOKUP(C174,'General price list'!C:AU,46,FALSE)</f>
        <v>#N/A</v>
      </c>
      <c r="AX174" s="291" t="e">
        <f>VLOOKUP(C174,'General price list'!C:AU,47,FALSE)</f>
        <v>#N/A</v>
      </c>
    </row>
    <row r="175" spans="1:50" ht="15" customHeight="1">
      <c r="A175" s="691" t="str">
        <f>Kat.!C175</f>
        <v xml:space="preserve">                                          </v>
      </c>
      <c r="B175" s="692">
        <v>154</v>
      </c>
      <c r="C175" s="693" t="s">
        <v>774</v>
      </c>
      <c r="D175" s="693" t="s">
        <v>13214</v>
      </c>
      <c r="E175" s="694" t="s">
        <v>775</v>
      </c>
      <c r="F175" s="695">
        <f>VLOOKUP(C175,[2]List1!$A:$D,2,FALSE)</f>
        <v>245</v>
      </c>
      <c r="G175" s="696">
        <f t="shared" si="29"/>
        <v>245</v>
      </c>
      <c r="H175" s="697">
        <f t="shared" si="30"/>
        <v>10</v>
      </c>
      <c r="I175" s="837">
        <v>20</v>
      </c>
      <c r="J175" s="698" t="s">
        <v>45</v>
      </c>
      <c r="K175" s="856"/>
      <c r="L175" s="857" t="s">
        <v>13821</v>
      </c>
      <c r="M175" s="698" t="s">
        <v>25</v>
      </c>
      <c r="N175" s="869">
        <f>IFERROR(VLOOKUP(C175,[3]List1!$A:$D,4,FALSE),"N/A!")</f>
        <v>4.3709999999999999E-2</v>
      </c>
      <c r="O175" s="837">
        <f>IFERROR(VLOOKUP(C175,[3]List1!$A:$D,3,FALSE),"N/A!")</f>
        <v>1440</v>
      </c>
      <c r="P175" s="837">
        <f>IFERROR(VLOOKUP(C175,[3]List1!$A:$D,2,FALSE),"N/A!")</f>
        <v>8920</v>
      </c>
      <c r="Q175" s="698" t="s">
        <v>13745</v>
      </c>
      <c r="R175" s="698" t="s">
        <v>13746</v>
      </c>
      <c r="S175" s="698"/>
      <c r="T175" s="695"/>
      <c r="U175" s="874"/>
      <c r="V175" s="699" t="str">
        <f>_xlfn.IFNA(HYPERLINK("https://www.klasekpyrotechnics.cz/rs1"),"")</f>
        <v>https://www.klasekpyrotechnics.cz/rs1</v>
      </c>
      <c r="W175" s="700" t="str">
        <f>IFERROR(VLOOKUP($C175,Popisy!A:P,MATCH($W$17,Popisy!$A$7:$P$7,0),FALSE),"---------------")</f>
        <v>Pfeifende Rakete mit der Explosion</v>
      </c>
      <c r="X175" s="891" t="str">
        <f t="shared" si="31"/>
        <v/>
      </c>
      <c r="Y175" s="892"/>
      <c r="Z175" s="700">
        <f>IFERROR(IF(VLOOKUP(C175,[4]List1!$A:$D,4,FALSE)=0,"",VLOOKUP(C175,[4]List1!$A:$D,4,FALSE)),"")</f>
        <v>25</v>
      </c>
      <c r="AA175" s="707"/>
      <c r="AB175" s="912" t="str">
        <f>IFERROR(IF(VLOOKUP(C175,[1]List1!$A:$D,2,FALSE)="VYPRODÁNO",$V$9,IF(VLOOKUP(C175,[1]List1!$A:$D,2,FALSE)="DOCHÁZÍ",$V$3,VLOOKUP(C175,[1]List1!$A:$D,2,FALSE))),"OFFLINE!")</f>
        <v>20.06.2024</v>
      </c>
      <c r="AC175" s="912" t="str">
        <f ca="1">IF(AO175="NE",$V$10,IF(AB175=$V$3,IF(AP175&lt;1,$V$8,$V$2&amp;" "&amp;AP175&amp;" "&amp;$V$1),IF(AB175="SKLADEM",$V$6,IFERROR(IF(OR(AB175-TODAY()&gt;21,VLOOKUP(C175,[1]List1!$A:$E,4,FALSE)=0),AB175,DAY(AB175)&amp;"."&amp;MONTH(AB175)&amp;"."&amp;YEAR(AB175)&amp;" "&amp;$V$4&amp;VLOOKUP(C175,[1]List1!$A:$E,4,FALSE)&amp;" "&amp;$V$1),AB175))))</f>
        <v>20.06.2024</v>
      </c>
      <c r="AD175" s="701" t="str">
        <f ca="1">_xlfn.IFNA(VLOOKUP(C175,'General price list'!C:AM,MATCH($AD$20,'General price list'!$C$20:$AM$20,0),FALSE),"")</f>
        <v>20.06.2024</v>
      </c>
      <c r="AE175" s="695">
        <f t="shared" ca="1" si="32"/>
        <v>0</v>
      </c>
      <c r="AF175" s="695">
        <f t="shared" ca="1" si="33"/>
        <v>0</v>
      </c>
      <c r="AG175" s="702">
        <f t="shared" ca="1" si="34"/>
        <v>0</v>
      </c>
      <c r="AH175" s="703">
        <f t="shared" ca="1" si="35"/>
        <v>0</v>
      </c>
      <c r="AI175" s="702">
        <f t="shared" ca="1" si="36"/>
        <v>0</v>
      </c>
      <c r="AJ175" s="704" t="str">
        <f t="shared" ca="1" si="37"/>
        <v/>
      </c>
      <c r="AK175" s="704" t="str">
        <f t="shared" ca="1" si="38"/>
        <v/>
      </c>
      <c r="AL175" s="704">
        <f t="shared" ca="1" si="39"/>
        <v>0</v>
      </c>
      <c r="AM175" s="705" t="str">
        <f t="shared" ca="1" si="40"/>
        <v/>
      </c>
      <c r="AN175" s="382"/>
      <c r="AO175" s="314" t="str">
        <f>IF($R$3=1,IF(Y175=AA175,"","NE"),IF(#REF!=$V$10,"NE",""))</f>
        <v/>
      </c>
      <c r="AP175" s="292" t="str">
        <f>IF(AB175=$V$3,IF(VLOOKUP(C175,[1]List1!$A:$E,5,FALSE)=0,1,VLOOKUP(C175,[1]List1!$A:$E,5,FALSE)),"")</f>
        <v/>
      </c>
      <c r="AW175" s="458">
        <f>IFERROR(FIND(VLOOKUP('General price list'!$AB$7,'General price list'!$AC$1:$AD$12,2,FALSE),Q175,1),0)</f>
        <v>22</v>
      </c>
      <c r="AX175" s="458">
        <f>IFERROR(FIND(VLOOKUP('General price list'!$AB$7,'General price list'!$AC$1:$AD$12,2,FALSE),R175,1),0)</f>
        <v>4</v>
      </c>
    </row>
    <row r="176" spans="1:50" ht="15" customHeight="1">
      <c r="A176" s="677" t="str">
        <f>Kat.!C176</f>
        <v xml:space="preserve">                                          </v>
      </c>
      <c r="B176" s="678">
        <v>155</v>
      </c>
      <c r="C176" s="679" t="s">
        <v>779</v>
      </c>
      <c r="D176" s="679" t="s">
        <v>780</v>
      </c>
      <c r="E176" s="680" t="s">
        <v>491</v>
      </c>
      <c r="F176" s="681">
        <f>VLOOKUP(C176,[2]List1!$A:$D,2,FALSE)</f>
        <v>72</v>
      </c>
      <c r="G176" s="682">
        <f t="shared" si="29"/>
        <v>72</v>
      </c>
      <c r="H176" s="683">
        <f t="shared" si="30"/>
        <v>2.9</v>
      </c>
      <c r="I176" s="836">
        <v>50</v>
      </c>
      <c r="J176" s="680" t="s">
        <v>45</v>
      </c>
      <c r="K176" s="854"/>
      <c r="L176" s="855" t="s">
        <v>13832</v>
      </c>
      <c r="M176" s="680" t="s">
        <v>25</v>
      </c>
      <c r="N176" s="868">
        <f>IFERROR(VLOOKUP(C176,[3]List1!$A:$D,4,FALSE),"N/A!")</f>
        <v>2.4502500000000007E-2</v>
      </c>
      <c r="O176" s="836">
        <f>IFERROR(VLOOKUP(C176,[3]List1!$A:$D,3,FALSE),"N/A!")</f>
        <v>1500</v>
      </c>
      <c r="P176" s="836">
        <f>IFERROR(VLOOKUP(C176,[3]List1!$A:$D,2,FALSE),"N/A!")</f>
        <v>6800</v>
      </c>
      <c r="Q176" s="680" t="s">
        <v>13747</v>
      </c>
      <c r="R176" s="680" t="s">
        <v>24</v>
      </c>
      <c r="S176" s="680"/>
      <c r="T176" s="681"/>
      <c r="U176" s="873"/>
      <c r="V176" s="684" t="str">
        <f>_xlfn.IFNA(HYPERLINK("https://www.klasekpyrotechnics.cz/rs6p"),"")</f>
        <v>https://www.klasekpyrotechnics.cz/rs6p</v>
      </c>
      <c r="W176" s="685" t="str">
        <f>IFERROR(VLOOKUP($C176,Popisy!A:P,MATCH($W$17,Popisy!$A$7:$P$7,0),FALSE),"---------------")</f>
        <v>Fallschirmrakete</v>
      </c>
      <c r="X176" s="889" t="str">
        <f t="shared" si="31"/>
        <v/>
      </c>
      <c r="Y176" s="890"/>
      <c r="Z176" s="685">
        <f>IFERROR(IF(VLOOKUP(C176,[4]List1!$A:$D,4,FALSE)=0,"",VLOOKUP(C176,[4]List1!$A:$D,4,FALSE)),"")</f>
        <v>48</v>
      </c>
      <c r="AA176" s="707"/>
      <c r="AB176" s="911" t="str">
        <f>IFERROR(IF(VLOOKUP(C176,[1]List1!$A:$D,2,FALSE)="VYPRODÁNO",$V$9,IF(VLOOKUP(C176,[1]List1!$A:$D,2,FALSE)="DOCHÁZÍ",$V$3,VLOOKUP(C176,[1]List1!$A:$D,2,FALSE))),"OFFLINE!")</f>
        <v>15.09.2024</v>
      </c>
      <c r="AC176" s="911" t="str">
        <f ca="1">IF(AO176="NE",$V$10,IF(AB176=$V$3,IF(AP176&lt;1,$V$8,$V$2&amp;" "&amp;AP176&amp;" "&amp;$V$1),IF(AB176="SKLADEM",$V$6,IFERROR(IF(OR(AB176-TODAY()&gt;21,VLOOKUP(C176,[1]List1!$A:$E,4,FALSE)=0),AB176,DAY(AB176)&amp;"."&amp;MONTH(AB176)&amp;"."&amp;YEAR(AB176)&amp;" "&amp;$V$4&amp;VLOOKUP(C176,[1]List1!$A:$E,4,FALSE)&amp;" "&amp;$V$1),AB176))))</f>
        <v>15.09.2024</v>
      </c>
      <c r="AD176" s="686" t="str">
        <f ca="1">_xlfn.IFNA(VLOOKUP(C176,'General price list'!C:AM,MATCH($AD$20,'General price list'!$C$20:$AM$20,0),FALSE),"")</f>
        <v>15.09.2024</v>
      </c>
      <c r="AE176" s="681">
        <f t="shared" ca="1" si="32"/>
        <v>0</v>
      </c>
      <c r="AF176" s="681">
        <f t="shared" ca="1" si="33"/>
        <v>0</v>
      </c>
      <c r="AG176" s="687">
        <f t="shared" ca="1" si="34"/>
        <v>0</v>
      </c>
      <c r="AH176" s="688">
        <f t="shared" ca="1" si="35"/>
        <v>0</v>
      </c>
      <c r="AI176" s="687">
        <f t="shared" ca="1" si="36"/>
        <v>0</v>
      </c>
      <c r="AJ176" s="689" t="str">
        <f t="shared" ca="1" si="37"/>
        <v/>
      </c>
      <c r="AK176" s="689" t="str">
        <f t="shared" ca="1" si="38"/>
        <v/>
      </c>
      <c r="AL176" s="689">
        <f t="shared" ca="1" si="39"/>
        <v>0</v>
      </c>
      <c r="AM176" s="690" t="str">
        <f t="shared" ca="1" si="40"/>
        <v/>
      </c>
      <c r="AN176" s="313"/>
      <c r="AO176" s="314" t="str">
        <f>IF($R$3=1,IF(Y176=AA176,"","NE"),IF(#REF!=$V$10,"NE",""))</f>
        <v/>
      </c>
      <c r="AP176" s="315" t="str">
        <f>IF(AB176=$V$3,IF(VLOOKUP(C176,[1]List1!$A:$E,5,FALSE)=0,1,VLOOKUP(C176,[1]List1!$A:$E,5,FALSE)),"")</f>
        <v/>
      </c>
      <c r="AW176" s="458">
        <f>IFERROR(FIND(VLOOKUP('General price list'!$AB$7,'General price list'!$AC$1:$AD$12,2,FALSE),Q176,1),0)</f>
        <v>13</v>
      </c>
      <c r="AX176" s="458">
        <f>IFERROR(FIND(VLOOKUP('General price list'!$AB$7,'General price list'!$AC$1:$AD$12,2,FALSE),R176,1),0)</f>
        <v>0</v>
      </c>
    </row>
    <row r="177" spans="1:50" ht="15" customHeight="1">
      <c r="A177" s="691" t="str">
        <f>Kat.!C177</f>
        <v xml:space="preserve">                                          </v>
      </c>
      <c r="B177" s="692">
        <v>156</v>
      </c>
      <c r="C177" s="693" t="s">
        <v>787</v>
      </c>
      <c r="D177" s="693" t="s">
        <v>788</v>
      </c>
      <c r="E177" s="694" t="s">
        <v>491</v>
      </c>
      <c r="F177" s="695">
        <f>VLOOKUP(C177,[2]List1!$A:$D,2,FALSE)</f>
        <v>57</v>
      </c>
      <c r="G177" s="696">
        <f t="shared" si="29"/>
        <v>57</v>
      </c>
      <c r="H177" s="697">
        <f t="shared" si="30"/>
        <v>2.2999999999999998</v>
      </c>
      <c r="I177" s="837">
        <v>50</v>
      </c>
      <c r="J177" s="698" t="s">
        <v>45</v>
      </c>
      <c r="K177" s="856"/>
      <c r="L177" s="857" t="s">
        <v>13821</v>
      </c>
      <c r="M177" s="698" t="s">
        <v>25</v>
      </c>
      <c r="N177" s="869">
        <f>IFERROR(VLOOKUP(C177,[3]List1!$A:$D,4,FALSE),"N/A!")</f>
        <v>2.3099999999999999E-2</v>
      </c>
      <c r="O177" s="837">
        <f>IFERROR(VLOOKUP(C177,[3]List1!$A:$D,3,FALSE),"N/A!")</f>
        <v>1500</v>
      </c>
      <c r="P177" s="837">
        <f>IFERROR(VLOOKUP(C177,[3]List1!$A:$D,2,FALSE),"N/A!")</f>
        <v>5000</v>
      </c>
      <c r="Q177" s="698" t="s">
        <v>13747</v>
      </c>
      <c r="R177" s="698" t="s">
        <v>24</v>
      </c>
      <c r="S177" s="698"/>
      <c r="T177" s="695"/>
      <c r="U177" s="874"/>
      <c r="V177" s="699" t="str">
        <f>_xlfn.IFNA(HYPERLINK("https://www.klasekpyrotechnics.cz/rs6s"),"")</f>
        <v>https://www.klasekpyrotechnics.cz/rs6s</v>
      </c>
      <c r="W177" s="700" t="str">
        <f>IFERROR(VLOOKUP($C177,Popisy!A:P,MATCH($W$17,Popisy!$A$7:$P$7,0),FALSE),"---------------")</f>
        <v>Pfeifende spur + silberne blinkende Sterne</v>
      </c>
      <c r="X177" s="891" t="str">
        <f t="shared" si="31"/>
        <v/>
      </c>
      <c r="Y177" s="892"/>
      <c r="Z177" s="700">
        <f>IFERROR(IF(VLOOKUP(C177,[4]List1!$A:$D,4,FALSE)=0,"",VLOOKUP(C177,[4]List1!$A:$D,4,FALSE)),"")</f>
        <v>63</v>
      </c>
      <c r="AA177" s="707"/>
      <c r="AB177" s="912" t="str">
        <f>IFERROR(IF(VLOOKUP(C177,[1]List1!$A:$D,2,FALSE)="VYPRODÁNO",$V$9,IF(VLOOKUP(C177,[1]List1!$A:$D,2,FALSE)="DOCHÁZÍ",$V$3,VLOOKUP(C177,[1]List1!$A:$D,2,FALSE))),"OFFLINE!")</f>
        <v>SKLADEM</v>
      </c>
      <c r="AC177" s="912" t="str">
        <f ca="1">IF(AO177="NE",$V$10,IF(AB177=$V$3,IF(AP177&lt;1,$V$8,$V$2&amp;" "&amp;AP177&amp;" "&amp;$V$1),IF(AB177="SKLADEM",$V$6,IFERROR(IF(OR(AB177-TODAY()&gt;21,VLOOKUP(C177,[1]List1!$A:$E,4,FALSE)=0),AB177,DAY(AB177)&amp;"."&amp;MONTH(AB177)&amp;"."&amp;YEAR(AB177)&amp;" "&amp;$V$4&amp;VLOOKUP(C177,[1]List1!$A:$E,4,FALSE)&amp;" "&amp;$V$1),AB177))))</f>
        <v>AUF LAGER</v>
      </c>
      <c r="AD177" s="701">
        <f>_xlfn.IFNA(VLOOKUP(C177,'General price list'!C:AM,MATCH($AD$20,'General price list'!$C$20:$AM$20,0),FALSE),"")</f>
        <v>0</v>
      </c>
      <c r="AE177" s="695">
        <f t="shared" si="32"/>
        <v>0</v>
      </c>
      <c r="AF177" s="695">
        <f t="shared" si="33"/>
        <v>0</v>
      </c>
      <c r="AG177" s="702">
        <f t="shared" si="34"/>
        <v>0</v>
      </c>
      <c r="AH177" s="703">
        <f t="shared" si="35"/>
        <v>0</v>
      </c>
      <c r="AI177" s="702">
        <f t="shared" si="36"/>
        <v>0</v>
      </c>
      <c r="AJ177" s="704" t="str">
        <f t="shared" si="37"/>
        <v/>
      </c>
      <c r="AK177" s="704" t="str">
        <f t="shared" si="38"/>
        <v/>
      </c>
      <c r="AL177" s="704">
        <f t="shared" si="39"/>
        <v>0</v>
      </c>
      <c r="AM177" s="705" t="str">
        <f t="shared" si="40"/>
        <v/>
      </c>
      <c r="AN177" s="382"/>
      <c r="AO177" s="314" t="str">
        <f>IF($R$3=1,IF(Y177=AA177,"","NE"),IF(#REF!=$V$10,"NE",""))</f>
        <v/>
      </c>
      <c r="AP177" s="315" t="str">
        <f>IF(AB177=$V$3,IF(VLOOKUP(C177,[1]List1!$A:$E,5,FALSE)=0,1,VLOOKUP(C177,[1]List1!$A:$E,5,FALSE)),"")</f>
        <v/>
      </c>
      <c r="AW177" s="458">
        <f>IFERROR(FIND(VLOOKUP('General price list'!$AB$7,'General price list'!$AC$1:$AD$12,2,FALSE),Q177,1),0)</f>
        <v>13</v>
      </c>
      <c r="AX177" s="458">
        <f>IFERROR(FIND(VLOOKUP('General price list'!$AB$7,'General price list'!$AC$1:$AD$12,2,FALSE),R177,1),0)</f>
        <v>0</v>
      </c>
    </row>
    <row r="178" spans="1:50" ht="15" customHeight="1">
      <c r="A178" s="677" t="str">
        <f>Kat.!C178</f>
        <v xml:space="preserve">                                          </v>
      </c>
      <c r="B178" s="678">
        <v>157</v>
      </c>
      <c r="C178" s="679" t="s">
        <v>792</v>
      </c>
      <c r="D178" s="679" t="s">
        <v>793</v>
      </c>
      <c r="E178" s="680" t="s">
        <v>571</v>
      </c>
      <c r="F178" s="681">
        <f>VLOOKUP(C178,[2]List1!$A:$D,2,FALSE)</f>
        <v>120</v>
      </c>
      <c r="G178" s="682">
        <f t="shared" si="29"/>
        <v>120</v>
      </c>
      <c r="H178" s="683">
        <f t="shared" si="30"/>
        <v>4.9000000000000004</v>
      </c>
      <c r="I178" s="836">
        <v>36</v>
      </c>
      <c r="J178" s="680" t="s">
        <v>45</v>
      </c>
      <c r="K178" s="854"/>
      <c r="L178" s="855" t="s">
        <v>13832</v>
      </c>
      <c r="M178" s="680" t="s">
        <v>25</v>
      </c>
      <c r="N178" s="868">
        <f>IFERROR(VLOOKUP(C178,[3]List1!$A:$D,4,FALSE),"N/A!")</f>
        <v>4.1737500000000004E-2</v>
      </c>
      <c r="O178" s="836">
        <f>IFERROR(VLOOKUP(C178,[3]List1!$A:$D,3,FALSE),"N/A!")</f>
        <v>1728</v>
      </c>
      <c r="P178" s="836">
        <f>IFERROR(VLOOKUP(C178,[3]List1!$A:$D,2,FALSE),"N/A!")</f>
        <v>11000</v>
      </c>
      <c r="Q178" s="680" t="s">
        <v>13748</v>
      </c>
      <c r="R178" s="680" t="s">
        <v>24</v>
      </c>
      <c r="S178" s="680"/>
      <c r="T178" s="681"/>
      <c r="U178" s="873"/>
      <c r="V178" s="684" t="str">
        <f>_xlfn.IFNA(HYPERLINK("https://www.klasekpyrotechnics.cz/r12t1"),"")</f>
        <v>https://www.klasekpyrotechnics.cz/r12t1</v>
      </c>
      <c r="W178" s="685" t="str">
        <f>IFERROR(VLOOKUP($C178,Popisy!A:P,MATCH($W$17,Popisy!$A$7:$P$7,0),FALSE),"---------------")</f>
        <v>42 cm Höhe, farbige Leuchtgeschosse</v>
      </c>
      <c r="X178" s="889" t="str">
        <f t="shared" si="31"/>
        <v/>
      </c>
      <c r="Y178" s="890"/>
      <c r="Z178" s="685">
        <f>IFERROR(IF(VLOOKUP(C178,[4]List1!$A:$D,4,FALSE)=0,"",VLOOKUP(C178,[4]List1!$A:$D,4,FALSE)),"")</f>
        <v>24</v>
      </c>
      <c r="AA178" s="707"/>
      <c r="AB178" s="911" t="str">
        <f>IFERROR(IF(VLOOKUP(C178,[1]List1!$A:$D,2,FALSE)="VYPRODÁNO",$V$9,IF(VLOOKUP(C178,[1]List1!$A:$D,2,FALSE)="DOCHÁZÍ",$V$3,VLOOKUP(C178,[1]List1!$A:$D,2,FALSE))),"OFFLINE!")</f>
        <v>SKLADEM</v>
      </c>
      <c r="AC178" s="911" t="str">
        <f ca="1">IF(AO178="NE",$V$10,IF(AB178=$V$3,IF(AP178&lt;1,$V$8,$V$2&amp;" "&amp;AP178&amp;" "&amp;$V$1),IF(AB178="SKLADEM",$V$6,IFERROR(IF(OR(AB178-TODAY()&gt;21,VLOOKUP(C178,[1]List1!$A:$E,4,FALSE)=0),AB178,DAY(AB178)&amp;"."&amp;MONTH(AB178)&amp;"."&amp;YEAR(AB178)&amp;" "&amp;$V$4&amp;VLOOKUP(C178,[1]List1!$A:$E,4,FALSE)&amp;" "&amp;$V$1),AB178))))</f>
        <v>AUF LAGER</v>
      </c>
      <c r="AD178" s="686" t="str">
        <f ca="1">_xlfn.IFNA(VLOOKUP(C178,'General price list'!C:AM,MATCH($AD$20,'General price list'!$C$20:$AM$20,0),FALSE),"")</f>
        <v>AUF LAGER</v>
      </c>
      <c r="AE178" s="681">
        <f t="shared" ca="1" si="32"/>
        <v>0</v>
      </c>
      <c r="AF178" s="681">
        <f t="shared" ca="1" si="33"/>
        <v>0</v>
      </c>
      <c r="AG178" s="687">
        <f t="shared" ca="1" si="34"/>
        <v>0</v>
      </c>
      <c r="AH178" s="688">
        <f t="shared" ca="1" si="35"/>
        <v>0</v>
      </c>
      <c r="AI178" s="687">
        <f t="shared" ca="1" si="36"/>
        <v>0</v>
      </c>
      <c r="AJ178" s="689" t="str">
        <f t="shared" ca="1" si="37"/>
        <v/>
      </c>
      <c r="AK178" s="689" t="str">
        <f t="shared" ca="1" si="38"/>
        <v/>
      </c>
      <c r="AL178" s="689">
        <f t="shared" ca="1" si="39"/>
        <v>0</v>
      </c>
      <c r="AM178" s="690" t="str">
        <f t="shared" ca="1" si="40"/>
        <v/>
      </c>
      <c r="AN178" s="313"/>
      <c r="AO178" s="314" t="str">
        <f>IF($R$3=1,IF(Y178=AA178,"","NE"),IF(#REF!=$V$10,"NE",""))</f>
        <v/>
      </c>
      <c r="AP178" s="315" t="str">
        <f>IF(AB178=$V$3,IF(VLOOKUP(C178,[1]List1!$A:$E,5,FALSE)=0,1,VLOOKUP(C178,[1]List1!$A:$E,5,FALSE)),"")</f>
        <v/>
      </c>
      <c r="AW178" s="458">
        <f>IFERROR(FIND(VLOOKUP('General price list'!$AB$7,'General price list'!$AC$1:$AD$12,2,FALSE),Q178,1),0)</f>
        <v>16</v>
      </c>
      <c r="AX178" s="458">
        <f>IFERROR(FIND(VLOOKUP('General price list'!$AB$7,'General price list'!$AC$1:$AD$12,2,FALSE),R178,1),0)</f>
        <v>0</v>
      </c>
    </row>
    <row r="179" spans="1:50" ht="15" customHeight="1">
      <c r="A179" s="691" t="str">
        <f>Kat.!C179</f>
        <v>×</v>
      </c>
      <c r="B179" s="692">
        <v>158</v>
      </c>
      <c r="C179" s="693" t="s">
        <v>802</v>
      </c>
      <c r="D179" s="693" t="s">
        <v>803</v>
      </c>
      <c r="E179" s="694" t="s">
        <v>798</v>
      </c>
      <c r="F179" s="695">
        <f>VLOOKUP(C179,[2]List1!$A:$D,2,FALSE)</f>
        <v>295</v>
      </c>
      <c r="G179" s="696">
        <f t="shared" si="29"/>
        <v>295</v>
      </c>
      <c r="H179" s="697">
        <f t="shared" si="30"/>
        <v>12</v>
      </c>
      <c r="I179" s="837">
        <v>18</v>
      </c>
      <c r="J179" s="698" t="s">
        <v>45</v>
      </c>
      <c r="K179" s="856"/>
      <c r="L179" s="857" t="s">
        <v>13821</v>
      </c>
      <c r="M179" s="698" t="s">
        <v>25</v>
      </c>
      <c r="N179" s="869">
        <f>IFERROR(VLOOKUP(C179,[3]List1!$A:$D,4,FALSE),"N/A!")</f>
        <v>0.10231199999999999</v>
      </c>
      <c r="O179" s="837">
        <f>IFERROR(VLOOKUP(C179,[3]List1!$A:$D,3,FALSE),"N/A!")</f>
        <v>2160</v>
      </c>
      <c r="P179" s="837">
        <f>IFERROR(VLOOKUP(C179,[3]List1!$A:$D,2,FALSE),"N/A!")</f>
        <v>12400</v>
      </c>
      <c r="Q179" s="698" t="s">
        <v>13749</v>
      </c>
      <c r="R179" s="698" t="s">
        <v>24</v>
      </c>
      <c r="S179" s="698"/>
      <c r="T179" s="695"/>
      <c r="U179" s="874"/>
      <c r="V179" s="699" t="str">
        <f>_xlfn.IFNA(HYPERLINK("https://www.klasekpyrotechnics.cz/rs6no14"),"")</f>
        <v>https://www.klasekpyrotechnics.cz/rs6no14</v>
      </c>
      <c r="W179" s="700" t="str">
        <f>IFERROR(VLOOKUP($C179,Popisy!A:P,MATCH($W$17,Popisy!$A$7:$P$7,0),FALSE),"---------------")</f>
        <v>6 verschiedenfarbige Effekte-ohne Lärm</v>
      </c>
      <c r="X179" s="891" t="str">
        <f t="shared" si="31"/>
        <v/>
      </c>
      <c r="Y179" s="892"/>
      <c r="Z179" s="700" t="str">
        <f>IFERROR(IF(VLOOKUP(C179,[4]List1!$A:$D,4,FALSE)=0,"",VLOOKUP(C179,[4]List1!$A:$D,4,FALSE)),"")</f>
        <v>16</v>
      </c>
      <c r="AA179" s="707"/>
      <c r="AB179" s="912" t="str">
        <f>IFERROR(IF(VLOOKUP(C179,[1]List1!$A:$D,2,FALSE)="VYPRODÁNO",$V$9,IF(VLOOKUP(C179,[1]List1!$A:$D,2,FALSE)="DOCHÁZÍ",$V$3,VLOOKUP(C179,[1]List1!$A:$D,2,FALSE))),"OFFLINE!")</f>
        <v>LETZTE STÜCKE</v>
      </c>
      <c r="AC179" s="912" t="str">
        <f ca="1">IF(AO179="NE",$V$10,IF(AB179=$V$3,IF(AP179&lt;1,$V$8,$V$2&amp;" "&amp;AP179&amp;" "&amp;$V$1),IF(AB179="SKLADEM",$V$6,IFERROR(IF(OR(AB179-TODAY()&gt;21,VLOOKUP(C179,[1]List1!$A:$E,4,FALSE)=0),AB179,DAY(AB179)&amp;"."&amp;MONTH(AB179)&amp;"."&amp;YEAR(AB179)&amp;" "&amp;$V$4&amp;VLOOKUP(C179,[1]List1!$A:$E,4,FALSE)&amp;" "&amp;$V$1),AB179))))</f>
        <v>LETZTE 2 KTN</v>
      </c>
      <c r="AD179" s="701" t="str">
        <f ca="1">_xlfn.IFNA(VLOOKUP(C179,'General price list'!C:AM,MATCH($AD$20,'General price list'!$C$20:$AM$20,0),FALSE),"")</f>
        <v>LETZTE 2 KTN</v>
      </c>
      <c r="AE179" s="695">
        <f t="shared" ca="1" si="32"/>
        <v>0</v>
      </c>
      <c r="AF179" s="695">
        <f t="shared" ca="1" si="33"/>
        <v>0</v>
      </c>
      <c r="AG179" s="702">
        <f t="shared" ca="1" si="34"/>
        <v>0</v>
      </c>
      <c r="AH179" s="703">
        <f t="shared" ca="1" si="35"/>
        <v>0</v>
      </c>
      <c r="AI179" s="702">
        <f t="shared" ca="1" si="36"/>
        <v>0</v>
      </c>
      <c r="AJ179" s="704" t="str">
        <f t="shared" ca="1" si="37"/>
        <v/>
      </c>
      <c r="AK179" s="704" t="str">
        <f t="shared" ca="1" si="38"/>
        <v/>
      </c>
      <c r="AL179" s="704">
        <f t="shared" ca="1" si="39"/>
        <v>0</v>
      </c>
      <c r="AM179" s="705" t="str">
        <f t="shared" ca="1" si="40"/>
        <v/>
      </c>
      <c r="AN179" s="382"/>
      <c r="AO179" s="314" t="str">
        <f>IF($R$3=1,IF(Y179=AA179,"","NE"),IF(#REF!=$V$10,"NE",""))</f>
        <v/>
      </c>
      <c r="AP179" s="315">
        <f>IF(AB179=$V$3,IF(VLOOKUP(C179,[1]List1!$A:$E,5,FALSE)=0,1,VLOOKUP(C179,[1]List1!$A:$E,5,FALSE)),"")</f>
        <v>2</v>
      </c>
      <c r="AW179" s="458">
        <f>IFERROR(FIND(VLOOKUP('General price list'!$AB$7,'General price list'!$AC$1:$AD$12,2,FALSE),Q179,1),0)</f>
        <v>16</v>
      </c>
      <c r="AX179" s="458">
        <f>IFERROR(FIND(VLOOKUP('General price list'!$AB$7,'General price list'!$AC$1:$AD$12,2,FALSE),R179,1),0)</f>
        <v>0</v>
      </c>
    </row>
    <row r="180" spans="1:50" ht="15" customHeight="1">
      <c r="A180" s="677" t="str">
        <f>Kat.!C180</f>
        <v xml:space="preserve">                                          </v>
      </c>
      <c r="B180" s="678">
        <v>159</v>
      </c>
      <c r="C180" s="679" t="s">
        <v>2322</v>
      </c>
      <c r="D180" s="679" t="s">
        <v>12563</v>
      </c>
      <c r="E180" s="680" t="s">
        <v>297</v>
      </c>
      <c r="F180" s="681">
        <f>VLOOKUP(C180,[2]List1!$A:$D,2,FALSE)</f>
        <v>225</v>
      </c>
      <c r="G180" s="682">
        <f t="shared" si="29"/>
        <v>225</v>
      </c>
      <c r="H180" s="683">
        <f t="shared" si="30"/>
        <v>9.1999999999999993</v>
      </c>
      <c r="I180" s="836">
        <v>20</v>
      </c>
      <c r="J180" s="680" t="s">
        <v>45</v>
      </c>
      <c r="K180" s="854"/>
      <c r="L180" s="855" t="s">
        <v>13843</v>
      </c>
      <c r="M180" s="680" t="s">
        <v>131</v>
      </c>
      <c r="N180" s="868">
        <f>IFERROR(VLOOKUP(C180,[3]List1!$A:$D,4,FALSE),"N/A!")</f>
        <v>5.9941999999999995E-2</v>
      </c>
      <c r="O180" s="836">
        <f>IFERROR(VLOOKUP(C180,[3]List1!$A:$D,3,FALSE),"N/A!")</f>
        <v>2000</v>
      </c>
      <c r="P180" s="836">
        <f>IFERROR(VLOOKUP(C180,[3]List1!$A:$D,2,FALSE),"N/A!")</f>
        <v>10600</v>
      </c>
      <c r="Q180" s="680" t="s">
        <v>13750</v>
      </c>
      <c r="R180" s="680" t="s">
        <v>24</v>
      </c>
      <c r="S180" s="680"/>
      <c r="T180" s="681"/>
      <c r="U180" s="873"/>
      <c r="V180" s="684" t="str">
        <f>_xlfn.IFNA(HYPERLINK("https://www.klasekpyrotechnics.cz/rs5du"),"")</f>
        <v>https://www.klasekpyrotechnics.cz/rs5du</v>
      </c>
      <c r="W180" s="685" t="str">
        <f>IFERROR(VLOOKUP($C180,Popisy!A:P,MATCH($W$17,Popisy!$A$7:$P$7,0),FALSE),"---------------")</f>
        <v>silberne spur mit der titanischen detonation+crackling (2g flash sprengsatz)</v>
      </c>
      <c r="X180" s="889" t="str">
        <f t="shared" si="31"/>
        <v/>
      </c>
      <c r="Y180" s="890"/>
      <c r="Z180" s="685">
        <f>IFERROR(IF(VLOOKUP(C180,[4]List1!$A:$D,4,FALSE)=0,"",VLOOKUP(C180,[4]List1!$A:$D,4,FALSE)),"")</f>
        <v>22</v>
      </c>
      <c r="AA180" s="707"/>
      <c r="AB180" s="911" t="str">
        <f>IFERROR(IF(VLOOKUP(C180,[1]List1!$A:$D,2,FALSE)="VYPRODÁNO",$V$9,IF(VLOOKUP(C180,[1]List1!$A:$D,2,FALSE)="DOCHÁZÍ",$V$3,VLOOKUP(C180,[1]List1!$A:$D,2,FALSE))),"OFFLINE!")</f>
        <v>SKLADEM</v>
      </c>
      <c r="AC180" s="911" t="str">
        <f ca="1">IF(AO180="NE",$V$10,IF(AB180=$V$3,IF(AP180&lt;1,$V$8,$V$2&amp;" "&amp;AP180&amp;" "&amp;$V$1),IF(AB180="SKLADEM",$V$6,IFERROR(IF(OR(AB180-TODAY()&gt;21,VLOOKUP(C180,[1]List1!$A:$E,4,FALSE)=0),AB180,DAY(AB180)&amp;"."&amp;MONTH(AB180)&amp;"."&amp;YEAR(AB180)&amp;" "&amp;$V$4&amp;VLOOKUP(C180,[1]List1!$A:$E,4,FALSE)&amp;" "&amp;$V$1),AB180))))</f>
        <v>AUF LAGER</v>
      </c>
      <c r="AD180" s="686" t="str">
        <f ca="1">_xlfn.IFNA(VLOOKUP(C180,'General price list'!C:AM,MATCH($AD$20,'General price list'!$C$20:$AM$20,0),FALSE),"")</f>
        <v>AUF LAGER</v>
      </c>
      <c r="AE180" s="681">
        <f t="shared" ca="1" si="32"/>
        <v>0</v>
      </c>
      <c r="AF180" s="681">
        <f t="shared" ca="1" si="33"/>
        <v>0</v>
      </c>
      <c r="AG180" s="687">
        <f t="shared" ca="1" si="34"/>
        <v>0</v>
      </c>
      <c r="AH180" s="688">
        <f t="shared" ca="1" si="35"/>
        <v>0</v>
      </c>
      <c r="AI180" s="687">
        <f t="shared" ca="1" si="36"/>
        <v>0</v>
      </c>
      <c r="AJ180" s="689" t="str">
        <f t="shared" ca="1" si="37"/>
        <v/>
      </c>
      <c r="AK180" s="689">
        <f t="shared" ca="1" si="38"/>
        <v>0</v>
      </c>
      <c r="AL180" s="689" t="str">
        <f t="shared" ca="1" si="39"/>
        <v/>
      </c>
      <c r="AM180" s="690" t="str">
        <f t="shared" ca="1" si="40"/>
        <v/>
      </c>
      <c r="AN180" s="382"/>
      <c r="AO180" s="314"/>
      <c r="AP180" s="315" t="str">
        <f>IF(AB180=$V$3,IF(VLOOKUP(C180,[1]List1!$A:$E,5,FALSE)=0,1,VLOOKUP(C180,[1]List1!$A:$E,5,FALSE)),"")</f>
        <v/>
      </c>
      <c r="AW180" s="458">
        <f>IFERROR(FIND(VLOOKUP('General price list'!$AB$7,'General price list'!$AC$1:$AD$12,2,FALSE),Q180,1),0)</f>
        <v>16</v>
      </c>
      <c r="AX180" s="458">
        <f>IFERROR(FIND(VLOOKUP('General price list'!$AB$7,'General price list'!$AC$1:$AD$12,2,FALSE),R180,1),0)</f>
        <v>0</v>
      </c>
    </row>
    <row r="181" spans="1:50" ht="15" customHeight="1">
      <c r="A181" s="672" t="str">
        <f>Kat.!C181</f>
        <v xml:space="preserve">                                          Kleidung</v>
      </c>
      <c r="B181" s="692">
        <v>160</v>
      </c>
      <c r="C181" s="693"/>
      <c r="D181" s="693"/>
      <c r="E181" s="694"/>
      <c r="F181" s="695" t="str">
        <f>IFERROR(ROUND(VLOOKUP(C181,'General price list'!$C:$AN,4,FALSE),0),"")</f>
        <v/>
      </c>
      <c r="G181" s="696" t="str">
        <f t="shared" si="29"/>
        <v/>
      </c>
      <c r="H181" s="697" t="str">
        <f t="shared" si="30"/>
        <v/>
      </c>
      <c r="I181" s="837"/>
      <c r="J181" s="698"/>
      <c r="K181" s="856"/>
      <c r="L181" s="857"/>
      <c r="M181" s="698"/>
      <c r="N181" s="869" t="str">
        <f>IFERROR(IF(VLOOKUP($C181,'General price list'!$C:$AN,MATCH(N$20,'General price list'!$C$20:$AM$20,0),FALSE)=0,"",VLOOKUP($C181,'General price list'!$C:$AN,MATCH(N$20,'General price list'!$C$20:$AM$20,0),FALSE)),"")</f>
        <v/>
      </c>
      <c r="O181" s="837" t="str">
        <f>IFERROR(IF(VLOOKUP($C181,'General price list'!$C:$AN,MATCH(O$20,'General price list'!$C$20:$AM$20,0),FALSE)=0,"",VLOOKUP($C181,'General price list'!$C:$AN,MATCH(O$20,'General price list'!$C$20:$AM$20,0),FALSE)),"")</f>
        <v/>
      </c>
      <c r="P181" s="837" t="str">
        <f>IFERROR(IF(VLOOKUP($C181,'General price list'!$C:$AN,MATCH(P$20,'General price list'!$C$20:$AM$20,0),FALSE)=0,"",VLOOKUP($C181,'General price list'!$C:$AN,MATCH(P$20,'General price list'!$C$20:$AM$20,0),FALSE)),"")</f>
        <v/>
      </c>
      <c r="Q181" s="698"/>
      <c r="R181" s="698"/>
      <c r="S181" s="698"/>
      <c r="T181" s="695"/>
      <c r="U181" s="874"/>
      <c r="V181" s="699"/>
      <c r="W181" s="700" t="str">
        <f>IFERROR(VLOOKUP($C181,'General price list'!$C:$AN,MATCH(W$20,'General price list'!$C$20:$AM$20,0),FALSE),"")</f>
        <v/>
      </c>
      <c r="X181" s="891" t="str">
        <f t="shared" si="31"/>
        <v/>
      </c>
      <c r="Y181" s="892"/>
      <c r="Z181" s="700" t="str">
        <f>IFERROR(VLOOKUP($C181,'General price list'!$C:$AN,MATCH(Z$20,'General price list'!$C$20:$AM$20,0),FALSE),"")</f>
        <v/>
      </c>
      <c r="AA181" s="707"/>
      <c r="AB181" s="912" t="str">
        <f>IFERROR(IF(VLOOKUP(C181,[1]List1!$A:$D,2,FALSE)="VYPRODÁNO",$V$9,IF(VLOOKUP(C181,[1]List1!$A:$D,2,FALSE)="DOCHÁZÍ",$V$3,VLOOKUP(C181,[1]List1!$A:$D,2,FALSE))),"OFFLINE!")</f>
        <v>OFFLINE!</v>
      </c>
      <c r="AC181" s="912" t="str">
        <f ca="1">IF(AO181="NE",$V$10,IF(AB181=$V$3,IF(AP181&lt;1,$V$8,$V$2&amp;" "&amp;AP181&amp;" "&amp;$V$1),IF(AB181="SKLADEM",$V$6,IFERROR(IF(OR(AB181-TODAY()&gt;21,VLOOKUP(C181,[1]List1!$A:$E,4,FALSE)=0),AB181,DAY(AB181)&amp;"."&amp;MONTH(AB181)&amp;"."&amp;YEAR(AB181)&amp;" "&amp;$V$4&amp;VLOOKUP(C181,[1]List1!$A:$E,4,FALSE)&amp;" "&amp;$V$1),AB181))))</f>
        <v>OFFLINE!</v>
      </c>
      <c r="AD181" s="701" t="str">
        <f>_xlfn.IFNA(VLOOKUP(C181,'General price list'!C:AM,MATCH($AD$20,'General price list'!$C$20:$AM$20,0),FALSE),"")</f>
        <v/>
      </c>
      <c r="AE181" s="695" t="str">
        <f t="shared" si="32"/>
        <v/>
      </c>
      <c r="AF181" s="695" t="str">
        <f t="shared" si="33"/>
        <v/>
      </c>
      <c r="AG181" s="702" t="str">
        <f t="shared" si="34"/>
        <v/>
      </c>
      <c r="AH181" s="703" t="str">
        <f t="shared" si="35"/>
        <v/>
      </c>
      <c r="AI181" s="702" t="str">
        <f t="shared" si="36"/>
        <v/>
      </c>
      <c r="AJ181" s="704" t="str">
        <f t="shared" si="37"/>
        <v/>
      </c>
      <c r="AK181" s="704" t="str">
        <f t="shared" si="38"/>
        <v/>
      </c>
      <c r="AL181" s="704" t="str">
        <f t="shared" si="39"/>
        <v/>
      </c>
      <c r="AM181" s="705" t="str">
        <f t="shared" si="40"/>
        <v/>
      </c>
      <c r="AN181" s="381"/>
      <c r="AO181" s="314" t="str">
        <f>IF($R$3=1,IF(Y181=AA181,"","NE"),IF(#REF!=$V$10,"NE",""))</f>
        <v/>
      </c>
      <c r="AP181" s="315" t="str">
        <f>IF(AB181=$V$3,IF(VLOOKUP(C181,[1]List1!$A:$E,5,FALSE)=0,1,VLOOKUP(C181,[1]List1!$A:$E,5,FALSE)),"")</f>
        <v/>
      </c>
      <c r="AW181" s="291" t="e">
        <f>VLOOKUP(C181,'General price list'!C:AU,46,FALSE)</f>
        <v>#N/A</v>
      </c>
      <c r="AX181" s="291" t="e">
        <f>VLOOKUP(C181,'General price list'!C:AU,47,FALSE)</f>
        <v>#N/A</v>
      </c>
    </row>
    <row r="182" spans="1:50" ht="15" customHeight="1">
      <c r="A182" s="677" t="str">
        <f>Kat.!C182</f>
        <v>×</v>
      </c>
      <c r="B182" s="678">
        <v>161</v>
      </c>
      <c r="C182" s="679" t="s">
        <v>887</v>
      </c>
      <c r="D182" s="679" t="s">
        <v>13635</v>
      </c>
      <c r="E182" s="680" t="s">
        <v>129</v>
      </c>
      <c r="F182" s="681">
        <f>VLOOKUP(C182,[2]List1!$A:$D,2,FALSE)</f>
        <v>380</v>
      </c>
      <c r="G182" s="682">
        <f t="shared" si="29"/>
        <v>380</v>
      </c>
      <c r="H182" s="683">
        <f t="shared" si="30"/>
        <v>15.5</v>
      </c>
      <c r="I182" s="836">
        <v>1</v>
      </c>
      <c r="J182" s="680"/>
      <c r="K182" s="854"/>
      <c r="L182" s="855" t="s">
        <v>13622</v>
      </c>
      <c r="M182" s="680"/>
      <c r="N182" s="868">
        <f>IFERROR(VLOOKUP(C182,[3]List1!$A:$D,4,FALSE),"N/A!")</f>
        <v>0</v>
      </c>
      <c r="O182" s="836">
        <f>IFERROR(VLOOKUP(C182,[3]List1!$A:$D,3,FALSE),"N/A!")</f>
        <v>0</v>
      </c>
      <c r="P182" s="836">
        <f>IFERROR(VLOOKUP(C182,[3]List1!$A:$D,2,FALSE),"N/A!")</f>
        <v>225</v>
      </c>
      <c r="Q182" s="680" t="s">
        <v>24</v>
      </c>
      <c r="R182" s="680" t="s">
        <v>24</v>
      </c>
      <c r="S182" s="680"/>
      <c r="T182" s="681"/>
      <c r="U182" s="873"/>
      <c r="V182" s="684" t="str">
        <f>_xlfn.IFNA(HYPERLINK("https://www.klasekpyrotechnics.cz/tidb1l"),"")</f>
        <v>https://www.klasekpyrotechnics.cz/tidb1l</v>
      </c>
      <c r="W182" s="685" t="str">
        <f>IFERROR(VLOOKUP($C182,Popisy!A:P,MATCH($W$17,Popisy!$A$7:$P$7,0),FALSE),"---------------")</f>
        <v>Trikot Dumbum, gewicht 180g</v>
      </c>
      <c r="X182" s="889" t="str">
        <f t="shared" si="31"/>
        <v/>
      </c>
      <c r="Y182" s="890"/>
      <c r="Z182" s="685" t="str">
        <f>IFERROR(IF(VLOOKUP(C182,[4]List1!$A:$D,4,FALSE)=0,"",VLOOKUP(C182,[4]List1!$A:$D,4,FALSE)),"")</f>
        <v/>
      </c>
      <c r="AA182" s="707"/>
      <c r="AB182" s="911" t="str">
        <f>IFERROR(IF(VLOOKUP(C182,[1]List1!$A:$D,2,FALSE)="VYPRODÁNO",$V$9,IF(VLOOKUP(C182,[1]List1!$A:$D,2,FALSE)="DOCHÁZÍ",$V$3,VLOOKUP(C182,[1]List1!$A:$D,2,FALSE))),"OFFLINE!")</f>
        <v>SKLADEM</v>
      </c>
      <c r="AC182" s="911" t="str">
        <f ca="1">IF(AO182="NE",$V$10,IF(AB182=$V$3,IF(AP182&lt;1,$V$8,$V$2&amp;" "&amp;AP182&amp;" "&amp;$V$1),IF(AB182="SKLADEM",$V$6,IFERROR(IF(OR(AB182-TODAY()&gt;21,VLOOKUP(C182,[1]List1!$A:$E,4,FALSE)=0),AB182,DAY(AB182)&amp;"."&amp;MONTH(AB182)&amp;"."&amp;YEAR(AB182)&amp;" "&amp;$V$4&amp;VLOOKUP(C182,[1]List1!$A:$E,4,FALSE)&amp;" "&amp;$V$1),AB182))))</f>
        <v>AUF LAGER</v>
      </c>
      <c r="AD182" s="686" t="str">
        <f ca="1">_xlfn.IFNA(VLOOKUP(C182,'General price list'!C:AM,MATCH($AD$20,'General price list'!$C$20:$AM$20,0),FALSE),"")</f>
        <v>AUF LAGER</v>
      </c>
      <c r="AE182" s="681">
        <f t="shared" ca="1" si="32"/>
        <v>0</v>
      </c>
      <c r="AF182" s="681">
        <f t="shared" ca="1" si="33"/>
        <v>0</v>
      </c>
      <c r="AG182" s="687">
        <f t="shared" ca="1" si="34"/>
        <v>0</v>
      </c>
      <c r="AH182" s="688">
        <f t="shared" ca="1" si="35"/>
        <v>0</v>
      </c>
      <c r="AI182" s="687">
        <f t="shared" ca="1" si="36"/>
        <v>0</v>
      </c>
      <c r="AJ182" s="689" t="str">
        <f t="shared" ca="1" si="37"/>
        <v/>
      </c>
      <c r="AK182" s="689" t="str">
        <f t="shared" ca="1" si="38"/>
        <v/>
      </c>
      <c r="AL182" s="689" t="str">
        <f t="shared" ca="1" si="39"/>
        <v/>
      </c>
      <c r="AM182" s="690" t="str">
        <f t="shared" ca="1" si="40"/>
        <v/>
      </c>
      <c r="AN182" s="382"/>
      <c r="AO182" s="314" t="str">
        <f>IF($R$3=1,IF(Y182=AA182,"","NE"),IF(#REF!=$V$10,"NE",""))</f>
        <v/>
      </c>
      <c r="AP182" s="315" t="str">
        <f>IF(AB182=$V$3,IF(VLOOKUP(C182,[1]List1!$A:$E,5,FALSE)=0,1,VLOOKUP(C182,[1]List1!$A:$E,5,FALSE)),"")</f>
        <v/>
      </c>
      <c r="AW182" s="458">
        <f>IFERROR(FIND(VLOOKUP('General price list'!$AB$7,'General price list'!$AC$1:$AD$12,2,FALSE),Q182,1),0)</f>
        <v>0</v>
      </c>
      <c r="AX182" s="458">
        <f>IFERROR(FIND(VLOOKUP('General price list'!$AB$7,'General price list'!$AC$1:$AD$12,2,FALSE),R182,1),0)</f>
        <v>0</v>
      </c>
    </row>
    <row r="183" spans="1:50" ht="15" customHeight="1">
      <c r="A183" s="691" t="str">
        <f>Kat.!C183</f>
        <v>×</v>
      </c>
      <c r="B183" s="692">
        <v>162</v>
      </c>
      <c r="C183" s="693" t="s">
        <v>893</v>
      </c>
      <c r="D183" s="693" t="s">
        <v>894</v>
      </c>
      <c r="E183" s="694" t="s">
        <v>129</v>
      </c>
      <c r="F183" s="695">
        <f>VLOOKUP(C183,[2]List1!$A:$D,2,FALSE)</f>
        <v>880</v>
      </c>
      <c r="G183" s="696">
        <f t="shared" si="29"/>
        <v>880</v>
      </c>
      <c r="H183" s="697">
        <f t="shared" si="30"/>
        <v>35.799999999999997</v>
      </c>
      <c r="I183" s="837">
        <v>1</v>
      </c>
      <c r="J183" s="698"/>
      <c r="K183" s="856"/>
      <c r="L183" s="857" t="s">
        <v>13622</v>
      </c>
      <c r="M183" s="698"/>
      <c r="N183" s="869">
        <f>IFERROR(VLOOKUP(C183,[3]List1!$A:$D,4,FALSE),"N/A!")</f>
        <v>0</v>
      </c>
      <c r="O183" s="837">
        <f>IFERROR(VLOOKUP(C183,[3]List1!$A:$D,3,FALSE),"N/A!")</f>
        <v>0</v>
      </c>
      <c r="P183" s="837">
        <f>IFERROR(VLOOKUP(C183,[3]List1!$A:$D,2,FALSE),"N/A!")</f>
        <v>257</v>
      </c>
      <c r="Q183" s="698" t="s">
        <v>24</v>
      </c>
      <c r="R183" s="698" t="s">
        <v>24</v>
      </c>
      <c r="S183" s="698"/>
      <c r="T183" s="695"/>
      <c r="U183" s="874"/>
      <c r="V183" s="699" t="str">
        <f>_xlfn.IFNA(HYPERLINK("https://www.klasekpyrotechnics.cz/tpd1l"),"")</f>
        <v>https://www.klasekpyrotechnics.cz/tpd1l</v>
      </c>
      <c r="W183" s="700" t="str">
        <f>IFERROR(VLOOKUP($C183,Popisy!A:P,MATCH($W$17,Popisy!$A$7:$P$7,0),FALSE),"---------------")</f>
        <v>Polo-Trikot Dumbum, gewicht 225g</v>
      </c>
      <c r="X183" s="891" t="str">
        <f t="shared" si="31"/>
        <v/>
      </c>
      <c r="Y183" s="892"/>
      <c r="Z183" s="700" t="str">
        <f>IFERROR(IF(VLOOKUP(C183,[4]List1!$A:$D,4,FALSE)=0,"",VLOOKUP(C183,[4]List1!$A:$D,4,FALSE)),"")</f>
        <v/>
      </c>
      <c r="AA183" s="707"/>
      <c r="AB183" s="912" t="str">
        <f>IFERROR(IF(VLOOKUP(C183,[1]List1!$A:$D,2,FALSE)="VYPRODÁNO",$V$9,IF(VLOOKUP(C183,[1]List1!$A:$D,2,FALSE)="DOCHÁZÍ",$V$3,VLOOKUP(C183,[1]List1!$A:$D,2,FALSE))),"OFFLINE!")</f>
        <v>SKLADEM</v>
      </c>
      <c r="AC183" s="912" t="str">
        <f ca="1">IF(AO183="NE",$V$10,IF(AB183=$V$3,IF(AP183&lt;1,$V$8,$V$2&amp;" "&amp;AP183&amp;" "&amp;$V$1),IF(AB183="SKLADEM",$V$6,IFERROR(IF(OR(AB183-TODAY()&gt;21,VLOOKUP(C183,[1]List1!$A:$E,4,FALSE)=0),AB183,DAY(AB183)&amp;"."&amp;MONTH(AB183)&amp;"."&amp;YEAR(AB183)&amp;" "&amp;$V$4&amp;VLOOKUP(C183,[1]List1!$A:$E,4,FALSE)&amp;" "&amp;$V$1),AB183))))</f>
        <v>AUF LAGER</v>
      </c>
      <c r="AD183" s="701" t="str">
        <f ca="1">_xlfn.IFNA(VLOOKUP(C183,'General price list'!C:AM,MATCH($AD$20,'General price list'!$C$20:$AM$20,0),FALSE),"")</f>
        <v>AUF LAGER</v>
      </c>
      <c r="AE183" s="695">
        <f t="shared" ca="1" si="32"/>
        <v>0</v>
      </c>
      <c r="AF183" s="695">
        <f t="shared" ca="1" si="33"/>
        <v>0</v>
      </c>
      <c r="AG183" s="702">
        <f t="shared" ca="1" si="34"/>
        <v>0</v>
      </c>
      <c r="AH183" s="703">
        <f t="shared" ca="1" si="35"/>
        <v>0</v>
      </c>
      <c r="AI183" s="702">
        <f t="shared" ca="1" si="36"/>
        <v>0</v>
      </c>
      <c r="AJ183" s="704" t="str">
        <f t="shared" ca="1" si="37"/>
        <v/>
      </c>
      <c r="AK183" s="704" t="str">
        <f t="shared" ca="1" si="38"/>
        <v/>
      </c>
      <c r="AL183" s="704" t="str">
        <f t="shared" ca="1" si="39"/>
        <v/>
      </c>
      <c r="AM183" s="705" t="str">
        <f t="shared" ca="1" si="40"/>
        <v/>
      </c>
      <c r="AN183" s="313"/>
      <c r="AO183" s="314" t="str">
        <f>IF($R$3=1,IF(Y183=AA183,"","NE"),IF(#REF!=$V$10,"NE",""))</f>
        <v/>
      </c>
      <c r="AP183" s="315" t="str">
        <f>IF(AB183=$V$3,IF(VLOOKUP(C183,[1]List1!$A:$E,5,FALSE)=0,1,VLOOKUP(C183,[1]List1!$A:$E,5,FALSE)),"")</f>
        <v/>
      </c>
      <c r="AW183" s="458">
        <f>IFERROR(FIND(VLOOKUP('General price list'!$AB$7,'General price list'!$AC$1:$AD$12,2,FALSE),Q183,1),0)</f>
        <v>0</v>
      </c>
      <c r="AX183" s="458">
        <f>IFERROR(FIND(VLOOKUP('General price list'!$AB$7,'General price list'!$AC$1:$AD$12,2,FALSE),R183,1),0)</f>
        <v>0</v>
      </c>
    </row>
    <row r="184" spans="1:50" ht="15" customHeight="1">
      <c r="A184" s="677" t="str">
        <f>Kat.!C184</f>
        <v>×</v>
      </c>
      <c r="B184" s="678">
        <v>163</v>
      </c>
      <c r="C184" s="679" t="s">
        <v>895</v>
      </c>
      <c r="D184" s="679" t="s">
        <v>896</v>
      </c>
      <c r="E184" s="680" t="s">
        <v>129</v>
      </c>
      <c r="F184" s="681">
        <f>VLOOKUP(C184,[2]List1!$A:$D,2,FALSE)</f>
        <v>880</v>
      </c>
      <c r="G184" s="682">
        <f t="shared" si="29"/>
        <v>880</v>
      </c>
      <c r="H184" s="683">
        <f t="shared" si="30"/>
        <v>35.799999999999997</v>
      </c>
      <c r="I184" s="836">
        <v>1</v>
      </c>
      <c r="J184" s="680"/>
      <c r="K184" s="854"/>
      <c r="L184" s="855" t="s">
        <v>13622</v>
      </c>
      <c r="M184" s="680"/>
      <c r="N184" s="868">
        <f>IFERROR(VLOOKUP(C184,[3]List1!$A:$D,4,FALSE),"N/A!")</f>
        <v>0</v>
      </c>
      <c r="O184" s="836">
        <f>IFERROR(VLOOKUP(C184,[3]List1!$A:$D,3,FALSE),"N/A!")</f>
        <v>0</v>
      </c>
      <c r="P184" s="836">
        <f>IFERROR(VLOOKUP(C184,[3]List1!$A:$D,2,FALSE),"N/A!")</f>
        <v>283</v>
      </c>
      <c r="Q184" s="680" t="s">
        <v>24</v>
      </c>
      <c r="R184" s="680" t="s">
        <v>24</v>
      </c>
      <c r="S184" s="680"/>
      <c r="T184" s="681"/>
      <c r="U184" s="873"/>
      <c r="V184" s="684" t="str">
        <f>_xlfn.IFNA(HYPERLINK("https://www.klasekpyrotechnics.cz/tpd1xl"),"")</f>
        <v>https://www.klasekpyrotechnics.cz/tpd1xl</v>
      </c>
      <c r="W184" s="685" t="str">
        <f>IFERROR(VLOOKUP($C184,Popisy!A:P,MATCH($W$17,Popisy!$A$7:$P$7,0),FALSE),"---------------")</f>
        <v>Polo-Trikot Dumbum, gewicht 225g</v>
      </c>
      <c r="X184" s="889" t="str">
        <f t="shared" si="31"/>
        <v/>
      </c>
      <c r="Y184" s="890"/>
      <c r="Z184" s="685" t="str">
        <f>IFERROR(IF(VLOOKUP(C184,[4]List1!$A:$D,4,FALSE)=0,"",VLOOKUP(C184,[4]List1!$A:$D,4,FALSE)),"")</f>
        <v/>
      </c>
      <c r="AA184" s="707"/>
      <c r="AB184" s="911" t="str">
        <f>IFERROR(IF(VLOOKUP(C184,[1]List1!$A:$D,2,FALSE)="VYPRODÁNO",$V$9,IF(VLOOKUP(C184,[1]List1!$A:$D,2,FALSE)="DOCHÁZÍ",$V$3,VLOOKUP(C184,[1]List1!$A:$D,2,FALSE))),"OFFLINE!")</f>
        <v>SKLADEM</v>
      </c>
      <c r="AC184" s="911" t="str">
        <f ca="1">IF(AO184="NE",$V$10,IF(AB184=$V$3,IF(AP184&lt;1,$V$8,$V$2&amp;" "&amp;AP184&amp;" "&amp;$V$1),IF(AB184="SKLADEM",$V$6,IFERROR(IF(OR(AB184-TODAY()&gt;21,VLOOKUP(C184,[1]List1!$A:$E,4,FALSE)=0),AB184,DAY(AB184)&amp;"."&amp;MONTH(AB184)&amp;"."&amp;YEAR(AB184)&amp;" "&amp;$V$4&amp;VLOOKUP(C184,[1]List1!$A:$E,4,FALSE)&amp;" "&amp;$V$1),AB184))))</f>
        <v>AUF LAGER</v>
      </c>
      <c r="AD184" s="686" t="str">
        <f ca="1">_xlfn.IFNA(VLOOKUP(C184,'General price list'!C:AM,MATCH($AD$20,'General price list'!$C$20:$AM$20,0),FALSE),"")</f>
        <v>AUF LAGER</v>
      </c>
      <c r="AE184" s="681">
        <f t="shared" ca="1" si="32"/>
        <v>0</v>
      </c>
      <c r="AF184" s="681">
        <f t="shared" ca="1" si="33"/>
        <v>0</v>
      </c>
      <c r="AG184" s="687">
        <f t="shared" ca="1" si="34"/>
        <v>0</v>
      </c>
      <c r="AH184" s="688">
        <f t="shared" ca="1" si="35"/>
        <v>0</v>
      </c>
      <c r="AI184" s="687">
        <f t="shared" ca="1" si="36"/>
        <v>0</v>
      </c>
      <c r="AJ184" s="689" t="str">
        <f t="shared" ca="1" si="37"/>
        <v/>
      </c>
      <c r="AK184" s="689" t="str">
        <f t="shared" ca="1" si="38"/>
        <v/>
      </c>
      <c r="AL184" s="689" t="str">
        <f t="shared" ca="1" si="39"/>
        <v/>
      </c>
      <c r="AM184" s="690" t="str">
        <f t="shared" ca="1" si="40"/>
        <v/>
      </c>
      <c r="AN184" s="382"/>
      <c r="AO184" s="314" t="str">
        <f>IF($R$3=1,IF(Y184=AA184,"","NE"),IF(#REF!=$V$10,"NE",""))</f>
        <v/>
      </c>
      <c r="AP184" s="315" t="str">
        <f>IF(AB184=$V$3,IF(VLOOKUP(C184,[1]List1!$A:$E,5,FALSE)=0,1,VLOOKUP(C184,[1]List1!$A:$E,5,FALSE)),"")</f>
        <v/>
      </c>
      <c r="AW184" s="458">
        <f>IFERROR(FIND(VLOOKUP('General price list'!$AB$7,'General price list'!$AC$1:$AD$12,2,FALSE),Q184,1),0)</f>
        <v>0</v>
      </c>
      <c r="AX184" s="458">
        <f>IFERROR(FIND(VLOOKUP('General price list'!$AB$7,'General price list'!$AC$1:$AD$12,2,FALSE),R184,1),0)</f>
        <v>0</v>
      </c>
    </row>
    <row r="185" spans="1:50" ht="15" customHeight="1">
      <c r="A185" s="691" t="str">
        <f>Kat.!C185</f>
        <v>×</v>
      </c>
      <c r="B185" s="692">
        <v>164</v>
      </c>
      <c r="C185" s="693" t="s">
        <v>897</v>
      </c>
      <c r="D185" s="693" t="s">
        <v>898</v>
      </c>
      <c r="E185" s="694" t="s">
        <v>129</v>
      </c>
      <c r="F185" s="695">
        <f>VLOOKUP(C185,[2]List1!$A:$D,2,FALSE)</f>
        <v>1800</v>
      </c>
      <c r="G185" s="696">
        <f t="shared" si="29"/>
        <v>1800</v>
      </c>
      <c r="H185" s="697">
        <f t="shared" si="30"/>
        <v>73.2</v>
      </c>
      <c r="I185" s="837">
        <v>1</v>
      </c>
      <c r="J185" s="698"/>
      <c r="K185" s="856"/>
      <c r="L185" s="857" t="s">
        <v>13622</v>
      </c>
      <c r="M185" s="698"/>
      <c r="N185" s="869">
        <f>IFERROR(VLOOKUP(C185,[3]List1!$A:$D,4,FALSE),"N/A!")</f>
        <v>0</v>
      </c>
      <c r="O185" s="837">
        <f>IFERROR(VLOOKUP(C185,[3]List1!$A:$D,3,FALSE),"N/A!")</f>
        <v>0</v>
      </c>
      <c r="P185" s="837">
        <f>IFERROR(VLOOKUP(C185,[3]List1!$A:$D,2,FALSE),"N/A!")</f>
        <v>823</v>
      </c>
      <c r="Q185" s="698" t="s">
        <v>24</v>
      </c>
      <c r="R185" s="698" t="s">
        <v>24</v>
      </c>
      <c r="S185" s="698"/>
      <c r="T185" s="695"/>
      <c r="U185" s="874"/>
      <c r="V185" s="699" t="str">
        <f>_xlfn.IFNA(HYPERLINK("https://www.klasekpyrotechnics.cz/bd1l"),"")</f>
        <v>https://www.klasekpyrotechnics.cz/bd1l</v>
      </c>
      <c r="W185" s="700" t="str">
        <f>IFERROR(VLOOKUP($C185,Popisy!A:P,MATCH($W$17,Popisy!$A$7:$P$7,0),FALSE),"---------------")</f>
        <v>Jacke fleece Dumbum, Gewicht 600g</v>
      </c>
      <c r="X185" s="891" t="str">
        <f t="shared" si="31"/>
        <v/>
      </c>
      <c r="Y185" s="892"/>
      <c r="Z185" s="700" t="str">
        <f>IFERROR(IF(VLOOKUP(C185,[4]List1!$A:$D,4,FALSE)=0,"",VLOOKUP(C185,[4]List1!$A:$D,4,FALSE)),"")</f>
        <v/>
      </c>
      <c r="AA185" s="707"/>
      <c r="AB185" s="912" t="str">
        <f>IFERROR(IF(VLOOKUP(C185,[1]List1!$A:$D,2,FALSE)="VYPRODÁNO",$V$9,IF(VLOOKUP(C185,[1]List1!$A:$D,2,FALSE)="DOCHÁZÍ",$V$3,VLOOKUP(C185,[1]List1!$A:$D,2,FALSE))),"OFFLINE!")</f>
        <v>LETZTE STÜCKE</v>
      </c>
      <c r="AC185" s="912" t="str">
        <f ca="1">IF(AO185="NE",$V$10,IF(AB185=$V$3,IF(AP185&lt;1,$V$8,$V$2&amp;" "&amp;AP185&amp;" "&amp;$V$1),IF(AB185="SKLADEM",$V$6,IFERROR(IF(OR(AB185-TODAY()&gt;21,VLOOKUP(C185,[1]List1!$A:$E,4,FALSE)=0),AB185,DAY(AB185)&amp;"."&amp;MONTH(AB185)&amp;"."&amp;YEAR(AB185)&amp;" "&amp;$V$4&amp;VLOOKUP(C185,[1]List1!$A:$E,4,FALSE)&amp;" "&amp;$V$1),AB185))))</f>
        <v>LETZTE 1 KTN</v>
      </c>
      <c r="AD185" s="701" t="str">
        <f ca="1">_xlfn.IFNA(VLOOKUP(C185,'General price list'!C:AM,MATCH($AD$20,'General price list'!$C$20:$AM$20,0),FALSE),"")</f>
        <v>LETZTE 1 KTN</v>
      </c>
      <c r="AE185" s="695">
        <f t="shared" ca="1" si="32"/>
        <v>0</v>
      </c>
      <c r="AF185" s="695">
        <f t="shared" ca="1" si="33"/>
        <v>0</v>
      </c>
      <c r="AG185" s="702">
        <f t="shared" ca="1" si="34"/>
        <v>0</v>
      </c>
      <c r="AH185" s="703">
        <f t="shared" ca="1" si="35"/>
        <v>0</v>
      </c>
      <c r="AI185" s="702">
        <f t="shared" ca="1" si="36"/>
        <v>0</v>
      </c>
      <c r="AJ185" s="704" t="str">
        <f t="shared" ca="1" si="37"/>
        <v/>
      </c>
      <c r="AK185" s="704" t="str">
        <f t="shared" ca="1" si="38"/>
        <v/>
      </c>
      <c r="AL185" s="704" t="str">
        <f t="shared" ca="1" si="39"/>
        <v/>
      </c>
      <c r="AM185" s="705" t="str">
        <f t="shared" ca="1" si="40"/>
        <v/>
      </c>
      <c r="AN185" s="381"/>
      <c r="AO185" s="314" t="str">
        <f>IF($R$3=1,IF(Y185=AA185,"","NE"),IF(#REF!=$V$10,"NE",""))</f>
        <v/>
      </c>
      <c r="AP185" s="315">
        <f>IF(AB185=$V$3,IF(VLOOKUP(C185,[1]List1!$A:$E,5,FALSE)=0,1,VLOOKUP(C185,[1]List1!$A:$E,5,FALSE)),"")</f>
        <v>1</v>
      </c>
      <c r="AW185" s="458">
        <f>IFERROR(FIND(VLOOKUP('General price list'!$AB$7,'General price list'!$AC$1:$AD$12,2,FALSE),Q185,1),0)</f>
        <v>0</v>
      </c>
      <c r="AX185" s="458">
        <f>IFERROR(FIND(VLOOKUP('General price list'!$AB$7,'General price list'!$AC$1:$AD$12,2,FALSE),R185,1),0)</f>
        <v>0</v>
      </c>
    </row>
    <row r="186" spans="1:50" ht="15" customHeight="1">
      <c r="A186" s="677" t="str">
        <f>Kat.!C186</f>
        <v>×</v>
      </c>
      <c r="B186" s="678">
        <v>165</v>
      </c>
      <c r="C186" s="679" t="s">
        <v>903</v>
      </c>
      <c r="D186" s="679" t="s">
        <v>904</v>
      </c>
      <c r="E186" s="680" t="s">
        <v>129</v>
      </c>
      <c r="F186" s="681">
        <f>VLOOKUP(C186,[2]List1!$A:$D,2,FALSE)</f>
        <v>1800</v>
      </c>
      <c r="G186" s="682">
        <f t="shared" si="29"/>
        <v>1800</v>
      </c>
      <c r="H186" s="683">
        <f t="shared" si="30"/>
        <v>73.2</v>
      </c>
      <c r="I186" s="836">
        <v>1</v>
      </c>
      <c r="J186" s="680"/>
      <c r="K186" s="854"/>
      <c r="L186" s="855" t="s">
        <v>13622</v>
      </c>
      <c r="M186" s="680"/>
      <c r="N186" s="868">
        <f>IFERROR(VLOOKUP(C186,[3]List1!$A:$D,4,FALSE),"N/A!")</f>
        <v>0</v>
      </c>
      <c r="O186" s="836">
        <f>IFERROR(VLOOKUP(C186,[3]List1!$A:$D,3,FALSE),"N/A!")</f>
        <v>0</v>
      </c>
      <c r="P186" s="836">
        <f>IFERROR(VLOOKUP(C186,[3]List1!$A:$D,2,FALSE),"N/A!")</f>
        <v>912</v>
      </c>
      <c r="Q186" s="680" t="s">
        <v>24</v>
      </c>
      <c r="R186" s="680" t="s">
        <v>24</v>
      </c>
      <c r="S186" s="680"/>
      <c r="T186" s="681"/>
      <c r="U186" s="873"/>
      <c r="V186" s="684" t="str">
        <f>_xlfn.IFNA(HYPERLINK("https://www.klasekpyrotechnics.cz/bd1xxl"),"")</f>
        <v>https://www.klasekpyrotechnics.cz/bd1xxl</v>
      </c>
      <c r="W186" s="685" t="str">
        <f>IFERROR(VLOOKUP($C186,Popisy!A:P,MATCH($W$17,Popisy!$A$7:$P$7,0),FALSE),"---------------")</f>
        <v>Jacke fleece Dumbum, Gewicht 600g</v>
      </c>
      <c r="X186" s="889" t="str">
        <f t="shared" si="31"/>
        <v/>
      </c>
      <c r="Y186" s="890"/>
      <c r="Z186" s="685" t="str">
        <f>IFERROR(IF(VLOOKUP(C186,[4]List1!$A:$D,4,FALSE)=0,"",VLOOKUP(C186,[4]List1!$A:$D,4,FALSE)),"")</f>
        <v/>
      </c>
      <c r="AA186" s="707"/>
      <c r="AB186" s="911" t="str">
        <f>IFERROR(IF(VLOOKUP(C186,[1]List1!$A:$D,2,FALSE)="VYPRODÁNO",$V$9,IF(VLOOKUP(C186,[1]List1!$A:$D,2,FALSE)="DOCHÁZÍ",$V$3,VLOOKUP(C186,[1]List1!$A:$D,2,FALSE))),"OFFLINE!")</f>
        <v>SKLADEM</v>
      </c>
      <c r="AC186" s="911" t="str">
        <f ca="1">IF(AO186="NE",$V$10,IF(AB186=$V$3,IF(AP186&lt;1,$V$8,$V$2&amp;" "&amp;AP186&amp;" "&amp;$V$1),IF(AB186="SKLADEM",$V$6,IFERROR(IF(OR(AB186-TODAY()&gt;21,VLOOKUP(C186,[1]List1!$A:$E,4,FALSE)=0),AB186,DAY(AB186)&amp;"."&amp;MONTH(AB186)&amp;"."&amp;YEAR(AB186)&amp;" "&amp;$V$4&amp;VLOOKUP(C186,[1]List1!$A:$E,4,FALSE)&amp;" "&amp;$V$1),AB186))))</f>
        <v>AUF LAGER</v>
      </c>
      <c r="AD186" s="686" t="str">
        <f ca="1">_xlfn.IFNA(VLOOKUP(C186,'General price list'!C:AM,MATCH($AD$20,'General price list'!$C$20:$AM$20,0),FALSE),"")</f>
        <v>AUF LAGER</v>
      </c>
      <c r="AE186" s="681">
        <f t="shared" ca="1" si="32"/>
        <v>0</v>
      </c>
      <c r="AF186" s="681">
        <f t="shared" ca="1" si="33"/>
        <v>0</v>
      </c>
      <c r="AG186" s="687">
        <f t="shared" ca="1" si="34"/>
        <v>0</v>
      </c>
      <c r="AH186" s="688">
        <f t="shared" ca="1" si="35"/>
        <v>0</v>
      </c>
      <c r="AI186" s="687">
        <f t="shared" ca="1" si="36"/>
        <v>0</v>
      </c>
      <c r="AJ186" s="689" t="str">
        <f t="shared" ca="1" si="37"/>
        <v/>
      </c>
      <c r="AK186" s="689" t="str">
        <f t="shared" ca="1" si="38"/>
        <v/>
      </c>
      <c r="AL186" s="689" t="str">
        <f t="shared" ca="1" si="39"/>
        <v/>
      </c>
      <c r="AM186" s="690" t="str">
        <f t="shared" ca="1" si="40"/>
        <v/>
      </c>
      <c r="AN186" s="313"/>
      <c r="AO186" s="314" t="str">
        <f>IF($R$3=1,IF(Y186=AA186,"","NE"),IF(#REF!=$V$10,"NE",""))</f>
        <v/>
      </c>
      <c r="AP186" s="315" t="str">
        <f>IF(AB186=$V$3,IF(VLOOKUP(C186,[1]List1!$A:$E,5,FALSE)=0,1,VLOOKUP(C186,[1]List1!$A:$E,5,FALSE)),"")</f>
        <v/>
      </c>
      <c r="AW186" s="458">
        <f>IFERROR(FIND(VLOOKUP('General price list'!$AB$7,'General price list'!$AC$1:$AD$12,2,FALSE),Q186,1),0)</f>
        <v>0</v>
      </c>
      <c r="AX186" s="458">
        <f>IFERROR(FIND(VLOOKUP('General price list'!$AB$7,'General price list'!$AC$1:$AD$12,2,FALSE),R186,1),0)</f>
        <v>0</v>
      </c>
    </row>
    <row r="187" spans="1:50" ht="15" customHeight="1">
      <c r="A187" s="672" t="str">
        <f>Kat.!C187</f>
        <v xml:space="preserve">                                          Kleidung Dumbum Limitierte Auflage</v>
      </c>
      <c r="B187" s="692">
        <v>166</v>
      </c>
      <c r="C187" s="693"/>
      <c r="D187" s="693"/>
      <c r="E187" s="694"/>
      <c r="F187" s="695" t="str">
        <f>IFERROR(ROUND(VLOOKUP(C187,'General price list'!$C:$AN,4,FALSE),0),"")</f>
        <v/>
      </c>
      <c r="G187" s="696" t="str">
        <f t="shared" si="29"/>
        <v/>
      </c>
      <c r="H187" s="697" t="str">
        <f t="shared" si="30"/>
        <v/>
      </c>
      <c r="I187" s="837"/>
      <c r="J187" s="698"/>
      <c r="K187" s="856"/>
      <c r="L187" s="857"/>
      <c r="M187" s="698"/>
      <c r="N187" s="869" t="str">
        <f>IFERROR(IF(VLOOKUP($C187,'General price list'!$C:$AN,MATCH(N$20,'General price list'!$C$20:$AM$20,0),FALSE)=0,"",VLOOKUP($C187,'General price list'!$C:$AN,MATCH(N$20,'General price list'!$C$20:$AM$20,0),FALSE)),"")</f>
        <v/>
      </c>
      <c r="O187" s="837" t="str">
        <f>IFERROR(IF(VLOOKUP($C187,'General price list'!$C:$AN,MATCH(O$20,'General price list'!$C$20:$AM$20,0),FALSE)=0,"",VLOOKUP($C187,'General price list'!$C:$AN,MATCH(O$20,'General price list'!$C$20:$AM$20,0),FALSE)),"")</f>
        <v/>
      </c>
      <c r="P187" s="837" t="str">
        <f>IFERROR(IF(VLOOKUP($C187,'General price list'!$C:$AN,MATCH(P$20,'General price list'!$C$20:$AM$20,0),FALSE)=0,"",VLOOKUP($C187,'General price list'!$C:$AN,MATCH(P$20,'General price list'!$C$20:$AM$20,0),FALSE)),"")</f>
        <v/>
      </c>
      <c r="Q187" s="698"/>
      <c r="R187" s="698"/>
      <c r="S187" s="698"/>
      <c r="T187" s="695"/>
      <c r="U187" s="874"/>
      <c r="V187" s="699"/>
      <c r="W187" s="700" t="str">
        <f>IFERROR(VLOOKUP($C187,'General price list'!$C:$AN,MATCH(W$20,'General price list'!$C$20:$AM$20,0),FALSE),"")</f>
        <v/>
      </c>
      <c r="X187" s="891" t="str">
        <f t="shared" si="31"/>
        <v/>
      </c>
      <c r="Y187" s="892"/>
      <c r="Z187" s="700" t="str">
        <f>IFERROR(VLOOKUP($C187,'General price list'!$C:$AN,MATCH(Z$20,'General price list'!$C$20:$AM$20,0),FALSE),"")</f>
        <v/>
      </c>
      <c r="AA187" s="707"/>
      <c r="AB187" s="912" t="str">
        <f>IFERROR(IF(VLOOKUP(C187,[1]List1!$A:$D,2,FALSE)="VYPRODÁNO",$V$9,IF(VLOOKUP(C187,[1]List1!$A:$D,2,FALSE)="DOCHÁZÍ",$V$3,VLOOKUP(C187,[1]List1!$A:$D,2,FALSE))),"OFFLINE!")</f>
        <v>OFFLINE!</v>
      </c>
      <c r="AC187" s="912" t="str">
        <f ca="1">IF(AO187="NE",$V$10,IF(AB187=$V$3,IF(AP187&lt;1,$V$8,$V$2&amp;" "&amp;AP187&amp;" "&amp;$V$1),IF(AB187="SKLADEM",$V$6,IFERROR(IF(OR(AB187-TODAY()&gt;21,VLOOKUP(C187,[1]List1!$A:$E,4,FALSE)=0),AB187,DAY(AB187)&amp;"."&amp;MONTH(AB187)&amp;"."&amp;YEAR(AB187)&amp;" "&amp;$V$4&amp;VLOOKUP(C187,[1]List1!$A:$E,4,FALSE)&amp;" "&amp;$V$1),AB187))))</f>
        <v>OFFLINE!</v>
      </c>
      <c r="AD187" s="701" t="str">
        <f>_xlfn.IFNA(VLOOKUP(C187,'General price list'!C:AM,MATCH($AD$20,'General price list'!$C$20:$AM$20,0),FALSE),"")</f>
        <v/>
      </c>
      <c r="AE187" s="695" t="str">
        <f t="shared" si="32"/>
        <v/>
      </c>
      <c r="AF187" s="695" t="str">
        <f t="shared" si="33"/>
        <v/>
      </c>
      <c r="AG187" s="702" t="str">
        <f t="shared" si="34"/>
        <v/>
      </c>
      <c r="AH187" s="703" t="str">
        <f t="shared" si="35"/>
        <v/>
      </c>
      <c r="AI187" s="702" t="str">
        <f t="shared" si="36"/>
        <v/>
      </c>
      <c r="AJ187" s="704" t="str">
        <f t="shared" si="37"/>
        <v/>
      </c>
      <c r="AK187" s="704" t="str">
        <f t="shared" si="38"/>
        <v/>
      </c>
      <c r="AL187" s="704" t="str">
        <f t="shared" si="39"/>
        <v/>
      </c>
      <c r="AM187" s="705" t="str">
        <f t="shared" si="40"/>
        <v/>
      </c>
      <c r="AN187" s="382"/>
      <c r="AO187" s="314" t="str">
        <f>IF($R$3=1,IF(Y187=AA187,"","NE"),IF(#REF!=$V$10,"NE",""))</f>
        <v/>
      </c>
      <c r="AP187" s="315" t="str">
        <f>IF(AB187=$V$3,IF(VLOOKUP(C187,[1]List1!$A:$E,5,FALSE)=0,1,VLOOKUP(C187,[1]List1!$A:$E,5,FALSE)),"")</f>
        <v/>
      </c>
      <c r="AW187" s="291" t="e">
        <f>VLOOKUP(C187,'General price list'!C:AU,46,FALSE)</f>
        <v>#N/A</v>
      </c>
      <c r="AX187" s="291" t="e">
        <f>VLOOKUP(C187,'General price list'!C:AU,47,FALSE)</f>
        <v>#N/A</v>
      </c>
    </row>
    <row r="188" spans="1:50" ht="15" customHeight="1">
      <c r="A188" s="677" t="str">
        <f>Kat.!C188</f>
        <v xml:space="preserve">                                          </v>
      </c>
      <c r="B188" s="678">
        <v>167</v>
      </c>
      <c r="C188" s="679" t="s">
        <v>2449</v>
      </c>
      <c r="D188" s="679" t="s">
        <v>2450</v>
      </c>
      <c r="E188" s="680" t="s">
        <v>129</v>
      </c>
      <c r="F188" s="681">
        <f>VLOOKUP(C188,[2]List1!$A:$D,2,FALSE)</f>
        <v>380</v>
      </c>
      <c r="G188" s="682">
        <f t="shared" si="29"/>
        <v>380</v>
      </c>
      <c r="H188" s="683">
        <f t="shared" si="30"/>
        <v>15.5</v>
      </c>
      <c r="I188" s="836">
        <v>1</v>
      </c>
      <c r="J188" s="680"/>
      <c r="K188" s="854"/>
      <c r="L188" s="855" t="s">
        <v>13622</v>
      </c>
      <c r="M188" s="680"/>
      <c r="N188" s="868">
        <f>IFERROR(VLOOKUP(C188,[3]List1!$A:$D,4,FALSE),"N/A!")</f>
        <v>0</v>
      </c>
      <c r="O188" s="836">
        <f>IFERROR(VLOOKUP(C188,[3]List1!$A:$D,3,FALSE),"N/A!")</f>
        <v>0</v>
      </c>
      <c r="P188" s="836">
        <f>IFERROR(VLOOKUP(C188,[3]List1!$A:$D,2,FALSE),"N/A!")</f>
        <v>165</v>
      </c>
      <c r="Q188" s="680" t="s">
        <v>24</v>
      </c>
      <c r="R188" s="680" t="s">
        <v>24</v>
      </c>
      <c r="S188" s="680"/>
      <c r="T188" s="681"/>
      <c r="U188" s="873"/>
      <c r="V188" s="684" t="str">
        <f>_xlfn.IFNA(HYPERLINK("https://www.klasekpyrotechnics.cz/tdle1m"),"")</f>
        <v>https://www.klasekpyrotechnics.cz/tdle1m</v>
      </c>
      <c r="W188" s="685" t="str">
        <f>IFERROR(VLOOKUP($C188,Popisy!A:P,MATCH($W$17,Popisy!$A$7:$P$7,0),FALSE),"---------------")</f>
        <v>Dumbum T-shirt M - limited edition</v>
      </c>
      <c r="X188" s="889" t="str">
        <f t="shared" si="31"/>
        <v/>
      </c>
      <c r="Y188" s="890"/>
      <c r="Z188" s="685" t="str">
        <f>IFERROR(IF(VLOOKUP(C188,[4]List1!$A:$D,4,FALSE)=0,"",VLOOKUP(C188,[4]List1!$A:$D,4,FALSE)),"")</f>
        <v/>
      </c>
      <c r="AA188" s="707"/>
      <c r="AB188" s="911" t="str">
        <f>IFERROR(IF(VLOOKUP(C188,[1]List1!$A:$D,2,FALSE)="VYPRODÁNO",$V$9,IF(VLOOKUP(C188,[1]List1!$A:$D,2,FALSE)="DOCHÁZÍ",$V$3,VLOOKUP(C188,[1]List1!$A:$D,2,FALSE))),"OFFLINE!")</f>
        <v>SKLADEM</v>
      </c>
      <c r="AC188" s="911" t="str">
        <f ca="1">IF(AO188="NE",$V$10,IF(AB188=$V$3,IF(AP188&lt;1,$V$8,$V$2&amp;" "&amp;AP188&amp;" "&amp;$V$1),IF(AB188="SKLADEM",$V$6,IFERROR(IF(OR(AB188-TODAY()&gt;21,VLOOKUP(C188,[1]List1!$A:$E,4,FALSE)=0),AB188,DAY(AB188)&amp;"."&amp;MONTH(AB188)&amp;"."&amp;YEAR(AB188)&amp;" "&amp;$V$4&amp;VLOOKUP(C188,[1]List1!$A:$E,4,FALSE)&amp;" "&amp;$V$1),AB188))))</f>
        <v>AUF LAGER</v>
      </c>
      <c r="AD188" s="686" t="str">
        <f ca="1">_xlfn.IFNA(VLOOKUP(C188,'General price list'!C:AM,MATCH($AD$20,'General price list'!$C$20:$AM$20,0),FALSE),"")</f>
        <v>AUF LAGER</v>
      </c>
      <c r="AE188" s="681">
        <f t="shared" ca="1" si="32"/>
        <v>0</v>
      </c>
      <c r="AF188" s="681">
        <f t="shared" ca="1" si="33"/>
        <v>0</v>
      </c>
      <c r="AG188" s="687">
        <f t="shared" ca="1" si="34"/>
        <v>0</v>
      </c>
      <c r="AH188" s="688">
        <f t="shared" ca="1" si="35"/>
        <v>0</v>
      </c>
      <c r="AI188" s="687">
        <f t="shared" ca="1" si="36"/>
        <v>0</v>
      </c>
      <c r="AJ188" s="689" t="str">
        <f t="shared" ca="1" si="37"/>
        <v/>
      </c>
      <c r="AK188" s="689" t="str">
        <f t="shared" ca="1" si="38"/>
        <v/>
      </c>
      <c r="AL188" s="689" t="str">
        <f t="shared" ca="1" si="39"/>
        <v/>
      </c>
      <c r="AM188" s="690" t="str">
        <f t="shared" ca="1" si="40"/>
        <v/>
      </c>
      <c r="AN188" s="382"/>
      <c r="AO188" s="314" t="str">
        <f>IF($R$3=1,IF(Y188=AA188,"","NE"),IF(#REF!=$V$10,"NE",""))</f>
        <v/>
      </c>
      <c r="AP188" s="315" t="str">
        <f>IF(AB188=$V$3,IF(VLOOKUP(C188,[1]List1!$A:$E,5,FALSE)=0,1,VLOOKUP(C188,[1]List1!$A:$E,5,FALSE)),"")</f>
        <v/>
      </c>
      <c r="AW188" s="458">
        <f>IFERROR(FIND(VLOOKUP('General price list'!$AB$7,'General price list'!$AC$1:$AD$12,2,FALSE),Q188,1),0)</f>
        <v>0</v>
      </c>
      <c r="AX188" s="458">
        <f>IFERROR(FIND(VLOOKUP('General price list'!$AB$7,'General price list'!$AC$1:$AD$12,2,FALSE),R188,1),0)</f>
        <v>0</v>
      </c>
    </row>
    <row r="189" spans="1:50" ht="15" customHeight="1">
      <c r="A189" s="691" t="str">
        <f>Kat.!C189</f>
        <v xml:space="preserve">                                          </v>
      </c>
      <c r="B189" s="692">
        <v>168</v>
      </c>
      <c r="C189" s="693" t="s">
        <v>2451</v>
      </c>
      <c r="D189" s="693" t="s">
        <v>2452</v>
      </c>
      <c r="E189" s="694" t="s">
        <v>129</v>
      </c>
      <c r="F189" s="695">
        <f>VLOOKUP(C189,[2]List1!$A:$D,2,FALSE)</f>
        <v>380</v>
      </c>
      <c r="G189" s="696">
        <f t="shared" si="29"/>
        <v>380</v>
      </c>
      <c r="H189" s="697">
        <f t="shared" si="30"/>
        <v>15.5</v>
      </c>
      <c r="I189" s="837">
        <v>1</v>
      </c>
      <c r="J189" s="698"/>
      <c r="K189" s="856"/>
      <c r="L189" s="857" t="s">
        <v>13622</v>
      </c>
      <c r="M189" s="698"/>
      <c r="N189" s="869">
        <f>IFERROR(VLOOKUP(C189,[3]List1!$A:$D,4,FALSE),"N/A!")</f>
        <v>0</v>
      </c>
      <c r="O189" s="837">
        <f>IFERROR(VLOOKUP(C189,[3]List1!$A:$D,3,FALSE),"N/A!")</f>
        <v>0</v>
      </c>
      <c r="P189" s="837">
        <f>IFERROR(VLOOKUP(C189,[3]List1!$A:$D,2,FALSE),"N/A!")</f>
        <v>180</v>
      </c>
      <c r="Q189" s="698" t="s">
        <v>24</v>
      </c>
      <c r="R189" s="698" t="s">
        <v>24</v>
      </c>
      <c r="S189" s="698"/>
      <c r="T189" s="695"/>
      <c r="U189" s="874"/>
      <c r="V189" s="699" t="str">
        <f>_xlfn.IFNA(HYPERLINK("https://www.klasekpyrotechnics.cz/tdle1l"),"")</f>
        <v>https://www.klasekpyrotechnics.cz/tdle1l</v>
      </c>
      <c r="W189" s="700" t="str">
        <f>IFERROR(VLOOKUP($C189,Popisy!A:P,MATCH($W$17,Popisy!$A$7:$P$7,0),FALSE),"---------------")</f>
        <v>Dumbum T-shirt L - limited edition</v>
      </c>
      <c r="X189" s="891" t="str">
        <f t="shared" si="31"/>
        <v/>
      </c>
      <c r="Y189" s="892"/>
      <c r="Z189" s="700" t="str">
        <f>IFERROR(IF(VLOOKUP(C189,[4]List1!$A:$D,4,FALSE)=0,"",VLOOKUP(C189,[4]List1!$A:$D,4,FALSE)),"")</f>
        <v/>
      </c>
      <c r="AA189" s="707"/>
      <c r="AB189" s="912" t="str">
        <f>IFERROR(IF(VLOOKUP(C189,[1]List1!$A:$D,2,FALSE)="VYPRODÁNO",$V$9,IF(VLOOKUP(C189,[1]List1!$A:$D,2,FALSE)="DOCHÁZÍ",$V$3,VLOOKUP(C189,[1]List1!$A:$D,2,FALSE))),"OFFLINE!")</f>
        <v>SKLADEM</v>
      </c>
      <c r="AC189" s="912" t="str">
        <f ca="1">IF(AO189="NE",$V$10,IF(AB189=$V$3,IF(AP189&lt;1,$V$8,$V$2&amp;" "&amp;AP189&amp;" "&amp;$V$1),IF(AB189="SKLADEM",$V$6,IFERROR(IF(OR(AB189-TODAY()&gt;21,VLOOKUP(C189,[1]List1!$A:$E,4,FALSE)=0),AB189,DAY(AB189)&amp;"."&amp;MONTH(AB189)&amp;"."&amp;YEAR(AB189)&amp;" "&amp;$V$4&amp;VLOOKUP(C189,[1]List1!$A:$E,4,FALSE)&amp;" "&amp;$V$1),AB189))))</f>
        <v>AUF LAGER</v>
      </c>
      <c r="AD189" s="701" t="str">
        <f ca="1">_xlfn.IFNA(VLOOKUP(C189,'General price list'!C:AM,MATCH($AD$20,'General price list'!$C$20:$AM$20,0),FALSE),"")</f>
        <v>AUF LAGER</v>
      </c>
      <c r="AE189" s="695">
        <f t="shared" ca="1" si="32"/>
        <v>0</v>
      </c>
      <c r="AF189" s="695">
        <f t="shared" ca="1" si="33"/>
        <v>0</v>
      </c>
      <c r="AG189" s="702">
        <f t="shared" ca="1" si="34"/>
        <v>0</v>
      </c>
      <c r="AH189" s="703">
        <f t="shared" ca="1" si="35"/>
        <v>0</v>
      </c>
      <c r="AI189" s="702">
        <f t="shared" ca="1" si="36"/>
        <v>0</v>
      </c>
      <c r="AJ189" s="704" t="str">
        <f t="shared" ca="1" si="37"/>
        <v/>
      </c>
      <c r="AK189" s="704" t="str">
        <f t="shared" ca="1" si="38"/>
        <v/>
      </c>
      <c r="AL189" s="704" t="str">
        <f t="shared" ca="1" si="39"/>
        <v/>
      </c>
      <c r="AM189" s="705" t="str">
        <f t="shared" ca="1" si="40"/>
        <v/>
      </c>
      <c r="AN189" s="313"/>
      <c r="AO189" s="314" t="str">
        <f>IF($R$3=1,IF(Y189=AA189,"","NE"),IF(#REF!=$V$10,"NE",""))</f>
        <v/>
      </c>
      <c r="AP189" s="315" t="str">
        <f>IF(AB189=$V$3,IF(VLOOKUP(C189,[1]List1!$A:$E,5,FALSE)=0,1,VLOOKUP(C189,[1]List1!$A:$E,5,FALSE)),"")</f>
        <v/>
      </c>
      <c r="AW189" s="458">
        <f>IFERROR(FIND(VLOOKUP('General price list'!$AB$7,'General price list'!$AC$1:$AD$12,2,FALSE),Q189,1),0)</f>
        <v>0</v>
      </c>
      <c r="AX189" s="458">
        <f>IFERROR(FIND(VLOOKUP('General price list'!$AB$7,'General price list'!$AC$1:$AD$12,2,FALSE),R189,1),0)</f>
        <v>0</v>
      </c>
    </row>
    <row r="190" spans="1:50" ht="15" customHeight="1">
      <c r="A190" s="677" t="str">
        <f>Kat.!C190</f>
        <v xml:space="preserve">                                          </v>
      </c>
      <c r="B190" s="678">
        <v>169</v>
      </c>
      <c r="C190" s="679" t="s">
        <v>2453</v>
      </c>
      <c r="D190" s="679" t="s">
        <v>2454</v>
      </c>
      <c r="E190" s="680" t="s">
        <v>129</v>
      </c>
      <c r="F190" s="681">
        <f>VLOOKUP(C190,[2]List1!$A:$D,2,FALSE)</f>
        <v>380</v>
      </c>
      <c r="G190" s="682">
        <f t="shared" si="29"/>
        <v>380</v>
      </c>
      <c r="H190" s="683">
        <f t="shared" si="30"/>
        <v>15.5</v>
      </c>
      <c r="I190" s="836">
        <v>1</v>
      </c>
      <c r="J190" s="680"/>
      <c r="K190" s="854"/>
      <c r="L190" s="855" t="s">
        <v>13622</v>
      </c>
      <c r="M190" s="680"/>
      <c r="N190" s="868">
        <f>IFERROR(VLOOKUP(C190,[3]List1!$A:$D,4,FALSE),"N/A!")</f>
        <v>0</v>
      </c>
      <c r="O190" s="836">
        <f>IFERROR(VLOOKUP(C190,[3]List1!$A:$D,3,FALSE),"N/A!")</f>
        <v>0</v>
      </c>
      <c r="P190" s="836">
        <f>IFERROR(VLOOKUP(C190,[3]List1!$A:$D,2,FALSE),"N/A!")</f>
        <v>204</v>
      </c>
      <c r="Q190" s="680" t="s">
        <v>24</v>
      </c>
      <c r="R190" s="680" t="s">
        <v>24</v>
      </c>
      <c r="S190" s="680"/>
      <c r="T190" s="681"/>
      <c r="U190" s="873"/>
      <c r="V190" s="684" t="str">
        <f>_xlfn.IFNA(HYPERLINK("https://www.klasekpyrotechnics.cz/tdle1xl"),"")</f>
        <v>https://www.klasekpyrotechnics.cz/tdle1xl</v>
      </c>
      <c r="W190" s="685" t="str">
        <f>IFERROR(VLOOKUP($C190,Popisy!A:P,MATCH($W$17,Popisy!$A$7:$P$7,0),FALSE),"---------------")</f>
        <v>Dumbum T-shirt XL - limited edition</v>
      </c>
      <c r="X190" s="889" t="str">
        <f t="shared" si="31"/>
        <v/>
      </c>
      <c r="Y190" s="890"/>
      <c r="Z190" s="685" t="str">
        <f>IFERROR(IF(VLOOKUP(C190,[4]List1!$A:$D,4,FALSE)=0,"",VLOOKUP(C190,[4]List1!$A:$D,4,FALSE)),"")</f>
        <v/>
      </c>
      <c r="AA190" s="707"/>
      <c r="AB190" s="911" t="str">
        <f>IFERROR(IF(VLOOKUP(C190,[1]List1!$A:$D,2,FALSE)="VYPRODÁNO",$V$9,IF(VLOOKUP(C190,[1]List1!$A:$D,2,FALSE)="DOCHÁZÍ",$V$3,VLOOKUP(C190,[1]List1!$A:$D,2,FALSE))),"OFFLINE!")</f>
        <v>SKLADEM</v>
      </c>
      <c r="AC190" s="911" t="str">
        <f ca="1">IF(AO190="NE",$V$10,IF(AB190=$V$3,IF(AP190&lt;1,$V$8,$V$2&amp;" "&amp;AP190&amp;" "&amp;$V$1),IF(AB190="SKLADEM",$V$6,IFERROR(IF(OR(AB190-TODAY()&gt;21,VLOOKUP(C190,[1]List1!$A:$E,4,FALSE)=0),AB190,DAY(AB190)&amp;"."&amp;MONTH(AB190)&amp;"."&amp;YEAR(AB190)&amp;" "&amp;$V$4&amp;VLOOKUP(C190,[1]List1!$A:$E,4,FALSE)&amp;" "&amp;$V$1),AB190))))</f>
        <v>AUF LAGER</v>
      </c>
      <c r="AD190" s="686" t="str">
        <f ca="1">_xlfn.IFNA(VLOOKUP(C190,'General price list'!C:AM,MATCH($AD$20,'General price list'!$C$20:$AM$20,0),FALSE),"")</f>
        <v>AUF LAGER</v>
      </c>
      <c r="AE190" s="681">
        <f t="shared" ca="1" si="32"/>
        <v>0</v>
      </c>
      <c r="AF190" s="681">
        <f t="shared" ca="1" si="33"/>
        <v>0</v>
      </c>
      <c r="AG190" s="687">
        <f t="shared" ca="1" si="34"/>
        <v>0</v>
      </c>
      <c r="AH190" s="688">
        <f t="shared" ca="1" si="35"/>
        <v>0</v>
      </c>
      <c r="AI190" s="687">
        <f t="shared" ca="1" si="36"/>
        <v>0</v>
      </c>
      <c r="AJ190" s="689" t="str">
        <f t="shared" ca="1" si="37"/>
        <v/>
      </c>
      <c r="AK190" s="689" t="str">
        <f t="shared" ca="1" si="38"/>
        <v/>
      </c>
      <c r="AL190" s="689" t="str">
        <f t="shared" ca="1" si="39"/>
        <v/>
      </c>
      <c r="AM190" s="690" t="str">
        <f t="shared" ca="1" si="40"/>
        <v/>
      </c>
      <c r="AN190" s="313"/>
      <c r="AO190" s="314" t="str">
        <f>IF($R$3=1,IF(Y190=AA190,"","NE"),IF(#REF!=$V$10,"NE",""))</f>
        <v/>
      </c>
      <c r="AP190" s="315" t="str">
        <f>IF(AB190=$V$3,IF(VLOOKUP(C190,[1]List1!$A:$E,5,FALSE)=0,1,VLOOKUP(C190,[1]List1!$A:$E,5,FALSE)),"")</f>
        <v/>
      </c>
      <c r="AW190" s="458">
        <f>IFERROR(FIND(VLOOKUP('General price list'!$AB$7,'General price list'!$AC$1:$AD$12,2,FALSE),Q190,1),0)</f>
        <v>0</v>
      </c>
      <c r="AX190" s="458">
        <f>IFERROR(FIND(VLOOKUP('General price list'!$AB$7,'General price list'!$AC$1:$AD$12,2,FALSE),R190,1),0)</f>
        <v>0</v>
      </c>
    </row>
    <row r="191" spans="1:50" ht="15" customHeight="1">
      <c r="A191" s="691" t="str">
        <f>Kat.!C191</f>
        <v xml:space="preserve">                                          </v>
      </c>
      <c r="B191" s="692">
        <v>170</v>
      </c>
      <c r="C191" s="693" t="s">
        <v>2455</v>
      </c>
      <c r="D191" s="693" t="s">
        <v>2456</v>
      </c>
      <c r="E191" s="694" t="s">
        <v>129</v>
      </c>
      <c r="F191" s="695">
        <f>VLOOKUP(C191,[2]List1!$A:$D,2,FALSE)</f>
        <v>380</v>
      </c>
      <c r="G191" s="696">
        <f t="shared" si="29"/>
        <v>380</v>
      </c>
      <c r="H191" s="697">
        <f t="shared" si="30"/>
        <v>15.5</v>
      </c>
      <c r="I191" s="837">
        <v>1</v>
      </c>
      <c r="J191" s="698"/>
      <c r="K191" s="856"/>
      <c r="L191" s="857" t="s">
        <v>13622</v>
      </c>
      <c r="M191" s="698"/>
      <c r="N191" s="869">
        <f>IFERROR(VLOOKUP(C191,[3]List1!$A:$D,4,FALSE),"N/A!")</f>
        <v>0</v>
      </c>
      <c r="O191" s="837">
        <f>IFERROR(VLOOKUP(C191,[3]List1!$A:$D,3,FALSE),"N/A!")</f>
        <v>0</v>
      </c>
      <c r="P191" s="837">
        <f>IFERROR(VLOOKUP(C191,[3]List1!$A:$D,2,FALSE),"N/A!")</f>
        <v>224</v>
      </c>
      <c r="Q191" s="698" t="s">
        <v>24</v>
      </c>
      <c r="R191" s="698" t="s">
        <v>24</v>
      </c>
      <c r="S191" s="698"/>
      <c r="T191" s="695"/>
      <c r="U191" s="874"/>
      <c r="V191" s="699" t="str">
        <f>_xlfn.IFNA(HYPERLINK("https://www.klasekpyrotechnics.cz/tdle1xxl"),"")</f>
        <v>https://www.klasekpyrotechnics.cz/tdle1xxl</v>
      </c>
      <c r="W191" s="700" t="str">
        <f>IFERROR(VLOOKUP($C191,Popisy!A:P,MATCH($W$17,Popisy!$A$7:$P$7,0),FALSE),"---------------")</f>
        <v>Dumbum T-shirt XXL - limited edition</v>
      </c>
      <c r="X191" s="891" t="str">
        <f t="shared" si="31"/>
        <v/>
      </c>
      <c r="Y191" s="892"/>
      <c r="Z191" s="700" t="str">
        <f>IFERROR(IF(VLOOKUP(C191,[4]List1!$A:$D,4,FALSE)=0,"",VLOOKUP(C191,[4]List1!$A:$D,4,FALSE)),"")</f>
        <v/>
      </c>
      <c r="AA191" s="707"/>
      <c r="AB191" s="912" t="str">
        <f>IFERROR(IF(VLOOKUP(C191,[1]List1!$A:$D,2,FALSE)="VYPRODÁNO",$V$9,IF(VLOOKUP(C191,[1]List1!$A:$D,2,FALSE)="DOCHÁZÍ",$V$3,VLOOKUP(C191,[1]List1!$A:$D,2,FALSE))),"OFFLINE!")</f>
        <v>SKLADEM</v>
      </c>
      <c r="AC191" s="912" t="str">
        <f ca="1">IF(AO191="NE",$V$10,IF(AB191=$V$3,IF(AP191&lt;1,$V$8,$V$2&amp;" "&amp;AP191&amp;" "&amp;$V$1),IF(AB191="SKLADEM",$V$6,IFERROR(IF(OR(AB191-TODAY()&gt;21,VLOOKUP(C191,[1]List1!$A:$E,4,FALSE)=0),AB191,DAY(AB191)&amp;"."&amp;MONTH(AB191)&amp;"."&amp;YEAR(AB191)&amp;" "&amp;$V$4&amp;VLOOKUP(C191,[1]List1!$A:$E,4,FALSE)&amp;" "&amp;$V$1),AB191))))</f>
        <v>AUF LAGER</v>
      </c>
      <c r="AD191" s="701" t="str">
        <f ca="1">_xlfn.IFNA(VLOOKUP(C191,'General price list'!C:AM,MATCH($AD$20,'General price list'!$C$20:$AM$20,0),FALSE),"")</f>
        <v>AUF LAGER</v>
      </c>
      <c r="AE191" s="695">
        <f t="shared" ca="1" si="32"/>
        <v>0</v>
      </c>
      <c r="AF191" s="695">
        <f t="shared" ca="1" si="33"/>
        <v>0</v>
      </c>
      <c r="AG191" s="702">
        <f t="shared" ca="1" si="34"/>
        <v>0</v>
      </c>
      <c r="AH191" s="703">
        <f t="shared" ca="1" si="35"/>
        <v>0</v>
      </c>
      <c r="AI191" s="702">
        <f t="shared" ca="1" si="36"/>
        <v>0</v>
      </c>
      <c r="AJ191" s="704" t="str">
        <f t="shared" ca="1" si="37"/>
        <v/>
      </c>
      <c r="AK191" s="704" t="str">
        <f t="shared" ca="1" si="38"/>
        <v/>
      </c>
      <c r="AL191" s="704" t="str">
        <f t="shared" ca="1" si="39"/>
        <v/>
      </c>
      <c r="AM191" s="705" t="str">
        <f t="shared" ca="1" si="40"/>
        <v/>
      </c>
      <c r="AN191" s="313"/>
      <c r="AO191" s="314" t="str">
        <f>IF($R$3=1,IF(Y191=AA191,"","NE"),IF(#REF!=$V$10,"NE",""))</f>
        <v/>
      </c>
      <c r="AP191" s="315" t="str">
        <f>IF(AB191=$V$3,IF(VLOOKUP(C191,[1]List1!$A:$E,5,FALSE)=0,1,VLOOKUP(C191,[1]List1!$A:$E,5,FALSE)),"")</f>
        <v/>
      </c>
      <c r="AW191" s="458">
        <f>IFERROR(FIND(VLOOKUP('General price list'!$AB$7,'General price list'!$AC$1:$AD$12,2,FALSE),Q191,1),0)</f>
        <v>0</v>
      </c>
      <c r="AX191" s="458">
        <f>IFERROR(FIND(VLOOKUP('General price list'!$AB$7,'General price list'!$AC$1:$AD$12,2,FALSE),R191,1),0)</f>
        <v>0</v>
      </c>
    </row>
    <row r="192" spans="1:50" ht="15" customHeight="1">
      <c r="A192" s="677" t="str">
        <f>Kat.!C192</f>
        <v xml:space="preserve">                                          </v>
      </c>
      <c r="B192" s="678">
        <v>171</v>
      </c>
      <c r="C192" s="679" t="s">
        <v>2457</v>
      </c>
      <c r="D192" s="679" t="s">
        <v>2458</v>
      </c>
      <c r="E192" s="680" t="s">
        <v>129</v>
      </c>
      <c r="F192" s="681">
        <f>VLOOKUP(C192,[2]List1!$A:$D,2,FALSE)</f>
        <v>900</v>
      </c>
      <c r="G192" s="682">
        <f t="shared" si="29"/>
        <v>900</v>
      </c>
      <c r="H192" s="683">
        <f t="shared" si="30"/>
        <v>36.6</v>
      </c>
      <c r="I192" s="836">
        <v>1</v>
      </c>
      <c r="J192" s="680"/>
      <c r="K192" s="854"/>
      <c r="L192" s="855" t="s">
        <v>13622</v>
      </c>
      <c r="M192" s="680"/>
      <c r="N192" s="868">
        <f>IFERROR(VLOOKUP(C192,[3]List1!$A:$D,4,FALSE),"N/A!")</f>
        <v>0</v>
      </c>
      <c r="O192" s="836">
        <f>IFERROR(VLOOKUP(C192,[3]List1!$A:$D,3,FALSE),"N/A!")</f>
        <v>0</v>
      </c>
      <c r="P192" s="836">
        <f>IFERROR(VLOOKUP(C192,[3]List1!$A:$D,2,FALSE),"N/A!")</f>
        <v>247</v>
      </c>
      <c r="Q192" s="680" t="s">
        <v>24</v>
      </c>
      <c r="R192" s="680" t="s">
        <v>24</v>
      </c>
      <c r="S192" s="680"/>
      <c r="T192" s="681"/>
      <c r="U192" s="873"/>
      <c r="V192" s="684" t="str">
        <f>_xlfn.IFNA(HYPERLINK("https://www.klasekpyrotechnics.cz/tpdle1m"),"")</f>
        <v>https://www.klasekpyrotechnics.cz/tpdle1m</v>
      </c>
      <c r="W192" s="685" t="str">
        <f>IFERROR(VLOOKUP($C192,Popisy!A:P,MATCH($W$17,Popisy!$A$7:$P$7,0),FALSE),"---------------")</f>
        <v>Dumbum T-shirt polo  M - limited edition</v>
      </c>
      <c r="X192" s="889" t="str">
        <f t="shared" si="31"/>
        <v/>
      </c>
      <c r="Y192" s="890"/>
      <c r="Z192" s="685" t="str">
        <f>IFERROR(IF(VLOOKUP(C192,[4]List1!$A:$D,4,FALSE)=0,"",VLOOKUP(C192,[4]List1!$A:$D,4,FALSE)),"")</f>
        <v/>
      </c>
      <c r="AA192" s="707"/>
      <c r="AB192" s="911" t="str">
        <f>IFERROR(IF(VLOOKUP(C192,[1]List1!$A:$D,2,FALSE)="VYPRODÁNO",$V$9,IF(VLOOKUP(C192,[1]List1!$A:$D,2,FALSE)="DOCHÁZÍ",$V$3,VLOOKUP(C192,[1]List1!$A:$D,2,FALSE))),"OFFLINE!")</f>
        <v>LETZTE STÜCKE</v>
      </c>
      <c r="AC192" s="911" t="str">
        <f ca="1">IF(AO192="NE",$V$10,IF(AB192=$V$3,IF(AP192&lt;1,$V$8,$V$2&amp;" "&amp;AP192&amp;" "&amp;$V$1),IF(AB192="SKLADEM",$V$6,IFERROR(IF(OR(AB192-TODAY()&gt;21,VLOOKUP(C192,[1]List1!$A:$E,4,FALSE)=0),AB192,DAY(AB192)&amp;"."&amp;MONTH(AB192)&amp;"."&amp;YEAR(AB192)&amp;" "&amp;$V$4&amp;VLOOKUP(C192,[1]List1!$A:$E,4,FALSE)&amp;" "&amp;$V$1),AB192))))</f>
        <v>LETZTE 3 KTN</v>
      </c>
      <c r="AD192" s="686" t="str">
        <f ca="1">_xlfn.IFNA(VLOOKUP(C192,'General price list'!C:AM,MATCH($AD$20,'General price list'!$C$20:$AM$20,0),FALSE),"")</f>
        <v>LETZTE 3 KTN</v>
      </c>
      <c r="AE192" s="681">
        <f t="shared" ca="1" si="32"/>
        <v>0</v>
      </c>
      <c r="AF192" s="681">
        <f t="shared" ca="1" si="33"/>
        <v>0</v>
      </c>
      <c r="AG192" s="687">
        <f t="shared" ca="1" si="34"/>
        <v>0</v>
      </c>
      <c r="AH192" s="688">
        <f t="shared" ca="1" si="35"/>
        <v>0</v>
      </c>
      <c r="AI192" s="687">
        <f t="shared" ca="1" si="36"/>
        <v>0</v>
      </c>
      <c r="AJ192" s="689" t="str">
        <f t="shared" ca="1" si="37"/>
        <v/>
      </c>
      <c r="AK192" s="689" t="str">
        <f t="shared" ca="1" si="38"/>
        <v/>
      </c>
      <c r="AL192" s="689" t="str">
        <f t="shared" ca="1" si="39"/>
        <v/>
      </c>
      <c r="AM192" s="690" t="str">
        <f t="shared" ca="1" si="40"/>
        <v/>
      </c>
      <c r="AN192" s="382"/>
      <c r="AO192" s="314" t="str">
        <f>IF($R$3=1,IF(Y192=AA192,"","NE"),IF(#REF!=$V$10,"NE",""))</f>
        <v/>
      </c>
      <c r="AP192" s="315">
        <f>IF(AB192=$V$3,IF(VLOOKUP(C192,[1]List1!$A:$E,5,FALSE)=0,1,VLOOKUP(C192,[1]List1!$A:$E,5,FALSE)),"")</f>
        <v>3</v>
      </c>
      <c r="AW192" s="458">
        <f>IFERROR(FIND(VLOOKUP('General price list'!$AB$7,'General price list'!$AC$1:$AD$12,2,FALSE),Q192,1),0)</f>
        <v>0</v>
      </c>
      <c r="AX192" s="458">
        <f>IFERROR(FIND(VLOOKUP('General price list'!$AB$7,'General price list'!$AC$1:$AD$12,2,FALSE),R192,1),0)</f>
        <v>0</v>
      </c>
    </row>
    <row r="193" spans="1:50" ht="15" customHeight="1">
      <c r="A193" s="691" t="str">
        <f>Kat.!C193</f>
        <v xml:space="preserve">                                          </v>
      </c>
      <c r="B193" s="692">
        <v>172</v>
      </c>
      <c r="C193" s="693" t="s">
        <v>2459</v>
      </c>
      <c r="D193" s="693" t="s">
        <v>2460</v>
      </c>
      <c r="E193" s="694" t="s">
        <v>129</v>
      </c>
      <c r="F193" s="695">
        <f>VLOOKUP(C193,[2]List1!$A:$D,2,FALSE)</f>
        <v>900</v>
      </c>
      <c r="G193" s="696">
        <f t="shared" si="29"/>
        <v>900</v>
      </c>
      <c r="H193" s="697">
        <f t="shared" si="30"/>
        <v>36.6</v>
      </c>
      <c r="I193" s="837">
        <v>1</v>
      </c>
      <c r="J193" s="698"/>
      <c r="K193" s="856"/>
      <c r="L193" s="857" t="s">
        <v>13622</v>
      </c>
      <c r="M193" s="698"/>
      <c r="N193" s="869">
        <f>IFERROR(VLOOKUP(C193,[3]List1!$A:$D,4,FALSE),"N/A!")</f>
        <v>0</v>
      </c>
      <c r="O193" s="837">
        <f>IFERROR(VLOOKUP(C193,[3]List1!$A:$D,3,FALSE),"N/A!")</f>
        <v>0</v>
      </c>
      <c r="P193" s="837">
        <f>IFERROR(VLOOKUP(C193,[3]List1!$A:$D,2,FALSE),"N/A!")</f>
        <v>257</v>
      </c>
      <c r="Q193" s="698" t="s">
        <v>24</v>
      </c>
      <c r="R193" s="698" t="s">
        <v>24</v>
      </c>
      <c r="S193" s="698"/>
      <c r="T193" s="695"/>
      <c r="U193" s="874"/>
      <c r="V193" s="699" t="str">
        <f>_xlfn.IFNA(HYPERLINK("https://www.klasekpyrotechnics.cz/tpdle1l"),"")</f>
        <v>https://www.klasekpyrotechnics.cz/tpdle1l</v>
      </c>
      <c r="W193" s="700" t="str">
        <f>IFERROR(VLOOKUP($C193,Popisy!A:P,MATCH($W$17,Popisy!$A$7:$P$7,0),FALSE),"---------------")</f>
        <v>Dumbum T-shirt polo  L - limited edition</v>
      </c>
      <c r="X193" s="891" t="str">
        <f t="shared" si="31"/>
        <v/>
      </c>
      <c r="Y193" s="892"/>
      <c r="Z193" s="700" t="str">
        <f>IFERROR(IF(VLOOKUP(C193,[4]List1!$A:$D,4,FALSE)=0,"",VLOOKUP(C193,[4]List1!$A:$D,4,FALSE)),"")</f>
        <v/>
      </c>
      <c r="AA193" s="707"/>
      <c r="AB193" s="912" t="str">
        <f>IFERROR(IF(VLOOKUP(C193,[1]List1!$A:$D,2,FALSE)="VYPRODÁNO",$V$9,IF(VLOOKUP(C193,[1]List1!$A:$D,2,FALSE)="DOCHÁZÍ",$V$3,VLOOKUP(C193,[1]List1!$A:$D,2,FALSE))),"OFFLINE!")</f>
        <v>SKLADEM</v>
      </c>
      <c r="AC193" s="912" t="str">
        <f ca="1">IF(AO193="NE",$V$10,IF(AB193=$V$3,IF(AP193&lt;1,$V$8,$V$2&amp;" "&amp;AP193&amp;" "&amp;$V$1),IF(AB193="SKLADEM",$V$6,IFERROR(IF(OR(AB193-TODAY()&gt;21,VLOOKUP(C193,[1]List1!$A:$E,4,FALSE)=0),AB193,DAY(AB193)&amp;"."&amp;MONTH(AB193)&amp;"."&amp;YEAR(AB193)&amp;" "&amp;$V$4&amp;VLOOKUP(C193,[1]List1!$A:$E,4,FALSE)&amp;" "&amp;$V$1),AB193))))</f>
        <v>AUF LAGER</v>
      </c>
      <c r="AD193" s="701">
        <f>_xlfn.IFNA(VLOOKUP(C193,'General price list'!C:AM,MATCH($AD$20,'General price list'!$C$20:$AM$20,0),FALSE),"")</f>
        <v>0</v>
      </c>
      <c r="AE193" s="695">
        <f t="shared" si="32"/>
        <v>0</v>
      </c>
      <c r="AF193" s="695">
        <f t="shared" si="33"/>
        <v>0</v>
      </c>
      <c r="AG193" s="702">
        <f t="shared" si="34"/>
        <v>0</v>
      </c>
      <c r="AH193" s="703">
        <f t="shared" si="35"/>
        <v>0</v>
      </c>
      <c r="AI193" s="702">
        <f t="shared" si="36"/>
        <v>0</v>
      </c>
      <c r="AJ193" s="704" t="str">
        <f t="shared" si="37"/>
        <v/>
      </c>
      <c r="AK193" s="704" t="str">
        <f t="shared" si="38"/>
        <v/>
      </c>
      <c r="AL193" s="704" t="str">
        <f t="shared" si="39"/>
        <v/>
      </c>
      <c r="AM193" s="705" t="str">
        <f t="shared" si="40"/>
        <v/>
      </c>
      <c r="AN193" s="382"/>
      <c r="AO193" s="314" t="str">
        <f>IF($R$3=1,IF(Y193=AA193,"","NE"),IF(#REF!=$V$10,"NE",""))</f>
        <v/>
      </c>
      <c r="AP193" s="315" t="str">
        <f>IF(AB193=$V$3,IF(VLOOKUP(C193,[1]List1!$A:$E,5,FALSE)=0,1,VLOOKUP(C193,[1]List1!$A:$E,5,FALSE)),"")</f>
        <v/>
      </c>
      <c r="AW193" s="458">
        <f>IFERROR(FIND(VLOOKUP('General price list'!$AB$7,'General price list'!$AC$1:$AD$12,2,FALSE),Q193,1),0)</f>
        <v>0</v>
      </c>
      <c r="AX193" s="458">
        <f>IFERROR(FIND(VLOOKUP('General price list'!$AB$7,'General price list'!$AC$1:$AD$12,2,FALSE),R193,1),0)</f>
        <v>0</v>
      </c>
    </row>
    <row r="194" spans="1:50" ht="15" customHeight="1">
      <c r="A194" s="677" t="str">
        <f>Kat.!C194</f>
        <v xml:space="preserve">                                          </v>
      </c>
      <c r="B194" s="678">
        <v>173</v>
      </c>
      <c r="C194" s="679" t="s">
        <v>2461</v>
      </c>
      <c r="D194" s="679" t="s">
        <v>2462</v>
      </c>
      <c r="E194" s="680" t="s">
        <v>129</v>
      </c>
      <c r="F194" s="681">
        <f>VLOOKUP(C194,[2]List1!$A:$D,2,FALSE)</f>
        <v>900</v>
      </c>
      <c r="G194" s="682">
        <f t="shared" si="29"/>
        <v>900</v>
      </c>
      <c r="H194" s="683">
        <f t="shared" si="30"/>
        <v>36.6</v>
      </c>
      <c r="I194" s="836">
        <v>1</v>
      </c>
      <c r="J194" s="680"/>
      <c r="K194" s="854"/>
      <c r="L194" s="855" t="s">
        <v>13622</v>
      </c>
      <c r="M194" s="680"/>
      <c r="N194" s="868">
        <f>IFERROR(VLOOKUP(C194,[3]List1!$A:$D,4,FALSE),"N/A!")</f>
        <v>0</v>
      </c>
      <c r="O194" s="836">
        <f>IFERROR(VLOOKUP(C194,[3]List1!$A:$D,3,FALSE),"N/A!")</f>
        <v>0</v>
      </c>
      <c r="P194" s="836">
        <f>IFERROR(VLOOKUP(C194,[3]List1!$A:$D,2,FALSE),"N/A!")</f>
        <v>283</v>
      </c>
      <c r="Q194" s="680" t="s">
        <v>24</v>
      </c>
      <c r="R194" s="680" t="s">
        <v>24</v>
      </c>
      <c r="S194" s="680"/>
      <c r="T194" s="681"/>
      <c r="U194" s="873"/>
      <c r="V194" s="684" t="str">
        <f>_xlfn.IFNA(HYPERLINK("https://www.klasekpyrotechnics.cz/tpdle1xl"),"")</f>
        <v>https://www.klasekpyrotechnics.cz/tpdle1xl</v>
      </c>
      <c r="W194" s="685" t="str">
        <f>IFERROR(VLOOKUP($C194,Popisy!A:P,MATCH($W$17,Popisy!$A$7:$P$7,0),FALSE),"---------------")</f>
        <v>Dumbum T-shirt polo  XL - limited edition</v>
      </c>
      <c r="X194" s="889" t="str">
        <f t="shared" si="31"/>
        <v/>
      </c>
      <c r="Y194" s="890"/>
      <c r="Z194" s="685" t="str">
        <f>IFERROR(IF(VLOOKUP(C194,[4]List1!$A:$D,4,FALSE)=0,"",VLOOKUP(C194,[4]List1!$A:$D,4,FALSE)),"")</f>
        <v/>
      </c>
      <c r="AA194" s="707"/>
      <c r="AB194" s="911" t="str">
        <f>IFERROR(IF(VLOOKUP(C194,[1]List1!$A:$D,2,FALSE)="VYPRODÁNO",$V$9,IF(VLOOKUP(C194,[1]List1!$A:$D,2,FALSE)="DOCHÁZÍ",$V$3,VLOOKUP(C194,[1]List1!$A:$D,2,FALSE))),"OFFLINE!")</f>
        <v>SKLADEM</v>
      </c>
      <c r="AC194" s="911" t="str">
        <f ca="1">IF(AO194="NE",$V$10,IF(AB194=$V$3,IF(AP194&lt;1,$V$8,$V$2&amp;" "&amp;AP194&amp;" "&amp;$V$1),IF(AB194="SKLADEM",$V$6,IFERROR(IF(OR(AB194-TODAY()&gt;21,VLOOKUP(C194,[1]List1!$A:$E,4,FALSE)=0),AB194,DAY(AB194)&amp;"."&amp;MONTH(AB194)&amp;"."&amp;YEAR(AB194)&amp;" "&amp;$V$4&amp;VLOOKUP(C194,[1]List1!$A:$E,4,FALSE)&amp;" "&amp;$V$1),AB194))))</f>
        <v>AUF LAGER</v>
      </c>
      <c r="AD194" s="686" t="str">
        <f ca="1">_xlfn.IFNA(VLOOKUP(C194,'General price list'!C:AM,MATCH($AD$20,'General price list'!$C$20:$AM$20,0),FALSE),"")</f>
        <v>AUF LAGER</v>
      </c>
      <c r="AE194" s="681">
        <f t="shared" ca="1" si="32"/>
        <v>0</v>
      </c>
      <c r="AF194" s="681">
        <f t="shared" ca="1" si="33"/>
        <v>0</v>
      </c>
      <c r="AG194" s="687">
        <f t="shared" ca="1" si="34"/>
        <v>0</v>
      </c>
      <c r="AH194" s="688">
        <f t="shared" ca="1" si="35"/>
        <v>0</v>
      </c>
      <c r="AI194" s="687">
        <f t="shared" ca="1" si="36"/>
        <v>0</v>
      </c>
      <c r="AJ194" s="689" t="str">
        <f t="shared" ca="1" si="37"/>
        <v/>
      </c>
      <c r="AK194" s="689" t="str">
        <f t="shared" ca="1" si="38"/>
        <v/>
      </c>
      <c r="AL194" s="689" t="str">
        <f t="shared" ca="1" si="39"/>
        <v/>
      </c>
      <c r="AM194" s="690" t="str">
        <f t="shared" ca="1" si="40"/>
        <v/>
      </c>
      <c r="AN194" s="313"/>
      <c r="AO194" s="314" t="str">
        <f>IF($R$3=1,IF(Y194=AA194,"","NE"),IF(#REF!=$V$10,"NE",""))</f>
        <v/>
      </c>
      <c r="AP194" s="315" t="str">
        <f>IF(AB194=$V$3,IF(VLOOKUP(C194,[1]List1!$A:$E,5,FALSE)=0,1,VLOOKUP(C194,[1]List1!$A:$E,5,FALSE)),"")</f>
        <v/>
      </c>
      <c r="AW194" s="458">
        <f>IFERROR(FIND(VLOOKUP('General price list'!$AB$7,'General price list'!$AC$1:$AD$12,2,FALSE),Q194,1),0)</f>
        <v>0</v>
      </c>
      <c r="AX194" s="458">
        <f>IFERROR(FIND(VLOOKUP('General price list'!$AB$7,'General price list'!$AC$1:$AD$12,2,FALSE),R194,1),0)</f>
        <v>0</v>
      </c>
    </row>
    <row r="195" spans="1:50" ht="15" customHeight="1">
      <c r="A195" s="691" t="str">
        <f>Kat.!C195</f>
        <v xml:space="preserve">                                          </v>
      </c>
      <c r="B195" s="692">
        <v>174</v>
      </c>
      <c r="C195" s="693" t="s">
        <v>2463</v>
      </c>
      <c r="D195" s="693" t="s">
        <v>2464</v>
      </c>
      <c r="E195" s="694" t="s">
        <v>129</v>
      </c>
      <c r="F195" s="695">
        <f>VLOOKUP(C195,[2]List1!$A:$D,2,FALSE)</f>
        <v>900</v>
      </c>
      <c r="G195" s="696">
        <f t="shared" si="29"/>
        <v>900</v>
      </c>
      <c r="H195" s="697">
        <f t="shared" si="30"/>
        <v>36.6</v>
      </c>
      <c r="I195" s="837">
        <v>1</v>
      </c>
      <c r="J195" s="698"/>
      <c r="K195" s="856"/>
      <c r="L195" s="857" t="s">
        <v>13622</v>
      </c>
      <c r="M195" s="698"/>
      <c r="N195" s="869">
        <f>IFERROR(VLOOKUP(C195,[3]List1!$A:$D,4,FALSE),"N/A!")</f>
        <v>0</v>
      </c>
      <c r="O195" s="837">
        <f>IFERROR(VLOOKUP(C195,[3]List1!$A:$D,3,FALSE),"N/A!")</f>
        <v>0</v>
      </c>
      <c r="P195" s="837">
        <f>IFERROR(VLOOKUP(C195,[3]List1!$A:$D,2,FALSE),"N/A!")</f>
        <v>290</v>
      </c>
      <c r="Q195" s="698" t="s">
        <v>24</v>
      </c>
      <c r="R195" s="698" t="s">
        <v>24</v>
      </c>
      <c r="S195" s="698"/>
      <c r="T195" s="695"/>
      <c r="U195" s="874"/>
      <c r="V195" s="699" t="str">
        <f>_xlfn.IFNA(HYPERLINK("https://www.klasekpyrotechnics.cz/tpdle1xxl"),"")</f>
        <v>https://www.klasekpyrotechnics.cz/tpdle1xxl</v>
      </c>
      <c r="W195" s="700" t="str">
        <f>IFERROR(VLOOKUP($C195,Popisy!A:P,MATCH($W$17,Popisy!$A$7:$P$7,0),FALSE),"---------------")</f>
        <v>Dumbum T-shirt polo  XXL - limited edition</v>
      </c>
      <c r="X195" s="891" t="str">
        <f t="shared" si="31"/>
        <v/>
      </c>
      <c r="Y195" s="892"/>
      <c r="Z195" s="700" t="str">
        <f>IFERROR(IF(VLOOKUP(C195,[4]List1!$A:$D,4,FALSE)=0,"",VLOOKUP(C195,[4]List1!$A:$D,4,FALSE)),"")</f>
        <v/>
      </c>
      <c r="AA195" s="707"/>
      <c r="AB195" s="912" t="str">
        <f>IFERROR(IF(VLOOKUP(C195,[1]List1!$A:$D,2,FALSE)="VYPRODÁNO",$V$9,IF(VLOOKUP(C195,[1]List1!$A:$D,2,FALSE)="DOCHÁZÍ",$V$3,VLOOKUP(C195,[1]List1!$A:$D,2,FALSE))),"OFFLINE!")</f>
        <v>LETZTE STÜCKE</v>
      </c>
      <c r="AC195" s="912" t="str">
        <f ca="1">IF(AO195="NE",$V$10,IF(AB195=$V$3,IF(AP195&lt;1,$V$8,$V$2&amp;" "&amp;AP195&amp;" "&amp;$V$1),IF(AB195="SKLADEM",$V$6,IFERROR(IF(OR(AB195-TODAY()&gt;21,VLOOKUP(C195,[1]List1!$A:$E,4,FALSE)=0),AB195,DAY(AB195)&amp;"."&amp;MONTH(AB195)&amp;"."&amp;YEAR(AB195)&amp;" "&amp;$V$4&amp;VLOOKUP(C195,[1]List1!$A:$E,4,FALSE)&amp;" "&amp;$V$1),AB195))))</f>
        <v>LETZTE 3 KTN</v>
      </c>
      <c r="AD195" s="701" t="str">
        <f ca="1">_xlfn.IFNA(VLOOKUP(C195,'General price list'!C:AM,MATCH($AD$20,'General price list'!$C$20:$AM$20,0),FALSE),"")</f>
        <v>LETZTE 3 KTN</v>
      </c>
      <c r="AE195" s="695">
        <f t="shared" ca="1" si="32"/>
        <v>0</v>
      </c>
      <c r="AF195" s="695">
        <f t="shared" ca="1" si="33"/>
        <v>0</v>
      </c>
      <c r="AG195" s="702">
        <f t="shared" ca="1" si="34"/>
        <v>0</v>
      </c>
      <c r="AH195" s="703">
        <f t="shared" ca="1" si="35"/>
        <v>0</v>
      </c>
      <c r="AI195" s="702">
        <f t="shared" ca="1" si="36"/>
        <v>0</v>
      </c>
      <c r="AJ195" s="704" t="str">
        <f t="shared" ca="1" si="37"/>
        <v/>
      </c>
      <c r="AK195" s="704" t="str">
        <f t="shared" ca="1" si="38"/>
        <v/>
      </c>
      <c r="AL195" s="704" t="str">
        <f t="shared" ca="1" si="39"/>
        <v/>
      </c>
      <c r="AM195" s="705" t="str">
        <f t="shared" ca="1" si="40"/>
        <v/>
      </c>
      <c r="AN195" s="313"/>
      <c r="AO195" s="314" t="str">
        <f>IF($R$3=1,IF(Y195=AA195,"","NE"),IF(#REF!=$V$10,"NE",""))</f>
        <v/>
      </c>
      <c r="AP195" s="315">
        <f>IF(AB195=$V$3,IF(VLOOKUP(C195,[1]List1!$A:$E,5,FALSE)=0,1,VLOOKUP(C195,[1]List1!$A:$E,5,FALSE)),"")</f>
        <v>3</v>
      </c>
      <c r="AW195" s="458">
        <f>IFERROR(FIND(VLOOKUP('General price list'!$AB$7,'General price list'!$AC$1:$AD$12,2,FALSE),Q195,1),0)</f>
        <v>0</v>
      </c>
      <c r="AX195" s="458">
        <f>IFERROR(FIND(VLOOKUP('General price list'!$AB$7,'General price list'!$AC$1:$AD$12,2,FALSE),R195,1),0)</f>
        <v>0</v>
      </c>
    </row>
    <row r="196" spans="1:50" ht="15" customHeight="1">
      <c r="A196" s="677" t="str">
        <f>Kat.!C196</f>
        <v xml:space="preserve">                                          </v>
      </c>
      <c r="B196" s="678">
        <v>175</v>
      </c>
      <c r="C196" s="679" t="s">
        <v>2465</v>
      </c>
      <c r="D196" s="679" t="s">
        <v>2466</v>
      </c>
      <c r="E196" s="680" t="s">
        <v>129</v>
      </c>
      <c r="F196" s="681">
        <f>VLOOKUP(C196,[2]List1!$A:$D,2,FALSE)</f>
        <v>1830</v>
      </c>
      <c r="G196" s="682">
        <f t="shared" si="29"/>
        <v>1830</v>
      </c>
      <c r="H196" s="683">
        <f t="shared" si="30"/>
        <v>74.5</v>
      </c>
      <c r="I196" s="836">
        <v>1</v>
      </c>
      <c r="J196" s="680"/>
      <c r="K196" s="854"/>
      <c r="L196" s="855" t="s">
        <v>13622</v>
      </c>
      <c r="M196" s="680"/>
      <c r="N196" s="868">
        <f>IFERROR(VLOOKUP(C196,[3]List1!$A:$D,4,FALSE),"N/A!")</f>
        <v>0</v>
      </c>
      <c r="O196" s="836">
        <f>IFERROR(VLOOKUP(C196,[3]List1!$A:$D,3,FALSE),"N/A!")</f>
        <v>0</v>
      </c>
      <c r="P196" s="836">
        <f>IFERROR(VLOOKUP(C196,[3]List1!$A:$D,2,FALSE),"N/A!")</f>
        <v>500</v>
      </c>
      <c r="Q196" s="680" t="s">
        <v>24</v>
      </c>
      <c r="R196" s="680" t="s">
        <v>24</v>
      </c>
      <c r="S196" s="680"/>
      <c r="T196" s="681"/>
      <c r="U196" s="873"/>
      <c r="V196" s="684" t="str">
        <f>_xlfn.IFNA(HYPERLINK("https://www.klasekpyrotechnics.cz/vdle1m"),"")</f>
        <v>https://www.klasekpyrotechnics.cz/vdle1m</v>
      </c>
      <c r="W196" s="685" t="str">
        <f>IFERROR(VLOOKUP($C196,Popisy!A:P,MATCH($W$17,Popisy!$A$7:$P$7,0),FALSE),"---------------")</f>
        <v>Dumbum waistcoat softshell M-limited edition</v>
      </c>
      <c r="X196" s="889" t="str">
        <f t="shared" si="31"/>
        <v/>
      </c>
      <c r="Y196" s="890"/>
      <c r="Z196" s="685" t="str">
        <f>IFERROR(IF(VLOOKUP(C196,[4]List1!$A:$D,4,FALSE)=0,"",VLOOKUP(C196,[4]List1!$A:$D,4,FALSE)),"")</f>
        <v/>
      </c>
      <c r="AA196" s="707"/>
      <c r="AB196" s="911" t="str">
        <f>IFERROR(IF(VLOOKUP(C196,[1]List1!$A:$D,2,FALSE)="VYPRODÁNO",$V$9,IF(VLOOKUP(C196,[1]List1!$A:$D,2,FALSE)="DOCHÁZÍ",$V$3,VLOOKUP(C196,[1]List1!$A:$D,2,FALSE))),"OFFLINE!")</f>
        <v>SKLADEM</v>
      </c>
      <c r="AC196" s="911" t="str">
        <f ca="1">IF(AO196="NE",$V$10,IF(AB196=$V$3,IF(AP196&lt;1,$V$8,$V$2&amp;" "&amp;AP196&amp;" "&amp;$V$1),IF(AB196="SKLADEM",$V$6,IFERROR(IF(OR(AB196-TODAY()&gt;21,VLOOKUP(C196,[1]List1!$A:$E,4,FALSE)=0),AB196,DAY(AB196)&amp;"."&amp;MONTH(AB196)&amp;"."&amp;YEAR(AB196)&amp;" "&amp;$V$4&amp;VLOOKUP(C196,[1]List1!$A:$E,4,FALSE)&amp;" "&amp;$V$1),AB196))))</f>
        <v>AUF LAGER</v>
      </c>
      <c r="AD196" s="686" t="str">
        <f ca="1">_xlfn.IFNA(VLOOKUP(C196,'General price list'!C:AM,MATCH($AD$20,'General price list'!$C$20:$AM$20,0),FALSE),"")</f>
        <v>AUF LAGER</v>
      </c>
      <c r="AE196" s="681">
        <f t="shared" ca="1" si="32"/>
        <v>0</v>
      </c>
      <c r="AF196" s="681">
        <f t="shared" ca="1" si="33"/>
        <v>0</v>
      </c>
      <c r="AG196" s="687">
        <f t="shared" ca="1" si="34"/>
        <v>0</v>
      </c>
      <c r="AH196" s="688">
        <f t="shared" ca="1" si="35"/>
        <v>0</v>
      </c>
      <c r="AI196" s="687">
        <f t="shared" ca="1" si="36"/>
        <v>0</v>
      </c>
      <c r="AJ196" s="689" t="str">
        <f t="shared" ca="1" si="37"/>
        <v/>
      </c>
      <c r="AK196" s="689" t="str">
        <f t="shared" ca="1" si="38"/>
        <v/>
      </c>
      <c r="AL196" s="689" t="str">
        <f t="shared" ca="1" si="39"/>
        <v/>
      </c>
      <c r="AM196" s="690" t="str">
        <f t="shared" ca="1" si="40"/>
        <v/>
      </c>
      <c r="AN196" s="313"/>
      <c r="AO196" s="314" t="str">
        <f>IF($R$3=1,IF(Y196=AA196,"","NE"),IF(#REF!=$V$10,"NE",""))</f>
        <v/>
      </c>
      <c r="AP196" s="315" t="str">
        <f>IF(AB196=$V$3,IF(VLOOKUP(C196,[1]List1!$A:$E,5,FALSE)=0,1,VLOOKUP(C196,[1]List1!$A:$E,5,FALSE)),"")</f>
        <v/>
      </c>
      <c r="AW196" s="458">
        <f>IFERROR(FIND(VLOOKUP('General price list'!$AB$7,'General price list'!$AC$1:$AD$12,2,FALSE),Q196,1),0)</f>
        <v>0</v>
      </c>
      <c r="AX196" s="458">
        <f>IFERROR(FIND(VLOOKUP('General price list'!$AB$7,'General price list'!$AC$1:$AD$12,2,FALSE),R196,1),0)</f>
        <v>0</v>
      </c>
    </row>
    <row r="197" spans="1:50" ht="15" customHeight="1">
      <c r="A197" s="691" t="str">
        <f>Kat.!C197</f>
        <v xml:space="preserve">                                          </v>
      </c>
      <c r="B197" s="692">
        <v>176</v>
      </c>
      <c r="C197" s="693" t="s">
        <v>2467</v>
      </c>
      <c r="D197" s="693" t="s">
        <v>2468</v>
      </c>
      <c r="E197" s="694" t="s">
        <v>129</v>
      </c>
      <c r="F197" s="695">
        <f>VLOOKUP(C197,[2]List1!$A:$D,2,FALSE)</f>
        <v>1830</v>
      </c>
      <c r="G197" s="696">
        <f t="shared" si="29"/>
        <v>1830</v>
      </c>
      <c r="H197" s="697">
        <f t="shared" si="30"/>
        <v>74.5</v>
      </c>
      <c r="I197" s="837">
        <v>1</v>
      </c>
      <c r="J197" s="698"/>
      <c r="K197" s="856"/>
      <c r="L197" s="857" t="s">
        <v>13622</v>
      </c>
      <c r="M197" s="698"/>
      <c r="N197" s="869">
        <f>IFERROR(VLOOKUP(C197,[3]List1!$A:$D,4,FALSE),"N/A!")</f>
        <v>0</v>
      </c>
      <c r="O197" s="837">
        <f>IFERROR(VLOOKUP(C197,[3]List1!$A:$D,3,FALSE),"N/A!")</f>
        <v>0</v>
      </c>
      <c r="P197" s="837">
        <f>IFERROR(VLOOKUP(C197,[3]List1!$A:$D,2,FALSE),"N/A!")</f>
        <v>500</v>
      </c>
      <c r="Q197" s="698" t="s">
        <v>24</v>
      </c>
      <c r="R197" s="698" t="s">
        <v>24</v>
      </c>
      <c r="S197" s="698"/>
      <c r="T197" s="695"/>
      <c r="U197" s="874"/>
      <c r="V197" s="699" t="str">
        <f>_xlfn.IFNA(HYPERLINK("https://www.klasekpyrotechnics.cz/vdle1l"),"")</f>
        <v>https://www.klasekpyrotechnics.cz/vdle1l</v>
      </c>
      <c r="W197" s="700" t="str">
        <f>IFERROR(VLOOKUP($C197,Popisy!A:P,MATCH($W$17,Popisy!$A$7:$P$7,0),FALSE),"---------------")</f>
        <v>Dumbum waistcoat softshell L-limited edition</v>
      </c>
      <c r="X197" s="891" t="str">
        <f t="shared" si="31"/>
        <v/>
      </c>
      <c r="Y197" s="892"/>
      <c r="Z197" s="700" t="str">
        <f>IFERROR(IF(VLOOKUP(C197,[4]List1!$A:$D,4,FALSE)=0,"",VLOOKUP(C197,[4]List1!$A:$D,4,FALSE)),"")</f>
        <v/>
      </c>
      <c r="AA197" s="707"/>
      <c r="AB197" s="912" t="str">
        <f>IFERROR(IF(VLOOKUP(C197,[1]List1!$A:$D,2,FALSE)="VYPRODÁNO",$V$9,IF(VLOOKUP(C197,[1]List1!$A:$D,2,FALSE)="DOCHÁZÍ",$V$3,VLOOKUP(C197,[1]List1!$A:$D,2,FALSE))),"OFFLINE!")</f>
        <v>SKLADEM</v>
      </c>
      <c r="AC197" s="912" t="str">
        <f ca="1">IF(AO197="NE",$V$10,IF(AB197=$V$3,IF(AP197&lt;1,$V$8,$V$2&amp;" "&amp;AP197&amp;" "&amp;$V$1),IF(AB197="SKLADEM",$V$6,IFERROR(IF(OR(AB197-TODAY()&gt;21,VLOOKUP(C197,[1]List1!$A:$E,4,FALSE)=0),AB197,DAY(AB197)&amp;"."&amp;MONTH(AB197)&amp;"."&amp;YEAR(AB197)&amp;" "&amp;$V$4&amp;VLOOKUP(C197,[1]List1!$A:$E,4,FALSE)&amp;" "&amp;$V$1),AB197))))</f>
        <v>AUF LAGER</v>
      </c>
      <c r="AD197" s="701" t="str">
        <f ca="1">_xlfn.IFNA(VLOOKUP(C197,'General price list'!C:AM,MATCH($AD$20,'General price list'!$C$20:$AM$20,0),FALSE),"")</f>
        <v>AUF LAGER</v>
      </c>
      <c r="AE197" s="695">
        <f t="shared" ca="1" si="32"/>
        <v>0</v>
      </c>
      <c r="AF197" s="695">
        <f t="shared" ca="1" si="33"/>
        <v>0</v>
      </c>
      <c r="AG197" s="702">
        <f t="shared" ca="1" si="34"/>
        <v>0</v>
      </c>
      <c r="AH197" s="703">
        <f t="shared" ca="1" si="35"/>
        <v>0</v>
      </c>
      <c r="AI197" s="702">
        <f t="shared" ca="1" si="36"/>
        <v>0</v>
      </c>
      <c r="AJ197" s="704" t="str">
        <f t="shared" ca="1" si="37"/>
        <v/>
      </c>
      <c r="AK197" s="704" t="str">
        <f t="shared" ca="1" si="38"/>
        <v/>
      </c>
      <c r="AL197" s="704" t="str">
        <f t="shared" ca="1" si="39"/>
        <v/>
      </c>
      <c r="AM197" s="705" t="str">
        <f t="shared" ca="1" si="40"/>
        <v/>
      </c>
      <c r="AN197" s="313"/>
      <c r="AO197" s="314" t="str">
        <f>IF($R$3=1,IF(Y197=AA197,"","NE"),IF(#REF!=$V$10,"NE",""))</f>
        <v/>
      </c>
      <c r="AP197" s="315" t="str">
        <f>IF(AB197=$V$3,IF(VLOOKUP(C197,[1]List1!$A:$E,5,FALSE)=0,1,VLOOKUP(C197,[1]List1!$A:$E,5,FALSE)),"")</f>
        <v/>
      </c>
      <c r="AW197" s="458">
        <f>IFERROR(FIND(VLOOKUP('General price list'!$AB$7,'General price list'!$AC$1:$AD$12,2,FALSE),Q197,1),0)</f>
        <v>0</v>
      </c>
      <c r="AX197" s="458">
        <f>IFERROR(FIND(VLOOKUP('General price list'!$AB$7,'General price list'!$AC$1:$AD$12,2,FALSE),R197,1),0)</f>
        <v>0</v>
      </c>
    </row>
    <row r="198" spans="1:50" ht="15" customHeight="1">
      <c r="A198" s="677" t="str">
        <f>Kat.!C198</f>
        <v xml:space="preserve">                                          </v>
      </c>
      <c r="B198" s="678">
        <v>177</v>
      </c>
      <c r="C198" s="679" t="s">
        <v>2469</v>
      </c>
      <c r="D198" s="679" t="s">
        <v>2470</v>
      </c>
      <c r="E198" s="680" t="s">
        <v>129</v>
      </c>
      <c r="F198" s="681">
        <f>VLOOKUP(C198,[2]List1!$A:$D,2,FALSE)</f>
        <v>1830</v>
      </c>
      <c r="G198" s="682">
        <f t="shared" si="29"/>
        <v>1830</v>
      </c>
      <c r="H198" s="683">
        <f t="shared" si="30"/>
        <v>74.5</v>
      </c>
      <c r="I198" s="836">
        <v>1</v>
      </c>
      <c r="J198" s="680"/>
      <c r="K198" s="854"/>
      <c r="L198" s="855" t="s">
        <v>13622</v>
      </c>
      <c r="M198" s="680"/>
      <c r="N198" s="868">
        <f>IFERROR(VLOOKUP(C198,[3]List1!$A:$D,4,FALSE),"N/A!")</f>
        <v>0</v>
      </c>
      <c r="O198" s="836">
        <f>IFERROR(VLOOKUP(C198,[3]List1!$A:$D,3,FALSE),"N/A!")</f>
        <v>0</v>
      </c>
      <c r="P198" s="836">
        <f>IFERROR(VLOOKUP(C198,[3]List1!$A:$D,2,FALSE),"N/A!")</f>
        <v>500</v>
      </c>
      <c r="Q198" s="680" t="s">
        <v>24</v>
      </c>
      <c r="R198" s="680" t="s">
        <v>24</v>
      </c>
      <c r="S198" s="680"/>
      <c r="T198" s="681"/>
      <c r="U198" s="873"/>
      <c r="V198" s="684" t="str">
        <f>_xlfn.IFNA(HYPERLINK("https://www.klasekpyrotechnics.cz/vdle1xl"),"")</f>
        <v>https://www.klasekpyrotechnics.cz/vdle1xl</v>
      </c>
      <c r="W198" s="685" t="str">
        <f>IFERROR(VLOOKUP($C198,Popisy!A:P,MATCH($W$17,Popisy!$A$7:$P$7,0),FALSE),"---------------")</f>
        <v>Dumbum waistcoat softshell XL-limited edition</v>
      </c>
      <c r="X198" s="889" t="str">
        <f t="shared" si="31"/>
        <v/>
      </c>
      <c r="Y198" s="890"/>
      <c r="Z198" s="685" t="str">
        <f>IFERROR(IF(VLOOKUP(C198,[4]List1!$A:$D,4,FALSE)=0,"",VLOOKUP(C198,[4]List1!$A:$D,4,FALSE)),"")</f>
        <v/>
      </c>
      <c r="AA198" s="707"/>
      <c r="AB198" s="911" t="str">
        <f>IFERROR(IF(VLOOKUP(C198,[1]List1!$A:$D,2,FALSE)="VYPRODÁNO",$V$9,IF(VLOOKUP(C198,[1]List1!$A:$D,2,FALSE)="DOCHÁZÍ",$V$3,VLOOKUP(C198,[1]List1!$A:$D,2,FALSE))),"OFFLINE!")</f>
        <v>SKLADEM</v>
      </c>
      <c r="AC198" s="911" t="str">
        <f ca="1">IF(AO198="NE",$V$10,IF(AB198=$V$3,IF(AP198&lt;1,$V$8,$V$2&amp;" "&amp;AP198&amp;" "&amp;$V$1),IF(AB198="SKLADEM",$V$6,IFERROR(IF(OR(AB198-TODAY()&gt;21,VLOOKUP(C198,[1]List1!$A:$E,4,FALSE)=0),AB198,DAY(AB198)&amp;"."&amp;MONTH(AB198)&amp;"."&amp;YEAR(AB198)&amp;" "&amp;$V$4&amp;VLOOKUP(C198,[1]List1!$A:$E,4,FALSE)&amp;" "&amp;$V$1),AB198))))</f>
        <v>AUF LAGER</v>
      </c>
      <c r="AD198" s="686" t="str">
        <f ca="1">_xlfn.IFNA(VLOOKUP(C198,'General price list'!C:AM,MATCH($AD$20,'General price list'!$C$20:$AM$20,0),FALSE),"")</f>
        <v>AUF LAGER</v>
      </c>
      <c r="AE198" s="681">
        <f t="shared" ca="1" si="32"/>
        <v>0</v>
      </c>
      <c r="AF198" s="681">
        <f t="shared" ca="1" si="33"/>
        <v>0</v>
      </c>
      <c r="AG198" s="687">
        <f t="shared" ca="1" si="34"/>
        <v>0</v>
      </c>
      <c r="AH198" s="688">
        <f t="shared" ca="1" si="35"/>
        <v>0</v>
      </c>
      <c r="AI198" s="687">
        <f t="shared" ca="1" si="36"/>
        <v>0</v>
      </c>
      <c r="AJ198" s="689" t="str">
        <f t="shared" ca="1" si="37"/>
        <v/>
      </c>
      <c r="AK198" s="689" t="str">
        <f t="shared" ca="1" si="38"/>
        <v/>
      </c>
      <c r="AL198" s="689" t="str">
        <f t="shared" ca="1" si="39"/>
        <v/>
      </c>
      <c r="AM198" s="690" t="str">
        <f t="shared" ca="1" si="40"/>
        <v/>
      </c>
      <c r="AN198" s="382"/>
      <c r="AO198" s="314" t="str">
        <f>IF($R$3=1,IF(Y198=AA198,"","NE"),IF(#REF!=$V$10,"NE",""))</f>
        <v/>
      </c>
      <c r="AP198" s="315" t="str">
        <f>IF(AB198=$V$3,IF(VLOOKUP(C198,[1]List1!$A:$E,5,FALSE)=0,1,VLOOKUP(C198,[1]List1!$A:$E,5,FALSE)),"")</f>
        <v/>
      </c>
      <c r="AW198" s="458">
        <f>IFERROR(FIND(VLOOKUP('General price list'!$AB$7,'General price list'!$AC$1:$AD$12,2,FALSE),Q198,1),0)</f>
        <v>0</v>
      </c>
      <c r="AX198" s="458">
        <f>IFERROR(FIND(VLOOKUP('General price list'!$AB$7,'General price list'!$AC$1:$AD$12,2,FALSE),R198,1),0)</f>
        <v>0</v>
      </c>
    </row>
    <row r="199" spans="1:50" ht="15" customHeight="1">
      <c r="A199" s="691" t="str">
        <f>Kat.!C199</f>
        <v xml:space="preserve">                                          </v>
      </c>
      <c r="B199" s="692">
        <v>178</v>
      </c>
      <c r="C199" s="693" t="s">
        <v>2471</v>
      </c>
      <c r="D199" s="693" t="s">
        <v>2472</v>
      </c>
      <c r="E199" s="694" t="s">
        <v>129</v>
      </c>
      <c r="F199" s="695">
        <f>VLOOKUP(C199,[2]List1!$A:$D,2,FALSE)</f>
        <v>1830</v>
      </c>
      <c r="G199" s="696">
        <f t="shared" si="29"/>
        <v>1830</v>
      </c>
      <c r="H199" s="697">
        <f t="shared" si="30"/>
        <v>74.5</v>
      </c>
      <c r="I199" s="837">
        <v>1</v>
      </c>
      <c r="J199" s="698"/>
      <c r="K199" s="856"/>
      <c r="L199" s="857" t="s">
        <v>13622</v>
      </c>
      <c r="M199" s="698"/>
      <c r="N199" s="869">
        <f>IFERROR(VLOOKUP(C199,[3]List1!$A:$D,4,FALSE),"N/A!")</f>
        <v>0</v>
      </c>
      <c r="O199" s="837">
        <f>IFERROR(VLOOKUP(C199,[3]List1!$A:$D,3,FALSE),"N/A!")</f>
        <v>0</v>
      </c>
      <c r="P199" s="837">
        <f>IFERROR(VLOOKUP(C199,[3]List1!$A:$D,2,FALSE),"N/A!")</f>
        <v>500</v>
      </c>
      <c r="Q199" s="698" t="s">
        <v>24</v>
      </c>
      <c r="R199" s="698" t="s">
        <v>24</v>
      </c>
      <c r="S199" s="698"/>
      <c r="T199" s="695"/>
      <c r="U199" s="874"/>
      <c r="V199" s="699" t="str">
        <f>_xlfn.IFNA(HYPERLINK("https://www.klasekpyrotechnics.cz/vdle1xxl"),"")</f>
        <v>https://www.klasekpyrotechnics.cz/vdle1xxl</v>
      </c>
      <c r="W199" s="700" t="str">
        <f>IFERROR(VLOOKUP($C199,Popisy!A:P,MATCH($W$17,Popisy!$A$7:$P$7,0),FALSE),"---------------")</f>
        <v>Dumbum waistcoat softshell XXL-limited edition</v>
      </c>
      <c r="X199" s="891" t="str">
        <f t="shared" si="31"/>
        <v/>
      </c>
      <c r="Y199" s="892"/>
      <c r="Z199" s="700" t="str">
        <f>IFERROR(IF(VLOOKUP(C199,[4]List1!$A:$D,4,FALSE)=0,"",VLOOKUP(C199,[4]List1!$A:$D,4,FALSE)),"")</f>
        <v/>
      </c>
      <c r="AA199" s="707"/>
      <c r="AB199" s="912" t="str">
        <f>IFERROR(IF(VLOOKUP(C199,[1]List1!$A:$D,2,FALSE)="VYPRODÁNO",$V$9,IF(VLOOKUP(C199,[1]List1!$A:$D,2,FALSE)="DOCHÁZÍ",$V$3,VLOOKUP(C199,[1]List1!$A:$D,2,FALSE))),"OFFLINE!")</f>
        <v>SKLADEM</v>
      </c>
      <c r="AC199" s="912" t="str">
        <f ca="1">IF(AO199="NE",$V$10,IF(AB199=$V$3,IF(AP199&lt;1,$V$8,$V$2&amp;" "&amp;AP199&amp;" "&amp;$V$1),IF(AB199="SKLADEM",$V$6,IFERROR(IF(OR(AB199-TODAY()&gt;21,VLOOKUP(C199,[1]List1!$A:$E,4,FALSE)=0),AB199,DAY(AB199)&amp;"."&amp;MONTH(AB199)&amp;"."&amp;YEAR(AB199)&amp;" "&amp;$V$4&amp;VLOOKUP(C199,[1]List1!$A:$E,4,FALSE)&amp;" "&amp;$V$1),AB199))))</f>
        <v>AUF LAGER</v>
      </c>
      <c r="AD199" s="701" t="str">
        <f ca="1">_xlfn.IFNA(VLOOKUP(C199,'General price list'!C:AM,MATCH($AD$20,'General price list'!$C$20:$AM$20,0),FALSE),"")</f>
        <v>AUF LAGER</v>
      </c>
      <c r="AE199" s="695">
        <f t="shared" ca="1" si="32"/>
        <v>0</v>
      </c>
      <c r="AF199" s="695">
        <f t="shared" ca="1" si="33"/>
        <v>0</v>
      </c>
      <c r="AG199" s="702">
        <f t="shared" ca="1" si="34"/>
        <v>0</v>
      </c>
      <c r="AH199" s="703">
        <f t="shared" ca="1" si="35"/>
        <v>0</v>
      </c>
      <c r="AI199" s="702">
        <f t="shared" ca="1" si="36"/>
        <v>0</v>
      </c>
      <c r="AJ199" s="704" t="str">
        <f t="shared" ca="1" si="37"/>
        <v/>
      </c>
      <c r="AK199" s="704" t="str">
        <f t="shared" ca="1" si="38"/>
        <v/>
      </c>
      <c r="AL199" s="704" t="str">
        <f t="shared" ca="1" si="39"/>
        <v/>
      </c>
      <c r="AM199" s="705" t="str">
        <f t="shared" ca="1" si="40"/>
        <v/>
      </c>
      <c r="AN199" s="382"/>
      <c r="AO199" s="314" t="str">
        <f>IF($R$3=1,IF(Y199=AA199,"","NE"),IF(#REF!=$V$10,"NE",""))</f>
        <v/>
      </c>
      <c r="AP199" s="315" t="str">
        <f>IF(AB199=$V$3,IF(VLOOKUP(C199,[1]List1!$A:$E,5,FALSE)=0,1,VLOOKUP(C199,[1]List1!$A:$E,5,FALSE)),"")</f>
        <v/>
      </c>
      <c r="AW199" s="458">
        <f>IFERROR(FIND(VLOOKUP('General price list'!$AB$7,'General price list'!$AC$1:$AD$12,2,FALSE),Q199,1),0)</f>
        <v>0</v>
      </c>
      <c r="AX199" s="458">
        <f>IFERROR(FIND(VLOOKUP('General price list'!$AB$7,'General price list'!$AC$1:$AD$12,2,FALSE),R199,1),0)</f>
        <v>0</v>
      </c>
    </row>
    <row r="200" spans="1:50" ht="15" customHeight="1">
      <c r="A200" s="677" t="str">
        <f>Kat.!C200</f>
        <v xml:space="preserve">                                          </v>
      </c>
      <c r="B200" s="678">
        <v>179</v>
      </c>
      <c r="C200" s="679" t="s">
        <v>2473</v>
      </c>
      <c r="D200" s="679" t="s">
        <v>2474</v>
      </c>
      <c r="E200" s="680" t="s">
        <v>129</v>
      </c>
      <c r="F200" s="681">
        <f>VLOOKUP(C200,[2]List1!$A:$D,2,FALSE)</f>
        <v>2330</v>
      </c>
      <c r="G200" s="682">
        <f t="shared" si="29"/>
        <v>2330</v>
      </c>
      <c r="H200" s="683">
        <f t="shared" si="30"/>
        <v>94.8</v>
      </c>
      <c r="I200" s="836">
        <v>1</v>
      </c>
      <c r="J200" s="680"/>
      <c r="K200" s="854"/>
      <c r="L200" s="855" t="s">
        <v>13622</v>
      </c>
      <c r="M200" s="680"/>
      <c r="N200" s="868">
        <f>IFERROR(VLOOKUP(C200,[3]List1!$A:$D,4,FALSE),"N/A!")</f>
        <v>0</v>
      </c>
      <c r="O200" s="836">
        <f>IFERROR(VLOOKUP(C200,[3]List1!$A:$D,3,FALSE),"N/A!")</f>
        <v>0</v>
      </c>
      <c r="P200" s="836">
        <f>IFERROR(VLOOKUP(C200,[3]List1!$A:$D,2,FALSE),"N/A!")</f>
        <v>805</v>
      </c>
      <c r="Q200" s="680" t="s">
        <v>24</v>
      </c>
      <c r="R200" s="680" t="s">
        <v>24</v>
      </c>
      <c r="S200" s="680"/>
      <c r="T200" s="681"/>
      <c r="U200" s="873"/>
      <c r="V200" s="684" t="str">
        <f>_xlfn.IFNA(HYPERLINK("https://www.klasekpyrotechnics.cz/bdle1m"),"")</f>
        <v>https://www.klasekpyrotechnics.cz/bdle1m</v>
      </c>
      <c r="W200" s="685" t="str">
        <f>IFERROR(VLOOKUP($C200,Popisy!A:P,MATCH($W$17,Popisy!$A$7:$P$7,0),FALSE),"---------------")</f>
        <v>Dumbum fleece coat M -limited edition</v>
      </c>
      <c r="X200" s="889" t="str">
        <f t="shared" si="31"/>
        <v/>
      </c>
      <c r="Y200" s="890"/>
      <c r="Z200" s="685" t="str">
        <f>IFERROR(IF(VLOOKUP(C200,[4]List1!$A:$D,4,FALSE)=0,"",VLOOKUP(C200,[4]List1!$A:$D,4,FALSE)),"")</f>
        <v/>
      </c>
      <c r="AA200" s="707"/>
      <c r="AB200" s="911" t="str">
        <f>IFERROR(IF(VLOOKUP(C200,[1]List1!$A:$D,2,FALSE)="VYPRODÁNO",$V$9,IF(VLOOKUP(C200,[1]List1!$A:$D,2,FALSE)="DOCHÁZÍ",$V$3,VLOOKUP(C200,[1]List1!$A:$D,2,FALSE))),"OFFLINE!")</f>
        <v>16.02.2024</v>
      </c>
      <c r="AC200" s="911" t="str">
        <f ca="1">IF(AO200="NE",$V$10,IF(AB200=$V$3,IF(AP200&lt;1,$V$8,$V$2&amp;" "&amp;AP200&amp;" "&amp;$V$1),IF(AB200="SKLADEM",$V$6,IFERROR(IF(OR(AB200-TODAY()&gt;21,VLOOKUP(C200,[1]List1!$A:$E,4,FALSE)=0),AB200,DAY(AB200)&amp;"."&amp;MONTH(AB200)&amp;"."&amp;YEAR(AB200)&amp;" "&amp;$V$4&amp;VLOOKUP(C200,[1]List1!$A:$E,4,FALSE)&amp;" "&amp;$V$1),AB200))))</f>
        <v>16.2.2024 KOMMT 10 KTN</v>
      </c>
      <c r="AD200" s="686" t="str">
        <f ca="1">_xlfn.IFNA(VLOOKUP(C200,'General price list'!C:AM,MATCH($AD$20,'General price list'!$C$20:$AM$20,0),FALSE),"")</f>
        <v>16.2.2024 KOMMT 10 KTN</v>
      </c>
      <c r="AE200" s="681">
        <f t="shared" ca="1" si="32"/>
        <v>0</v>
      </c>
      <c r="AF200" s="681">
        <f t="shared" ca="1" si="33"/>
        <v>0</v>
      </c>
      <c r="AG200" s="687">
        <f t="shared" ca="1" si="34"/>
        <v>0</v>
      </c>
      <c r="AH200" s="688">
        <f t="shared" ca="1" si="35"/>
        <v>0</v>
      </c>
      <c r="AI200" s="687">
        <f t="shared" ca="1" si="36"/>
        <v>0</v>
      </c>
      <c r="AJ200" s="689" t="str">
        <f t="shared" ca="1" si="37"/>
        <v/>
      </c>
      <c r="AK200" s="689" t="str">
        <f t="shared" ca="1" si="38"/>
        <v/>
      </c>
      <c r="AL200" s="689" t="str">
        <f t="shared" ca="1" si="39"/>
        <v/>
      </c>
      <c r="AM200" s="690" t="str">
        <f t="shared" ca="1" si="40"/>
        <v/>
      </c>
      <c r="AN200" s="381"/>
      <c r="AO200" s="314" t="str">
        <f>IF($R$3=1,IF(Y200=AA200,"","NE"),IF(#REF!=$V$10,"NE",""))</f>
        <v/>
      </c>
      <c r="AP200" s="315" t="str">
        <f>IF(AB200=$V$3,IF(VLOOKUP(C200,[1]List1!$A:$E,5,FALSE)=0,1,VLOOKUP(C200,[1]List1!$A:$E,5,FALSE)),"")</f>
        <v/>
      </c>
      <c r="AW200" s="458">
        <f>IFERROR(FIND(VLOOKUP('General price list'!$AB$7,'General price list'!$AC$1:$AD$12,2,FALSE),Q200,1),0)</f>
        <v>0</v>
      </c>
      <c r="AX200" s="458">
        <f>IFERROR(FIND(VLOOKUP('General price list'!$AB$7,'General price list'!$AC$1:$AD$12,2,FALSE),R200,1),0)</f>
        <v>0</v>
      </c>
    </row>
    <row r="201" spans="1:50" ht="15" customHeight="1">
      <c r="A201" s="691" t="str">
        <f>Kat.!C201</f>
        <v xml:space="preserve">                                          </v>
      </c>
      <c r="B201" s="692">
        <v>180</v>
      </c>
      <c r="C201" s="693" t="s">
        <v>2475</v>
      </c>
      <c r="D201" s="693" t="s">
        <v>2476</v>
      </c>
      <c r="E201" s="694" t="s">
        <v>129</v>
      </c>
      <c r="F201" s="695">
        <f>VLOOKUP(C201,[2]List1!$A:$D,2,FALSE)</f>
        <v>2330</v>
      </c>
      <c r="G201" s="696">
        <f t="shared" si="29"/>
        <v>2330</v>
      </c>
      <c r="H201" s="697">
        <f t="shared" si="30"/>
        <v>94.8</v>
      </c>
      <c r="I201" s="837">
        <v>1</v>
      </c>
      <c r="J201" s="698"/>
      <c r="K201" s="856"/>
      <c r="L201" s="857" t="s">
        <v>13622</v>
      </c>
      <c r="M201" s="698"/>
      <c r="N201" s="869">
        <f>IFERROR(VLOOKUP(C201,[3]List1!$A:$D,4,FALSE),"N/A!")</f>
        <v>0</v>
      </c>
      <c r="O201" s="837">
        <f>IFERROR(VLOOKUP(C201,[3]List1!$A:$D,3,FALSE),"N/A!")</f>
        <v>0</v>
      </c>
      <c r="P201" s="837">
        <f>IFERROR(VLOOKUP(C201,[3]List1!$A:$D,2,FALSE),"N/A!")</f>
        <v>823</v>
      </c>
      <c r="Q201" s="698" t="s">
        <v>24</v>
      </c>
      <c r="R201" s="698" t="s">
        <v>24</v>
      </c>
      <c r="S201" s="698"/>
      <c r="T201" s="695"/>
      <c r="U201" s="874"/>
      <c r="V201" s="699" t="str">
        <f>_xlfn.IFNA(HYPERLINK("https://www.klasekpyrotechnics.cz/bdle1l"),"")</f>
        <v>https://www.klasekpyrotechnics.cz/bdle1l</v>
      </c>
      <c r="W201" s="700" t="str">
        <f>IFERROR(VLOOKUP($C201,Popisy!A:P,MATCH($W$17,Popisy!$A$7:$P$7,0),FALSE),"---------------")</f>
        <v>Dumbum fleece coat L -limited edition</v>
      </c>
      <c r="X201" s="891" t="str">
        <f t="shared" si="31"/>
        <v/>
      </c>
      <c r="Y201" s="892"/>
      <c r="Z201" s="700" t="str">
        <f>IFERROR(IF(VLOOKUP(C201,[4]List1!$A:$D,4,FALSE)=0,"",VLOOKUP(C201,[4]List1!$A:$D,4,FALSE)),"")</f>
        <v/>
      </c>
      <c r="AA201" s="707"/>
      <c r="AB201" s="912" t="str">
        <f>IFERROR(IF(VLOOKUP(C201,[1]List1!$A:$D,2,FALSE)="VYPRODÁNO",$V$9,IF(VLOOKUP(C201,[1]List1!$A:$D,2,FALSE)="DOCHÁZÍ",$V$3,VLOOKUP(C201,[1]List1!$A:$D,2,FALSE))),"OFFLINE!")</f>
        <v>LETZTE STÜCKE</v>
      </c>
      <c r="AC201" s="912" t="str">
        <f ca="1">IF(AO201="NE",$V$10,IF(AB201=$V$3,IF(AP201&lt;1,$V$8,$V$2&amp;" "&amp;AP201&amp;" "&amp;$V$1),IF(AB201="SKLADEM",$V$6,IFERROR(IF(OR(AB201-TODAY()&gt;21,VLOOKUP(C201,[1]List1!$A:$E,4,FALSE)=0),AB201,DAY(AB201)&amp;"."&amp;MONTH(AB201)&amp;"."&amp;YEAR(AB201)&amp;" "&amp;$V$4&amp;VLOOKUP(C201,[1]List1!$A:$E,4,FALSE)&amp;" "&amp;$V$1),AB201))))</f>
        <v>LETZTE 2 KTN</v>
      </c>
      <c r="AD201" s="701" t="str">
        <f ca="1">_xlfn.IFNA(VLOOKUP(C201,'General price list'!C:AM,MATCH($AD$20,'General price list'!$C$20:$AM$20,0),FALSE),"")</f>
        <v>LETZTE 2 KTN</v>
      </c>
      <c r="AE201" s="695">
        <f t="shared" ca="1" si="32"/>
        <v>0</v>
      </c>
      <c r="AF201" s="695">
        <f t="shared" ca="1" si="33"/>
        <v>0</v>
      </c>
      <c r="AG201" s="702">
        <f t="shared" ca="1" si="34"/>
        <v>0</v>
      </c>
      <c r="AH201" s="703">
        <f t="shared" ca="1" si="35"/>
        <v>0</v>
      </c>
      <c r="AI201" s="702">
        <f t="shared" ca="1" si="36"/>
        <v>0</v>
      </c>
      <c r="AJ201" s="704" t="str">
        <f t="shared" ca="1" si="37"/>
        <v/>
      </c>
      <c r="AK201" s="704" t="str">
        <f t="shared" ca="1" si="38"/>
        <v/>
      </c>
      <c r="AL201" s="704" t="str">
        <f t="shared" ca="1" si="39"/>
        <v/>
      </c>
      <c r="AM201" s="705" t="str">
        <f t="shared" ca="1" si="40"/>
        <v/>
      </c>
      <c r="AN201" s="313"/>
      <c r="AO201" s="314" t="str">
        <f>IF($R$3=1,IF(Y201=AA201,"","NE"),IF(#REF!=$V$10,"NE",""))</f>
        <v/>
      </c>
      <c r="AP201" s="315">
        <f>IF(AB201=$V$3,IF(VLOOKUP(C201,[1]List1!$A:$E,5,FALSE)=0,1,VLOOKUP(C201,[1]List1!$A:$E,5,FALSE)),"")</f>
        <v>2</v>
      </c>
      <c r="AW201" s="458">
        <f>IFERROR(FIND(VLOOKUP('General price list'!$AB$7,'General price list'!$AC$1:$AD$12,2,FALSE),Q201,1),0)</f>
        <v>0</v>
      </c>
      <c r="AX201" s="458">
        <f>IFERROR(FIND(VLOOKUP('General price list'!$AB$7,'General price list'!$AC$1:$AD$12,2,FALSE),R201,1),0)</f>
        <v>0</v>
      </c>
    </row>
    <row r="202" spans="1:50" ht="15" customHeight="1">
      <c r="A202" s="677" t="str">
        <f>Kat.!C202</f>
        <v xml:space="preserve">                                          </v>
      </c>
      <c r="B202" s="678">
        <v>181</v>
      </c>
      <c r="C202" s="679" t="s">
        <v>2477</v>
      </c>
      <c r="D202" s="679" t="s">
        <v>2478</v>
      </c>
      <c r="E202" s="680" t="s">
        <v>129</v>
      </c>
      <c r="F202" s="681">
        <f>VLOOKUP(C202,[2]List1!$A:$D,2,FALSE)</f>
        <v>2330</v>
      </c>
      <c r="G202" s="682">
        <f t="shared" si="29"/>
        <v>2330</v>
      </c>
      <c r="H202" s="683">
        <f t="shared" si="30"/>
        <v>94.8</v>
      </c>
      <c r="I202" s="836">
        <v>1</v>
      </c>
      <c r="J202" s="680"/>
      <c r="K202" s="854"/>
      <c r="L202" s="855" t="s">
        <v>13622</v>
      </c>
      <c r="M202" s="680"/>
      <c r="N202" s="868">
        <f>IFERROR(VLOOKUP(C202,[3]List1!$A:$D,4,FALSE),"N/A!")</f>
        <v>0</v>
      </c>
      <c r="O202" s="836">
        <f>IFERROR(VLOOKUP(C202,[3]List1!$A:$D,3,FALSE),"N/A!")</f>
        <v>0</v>
      </c>
      <c r="P202" s="836">
        <f>IFERROR(VLOOKUP(C202,[3]List1!$A:$D,2,FALSE),"N/A!")</f>
        <v>862</v>
      </c>
      <c r="Q202" s="680" t="s">
        <v>24</v>
      </c>
      <c r="R202" s="680" t="s">
        <v>24</v>
      </c>
      <c r="S202" s="680"/>
      <c r="T202" s="681"/>
      <c r="U202" s="873"/>
      <c r="V202" s="684" t="str">
        <f>_xlfn.IFNA(HYPERLINK("https://www.klasekpyrotechnics.cz/bdle1xl"),"")</f>
        <v>https://www.klasekpyrotechnics.cz/bdle1xl</v>
      </c>
      <c r="W202" s="685" t="str">
        <f>IFERROR(VLOOKUP($C202,Popisy!A:P,MATCH($W$17,Popisy!$A$7:$P$7,0),FALSE),"---------------")</f>
        <v>Dumbum fleece coat XL -limited edition</v>
      </c>
      <c r="X202" s="889" t="str">
        <f t="shared" si="31"/>
        <v/>
      </c>
      <c r="Y202" s="890"/>
      <c r="Z202" s="685" t="str">
        <f>IFERROR(IF(VLOOKUP(C202,[4]List1!$A:$D,4,FALSE)=0,"",VLOOKUP(C202,[4]List1!$A:$D,4,FALSE)),"")</f>
        <v/>
      </c>
      <c r="AA202" s="707"/>
      <c r="AB202" s="911" t="str">
        <f>IFERROR(IF(VLOOKUP(C202,[1]List1!$A:$D,2,FALSE)="VYPRODÁNO",$V$9,IF(VLOOKUP(C202,[1]List1!$A:$D,2,FALSE)="DOCHÁZÍ",$V$3,VLOOKUP(C202,[1]List1!$A:$D,2,FALSE))),"OFFLINE!")</f>
        <v>16.02.2024</v>
      </c>
      <c r="AC202" s="911" t="str">
        <f ca="1">IF(AO202="NE",$V$10,IF(AB202=$V$3,IF(AP202&lt;1,$V$8,$V$2&amp;" "&amp;AP202&amp;" "&amp;$V$1),IF(AB202="SKLADEM",$V$6,IFERROR(IF(OR(AB202-TODAY()&gt;21,VLOOKUP(C202,[1]List1!$A:$E,4,FALSE)=0),AB202,DAY(AB202)&amp;"."&amp;MONTH(AB202)&amp;"."&amp;YEAR(AB202)&amp;" "&amp;$V$4&amp;VLOOKUP(C202,[1]List1!$A:$E,4,FALSE)&amp;" "&amp;$V$1),AB202))))</f>
        <v>16.2.2024 KOMMT 10 KTN</v>
      </c>
      <c r="AD202" s="686" t="str">
        <f ca="1">_xlfn.IFNA(VLOOKUP(C202,'General price list'!C:AM,MATCH($AD$20,'General price list'!$C$20:$AM$20,0),FALSE),"")</f>
        <v>16.2.2024 KOMMT 10 KTN</v>
      </c>
      <c r="AE202" s="681">
        <f t="shared" ca="1" si="32"/>
        <v>0</v>
      </c>
      <c r="AF202" s="681">
        <f t="shared" ca="1" si="33"/>
        <v>0</v>
      </c>
      <c r="AG202" s="687">
        <f t="shared" ca="1" si="34"/>
        <v>0</v>
      </c>
      <c r="AH202" s="688">
        <f t="shared" ca="1" si="35"/>
        <v>0</v>
      </c>
      <c r="AI202" s="687">
        <f t="shared" ca="1" si="36"/>
        <v>0</v>
      </c>
      <c r="AJ202" s="689" t="str">
        <f t="shared" ca="1" si="37"/>
        <v/>
      </c>
      <c r="AK202" s="689" t="str">
        <f t="shared" ca="1" si="38"/>
        <v/>
      </c>
      <c r="AL202" s="689" t="str">
        <f t="shared" ca="1" si="39"/>
        <v/>
      </c>
      <c r="AM202" s="690" t="str">
        <f t="shared" ca="1" si="40"/>
        <v/>
      </c>
      <c r="AN202" s="382"/>
      <c r="AO202" s="314" t="str">
        <f>IF($R$3=1,IF(Y202=AA202,"","NE"),IF(#REF!=$V$10,"NE",""))</f>
        <v/>
      </c>
      <c r="AP202" s="315" t="str">
        <f>IF(AB202=$V$3,IF(VLOOKUP(C202,[1]List1!$A:$E,5,FALSE)=0,1,VLOOKUP(C202,[1]List1!$A:$E,5,FALSE)),"")</f>
        <v/>
      </c>
      <c r="AW202" s="458">
        <f>IFERROR(FIND(VLOOKUP('General price list'!$AB$7,'General price list'!$AC$1:$AD$12,2,FALSE),Q202,1),0)</f>
        <v>0</v>
      </c>
      <c r="AX202" s="458">
        <f>IFERROR(FIND(VLOOKUP('General price list'!$AB$7,'General price list'!$AC$1:$AD$12,2,FALSE),R202,1),0)</f>
        <v>0</v>
      </c>
    </row>
    <row r="203" spans="1:50" ht="15" customHeight="1">
      <c r="A203" s="691" t="str">
        <f>Kat.!C203</f>
        <v xml:space="preserve">                                          </v>
      </c>
      <c r="B203" s="692">
        <v>182</v>
      </c>
      <c r="C203" s="693" t="s">
        <v>2479</v>
      </c>
      <c r="D203" s="693" t="s">
        <v>2480</v>
      </c>
      <c r="E203" s="694" t="s">
        <v>129</v>
      </c>
      <c r="F203" s="695">
        <f>VLOOKUP(C203,[2]List1!$A:$D,2,FALSE)</f>
        <v>2330</v>
      </c>
      <c r="G203" s="696">
        <f t="shared" si="29"/>
        <v>2330</v>
      </c>
      <c r="H203" s="697">
        <f t="shared" si="30"/>
        <v>94.8</v>
      </c>
      <c r="I203" s="837">
        <v>1</v>
      </c>
      <c r="J203" s="698"/>
      <c r="K203" s="856"/>
      <c r="L203" s="857" t="s">
        <v>13622</v>
      </c>
      <c r="M203" s="698"/>
      <c r="N203" s="869">
        <f>IFERROR(VLOOKUP(C203,[3]List1!$A:$D,4,FALSE),"N/A!")</f>
        <v>0</v>
      </c>
      <c r="O203" s="837">
        <f>IFERROR(VLOOKUP(C203,[3]List1!$A:$D,3,FALSE),"N/A!")</f>
        <v>0</v>
      </c>
      <c r="P203" s="837">
        <f>IFERROR(VLOOKUP(C203,[3]List1!$A:$D,2,FALSE),"N/A!")</f>
        <v>912</v>
      </c>
      <c r="Q203" s="698" t="s">
        <v>24</v>
      </c>
      <c r="R203" s="698" t="s">
        <v>24</v>
      </c>
      <c r="S203" s="698"/>
      <c r="T203" s="695"/>
      <c r="U203" s="874"/>
      <c r="V203" s="699" t="str">
        <f>_xlfn.IFNA(HYPERLINK("https://www.klasekpyrotechnics.cz/bdle1xxl"),"")</f>
        <v>https://www.klasekpyrotechnics.cz/bdle1xxl</v>
      </c>
      <c r="W203" s="700" t="str">
        <f>IFERROR(VLOOKUP($C203,Popisy!A:P,MATCH($W$17,Popisy!$A$7:$P$7,0),FALSE),"---------------")</f>
        <v>Dumbum fleece coat XXL -limited edition</v>
      </c>
      <c r="X203" s="891" t="str">
        <f t="shared" si="31"/>
        <v/>
      </c>
      <c r="Y203" s="892"/>
      <c r="Z203" s="700" t="str">
        <f>IFERROR(IF(VLOOKUP(C203,[4]List1!$A:$D,4,FALSE)=0,"",VLOOKUP(C203,[4]List1!$A:$D,4,FALSE)),"")</f>
        <v/>
      </c>
      <c r="AA203" s="707"/>
      <c r="AB203" s="912" t="str">
        <f>IFERROR(IF(VLOOKUP(C203,[1]List1!$A:$D,2,FALSE)="VYPRODÁNO",$V$9,IF(VLOOKUP(C203,[1]List1!$A:$D,2,FALSE)="DOCHÁZÍ",$V$3,VLOOKUP(C203,[1]List1!$A:$D,2,FALSE))),"OFFLINE!")</f>
        <v>AUSVERKAUFT</v>
      </c>
      <c r="AC203" s="912" t="str">
        <f ca="1">IF(AO203="NE",$V$10,IF(AB203=$V$3,IF(AP203&lt;1,$V$8,$V$2&amp;" "&amp;AP203&amp;" "&amp;$V$1),IF(AB203="SKLADEM",$V$6,IFERROR(IF(OR(AB203-TODAY()&gt;21,VLOOKUP(C203,[1]List1!$A:$E,4,FALSE)=0),AB203,DAY(AB203)&amp;"."&amp;MONTH(AB203)&amp;"."&amp;YEAR(AB203)&amp;" "&amp;$V$4&amp;VLOOKUP(C203,[1]List1!$A:$E,4,FALSE)&amp;" "&amp;$V$1),AB203))))</f>
        <v>AUSVERKAUFT</v>
      </c>
      <c r="AD203" s="701" t="str">
        <f ca="1">_xlfn.IFNA(VLOOKUP(C203,'General price list'!C:AM,MATCH($AD$20,'General price list'!$C$20:$AM$20,0),FALSE),"")</f>
        <v>AUSVERKAUFT</v>
      </c>
      <c r="AE203" s="695">
        <f t="shared" ca="1" si="32"/>
        <v>0</v>
      </c>
      <c r="AF203" s="695">
        <f t="shared" ca="1" si="33"/>
        <v>0</v>
      </c>
      <c r="AG203" s="702">
        <f t="shared" ca="1" si="34"/>
        <v>0</v>
      </c>
      <c r="AH203" s="703">
        <f t="shared" ca="1" si="35"/>
        <v>0</v>
      </c>
      <c r="AI203" s="702">
        <f t="shared" ca="1" si="36"/>
        <v>0</v>
      </c>
      <c r="AJ203" s="704" t="str">
        <f t="shared" ca="1" si="37"/>
        <v/>
      </c>
      <c r="AK203" s="704" t="str">
        <f t="shared" ca="1" si="38"/>
        <v/>
      </c>
      <c r="AL203" s="704" t="str">
        <f t="shared" ca="1" si="39"/>
        <v/>
      </c>
      <c r="AM203" s="705" t="str">
        <f t="shared" ca="1" si="40"/>
        <v/>
      </c>
      <c r="AN203" s="382"/>
      <c r="AO203" s="314" t="str">
        <f>IF($R$3=1,IF(Y203=AA203,"","NE"),IF(#REF!=$V$10,"NE",""))</f>
        <v/>
      </c>
      <c r="AP203" s="315" t="str">
        <f>IF(AB203=$V$3,IF(VLOOKUP(C203,[1]List1!$A:$E,5,FALSE)=0,1,VLOOKUP(C203,[1]List1!$A:$E,5,FALSE)),"")</f>
        <v/>
      </c>
      <c r="AW203" s="458">
        <f>IFERROR(FIND(VLOOKUP('General price list'!$AB$7,'General price list'!$AC$1:$AD$12,2,FALSE),Q203,1),0)</f>
        <v>0</v>
      </c>
      <c r="AX203" s="458">
        <f>IFERROR(FIND(VLOOKUP('General price list'!$AB$7,'General price list'!$AC$1:$AD$12,2,FALSE),R203,1),0)</f>
        <v>0</v>
      </c>
    </row>
    <row r="204" spans="1:50" ht="15" customHeight="1">
      <c r="A204" s="677" t="str">
        <f>Kat.!C204</f>
        <v xml:space="preserve">                                          </v>
      </c>
      <c r="B204" s="678">
        <v>183</v>
      </c>
      <c r="C204" s="679" t="s">
        <v>2481</v>
      </c>
      <c r="D204" s="679" t="s">
        <v>2482</v>
      </c>
      <c r="E204" s="680" t="s">
        <v>129</v>
      </c>
      <c r="F204" s="681">
        <f>VLOOKUP(C204,[2]List1!$A:$D,2,FALSE)</f>
        <v>1780</v>
      </c>
      <c r="G204" s="682">
        <f t="shared" si="29"/>
        <v>1780</v>
      </c>
      <c r="H204" s="683">
        <f t="shared" si="30"/>
        <v>72.400000000000006</v>
      </c>
      <c r="I204" s="836">
        <v>1</v>
      </c>
      <c r="J204" s="680"/>
      <c r="K204" s="854"/>
      <c r="L204" s="855" t="s">
        <v>13622</v>
      </c>
      <c r="M204" s="680"/>
      <c r="N204" s="868">
        <f>IFERROR(VLOOKUP(C204,[3]List1!$A:$D,4,FALSE),"N/A!")</f>
        <v>0</v>
      </c>
      <c r="O204" s="836">
        <f>IFERROR(VLOOKUP(C204,[3]List1!$A:$D,3,FALSE),"N/A!")</f>
        <v>0</v>
      </c>
      <c r="P204" s="836">
        <f>IFERROR(VLOOKUP(C204,[3]List1!$A:$D,2,FALSE),"N/A!")</f>
        <v>750</v>
      </c>
      <c r="Q204" s="680" t="s">
        <v>24</v>
      </c>
      <c r="R204" s="680" t="s">
        <v>24</v>
      </c>
      <c r="S204" s="680"/>
      <c r="T204" s="681"/>
      <c r="U204" s="873"/>
      <c r="V204" s="684" t="str">
        <f>_xlfn.IFNA(HYPERLINK("https://www.klasekpyrotechnics.cz/mdle1m"),"")</f>
        <v>https://www.klasekpyrotechnics.cz/mdle1m</v>
      </c>
      <c r="W204" s="685" t="str">
        <f>IFERROR(VLOOKUP($C204,Popisy!A:P,MATCH($W$17,Popisy!$A$7:$P$7,0),FALSE),"---------------")</f>
        <v>Dumbum hoodie M -limited edition</v>
      </c>
      <c r="X204" s="889" t="str">
        <f t="shared" si="31"/>
        <v/>
      </c>
      <c r="Y204" s="890"/>
      <c r="Z204" s="685" t="str">
        <f>IFERROR(IF(VLOOKUP(C204,[4]List1!$A:$D,4,FALSE)=0,"",VLOOKUP(C204,[4]List1!$A:$D,4,FALSE)),"")</f>
        <v/>
      </c>
      <c r="AA204" s="707"/>
      <c r="AB204" s="911" t="str">
        <f>IFERROR(IF(VLOOKUP(C204,[1]List1!$A:$D,2,FALSE)="VYPRODÁNO",$V$9,IF(VLOOKUP(C204,[1]List1!$A:$D,2,FALSE)="DOCHÁZÍ",$V$3,VLOOKUP(C204,[1]List1!$A:$D,2,FALSE))),"OFFLINE!")</f>
        <v>SKLADEM</v>
      </c>
      <c r="AC204" s="911" t="str">
        <f ca="1">IF(AO204="NE",$V$10,IF(AB204=$V$3,IF(AP204&lt;1,$V$8,$V$2&amp;" "&amp;AP204&amp;" "&amp;$V$1),IF(AB204="SKLADEM",$V$6,IFERROR(IF(OR(AB204-TODAY()&gt;21,VLOOKUP(C204,[1]List1!$A:$E,4,FALSE)=0),AB204,DAY(AB204)&amp;"."&amp;MONTH(AB204)&amp;"."&amp;YEAR(AB204)&amp;" "&amp;$V$4&amp;VLOOKUP(C204,[1]List1!$A:$E,4,FALSE)&amp;" "&amp;$V$1),AB204))))</f>
        <v>AUF LAGER</v>
      </c>
      <c r="AD204" s="686" t="str">
        <f ca="1">_xlfn.IFNA(VLOOKUP(C204,'General price list'!C:AM,MATCH($AD$20,'General price list'!$C$20:$AM$20,0),FALSE),"")</f>
        <v>AUF LAGER</v>
      </c>
      <c r="AE204" s="681">
        <f t="shared" ca="1" si="32"/>
        <v>0</v>
      </c>
      <c r="AF204" s="681">
        <f t="shared" ca="1" si="33"/>
        <v>0</v>
      </c>
      <c r="AG204" s="687">
        <f t="shared" ca="1" si="34"/>
        <v>0</v>
      </c>
      <c r="AH204" s="688">
        <f t="shared" ca="1" si="35"/>
        <v>0</v>
      </c>
      <c r="AI204" s="687">
        <f t="shared" ca="1" si="36"/>
        <v>0</v>
      </c>
      <c r="AJ204" s="689" t="str">
        <f t="shared" ca="1" si="37"/>
        <v/>
      </c>
      <c r="AK204" s="689" t="str">
        <f t="shared" ca="1" si="38"/>
        <v/>
      </c>
      <c r="AL204" s="689" t="str">
        <f t="shared" ca="1" si="39"/>
        <v/>
      </c>
      <c r="AM204" s="690" t="str">
        <f t="shared" ca="1" si="40"/>
        <v/>
      </c>
      <c r="AN204" s="382"/>
      <c r="AO204" s="314" t="str">
        <f>IF($R$3=1,IF(Y204=AA204,"","NE"),IF(#REF!=$V$10,"NE",""))</f>
        <v/>
      </c>
      <c r="AP204" s="292" t="str">
        <f>IF(AB204=$V$3,IF(VLOOKUP(C204,[1]List1!$A:$E,5,FALSE)=0,1,VLOOKUP(C204,[1]List1!$A:$E,5,FALSE)),"")</f>
        <v/>
      </c>
      <c r="AW204" s="458">
        <f>IFERROR(FIND(VLOOKUP('General price list'!$AB$7,'General price list'!$AC$1:$AD$12,2,FALSE),Q204,1),0)</f>
        <v>0</v>
      </c>
      <c r="AX204" s="458">
        <f>IFERROR(FIND(VLOOKUP('General price list'!$AB$7,'General price list'!$AC$1:$AD$12,2,FALSE),R204,1),0)</f>
        <v>0</v>
      </c>
    </row>
    <row r="205" spans="1:50" ht="15" customHeight="1">
      <c r="A205" s="691" t="str">
        <f>Kat.!C205</f>
        <v xml:space="preserve">                                          </v>
      </c>
      <c r="B205" s="692">
        <v>184</v>
      </c>
      <c r="C205" s="693" t="s">
        <v>2483</v>
      </c>
      <c r="D205" s="693" t="s">
        <v>2484</v>
      </c>
      <c r="E205" s="694" t="s">
        <v>129</v>
      </c>
      <c r="F205" s="695">
        <f>VLOOKUP(C205,[2]List1!$A:$D,2,FALSE)</f>
        <v>1780</v>
      </c>
      <c r="G205" s="696">
        <f t="shared" si="29"/>
        <v>1780</v>
      </c>
      <c r="H205" s="697">
        <f t="shared" si="30"/>
        <v>72.400000000000006</v>
      </c>
      <c r="I205" s="837">
        <v>1</v>
      </c>
      <c r="J205" s="698"/>
      <c r="K205" s="856"/>
      <c r="L205" s="857" t="s">
        <v>13622</v>
      </c>
      <c r="M205" s="698"/>
      <c r="N205" s="869">
        <f>IFERROR(VLOOKUP(C205,[3]List1!$A:$D,4,FALSE),"N/A!")</f>
        <v>0</v>
      </c>
      <c r="O205" s="837">
        <f>IFERROR(VLOOKUP(C205,[3]List1!$A:$D,3,FALSE),"N/A!")</f>
        <v>0</v>
      </c>
      <c r="P205" s="837">
        <f>IFERROR(VLOOKUP(C205,[3]List1!$A:$D,2,FALSE),"N/A!")</f>
        <v>750</v>
      </c>
      <c r="Q205" s="698" t="s">
        <v>24</v>
      </c>
      <c r="R205" s="698" t="s">
        <v>24</v>
      </c>
      <c r="S205" s="698"/>
      <c r="T205" s="695"/>
      <c r="U205" s="874"/>
      <c r="V205" s="699" t="str">
        <f>_xlfn.IFNA(HYPERLINK("https://www.klasekpyrotechnics.cz/mdle1l"),"")</f>
        <v>https://www.klasekpyrotechnics.cz/mdle1l</v>
      </c>
      <c r="W205" s="700" t="str">
        <f>IFERROR(VLOOKUP($C205,Popisy!A:P,MATCH($W$17,Popisy!$A$7:$P$7,0),FALSE),"---------------")</f>
        <v>Dumbum hoodie L -limited edition</v>
      </c>
      <c r="X205" s="891" t="str">
        <f t="shared" si="31"/>
        <v/>
      </c>
      <c r="Y205" s="892"/>
      <c r="Z205" s="700" t="str">
        <f>IFERROR(IF(VLOOKUP(C205,[4]List1!$A:$D,4,FALSE)=0,"",VLOOKUP(C205,[4]List1!$A:$D,4,FALSE)),"")</f>
        <v/>
      </c>
      <c r="AA205" s="707"/>
      <c r="AB205" s="912" t="str">
        <f>IFERROR(IF(VLOOKUP(C205,[1]List1!$A:$D,2,FALSE)="VYPRODÁNO",$V$9,IF(VLOOKUP(C205,[1]List1!$A:$D,2,FALSE)="DOCHÁZÍ",$V$3,VLOOKUP(C205,[1]List1!$A:$D,2,FALSE))),"OFFLINE!")</f>
        <v>SKLADEM</v>
      </c>
      <c r="AC205" s="912" t="str">
        <f ca="1">IF(AO205="NE",$V$10,IF(AB205=$V$3,IF(AP205&lt;1,$V$8,$V$2&amp;" "&amp;AP205&amp;" "&amp;$V$1),IF(AB205="SKLADEM",$V$6,IFERROR(IF(OR(AB205-TODAY()&gt;21,VLOOKUP(C205,[1]List1!$A:$E,4,FALSE)=0),AB205,DAY(AB205)&amp;"."&amp;MONTH(AB205)&amp;"."&amp;YEAR(AB205)&amp;" "&amp;$V$4&amp;VLOOKUP(C205,[1]List1!$A:$E,4,FALSE)&amp;" "&amp;$V$1),AB205))))</f>
        <v>AUF LAGER</v>
      </c>
      <c r="AD205" s="701" t="str">
        <f ca="1">_xlfn.IFNA(VLOOKUP(C205,'General price list'!C:AM,MATCH($AD$20,'General price list'!$C$20:$AM$20,0),FALSE),"")</f>
        <v>AUF LAGER</v>
      </c>
      <c r="AE205" s="695">
        <f t="shared" ca="1" si="32"/>
        <v>0</v>
      </c>
      <c r="AF205" s="695">
        <f t="shared" ca="1" si="33"/>
        <v>0</v>
      </c>
      <c r="AG205" s="702">
        <f t="shared" ca="1" si="34"/>
        <v>0</v>
      </c>
      <c r="AH205" s="703">
        <f t="shared" ca="1" si="35"/>
        <v>0</v>
      </c>
      <c r="AI205" s="702">
        <f t="shared" ca="1" si="36"/>
        <v>0</v>
      </c>
      <c r="AJ205" s="704" t="str">
        <f t="shared" ca="1" si="37"/>
        <v/>
      </c>
      <c r="AK205" s="704" t="str">
        <f t="shared" ca="1" si="38"/>
        <v/>
      </c>
      <c r="AL205" s="704" t="str">
        <f t="shared" ca="1" si="39"/>
        <v/>
      </c>
      <c r="AM205" s="705" t="str">
        <f t="shared" ca="1" si="40"/>
        <v/>
      </c>
      <c r="AN205" s="313"/>
      <c r="AO205" s="314" t="str">
        <f>IF($R$3=1,IF(Y205=AA205,"","NE"),IF(#REF!=$V$10,"NE",""))</f>
        <v/>
      </c>
      <c r="AP205" s="315" t="str">
        <f>IF(AB205=$V$3,IF(VLOOKUP(C205,[1]List1!$A:$E,5,FALSE)=0,1,VLOOKUP(C205,[1]List1!$A:$E,5,FALSE)),"")</f>
        <v/>
      </c>
      <c r="AW205" s="458">
        <f>IFERROR(FIND(VLOOKUP('General price list'!$AB$7,'General price list'!$AC$1:$AD$12,2,FALSE),Q205,1),0)</f>
        <v>0</v>
      </c>
      <c r="AX205" s="458">
        <f>IFERROR(FIND(VLOOKUP('General price list'!$AB$7,'General price list'!$AC$1:$AD$12,2,FALSE),R205,1),0)</f>
        <v>0</v>
      </c>
    </row>
    <row r="206" spans="1:50" ht="15" customHeight="1">
      <c r="A206" s="677" t="str">
        <f>Kat.!C206</f>
        <v xml:space="preserve">                                          </v>
      </c>
      <c r="B206" s="678">
        <v>185</v>
      </c>
      <c r="C206" s="679" t="s">
        <v>2485</v>
      </c>
      <c r="D206" s="679" t="s">
        <v>2486</v>
      </c>
      <c r="E206" s="680" t="s">
        <v>129</v>
      </c>
      <c r="F206" s="681">
        <f>VLOOKUP(C206,[2]List1!$A:$D,2,FALSE)</f>
        <v>1780</v>
      </c>
      <c r="G206" s="682">
        <f t="shared" si="29"/>
        <v>1780</v>
      </c>
      <c r="H206" s="683">
        <f t="shared" si="30"/>
        <v>72.400000000000006</v>
      </c>
      <c r="I206" s="836">
        <v>1</v>
      </c>
      <c r="J206" s="680"/>
      <c r="K206" s="854"/>
      <c r="L206" s="855" t="s">
        <v>13622</v>
      </c>
      <c r="M206" s="680"/>
      <c r="N206" s="868">
        <f>IFERROR(VLOOKUP(C206,[3]List1!$A:$D,4,FALSE),"N/A!")</f>
        <v>0</v>
      </c>
      <c r="O206" s="836">
        <f>IFERROR(VLOOKUP(C206,[3]List1!$A:$D,3,FALSE),"N/A!")</f>
        <v>0</v>
      </c>
      <c r="P206" s="836">
        <f>IFERROR(VLOOKUP(C206,[3]List1!$A:$D,2,FALSE),"N/A!")</f>
        <v>750</v>
      </c>
      <c r="Q206" s="680" t="s">
        <v>24</v>
      </c>
      <c r="R206" s="680" t="s">
        <v>24</v>
      </c>
      <c r="S206" s="680"/>
      <c r="T206" s="681"/>
      <c r="U206" s="873"/>
      <c r="V206" s="684" t="str">
        <f>_xlfn.IFNA(HYPERLINK("https://www.klasekpyrotechnics.cz/mdle1xl"),"")</f>
        <v>https://www.klasekpyrotechnics.cz/mdle1xl</v>
      </c>
      <c r="W206" s="685" t="str">
        <f>IFERROR(VLOOKUP($C206,Popisy!A:P,MATCH($W$17,Popisy!$A$7:$P$7,0),FALSE),"---------------")</f>
        <v>Dumbum hoodie XL -limited edition</v>
      </c>
      <c r="X206" s="889" t="str">
        <f t="shared" si="31"/>
        <v/>
      </c>
      <c r="Y206" s="890"/>
      <c r="Z206" s="685" t="str">
        <f>IFERROR(IF(VLOOKUP(C206,[4]List1!$A:$D,4,FALSE)=0,"",VLOOKUP(C206,[4]List1!$A:$D,4,FALSE)),"")</f>
        <v/>
      </c>
      <c r="AA206" s="707"/>
      <c r="AB206" s="911" t="str">
        <f>IFERROR(IF(VLOOKUP(C206,[1]List1!$A:$D,2,FALSE)="VYPRODÁNO",$V$9,IF(VLOOKUP(C206,[1]List1!$A:$D,2,FALSE)="DOCHÁZÍ",$V$3,VLOOKUP(C206,[1]List1!$A:$D,2,FALSE))),"OFFLINE!")</f>
        <v>LETZTE STÜCKE</v>
      </c>
      <c r="AC206" s="911" t="str">
        <f ca="1">IF(AO206="NE",$V$10,IF(AB206=$V$3,IF(AP206&lt;1,$V$8,$V$2&amp;" "&amp;AP206&amp;" "&amp;$V$1),IF(AB206="SKLADEM",$V$6,IFERROR(IF(OR(AB206-TODAY()&gt;21,VLOOKUP(C206,[1]List1!$A:$E,4,FALSE)=0),AB206,DAY(AB206)&amp;"."&amp;MONTH(AB206)&amp;"."&amp;YEAR(AB206)&amp;" "&amp;$V$4&amp;VLOOKUP(C206,[1]List1!$A:$E,4,FALSE)&amp;" "&amp;$V$1),AB206))))</f>
        <v>LETZTE 1 KTN</v>
      </c>
      <c r="AD206" s="686">
        <f>_xlfn.IFNA(VLOOKUP(C206,'General price list'!C:AM,MATCH($AD$20,'General price list'!$C$20:$AM$20,0),FALSE),"")</f>
        <v>0</v>
      </c>
      <c r="AE206" s="681">
        <f t="shared" si="32"/>
        <v>0</v>
      </c>
      <c r="AF206" s="681">
        <f t="shared" si="33"/>
        <v>0</v>
      </c>
      <c r="AG206" s="687">
        <f t="shared" si="34"/>
        <v>0</v>
      </c>
      <c r="AH206" s="688">
        <f t="shared" si="35"/>
        <v>0</v>
      </c>
      <c r="AI206" s="687">
        <f t="shared" si="36"/>
        <v>0</v>
      </c>
      <c r="AJ206" s="689" t="str">
        <f t="shared" si="37"/>
        <v/>
      </c>
      <c r="AK206" s="689" t="str">
        <f t="shared" si="38"/>
        <v/>
      </c>
      <c r="AL206" s="689" t="str">
        <f t="shared" si="39"/>
        <v/>
      </c>
      <c r="AM206" s="690" t="str">
        <f t="shared" si="40"/>
        <v/>
      </c>
      <c r="AN206" s="313"/>
      <c r="AO206" s="314" t="str">
        <f>IF($R$3=1,IF(Y206=AA206,"","NE"),IF(#REF!=$V$10,"NE",""))</f>
        <v/>
      </c>
      <c r="AP206" s="315">
        <f>IF(AB206=$V$3,IF(VLOOKUP(C206,[1]List1!$A:$E,5,FALSE)=0,1,VLOOKUP(C206,[1]List1!$A:$E,5,FALSE)),"")</f>
        <v>1</v>
      </c>
      <c r="AW206" s="458">
        <f>IFERROR(FIND(VLOOKUP('General price list'!$AB$7,'General price list'!$AC$1:$AD$12,2,FALSE),Q206,1),0)</f>
        <v>0</v>
      </c>
      <c r="AX206" s="458">
        <f>IFERROR(FIND(VLOOKUP('General price list'!$AB$7,'General price list'!$AC$1:$AD$12,2,FALSE),R206,1),0)</f>
        <v>0</v>
      </c>
    </row>
    <row r="207" spans="1:50" ht="15" customHeight="1">
      <c r="A207" s="691" t="str">
        <f>Kat.!C207</f>
        <v xml:space="preserve">                                          </v>
      </c>
      <c r="B207" s="692">
        <v>186</v>
      </c>
      <c r="C207" s="693" t="s">
        <v>2487</v>
      </c>
      <c r="D207" s="693" t="s">
        <v>2488</v>
      </c>
      <c r="E207" s="694" t="s">
        <v>129</v>
      </c>
      <c r="F207" s="695">
        <f>VLOOKUP(C207,[2]List1!$A:$D,2,FALSE)</f>
        <v>1780</v>
      </c>
      <c r="G207" s="696">
        <f t="shared" si="29"/>
        <v>1780</v>
      </c>
      <c r="H207" s="697">
        <f t="shared" si="30"/>
        <v>72.400000000000006</v>
      </c>
      <c r="I207" s="837">
        <v>1</v>
      </c>
      <c r="J207" s="698"/>
      <c r="K207" s="856"/>
      <c r="L207" s="857" t="s">
        <v>13622</v>
      </c>
      <c r="M207" s="698"/>
      <c r="N207" s="869">
        <f>IFERROR(VLOOKUP(C207,[3]List1!$A:$D,4,FALSE),"N/A!")</f>
        <v>0</v>
      </c>
      <c r="O207" s="837">
        <f>IFERROR(VLOOKUP(C207,[3]List1!$A:$D,3,FALSE),"N/A!")</f>
        <v>0</v>
      </c>
      <c r="P207" s="837">
        <f>IFERROR(VLOOKUP(C207,[3]List1!$A:$D,2,FALSE),"N/A!")</f>
        <v>750</v>
      </c>
      <c r="Q207" s="698" t="s">
        <v>24</v>
      </c>
      <c r="R207" s="698" t="s">
        <v>24</v>
      </c>
      <c r="S207" s="698"/>
      <c r="T207" s="695"/>
      <c r="U207" s="874"/>
      <c r="V207" s="699" t="str">
        <f>_xlfn.IFNA(HYPERLINK("https://www.klasekpyrotechnics.cz/mdle1xxl"),"")</f>
        <v>https://www.klasekpyrotechnics.cz/mdle1xxl</v>
      </c>
      <c r="W207" s="700" t="str">
        <f>IFERROR(VLOOKUP($C207,Popisy!A:P,MATCH($W$17,Popisy!$A$7:$P$7,0),FALSE),"---------------")</f>
        <v>Dumbum hoodie XXL -limited edition</v>
      </c>
      <c r="X207" s="891" t="str">
        <f t="shared" si="31"/>
        <v/>
      </c>
      <c r="Y207" s="892"/>
      <c r="Z207" s="700" t="str">
        <f>IFERROR(IF(VLOOKUP(C207,[4]List1!$A:$D,4,FALSE)=0,"",VLOOKUP(C207,[4]List1!$A:$D,4,FALSE)),"")</f>
        <v/>
      </c>
      <c r="AA207" s="707"/>
      <c r="AB207" s="912" t="str">
        <f>IFERROR(IF(VLOOKUP(C207,[1]List1!$A:$D,2,FALSE)="VYPRODÁNO",$V$9,IF(VLOOKUP(C207,[1]List1!$A:$D,2,FALSE)="DOCHÁZÍ",$V$3,VLOOKUP(C207,[1]List1!$A:$D,2,FALSE))),"OFFLINE!")</f>
        <v>AUSVERKAUFT</v>
      </c>
      <c r="AC207" s="912" t="str">
        <f ca="1">IF(AO207="NE",$V$10,IF(AB207=$V$3,IF(AP207&lt;1,$V$8,$V$2&amp;" "&amp;AP207&amp;" "&amp;$V$1),IF(AB207="SKLADEM",$V$6,IFERROR(IF(OR(AB207-TODAY()&gt;21,VLOOKUP(C207,[1]List1!$A:$E,4,FALSE)=0),AB207,DAY(AB207)&amp;"."&amp;MONTH(AB207)&amp;"."&amp;YEAR(AB207)&amp;" "&amp;$V$4&amp;VLOOKUP(C207,[1]List1!$A:$E,4,FALSE)&amp;" "&amp;$V$1),AB207))))</f>
        <v>AUSVERKAUFT</v>
      </c>
      <c r="AD207" s="701" t="str">
        <f ca="1">_xlfn.IFNA(VLOOKUP(C207,'General price list'!C:AM,MATCH($AD$20,'General price list'!$C$20:$AM$20,0),FALSE),"")</f>
        <v>AUSVERKAUFT</v>
      </c>
      <c r="AE207" s="695">
        <f t="shared" ca="1" si="32"/>
        <v>0</v>
      </c>
      <c r="AF207" s="695">
        <f t="shared" ca="1" si="33"/>
        <v>0</v>
      </c>
      <c r="AG207" s="702">
        <f t="shared" ca="1" si="34"/>
        <v>0</v>
      </c>
      <c r="AH207" s="703">
        <f t="shared" ca="1" si="35"/>
        <v>0</v>
      </c>
      <c r="AI207" s="702">
        <f t="shared" ca="1" si="36"/>
        <v>0</v>
      </c>
      <c r="AJ207" s="704" t="str">
        <f t="shared" ca="1" si="37"/>
        <v/>
      </c>
      <c r="AK207" s="704" t="str">
        <f t="shared" ca="1" si="38"/>
        <v/>
      </c>
      <c r="AL207" s="704" t="str">
        <f t="shared" ca="1" si="39"/>
        <v/>
      </c>
      <c r="AM207" s="705" t="str">
        <f t="shared" ca="1" si="40"/>
        <v/>
      </c>
      <c r="AN207" s="313"/>
      <c r="AO207" s="314" t="str">
        <f>IF($R$3=1,IF(Y207=AA207,"","NE"),IF(#REF!=$V$10,"NE",""))</f>
        <v/>
      </c>
      <c r="AP207" s="315" t="str">
        <f>IF(AB207=$V$3,IF(VLOOKUP(C207,[1]List1!$A:$E,5,FALSE)=0,1,VLOOKUP(C207,[1]List1!$A:$E,5,FALSE)),"")</f>
        <v/>
      </c>
      <c r="AW207" s="458">
        <f>IFERROR(FIND(VLOOKUP('General price list'!$AB$7,'General price list'!$AC$1:$AD$12,2,FALSE),Q207,1),0)</f>
        <v>0</v>
      </c>
      <c r="AX207" s="458">
        <f>IFERROR(FIND(VLOOKUP('General price list'!$AB$7,'General price list'!$AC$1:$AD$12,2,FALSE),R207,1),0)</f>
        <v>0</v>
      </c>
    </row>
    <row r="208" spans="1:50" ht="15" customHeight="1">
      <c r="A208" s="677" t="str">
        <f>Kat.!C208</f>
        <v xml:space="preserve">                                          </v>
      </c>
      <c r="B208" s="678">
        <v>187</v>
      </c>
      <c r="C208" s="679" t="s">
        <v>13636</v>
      </c>
      <c r="D208" s="679" t="s">
        <v>13637</v>
      </c>
      <c r="E208" s="680" t="s">
        <v>129</v>
      </c>
      <c r="F208" s="681">
        <f>VLOOKUP(C208,[2]List1!$A:$D,2,FALSE)</f>
        <v>1380</v>
      </c>
      <c r="G208" s="682">
        <f t="shared" si="29"/>
        <v>1380</v>
      </c>
      <c r="H208" s="683">
        <f t="shared" si="30"/>
        <v>56.1</v>
      </c>
      <c r="I208" s="836">
        <v>1</v>
      </c>
      <c r="J208" s="680"/>
      <c r="K208" s="854">
        <v>4</v>
      </c>
      <c r="L208" s="855" t="s">
        <v>13622</v>
      </c>
      <c r="M208" s="680"/>
      <c r="N208" s="868">
        <f>IFERROR(VLOOKUP(C208,[3]List1!$A:$D,4,FALSE),"N/A!")</f>
        <v>0</v>
      </c>
      <c r="O208" s="836">
        <f>IFERROR(VLOOKUP(C208,[3]List1!$A:$D,3,FALSE),"N/A!")</f>
        <v>0</v>
      </c>
      <c r="P208" s="836">
        <f>IFERROR(VLOOKUP(C208,[3]List1!$A:$D,2,FALSE),"N/A!")</f>
        <v>670</v>
      </c>
      <c r="Q208" s="680"/>
      <c r="R208" s="680"/>
      <c r="S208" s="680"/>
      <c r="T208" s="681"/>
      <c r="U208" s="873"/>
      <c r="V208" s="684" t="str">
        <f>_xlfn.IFNA(HYPERLINK("https://www.klasekpyrotechnics.cz/mdlez1m"),"")</f>
        <v>https://www.klasekpyrotechnics.cz/mdlez1m</v>
      </c>
      <c r="W208" s="685" t="str">
        <f>IFERROR(VLOOKUP($C208,Popisy!A:P,MATCH($W$17,Popisy!$A$7:$P$7,0),FALSE),"---------------")</f>
        <v>---------------</v>
      </c>
      <c r="X208" s="889" t="str">
        <f t="shared" si="31"/>
        <v/>
      </c>
      <c r="Y208" s="890"/>
      <c r="Z208" s="685" t="str">
        <f>IFERROR(IF(VLOOKUP(C208,[4]List1!$A:$D,4,FALSE)=0,"",VLOOKUP(C208,[4]List1!$A:$D,4,FALSE)),"")</f>
        <v/>
      </c>
      <c r="AA208" s="707"/>
      <c r="AB208" s="911" t="str">
        <f>IFERROR(IF(VLOOKUP(C208,[1]List1!$A:$D,2,FALSE)="VYPRODÁNO",$V$9,IF(VLOOKUP(C208,[1]List1!$A:$D,2,FALSE)="DOCHÁZÍ",$V$3,VLOOKUP(C208,[1]List1!$A:$D,2,FALSE))),"OFFLINE!")</f>
        <v>AUSVERKAUFT</v>
      </c>
      <c r="AC208" s="911" t="str">
        <f ca="1">IF(AO208="NE",$V$10,IF(AB208=$V$3,IF(AP208&lt;1,$V$8,$V$2&amp;" "&amp;AP208&amp;" "&amp;$V$1),IF(AB208="SKLADEM",$V$6,IFERROR(IF(OR(AB208-TODAY()&gt;21,VLOOKUP(C208,[1]List1!$A:$E,4,FALSE)=0),AB208,DAY(AB208)&amp;"."&amp;MONTH(AB208)&amp;"."&amp;YEAR(AB208)&amp;" "&amp;$V$4&amp;VLOOKUP(C208,[1]List1!$A:$E,4,FALSE)&amp;" "&amp;$V$1),AB208))))</f>
        <v>AUSVERKAUFT</v>
      </c>
      <c r="AD208" s="686" t="str">
        <f ca="1">_xlfn.IFNA(VLOOKUP(C208,'General price list'!C:AM,MATCH($AD$20,'General price list'!$C$20:$AM$20,0),FALSE),"")</f>
        <v>AUSVERKAUFT</v>
      </c>
      <c r="AE208" s="681">
        <f t="shared" ca="1" si="32"/>
        <v>0</v>
      </c>
      <c r="AF208" s="681">
        <f t="shared" ca="1" si="33"/>
        <v>0</v>
      </c>
      <c r="AG208" s="687">
        <f t="shared" ca="1" si="34"/>
        <v>0</v>
      </c>
      <c r="AH208" s="688">
        <f t="shared" ca="1" si="35"/>
        <v>0</v>
      </c>
      <c r="AI208" s="687">
        <f t="shared" ca="1" si="36"/>
        <v>0</v>
      </c>
      <c r="AJ208" s="689" t="str">
        <f t="shared" ca="1" si="37"/>
        <v/>
      </c>
      <c r="AK208" s="689" t="str">
        <f t="shared" ca="1" si="38"/>
        <v/>
      </c>
      <c r="AL208" s="689" t="str">
        <f t="shared" ca="1" si="39"/>
        <v/>
      </c>
      <c r="AM208" s="690" t="str">
        <f t="shared" ca="1" si="40"/>
        <v/>
      </c>
      <c r="AN208" s="313"/>
      <c r="AO208" s="314" t="str">
        <f>IF($R$3=1,IF(Y208=AA208,"","NE"),IF(#REF!=$V$10,"NE",""))</f>
        <v/>
      </c>
      <c r="AP208" s="315" t="str">
        <f>IF(AB208=$V$3,IF(VLOOKUP(C208,[1]List1!$A:$E,5,FALSE)=0,1,VLOOKUP(C208,[1]List1!$A:$E,5,FALSE)),"")</f>
        <v/>
      </c>
      <c r="AW208" s="458">
        <f>IFERROR(FIND(VLOOKUP('General price list'!$AB$7,'General price list'!$AC$1:$AD$12,2,FALSE),Q208,1),0)</f>
        <v>0</v>
      </c>
      <c r="AX208" s="458">
        <f>IFERROR(FIND(VLOOKUP('General price list'!$AB$7,'General price list'!$AC$1:$AD$12,2,FALSE),R208,1),0)</f>
        <v>0</v>
      </c>
    </row>
    <row r="209" spans="1:50" ht="15" customHeight="1">
      <c r="A209" s="691" t="str">
        <f>Kat.!C209</f>
        <v xml:space="preserve">                                          </v>
      </c>
      <c r="B209" s="692">
        <v>188</v>
      </c>
      <c r="C209" s="693" t="s">
        <v>13638</v>
      </c>
      <c r="D209" s="693" t="s">
        <v>13639</v>
      </c>
      <c r="E209" s="694" t="s">
        <v>129</v>
      </c>
      <c r="F209" s="695">
        <f>VLOOKUP(C209,[2]List1!$A:$D,2,FALSE)</f>
        <v>1380</v>
      </c>
      <c r="G209" s="696">
        <f t="shared" si="29"/>
        <v>1380</v>
      </c>
      <c r="H209" s="697">
        <f t="shared" si="30"/>
        <v>56.1</v>
      </c>
      <c r="I209" s="837">
        <v>1</v>
      </c>
      <c r="J209" s="698"/>
      <c r="K209" s="856">
        <v>4</v>
      </c>
      <c r="L209" s="857" t="s">
        <v>13622</v>
      </c>
      <c r="M209" s="698"/>
      <c r="N209" s="869">
        <f>IFERROR(VLOOKUP(C209,[3]List1!$A:$D,4,FALSE),"N/A!")</f>
        <v>0</v>
      </c>
      <c r="O209" s="837">
        <f>IFERROR(VLOOKUP(C209,[3]List1!$A:$D,3,FALSE),"N/A!")</f>
        <v>0</v>
      </c>
      <c r="P209" s="837">
        <f>IFERROR(VLOOKUP(C209,[3]List1!$A:$D,2,FALSE),"N/A!")</f>
        <v>670</v>
      </c>
      <c r="Q209" s="698"/>
      <c r="R209" s="698"/>
      <c r="S209" s="698"/>
      <c r="T209" s="695"/>
      <c r="U209" s="874"/>
      <c r="V209" s="699" t="str">
        <f>_xlfn.IFNA(HYPERLINK("https://www.klasekpyrotechnics.cz/mdlez1l"),"")</f>
        <v>https://www.klasekpyrotechnics.cz/mdlez1l</v>
      </c>
      <c r="W209" s="700" t="str">
        <f>IFERROR(VLOOKUP($C209,Popisy!A:P,MATCH($W$17,Popisy!$A$7:$P$7,0),FALSE),"---------------")</f>
        <v>---------------</v>
      </c>
      <c r="X209" s="891" t="str">
        <f t="shared" si="31"/>
        <v/>
      </c>
      <c r="Y209" s="892"/>
      <c r="Z209" s="700" t="str">
        <f>IFERROR(IF(VLOOKUP(C209,[4]List1!$A:$D,4,FALSE)=0,"",VLOOKUP(C209,[4]List1!$A:$D,4,FALSE)),"")</f>
        <v/>
      </c>
      <c r="AA209" s="707"/>
      <c r="AB209" s="912" t="str">
        <f>IFERROR(IF(VLOOKUP(C209,[1]List1!$A:$D,2,FALSE)="VYPRODÁNO",$V$9,IF(VLOOKUP(C209,[1]List1!$A:$D,2,FALSE)="DOCHÁZÍ",$V$3,VLOOKUP(C209,[1]List1!$A:$D,2,FALSE))),"OFFLINE!")</f>
        <v>SKLADEM</v>
      </c>
      <c r="AC209" s="912" t="str">
        <f ca="1">IF(AO209="NE",$V$10,IF(AB209=$V$3,IF(AP209&lt;1,$V$8,$V$2&amp;" "&amp;AP209&amp;" "&amp;$V$1),IF(AB209="SKLADEM",$V$6,IFERROR(IF(OR(AB209-TODAY()&gt;21,VLOOKUP(C209,[1]List1!$A:$E,4,FALSE)=0),AB209,DAY(AB209)&amp;"."&amp;MONTH(AB209)&amp;"."&amp;YEAR(AB209)&amp;" "&amp;$V$4&amp;VLOOKUP(C209,[1]List1!$A:$E,4,FALSE)&amp;" "&amp;$V$1),AB209))))</f>
        <v>AUF LAGER</v>
      </c>
      <c r="AD209" s="701" t="str">
        <f ca="1">_xlfn.IFNA(VLOOKUP(C209,'General price list'!C:AM,MATCH($AD$20,'General price list'!$C$20:$AM$20,0),FALSE),"")</f>
        <v>AUF LAGER</v>
      </c>
      <c r="AE209" s="695">
        <f t="shared" ca="1" si="32"/>
        <v>0</v>
      </c>
      <c r="AF209" s="695">
        <f t="shared" ca="1" si="33"/>
        <v>0</v>
      </c>
      <c r="AG209" s="702">
        <f t="shared" ca="1" si="34"/>
        <v>0</v>
      </c>
      <c r="AH209" s="703">
        <f t="shared" ca="1" si="35"/>
        <v>0</v>
      </c>
      <c r="AI209" s="702">
        <f t="shared" ca="1" si="36"/>
        <v>0</v>
      </c>
      <c r="AJ209" s="704" t="str">
        <f t="shared" ca="1" si="37"/>
        <v/>
      </c>
      <c r="AK209" s="704" t="str">
        <f t="shared" ca="1" si="38"/>
        <v/>
      </c>
      <c r="AL209" s="704" t="str">
        <f t="shared" ca="1" si="39"/>
        <v/>
      </c>
      <c r="AM209" s="705" t="str">
        <f t="shared" ca="1" si="40"/>
        <v/>
      </c>
      <c r="AN209" s="313"/>
      <c r="AO209" s="314" t="str">
        <f>IF($R$3=1,IF(Y209=AA209,"","NE"),IF(#REF!=$V$10,"NE",""))</f>
        <v/>
      </c>
      <c r="AP209" s="315" t="str">
        <f>IF(AB209=$V$3,IF(VLOOKUP(C209,[1]List1!$A:$E,5,FALSE)=0,1,VLOOKUP(C209,[1]List1!$A:$E,5,FALSE)),"")</f>
        <v/>
      </c>
      <c r="AW209" s="458">
        <f>IFERROR(FIND(VLOOKUP('General price list'!$AB$7,'General price list'!$AC$1:$AD$12,2,FALSE),Q209,1),0)</f>
        <v>0</v>
      </c>
      <c r="AX209" s="458">
        <f>IFERROR(FIND(VLOOKUP('General price list'!$AB$7,'General price list'!$AC$1:$AD$12,2,FALSE),R209,1),0)</f>
        <v>0</v>
      </c>
    </row>
    <row r="210" spans="1:50" ht="15" customHeight="1">
      <c r="A210" s="677" t="str">
        <f>Kat.!C210</f>
        <v xml:space="preserve">                                          </v>
      </c>
      <c r="B210" s="678">
        <v>189</v>
      </c>
      <c r="C210" s="679" t="s">
        <v>13640</v>
      </c>
      <c r="D210" s="679" t="s">
        <v>13641</v>
      </c>
      <c r="E210" s="680" t="s">
        <v>129</v>
      </c>
      <c r="F210" s="681">
        <f>VLOOKUP(C210,[2]List1!$A:$D,2,FALSE)</f>
        <v>1380</v>
      </c>
      <c r="G210" s="682">
        <f t="shared" si="29"/>
        <v>1380</v>
      </c>
      <c r="H210" s="683">
        <f t="shared" si="30"/>
        <v>56.1</v>
      </c>
      <c r="I210" s="836">
        <v>1</v>
      </c>
      <c r="J210" s="680"/>
      <c r="K210" s="854">
        <v>4</v>
      </c>
      <c r="L210" s="855" t="s">
        <v>13622</v>
      </c>
      <c r="M210" s="680"/>
      <c r="N210" s="868">
        <f>IFERROR(VLOOKUP(C210,[3]List1!$A:$D,4,FALSE),"N/A!")</f>
        <v>0</v>
      </c>
      <c r="O210" s="836">
        <f>IFERROR(VLOOKUP(C210,[3]List1!$A:$D,3,FALSE),"N/A!")</f>
        <v>0</v>
      </c>
      <c r="P210" s="836">
        <f>IFERROR(VLOOKUP(C210,[3]List1!$A:$D,2,FALSE),"N/A!")</f>
        <v>670</v>
      </c>
      <c r="Q210" s="680"/>
      <c r="R210" s="680"/>
      <c r="S210" s="680"/>
      <c r="T210" s="681"/>
      <c r="U210" s="873"/>
      <c r="V210" s="684" t="str">
        <f>_xlfn.IFNA(HYPERLINK("https://www.klasekpyrotechnics.cz/mdlez1xl"),"")</f>
        <v>https://www.klasekpyrotechnics.cz/mdlez1xl</v>
      </c>
      <c r="W210" s="685" t="str">
        <f>IFERROR(VLOOKUP($C210,Popisy!A:P,MATCH($W$17,Popisy!$A$7:$P$7,0),FALSE),"---------------")</f>
        <v>---------------</v>
      </c>
      <c r="X210" s="889" t="str">
        <f t="shared" si="31"/>
        <v/>
      </c>
      <c r="Y210" s="890"/>
      <c r="Z210" s="685" t="str">
        <f>IFERROR(IF(VLOOKUP(C210,[4]List1!$A:$D,4,FALSE)=0,"",VLOOKUP(C210,[4]List1!$A:$D,4,FALSE)),"")</f>
        <v/>
      </c>
      <c r="AA210" s="707"/>
      <c r="AB210" s="911" t="str">
        <f>IFERROR(IF(VLOOKUP(C210,[1]List1!$A:$D,2,FALSE)="VYPRODÁNO",$V$9,IF(VLOOKUP(C210,[1]List1!$A:$D,2,FALSE)="DOCHÁZÍ",$V$3,VLOOKUP(C210,[1]List1!$A:$D,2,FALSE))),"OFFLINE!")</f>
        <v>AUSVERKAUFT</v>
      </c>
      <c r="AC210" s="911" t="str">
        <f ca="1">IF(AO210="NE",$V$10,IF(AB210=$V$3,IF(AP210&lt;1,$V$8,$V$2&amp;" "&amp;AP210&amp;" "&amp;$V$1),IF(AB210="SKLADEM",$V$6,IFERROR(IF(OR(AB210-TODAY()&gt;21,VLOOKUP(C210,[1]List1!$A:$E,4,FALSE)=0),AB210,DAY(AB210)&amp;"."&amp;MONTH(AB210)&amp;"."&amp;YEAR(AB210)&amp;" "&amp;$V$4&amp;VLOOKUP(C210,[1]List1!$A:$E,4,FALSE)&amp;" "&amp;$V$1),AB210))))</f>
        <v>AUSVERKAUFT</v>
      </c>
      <c r="AD210" s="686" t="str">
        <f ca="1">_xlfn.IFNA(VLOOKUP(C210,'General price list'!C:AM,MATCH($AD$20,'General price list'!$C$20:$AM$20,0),FALSE),"")</f>
        <v>AUSVERKAUFT</v>
      </c>
      <c r="AE210" s="681">
        <f t="shared" ca="1" si="32"/>
        <v>0</v>
      </c>
      <c r="AF210" s="681">
        <f t="shared" ca="1" si="33"/>
        <v>0</v>
      </c>
      <c r="AG210" s="687">
        <f t="shared" ca="1" si="34"/>
        <v>0</v>
      </c>
      <c r="AH210" s="688">
        <f t="shared" ca="1" si="35"/>
        <v>0</v>
      </c>
      <c r="AI210" s="687">
        <f t="shared" ca="1" si="36"/>
        <v>0</v>
      </c>
      <c r="AJ210" s="689" t="str">
        <f t="shared" ca="1" si="37"/>
        <v/>
      </c>
      <c r="AK210" s="689" t="str">
        <f t="shared" ca="1" si="38"/>
        <v/>
      </c>
      <c r="AL210" s="689" t="str">
        <f t="shared" ca="1" si="39"/>
        <v/>
      </c>
      <c r="AM210" s="690" t="str">
        <f t="shared" ca="1" si="40"/>
        <v/>
      </c>
      <c r="AN210" s="313"/>
      <c r="AO210" s="314" t="str">
        <f>IF($R$3=1,IF(Y210=AA210,"","NE"),IF(#REF!=$V$10,"NE",""))</f>
        <v/>
      </c>
      <c r="AP210" s="315" t="str">
        <f>IF(AB210=$V$3,IF(VLOOKUP(C210,[1]List1!$A:$E,5,FALSE)=0,1,VLOOKUP(C210,[1]List1!$A:$E,5,FALSE)),"")</f>
        <v/>
      </c>
      <c r="AW210" s="458">
        <f>IFERROR(FIND(VLOOKUP('General price list'!$AB$7,'General price list'!$AC$1:$AD$12,2,FALSE),Q210,1),0)</f>
        <v>0</v>
      </c>
      <c r="AX210" s="458">
        <f>IFERROR(FIND(VLOOKUP('General price list'!$AB$7,'General price list'!$AC$1:$AD$12,2,FALSE),R210,1),0)</f>
        <v>0</v>
      </c>
    </row>
    <row r="211" spans="1:50" ht="15" customHeight="1">
      <c r="A211" s="691" t="str">
        <f>Kat.!C211</f>
        <v xml:space="preserve">                                          </v>
      </c>
      <c r="B211" s="692">
        <v>190</v>
      </c>
      <c r="C211" s="693" t="s">
        <v>13642</v>
      </c>
      <c r="D211" s="693" t="s">
        <v>13643</v>
      </c>
      <c r="E211" s="694" t="s">
        <v>129</v>
      </c>
      <c r="F211" s="695">
        <f>VLOOKUP(C211,[2]List1!$A:$D,2,FALSE)</f>
        <v>1380</v>
      </c>
      <c r="G211" s="696">
        <f t="shared" si="29"/>
        <v>1380</v>
      </c>
      <c r="H211" s="697">
        <f t="shared" si="30"/>
        <v>56.1</v>
      </c>
      <c r="I211" s="837">
        <v>1</v>
      </c>
      <c r="J211" s="698"/>
      <c r="K211" s="856">
        <v>4</v>
      </c>
      <c r="L211" s="857" t="s">
        <v>13622</v>
      </c>
      <c r="M211" s="698"/>
      <c r="N211" s="869">
        <f>IFERROR(VLOOKUP(C211,[3]List1!$A:$D,4,FALSE),"N/A!")</f>
        <v>0</v>
      </c>
      <c r="O211" s="837">
        <f>IFERROR(VLOOKUP(C211,[3]List1!$A:$D,3,FALSE),"N/A!")</f>
        <v>0</v>
      </c>
      <c r="P211" s="837">
        <f>IFERROR(VLOOKUP(C211,[3]List1!$A:$D,2,FALSE),"N/A!")</f>
        <v>670</v>
      </c>
      <c r="Q211" s="698"/>
      <c r="R211" s="698"/>
      <c r="S211" s="698"/>
      <c r="T211" s="695"/>
      <c r="U211" s="874"/>
      <c r="V211" s="699" t="str">
        <f>_xlfn.IFNA(HYPERLINK("https://www.klasekpyrotechnics.cz/mdlez1xxl"),"")</f>
        <v>https://www.klasekpyrotechnics.cz/mdlez1xxl</v>
      </c>
      <c r="W211" s="700" t="str">
        <f>IFERROR(VLOOKUP($C211,Popisy!A:P,MATCH($W$17,Popisy!$A$7:$P$7,0),FALSE),"---------------")</f>
        <v>---------------</v>
      </c>
      <c r="X211" s="891" t="str">
        <f t="shared" si="31"/>
        <v/>
      </c>
      <c r="Y211" s="892"/>
      <c r="Z211" s="700" t="str">
        <f>IFERROR(IF(VLOOKUP(C211,[4]List1!$A:$D,4,FALSE)=0,"",VLOOKUP(C211,[4]List1!$A:$D,4,FALSE)),"")</f>
        <v/>
      </c>
      <c r="AA211" s="707"/>
      <c r="AB211" s="912" t="str">
        <f>IFERROR(IF(VLOOKUP(C211,[1]List1!$A:$D,2,FALSE)="VYPRODÁNO",$V$9,IF(VLOOKUP(C211,[1]List1!$A:$D,2,FALSE)="DOCHÁZÍ",$V$3,VLOOKUP(C211,[1]List1!$A:$D,2,FALSE))),"OFFLINE!")</f>
        <v>AUSVERKAUFT</v>
      </c>
      <c r="AC211" s="912" t="str">
        <f ca="1">IF(AO211="NE",$V$10,IF(AB211=$V$3,IF(AP211&lt;1,$V$8,$V$2&amp;" "&amp;AP211&amp;" "&amp;$V$1),IF(AB211="SKLADEM",$V$6,IFERROR(IF(OR(AB211-TODAY()&gt;21,VLOOKUP(C211,[1]List1!$A:$E,4,FALSE)=0),AB211,DAY(AB211)&amp;"."&amp;MONTH(AB211)&amp;"."&amp;YEAR(AB211)&amp;" "&amp;$V$4&amp;VLOOKUP(C211,[1]List1!$A:$E,4,FALSE)&amp;" "&amp;$V$1),AB211))))</f>
        <v>AUSVERKAUFT</v>
      </c>
      <c r="AD211" s="701" t="str">
        <f ca="1">_xlfn.IFNA(VLOOKUP(C211,'General price list'!C:AM,MATCH($AD$20,'General price list'!$C$20:$AM$20,0),FALSE),"")</f>
        <v>AUSVERKAUFT</v>
      </c>
      <c r="AE211" s="695">
        <f t="shared" ca="1" si="32"/>
        <v>0</v>
      </c>
      <c r="AF211" s="695">
        <f t="shared" ca="1" si="33"/>
        <v>0</v>
      </c>
      <c r="AG211" s="702">
        <f t="shared" ca="1" si="34"/>
        <v>0</v>
      </c>
      <c r="AH211" s="703">
        <f t="shared" ca="1" si="35"/>
        <v>0</v>
      </c>
      <c r="AI211" s="702">
        <f t="shared" ca="1" si="36"/>
        <v>0</v>
      </c>
      <c r="AJ211" s="704" t="str">
        <f t="shared" ca="1" si="37"/>
        <v/>
      </c>
      <c r="AK211" s="704" t="str">
        <f t="shared" ca="1" si="38"/>
        <v/>
      </c>
      <c r="AL211" s="704" t="str">
        <f t="shared" ca="1" si="39"/>
        <v/>
      </c>
      <c r="AM211" s="705" t="str">
        <f t="shared" ca="1" si="40"/>
        <v/>
      </c>
      <c r="AN211" s="313"/>
      <c r="AO211" s="314" t="str">
        <f>IF($R$3=1,IF(Y211=AA211,"","NE"),IF(#REF!=$V$10,"NE",""))</f>
        <v/>
      </c>
      <c r="AP211" s="315" t="str">
        <f>IF(AB211=$V$3,IF(VLOOKUP(C211,[1]List1!$A:$E,5,FALSE)=0,1,VLOOKUP(C211,[1]List1!$A:$E,5,FALSE)),"")</f>
        <v/>
      </c>
      <c r="AW211" s="458">
        <f>IFERROR(FIND(VLOOKUP('General price list'!$AB$7,'General price list'!$AC$1:$AD$12,2,FALSE),Q211,1),0)</f>
        <v>0</v>
      </c>
      <c r="AX211" s="458">
        <f>IFERROR(FIND(VLOOKUP('General price list'!$AB$7,'General price list'!$AC$1:$AD$12,2,FALSE),R211,1),0)</f>
        <v>0</v>
      </c>
    </row>
    <row r="212" spans="1:50" ht="15" customHeight="1">
      <c r="A212" s="677" t="str">
        <f>Kat.!C212</f>
        <v xml:space="preserve">                                          </v>
      </c>
      <c r="B212" s="678">
        <v>191</v>
      </c>
      <c r="C212" s="679" t="s">
        <v>2489</v>
      </c>
      <c r="D212" s="679" t="s">
        <v>2490</v>
      </c>
      <c r="E212" s="680" t="s">
        <v>129</v>
      </c>
      <c r="F212" s="681">
        <f>VLOOKUP(C212,[2]List1!$A:$D,2,FALSE)</f>
        <v>300</v>
      </c>
      <c r="G212" s="682">
        <f t="shared" si="29"/>
        <v>300</v>
      </c>
      <c r="H212" s="683">
        <f t="shared" si="30"/>
        <v>12.2</v>
      </c>
      <c r="I212" s="836">
        <v>1</v>
      </c>
      <c r="J212" s="680"/>
      <c r="K212" s="854"/>
      <c r="L212" s="855" t="s">
        <v>13622</v>
      </c>
      <c r="M212" s="680"/>
      <c r="N212" s="868">
        <f>IFERROR(VLOOKUP(C212,[3]List1!$A:$D,4,FALSE),"N/A!")</f>
        <v>0</v>
      </c>
      <c r="O212" s="836">
        <f>IFERROR(VLOOKUP(C212,[3]List1!$A:$D,3,FALSE),"N/A!")</f>
        <v>0</v>
      </c>
      <c r="P212" s="836">
        <f>IFERROR(VLOOKUP(C212,[3]List1!$A:$D,2,FALSE),"N/A!")</f>
        <v>72</v>
      </c>
      <c r="Q212" s="680" t="s">
        <v>24</v>
      </c>
      <c r="R212" s="680" t="s">
        <v>24</v>
      </c>
      <c r="S212" s="680"/>
      <c r="T212" s="681"/>
      <c r="U212" s="873"/>
      <c r="V212" s="684" t="str">
        <f>_xlfn.IFNA(HYPERLINK("https://www.klasekpyrotechnics.cz/kdle1"),"")</f>
        <v>https://www.klasekpyrotechnics.cz/kdle1</v>
      </c>
      <c r="W212" s="685" t="str">
        <f>IFERROR(VLOOKUP($C212,Popisy!A:P,MATCH($W$17,Popisy!$A$7:$P$7,0),FALSE),"---------------")</f>
        <v>baseball cap Dumbum-limited edition</v>
      </c>
      <c r="X212" s="889" t="str">
        <f t="shared" si="31"/>
        <v/>
      </c>
      <c r="Y212" s="890"/>
      <c r="Z212" s="685" t="str">
        <f>IFERROR(IF(VLOOKUP(C212,[4]List1!$A:$D,4,FALSE)=0,"",VLOOKUP(C212,[4]List1!$A:$D,4,FALSE)),"")</f>
        <v/>
      </c>
      <c r="AA212" s="707"/>
      <c r="AB212" s="911" t="str">
        <f>IFERROR(IF(VLOOKUP(C212,[1]List1!$A:$D,2,FALSE)="VYPRODÁNO",$V$9,IF(VLOOKUP(C212,[1]List1!$A:$D,2,FALSE)="DOCHÁZÍ",$V$3,VLOOKUP(C212,[1]List1!$A:$D,2,FALSE))),"OFFLINE!")</f>
        <v>SKLADEM</v>
      </c>
      <c r="AC212" s="911" t="str">
        <f ca="1">IF(AO212="NE",$V$10,IF(AB212=$V$3,IF(AP212&lt;1,$V$8,$V$2&amp;" "&amp;AP212&amp;" "&amp;$V$1),IF(AB212="SKLADEM",$V$6,IFERROR(IF(OR(AB212-TODAY()&gt;21,VLOOKUP(C212,[1]List1!$A:$E,4,FALSE)=0),AB212,DAY(AB212)&amp;"."&amp;MONTH(AB212)&amp;"."&amp;YEAR(AB212)&amp;" "&amp;$V$4&amp;VLOOKUP(C212,[1]List1!$A:$E,4,FALSE)&amp;" "&amp;$V$1),AB212))))</f>
        <v>AUF LAGER</v>
      </c>
      <c r="AD212" s="686" t="str">
        <f ca="1">_xlfn.IFNA(VLOOKUP(C212,'General price list'!C:AM,MATCH($AD$20,'General price list'!$C$20:$AM$20,0),FALSE),"")</f>
        <v>AUF LAGER</v>
      </c>
      <c r="AE212" s="681">
        <f t="shared" ca="1" si="32"/>
        <v>0</v>
      </c>
      <c r="AF212" s="681">
        <f t="shared" ca="1" si="33"/>
        <v>0</v>
      </c>
      <c r="AG212" s="687">
        <f t="shared" ca="1" si="34"/>
        <v>0</v>
      </c>
      <c r="AH212" s="688">
        <f t="shared" ca="1" si="35"/>
        <v>0</v>
      </c>
      <c r="AI212" s="687">
        <f t="shared" ca="1" si="36"/>
        <v>0</v>
      </c>
      <c r="AJ212" s="689" t="str">
        <f t="shared" ca="1" si="37"/>
        <v/>
      </c>
      <c r="AK212" s="689" t="str">
        <f t="shared" ca="1" si="38"/>
        <v/>
      </c>
      <c r="AL212" s="689" t="str">
        <f t="shared" ca="1" si="39"/>
        <v/>
      </c>
      <c r="AM212" s="690" t="str">
        <f t="shared" ca="1" si="40"/>
        <v/>
      </c>
      <c r="AN212" s="313"/>
      <c r="AO212" s="314" t="str">
        <f>IF($R$3=1,IF(Y212=AA212,"","NE"),IF(#REF!=$V$10,"NE",""))</f>
        <v/>
      </c>
      <c r="AP212" s="315" t="str">
        <f>IF(AB212=$V$3,IF(VLOOKUP(C212,[1]List1!$A:$E,5,FALSE)=0,1,VLOOKUP(C212,[1]List1!$A:$E,5,FALSE)),"")</f>
        <v/>
      </c>
      <c r="AW212" s="458">
        <f>IFERROR(FIND(VLOOKUP('General price list'!$AB$7,'General price list'!$AC$1:$AD$12,2,FALSE),Q212,1),0)</f>
        <v>0</v>
      </c>
      <c r="AX212" s="458">
        <f>IFERROR(FIND(VLOOKUP('General price list'!$AB$7,'General price list'!$AC$1:$AD$12,2,FALSE),R212,1),0)</f>
        <v>0</v>
      </c>
    </row>
    <row r="213" spans="1:50" ht="15" customHeight="1">
      <c r="A213" s="691" t="str">
        <f>Kat.!C213</f>
        <v xml:space="preserve">                                          </v>
      </c>
      <c r="B213" s="692">
        <v>192</v>
      </c>
      <c r="C213" s="693" t="s">
        <v>2491</v>
      </c>
      <c r="D213" s="693" t="s">
        <v>2492</v>
      </c>
      <c r="E213" s="694" t="s">
        <v>129</v>
      </c>
      <c r="F213" s="695">
        <f>VLOOKUP(C213,[2]List1!$A:$D,2,FALSE)</f>
        <v>360</v>
      </c>
      <c r="G213" s="696">
        <f t="shared" si="29"/>
        <v>360</v>
      </c>
      <c r="H213" s="697">
        <f t="shared" si="30"/>
        <v>14.6</v>
      </c>
      <c r="I213" s="837">
        <v>1</v>
      </c>
      <c r="J213" s="698"/>
      <c r="K213" s="856"/>
      <c r="L213" s="857" t="s">
        <v>13622</v>
      </c>
      <c r="M213" s="698"/>
      <c r="N213" s="869">
        <f>IFERROR(VLOOKUP(C213,[3]List1!$A:$D,4,FALSE),"N/A!")</f>
        <v>0</v>
      </c>
      <c r="O213" s="837">
        <f>IFERROR(VLOOKUP(C213,[3]List1!$A:$D,3,FALSE),"N/A!")</f>
        <v>0</v>
      </c>
      <c r="P213" s="837">
        <f>IFERROR(VLOOKUP(C213,[3]List1!$A:$D,2,FALSE),"N/A!")</f>
        <v>47</v>
      </c>
      <c r="Q213" s="698" t="s">
        <v>24</v>
      </c>
      <c r="R213" s="698" t="s">
        <v>24</v>
      </c>
      <c r="S213" s="698"/>
      <c r="T213" s="695"/>
      <c r="U213" s="874"/>
      <c r="V213" s="699" t="str">
        <f>_xlfn.IFNA(HYPERLINK("https://www.klasekpyrotechnics.cz/cdle1"),"")</f>
        <v>https://www.klasekpyrotechnics.cz/cdle1</v>
      </c>
      <c r="W213" s="700" t="str">
        <f>IFERROR(VLOOKUP($C213,Popisy!A:P,MATCH($W$17,Popisy!$A$7:$P$7,0),FALSE),"---------------")</f>
        <v>winter hat Dumbum -limited edition</v>
      </c>
      <c r="X213" s="891" t="str">
        <f t="shared" si="31"/>
        <v/>
      </c>
      <c r="Y213" s="892"/>
      <c r="Z213" s="700" t="str">
        <f>IFERROR(IF(VLOOKUP(C213,[4]List1!$A:$D,4,FALSE)=0,"",VLOOKUP(C213,[4]List1!$A:$D,4,FALSE)),"")</f>
        <v/>
      </c>
      <c r="AA213" s="707"/>
      <c r="AB213" s="912" t="str">
        <f>IFERROR(IF(VLOOKUP(C213,[1]List1!$A:$D,2,FALSE)="VYPRODÁNO",$V$9,IF(VLOOKUP(C213,[1]List1!$A:$D,2,FALSE)="DOCHÁZÍ",$V$3,VLOOKUP(C213,[1]List1!$A:$D,2,FALSE))),"OFFLINE!")</f>
        <v>SKLADEM</v>
      </c>
      <c r="AC213" s="912" t="str">
        <f ca="1">IF(AO213="NE",$V$10,IF(AB213=$V$3,IF(AP213&lt;1,$V$8,$V$2&amp;" "&amp;AP213&amp;" "&amp;$V$1),IF(AB213="SKLADEM",$V$6,IFERROR(IF(OR(AB213-TODAY()&gt;21,VLOOKUP(C213,[1]List1!$A:$E,4,FALSE)=0),AB213,DAY(AB213)&amp;"."&amp;MONTH(AB213)&amp;"."&amp;YEAR(AB213)&amp;" "&amp;$V$4&amp;VLOOKUP(C213,[1]List1!$A:$E,4,FALSE)&amp;" "&amp;$V$1),AB213))))</f>
        <v>AUF LAGER</v>
      </c>
      <c r="AD213" s="701" t="str">
        <f ca="1">_xlfn.IFNA(VLOOKUP(C213,'General price list'!C:AM,MATCH($AD$20,'General price list'!$C$20:$AM$20,0),FALSE),"")</f>
        <v>AUF LAGER</v>
      </c>
      <c r="AE213" s="695">
        <f t="shared" ca="1" si="32"/>
        <v>0</v>
      </c>
      <c r="AF213" s="695">
        <f t="shared" ca="1" si="33"/>
        <v>0</v>
      </c>
      <c r="AG213" s="702">
        <f t="shared" ca="1" si="34"/>
        <v>0</v>
      </c>
      <c r="AH213" s="703">
        <f t="shared" ca="1" si="35"/>
        <v>0</v>
      </c>
      <c r="AI213" s="702">
        <f t="shared" ca="1" si="36"/>
        <v>0</v>
      </c>
      <c r="AJ213" s="704" t="str">
        <f t="shared" ca="1" si="37"/>
        <v/>
      </c>
      <c r="AK213" s="704" t="str">
        <f t="shared" ca="1" si="38"/>
        <v/>
      </c>
      <c r="AL213" s="704" t="str">
        <f t="shared" ca="1" si="39"/>
        <v/>
      </c>
      <c r="AM213" s="705" t="str">
        <f t="shared" ca="1" si="40"/>
        <v/>
      </c>
      <c r="AN213" s="313"/>
      <c r="AO213" s="314" t="str">
        <f>IF($R$3=1,IF(Y213=AA213,"","NE"),IF(#REF!=$V$10,"NE",""))</f>
        <v/>
      </c>
      <c r="AP213" s="315" t="str">
        <f>IF(AB213=$V$3,IF(VLOOKUP(C213,[1]List1!$A:$E,5,FALSE)=0,1,VLOOKUP(C213,[1]List1!$A:$E,5,FALSE)),"")</f>
        <v/>
      </c>
      <c r="AW213" s="458">
        <f>IFERROR(FIND(VLOOKUP('General price list'!$AB$7,'General price list'!$AC$1:$AD$12,2,FALSE),Q213,1),0)</f>
        <v>0</v>
      </c>
      <c r="AX213" s="458">
        <f>IFERROR(FIND(VLOOKUP('General price list'!$AB$7,'General price list'!$AC$1:$AD$12,2,FALSE),R213,1),0)</f>
        <v>0</v>
      </c>
    </row>
    <row r="214" spans="1:50" ht="15" customHeight="1">
      <c r="A214" s="672" t="str">
        <f>Kat.!C214</f>
        <v xml:space="preserve">                                          Werbeartikel</v>
      </c>
      <c r="B214" s="678">
        <v>193</v>
      </c>
      <c r="C214" s="679"/>
      <c r="D214" s="679"/>
      <c r="E214" s="680"/>
      <c r="F214" s="681" t="str">
        <f>IFERROR(ROUND(VLOOKUP(C214,'General price list'!$C:$AN,4,FALSE),0),"")</f>
        <v/>
      </c>
      <c r="G214" s="682" t="str">
        <f t="shared" si="29"/>
        <v/>
      </c>
      <c r="H214" s="683" t="str">
        <f t="shared" si="30"/>
        <v/>
      </c>
      <c r="I214" s="836"/>
      <c r="J214" s="680"/>
      <c r="K214" s="854"/>
      <c r="L214" s="855"/>
      <c r="M214" s="680"/>
      <c r="N214" s="868" t="str">
        <f>IFERROR(IF(VLOOKUP($C214,'General price list'!$C:$AN,MATCH(N$20,'General price list'!$C$20:$AM$20,0),FALSE)=0,"",VLOOKUP($C214,'General price list'!$C:$AN,MATCH(N$20,'General price list'!$C$20:$AM$20,0),FALSE)),"")</f>
        <v/>
      </c>
      <c r="O214" s="836" t="str">
        <f>IFERROR(IF(VLOOKUP($C214,'General price list'!$C:$AN,MATCH(O$20,'General price list'!$C$20:$AM$20,0),FALSE)=0,"",VLOOKUP($C214,'General price list'!$C:$AN,MATCH(O$20,'General price list'!$C$20:$AM$20,0),FALSE)),"")</f>
        <v/>
      </c>
      <c r="P214" s="836" t="str">
        <f>IFERROR(IF(VLOOKUP($C214,'General price list'!$C:$AN,MATCH(P$20,'General price list'!$C$20:$AM$20,0),FALSE)=0,"",VLOOKUP($C214,'General price list'!$C:$AN,MATCH(P$20,'General price list'!$C$20:$AM$20,0),FALSE)),"")</f>
        <v/>
      </c>
      <c r="Q214" s="680"/>
      <c r="R214" s="680"/>
      <c r="S214" s="680"/>
      <c r="T214" s="681"/>
      <c r="U214" s="873"/>
      <c r="V214" s="684"/>
      <c r="W214" s="685" t="str">
        <f>IFERROR(VLOOKUP($C214,'General price list'!$C:$AN,MATCH(W$20,'General price list'!$C$20:$AM$20,0),FALSE),"")</f>
        <v/>
      </c>
      <c r="X214" s="889" t="str">
        <f t="shared" si="31"/>
        <v/>
      </c>
      <c r="Y214" s="890"/>
      <c r="Z214" s="685" t="str">
        <f>IFERROR(VLOOKUP($C214,'General price list'!$C:$AN,MATCH(Z$20,'General price list'!$C$20:$AM$20,0),FALSE),"")</f>
        <v/>
      </c>
      <c r="AA214" s="707"/>
      <c r="AB214" s="911" t="str">
        <f>IFERROR(IF(VLOOKUP(C214,[1]List1!$A:$D,2,FALSE)="VYPRODÁNO",$V$9,IF(VLOOKUP(C214,[1]List1!$A:$D,2,FALSE)="DOCHÁZÍ",$V$3,VLOOKUP(C214,[1]List1!$A:$D,2,FALSE))),"OFFLINE!")</f>
        <v>OFFLINE!</v>
      </c>
      <c r="AC214" s="911" t="str">
        <f ca="1">IF(AO214="NE",$V$10,IF(AB214=$V$3,IF(AP214&lt;1,$V$8,$V$2&amp;" "&amp;AP214&amp;" "&amp;$V$1),IF(AB214="SKLADEM",$V$6,IFERROR(IF(OR(AB214-TODAY()&gt;21,VLOOKUP(C214,[1]List1!$A:$E,4,FALSE)=0),AB214,DAY(AB214)&amp;"."&amp;MONTH(AB214)&amp;"."&amp;YEAR(AB214)&amp;" "&amp;$V$4&amp;VLOOKUP(C214,[1]List1!$A:$E,4,FALSE)&amp;" "&amp;$V$1),AB214))))</f>
        <v>OFFLINE!</v>
      </c>
      <c r="AD214" s="686" t="str">
        <f>_xlfn.IFNA(VLOOKUP(C214,'General price list'!C:AM,MATCH($AD$20,'General price list'!$C$20:$AM$20,0),FALSE),"")</f>
        <v/>
      </c>
      <c r="AE214" s="681" t="str">
        <f t="shared" si="32"/>
        <v/>
      </c>
      <c r="AF214" s="681" t="str">
        <f t="shared" si="33"/>
        <v/>
      </c>
      <c r="AG214" s="687" t="str">
        <f t="shared" si="34"/>
        <v/>
      </c>
      <c r="AH214" s="688" t="str">
        <f t="shared" si="35"/>
        <v/>
      </c>
      <c r="AI214" s="687" t="str">
        <f t="shared" si="36"/>
        <v/>
      </c>
      <c r="AJ214" s="689" t="str">
        <f t="shared" si="37"/>
        <v/>
      </c>
      <c r="AK214" s="689" t="str">
        <f t="shared" si="38"/>
        <v/>
      </c>
      <c r="AL214" s="689" t="str">
        <f t="shared" si="39"/>
        <v/>
      </c>
      <c r="AM214" s="690" t="str">
        <f t="shared" si="40"/>
        <v/>
      </c>
      <c r="AN214" s="313"/>
      <c r="AO214" s="314" t="str">
        <f>IF($R$3=1,IF(Y214=AA214,"","NE"),IF(#REF!=$V$10,"NE",""))</f>
        <v/>
      </c>
      <c r="AP214" s="315" t="str">
        <f>IF(AB214=$V$3,IF(VLOOKUP(C214,[1]List1!$A:$E,5,FALSE)=0,1,VLOOKUP(C214,[1]List1!$A:$E,5,FALSE)),"")</f>
        <v/>
      </c>
      <c r="AW214" s="291" t="e">
        <f>VLOOKUP(C214,'General price list'!C:AU,46,FALSE)</f>
        <v>#N/A</v>
      </c>
      <c r="AX214" s="291" t="e">
        <f>VLOOKUP(C214,'General price list'!C:AU,47,FALSE)</f>
        <v>#N/A</v>
      </c>
    </row>
    <row r="215" spans="1:50" ht="15" customHeight="1">
      <c r="A215" s="691" t="str">
        <f>Kat.!C215</f>
        <v xml:space="preserve">                                          </v>
      </c>
      <c r="B215" s="692">
        <v>194</v>
      </c>
      <c r="C215" s="693" t="s">
        <v>913</v>
      </c>
      <c r="D215" s="693" t="s">
        <v>914</v>
      </c>
      <c r="E215" s="694" t="s">
        <v>420</v>
      </c>
      <c r="F215" s="695">
        <f>VLOOKUP(C215,[2]List1!$A:$D,2,FALSE)</f>
        <v>31</v>
      </c>
      <c r="G215" s="696">
        <f t="shared" ref="G215:G278" si="41">IFERROR((F215)*$B$19,"")</f>
        <v>31</v>
      </c>
      <c r="H215" s="697">
        <f t="shared" ref="H215:H278" si="42">IFERROR(ROUND(G215/$F$19,1),"")</f>
        <v>1.3</v>
      </c>
      <c r="I215" s="837">
        <v>24</v>
      </c>
      <c r="J215" s="698"/>
      <c r="K215" s="856"/>
      <c r="L215" s="857" t="s">
        <v>13622</v>
      </c>
      <c r="M215" s="698"/>
      <c r="N215" s="869">
        <f>IFERROR(VLOOKUP(C215,[3]List1!$A:$D,4,FALSE),"N/A!")</f>
        <v>1.0164000000000001E-2</v>
      </c>
      <c r="O215" s="837">
        <f>IFERROR(VLOOKUP(C215,[3]List1!$A:$D,3,FALSE),"N/A!")</f>
        <v>0</v>
      </c>
      <c r="P215" s="837">
        <f>IFERROR(VLOOKUP(C215,[3]List1!$A:$D,2,FALSE),"N/A!")</f>
        <v>6500</v>
      </c>
      <c r="Q215" s="698" t="s">
        <v>24</v>
      </c>
      <c r="R215" s="698" t="s">
        <v>24</v>
      </c>
      <c r="S215" s="698"/>
      <c r="T215" s="695"/>
      <c r="U215" s="874"/>
      <c r="V215" s="699" t="str">
        <f>_xlfn.IFNA(HYPERLINK("https://www.klasekpyrotechnics.cz/n1"),"")</f>
        <v>https://www.klasekpyrotechnics.cz/n1</v>
      </c>
      <c r="W215" s="700" t="str">
        <f>IFERROR(VLOOKUP($C215,Popisy!A:P,MATCH($W$17,Popisy!$A$7:$P$7,0),FALSE),"---------------")</f>
        <v>Energiegetränk 250ml, made in EU</v>
      </c>
      <c r="X215" s="891" t="str">
        <f t="shared" ref="X215:X278" si="43">IF(AA215&lt;0.0001,"",AA215)</f>
        <v/>
      </c>
      <c r="Y215" s="892"/>
      <c r="Z215" s="700" t="str">
        <f>IFERROR(IF(VLOOKUP(C215,[4]List1!$A:$D,4,FALSE)=0,"",VLOOKUP(C215,[4]List1!$A:$D,4,FALSE)),"")</f>
        <v>120</v>
      </c>
      <c r="AA215" s="707"/>
      <c r="AB215" s="912" t="str">
        <f>IFERROR(IF(VLOOKUP(C215,[1]List1!$A:$D,2,FALSE)="VYPRODÁNO",$V$9,IF(VLOOKUP(C215,[1]List1!$A:$D,2,FALSE)="DOCHÁZÍ",$V$3,VLOOKUP(C215,[1]List1!$A:$D,2,FALSE))),"OFFLINE!")</f>
        <v>SKLADEM</v>
      </c>
      <c r="AC215" s="912" t="str">
        <f ca="1">IF(AO215="NE",$V$10,IF(AB215=$V$3,IF(AP215&lt;1,$V$8,$V$2&amp;" "&amp;AP215&amp;" "&amp;$V$1),IF(AB215="SKLADEM",$V$6,IFERROR(IF(OR(AB215-TODAY()&gt;21,VLOOKUP(C215,[1]List1!$A:$E,4,FALSE)=0),AB215,DAY(AB215)&amp;"."&amp;MONTH(AB215)&amp;"."&amp;YEAR(AB215)&amp;" "&amp;$V$4&amp;VLOOKUP(C215,[1]List1!$A:$E,4,FALSE)&amp;" "&amp;$V$1),AB215))))</f>
        <v>AUF LAGER</v>
      </c>
      <c r="AD215" s="701" t="str">
        <f ca="1">_xlfn.IFNA(VLOOKUP(C215,'General price list'!C:AM,MATCH($AD$20,'General price list'!$C$20:$AM$20,0),FALSE),"")</f>
        <v>AUF LAGER</v>
      </c>
      <c r="AE215" s="695">
        <f t="shared" ref="AE215:AE278" ca="1" si="44">IFERROR(IF(AD215=$V$10,0,G215*I215*AA215),"")</f>
        <v>0</v>
      </c>
      <c r="AF215" s="695">
        <f t="shared" ref="AF215:AF278" ca="1" si="45">IFERROR(IF($W$17=$AB$8,AG215*1.23,AE215*1.21),"")</f>
        <v>0</v>
      </c>
      <c r="AG215" s="702">
        <f t="shared" ref="AG215:AG278" ca="1" si="46">IFERROR(IF($V$10=AD215,0,H215*I215*AA215),"")</f>
        <v>0</v>
      </c>
      <c r="AH215" s="703">
        <f t="shared" ref="AH215:AH278" ca="1" si="47">IFERROR(IF($V$10=AD215,0,(P215*AA215)/1000),"")</f>
        <v>0</v>
      </c>
      <c r="AI215" s="702">
        <f t="shared" ref="AI215:AI278" ca="1" si="48">IFERROR(IF($V$10=AD215,0,N215*AA215),"")</f>
        <v>0</v>
      </c>
      <c r="AJ215" s="704" t="str">
        <f t="shared" ref="AJ215:AJ278" ca="1" si="49">IFERROR(IF($V$10=AD215,"",IF(M215="1.1G",(O215/1000)*AA215,"")),0)</f>
        <v/>
      </c>
      <c r="AK215" s="704" t="str">
        <f t="shared" ref="AK215:AK278" ca="1" si="50">IFERROR(IF($V$10=AD215,"",IF(M215="1.3G",(O215/1000)*AA215,"")),0)</f>
        <v/>
      </c>
      <c r="AL215" s="704" t="str">
        <f t="shared" ref="AL215:AL278" ca="1" si="51">IFERROR(IF($V$10=AD215,"",IF(M215="1.4G",(O215/1000)*AA215,"")),0)</f>
        <v/>
      </c>
      <c r="AM215" s="705" t="str">
        <f t="shared" ref="AM215:AM278" ca="1" si="52">IFERROR(IF(SUM(AJ215:AL215)=0,"",SUM(AJ215:AL215)),"")</f>
        <v/>
      </c>
      <c r="AN215" s="381"/>
      <c r="AO215" s="314" t="str">
        <f>IF($R$3=1,IF(Y215=AA215,"","NE"),IF(#REF!=$V$10,"NE",""))</f>
        <v/>
      </c>
      <c r="AP215" s="315" t="str">
        <f>IF(AB215=$V$3,IF(VLOOKUP(C215,[1]List1!$A:$E,5,FALSE)=0,1,VLOOKUP(C215,[1]List1!$A:$E,5,FALSE)),"")</f>
        <v/>
      </c>
      <c r="AW215" s="458">
        <f>IFERROR(FIND(VLOOKUP('General price list'!$AB$7,'General price list'!$AC$1:$AD$12,2,FALSE),Q215,1),0)</f>
        <v>0</v>
      </c>
      <c r="AX215" s="458">
        <f>IFERROR(FIND(VLOOKUP('General price list'!$AB$7,'General price list'!$AC$1:$AD$12,2,FALSE),R215,1),0)</f>
        <v>0</v>
      </c>
    </row>
    <row r="216" spans="1:50" ht="15" customHeight="1">
      <c r="A216" s="677" t="str">
        <f>Kat.!C216</f>
        <v>×</v>
      </c>
      <c r="B216" s="678">
        <v>195</v>
      </c>
      <c r="C216" s="679" t="s">
        <v>926</v>
      </c>
      <c r="D216" s="679" t="s">
        <v>927</v>
      </c>
      <c r="E216" s="680" t="s">
        <v>129</v>
      </c>
      <c r="F216" s="681">
        <f>VLOOKUP(C216,[2]List1!$A:$D,2,FALSE)</f>
        <v>2199</v>
      </c>
      <c r="G216" s="682">
        <f t="shared" si="41"/>
        <v>2199</v>
      </c>
      <c r="H216" s="683">
        <f t="shared" si="42"/>
        <v>89.5</v>
      </c>
      <c r="I216" s="836">
        <v>1</v>
      </c>
      <c r="J216" s="680"/>
      <c r="K216" s="854" t="s">
        <v>12594</v>
      </c>
      <c r="L216" s="855" t="s">
        <v>13622</v>
      </c>
      <c r="M216" s="680"/>
      <c r="N216" s="868">
        <f>IFERROR(VLOOKUP(C216,[3]List1!$A:$D,4,FALSE),"N/A!")</f>
        <v>0</v>
      </c>
      <c r="O216" s="836">
        <f>IFERROR(VLOOKUP(C216,[3]List1!$A:$D,3,FALSE),"N/A!")</f>
        <v>0</v>
      </c>
      <c r="P216" s="836">
        <f>IFERROR(VLOOKUP(C216,[3]List1!$A:$D,2,FALSE),"N/A!")</f>
        <v>3100</v>
      </c>
      <c r="Q216" s="680" t="s">
        <v>24</v>
      </c>
      <c r="R216" s="680" t="s">
        <v>24</v>
      </c>
      <c r="S216" s="680"/>
      <c r="T216" s="681"/>
      <c r="U216" s="873"/>
      <c r="V216" s="684" t="str">
        <f>_xlfn.IFNA(HYPERLINK("https://www.klasekpyrotechnics.cz/run1"),"")</f>
        <v>https://www.klasekpyrotechnics.cz/run1</v>
      </c>
      <c r="W216" s="685" t="str">
        <f>IFERROR(VLOOKUP($C216,Popisy!A:P,MATCH($W$17,Popisy!$A$7:$P$7,0),FALSE),"---------------")</f>
        <v>Abmessungen 200 x 85cm (Roll up No sound fireworks) - alleinstehend</v>
      </c>
      <c r="X216" s="889" t="str">
        <f t="shared" si="43"/>
        <v/>
      </c>
      <c r="Y216" s="890"/>
      <c r="Z216" s="685" t="str">
        <f>IFERROR(IF(VLOOKUP(C216,[4]List1!$A:$D,4,FALSE)=0,"",VLOOKUP(C216,[4]List1!$A:$D,4,FALSE)),"")</f>
        <v/>
      </c>
      <c r="AA216" s="707"/>
      <c r="AB216" s="911" t="str">
        <f>IFERROR(IF(VLOOKUP(C216,[1]List1!$A:$D,2,FALSE)="VYPRODÁNO",$V$9,IF(VLOOKUP(C216,[1]List1!$A:$D,2,FALSE)="DOCHÁZÍ",$V$3,VLOOKUP(C216,[1]List1!$A:$D,2,FALSE))),"OFFLINE!")</f>
        <v>SKLADEM</v>
      </c>
      <c r="AC216" s="911" t="str">
        <f ca="1">IF(AO216="NE",$V$10,IF(AB216=$V$3,IF(AP216&lt;1,$V$8,$V$2&amp;" "&amp;AP216&amp;" "&amp;$V$1),IF(AB216="SKLADEM",$V$6,IFERROR(IF(OR(AB216-TODAY()&gt;21,VLOOKUP(C216,[1]List1!$A:$E,4,FALSE)=0),AB216,DAY(AB216)&amp;"."&amp;MONTH(AB216)&amp;"."&amp;YEAR(AB216)&amp;" "&amp;$V$4&amp;VLOOKUP(C216,[1]List1!$A:$E,4,FALSE)&amp;" "&amp;$V$1),AB216))))</f>
        <v>AUF LAGER</v>
      </c>
      <c r="AD216" s="686" t="str">
        <f ca="1">_xlfn.IFNA(VLOOKUP(C216,'General price list'!C:AM,MATCH($AD$20,'General price list'!$C$20:$AM$20,0),FALSE),"")</f>
        <v>AUF LAGER</v>
      </c>
      <c r="AE216" s="681">
        <f t="shared" ca="1" si="44"/>
        <v>0</v>
      </c>
      <c r="AF216" s="681">
        <f t="shared" ca="1" si="45"/>
        <v>0</v>
      </c>
      <c r="AG216" s="687">
        <f t="shared" ca="1" si="46"/>
        <v>0</v>
      </c>
      <c r="AH216" s="688">
        <f t="shared" ca="1" si="47"/>
        <v>0</v>
      </c>
      <c r="AI216" s="687">
        <f t="shared" ca="1" si="48"/>
        <v>0</v>
      </c>
      <c r="AJ216" s="689" t="str">
        <f t="shared" ca="1" si="49"/>
        <v/>
      </c>
      <c r="AK216" s="689" t="str">
        <f t="shared" ca="1" si="50"/>
        <v/>
      </c>
      <c r="AL216" s="689" t="str">
        <f t="shared" ca="1" si="51"/>
        <v/>
      </c>
      <c r="AM216" s="690" t="str">
        <f t="shared" ca="1" si="52"/>
        <v/>
      </c>
      <c r="AN216" s="313"/>
      <c r="AO216" s="314" t="str">
        <f>IF($R$3=1,IF(Y216=AA216,"","NE"),IF(#REF!=$V$10,"NE",""))</f>
        <v/>
      </c>
      <c r="AP216" s="315" t="str">
        <f>IF(AB216=$V$3,IF(VLOOKUP(C216,[1]List1!$A:$E,5,FALSE)=0,1,VLOOKUP(C216,[1]List1!$A:$E,5,FALSE)),"")</f>
        <v/>
      </c>
      <c r="AW216" s="458">
        <f>IFERROR(FIND(VLOOKUP('General price list'!$AB$7,'General price list'!$AC$1:$AD$12,2,FALSE),Q216,1),0)</f>
        <v>0</v>
      </c>
      <c r="AX216" s="458">
        <f>IFERROR(FIND(VLOOKUP('General price list'!$AB$7,'General price list'!$AC$1:$AD$12,2,FALSE),R216,1),0)</f>
        <v>0</v>
      </c>
    </row>
    <row r="217" spans="1:50" ht="15" customHeight="1">
      <c r="A217" s="691" t="str">
        <f>Kat.!C217</f>
        <v xml:space="preserve">                                          </v>
      </c>
      <c r="B217" s="692">
        <v>196</v>
      </c>
      <c r="C217" s="693" t="s">
        <v>13644</v>
      </c>
      <c r="D217" s="693" t="s">
        <v>13645</v>
      </c>
      <c r="E217" s="694" t="s">
        <v>129</v>
      </c>
      <c r="F217" s="695">
        <f>VLOOKUP(C217,[2]List1!$A:$D,2,FALSE)</f>
        <v>3500</v>
      </c>
      <c r="G217" s="696">
        <f t="shared" si="41"/>
        <v>3500</v>
      </c>
      <c r="H217" s="697">
        <f t="shared" si="42"/>
        <v>142.4</v>
      </c>
      <c r="I217" s="837">
        <v>1</v>
      </c>
      <c r="J217" s="698"/>
      <c r="K217" s="856" t="s">
        <v>12594</v>
      </c>
      <c r="L217" s="857" t="s">
        <v>13622</v>
      </c>
      <c r="M217" s="698"/>
      <c r="N217" s="869">
        <f>IFERROR(VLOOKUP(C217,[3]List1!$A:$D,4,FALSE),"N/A!")</f>
        <v>0</v>
      </c>
      <c r="O217" s="837">
        <f>IFERROR(VLOOKUP(C217,[3]List1!$A:$D,3,FALSE),"N/A!")</f>
        <v>0</v>
      </c>
      <c r="P217" s="837">
        <f>IFERROR(VLOOKUP(C217,[3]List1!$A:$D,2,FALSE),"N/A!")</f>
        <v>8200</v>
      </c>
      <c r="Q217" s="698" t="s">
        <v>24</v>
      </c>
      <c r="R217" s="698" t="s">
        <v>24</v>
      </c>
      <c r="S217" s="698"/>
      <c r="T217" s="695"/>
      <c r="U217" s="874"/>
      <c r="V217" s="699" t="str">
        <f>_xlfn.IFNA(HYPERLINK("https://www.klasekpyrotechnics.cz/rt1du"),"")</f>
        <v>https://www.klasekpyrotechnics.cz/rt1du</v>
      </c>
      <c r="W217" s="700" t="str">
        <f>IFERROR(VLOOKUP($C217,Popisy!A:P,MATCH($W$17,Popisy!$A$7:$P$7,0),FALSE),"---------------")</f>
        <v>---------------</v>
      </c>
      <c r="X217" s="891" t="str">
        <f t="shared" si="43"/>
        <v/>
      </c>
      <c r="Y217" s="892"/>
      <c r="Z217" s="700" t="str">
        <f>IFERROR(IF(VLOOKUP(C217,[4]List1!$A:$D,4,FALSE)=0,"",VLOOKUP(C217,[4]List1!$A:$D,4,FALSE)),"")</f>
        <v/>
      </c>
      <c r="AA217" s="707"/>
      <c r="AB217" s="912" t="str">
        <f>IFERROR(IF(VLOOKUP(C217,[1]List1!$A:$D,2,FALSE)="VYPRODÁNO",$V$9,IF(VLOOKUP(C217,[1]List1!$A:$D,2,FALSE)="DOCHÁZÍ",$V$3,VLOOKUP(C217,[1]List1!$A:$D,2,FALSE))),"OFFLINE!")</f>
        <v>SKLADEM</v>
      </c>
      <c r="AC217" s="912" t="str">
        <f ca="1">IF(AO217="NE",$V$10,IF(AB217=$V$3,IF(AP217&lt;1,$V$8,$V$2&amp;" "&amp;AP217&amp;" "&amp;$V$1),IF(AB217="SKLADEM",$V$6,IFERROR(IF(OR(AB217-TODAY()&gt;21,VLOOKUP(C217,[1]List1!$A:$E,4,FALSE)=0),AB217,DAY(AB217)&amp;"."&amp;MONTH(AB217)&amp;"."&amp;YEAR(AB217)&amp;" "&amp;$V$4&amp;VLOOKUP(C217,[1]List1!$A:$E,4,FALSE)&amp;" "&amp;$V$1),AB217))))</f>
        <v>AUF LAGER</v>
      </c>
      <c r="AD217" s="701" t="str">
        <f ca="1">_xlfn.IFNA(VLOOKUP(C217,'General price list'!C:AM,MATCH($AD$20,'General price list'!$C$20:$AM$20,0),FALSE),"")</f>
        <v>AUF LAGER</v>
      </c>
      <c r="AE217" s="695">
        <f t="shared" ca="1" si="44"/>
        <v>0</v>
      </c>
      <c r="AF217" s="695">
        <f t="shared" ca="1" si="45"/>
        <v>0</v>
      </c>
      <c r="AG217" s="702">
        <f t="shared" ca="1" si="46"/>
        <v>0</v>
      </c>
      <c r="AH217" s="703">
        <f t="shared" ca="1" si="47"/>
        <v>0</v>
      </c>
      <c r="AI217" s="702">
        <f t="shared" ca="1" si="48"/>
        <v>0</v>
      </c>
      <c r="AJ217" s="704" t="str">
        <f t="shared" ca="1" si="49"/>
        <v/>
      </c>
      <c r="AK217" s="704" t="str">
        <f t="shared" ca="1" si="50"/>
        <v/>
      </c>
      <c r="AL217" s="704" t="str">
        <f t="shared" ca="1" si="51"/>
        <v/>
      </c>
      <c r="AM217" s="705" t="str">
        <f t="shared" ca="1" si="52"/>
        <v/>
      </c>
      <c r="AN217" s="313"/>
      <c r="AO217" s="314" t="str">
        <f>IF($R$3=1,IF(Y217=AA217,"","NE"),IF(#REF!=$V$10,"NE",""))</f>
        <v/>
      </c>
      <c r="AP217" s="315" t="str">
        <f>IF(AB217=$V$3,IF(VLOOKUP(C217,[1]List1!$A:$E,5,FALSE)=0,1,VLOOKUP(C217,[1]List1!$A:$E,5,FALSE)),"")</f>
        <v/>
      </c>
      <c r="AW217" s="458">
        <f>IFERROR(FIND(VLOOKUP('General price list'!$AB$7,'General price list'!$AC$1:$AD$12,2,FALSE),Q217,1),0)</f>
        <v>0</v>
      </c>
      <c r="AX217" s="458">
        <f>IFERROR(FIND(VLOOKUP('General price list'!$AB$7,'General price list'!$AC$1:$AD$12,2,FALSE),R217,1),0)</f>
        <v>0</v>
      </c>
    </row>
    <row r="218" spans="1:50" ht="15" customHeight="1">
      <c r="A218" s="677" t="str">
        <f>Kat.!C218</f>
        <v xml:space="preserve">                                          </v>
      </c>
      <c r="B218" s="678">
        <v>197</v>
      </c>
      <c r="C218" s="679" t="s">
        <v>950</v>
      </c>
      <c r="D218" s="679" t="s">
        <v>951</v>
      </c>
      <c r="E218" s="680" t="s">
        <v>129</v>
      </c>
      <c r="F218" s="681">
        <f>VLOOKUP(C218,[2]List1!$A:$D,2,FALSE)</f>
        <v>36</v>
      </c>
      <c r="G218" s="682">
        <f t="shared" si="41"/>
        <v>36</v>
      </c>
      <c r="H218" s="683">
        <f t="shared" si="42"/>
        <v>1.5</v>
      </c>
      <c r="I218" s="836">
        <v>1</v>
      </c>
      <c r="J218" s="680"/>
      <c r="K218" s="854"/>
      <c r="L218" s="855" t="s">
        <v>13622</v>
      </c>
      <c r="M218" s="680"/>
      <c r="N218" s="868">
        <f>IFERROR(VLOOKUP(C218,[3]List1!$A:$D,4,FALSE),"N/A!")</f>
        <v>0</v>
      </c>
      <c r="O218" s="836">
        <f>IFERROR(VLOOKUP(C218,[3]List1!$A:$D,3,FALSE),"N/A!")</f>
        <v>0</v>
      </c>
      <c r="P218" s="836">
        <f>IFERROR(VLOOKUP(C218,[3]List1!$A:$D,2,FALSE),"N/A!")</f>
        <v>3</v>
      </c>
      <c r="Q218" s="680" t="s">
        <v>24</v>
      </c>
      <c r="R218" s="680" t="s">
        <v>24</v>
      </c>
      <c r="S218" s="680"/>
      <c r="T218" s="681"/>
      <c r="U218" s="873"/>
      <c r="V218" s="684" t="str">
        <f>_xlfn.IFNA(HYPERLINK("https://www.klasekpyrotechnics.cz/pl1du"),"")</f>
        <v>https://www.klasekpyrotechnics.cz/pl1du</v>
      </c>
      <c r="W218" s="685" t="str">
        <f>IFERROR(VLOOKUP($C218,Popisy!A:P,MATCH($W$17,Popisy!$A$7:$P$7,0),FALSE),"---------------")</f>
        <v>Abmessungen 84x60cm, auf höhe</v>
      </c>
      <c r="X218" s="889" t="str">
        <f t="shared" si="43"/>
        <v/>
      </c>
      <c r="Y218" s="890"/>
      <c r="Z218" s="685" t="str">
        <f>IFERROR(IF(VLOOKUP(C218,[4]List1!$A:$D,4,FALSE)=0,"",VLOOKUP(C218,[4]List1!$A:$D,4,FALSE)),"")</f>
        <v/>
      </c>
      <c r="AA218" s="707"/>
      <c r="AB218" s="911" t="str">
        <f>IFERROR(IF(VLOOKUP(C218,[1]List1!$A:$D,2,FALSE)="VYPRODÁNO",$V$9,IF(VLOOKUP(C218,[1]List1!$A:$D,2,FALSE)="DOCHÁZÍ",$V$3,VLOOKUP(C218,[1]List1!$A:$D,2,FALSE))),"OFFLINE!")</f>
        <v>SKLADEM</v>
      </c>
      <c r="AC218" s="911" t="str">
        <f ca="1">IF(AO218="NE",$V$10,IF(AB218=$V$3,IF(AP218&lt;1,$V$8,$V$2&amp;" "&amp;AP218&amp;" "&amp;$V$1),IF(AB218="SKLADEM",$V$6,IFERROR(IF(OR(AB218-TODAY()&gt;21,VLOOKUP(C218,[1]List1!$A:$E,4,FALSE)=0),AB218,DAY(AB218)&amp;"."&amp;MONTH(AB218)&amp;"."&amp;YEAR(AB218)&amp;" "&amp;$V$4&amp;VLOOKUP(C218,[1]List1!$A:$E,4,FALSE)&amp;" "&amp;$V$1),AB218))))</f>
        <v>AUF LAGER</v>
      </c>
      <c r="AD218" s="686" t="str">
        <f ca="1">_xlfn.IFNA(VLOOKUP(C218,'General price list'!C:AM,MATCH($AD$20,'General price list'!$C$20:$AM$20,0),FALSE),"")</f>
        <v>AUF LAGER</v>
      </c>
      <c r="AE218" s="681">
        <f t="shared" ca="1" si="44"/>
        <v>0</v>
      </c>
      <c r="AF218" s="681">
        <f t="shared" ca="1" si="45"/>
        <v>0</v>
      </c>
      <c r="AG218" s="687">
        <f t="shared" ca="1" si="46"/>
        <v>0</v>
      </c>
      <c r="AH218" s="688">
        <f t="shared" ca="1" si="47"/>
        <v>0</v>
      </c>
      <c r="AI218" s="687">
        <f t="shared" ca="1" si="48"/>
        <v>0</v>
      </c>
      <c r="AJ218" s="689" t="str">
        <f t="shared" ca="1" si="49"/>
        <v/>
      </c>
      <c r="AK218" s="689" t="str">
        <f t="shared" ca="1" si="50"/>
        <v/>
      </c>
      <c r="AL218" s="689" t="str">
        <f t="shared" ca="1" si="51"/>
        <v/>
      </c>
      <c r="AM218" s="690" t="str">
        <f t="shared" ca="1" si="52"/>
        <v/>
      </c>
      <c r="AN218" s="313"/>
      <c r="AO218" s="314" t="str">
        <f>IF($R$3=1,IF(Y218=AA218,"","NE"),IF(#REF!=$V$10,"NE",""))</f>
        <v/>
      </c>
      <c r="AP218" s="315" t="str">
        <f>IF(AB218=$V$3,IF(VLOOKUP(C218,[1]List1!$A:$E,5,FALSE)=0,1,VLOOKUP(C218,[1]List1!$A:$E,5,FALSE)),"")</f>
        <v/>
      </c>
      <c r="AW218" s="458">
        <f>IFERROR(FIND(VLOOKUP('General price list'!$AB$7,'General price list'!$AC$1:$AD$12,2,FALSE),Q218,1),0)</f>
        <v>0</v>
      </c>
      <c r="AX218" s="458">
        <f>IFERROR(FIND(VLOOKUP('General price list'!$AB$7,'General price list'!$AC$1:$AD$12,2,FALSE),R218,1),0)</f>
        <v>0</v>
      </c>
    </row>
    <row r="219" spans="1:50" ht="15" customHeight="1">
      <c r="A219" s="691" t="str">
        <f>Kat.!C219</f>
        <v xml:space="preserve">                                          </v>
      </c>
      <c r="B219" s="692">
        <v>198</v>
      </c>
      <c r="C219" s="693" t="s">
        <v>953</v>
      </c>
      <c r="D219" s="693" t="s">
        <v>954</v>
      </c>
      <c r="E219" s="694" t="s">
        <v>955</v>
      </c>
      <c r="F219" s="695">
        <f>VLOOKUP(C219,[2]List1!$A:$D,2,FALSE)</f>
        <v>1880</v>
      </c>
      <c r="G219" s="696">
        <f t="shared" si="41"/>
        <v>1880</v>
      </c>
      <c r="H219" s="697">
        <f t="shared" si="42"/>
        <v>76.5</v>
      </c>
      <c r="I219" s="837">
        <v>1</v>
      </c>
      <c r="J219" s="698"/>
      <c r="K219" s="856"/>
      <c r="L219" s="857" t="s">
        <v>13622</v>
      </c>
      <c r="M219" s="698"/>
      <c r="N219" s="869">
        <f>IFERROR(VLOOKUP(C219,[3]List1!$A:$D,4,FALSE),"N/A!")</f>
        <v>1.6379999999999999E-3</v>
      </c>
      <c r="O219" s="837">
        <f>IFERROR(VLOOKUP(C219,[3]List1!$A:$D,3,FALSE),"N/A!")</f>
        <v>0</v>
      </c>
      <c r="P219" s="837">
        <f>IFERROR(VLOOKUP(C219,[3]List1!$A:$D,2,FALSE),"N/A!")</f>
        <v>900</v>
      </c>
      <c r="Q219" s="698" t="s">
        <v>24</v>
      </c>
      <c r="R219" s="698" t="s">
        <v>24</v>
      </c>
      <c r="S219" s="698"/>
      <c r="T219" s="695"/>
      <c r="U219" s="874"/>
      <c r="V219" s="699" t="str">
        <f>_xlfn.IFNA(HYPERLINK("https://www.klasekpyrotechnics.cz/zd1"),"")</f>
        <v>https://www.klasekpyrotechnics.cz/zd1</v>
      </c>
      <c r="W219" s="700" t="str">
        <f>IFERROR(VLOOKUP($C219,Popisy!A:P,MATCH($W$17,Popisy!$A$7:$P$7,0),FALSE),"---------------")</f>
        <v>Feuerzeug mit der Turboflamme Dumbum</v>
      </c>
      <c r="X219" s="891" t="str">
        <f t="shared" si="43"/>
        <v/>
      </c>
      <c r="Y219" s="892"/>
      <c r="Z219" s="700" t="str">
        <f>IFERROR(IF(VLOOKUP(C219,[4]List1!$A:$D,4,FALSE)=0,"",VLOOKUP(C219,[4]List1!$A:$D,4,FALSE)),"")</f>
        <v/>
      </c>
      <c r="AA219" s="707"/>
      <c r="AB219" s="912" t="str">
        <f>IFERROR(IF(VLOOKUP(C219,[1]List1!$A:$D,2,FALSE)="VYPRODÁNO",$V$9,IF(VLOOKUP(C219,[1]List1!$A:$D,2,FALSE)="DOCHÁZÍ",$V$3,VLOOKUP(C219,[1]List1!$A:$D,2,FALSE))),"OFFLINE!")</f>
        <v>SKLADEM</v>
      </c>
      <c r="AC219" s="912" t="str">
        <f ca="1">IF(AO219="NE",$V$10,IF(AB219=$V$3,IF(AP219&lt;1,$V$8,$V$2&amp;" "&amp;AP219&amp;" "&amp;$V$1),IF(AB219="SKLADEM",$V$6,IFERROR(IF(OR(AB219-TODAY()&gt;21,VLOOKUP(C219,[1]List1!$A:$E,4,FALSE)=0),AB219,DAY(AB219)&amp;"."&amp;MONTH(AB219)&amp;"."&amp;YEAR(AB219)&amp;" "&amp;$V$4&amp;VLOOKUP(C219,[1]List1!$A:$E,4,FALSE)&amp;" "&amp;$V$1),AB219))))</f>
        <v>AUF LAGER</v>
      </c>
      <c r="AD219" s="701" t="str">
        <f ca="1">_xlfn.IFNA(VLOOKUP(C219,'General price list'!C:AM,MATCH($AD$20,'General price list'!$C$20:$AM$20,0),FALSE),"")</f>
        <v>AUF LAGER</v>
      </c>
      <c r="AE219" s="695">
        <f t="shared" ca="1" si="44"/>
        <v>0</v>
      </c>
      <c r="AF219" s="695">
        <f t="shared" ca="1" si="45"/>
        <v>0</v>
      </c>
      <c r="AG219" s="702">
        <f t="shared" ca="1" si="46"/>
        <v>0</v>
      </c>
      <c r="AH219" s="703">
        <f t="shared" ca="1" si="47"/>
        <v>0</v>
      </c>
      <c r="AI219" s="702">
        <f t="shared" ca="1" si="48"/>
        <v>0</v>
      </c>
      <c r="AJ219" s="704" t="str">
        <f t="shared" ca="1" si="49"/>
        <v/>
      </c>
      <c r="AK219" s="704" t="str">
        <f t="shared" ca="1" si="50"/>
        <v/>
      </c>
      <c r="AL219" s="704" t="str">
        <f t="shared" ca="1" si="51"/>
        <v/>
      </c>
      <c r="AM219" s="705" t="str">
        <f t="shared" ca="1" si="52"/>
        <v/>
      </c>
      <c r="AN219" s="313"/>
      <c r="AO219" s="314" t="str">
        <f>IF($R$3=1,IF(Y219=AA219,"","NE"),IF(#REF!=$V$10,"NE",""))</f>
        <v/>
      </c>
      <c r="AP219" s="315" t="str">
        <f>IF(AB219=$V$3,IF(VLOOKUP(C219,[1]List1!$A:$E,5,FALSE)=0,1,VLOOKUP(C219,[1]List1!$A:$E,5,FALSE)),"")</f>
        <v/>
      </c>
      <c r="AW219" s="458">
        <f>IFERROR(FIND(VLOOKUP('General price list'!$AB$7,'General price list'!$AC$1:$AD$12,2,FALSE),Q219,1),0)</f>
        <v>0</v>
      </c>
      <c r="AX219" s="458">
        <f>IFERROR(FIND(VLOOKUP('General price list'!$AB$7,'General price list'!$AC$1:$AD$12,2,FALSE),R219,1),0)</f>
        <v>0</v>
      </c>
    </row>
    <row r="220" spans="1:50" ht="15" customHeight="1">
      <c r="A220" s="677" t="str">
        <f>Kat.!C220</f>
        <v xml:space="preserve">                                          </v>
      </c>
      <c r="B220" s="678">
        <v>199</v>
      </c>
      <c r="C220" s="679" t="s">
        <v>959</v>
      </c>
      <c r="D220" s="679" t="s">
        <v>960</v>
      </c>
      <c r="E220" s="680" t="s">
        <v>129</v>
      </c>
      <c r="F220" s="681">
        <f>VLOOKUP(C220,[2]List1!$A:$D,2,FALSE)</f>
        <v>175</v>
      </c>
      <c r="G220" s="682">
        <f t="shared" si="41"/>
        <v>175</v>
      </c>
      <c r="H220" s="683">
        <f t="shared" si="42"/>
        <v>7.1</v>
      </c>
      <c r="I220" s="836">
        <v>1</v>
      </c>
      <c r="J220" s="680"/>
      <c r="K220" s="854"/>
      <c r="L220" s="855" t="s">
        <v>13622</v>
      </c>
      <c r="M220" s="680"/>
      <c r="N220" s="868">
        <f>IFERROR(VLOOKUP(C220,[3]List1!$A:$D,4,FALSE),"N/A!")</f>
        <v>0</v>
      </c>
      <c r="O220" s="836">
        <f>IFERROR(VLOOKUP(C220,[3]List1!$A:$D,3,FALSE),"N/A!")</f>
        <v>0</v>
      </c>
      <c r="P220" s="836">
        <f>IFERROR(VLOOKUP(C220,[3]List1!$A:$D,2,FALSE),"N/A!")</f>
        <v>20</v>
      </c>
      <c r="Q220" s="680" t="s">
        <v>24</v>
      </c>
      <c r="R220" s="680" t="s">
        <v>24</v>
      </c>
      <c r="S220" s="680"/>
      <c r="T220" s="681"/>
      <c r="U220" s="873"/>
      <c r="V220" s="684" t="str">
        <f>_xlfn.IFNA(HYPERLINK("https://www.klasekpyrotechnics.cz/uzd2"),"")</f>
        <v>https://www.klasekpyrotechnics.cz/uzd2</v>
      </c>
      <c r="W220" s="685" t="str">
        <f>IFERROR(VLOOKUP($C220,Popisy!A:P,MATCH($W$17,Popisy!$A$7:$P$7,0),FALSE),"---------------")</f>
        <v>USB Feuerzeug Dumbum</v>
      </c>
      <c r="X220" s="889" t="str">
        <f t="shared" si="43"/>
        <v/>
      </c>
      <c r="Y220" s="890"/>
      <c r="Z220" s="685" t="str">
        <f>IFERROR(IF(VLOOKUP(C220,[4]List1!$A:$D,4,FALSE)=0,"",VLOOKUP(C220,[4]List1!$A:$D,4,FALSE)),"")</f>
        <v/>
      </c>
      <c r="AA220" s="707"/>
      <c r="AB220" s="911" t="str">
        <f>IFERROR(IF(VLOOKUP(C220,[1]List1!$A:$D,2,FALSE)="VYPRODÁNO",$V$9,IF(VLOOKUP(C220,[1]List1!$A:$D,2,FALSE)="DOCHÁZÍ",$V$3,VLOOKUP(C220,[1]List1!$A:$D,2,FALSE))),"OFFLINE!")</f>
        <v>SKLADEM</v>
      </c>
      <c r="AC220" s="911" t="str">
        <f ca="1">IF(AO220="NE",$V$10,IF(AB220=$V$3,IF(AP220&lt;1,$V$8,$V$2&amp;" "&amp;AP220&amp;" "&amp;$V$1),IF(AB220="SKLADEM",$V$6,IFERROR(IF(OR(AB220-TODAY()&gt;21,VLOOKUP(C220,[1]List1!$A:$E,4,FALSE)=0),AB220,DAY(AB220)&amp;"."&amp;MONTH(AB220)&amp;"."&amp;YEAR(AB220)&amp;" "&amp;$V$4&amp;VLOOKUP(C220,[1]List1!$A:$E,4,FALSE)&amp;" "&amp;$V$1),AB220))))</f>
        <v>AUF LAGER</v>
      </c>
      <c r="AD220" s="686" t="str">
        <f ca="1">_xlfn.IFNA(VLOOKUP(C220,'General price list'!C:AM,MATCH($AD$20,'General price list'!$C$20:$AM$20,0),FALSE),"")</f>
        <v>AUF LAGER</v>
      </c>
      <c r="AE220" s="681">
        <f t="shared" ca="1" si="44"/>
        <v>0</v>
      </c>
      <c r="AF220" s="681">
        <f t="shared" ca="1" si="45"/>
        <v>0</v>
      </c>
      <c r="AG220" s="687">
        <f t="shared" ca="1" si="46"/>
        <v>0</v>
      </c>
      <c r="AH220" s="688">
        <f t="shared" ca="1" si="47"/>
        <v>0</v>
      </c>
      <c r="AI220" s="687">
        <f t="shared" ca="1" si="48"/>
        <v>0</v>
      </c>
      <c r="AJ220" s="689" t="str">
        <f t="shared" ca="1" si="49"/>
        <v/>
      </c>
      <c r="AK220" s="689" t="str">
        <f t="shared" ca="1" si="50"/>
        <v/>
      </c>
      <c r="AL220" s="689" t="str">
        <f t="shared" ca="1" si="51"/>
        <v/>
      </c>
      <c r="AM220" s="690" t="str">
        <f t="shared" ca="1" si="52"/>
        <v/>
      </c>
      <c r="AN220" s="382"/>
      <c r="AO220" s="314" t="str">
        <f>IF($R$3=1,IF(Y220=AA220,"","NE"),IF(#REF!=$V$10,"NE",""))</f>
        <v/>
      </c>
      <c r="AP220" s="315" t="str">
        <f>IF(AB220=$V$3,IF(VLOOKUP(C220,[1]List1!$A:$E,5,FALSE)=0,1,VLOOKUP(C220,[1]List1!$A:$E,5,FALSE)),"")</f>
        <v/>
      </c>
      <c r="AW220" s="458">
        <f>IFERROR(FIND(VLOOKUP('General price list'!$AB$7,'General price list'!$AC$1:$AD$12,2,FALSE),Q220,1),0)</f>
        <v>0</v>
      </c>
      <c r="AX220" s="458">
        <f>IFERROR(FIND(VLOOKUP('General price list'!$AB$7,'General price list'!$AC$1:$AD$12,2,FALSE),R220,1),0)</f>
        <v>0</v>
      </c>
    </row>
    <row r="221" spans="1:50" ht="15" customHeight="1">
      <c r="A221" s="691" t="str">
        <f>Kat.!C221</f>
        <v xml:space="preserve">                                          </v>
      </c>
      <c r="B221" s="692">
        <v>200</v>
      </c>
      <c r="C221" s="693" t="s">
        <v>963</v>
      </c>
      <c r="D221" s="693" t="s">
        <v>964</v>
      </c>
      <c r="E221" s="694" t="s">
        <v>129</v>
      </c>
      <c r="F221" s="695">
        <f>VLOOKUP(C221,[2]List1!$A:$D,2,FALSE)</f>
        <v>14</v>
      </c>
      <c r="G221" s="696">
        <f t="shared" si="41"/>
        <v>14</v>
      </c>
      <c r="H221" s="697">
        <f t="shared" si="42"/>
        <v>0.6</v>
      </c>
      <c r="I221" s="837">
        <v>1</v>
      </c>
      <c r="J221" s="698"/>
      <c r="K221" s="856"/>
      <c r="L221" s="857" t="s">
        <v>13622</v>
      </c>
      <c r="M221" s="698"/>
      <c r="N221" s="869">
        <f>IFERROR(VLOOKUP(C221,[3]List1!$A:$D,4,FALSE),"N/A!")</f>
        <v>0</v>
      </c>
      <c r="O221" s="837">
        <f>IFERROR(VLOOKUP(C221,[3]List1!$A:$D,3,FALSE),"N/A!")</f>
        <v>0</v>
      </c>
      <c r="P221" s="837">
        <f>IFERROR(VLOOKUP(C221,[3]List1!$A:$D,2,FALSE),"N/A!")</f>
        <v>3</v>
      </c>
      <c r="Q221" s="698"/>
      <c r="R221" s="698" t="s">
        <v>24</v>
      </c>
      <c r="S221" s="698"/>
      <c r="T221" s="695"/>
      <c r="U221" s="874"/>
      <c r="V221" s="699" t="str">
        <f>_xlfn.IFNA(HYPERLINK("https://www.klasekpyrotechnics.cz/nd1"),"")</f>
        <v>https://www.klasekpyrotechnics.cz/nd1</v>
      </c>
      <c r="W221" s="700" t="str">
        <f>IFERROR(VLOOKUP($C221,Popisy!A:P,MATCH($W$17,Popisy!$A$7:$P$7,0),FALSE),"---------------")</f>
        <v>Aufkleber Dumbum Abmessungen 17x15cm</v>
      </c>
      <c r="X221" s="891" t="str">
        <f t="shared" si="43"/>
        <v/>
      </c>
      <c r="Y221" s="892"/>
      <c r="Z221" s="700" t="str">
        <f>IFERROR(IF(VLOOKUP(C221,[4]List1!$A:$D,4,FALSE)=0,"",VLOOKUP(C221,[4]List1!$A:$D,4,FALSE)),"")</f>
        <v/>
      </c>
      <c r="AA221" s="707"/>
      <c r="AB221" s="912" t="str">
        <f>IFERROR(IF(VLOOKUP(C221,[1]List1!$A:$D,2,FALSE)="VYPRODÁNO",$V$9,IF(VLOOKUP(C221,[1]List1!$A:$D,2,FALSE)="DOCHÁZÍ",$V$3,VLOOKUP(C221,[1]List1!$A:$D,2,FALSE))),"OFFLINE!")</f>
        <v>SKLADEM</v>
      </c>
      <c r="AC221" s="912" t="str">
        <f ca="1">IF(AO221="NE",$V$10,IF(AB221=$V$3,IF(AP221&lt;1,$V$8,$V$2&amp;" "&amp;AP221&amp;" "&amp;$V$1),IF(AB221="SKLADEM",$V$6,IFERROR(IF(OR(AB221-TODAY()&gt;21,VLOOKUP(C221,[1]List1!$A:$E,4,FALSE)=0),AB221,DAY(AB221)&amp;"."&amp;MONTH(AB221)&amp;"."&amp;YEAR(AB221)&amp;" "&amp;$V$4&amp;VLOOKUP(C221,[1]List1!$A:$E,4,FALSE)&amp;" "&amp;$V$1),AB221))))</f>
        <v>AUF LAGER</v>
      </c>
      <c r="AD221" s="701" t="str">
        <f ca="1">_xlfn.IFNA(VLOOKUP(C221,'General price list'!C:AM,MATCH($AD$20,'General price list'!$C$20:$AM$20,0),FALSE),"")</f>
        <v>AUF LAGER</v>
      </c>
      <c r="AE221" s="695">
        <f t="shared" ca="1" si="44"/>
        <v>0</v>
      </c>
      <c r="AF221" s="695">
        <f t="shared" ca="1" si="45"/>
        <v>0</v>
      </c>
      <c r="AG221" s="702">
        <f t="shared" ca="1" si="46"/>
        <v>0</v>
      </c>
      <c r="AH221" s="703">
        <f t="shared" ca="1" si="47"/>
        <v>0</v>
      </c>
      <c r="AI221" s="702">
        <f t="shared" ca="1" si="48"/>
        <v>0</v>
      </c>
      <c r="AJ221" s="704" t="str">
        <f t="shared" ca="1" si="49"/>
        <v/>
      </c>
      <c r="AK221" s="704" t="str">
        <f t="shared" ca="1" si="50"/>
        <v/>
      </c>
      <c r="AL221" s="704" t="str">
        <f t="shared" ca="1" si="51"/>
        <v/>
      </c>
      <c r="AM221" s="705" t="str">
        <f t="shared" ca="1" si="52"/>
        <v/>
      </c>
      <c r="AN221" s="382"/>
      <c r="AO221" s="314" t="str">
        <f>IF($R$3=1,IF(Y221=AA221,"","NE"),IF(#REF!=$V$10,"NE",""))</f>
        <v/>
      </c>
      <c r="AP221" s="315" t="str">
        <f>IF(AB221=$V$3,IF(VLOOKUP(C221,[1]List1!$A:$E,5,FALSE)=0,1,VLOOKUP(C221,[1]List1!$A:$E,5,FALSE)),"")</f>
        <v/>
      </c>
      <c r="AW221" s="458">
        <f>IFERROR(FIND(VLOOKUP('General price list'!$AB$7,'General price list'!$AC$1:$AD$12,2,FALSE),Q221,1),0)</f>
        <v>0</v>
      </c>
      <c r="AX221" s="458">
        <f>IFERROR(FIND(VLOOKUP('General price list'!$AB$7,'General price list'!$AC$1:$AD$12,2,FALSE),R221,1),0)</f>
        <v>0</v>
      </c>
    </row>
    <row r="222" spans="1:50" ht="15" customHeight="1">
      <c r="A222" s="677" t="str">
        <f>Kat.!C222</f>
        <v>×</v>
      </c>
      <c r="B222" s="678">
        <v>201</v>
      </c>
      <c r="C222" s="679" t="s">
        <v>230</v>
      </c>
      <c r="D222" s="679" t="s">
        <v>968</v>
      </c>
      <c r="E222" s="680" t="s">
        <v>129</v>
      </c>
      <c r="F222" s="681">
        <f>VLOOKUP(C222,[2]List1!$A:$D,2,FALSE)</f>
        <v>15</v>
      </c>
      <c r="G222" s="682">
        <f t="shared" si="41"/>
        <v>15</v>
      </c>
      <c r="H222" s="683">
        <f t="shared" si="42"/>
        <v>0.6</v>
      </c>
      <c r="I222" s="836">
        <v>1</v>
      </c>
      <c r="J222" s="680"/>
      <c r="K222" s="854"/>
      <c r="L222" s="855" t="s">
        <v>13622</v>
      </c>
      <c r="M222" s="680"/>
      <c r="N222" s="868">
        <f>IFERROR(VLOOKUP(C222,[3]List1!$A:$D,4,FALSE),"N/A!")</f>
        <v>0</v>
      </c>
      <c r="O222" s="836">
        <f>IFERROR(VLOOKUP(C222,[3]List1!$A:$D,3,FALSE),"N/A!")</f>
        <v>0</v>
      </c>
      <c r="P222" s="836">
        <f>IFERROR(VLOOKUP(C222,[3]List1!$A:$D,2,FALSE),"N/A!")</f>
        <v>5</v>
      </c>
      <c r="Q222" s="680" t="s">
        <v>24</v>
      </c>
      <c r="R222" s="680" t="s">
        <v>24</v>
      </c>
      <c r="S222" s="680"/>
      <c r="T222" s="681"/>
      <c r="U222" s="873"/>
      <c r="V222" s="684" t="str">
        <f>_xlfn.IFNA(HYPERLINK("https://www.klasekpyrotechnics.cz/t1"),"")</f>
        <v>https://www.klasekpyrotechnics.cz/t1</v>
      </c>
      <c r="W222" s="685" t="str">
        <f>IFERROR(VLOOKUP($C222,Popisy!A:P,MATCH($W$17,Popisy!$A$7:$P$7,0),FALSE),"---------------")</f>
        <v>Einkaufstasche Klásek/Dumbum, Abmessungen 50x40cm</v>
      </c>
      <c r="X222" s="889" t="str">
        <f t="shared" si="43"/>
        <v/>
      </c>
      <c r="Y222" s="890"/>
      <c r="Z222" s="685" t="str">
        <f>IFERROR(IF(VLOOKUP(C222,[4]List1!$A:$D,4,FALSE)=0,"",VLOOKUP(C222,[4]List1!$A:$D,4,FALSE)),"")</f>
        <v/>
      </c>
      <c r="AA222" s="707"/>
      <c r="AB222" s="911" t="str">
        <f>IFERROR(IF(VLOOKUP(C222,[1]List1!$A:$D,2,FALSE)="VYPRODÁNO",$V$9,IF(VLOOKUP(C222,[1]List1!$A:$D,2,FALSE)="DOCHÁZÍ",$V$3,VLOOKUP(C222,[1]List1!$A:$D,2,FALSE))),"OFFLINE!")</f>
        <v>AUSVERKAUFT</v>
      </c>
      <c r="AC222" s="911" t="str">
        <f ca="1">IF(AO222="NE",$V$10,IF(AB222=$V$3,IF(AP222&lt;1,$V$8,$V$2&amp;" "&amp;AP222&amp;" "&amp;$V$1),IF(AB222="SKLADEM",$V$6,IFERROR(IF(OR(AB222-TODAY()&gt;21,VLOOKUP(C222,[1]List1!$A:$E,4,FALSE)=0),AB222,DAY(AB222)&amp;"."&amp;MONTH(AB222)&amp;"."&amp;YEAR(AB222)&amp;" "&amp;$V$4&amp;VLOOKUP(C222,[1]List1!$A:$E,4,FALSE)&amp;" "&amp;$V$1),AB222))))</f>
        <v>AUSVERKAUFT</v>
      </c>
      <c r="AD222" s="686" t="str">
        <f ca="1">_xlfn.IFNA(VLOOKUP(C222,'General price list'!C:AM,MATCH($AD$20,'General price list'!$C$20:$AM$20,0),FALSE),"")</f>
        <v>AUSVERKAUFT</v>
      </c>
      <c r="AE222" s="681">
        <f t="shared" ca="1" si="44"/>
        <v>0</v>
      </c>
      <c r="AF222" s="681">
        <f t="shared" ca="1" si="45"/>
        <v>0</v>
      </c>
      <c r="AG222" s="687">
        <f t="shared" ca="1" si="46"/>
        <v>0</v>
      </c>
      <c r="AH222" s="688">
        <f t="shared" ca="1" si="47"/>
        <v>0</v>
      </c>
      <c r="AI222" s="687">
        <f t="shared" ca="1" si="48"/>
        <v>0</v>
      </c>
      <c r="AJ222" s="689" t="str">
        <f t="shared" ca="1" si="49"/>
        <v/>
      </c>
      <c r="AK222" s="689" t="str">
        <f t="shared" ca="1" si="50"/>
        <v/>
      </c>
      <c r="AL222" s="689" t="str">
        <f t="shared" ca="1" si="51"/>
        <v/>
      </c>
      <c r="AM222" s="690" t="str">
        <f t="shared" ca="1" si="52"/>
        <v/>
      </c>
      <c r="AN222" s="313"/>
      <c r="AO222" s="314" t="str">
        <f>IF($R$3=1,IF(Y222=AA222,"","NE"),IF(#REF!=$V$10,"NE",""))</f>
        <v/>
      </c>
      <c r="AP222" s="315" t="str">
        <f>IF(AB222=$V$3,IF(VLOOKUP(C222,[1]List1!$A:$E,5,FALSE)=0,1,VLOOKUP(C222,[1]List1!$A:$E,5,FALSE)),"")</f>
        <v/>
      </c>
      <c r="AW222" s="458">
        <f>IFERROR(FIND(VLOOKUP('General price list'!$AB$7,'General price list'!$AC$1:$AD$12,2,FALSE),Q222,1),0)</f>
        <v>0</v>
      </c>
      <c r="AX222" s="458">
        <f>IFERROR(FIND(VLOOKUP('General price list'!$AB$7,'General price list'!$AC$1:$AD$12,2,FALSE),R222,1),0)</f>
        <v>0</v>
      </c>
    </row>
    <row r="223" spans="1:50" ht="15" customHeight="1">
      <c r="A223" s="691" t="str">
        <f>Kat.!C223</f>
        <v xml:space="preserve">                                          </v>
      </c>
      <c r="B223" s="692">
        <v>202</v>
      </c>
      <c r="C223" s="693" t="s">
        <v>731</v>
      </c>
      <c r="D223" s="693" t="s">
        <v>972</v>
      </c>
      <c r="E223" s="694" t="s">
        <v>129</v>
      </c>
      <c r="F223" s="695">
        <f>VLOOKUP(C223,[2]List1!$A:$D,2,FALSE)</f>
        <v>20</v>
      </c>
      <c r="G223" s="696">
        <f t="shared" si="41"/>
        <v>20</v>
      </c>
      <c r="H223" s="697">
        <f t="shared" si="42"/>
        <v>0.8</v>
      </c>
      <c r="I223" s="837">
        <v>1</v>
      </c>
      <c r="J223" s="698"/>
      <c r="K223" s="856"/>
      <c r="L223" s="857" t="s">
        <v>13622</v>
      </c>
      <c r="M223" s="698"/>
      <c r="N223" s="869">
        <f>IFERROR(VLOOKUP(C223,[3]List1!$A:$D,4,FALSE),"N/A!")</f>
        <v>0</v>
      </c>
      <c r="O223" s="837">
        <f>IFERROR(VLOOKUP(C223,[3]List1!$A:$D,3,FALSE),"N/A!")</f>
        <v>0</v>
      </c>
      <c r="P223" s="837">
        <f>IFERROR(VLOOKUP(C223,[3]List1!$A:$D,2,FALSE),"N/A!")</f>
        <v>5</v>
      </c>
      <c r="Q223" s="698" t="s">
        <v>24</v>
      </c>
      <c r="R223" s="698" t="s">
        <v>24</v>
      </c>
      <c r="S223" s="698"/>
      <c r="T223" s="695"/>
      <c r="U223" s="874"/>
      <c r="V223" s="699" t="str">
        <f>_xlfn.IFNA(HYPERLINK("https://www.klasekpyrotechnics.cz/t2"),"")</f>
        <v>https://www.klasekpyrotechnics.cz/t2</v>
      </c>
      <c r="W223" s="700" t="str">
        <f>IFERROR(VLOOKUP($C223,Popisy!A:P,MATCH($W$17,Popisy!$A$7:$P$7,0),FALSE),"---------------")</f>
        <v>Einkaufstasche Dumbum, Abmessungen 45x34cm</v>
      </c>
      <c r="X223" s="891" t="str">
        <f t="shared" si="43"/>
        <v/>
      </c>
      <c r="Y223" s="892"/>
      <c r="Z223" s="700" t="str">
        <f>IFERROR(IF(VLOOKUP(C223,[4]List1!$A:$D,4,FALSE)=0,"",VLOOKUP(C223,[4]List1!$A:$D,4,FALSE)),"")</f>
        <v/>
      </c>
      <c r="AA223" s="707"/>
      <c r="AB223" s="912" t="str">
        <f>IFERROR(IF(VLOOKUP(C223,[1]List1!$A:$D,2,FALSE)="VYPRODÁNO",$V$9,IF(VLOOKUP(C223,[1]List1!$A:$D,2,FALSE)="DOCHÁZÍ",$V$3,VLOOKUP(C223,[1]List1!$A:$D,2,FALSE))),"OFFLINE!")</f>
        <v>SKLADEM</v>
      </c>
      <c r="AC223" s="912" t="str">
        <f ca="1">IF(AO223="NE",$V$10,IF(AB223=$V$3,IF(AP223&lt;1,$V$8,$V$2&amp;" "&amp;AP223&amp;" "&amp;$V$1),IF(AB223="SKLADEM",$V$6,IFERROR(IF(OR(AB223-TODAY()&gt;21,VLOOKUP(C223,[1]List1!$A:$E,4,FALSE)=0),AB223,DAY(AB223)&amp;"."&amp;MONTH(AB223)&amp;"."&amp;YEAR(AB223)&amp;" "&amp;$V$4&amp;VLOOKUP(C223,[1]List1!$A:$E,4,FALSE)&amp;" "&amp;$V$1),AB223))))</f>
        <v>AUF LAGER</v>
      </c>
      <c r="AD223" s="701">
        <f>_xlfn.IFNA(VLOOKUP(C223,'General price list'!C:AM,MATCH($AD$20,'General price list'!$C$20:$AM$20,0),FALSE),"")</f>
        <v>0</v>
      </c>
      <c r="AE223" s="695">
        <f t="shared" si="44"/>
        <v>0</v>
      </c>
      <c r="AF223" s="695">
        <f t="shared" si="45"/>
        <v>0</v>
      </c>
      <c r="AG223" s="702">
        <f t="shared" si="46"/>
        <v>0</v>
      </c>
      <c r="AH223" s="703">
        <f t="shared" si="47"/>
        <v>0</v>
      </c>
      <c r="AI223" s="702">
        <f t="shared" si="48"/>
        <v>0</v>
      </c>
      <c r="AJ223" s="704" t="str">
        <f t="shared" si="49"/>
        <v/>
      </c>
      <c r="AK223" s="704" t="str">
        <f t="shared" si="50"/>
        <v/>
      </c>
      <c r="AL223" s="704" t="str">
        <f t="shared" si="51"/>
        <v/>
      </c>
      <c r="AM223" s="705" t="str">
        <f t="shared" si="52"/>
        <v/>
      </c>
      <c r="AN223" s="313"/>
      <c r="AO223" s="314" t="str">
        <f>IF($R$3=1,IF(Y223=AA223,"","NE"),IF(#REF!=$V$10,"NE",""))</f>
        <v/>
      </c>
      <c r="AP223" s="315" t="str">
        <f>IF(AB223=$V$3,IF(VLOOKUP(C223,[1]List1!$A:$E,5,FALSE)=0,1,VLOOKUP(C223,[1]List1!$A:$E,5,FALSE)),"")</f>
        <v/>
      </c>
      <c r="AW223" s="458">
        <f>IFERROR(FIND(VLOOKUP('General price list'!$AB$7,'General price list'!$AC$1:$AD$12,2,FALSE),Q223,1),0)</f>
        <v>0</v>
      </c>
      <c r="AX223" s="458">
        <f>IFERROR(FIND(VLOOKUP('General price list'!$AB$7,'General price list'!$AC$1:$AD$12,2,FALSE),R223,1),0)</f>
        <v>0</v>
      </c>
    </row>
    <row r="224" spans="1:50" ht="15" customHeight="1">
      <c r="A224" s="677" t="str">
        <f>Kat.!C224</f>
        <v xml:space="preserve">                                          </v>
      </c>
      <c r="B224" s="678">
        <v>203</v>
      </c>
      <c r="C224" s="679" t="s">
        <v>13623</v>
      </c>
      <c r="D224" s="679" t="s">
        <v>13624</v>
      </c>
      <c r="E224" s="680" t="s">
        <v>129</v>
      </c>
      <c r="F224" s="681">
        <f>VLOOKUP(C224,[2]List1!$A:$D,2,FALSE)</f>
        <v>658</v>
      </c>
      <c r="G224" s="682">
        <f t="shared" si="41"/>
        <v>658</v>
      </c>
      <c r="H224" s="683">
        <f t="shared" si="42"/>
        <v>26.8</v>
      </c>
      <c r="I224" s="836">
        <v>1</v>
      </c>
      <c r="J224" s="680"/>
      <c r="K224" s="854"/>
      <c r="L224" s="855" t="s">
        <v>13622</v>
      </c>
      <c r="M224" s="680"/>
      <c r="N224" s="868" t="str">
        <f>IFERROR(VLOOKUP(C224,[3]List1!$A:$D,4,FALSE),"N/A!")</f>
        <v/>
      </c>
      <c r="O224" s="836" t="str">
        <f>IFERROR(VLOOKUP(C224,[3]List1!$A:$D,3,FALSE),"N/A!")</f>
        <v/>
      </c>
      <c r="P224" s="836">
        <f>IFERROR(VLOOKUP(C224,[3]List1!$A:$D,2,FALSE),"N/A!")</f>
        <v>1100</v>
      </c>
      <c r="Q224" s="680" t="s">
        <v>24</v>
      </c>
      <c r="R224" s="680" t="s">
        <v>24</v>
      </c>
      <c r="S224" s="680"/>
      <c r="T224" s="681"/>
      <c r="U224" s="873"/>
      <c r="V224" s="684" t="str">
        <f>_xlfn.IFNA(HYPERLINK("https://www.klasekpyrotechnics.cz/kk2020"),"")</f>
        <v>https://www.klasekpyrotechnics.cz/kk2020</v>
      </c>
      <c r="W224" s="685" t="str">
        <f>IFERROR(VLOOKUP($C224,Popisy!A:P,MATCH($W$17,Popisy!$A$7:$P$7,0),FALSE),"---------------")</f>
        <v>---------------</v>
      </c>
      <c r="X224" s="889" t="str">
        <f t="shared" si="43"/>
        <v/>
      </c>
      <c r="Y224" s="890"/>
      <c r="Z224" s="685" t="str">
        <f>IFERROR(IF(VLOOKUP(C224,[4]List1!$A:$D,4,FALSE)=0,"",VLOOKUP(C224,[4]List1!$A:$D,4,FALSE)),"")</f>
        <v/>
      </c>
      <c r="AA224" s="707"/>
      <c r="AB224" s="911" t="str">
        <f>IFERROR(IF(VLOOKUP(C224,[1]List1!$A:$D,2,FALSE)="VYPRODÁNO",$V$9,IF(VLOOKUP(C224,[1]List1!$A:$D,2,FALSE)="DOCHÁZÍ",$V$3,VLOOKUP(C224,[1]List1!$A:$D,2,FALSE))),"OFFLINE!")</f>
        <v>LETZTE STÜCKE</v>
      </c>
      <c r="AC224" s="911" t="str">
        <f ca="1">IF(AO224="NE",$V$10,IF(AB224=$V$3,IF(AP224&lt;1,$V$8,$V$2&amp;" "&amp;AP224&amp;" "&amp;$V$1),IF(AB224="SKLADEM",$V$6,IFERROR(IF(OR(AB224-TODAY()&gt;21,VLOOKUP(C224,[1]List1!$A:$E,4,FALSE)=0),AB224,DAY(AB224)&amp;"."&amp;MONTH(AB224)&amp;"."&amp;YEAR(AB224)&amp;" "&amp;$V$4&amp;VLOOKUP(C224,[1]List1!$A:$E,4,FALSE)&amp;" "&amp;$V$1),AB224))))</f>
        <v>LETZTE 6 KTN</v>
      </c>
      <c r="AD224" s="686" t="str">
        <f ca="1">_xlfn.IFNA(VLOOKUP(C224,'General price list'!C:AM,MATCH($AD$20,'General price list'!$C$20:$AM$20,0),FALSE),"")</f>
        <v>LETZTE 6 KTN</v>
      </c>
      <c r="AE224" s="681">
        <f t="shared" ca="1" si="44"/>
        <v>0</v>
      </c>
      <c r="AF224" s="681">
        <f t="shared" ca="1" si="45"/>
        <v>0</v>
      </c>
      <c r="AG224" s="687">
        <f t="shared" ca="1" si="46"/>
        <v>0</v>
      </c>
      <c r="AH224" s="688">
        <f t="shared" ca="1" si="47"/>
        <v>0</v>
      </c>
      <c r="AI224" s="687" t="str">
        <f t="shared" ca="1" si="48"/>
        <v/>
      </c>
      <c r="AJ224" s="689" t="str">
        <f t="shared" ca="1" si="49"/>
        <v/>
      </c>
      <c r="AK224" s="689" t="str">
        <f t="shared" ca="1" si="50"/>
        <v/>
      </c>
      <c r="AL224" s="689" t="str">
        <f t="shared" ca="1" si="51"/>
        <v/>
      </c>
      <c r="AM224" s="690" t="str">
        <f t="shared" ca="1" si="52"/>
        <v/>
      </c>
      <c r="AN224" s="313"/>
      <c r="AO224" s="314" t="str">
        <f>IF($R$3=1,IF(Y224=AA224,"","NE"),IF(#REF!=$V$10,"NE",""))</f>
        <v/>
      </c>
      <c r="AP224" s="315">
        <f>IF(AB224=$V$3,IF(VLOOKUP(C224,[1]List1!$A:$E,5,FALSE)=0,1,VLOOKUP(C224,[1]List1!$A:$E,5,FALSE)),"")</f>
        <v>6</v>
      </c>
      <c r="AW224" s="458">
        <f>IFERROR(FIND(VLOOKUP('General price list'!$AB$7,'General price list'!$AC$1:$AD$12,2,FALSE),Q224,1),0)</f>
        <v>0</v>
      </c>
      <c r="AX224" s="458">
        <f>IFERROR(FIND(VLOOKUP('General price list'!$AB$7,'General price list'!$AC$1:$AD$12,2,FALSE),R224,1),0)</f>
        <v>0</v>
      </c>
    </row>
    <row r="225" spans="1:50" ht="15" customHeight="1">
      <c r="A225" s="691" t="str">
        <f>Kat.!C225</f>
        <v xml:space="preserve">                                          </v>
      </c>
      <c r="B225" s="692">
        <v>204</v>
      </c>
      <c r="C225" s="693" t="s">
        <v>976</v>
      </c>
      <c r="D225" s="693" t="s">
        <v>977</v>
      </c>
      <c r="E225" s="694" t="s">
        <v>129</v>
      </c>
      <c r="F225" s="695">
        <f>VLOOKUP(C225,[2]List1!$A:$D,2,FALSE)</f>
        <v>320</v>
      </c>
      <c r="G225" s="696">
        <f t="shared" si="41"/>
        <v>320</v>
      </c>
      <c r="H225" s="697">
        <f t="shared" si="42"/>
        <v>13</v>
      </c>
      <c r="I225" s="837">
        <v>1</v>
      </c>
      <c r="J225" s="698"/>
      <c r="K225" s="856"/>
      <c r="L225" s="857" t="s">
        <v>13622</v>
      </c>
      <c r="M225" s="698"/>
      <c r="N225" s="869">
        <f>IFERROR(VLOOKUP(C225,[3]List1!$A:$D,4,FALSE),"N/A!")</f>
        <v>0</v>
      </c>
      <c r="O225" s="837">
        <f>IFERROR(VLOOKUP(C225,[3]List1!$A:$D,3,FALSE),"N/A!")</f>
        <v>0</v>
      </c>
      <c r="P225" s="837">
        <f>IFERROR(VLOOKUP(C225,[3]List1!$A:$D,2,FALSE),"N/A!")</f>
        <v>318</v>
      </c>
      <c r="Q225" s="698" t="s">
        <v>24</v>
      </c>
      <c r="R225" s="698" t="s">
        <v>24</v>
      </c>
      <c r="S225" s="698"/>
      <c r="T225" s="695"/>
      <c r="U225" s="874"/>
      <c r="V225" s="699" t="str">
        <f>_xlfn.IFNA(HYPERLINK("https://www.klasekpyrotechnics.cz/hd1"),"")</f>
        <v>https://www.klasekpyrotechnics.cz/hd1</v>
      </c>
      <c r="W225" s="700" t="str">
        <f>IFERROR(VLOOKUP($C225,Popisy!A:P,MATCH($W$17,Popisy!$A$7:$P$7,0),FALSE),"---------------")</f>
        <v>Keramik-Becher Dumbum</v>
      </c>
      <c r="X225" s="891" t="str">
        <f t="shared" si="43"/>
        <v/>
      </c>
      <c r="Y225" s="892"/>
      <c r="Z225" s="700" t="str">
        <f>IFERROR(IF(VLOOKUP(C225,[4]List1!$A:$D,4,FALSE)=0,"",VLOOKUP(C225,[4]List1!$A:$D,4,FALSE)),"")</f>
        <v/>
      </c>
      <c r="AA225" s="707"/>
      <c r="AB225" s="912" t="str">
        <f>IFERROR(IF(VLOOKUP(C225,[1]List1!$A:$D,2,FALSE)="VYPRODÁNO",$V$9,IF(VLOOKUP(C225,[1]List1!$A:$D,2,FALSE)="DOCHÁZÍ",$V$3,VLOOKUP(C225,[1]List1!$A:$D,2,FALSE))),"OFFLINE!")</f>
        <v>SKLADEM</v>
      </c>
      <c r="AC225" s="912" t="str">
        <f ca="1">IF(AO225="NE",$V$10,IF(AB225=$V$3,IF(AP225&lt;1,$V$8,$V$2&amp;" "&amp;AP225&amp;" "&amp;$V$1),IF(AB225="SKLADEM",$V$6,IFERROR(IF(OR(AB225-TODAY()&gt;21,VLOOKUP(C225,[1]List1!$A:$E,4,FALSE)=0),AB225,DAY(AB225)&amp;"."&amp;MONTH(AB225)&amp;"."&amp;YEAR(AB225)&amp;" "&amp;$V$4&amp;VLOOKUP(C225,[1]List1!$A:$E,4,FALSE)&amp;" "&amp;$V$1),AB225))))</f>
        <v>AUF LAGER</v>
      </c>
      <c r="AD225" s="701" t="str">
        <f ca="1">_xlfn.IFNA(VLOOKUP(C225,'General price list'!C:AM,MATCH($AD$20,'General price list'!$C$20:$AM$20,0),FALSE),"")</f>
        <v>AUF LAGER</v>
      </c>
      <c r="AE225" s="695">
        <f t="shared" ca="1" si="44"/>
        <v>0</v>
      </c>
      <c r="AF225" s="695">
        <f t="shared" ca="1" si="45"/>
        <v>0</v>
      </c>
      <c r="AG225" s="702">
        <f t="shared" ca="1" si="46"/>
        <v>0</v>
      </c>
      <c r="AH225" s="703">
        <f t="shared" ca="1" si="47"/>
        <v>0</v>
      </c>
      <c r="AI225" s="702">
        <f t="shared" ca="1" si="48"/>
        <v>0</v>
      </c>
      <c r="AJ225" s="704" t="str">
        <f t="shared" ca="1" si="49"/>
        <v/>
      </c>
      <c r="AK225" s="704" t="str">
        <f t="shared" ca="1" si="50"/>
        <v/>
      </c>
      <c r="AL225" s="704" t="str">
        <f t="shared" ca="1" si="51"/>
        <v/>
      </c>
      <c r="AM225" s="705" t="str">
        <f t="shared" ca="1" si="52"/>
        <v/>
      </c>
      <c r="AN225" s="382"/>
      <c r="AO225" s="314" t="str">
        <f>IF($R$3=1,IF(Y225=AA225,"","NE"),IF(#REF!=$V$10,"NE",""))</f>
        <v/>
      </c>
      <c r="AP225" s="315" t="str">
        <f>IF(AB225=$V$3,IF(VLOOKUP(C225,[1]List1!$A:$E,5,FALSE)=0,1,VLOOKUP(C225,[1]List1!$A:$E,5,FALSE)),"")</f>
        <v/>
      </c>
      <c r="AW225" s="458">
        <f>IFERROR(FIND(VLOOKUP('General price list'!$AB$7,'General price list'!$AC$1:$AD$12,2,FALSE),Q225,1),0)</f>
        <v>0</v>
      </c>
      <c r="AX225" s="458">
        <f>IFERROR(FIND(VLOOKUP('General price list'!$AB$7,'General price list'!$AC$1:$AD$12,2,FALSE),R225,1),0)</f>
        <v>0</v>
      </c>
    </row>
    <row r="226" spans="1:50" ht="15" customHeight="1">
      <c r="A226" s="677" t="str">
        <f>Kat.!C226</f>
        <v xml:space="preserve">                                          </v>
      </c>
      <c r="B226" s="678">
        <v>205</v>
      </c>
      <c r="C226" s="679" t="s">
        <v>981</v>
      </c>
      <c r="D226" s="679" t="s">
        <v>982</v>
      </c>
      <c r="E226" s="680" t="s">
        <v>129</v>
      </c>
      <c r="F226" s="681">
        <f>VLOOKUP(C226,[2]List1!$A:$D,2,FALSE)</f>
        <v>180</v>
      </c>
      <c r="G226" s="682">
        <f t="shared" si="41"/>
        <v>180</v>
      </c>
      <c r="H226" s="683">
        <f t="shared" si="42"/>
        <v>7.3</v>
      </c>
      <c r="I226" s="836">
        <v>1</v>
      </c>
      <c r="J226" s="680"/>
      <c r="K226" s="854"/>
      <c r="L226" s="855" t="s">
        <v>13622</v>
      </c>
      <c r="M226" s="680"/>
      <c r="N226" s="868">
        <f>IFERROR(VLOOKUP(C226,[3]List1!$A:$D,4,FALSE),"N/A!")</f>
        <v>0</v>
      </c>
      <c r="O226" s="836">
        <f>IFERROR(VLOOKUP(C226,[3]List1!$A:$D,3,FALSE),"N/A!")</f>
        <v>0</v>
      </c>
      <c r="P226" s="836">
        <f>IFERROR(VLOOKUP(C226,[3]List1!$A:$D,2,FALSE),"N/A!")</f>
        <v>34</v>
      </c>
      <c r="Q226" s="680" t="s">
        <v>24</v>
      </c>
      <c r="R226" s="680" t="s">
        <v>24</v>
      </c>
      <c r="S226" s="680"/>
      <c r="T226" s="681"/>
      <c r="U226" s="873"/>
      <c r="V226" s="684" t="str">
        <f>_xlfn.IFNA(HYPERLINK("https://www.klasekpyrotechnics.cz/ppmd1"),"")</f>
        <v>https://www.klasekpyrotechnics.cz/ppmd1</v>
      </c>
      <c r="W226" s="685" t="str">
        <f>IFERROR(VLOOKUP($C226,Popisy!A:P,MATCH($W$17,Popisy!$A$7:$P$7,0),FALSE),"---------------")</f>
        <v>Mousepad Dumbum</v>
      </c>
      <c r="X226" s="889" t="str">
        <f t="shared" si="43"/>
        <v/>
      </c>
      <c r="Y226" s="890"/>
      <c r="Z226" s="685" t="str">
        <f>IFERROR(IF(VLOOKUP(C226,[4]List1!$A:$D,4,FALSE)=0,"",VLOOKUP(C226,[4]List1!$A:$D,4,FALSE)),"")</f>
        <v/>
      </c>
      <c r="AA226" s="707"/>
      <c r="AB226" s="911" t="str">
        <f>IFERROR(IF(VLOOKUP(C226,[1]List1!$A:$D,2,FALSE)="VYPRODÁNO",$V$9,IF(VLOOKUP(C226,[1]List1!$A:$D,2,FALSE)="DOCHÁZÍ",$V$3,VLOOKUP(C226,[1]List1!$A:$D,2,FALSE))),"OFFLINE!")</f>
        <v>LETZTE STÜCKE</v>
      </c>
      <c r="AC226" s="911" t="str">
        <f ca="1">IF(AO226="NE",$V$10,IF(AB226=$V$3,IF(AP226&lt;1,$V$8,$V$2&amp;" "&amp;AP226&amp;" "&amp;$V$1),IF(AB226="SKLADEM",$V$6,IFERROR(IF(OR(AB226-TODAY()&gt;21,VLOOKUP(C226,[1]List1!$A:$E,4,FALSE)=0),AB226,DAY(AB226)&amp;"."&amp;MONTH(AB226)&amp;"."&amp;YEAR(AB226)&amp;" "&amp;$V$4&amp;VLOOKUP(C226,[1]List1!$A:$E,4,FALSE)&amp;" "&amp;$V$1),AB226))))</f>
        <v>LETZTE 5 KTN</v>
      </c>
      <c r="AD226" s="686" t="str">
        <f ca="1">_xlfn.IFNA(VLOOKUP(C226,'General price list'!C:AM,MATCH($AD$20,'General price list'!$C$20:$AM$20,0),FALSE),"")</f>
        <v>LETZTE 5 KTN</v>
      </c>
      <c r="AE226" s="681">
        <f t="shared" ca="1" si="44"/>
        <v>0</v>
      </c>
      <c r="AF226" s="681">
        <f t="shared" ca="1" si="45"/>
        <v>0</v>
      </c>
      <c r="AG226" s="687">
        <f t="shared" ca="1" si="46"/>
        <v>0</v>
      </c>
      <c r="AH226" s="688">
        <f t="shared" ca="1" si="47"/>
        <v>0</v>
      </c>
      <c r="AI226" s="687">
        <f t="shared" ca="1" si="48"/>
        <v>0</v>
      </c>
      <c r="AJ226" s="689" t="str">
        <f t="shared" ca="1" si="49"/>
        <v/>
      </c>
      <c r="AK226" s="689" t="str">
        <f t="shared" ca="1" si="50"/>
        <v/>
      </c>
      <c r="AL226" s="689" t="str">
        <f t="shared" ca="1" si="51"/>
        <v/>
      </c>
      <c r="AM226" s="690" t="str">
        <f t="shared" ca="1" si="52"/>
        <v/>
      </c>
      <c r="AN226" s="382"/>
      <c r="AO226" s="314" t="str">
        <f>IF($R$3=1,IF(Y226=AA226,"","NE"),IF(#REF!=$V$10,"NE",""))</f>
        <v/>
      </c>
      <c r="AP226" s="315">
        <f>IF(AB226=$V$3,IF(VLOOKUP(C226,[1]List1!$A:$E,5,FALSE)=0,1,VLOOKUP(C226,[1]List1!$A:$E,5,FALSE)),"")</f>
        <v>5</v>
      </c>
      <c r="AW226" s="458">
        <f>IFERROR(FIND(VLOOKUP('General price list'!$AB$7,'General price list'!$AC$1:$AD$12,2,FALSE),Q226,1),0)</f>
        <v>0</v>
      </c>
      <c r="AX226" s="458">
        <f>IFERROR(FIND(VLOOKUP('General price list'!$AB$7,'General price list'!$AC$1:$AD$12,2,FALSE),R226,1),0)</f>
        <v>0</v>
      </c>
    </row>
    <row r="227" spans="1:50" ht="15" customHeight="1">
      <c r="A227" s="691" t="str">
        <f>Kat.!C227</f>
        <v>×</v>
      </c>
      <c r="B227" s="692">
        <v>206</v>
      </c>
      <c r="C227" s="693" t="s">
        <v>986</v>
      </c>
      <c r="D227" s="693" t="s">
        <v>987</v>
      </c>
      <c r="E227" s="694" t="s">
        <v>129</v>
      </c>
      <c r="F227" s="695">
        <f>VLOOKUP(C227,[2]List1!$A:$D,2,FALSE)</f>
        <v>1071</v>
      </c>
      <c r="G227" s="696">
        <f t="shared" si="41"/>
        <v>1071</v>
      </c>
      <c r="H227" s="697">
        <f t="shared" si="42"/>
        <v>43.6</v>
      </c>
      <c r="I227" s="837">
        <v>1</v>
      </c>
      <c r="J227" s="698"/>
      <c r="K227" s="856"/>
      <c r="L227" s="857" t="s">
        <v>13622</v>
      </c>
      <c r="M227" s="698"/>
      <c r="N227" s="869">
        <f>IFERROR(VLOOKUP(C227,[3]List1!$A:$D,4,FALSE),"N/A!")</f>
        <v>0</v>
      </c>
      <c r="O227" s="837">
        <f>IFERROR(VLOOKUP(C227,[3]List1!$A:$D,3,FALSE),"N/A!")</f>
        <v>0</v>
      </c>
      <c r="P227" s="837">
        <f>IFERROR(VLOOKUP(C227,[3]List1!$A:$D,2,FALSE),"N/A!")</f>
        <v>354</v>
      </c>
      <c r="Q227" s="698" t="s">
        <v>24</v>
      </c>
      <c r="R227" s="698" t="s">
        <v>24</v>
      </c>
      <c r="S227" s="698"/>
      <c r="T227" s="695"/>
      <c r="U227" s="874"/>
      <c r="V227" s="699" t="str">
        <f>_xlfn.IFNA(HYPERLINK("https://www.klasekpyrotechnics.cz/dd1"),"")</f>
        <v>https://www.klasekpyrotechnics.cz/dd1</v>
      </c>
      <c r="W227" s="700" t="str">
        <f>IFERROR(VLOOKUP($C227,Popisy!A:P,MATCH($W$17,Popisy!$A$7:$P$7,0),FALSE),"---------------")</f>
        <v>Regenschirm Dumbum</v>
      </c>
      <c r="X227" s="891" t="str">
        <f t="shared" si="43"/>
        <v/>
      </c>
      <c r="Y227" s="892"/>
      <c r="Z227" s="700" t="str">
        <f>IFERROR(IF(VLOOKUP(C227,[4]List1!$A:$D,4,FALSE)=0,"",VLOOKUP(C227,[4]List1!$A:$D,4,FALSE)),"")</f>
        <v/>
      </c>
      <c r="AA227" s="707"/>
      <c r="AB227" s="912" t="str">
        <f>IFERROR(IF(VLOOKUP(C227,[1]List1!$A:$D,2,FALSE)="VYPRODÁNO",$V$9,IF(VLOOKUP(C227,[1]List1!$A:$D,2,FALSE)="DOCHÁZÍ",$V$3,VLOOKUP(C227,[1]List1!$A:$D,2,FALSE))),"OFFLINE!")</f>
        <v>SKLADEM</v>
      </c>
      <c r="AC227" s="912" t="str">
        <f ca="1">IF(AO227="NE",$V$10,IF(AB227=$V$3,IF(AP227&lt;1,$V$8,$V$2&amp;" "&amp;AP227&amp;" "&amp;$V$1),IF(AB227="SKLADEM",$V$6,IFERROR(IF(OR(AB227-TODAY()&gt;21,VLOOKUP(C227,[1]List1!$A:$E,4,FALSE)=0),AB227,DAY(AB227)&amp;"."&amp;MONTH(AB227)&amp;"."&amp;YEAR(AB227)&amp;" "&amp;$V$4&amp;VLOOKUP(C227,[1]List1!$A:$E,4,FALSE)&amp;" "&amp;$V$1),AB227))))</f>
        <v>AUF LAGER</v>
      </c>
      <c r="AD227" s="701" t="str">
        <f ca="1">_xlfn.IFNA(VLOOKUP(C227,'General price list'!C:AM,MATCH($AD$20,'General price list'!$C$20:$AM$20,0),FALSE),"")</f>
        <v>AUF LAGER</v>
      </c>
      <c r="AE227" s="695">
        <f t="shared" ca="1" si="44"/>
        <v>0</v>
      </c>
      <c r="AF227" s="695">
        <f t="shared" ca="1" si="45"/>
        <v>0</v>
      </c>
      <c r="AG227" s="702">
        <f t="shared" ca="1" si="46"/>
        <v>0</v>
      </c>
      <c r="AH227" s="703">
        <f t="shared" ca="1" si="47"/>
        <v>0</v>
      </c>
      <c r="AI227" s="702">
        <f t="shared" ca="1" si="48"/>
        <v>0</v>
      </c>
      <c r="AJ227" s="704" t="str">
        <f t="shared" ca="1" si="49"/>
        <v/>
      </c>
      <c r="AK227" s="704" t="str">
        <f t="shared" ca="1" si="50"/>
        <v/>
      </c>
      <c r="AL227" s="704" t="str">
        <f t="shared" ca="1" si="51"/>
        <v/>
      </c>
      <c r="AM227" s="705" t="str">
        <f t="shared" ca="1" si="52"/>
        <v/>
      </c>
      <c r="AN227" s="382"/>
      <c r="AO227" s="314" t="str">
        <f>IF($R$3=1,IF(Y227=AA227,"","NE"),IF(#REF!=$V$10,"NE",""))</f>
        <v/>
      </c>
      <c r="AP227" s="315" t="str">
        <f>IF(AB227=$V$3,IF(VLOOKUP(C227,[1]List1!$A:$E,5,FALSE)=0,1,VLOOKUP(C227,[1]List1!$A:$E,5,FALSE)),"")</f>
        <v/>
      </c>
      <c r="AW227" s="458">
        <f>IFERROR(FIND(VLOOKUP('General price list'!$AB$7,'General price list'!$AC$1:$AD$12,2,FALSE),Q227,1),0)</f>
        <v>0</v>
      </c>
      <c r="AX227" s="458">
        <f>IFERROR(FIND(VLOOKUP('General price list'!$AB$7,'General price list'!$AC$1:$AD$12,2,FALSE),R227,1),0)</f>
        <v>0</v>
      </c>
    </row>
    <row r="228" spans="1:50" ht="15" customHeight="1">
      <c r="A228" s="677" t="str">
        <f>Kat.!C228</f>
        <v xml:space="preserve">                                          </v>
      </c>
      <c r="B228" s="678">
        <v>207</v>
      </c>
      <c r="C228" s="679" t="s">
        <v>13215</v>
      </c>
      <c r="D228" s="679" t="s">
        <v>13216</v>
      </c>
      <c r="E228" s="680" t="s">
        <v>129</v>
      </c>
      <c r="F228" s="681">
        <f>VLOOKUP(C228,[2]List1!$A:$D,2,FALSE)</f>
        <v>88</v>
      </c>
      <c r="G228" s="682">
        <f t="shared" si="41"/>
        <v>88</v>
      </c>
      <c r="H228" s="683">
        <f t="shared" si="42"/>
        <v>3.6</v>
      </c>
      <c r="I228" s="836">
        <v>1</v>
      </c>
      <c r="J228" s="680"/>
      <c r="K228" s="854"/>
      <c r="L228" s="855" t="s">
        <v>13622</v>
      </c>
      <c r="M228" s="680"/>
      <c r="N228" s="868">
        <f>IFERROR(VLOOKUP(C228,[3]List1!$A:$D,4,FALSE),"N/A!")</f>
        <v>0</v>
      </c>
      <c r="O228" s="836">
        <f>IFERROR(VLOOKUP(C228,[3]List1!$A:$D,3,FALSE),"N/A!")</f>
        <v>0</v>
      </c>
      <c r="P228" s="836">
        <f>IFERROR(VLOOKUP(C228,[3]List1!$A:$D,2,FALSE),"N/A!")</f>
        <v>10</v>
      </c>
      <c r="Q228" s="680"/>
      <c r="R228" s="680"/>
      <c r="S228" s="680"/>
      <c r="T228" s="681"/>
      <c r="U228" s="873"/>
      <c r="V228" s="684" t="str">
        <f>_xlfn.IFNA(HYPERLINK("https://www.klasekpyrotechnics.cz/KKD1"),"")</f>
        <v>https://www.klasekpyrotechnics.cz/KKD1</v>
      </c>
      <c r="W228" s="685" t="str">
        <f>IFERROR(VLOOKUP($C228,Popisy!A:P,MATCH($W$17,Popisy!$A$7:$P$7,0),FALSE),"---------------")</f>
        <v>---------------</v>
      </c>
      <c r="X228" s="889" t="str">
        <f t="shared" si="43"/>
        <v/>
      </c>
      <c r="Y228" s="890"/>
      <c r="Z228" s="685" t="str">
        <f>IFERROR(IF(VLOOKUP(C228,[4]List1!$A:$D,4,FALSE)=0,"",VLOOKUP(C228,[4]List1!$A:$D,4,FALSE)),"")</f>
        <v/>
      </c>
      <c r="AA228" s="707"/>
      <c r="AB228" s="911" t="str">
        <f>IFERROR(IF(VLOOKUP(C228,[1]List1!$A:$D,2,FALSE)="VYPRODÁNO",$V$9,IF(VLOOKUP(C228,[1]List1!$A:$D,2,FALSE)="DOCHÁZÍ",$V$3,VLOOKUP(C228,[1]List1!$A:$D,2,FALSE))),"OFFLINE!")</f>
        <v>SKLADEM</v>
      </c>
      <c r="AC228" s="911" t="str">
        <f ca="1">IF(AO228="NE",$V$10,IF(AB228=$V$3,IF(AP228&lt;1,$V$8,$V$2&amp;" "&amp;AP228&amp;" "&amp;$V$1),IF(AB228="SKLADEM",$V$6,IFERROR(IF(OR(AB228-TODAY()&gt;21,VLOOKUP(C228,[1]List1!$A:$E,4,FALSE)=0),AB228,DAY(AB228)&amp;"."&amp;MONTH(AB228)&amp;"."&amp;YEAR(AB228)&amp;" "&amp;$V$4&amp;VLOOKUP(C228,[1]List1!$A:$E,4,FALSE)&amp;" "&amp;$V$1),AB228))))</f>
        <v>AUF LAGER</v>
      </c>
      <c r="AD228" s="686">
        <f>_xlfn.IFNA(VLOOKUP(C228,'General price list'!C:AM,MATCH($AD$20,'General price list'!$C$20:$AM$20,0),FALSE),"")</f>
        <v>0</v>
      </c>
      <c r="AE228" s="681">
        <f t="shared" si="44"/>
        <v>0</v>
      </c>
      <c r="AF228" s="681">
        <f t="shared" si="45"/>
        <v>0</v>
      </c>
      <c r="AG228" s="687">
        <f t="shared" si="46"/>
        <v>0</v>
      </c>
      <c r="AH228" s="688">
        <f t="shared" si="47"/>
        <v>0</v>
      </c>
      <c r="AI228" s="687">
        <f t="shared" si="48"/>
        <v>0</v>
      </c>
      <c r="AJ228" s="689" t="str">
        <f t="shared" si="49"/>
        <v/>
      </c>
      <c r="AK228" s="689" t="str">
        <f t="shared" si="50"/>
        <v/>
      </c>
      <c r="AL228" s="689" t="str">
        <f t="shared" si="51"/>
        <v/>
      </c>
      <c r="AM228" s="690" t="str">
        <f t="shared" si="52"/>
        <v/>
      </c>
      <c r="AN228" s="382"/>
      <c r="AO228" s="314" t="str">
        <f>IF($R$3=1,IF(Y228=AA228,"","NE"),IF(#REF!=$V$10,"NE",""))</f>
        <v/>
      </c>
      <c r="AP228" s="315" t="str">
        <f>IF(AB228=$V$3,IF(VLOOKUP(C228,[1]List1!$A:$E,5,FALSE)=0,1,VLOOKUP(C228,[1]List1!$A:$E,5,FALSE)),"")</f>
        <v/>
      </c>
      <c r="AW228" s="458">
        <f>IFERROR(FIND(VLOOKUP('General price list'!$AB$7,'General price list'!$AC$1:$AD$12,2,FALSE),Q228,1),0)</f>
        <v>0</v>
      </c>
      <c r="AX228" s="458">
        <f>IFERROR(FIND(VLOOKUP('General price list'!$AB$7,'General price list'!$AC$1:$AD$12,2,FALSE),R228,1),0)</f>
        <v>0</v>
      </c>
    </row>
    <row r="229" spans="1:50" ht="15" customHeight="1">
      <c r="A229" s="672" t="str">
        <f>Kat.!C229</f>
        <v xml:space="preserve">                                          Sonstiges</v>
      </c>
      <c r="B229" s="692">
        <v>208</v>
      </c>
      <c r="C229" s="693"/>
      <c r="D229" s="693"/>
      <c r="E229" s="694"/>
      <c r="F229" s="695" t="str">
        <f>IFERROR(ROUND(VLOOKUP(C229,'General price list'!$C:$AN,4,FALSE),0),"")</f>
        <v/>
      </c>
      <c r="G229" s="696" t="str">
        <f t="shared" si="41"/>
        <v/>
      </c>
      <c r="H229" s="697" t="str">
        <f t="shared" si="42"/>
        <v/>
      </c>
      <c r="I229" s="837"/>
      <c r="J229" s="698"/>
      <c r="K229" s="856"/>
      <c r="L229" s="857"/>
      <c r="M229" s="698"/>
      <c r="N229" s="869" t="str">
        <f>IFERROR(IF(VLOOKUP($C229,'General price list'!$C:$AN,MATCH(N$20,'General price list'!$C$20:$AM$20,0),FALSE)=0,"",VLOOKUP($C229,'General price list'!$C:$AN,MATCH(N$20,'General price list'!$C$20:$AM$20,0),FALSE)),"")</f>
        <v/>
      </c>
      <c r="O229" s="837" t="str">
        <f>IFERROR(IF(VLOOKUP($C229,'General price list'!$C:$AN,MATCH(O$20,'General price list'!$C$20:$AM$20,0),FALSE)=0,"",VLOOKUP($C229,'General price list'!$C:$AN,MATCH(O$20,'General price list'!$C$20:$AM$20,0),FALSE)),"")</f>
        <v/>
      </c>
      <c r="P229" s="837" t="str">
        <f>IFERROR(IF(VLOOKUP($C229,'General price list'!$C:$AN,MATCH(P$20,'General price list'!$C$20:$AM$20,0),FALSE)=0,"",VLOOKUP($C229,'General price list'!$C:$AN,MATCH(P$20,'General price list'!$C$20:$AM$20,0),FALSE)),"")</f>
        <v/>
      </c>
      <c r="Q229" s="698"/>
      <c r="R229" s="698"/>
      <c r="S229" s="698"/>
      <c r="T229" s="695"/>
      <c r="U229" s="874"/>
      <c r="V229" s="699"/>
      <c r="W229" s="700" t="str">
        <f>IFERROR(VLOOKUP($C229,'General price list'!$C:$AN,MATCH(W$20,'General price list'!$C$20:$AM$20,0),FALSE),"")</f>
        <v/>
      </c>
      <c r="X229" s="891" t="str">
        <f t="shared" si="43"/>
        <v/>
      </c>
      <c r="Y229" s="892"/>
      <c r="Z229" s="700" t="str">
        <f>IFERROR(VLOOKUP($C229,'General price list'!$C:$AN,MATCH(Z$20,'General price list'!$C$20:$AM$20,0),FALSE),"")</f>
        <v/>
      </c>
      <c r="AA229" s="707"/>
      <c r="AB229" s="912" t="str">
        <f>IFERROR(IF(VLOOKUP(C229,[1]List1!$A:$D,2,FALSE)="VYPRODÁNO",$V$9,IF(VLOOKUP(C229,[1]List1!$A:$D,2,FALSE)="DOCHÁZÍ",$V$3,VLOOKUP(C229,[1]List1!$A:$D,2,FALSE))),"OFFLINE!")</f>
        <v>OFFLINE!</v>
      </c>
      <c r="AC229" s="912" t="str">
        <f ca="1">IF(AO229="NE",$V$10,IF(AB229=$V$3,IF(AP229&lt;1,$V$8,$V$2&amp;" "&amp;AP229&amp;" "&amp;$V$1),IF(AB229="SKLADEM",$V$6,IFERROR(IF(OR(AB229-TODAY()&gt;21,VLOOKUP(C229,[1]List1!$A:$E,4,FALSE)=0),AB229,DAY(AB229)&amp;"."&amp;MONTH(AB229)&amp;"."&amp;YEAR(AB229)&amp;" "&amp;$V$4&amp;VLOOKUP(C229,[1]List1!$A:$E,4,FALSE)&amp;" "&amp;$V$1),AB229))))</f>
        <v>OFFLINE!</v>
      </c>
      <c r="AD229" s="701" t="str">
        <f>_xlfn.IFNA(VLOOKUP(C229,'General price list'!C:AM,MATCH($AD$20,'General price list'!$C$20:$AM$20,0),FALSE),"")</f>
        <v/>
      </c>
      <c r="AE229" s="695" t="str">
        <f t="shared" si="44"/>
        <v/>
      </c>
      <c r="AF229" s="695" t="str">
        <f t="shared" si="45"/>
        <v/>
      </c>
      <c r="AG229" s="702" t="str">
        <f t="shared" si="46"/>
        <v/>
      </c>
      <c r="AH229" s="703" t="str">
        <f t="shared" si="47"/>
        <v/>
      </c>
      <c r="AI229" s="702" t="str">
        <f t="shared" si="48"/>
        <v/>
      </c>
      <c r="AJ229" s="704" t="str">
        <f t="shared" si="49"/>
        <v/>
      </c>
      <c r="AK229" s="704" t="str">
        <f t="shared" si="50"/>
        <v/>
      </c>
      <c r="AL229" s="704" t="str">
        <f t="shared" si="51"/>
        <v/>
      </c>
      <c r="AM229" s="705" t="str">
        <f t="shared" si="52"/>
        <v/>
      </c>
      <c r="AN229" s="382"/>
      <c r="AO229" s="314" t="str">
        <f>IF($R$3=1,IF(Y229=AA229,"","NE"),IF(#REF!=$V$10,"NE",""))</f>
        <v/>
      </c>
      <c r="AP229" s="315" t="str">
        <f>IF(AB229=$V$3,IF(VLOOKUP(C229,[1]List1!$A:$E,5,FALSE)=0,1,VLOOKUP(C229,[1]List1!$A:$E,5,FALSE)),"")</f>
        <v/>
      </c>
      <c r="AW229" s="291" t="e">
        <f>VLOOKUP(C229,'General price list'!C:AU,46,FALSE)</f>
        <v>#N/A</v>
      </c>
      <c r="AX229" s="291" t="e">
        <f>VLOOKUP(C229,'General price list'!C:AU,47,FALSE)</f>
        <v>#N/A</v>
      </c>
    </row>
    <row r="230" spans="1:50" ht="15" customHeight="1">
      <c r="A230" s="677" t="str">
        <f>Kat.!C230</f>
        <v xml:space="preserve">                                          </v>
      </c>
      <c r="B230" s="678">
        <v>209</v>
      </c>
      <c r="C230" s="679" t="s">
        <v>994</v>
      </c>
      <c r="D230" s="679" t="s">
        <v>995</v>
      </c>
      <c r="E230" s="680" t="s">
        <v>129</v>
      </c>
      <c r="F230" s="681">
        <f>VLOOKUP(C230,[2]List1!$A:$D,2,FALSE)</f>
        <v>992</v>
      </c>
      <c r="G230" s="682">
        <f t="shared" si="41"/>
        <v>992</v>
      </c>
      <c r="H230" s="683">
        <f t="shared" si="42"/>
        <v>40.4</v>
      </c>
      <c r="I230" s="836">
        <v>1</v>
      </c>
      <c r="J230" s="680"/>
      <c r="K230" s="854"/>
      <c r="L230" s="855" t="s">
        <v>24</v>
      </c>
      <c r="M230" s="680"/>
      <c r="N230" s="868">
        <f>IFERROR(VLOOKUP(C230,[3]List1!$A:$D,4,FALSE),"N/A!")</f>
        <v>1.9843999999999997E-2</v>
      </c>
      <c r="O230" s="836">
        <f>IFERROR(VLOOKUP(C230,[3]List1!$A:$D,3,FALSE),"N/A!")</f>
        <v>0</v>
      </c>
      <c r="P230" s="836">
        <f>IFERROR(VLOOKUP(C230,[3]List1!$A:$D,2,FALSE),"N/A!")</f>
        <v>138</v>
      </c>
      <c r="Q230" s="680" t="s">
        <v>18</v>
      </c>
      <c r="R230" s="680" t="s">
        <v>24</v>
      </c>
      <c r="S230" s="680"/>
      <c r="T230" s="681"/>
      <c r="U230" s="873"/>
      <c r="V230" s="684" t="str">
        <f>_xlfn.IFNA(HYPERLINK("https://www.klasekpyrotechnics.cz/oz4"),"")</f>
        <v>https://www.klasekpyrotechnics.cz/oz4</v>
      </c>
      <c r="W230" s="685" t="str">
        <f>IFERROR(VLOOKUP($C230,Popisy!A:P,MATCH($W$17,Popisy!$A$7:$P$7,0),FALSE),"---------------")</f>
        <v>Abfeuereinrichtung für die Fernabfeuerung (4 Positionen) + Fernbediengerät + 4 Stk. Elektrische Zünder</v>
      </c>
      <c r="X230" s="889" t="str">
        <f t="shared" si="43"/>
        <v/>
      </c>
      <c r="Y230" s="890"/>
      <c r="Z230" s="685" t="str">
        <f>IFERROR(IF(VLOOKUP(C230,[4]List1!$A:$D,4,FALSE)=0,"",VLOOKUP(C230,[4]List1!$A:$D,4,FALSE)),"")</f>
        <v/>
      </c>
      <c r="AA230" s="707"/>
      <c r="AB230" s="911" t="str">
        <f>IFERROR(IF(VLOOKUP(C230,[1]List1!$A:$D,2,FALSE)="VYPRODÁNO",$V$9,IF(VLOOKUP(C230,[1]List1!$A:$D,2,FALSE)="DOCHÁZÍ",$V$3,VLOOKUP(C230,[1]List1!$A:$D,2,FALSE))),"OFFLINE!")</f>
        <v>SKLADEM</v>
      </c>
      <c r="AC230" s="911" t="str">
        <f ca="1">IF(AO230="NE",$V$10,IF(AB230=$V$3,IF(AP230&lt;1,$V$8,$V$2&amp;" "&amp;AP230&amp;" "&amp;$V$1),IF(AB230="SKLADEM",$V$6,IFERROR(IF(OR(AB230-TODAY()&gt;21,VLOOKUP(C230,[1]List1!$A:$E,4,FALSE)=0),AB230,DAY(AB230)&amp;"."&amp;MONTH(AB230)&amp;"."&amp;YEAR(AB230)&amp;" "&amp;$V$4&amp;VLOOKUP(C230,[1]List1!$A:$E,4,FALSE)&amp;" "&amp;$V$1),AB230))))</f>
        <v>AUF LAGER</v>
      </c>
      <c r="AD230" s="686" t="str">
        <f ca="1">_xlfn.IFNA(VLOOKUP(C230,'General price list'!C:AM,MATCH($AD$20,'General price list'!$C$20:$AM$20,0),FALSE),"")</f>
        <v>AUF LAGER</v>
      </c>
      <c r="AE230" s="681">
        <f t="shared" ca="1" si="44"/>
        <v>0</v>
      </c>
      <c r="AF230" s="681">
        <f t="shared" ca="1" si="45"/>
        <v>0</v>
      </c>
      <c r="AG230" s="687">
        <f t="shared" ca="1" si="46"/>
        <v>0</v>
      </c>
      <c r="AH230" s="688">
        <f t="shared" ca="1" si="47"/>
        <v>0</v>
      </c>
      <c r="AI230" s="687">
        <f t="shared" ca="1" si="48"/>
        <v>0</v>
      </c>
      <c r="AJ230" s="689" t="str">
        <f t="shared" ca="1" si="49"/>
        <v/>
      </c>
      <c r="AK230" s="689" t="str">
        <f t="shared" ca="1" si="50"/>
        <v/>
      </c>
      <c r="AL230" s="689" t="str">
        <f t="shared" ca="1" si="51"/>
        <v/>
      </c>
      <c r="AM230" s="690" t="str">
        <f t="shared" ca="1" si="52"/>
        <v/>
      </c>
      <c r="AN230" s="382"/>
      <c r="AO230" s="314" t="str">
        <f>IF($R$3=1,IF(Y230=AA230,"","NE"),IF(#REF!=$V$10,"NE",""))</f>
        <v/>
      </c>
      <c r="AP230" s="315" t="str">
        <f>IF(AB230=$V$3,IF(VLOOKUP(C230,[1]List1!$A:$E,5,FALSE)=0,1,VLOOKUP(C230,[1]List1!$A:$E,5,FALSE)),"")</f>
        <v/>
      </c>
      <c r="AW230" s="458">
        <f>IFERROR(FIND(VLOOKUP('General price list'!$AB$7,'General price list'!$AC$1:$AD$12,2,FALSE),Q230,1),0)</f>
        <v>0</v>
      </c>
      <c r="AX230" s="458">
        <f>IFERROR(FIND(VLOOKUP('General price list'!$AB$7,'General price list'!$AC$1:$AD$12,2,FALSE),R230,1),0)</f>
        <v>0</v>
      </c>
    </row>
    <row r="231" spans="1:50" ht="15" customHeight="1">
      <c r="A231" s="672" t="str">
        <f>Kat.!C231</f>
        <v xml:space="preserve">                                          Batterien der raketen 25-1000 schuss, 8mm Mörser-1.4G</v>
      </c>
      <c r="B231" s="692">
        <v>210</v>
      </c>
      <c r="C231" s="693"/>
      <c r="D231" s="693"/>
      <c r="E231" s="694"/>
      <c r="F231" s="695" t="str">
        <f>IFERROR(ROUND(VLOOKUP(C231,'General price list'!$C:$AN,4,FALSE),0),"")</f>
        <v/>
      </c>
      <c r="G231" s="696" t="str">
        <f t="shared" si="41"/>
        <v/>
      </c>
      <c r="H231" s="697" t="str">
        <f t="shared" si="42"/>
        <v/>
      </c>
      <c r="I231" s="837"/>
      <c r="J231" s="698"/>
      <c r="K231" s="856"/>
      <c r="L231" s="857"/>
      <c r="M231" s="698"/>
      <c r="N231" s="869" t="str">
        <f>IFERROR(IF(VLOOKUP($C231,'General price list'!$C:$AN,MATCH(N$20,'General price list'!$C$20:$AM$20,0),FALSE)=0,"",VLOOKUP($C231,'General price list'!$C:$AN,MATCH(N$20,'General price list'!$C$20:$AM$20,0),FALSE)),"")</f>
        <v/>
      </c>
      <c r="O231" s="837" t="str">
        <f>IFERROR(IF(VLOOKUP($C231,'General price list'!$C:$AN,MATCH(O$20,'General price list'!$C$20:$AM$20,0),FALSE)=0,"",VLOOKUP($C231,'General price list'!$C:$AN,MATCH(O$20,'General price list'!$C$20:$AM$20,0),FALSE)),"")</f>
        <v/>
      </c>
      <c r="P231" s="837" t="str">
        <f>IFERROR(IF(VLOOKUP($C231,'General price list'!$C:$AN,MATCH(P$20,'General price list'!$C$20:$AM$20,0),FALSE)=0,"",VLOOKUP($C231,'General price list'!$C:$AN,MATCH(P$20,'General price list'!$C$20:$AM$20,0),FALSE)),"")</f>
        <v/>
      </c>
      <c r="Q231" s="698"/>
      <c r="R231" s="698"/>
      <c r="S231" s="698"/>
      <c r="T231" s="695"/>
      <c r="U231" s="874"/>
      <c r="V231" s="699"/>
      <c r="W231" s="700" t="str">
        <f>IFERROR(VLOOKUP($C231,'General price list'!$C:$AN,MATCH(W$20,'General price list'!$C$20:$AM$20,0),FALSE),"")</f>
        <v/>
      </c>
      <c r="X231" s="891" t="str">
        <f t="shared" si="43"/>
        <v/>
      </c>
      <c r="Y231" s="892"/>
      <c r="Z231" s="700" t="str">
        <f>IFERROR(VLOOKUP($C231,'General price list'!$C:$AN,MATCH(Z$20,'General price list'!$C$20:$AM$20,0),FALSE),"")</f>
        <v/>
      </c>
      <c r="AA231" s="707"/>
      <c r="AB231" s="912" t="str">
        <f>IFERROR(IF(VLOOKUP(C231,[1]List1!$A:$D,2,FALSE)="VYPRODÁNO",$V$9,IF(VLOOKUP(C231,[1]List1!$A:$D,2,FALSE)="DOCHÁZÍ",$V$3,VLOOKUP(C231,[1]List1!$A:$D,2,FALSE))),"OFFLINE!")</f>
        <v>OFFLINE!</v>
      </c>
      <c r="AC231" s="912" t="str">
        <f ca="1">IF(AO231="NE",$V$10,IF(AB231=$V$3,IF(AP231&lt;1,$V$8,$V$2&amp;" "&amp;AP231&amp;" "&amp;$V$1),IF(AB231="SKLADEM",$V$6,IFERROR(IF(OR(AB231-TODAY()&gt;21,VLOOKUP(C231,[1]List1!$A:$E,4,FALSE)=0),AB231,DAY(AB231)&amp;"."&amp;MONTH(AB231)&amp;"."&amp;YEAR(AB231)&amp;" "&amp;$V$4&amp;VLOOKUP(C231,[1]List1!$A:$E,4,FALSE)&amp;" "&amp;$V$1),AB231))))</f>
        <v>OFFLINE!</v>
      </c>
      <c r="AD231" s="701" t="str">
        <f>_xlfn.IFNA(VLOOKUP(C231,'General price list'!C:AM,MATCH($AD$20,'General price list'!$C$20:$AM$20,0),FALSE),"")</f>
        <v/>
      </c>
      <c r="AE231" s="695" t="str">
        <f t="shared" si="44"/>
        <v/>
      </c>
      <c r="AF231" s="695" t="str">
        <f t="shared" si="45"/>
        <v/>
      </c>
      <c r="AG231" s="702" t="str">
        <f t="shared" si="46"/>
        <v/>
      </c>
      <c r="AH231" s="703" t="str">
        <f t="shared" si="47"/>
        <v/>
      </c>
      <c r="AI231" s="702" t="str">
        <f t="shared" si="48"/>
        <v/>
      </c>
      <c r="AJ231" s="704" t="str">
        <f t="shared" si="49"/>
        <v/>
      </c>
      <c r="AK231" s="704" t="str">
        <f t="shared" si="50"/>
        <v/>
      </c>
      <c r="AL231" s="704" t="str">
        <f t="shared" si="51"/>
        <v/>
      </c>
      <c r="AM231" s="705" t="str">
        <f t="shared" si="52"/>
        <v/>
      </c>
      <c r="AN231" s="382"/>
      <c r="AO231" s="314" t="str">
        <f>IF($R$3=1,IF(Y231=AA231,"","NE"),IF(#REF!=$V$10,"NE",""))</f>
        <v/>
      </c>
      <c r="AP231" s="315" t="str">
        <f>IF(AB231=$V$3,IF(VLOOKUP(C231,[1]List1!$A:$E,5,FALSE)=0,1,VLOOKUP(C231,[1]List1!$A:$E,5,FALSE)),"")</f>
        <v/>
      </c>
      <c r="AW231" s="291" t="e">
        <f>VLOOKUP(C231,'General price list'!C:AU,46,FALSE)</f>
        <v>#N/A</v>
      </c>
      <c r="AX231" s="291" t="e">
        <f>VLOOKUP(C231,'General price list'!C:AU,47,FALSE)</f>
        <v>#N/A</v>
      </c>
    </row>
    <row r="232" spans="1:50" ht="15" customHeight="1">
      <c r="A232" s="677" t="str">
        <f>Kat.!C232</f>
        <v xml:space="preserve">                                          </v>
      </c>
      <c r="B232" s="678">
        <v>211</v>
      </c>
      <c r="C232" s="679" t="s">
        <v>1008</v>
      </c>
      <c r="D232" s="679" t="s">
        <v>13217</v>
      </c>
      <c r="E232" s="680" t="s">
        <v>662</v>
      </c>
      <c r="F232" s="681">
        <f>VLOOKUP(C232,[2]List1!$A:$D,2,FALSE)</f>
        <v>122</v>
      </c>
      <c r="G232" s="682">
        <f t="shared" si="41"/>
        <v>122</v>
      </c>
      <c r="H232" s="683">
        <f t="shared" si="42"/>
        <v>5</v>
      </c>
      <c r="I232" s="836">
        <v>30</v>
      </c>
      <c r="J232" s="680" t="s">
        <v>45</v>
      </c>
      <c r="K232" s="854"/>
      <c r="L232" s="855" t="s">
        <v>13828</v>
      </c>
      <c r="M232" s="680" t="s">
        <v>25</v>
      </c>
      <c r="N232" s="868">
        <f>IFERROR(VLOOKUP(C232,[3]List1!$A:$D,4,FALSE),"N/A!")</f>
        <v>2.8424000000000001E-2</v>
      </c>
      <c r="O232" s="836">
        <f>IFERROR(VLOOKUP(C232,[3]List1!$A:$D,3,FALSE),"N/A!")</f>
        <v>1920</v>
      </c>
      <c r="P232" s="836">
        <f>IFERROR(VLOOKUP(C232,[3]List1!$A:$D,2,FALSE),"N/A!")</f>
        <v>11300</v>
      </c>
      <c r="Q232" s="680" t="s">
        <v>13751</v>
      </c>
      <c r="R232" s="680" t="s">
        <v>24</v>
      </c>
      <c r="S232" s="680"/>
      <c r="T232" s="681">
        <v>20</v>
      </c>
      <c r="U232" s="873"/>
      <c r="V232" s="684" t="str">
        <f>_xlfn.IFNA(HYPERLINK("https://www.klasekpyrotechnics.cz/c2508r"),"")</f>
        <v>https://www.klasekpyrotechnics.cz/c2508r</v>
      </c>
      <c r="W232" s="685" t="str">
        <f>IFERROR(VLOOKUP($C232,Popisy!A:P,MATCH($W$17,Popisy!$A$7:$P$7,0),FALSE),"---------------")</f>
        <v>Silberne pfeifende Kometen mit der Explosion</v>
      </c>
      <c r="X232" s="889" t="str">
        <f t="shared" si="43"/>
        <v/>
      </c>
      <c r="Y232" s="890"/>
      <c r="Z232" s="685">
        <f>IFERROR(IF(VLOOKUP(C232,[4]List1!$A:$D,4,FALSE)=0,"",VLOOKUP(C232,[4]List1!$A:$D,4,FALSE)),"")</f>
        <v>40</v>
      </c>
      <c r="AA232" s="707"/>
      <c r="AB232" s="911" t="str">
        <f>IFERROR(IF(VLOOKUP(C232,[1]List1!$A:$D,2,FALSE)="VYPRODÁNO",$V$9,IF(VLOOKUP(C232,[1]List1!$A:$D,2,FALSE)="DOCHÁZÍ",$V$3,VLOOKUP(C232,[1]List1!$A:$D,2,FALSE))),"OFFLINE!")</f>
        <v>SKLADEM</v>
      </c>
      <c r="AC232" s="911" t="str">
        <f ca="1">IF(AO232="NE",$V$10,IF(AB232=$V$3,IF(AP232&lt;1,$V$8,$V$2&amp;" "&amp;AP232&amp;" "&amp;$V$1),IF(AB232="SKLADEM",$V$6,IFERROR(IF(OR(AB232-TODAY()&gt;21,VLOOKUP(C232,[1]List1!$A:$E,4,FALSE)=0),AB232,DAY(AB232)&amp;"."&amp;MONTH(AB232)&amp;"."&amp;YEAR(AB232)&amp;" "&amp;$V$4&amp;VLOOKUP(C232,[1]List1!$A:$E,4,FALSE)&amp;" "&amp;$V$1),AB232))))</f>
        <v>AUF LAGER</v>
      </c>
      <c r="AD232" s="686" t="str">
        <f ca="1">_xlfn.IFNA(VLOOKUP(C232,'General price list'!C:AM,MATCH($AD$20,'General price list'!$C$20:$AM$20,0),FALSE),"")</f>
        <v>AUF LAGER</v>
      </c>
      <c r="AE232" s="681">
        <f t="shared" ca="1" si="44"/>
        <v>0</v>
      </c>
      <c r="AF232" s="681">
        <f t="shared" ca="1" si="45"/>
        <v>0</v>
      </c>
      <c r="AG232" s="687">
        <f t="shared" ca="1" si="46"/>
        <v>0</v>
      </c>
      <c r="AH232" s="688">
        <f t="shared" ca="1" si="47"/>
        <v>0</v>
      </c>
      <c r="AI232" s="687">
        <f t="shared" ca="1" si="48"/>
        <v>0</v>
      </c>
      <c r="AJ232" s="689" t="str">
        <f t="shared" ca="1" si="49"/>
        <v/>
      </c>
      <c r="AK232" s="689" t="str">
        <f t="shared" ca="1" si="50"/>
        <v/>
      </c>
      <c r="AL232" s="689">
        <f t="shared" ca="1" si="51"/>
        <v>0</v>
      </c>
      <c r="AM232" s="690" t="str">
        <f t="shared" ca="1" si="52"/>
        <v/>
      </c>
      <c r="AN232" s="382"/>
      <c r="AO232" s="314" t="str">
        <f>IF($R$3=1,IF(Y232=AA232,"","NE"),IF(#REF!=$V$10,"NE",""))</f>
        <v/>
      </c>
      <c r="AP232" s="315" t="str">
        <f>IF(AB232=$V$3,IF(VLOOKUP(C232,[1]List1!$A:$E,5,FALSE)=0,1,VLOOKUP(C232,[1]List1!$A:$E,5,FALSE)),"")</f>
        <v/>
      </c>
      <c r="AW232" s="458">
        <f>IFERROR(FIND(VLOOKUP('General price list'!$AB$7,'General price list'!$AC$1:$AD$12,2,FALSE),Q232,1),0)</f>
        <v>13</v>
      </c>
      <c r="AX232" s="458">
        <f>IFERROR(FIND(VLOOKUP('General price list'!$AB$7,'General price list'!$AC$1:$AD$12,2,FALSE),R232,1),0)</f>
        <v>0</v>
      </c>
    </row>
    <row r="233" spans="1:50" ht="15" customHeight="1">
      <c r="A233" s="691" t="str">
        <f>Kat.!C233</f>
        <v xml:space="preserve">                                          </v>
      </c>
      <c r="B233" s="692">
        <v>212</v>
      </c>
      <c r="C233" s="693" t="s">
        <v>1012</v>
      </c>
      <c r="D233" s="693" t="s">
        <v>13218</v>
      </c>
      <c r="E233" s="694" t="s">
        <v>1013</v>
      </c>
      <c r="F233" s="695">
        <f>VLOOKUP(C233,[2]List1!$A:$D,2,FALSE)</f>
        <v>120</v>
      </c>
      <c r="G233" s="696">
        <f t="shared" si="41"/>
        <v>120</v>
      </c>
      <c r="H233" s="697">
        <f t="shared" si="42"/>
        <v>4.9000000000000004</v>
      </c>
      <c r="I233" s="837">
        <v>60</v>
      </c>
      <c r="J233" s="698" t="s">
        <v>45</v>
      </c>
      <c r="K233" s="856"/>
      <c r="L233" s="857" t="s">
        <v>13847</v>
      </c>
      <c r="M233" s="698" t="s">
        <v>25</v>
      </c>
      <c r="N233" s="869">
        <f>IFERROR(VLOOKUP(C233,[3]List1!$A:$D,4,FALSE),"N/A!")</f>
        <v>5.4450000000000005E-2</v>
      </c>
      <c r="O233" s="837">
        <f>IFERROR(VLOOKUP(C233,[3]List1!$A:$D,3,FALSE),"N/A!")</f>
        <v>3840</v>
      </c>
      <c r="P233" s="837">
        <f>IFERROR(VLOOKUP(C233,[3]List1!$A:$D,2,FALSE),"N/A!")</f>
        <v>22000</v>
      </c>
      <c r="Q233" s="698" t="s">
        <v>1198</v>
      </c>
      <c r="R233" s="698" t="s">
        <v>24</v>
      </c>
      <c r="S233" s="698"/>
      <c r="T233" s="695">
        <v>50</v>
      </c>
      <c r="U233" s="874"/>
      <c r="V233" s="699" t="str">
        <f>_xlfn.IFNA(HYPERLINK("https://www.klasekpyrotechnics.cz/c10008r"),"")</f>
        <v>https://www.klasekpyrotechnics.cz/c10008r</v>
      </c>
      <c r="W233" s="700" t="str">
        <f>IFERROR(VLOOKUP($C233,Popisy!A:P,MATCH($W$17,Popisy!$A$7:$P$7,0),FALSE),"---------------")</f>
        <v>Silberne pfeifende Kometen mit der Explosion</v>
      </c>
      <c r="X233" s="891" t="str">
        <f t="shared" si="43"/>
        <v/>
      </c>
      <c r="Y233" s="892"/>
      <c r="Z233" s="700" t="str">
        <f>IFERROR(IF(VLOOKUP(C233,[4]List1!$A:$D,4,FALSE)=0,"",VLOOKUP(C233,[4]List1!$A:$D,4,FALSE)),"")</f>
        <v>21</v>
      </c>
      <c r="AA233" s="707"/>
      <c r="AB233" s="912" t="str">
        <f>IFERROR(IF(VLOOKUP(C233,[1]List1!$A:$D,2,FALSE)="VYPRODÁNO",$V$9,IF(VLOOKUP(C233,[1]List1!$A:$D,2,FALSE)="DOCHÁZÍ",$V$3,VLOOKUP(C233,[1]List1!$A:$D,2,FALSE))),"OFFLINE!")</f>
        <v>SKLADEM</v>
      </c>
      <c r="AC233" s="912" t="str">
        <f ca="1">IF(AO233="NE",$V$10,IF(AB233=$V$3,IF(AP233&lt;1,$V$8,$V$2&amp;" "&amp;AP233&amp;" "&amp;$V$1),IF(AB233="SKLADEM",$V$6,IFERROR(IF(OR(AB233-TODAY()&gt;21,VLOOKUP(C233,[1]List1!$A:$E,4,FALSE)=0),AB233,DAY(AB233)&amp;"."&amp;MONTH(AB233)&amp;"."&amp;YEAR(AB233)&amp;" "&amp;$V$4&amp;VLOOKUP(C233,[1]List1!$A:$E,4,FALSE)&amp;" "&amp;$V$1),AB233))))</f>
        <v>AUF LAGER</v>
      </c>
      <c r="AD233" s="701" t="str">
        <f ca="1">_xlfn.IFNA(VLOOKUP(C233,'General price list'!C:AM,MATCH($AD$20,'General price list'!$C$20:$AM$20,0),FALSE),"")</f>
        <v>AUF LAGER</v>
      </c>
      <c r="AE233" s="695">
        <f t="shared" ca="1" si="44"/>
        <v>0</v>
      </c>
      <c r="AF233" s="695">
        <f t="shared" ca="1" si="45"/>
        <v>0</v>
      </c>
      <c r="AG233" s="702">
        <f t="shared" ca="1" si="46"/>
        <v>0</v>
      </c>
      <c r="AH233" s="703">
        <f t="shared" ca="1" si="47"/>
        <v>0</v>
      </c>
      <c r="AI233" s="702">
        <f t="shared" ca="1" si="48"/>
        <v>0</v>
      </c>
      <c r="AJ233" s="704" t="str">
        <f t="shared" ca="1" si="49"/>
        <v/>
      </c>
      <c r="AK233" s="704" t="str">
        <f t="shared" ca="1" si="50"/>
        <v/>
      </c>
      <c r="AL233" s="704">
        <f t="shared" ca="1" si="51"/>
        <v>0</v>
      </c>
      <c r="AM233" s="705" t="str">
        <f t="shared" ca="1" si="52"/>
        <v/>
      </c>
      <c r="AN233" s="382"/>
      <c r="AO233" s="314" t="str">
        <f>IF($R$3=1,IF(Y233=AA233,"","NE"),IF(#REF!=$V$10,"NE",""))</f>
        <v/>
      </c>
      <c r="AP233" s="315" t="str">
        <f>IF(AB233=$V$3,IF(VLOOKUP(C233,[1]List1!$A:$E,5,FALSE)=0,1,VLOOKUP(C233,[1]List1!$A:$E,5,FALSE)),"")</f>
        <v/>
      </c>
      <c r="AW233" s="458">
        <f>IFERROR(FIND(VLOOKUP('General price list'!$AB$7,'General price list'!$AC$1:$AD$12,2,FALSE),Q233,1),0)</f>
        <v>13</v>
      </c>
      <c r="AX233" s="458">
        <f>IFERROR(FIND(VLOOKUP('General price list'!$AB$7,'General price list'!$AC$1:$AD$12,2,FALSE),R233,1),0)</f>
        <v>0</v>
      </c>
    </row>
    <row r="234" spans="1:50" ht="15" customHeight="1">
      <c r="A234" s="677" t="str">
        <f>Kat.!C234</f>
        <v xml:space="preserve">                                          </v>
      </c>
      <c r="B234" s="678">
        <v>213</v>
      </c>
      <c r="C234" s="679" t="s">
        <v>1015</v>
      </c>
      <c r="D234" s="679" t="s">
        <v>13219</v>
      </c>
      <c r="E234" s="680" t="s">
        <v>399</v>
      </c>
      <c r="F234" s="681">
        <f>VLOOKUP(C234,[2]List1!$A:$D,2,FALSE)</f>
        <v>330</v>
      </c>
      <c r="G234" s="682">
        <f t="shared" si="41"/>
        <v>330</v>
      </c>
      <c r="H234" s="683">
        <f t="shared" si="42"/>
        <v>13.4</v>
      </c>
      <c r="I234" s="836">
        <v>12</v>
      </c>
      <c r="J234" s="680" t="s">
        <v>45</v>
      </c>
      <c r="K234" s="854"/>
      <c r="L234" s="855" t="s">
        <v>13848</v>
      </c>
      <c r="M234" s="680" t="s">
        <v>25</v>
      </c>
      <c r="N234" s="868">
        <f>IFERROR(VLOOKUP(C234,[3]List1!$A:$D,4,FALSE),"N/A!")</f>
        <v>3.3599999999999998E-2</v>
      </c>
      <c r="O234" s="836">
        <f>IFERROR(VLOOKUP(C234,[3]List1!$A:$D,3,FALSE),"N/A!")</f>
        <v>2304</v>
      </c>
      <c r="P234" s="836">
        <f>IFERROR(VLOOKUP(C234,[3]List1!$A:$D,2,FALSE),"N/A!")</f>
        <v>15000</v>
      </c>
      <c r="Q234" s="680" t="s">
        <v>44</v>
      </c>
      <c r="R234" s="680" t="s">
        <v>24</v>
      </c>
      <c r="S234" s="680"/>
      <c r="T234" s="681">
        <v>80</v>
      </c>
      <c r="U234" s="873"/>
      <c r="V234" s="684" t="str">
        <f>_xlfn.IFNA(HYPERLINK("https://www.klasekpyrotechnics.cz/c30008r"),"")</f>
        <v>https://www.klasekpyrotechnics.cz/c30008r</v>
      </c>
      <c r="W234" s="685" t="str">
        <f>IFERROR(VLOOKUP($C234,Popisy!A:P,MATCH($W$17,Popisy!$A$7:$P$7,0),FALSE),"---------------")</f>
        <v>Silberne pfeifende Kometen mit der Explosion</v>
      </c>
      <c r="X234" s="889" t="str">
        <f t="shared" si="43"/>
        <v/>
      </c>
      <c r="Y234" s="890"/>
      <c r="Z234" s="685" t="str">
        <f>IFERROR(IF(VLOOKUP(C234,[4]List1!$A:$D,4,FALSE)=0,"",VLOOKUP(C234,[4]List1!$A:$D,4,FALSE)),"")</f>
        <v>40</v>
      </c>
      <c r="AA234" s="707"/>
      <c r="AB234" s="911" t="str">
        <f>IFERROR(IF(VLOOKUP(C234,[1]List1!$A:$D,2,FALSE)="VYPRODÁNO",$V$9,IF(VLOOKUP(C234,[1]List1!$A:$D,2,FALSE)="DOCHÁZÍ",$V$3,VLOOKUP(C234,[1]List1!$A:$D,2,FALSE))),"OFFLINE!")</f>
        <v>SKLADEM</v>
      </c>
      <c r="AC234" s="911" t="str">
        <f ca="1">IF(AO234="NE",$V$10,IF(AB234=$V$3,IF(AP234&lt;1,$V$8,$V$2&amp;" "&amp;AP234&amp;" "&amp;$V$1),IF(AB234="SKLADEM",$V$6,IFERROR(IF(OR(AB234-TODAY()&gt;21,VLOOKUP(C234,[1]List1!$A:$E,4,FALSE)=0),AB234,DAY(AB234)&amp;"."&amp;MONTH(AB234)&amp;"."&amp;YEAR(AB234)&amp;" "&amp;$V$4&amp;VLOOKUP(C234,[1]List1!$A:$E,4,FALSE)&amp;" "&amp;$V$1),AB234))))</f>
        <v>AUF LAGER</v>
      </c>
      <c r="AD234" s="686" t="str">
        <f ca="1">_xlfn.IFNA(VLOOKUP(C234,'General price list'!C:AM,MATCH($AD$20,'General price list'!$C$20:$AM$20,0),FALSE),"")</f>
        <v>AUF LAGER</v>
      </c>
      <c r="AE234" s="681">
        <f t="shared" ca="1" si="44"/>
        <v>0</v>
      </c>
      <c r="AF234" s="681">
        <f t="shared" ca="1" si="45"/>
        <v>0</v>
      </c>
      <c r="AG234" s="687">
        <f t="shared" ca="1" si="46"/>
        <v>0</v>
      </c>
      <c r="AH234" s="688">
        <f t="shared" ca="1" si="47"/>
        <v>0</v>
      </c>
      <c r="AI234" s="687">
        <f t="shared" ca="1" si="48"/>
        <v>0</v>
      </c>
      <c r="AJ234" s="689" t="str">
        <f t="shared" ca="1" si="49"/>
        <v/>
      </c>
      <c r="AK234" s="689" t="str">
        <f t="shared" ca="1" si="50"/>
        <v/>
      </c>
      <c r="AL234" s="689">
        <f t="shared" ca="1" si="51"/>
        <v>0</v>
      </c>
      <c r="AM234" s="690" t="str">
        <f t="shared" ca="1" si="52"/>
        <v/>
      </c>
      <c r="AN234" s="381"/>
      <c r="AO234" s="314" t="str">
        <f>IF($R$3=1,IF(Y234=AA234,"","NE"),IF(#REF!=$V$10,"NE",""))</f>
        <v/>
      </c>
      <c r="AP234" s="315" t="str">
        <f>IF(AB234=$V$3,IF(VLOOKUP(C234,[1]List1!$A:$E,5,FALSE)=0,1,VLOOKUP(C234,[1]List1!$A:$E,5,FALSE)),"")</f>
        <v/>
      </c>
      <c r="AW234" s="458">
        <f>IFERROR(FIND(VLOOKUP('General price list'!$AB$7,'General price list'!$AC$1:$AD$12,2,FALSE),Q234,1),0)</f>
        <v>13</v>
      </c>
      <c r="AX234" s="458">
        <f>IFERROR(FIND(VLOOKUP('General price list'!$AB$7,'General price list'!$AC$1:$AD$12,2,FALSE),R234,1),0)</f>
        <v>0</v>
      </c>
    </row>
    <row r="235" spans="1:50" ht="15" customHeight="1">
      <c r="A235" s="691" t="str">
        <f>Kat.!C235</f>
        <v xml:space="preserve">                                          </v>
      </c>
      <c r="B235" s="692">
        <v>214</v>
      </c>
      <c r="C235" s="693" t="s">
        <v>1016</v>
      </c>
      <c r="D235" s="693" t="s">
        <v>13220</v>
      </c>
      <c r="E235" s="694" t="s">
        <v>762</v>
      </c>
      <c r="F235" s="695">
        <f>VLOOKUP(C235,[2]List1!$A:$D,2,FALSE)</f>
        <v>1182</v>
      </c>
      <c r="G235" s="696">
        <f t="shared" si="41"/>
        <v>1182</v>
      </c>
      <c r="H235" s="697">
        <f t="shared" si="42"/>
        <v>48.1</v>
      </c>
      <c r="I235" s="837">
        <v>3</v>
      </c>
      <c r="J235" s="698" t="s">
        <v>45</v>
      </c>
      <c r="K235" s="856"/>
      <c r="L235" s="857" t="s">
        <v>13848</v>
      </c>
      <c r="M235" s="698" t="s">
        <v>25</v>
      </c>
      <c r="N235" s="869">
        <f>IFERROR(VLOOKUP(C235,[3]List1!$A:$D,4,FALSE),"N/A!")</f>
        <v>2.4840000000000004E-2</v>
      </c>
      <c r="O235" s="837">
        <f>IFERROR(VLOOKUP(C235,[3]List1!$A:$D,3,FALSE),"N/A!")</f>
        <v>1494</v>
      </c>
      <c r="P235" s="837">
        <f>IFERROR(VLOOKUP(C235,[3]List1!$A:$D,2,FALSE),"N/A!")</f>
        <v>13000</v>
      </c>
      <c r="Q235" s="698" t="s">
        <v>13752</v>
      </c>
      <c r="R235" s="698" t="s">
        <v>24</v>
      </c>
      <c r="S235" s="698"/>
      <c r="T235" s="695">
        <v>100</v>
      </c>
      <c r="U235" s="874"/>
      <c r="V235" s="699" t="str">
        <f>_xlfn.IFNA(HYPERLINK("https://www.klasekpyrotechnics.cz/c100008r"),"")</f>
        <v>https://www.klasekpyrotechnics.cz/c100008r</v>
      </c>
      <c r="W235" s="700" t="str">
        <f>IFERROR(VLOOKUP($C235,Popisy!A:P,MATCH($W$17,Popisy!$A$7:$P$7,0),FALSE),"---------------")</f>
        <v>Silberne pfeifende Kometen mit der Explosion</v>
      </c>
      <c r="X235" s="891" t="str">
        <f t="shared" si="43"/>
        <v/>
      </c>
      <c r="Y235" s="892"/>
      <c r="Z235" s="700">
        <f>IFERROR(IF(VLOOKUP(C235,[4]List1!$A:$D,4,FALSE)=0,"",VLOOKUP(C235,[4]List1!$A:$D,4,FALSE)),"")</f>
        <v>63</v>
      </c>
      <c r="AA235" s="707"/>
      <c r="AB235" s="912" t="str">
        <f>IFERROR(IF(VLOOKUP(C235,[1]List1!$A:$D,2,FALSE)="VYPRODÁNO",$V$9,IF(VLOOKUP(C235,[1]List1!$A:$D,2,FALSE)="DOCHÁZÍ",$V$3,VLOOKUP(C235,[1]List1!$A:$D,2,FALSE))),"OFFLINE!")</f>
        <v>15.05.2024</v>
      </c>
      <c r="AC235" s="912" t="str">
        <f ca="1">IF(AO235="NE",$V$10,IF(AB235=$V$3,IF(AP235&lt;1,$V$8,$V$2&amp;" "&amp;AP235&amp;" "&amp;$V$1),IF(AB235="SKLADEM",$V$6,IFERROR(IF(OR(AB235-TODAY()&gt;21,VLOOKUP(C235,[1]List1!$A:$E,4,FALSE)=0),AB235,DAY(AB235)&amp;"."&amp;MONTH(AB235)&amp;"."&amp;YEAR(AB235)&amp;" "&amp;$V$4&amp;VLOOKUP(C235,[1]List1!$A:$E,4,FALSE)&amp;" "&amp;$V$1),AB235))))</f>
        <v>15.05.2024</v>
      </c>
      <c r="AD235" s="701" t="str">
        <f ca="1">_xlfn.IFNA(VLOOKUP(C235,'General price list'!C:AM,MATCH($AD$20,'General price list'!$C$20:$AM$20,0),FALSE),"")</f>
        <v>15.05.2024</v>
      </c>
      <c r="AE235" s="695">
        <f t="shared" ca="1" si="44"/>
        <v>0</v>
      </c>
      <c r="AF235" s="695">
        <f t="shared" ca="1" si="45"/>
        <v>0</v>
      </c>
      <c r="AG235" s="702">
        <f t="shared" ca="1" si="46"/>
        <v>0</v>
      </c>
      <c r="AH235" s="703">
        <f t="shared" ca="1" si="47"/>
        <v>0</v>
      </c>
      <c r="AI235" s="702">
        <f t="shared" ca="1" si="48"/>
        <v>0</v>
      </c>
      <c r="AJ235" s="704" t="str">
        <f t="shared" ca="1" si="49"/>
        <v/>
      </c>
      <c r="AK235" s="704" t="str">
        <f t="shared" ca="1" si="50"/>
        <v/>
      </c>
      <c r="AL235" s="704">
        <f t="shared" ca="1" si="51"/>
        <v>0</v>
      </c>
      <c r="AM235" s="705" t="str">
        <f t="shared" ca="1" si="52"/>
        <v/>
      </c>
      <c r="AN235" s="382"/>
      <c r="AO235" s="314" t="str">
        <f>IF($R$3=1,IF(Y235=AA235,"","NE"),IF(#REF!=$V$10,"NE",""))</f>
        <v/>
      </c>
      <c r="AP235" s="315" t="str">
        <f>IF(AB235=$V$3,IF(VLOOKUP(C235,[1]List1!$A:$E,5,FALSE)=0,1,VLOOKUP(C235,[1]List1!$A:$E,5,FALSE)),"")</f>
        <v/>
      </c>
      <c r="AW235" s="458">
        <f>IFERROR(FIND(VLOOKUP('General price list'!$AB$7,'General price list'!$AC$1:$AD$12,2,FALSE),Q235,1),0)</f>
        <v>16</v>
      </c>
      <c r="AX235" s="458">
        <f>IFERROR(FIND(VLOOKUP('General price list'!$AB$7,'General price list'!$AC$1:$AD$12,2,FALSE),R235,1),0)</f>
        <v>0</v>
      </c>
    </row>
    <row r="236" spans="1:50" ht="15" customHeight="1">
      <c r="A236" s="672" t="str">
        <f>Kat.!C236</f>
        <v xml:space="preserve">                                          Batterien 100 schuss, 8mm Mörser-1.4G</v>
      </c>
      <c r="B236" s="678">
        <v>215</v>
      </c>
      <c r="C236" s="679"/>
      <c r="D236" s="679"/>
      <c r="E236" s="680"/>
      <c r="F236" s="681" t="str">
        <f>IFERROR(ROUND(VLOOKUP(C236,'General price list'!$C:$AN,4,FALSE),0),"")</f>
        <v/>
      </c>
      <c r="G236" s="682" t="str">
        <f t="shared" si="41"/>
        <v/>
      </c>
      <c r="H236" s="683" t="str">
        <f t="shared" si="42"/>
        <v/>
      </c>
      <c r="I236" s="836"/>
      <c r="J236" s="680"/>
      <c r="K236" s="854"/>
      <c r="L236" s="855"/>
      <c r="M236" s="680"/>
      <c r="N236" s="868" t="str">
        <f>IFERROR(IF(VLOOKUP($C236,'General price list'!$C:$AN,MATCH(N$20,'General price list'!$C$20:$AM$20,0),FALSE)=0,"",VLOOKUP($C236,'General price list'!$C:$AN,MATCH(N$20,'General price list'!$C$20:$AM$20,0),FALSE)),"")</f>
        <v/>
      </c>
      <c r="O236" s="836" t="str">
        <f>IFERROR(IF(VLOOKUP($C236,'General price list'!$C:$AN,MATCH(O$20,'General price list'!$C$20:$AM$20,0),FALSE)=0,"",VLOOKUP($C236,'General price list'!$C:$AN,MATCH(O$20,'General price list'!$C$20:$AM$20,0),FALSE)),"")</f>
        <v/>
      </c>
      <c r="P236" s="836" t="str">
        <f>IFERROR(IF(VLOOKUP($C236,'General price list'!$C:$AN,MATCH(P$20,'General price list'!$C$20:$AM$20,0),FALSE)=0,"",VLOOKUP($C236,'General price list'!$C:$AN,MATCH(P$20,'General price list'!$C$20:$AM$20,0),FALSE)),"")</f>
        <v/>
      </c>
      <c r="Q236" s="680"/>
      <c r="R236" s="680"/>
      <c r="S236" s="680"/>
      <c r="T236" s="681"/>
      <c r="U236" s="873"/>
      <c r="V236" s="684"/>
      <c r="W236" s="685" t="str">
        <f>IFERROR(VLOOKUP($C236,'General price list'!$C:$AN,MATCH(W$20,'General price list'!$C$20:$AM$20,0),FALSE),"")</f>
        <v/>
      </c>
      <c r="X236" s="889" t="str">
        <f t="shared" si="43"/>
        <v/>
      </c>
      <c r="Y236" s="890"/>
      <c r="Z236" s="685" t="str">
        <f>IFERROR(VLOOKUP($C236,'General price list'!$C:$AN,MATCH(Z$20,'General price list'!$C$20:$AM$20,0),FALSE),"")</f>
        <v/>
      </c>
      <c r="AA236" s="707"/>
      <c r="AB236" s="911" t="str">
        <f>IFERROR(IF(VLOOKUP(C236,[1]List1!$A:$D,2,FALSE)="VYPRODÁNO",$V$9,IF(VLOOKUP(C236,[1]List1!$A:$D,2,FALSE)="DOCHÁZÍ",$V$3,VLOOKUP(C236,[1]List1!$A:$D,2,FALSE))),"OFFLINE!")</f>
        <v>OFFLINE!</v>
      </c>
      <c r="AC236" s="911" t="str">
        <f ca="1">IF(AO236="NE",$V$10,IF(AB236=$V$3,IF(AP236&lt;1,$V$8,$V$2&amp;" "&amp;AP236&amp;" "&amp;$V$1),IF(AB236="SKLADEM",$V$6,IFERROR(IF(OR(AB236-TODAY()&gt;21,VLOOKUP(C236,[1]List1!$A:$E,4,FALSE)=0),AB236,DAY(AB236)&amp;"."&amp;MONTH(AB236)&amp;"."&amp;YEAR(AB236)&amp;" "&amp;$V$4&amp;VLOOKUP(C236,[1]List1!$A:$E,4,FALSE)&amp;" "&amp;$V$1),AB236))))</f>
        <v>OFFLINE!</v>
      </c>
      <c r="AD236" s="686" t="str">
        <f>_xlfn.IFNA(VLOOKUP(C236,'General price list'!C:AM,MATCH($AD$20,'General price list'!$C$20:$AM$20,0),FALSE),"")</f>
        <v/>
      </c>
      <c r="AE236" s="681" t="str">
        <f t="shared" si="44"/>
        <v/>
      </c>
      <c r="AF236" s="681" t="str">
        <f t="shared" si="45"/>
        <v/>
      </c>
      <c r="AG236" s="687" t="str">
        <f t="shared" si="46"/>
        <v/>
      </c>
      <c r="AH236" s="688" t="str">
        <f t="shared" si="47"/>
        <v/>
      </c>
      <c r="AI236" s="687" t="str">
        <f t="shared" si="48"/>
        <v/>
      </c>
      <c r="AJ236" s="689" t="str">
        <f t="shared" si="49"/>
        <v/>
      </c>
      <c r="AK236" s="689" t="str">
        <f t="shared" si="50"/>
        <v/>
      </c>
      <c r="AL236" s="689" t="str">
        <f t="shared" si="51"/>
        <v/>
      </c>
      <c r="AM236" s="690" t="str">
        <f t="shared" si="52"/>
        <v/>
      </c>
      <c r="AN236" s="382"/>
      <c r="AO236" s="314" t="str">
        <f>IF($R$3=1,IF(Y236=AA236,"","NE"),IF(#REF!=$V$10,"NE",""))</f>
        <v/>
      </c>
      <c r="AP236" s="315" t="str">
        <f>IF(AB236=$V$3,IF(VLOOKUP(C236,[1]List1!$A:$E,5,FALSE)=0,1,VLOOKUP(C236,[1]List1!$A:$E,5,FALSE)),"")</f>
        <v/>
      </c>
      <c r="AW236" s="291" t="e">
        <f>VLOOKUP(C236,'General price list'!C:AU,46,FALSE)</f>
        <v>#N/A</v>
      </c>
      <c r="AX236" s="291" t="e">
        <f>VLOOKUP(C236,'General price list'!C:AU,47,FALSE)</f>
        <v>#N/A</v>
      </c>
    </row>
    <row r="237" spans="1:50" ht="15" customHeight="1">
      <c r="A237" s="691" t="str">
        <f>Kat.!C237</f>
        <v xml:space="preserve">                                          </v>
      </c>
      <c r="B237" s="692">
        <v>216</v>
      </c>
      <c r="C237" s="693" t="s">
        <v>4825</v>
      </c>
      <c r="D237" s="693" t="s">
        <v>4826</v>
      </c>
      <c r="E237" s="694" t="s">
        <v>420</v>
      </c>
      <c r="F237" s="695">
        <f>VLOOKUP(C237,[2]List1!$A:$D,2,FALSE)</f>
        <v>128</v>
      </c>
      <c r="G237" s="696">
        <f t="shared" si="41"/>
        <v>128</v>
      </c>
      <c r="H237" s="697">
        <f t="shared" si="42"/>
        <v>5.2</v>
      </c>
      <c r="I237" s="837">
        <v>24</v>
      </c>
      <c r="J237" s="698" t="s">
        <v>45</v>
      </c>
      <c r="K237" s="856"/>
      <c r="L237" s="857" t="s">
        <v>13828</v>
      </c>
      <c r="M237" s="698" t="s">
        <v>25</v>
      </c>
      <c r="N237" s="869">
        <f>IFERROR(VLOOKUP(C237,[3]List1!$A:$D,4,FALSE),"N/A!")</f>
        <v>2.6533499999999998E-2</v>
      </c>
      <c r="O237" s="837">
        <f>IFERROR(VLOOKUP(C237,[3]List1!$A:$D,3,FALSE),"N/A!")</f>
        <v>1368</v>
      </c>
      <c r="P237" s="837">
        <f>IFERROR(VLOOKUP(C237,[3]List1!$A:$D,2,FALSE),"N/A!")</f>
        <v>13500</v>
      </c>
      <c r="Q237" s="698" t="s">
        <v>13753</v>
      </c>
      <c r="R237" s="698" t="s">
        <v>24</v>
      </c>
      <c r="S237" s="698"/>
      <c r="T237" s="695">
        <v>30</v>
      </c>
      <c r="U237" s="874"/>
      <c r="V237" s="699" t="str">
        <f>_xlfn.IFNA(HYPERLINK("https://www.klasekpyrotechnics.cz/c1008cc"),"")</f>
        <v>https://www.klasekpyrotechnics.cz/c1008cc</v>
      </c>
      <c r="W237" s="700" t="str">
        <f>IFERROR(VLOOKUP($C237,Popisy!A:P,MATCH($W$17,Popisy!$A$7:$P$7,0),FALSE),"---------------")</f>
        <v>Bunte und knisternde Kometen</v>
      </c>
      <c r="X237" s="891" t="str">
        <f t="shared" si="43"/>
        <v/>
      </c>
      <c r="Y237" s="892"/>
      <c r="Z237" s="700">
        <f>IFERROR(IF(VLOOKUP(C237,[4]List1!$A:$D,4,FALSE)=0,"",VLOOKUP(C237,[4]List1!$A:$D,4,FALSE)),"")</f>
        <v>42</v>
      </c>
      <c r="AA237" s="707"/>
      <c r="AB237" s="912" t="str">
        <f>IFERROR(IF(VLOOKUP(C237,[1]List1!$A:$D,2,FALSE)="VYPRODÁNO",$V$9,IF(VLOOKUP(C237,[1]List1!$A:$D,2,FALSE)="DOCHÁZÍ",$V$3,VLOOKUP(C237,[1]List1!$A:$D,2,FALSE))),"OFFLINE!")</f>
        <v>SKLADEM</v>
      </c>
      <c r="AC237" s="912" t="str">
        <f ca="1">IF(AO237="NE",$V$10,IF(AB237=$V$3,IF(AP237&lt;1,$V$8,$V$2&amp;" "&amp;AP237&amp;" "&amp;$V$1),IF(AB237="SKLADEM",$V$6,IFERROR(IF(OR(AB237-TODAY()&gt;21,VLOOKUP(C237,[1]List1!$A:$E,4,FALSE)=0),AB237,DAY(AB237)&amp;"."&amp;MONTH(AB237)&amp;"."&amp;YEAR(AB237)&amp;" "&amp;$V$4&amp;VLOOKUP(C237,[1]List1!$A:$E,4,FALSE)&amp;" "&amp;$V$1),AB237))))</f>
        <v>AUF LAGER</v>
      </c>
      <c r="AD237" s="701" t="str">
        <f ca="1">_xlfn.IFNA(VLOOKUP(C237,'General price list'!C:AM,MATCH($AD$20,'General price list'!$C$20:$AM$20,0),FALSE),"")</f>
        <v>AUF LAGER</v>
      </c>
      <c r="AE237" s="695">
        <f t="shared" ca="1" si="44"/>
        <v>0</v>
      </c>
      <c r="AF237" s="695">
        <f t="shared" ca="1" si="45"/>
        <v>0</v>
      </c>
      <c r="AG237" s="702">
        <f t="shared" ca="1" si="46"/>
        <v>0</v>
      </c>
      <c r="AH237" s="703">
        <f t="shared" ca="1" si="47"/>
        <v>0</v>
      </c>
      <c r="AI237" s="702">
        <f t="shared" ca="1" si="48"/>
        <v>0</v>
      </c>
      <c r="AJ237" s="704" t="str">
        <f t="shared" ca="1" si="49"/>
        <v/>
      </c>
      <c r="AK237" s="704" t="str">
        <f t="shared" ca="1" si="50"/>
        <v/>
      </c>
      <c r="AL237" s="704">
        <f t="shared" ca="1" si="51"/>
        <v>0</v>
      </c>
      <c r="AM237" s="705" t="str">
        <f t="shared" ca="1" si="52"/>
        <v/>
      </c>
      <c r="AN237" s="382"/>
      <c r="AO237" s="314" t="str">
        <f>IF($R$3=1,IF(Y237=AA237,"","NE"),IF(#REF!=$V$10,"NE",""))</f>
        <v/>
      </c>
      <c r="AP237" s="315" t="str">
        <f>IF(AB237=$V$3,IF(VLOOKUP(C237,[1]List1!$A:$E,5,FALSE)=0,1,VLOOKUP(C237,[1]List1!$A:$E,5,FALSE)),"")</f>
        <v/>
      </c>
      <c r="AW237" s="458">
        <f>IFERROR(FIND(VLOOKUP('General price list'!$AB$7,'General price list'!$AC$1:$AD$12,2,FALSE),Q237,1),0)</f>
        <v>0</v>
      </c>
      <c r="AX237" s="458">
        <f>IFERROR(FIND(VLOOKUP('General price list'!$AB$7,'General price list'!$AC$1:$AD$12,2,FALSE),R237,1),0)</f>
        <v>0</v>
      </c>
    </row>
    <row r="238" spans="1:50" ht="15" customHeight="1">
      <c r="A238" s="672" t="str">
        <f>Kat.!C238</f>
        <v xml:space="preserve">                                          Batterien 16 schuss, 14mm Mörser-1.4G</v>
      </c>
      <c r="B238" s="678">
        <v>217</v>
      </c>
      <c r="C238" s="679"/>
      <c r="D238" s="679"/>
      <c r="E238" s="680"/>
      <c r="F238" s="681" t="str">
        <f>IFERROR(ROUND(VLOOKUP(C238,'General price list'!$C:$AN,4,FALSE),0),"")</f>
        <v/>
      </c>
      <c r="G238" s="682" t="str">
        <f t="shared" si="41"/>
        <v/>
      </c>
      <c r="H238" s="683" t="str">
        <f t="shared" si="42"/>
        <v/>
      </c>
      <c r="I238" s="836"/>
      <c r="J238" s="680"/>
      <c r="K238" s="854"/>
      <c r="L238" s="855"/>
      <c r="M238" s="680"/>
      <c r="N238" s="868" t="str">
        <f>IFERROR(IF(VLOOKUP($C238,'General price list'!$C:$AN,MATCH(N$20,'General price list'!$C$20:$AM$20,0),FALSE)=0,"",VLOOKUP($C238,'General price list'!$C:$AN,MATCH(N$20,'General price list'!$C$20:$AM$20,0),FALSE)),"")</f>
        <v/>
      </c>
      <c r="O238" s="836" t="str">
        <f>IFERROR(IF(VLOOKUP($C238,'General price list'!$C:$AN,MATCH(O$20,'General price list'!$C$20:$AM$20,0),FALSE)=0,"",VLOOKUP($C238,'General price list'!$C:$AN,MATCH(O$20,'General price list'!$C$20:$AM$20,0),FALSE)),"")</f>
        <v/>
      </c>
      <c r="P238" s="836" t="str">
        <f>IFERROR(IF(VLOOKUP($C238,'General price list'!$C:$AN,MATCH(P$20,'General price list'!$C$20:$AM$20,0),FALSE)=0,"",VLOOKUP($C238,'General price list'!$C:$AN,MATCH(P$20,'General price list'!$C$20:$AM$20,0),FALSE)),"")</f>
        <v/>
      </c>
      <c r="Q238" s="680"/>
      <c r="R238" s="680"/>
      <c r="S238" s="680"/>
      <c r="T238" s="681"/>
      <c r="U238" s="873"/>
      <c r="V238" s="684"/>
      <c r="W238" s="685" t="str">
        <f>IFERROR(VLOOKUP($C238,'General price list'!$C:$AN,MATCH(W$20,'General price list'!$C$20:$AM$20,0),FALSE),"")</f>
        <v/>
      </c>
      <c r="X238" s="889" t="str">
        <f t="shared" si="43"/>
        <v/>
      </c>
      <c r="Y238" s="890"/>
      <c r="Z238" s="685" t="str">
        <f>IFERROR(VLOOKUP($C238,'General price list'!$C:$AN,MATCH(Z$20,'General price list'!$C$20:$AM$20,0),FALSE),"")</f>
        <v/>
      </c>
      <c r="AA238" s="707"/>
      <c r="AB238" s="911" t="str">
        <f>IFERROR(IF(VLOOKUP(C238,[1]List1!$A:$D,2,FALSE)="VYPRODÁNO",$V$9,IF(VLOOKUP(C238,[1]List1!$A:$D,2,FALSE)="DOCHÁZÍ",$V$3,VLOOKUP(C238,[1]List1!$A:$D,2,FALSE))),"OFFLINE!")</f>
        <v>OFFLINE!</v>
      </c>
      <c r="AC238" s="911" t="str">
        <f ca="1">IF(AO238="NE",$V$10,IF(AB238=$V$3,IF(AP238&lt;1,$V$8,$V$2&amp;" "&amp;AP238&amp;" "&amp;$V$1),IF(AB238="SKLADEM",$V$6,IFERROR(IF(OR(AB238-TODAY()&gt;21,VLOOKUP(C238,[1]List1!$A:$E,4,FALSE)=0),AB238,DAY(AB238)&amp;"."&amp;MONTH(AB238)&amp;"."&amp;YEAR(AB238)&amp;" "&amp;$V$4&amp;VLOOKUP(C238,[1]List1!$A:$E,4,FALSE)&amp;" "&amp;$V$1),AB238))))</f>
        <v>OFFLINE!</v>
      </c>
      <c r="AD238" s="686" t="str">
        <f>_xlfn.IFNA(VLOOKUP(C238,'General price list'!C:AM,MATCH($AD$20,'General price list'!$C$20:$AM$20,0),FALSE),"")</f>
        <v/>
      </c>
      <c r="AE238" s="681" t="str">
        <f t="shared" si="44"/>
        <v/>
      </c>
      <c r="AF238" s="681" t="str">
        <f t="shared" si="45"/>
        <v/>
      </c>
      <c r="AG238" s="687" t="str">
        <f t="shared" si="46"/>
        <v/>
      </c>
      <c r="AH238" s="688" t="str">
        <f t="shared" si="47"/>
        <v/>
      </c>
      <c r="AI238" s="687" t="str">
        <f t="shared" si="48"/>
        <v/>
      </c>
      <c r="AJ238" s="689" t="str">
        <f t="shared" si="49"/>
        <v/>
      </c>
      <c r="AK238" s="689" t="str">
        <f t="shared" si="50"/>
        <v/>
      </c>
      <c r="AL238" s="689" t="str">
        <f t="shared" si="51"/>
        <v/>
      </c>
      <c r="AM238" s="690" t="str">
        <f t="shared" si="52"/>
        <v/>
      </c>
      <c r="AN238" s="382"/>
      <c r="AO238" s="314" t="str">
        <f>IF($R$3=1,IF(Y238=AA238,"","NE"),IF(#REF!=$V$10,"NE",""))</f>
        <v/>
      </c>
      <c r="AP238" s="315" t="str">
        <f>IF(AB238=$V$3,IF(VLOOKUP(C238,[1]List1!$A:$E,5,FALSE)=0,1,VLOOKUP(C238,[1]List1!$A:$E,5,FALSE)),"")</f>
        <v/>
      </c>
      <c r="AW238" s="291" t="e">
        <f>VLOOKUP(C238,'General price list'!C:AU,46,FALSE)</f>
        <v>#N/A</v>
      </c>
      <c r="AX238" s="291" t="e">
        <f>VLOOKUP(C238,'General price list'!C:AU,47,FALSE)</f>
        <v>#N/A</v>
      </c>
    </row>
    <row r="239" spans="1:50" ht="15" customHeight="1">
      <c r="A239" s="691" t="str">
        <f>Kat.!C239</f>
        <v xml:space="preserve">                                          </v>
      </c>
      <c r="B239" s="692">
        <v>218</v>
      </c>
      <c r="C239" s="693" t="s">
        <v>1018</v>
      </c>
      <c r="D239" s="693" t="s">
        <v>1017</v>
      </c>
      <c r="E239" s="694" t="s">
        <v>246</v>
      </c>
      <c r="F239" s="695">
        <f>VLOOKUP(C239,[2]List1!$A:$D,2,FALSE)</f>
        <v>106</v>
      </c>
      <c r="G239" s="696">
        <f t="shared" si="41"/>
        <v>106</v>
      </c>
      <c r="H239" s="697">
        <f t="shared" si="42"/>
        <v>4.3</v>
      </c>
      <c r="I239" s="837">
        <v>50</v>
      </c>
      <c r="J239" s="698" t="s">
        <v>45</v>
      </c>
      <c r="K239" s="856">
        <v>5</v>
      </c>
      <c r="L239" s="857" t="s">
        <v>13832</v>
      </c>
      <c r="M239" s="698" t="s">
        <v>25</v>
      </c>
      <c r="N239" s="869">
        <f>IFERROR(VLOOKUP(C239,[3]List1!$A:$D,4,FALSE),"N/A!")</f>
        <v>2.7436000000000002E-2</v>
      </c>
      <c r="O239" s="837">
        <f>IFERROR(VLOOKUP(C239,[3]List1!$A:$D,3,FALSE),"N/A!")</f>
        <v>2100</v>
      </c>
      <c r="P239" s="837">
        <f>IFERROR(VLOOKUP(C239,[3]List1!$A:$D,2,FALSE),"N/A!")</f>
        <v>14500</v>
      </c>
      <c r="Q239" s="698" t="s">
        <v>207</v>
      </c>
      <c r="R239" s="698" t="s">
        <v>24</v>
      </c>
      <c r="S239" s="698"/>
      <c r="T239" s="695">
        <v>15</v>
      </c>
      <c r="U239" s="874"/>
      <c r="V239" s="699" t="str">
        <f>_xlfn.IFNA(HYPERLINK("https://www.klasekpyrotechnics.cz/c1614e14"),"")</f>
        <v>https://www.klasekpyrotechnics.cz/c1614e14</v>
      </c>
      <c r="W239" s="700" t="str">
        <f>IFERROR(VLOOKUP($C239,Popisy!A:P,MATCH($W$17,Popisy!$A$7:$P$7,0),FALSE),"---------------")</f>
        <v>4 verschiedenfarbige Effekte</v>
      </c>
      <c r="X239" s="891" t="str">
        <f t="shared" si="43"/>
        <v/>
      </c>
      <c r="Y239" s="892"/>
      <c r="Z239" s="700">
        <f>IFERROR(IF(VLOOKUP(C239,[4]List1!$A:$D,4,FALSE)=0,"",VLOOKUP(C239,[4]List1!$A:$D,4,FALSE)),"")</f>
        <v>48</v>
      </c>
      <c r="AA239" s="707"/>
      <c r="AB239" s="912" t="str">
        <f>IFERROR(IF(VLOOKUP(C239,[1]List1!$A:$D,2,FALSE)="VYPRODÁNO",$V$9,IF(VLOOKUP(C239,[1]List1!$A:$D,2,FALSE)="DOCHÁZÍ",$V$3,VLOOKUP(C239,[1]List1!$A:$D,2,FALSE))),"OFFLINE!")</f>
        <v>30.09.2024</v>
      </c>
      <c r="AC239" s="912" t="str">
        <f ca="1">IF(AO239="NE",$V$10,IF(AB239=$V$3,IF(AP239&lt;1,$V$8,$V$2&amp;" "&amp;AP239&amp;" "&amp;$V$1),IF(AB239="SKLADEM",$V$6,IFERROR(IF(OR(AB239-TODAY()&gt;21,VLOOKUP(C239,[1]List1!$A:$E,4,FALSE)=0),AB239,DAY(AB239)&amp;"."&amp;MONTH(AB239)&amp;"."&amp;YEAR(AB239)&amp;" "&amp;$V$4&amp;VLOOKUP(C239,[1]List1!$A:$E,4,FALSE)&amp;" "&amp;$V$1),AB239))))</f>
        <v>30.09.2024</v>
      </c>
      <c r="AD239" s="701" t="str">
        <f ca="1">_xlfn.IFNA(VLOOKUP(C239,'General price list'!C:AM,MATCH($AD$20,'General price list'!$C$20:$AM$20,0),FALSE),"")</f>
        <v>30.09.2024</v>
      </c>
      <c r="AE239" s="695">
        <f t="shared" ca="1" si="44"/>
        <v>0</v>
      </c>
      <c r="AF239" s="695">
        <f t="shared" ca="1" si="45"/>
        <v>0</v>
      </c>
      <c r="AG239" s="702">
        <f t="shared" ca="1" si="46"/>
        <v>0</v>
      </c>
      <c r="AH239" s="703">
        <f t="shared" ca="1" si="47"/>
        <v>0</v>
      </c>
      <c r="AI239" s="702">
        <f t="shared" ca="1" si="48"/>
        <v>0</v>
      </c>
      <c r="AJ239" s="704" t="str">
        <f t="shared" ca="1" si="49"/>
        <v/>
      </c>
      <c r="AK239" s="704" t="str">
        <f t="shared" ca="1" si="50"/>
        <v/>
      </c>
      <c r="AL239" s="704">
        <f t="shared" ca="1" si="51"/>
        <v>0</v>
      </c>
      <c r="AM239" s="705" t="str">
        <f t="shared" ca="1" si="52"/>
        <v/>
      </c>
      <c r="AN239" s="382"/>
      <c r="AO239" s="314" t="str">
        <f>IF($R$3=1,IF(Y239=AA239,"","NE"),IF(#REF!=$V$10,"NE",""))</f>
        <v/>
      </c>
      <c r="AP239" s="315" t="str">
        <f>IF(AB239=$V$3,IF(VLOOKUP(C239,[1]List1!$A:$E,5,FALSE)=0,1,VLOOKUP(C239,[1]List1!$A:$E,5,FALSE)),"")</f>
        <v/>
      </c>
      <c r="AW239" s="458">
        <f>IFERROR(FIND(VLOOKUP('General price list'!$AB$7,'General price list'!$AC$1:$AD$12,2,FALSE),Q239,1),0)</f>
        <v>0</v>
      </c>
      <c r="AX239" s="458">
        <f>IFERROR(FIND(VLOOKUP('General price list'!$AB$7,'General price list'!$AC$1:$AD$12,2,FALSE),R239,1),0)</f>
        <v>0</v>
      </c>
    </row>
    <row r="240" spans="1:50" ht="15" customHeight="1">
      <c r="A240" s="672" t="str">
        <f>Kat.!C240</f>
        <v xml:space="preserve">                                          Batterien 208 schuss, 14mm normal+ schräg Mörser-1.4G</v>
      </c>
      <c r="B240" s="678">
        <v>219</v>
      </c>
      <c r="C240" s="679"/>
      <c r="D240" s="679"/>
      <c r="E240" s="680"/>
      <c r="F240" s="681" t="str">
        <f>IFERROR(ROUND(VLOOKUP(C240,'General price list'!$C:$AN,4,FALSE),0),"")</f>
        <v/>
      </c>
      <c r="G240" s="682" t="str">
        <f t="shared" si="41"/>
        <v/>
      </c>
      <c r="H240" s="683" t="str">
        <f t="shared" si="42"/>
        <v/>
      </c>
      <c r="I240" s="836"/>
      <c r="J240" s="680"/>
      <c r="K240" s="854"/>
      <c r="L240" s="855"/>
      <c r="M240" s="680"/>
      <c r="N240" s="868" t="str">
        <f>IFERROR(IF(VLOOKUP($C240,'General price list'!$C:$AN,MATCH(N$20,'General price list'!$C$20:$AM$20,0),FALSE)=0,"",VLOOKUP($C240,'General price list'!$C:$AN,MATCH(N$20,'General price list'!$C$20:$AM$20,0),FALSE)),"")</f>
        <v/>
      </c>
      <c r="O240" s="836" t="str">
        <f>IFERROR(IF(VLOOKUP($C240,'General price list'!$C:$AN,MATCH(O$20,'General price list'!$C$20:$AM$20,0),FALSE)=0,"",VLOOKUP($C240,'General price list'!$C:$AN,MATCH(O$20,'General price list'!$C$20:$AM$20,0),FALSE)),"")</f>
        <v/>
      </c>
      <c r="P240" s="836" t="str">
        <f>IFERROR(IF(VLOOKUP($C240,'General price list'!$C:$AN,MATCH(P$20,'General price list'!$C$20:$AM$20,0),FALSE)=0,"",VLOOKUP($C240,'General price list'!$C:$AN,MATCH(P$20,'General price list'!$C$20:$AM$20,0),FALSE)),"")</f>
        <v/>
      </c>
      <c r="Q240" s="680"/>
      <c r="R240" s="680"/>
      <c r="S240" s="680"/>
      <c r="T240" s="681"/>
      <c r="U240" s="873"/>
      <c r="V240" s="684"/>
      <c r="W240" s="685" t="str">
        <f>IFERROR(VLOOKUP($C240,'General price list'!$C:$AN,MATCH(W$20,'General price list'!$C$20:$AM$20,0),FALSE),"")</f>
        <v/>
      </c>
      <c r="X240" s="889" t="str">
        <f t="shared" si="43"/>
        <v/>
      </c>
      <c r="Y240" s="890"/>
      <c r="Z240" s="685" t="str">
        <f>IFERROR(VLOOKUP($C240,'General price list'!$C:$AN,MATCH(Z$20,'General price list'!$C$20:$AM$20,0),FALSE),"")</f>
        <v/>
      </c>
      <c r="AA240" s="707"/>
      <c r="AB240" s="911" t="str">
        <f>IFERROR(IF(VLOOKUP(C240,[1]List1!$A:$D,2,FALSE)="VYPRODÁNO",$V$9,IF(VLOOKUP(C240,[1]List1!$A:$D,2,FALSE)="DOCHÁZÍ",$V$3,VLOOKUP(C240,[1]List1!$A:$D,2,FALSE))),"OFFLINE!")</f>
        <v>OFFLINE!</v>
      </c>
      <c r="AC240" s="911" t="str">
        <f ca="1">IF(AO240="NE",$V$10,IF(AB240=$V$3,IF(AP240&lt;1,$V$8,$V$2&amp;" "&amp;AP240&amp;" "&amp;$V$1),IF(AB240="SKLADEM",$V$6,IFERROR(IF(OR(AB240-TODAY()&gt;21,VLOOKUP(C240,[1]List1!$A:$E,4,FALSE)=0),AB240,DAY(AB240)&amp;"."&amp;MONTH(AB240)&amp;"."&amp;YEAR(AB240)&amp;" "&amp;$V$4&amp;VLOOKUP(C240,[1]List1!$A:$E,4,FALSE)&amp;" "&amp;$V$1),AB240))))</f>
        <v>OFFLINE!</v>
      </c>
      <c r="AD240" s="686" t="str">
        <f>_xlfn.IFNA(VLOOKUP(C240,'General price list'!C:AM,MATCH($AD$20,'General price list'!$C$20:$AM$20,0),FALSE),"")</f>
        <v/>
      </c>
      <c r="AE240" s="681" t="str">
        <f t="shared" si="44"/>
        <v/>
      </c>
      <c r="AF240" s="681" t="str">
        <f t="shared" si="45"/>
        <v/>
      </c>
      <c r="AG240" s="687" t="str">
        <f t="shared" si="46"/>
        <v/>
      </c>
      <c r="AH240" s="688" t="str">
        <f t="shared" si="47"/>
        <v/>
      </c>
      <c r="AI240" s="687" t="str">
        <f t="shared" si="48"/>
        <v/>
      </c>
      <c r="AJ240" s="689" t="str">
        <f t="shared" si="49"/>
        <v/>
      </c>
      <c r="AK240" s="689" t="str">
        <f t="shared" si="50"/>
        <v/>
      </c>
      <c r="AL240" s="689" t="str">
        <f t="shared" si="51"/>
        <v/>
      </c>
      <c r="AM240" s="690" t="str">
        <f t="shared" si="52"/>
        <v/>
      </c>
      <c r="AN240" s="382"/>
      <c r="AO240" s="314" t="str">
        <f>IF($R$3=1,IF(Y240=AA240,"","NE"),IF(#REF!=$V$10,"NE",""))</f>
        <v/>
      </c>
      <c r="AP240" s="315" t="str">
        <f>IF(AB240=$V$3,IF(VLOOKUP(C240,[1]List1!$A:$E,5,FALSE)=0,1,VLOOKUP(C240,[1]List1!$A:$E,5,FALSE)),"")</f>
        <v/>
      </c>
      <c r="AW240" s="291" t="e">
        <f>VLOOKUP(C240,'General price list'!C:AU,46,FALSE)</f>
        <v>#N/A</v>
      </c>
      <c r="AX240" s="291" t="e">
        <f>VLOOKUP(C240,'General price list'!C:AU,47,FALSE)</f>
        <v>#N/A</v>
      </c>
    </row>
    <row r="241" spans="1:50" ht="15" customHeight="1">
      <c r="A241" s="691" t="str">
        <f>Kat.!C241</f>
        <v xml:space="preserve">                                          </v>
      </c>
      <c r="B241" s="692">
        <v>220</v>
      </c>
      <c r="C241" s="693" t="s">
        <v>2334</v>
      </c>
      <c r="D241" s="693" t="s">
        <v>2333</v>
      </c>
      <c r="E241" s="694" t="s">
        <v>1003</v>
      </c>
      <c r="F241" s="695">
        <f>VLOOKUP(C241,[2]List1!$A:$D,2,FALSE)</f>
        <v>1628</v>
      </c>
      <c r="G241" s="696">
        <f t="shared" si="41"/>
        <v>1628</v>
      </c>
      <c r="H241" s="697">
        <f t="shared" si="42"/>
        <v>66.2</v>
      </c>
      <c r="I241" s="837">
        <v>4</v>
      </c>
      <c r="J241" s="698" t="s">
        <v>45</v>
      </c>
      <c r="K241" s="856" t="s">
        <v>12593</v>
      </c>
      <c r="L241" s="857" t="s">
        <v>13828</v>
      </c>
      <c r="M241" s="698" t="s">
        <v>25</v>
      </c>
      <c r="N241" s="869">
        <f>IFERROR(VLOOKUP(C241,[3]List1!$A:$D,4,FALSE),"N/A!")</f>
        <v>5.0760000000000007E-2</v>
      </c>
      <c r="O241" s="837">
        <f>IFERROR(VLOOKUP(C241,[3]List1!$A:$D,3,FALSE),"N/A!")</f>
        <v>1992</v>
      </c>
      <c r="P241" s="837">
        <f>IFERROR(VLOOKUP(C241,[3]List1!$A:$D,2,FALSE),"N/A!")</f>
        <v>18000</v>
      </c>
      <c r="Q241" s="698" t="s">
        <v>13754</v>
      </c>
      <c r="R241" s="698" t="s">
        <v>24</v>
      </c>
      <c r="S241" s="698"/>
      <c r="T241" s="695">
        <v>90</v>
      </c>
      <c r="U241" s="874"/>
      <c r="V241" s="699" t="str">
        <f>_xlfn.IFNA(HYPERLINK("https://www.klasekpyrotechnics.cz/c20814xpr14"),"")</f>
        <v>https://www.klasekpyrotechnics.cz/c20814xpr14</v>
      </c>
      <c r="W241" s="700" t="str">
        <f>IFERROR(VLOOKUP($C241,Popisy!A:P,MATCH($W$17,Popisy!$A$7:$P$7,0),FALSE),"---------------")</f>
        <v>20 verschiedenfarbige Effekte</v>
      </c>
      <c r="X241" s="891" t="str">
        <f t="shared" si="43"/>
        <v/>
      </c>
      <c r="Y241" s="892"/>
      <c r="Z241" s="700">
        <f>IFERROR(IF(VLOOKUP(C241,[4]List1!$A:$D,4,FALSE)=0,"",VLOOKUP(C241,[4]List1!$A:$D,4,FALSE)),"")</f>
        <v>24</v>
      </c>
      <c r="AA241" s="707"/>
      <c r="AB241" s="912" t="str">
        <f>IFERROR(IF(VLOOKUP(C241,[1]List1!$A:$D,2,FALSE)="VYPRODÁNO",$V$9,IF(VLOOKUP(C241,[1]List1!$A:$D,2,FALSE)="DOCHÁZÍ",$V$3,VLOOKUP(C241,[1]List1!$A:$D,2,FALSE))),"OFFLINE!")</f>
        <v>30.09.2024</v>
      </c>
      <c r="AC241" s="912" t="str">
        <f ca="1">IF(AO241="NE",$V$10,IF(AB241=$V$3,IF(AP241&lt;1,$V$8,$V$2&amp;" "&amp;AP241&amp;" "&amp;$V$1),IF(AB241="SKLADEM",$V$6,IFERROR(IF(OR(AB241-TODAY()&gt;21,VLOOKUP(C241,[1]List1!$A:$E,4,FALSE)=0),AB241,DAY(AB241)&amp;"."&amp;MONTH(AB241)&amp;"."&amp;YEAR(AB241)&amp;" "&amp;$V$4&amp;VLOOKUP(C241,[1]List1!$A:$E,4,FALSE)&amp;" "&amp;$V$1),AB241))))</f>
        <v>30.09.2024</v>
      </c>
      <c r="AD241" s="701" t="str">
        <f ca="1">_xlfn.IFNA(VLOOKUP(C241,'General price list'!C:AM,MATCH($AD$20,'General price list'!$C$20:$AM$20,0),FALSE),"")</f>
        <v>30.09.2024</v>
      </c>
      <c r="AE241" s="695">
        <f t="shared" ca="1" si="44"/>
        <v>0</v>
      </c>
      <c r="AF241" s="695">
        <f t="shared" ca="1" si="45"/>
        <v>0</v>
      </c>
      <c r="AG241" s="702">
        <f t="shared" ca="1" si="46"/>
        <v>0</v>
      </c>
      <c r="AH241" s="703">
        <f t="shared" ca="1" si="47"/>
        <v>0</v>
      </c>
      <c r="AI241" s="702">
        <f t="shared" ca="1" si="48"/>
        <v>0</v>
      </c>
      <c r="AJ241" s="704" t="str">
        <f t="shared" ca="1" si="49"/>
        <v/>
      </c>
      <c r="AK241" s="704" t="str">
        <f t="shared" ca="1" si="50"/>
        <v/>
      </c>
      <c r="AL241" s="704">
        <f t="shared" ca="1" si="51"/>
        <v>0</v>
      </c>
      <c r="AM241" s="705" t="str">
        <f t="shared" ca="1" si="52"/>
        <v/>
      </c>
      <c r="AN241" s="381"/>
      <c r="AO241" s="314" t="str">
        <f>IF($R$3=1,IF(Y241=AA241,"","NE"),IF(#REF!=$V$10,"NE",""))</f>
        <v/>
      </c>
      <c r="AP241" s="315" t="str">
        <f>IF(AB241=$V$3,IF(VLOOKUP(C241,[1]List1!$A:$E,5,FALSE)=0,1,VLOOKUP(C241,[1]List1!$A:$E,5,FALSE)),"")</f>
        <v/>
      </c>
      <c r="AW241" s="458">
        <f>IFERROR(FIND(VLOOKUP('General price list'!$AB$7,'General price list'!$AC$1:$AD$12,2,FALSE),Q241,1),0)</f>
        <v>13</v>
      </c>
      <c r="AX241" s="458">
        <f>IFERROR(FIND(VLOOKUP('General price list'!$AB$7,'General price list'!$AC$1:$AD$12,2,FALSE),R241,1),0)</f>
        <v>0</v>
      </c>
    </row>
    <row r="242" spans="1:50" ht="15" customHeight="1">
      <c r="A242" s="672" t="str">
        <f>Kat.!C242</f>
        <v xml:space="preserve">                                          Batterien 9 schuss, 20mm Mörser-1.3G</v>
      </c>
      <c r="B242" s="678">
        <v>221</v>
      </c>
      <c r="C242" s="679"/>
      <c r="D242" s="679"/>
      <c r="E242" s="680"/>
      <c r="F242" s="681" t="str">
        <f>IFERROR(ROUND(VLOOKUP(C242,'General price list'!$C:$AN,4,FALSE),0),"")</f>
        <v/>
      </c>
      <c r="G242" s="682" t="str">
        <f t="shared" si="41"/>
        <v/>
      </c>
      <c r="H242" s="683" t="str">
        <f t="shared" si="42"/>
        <v/>
      </c>
      <c r="I242" s="836"/>
      <c r="J242" s="680"/>
      <c r="K242" s="854"/>
      <c r="L242" s="855"/>
      <c r="M242" s="680"/>
      <c r="N242" s="868" t="str">
        <f>IFERROR(IF(VLOOKUP($C242,'General price list'!$C:$AN,MATCH(N$20,'General price list'!$C$20:$AM$20,0),FALSE)=0,"",VLOOKUP($C242,'General price list'!$C:$AN,MATCH(N$20,'General price list'!$C$20:$AM$20,0),FALSE)),"")</f>
        <v/>
      </c>
      <c r="O242" s="836" t="str">
        <f>IFERROR(IF(VLOOKUP($C242,'General price list'!$C:$AN,MATCH(O$20,'General price list'!$C$20:$AM$20,0),FALSE)=0,"",VLOOKUP($C242,'General price list'!$C:$AN,MATCH(O$20,'General price list'!$C$20:$AM$20,0),FALSE)),"")</f>
        <v/>
      </c>
      <c r="P242" s="836" t="str">
        <f>IFERROR(IF(VLOOKUP($C242,'General price list'!$C:$AN,MATCH(P$20,'General price list'!$C$20:$AM$20,0),FALSE)=0,"",VLOOKUP($C242,'General price list'!$C:$AN,MATCH(P$20,'General price list'!$C$20:$AM$20,0),FALSE)),"")</f>
        <v/>
      </c>
      <c r="Q242" s="680"/>
      <c r="R242" s="680"/>
      <c r="S242" s="680"/>
      <c r="T242" s="681"/>
      <c r="U242" s="873"/>
      <c r="V242" s="684"/>
      <c r="W242" s="685" t="str">
        <f>IFERROR(VLOOKUP($C242,'General price list'!$C:$AN,MATCH(W$20,'General price list'!$C$20:$AM$20,0),FALSE),"")</f>
        <v/>
      </c>
      <c r="X242" s="889" t="str">
        <f t="shared" si="43"/>
        <v/>
      </c>
      <c r="Y242" s="890"/>
      <c r="Z242" s="685" t="str">
        <f>IFERROR(VLOOKUP($C242,'General price list'!$C:$AN,MATCH(Z$20,'General price list'!$C$20:$AM$20,0),FALSE),"")</f>
        <v/>
      </c>
      <c r="AA242" s="707"/>
      <c r="AB242" s="911" t="str">
        <f>IFERROR(IF(VLOOKUP(C242,[1]List1!$A:$D,2,FALSE)="VYPRODÁNO",$V$9,IF(VLOOKUP(C242,[1]List1!$A:$D,2,FALSE)="DOCHÁZÍ",$V$3,VLOOKUP(C242,[1]List1!$A:$D,2,FALSE))),"OFFLINE!")</f>
        <v>OFFLINE!</v>
      </c>
      <c r="AC242" s="911" t="str">
        <f ca="1">IF(AO242="NE",$V$10,IF(AB242=$V$3,IF(AP242&lt;1,$V$8,$V$2&amp;" "&amp;AP242&amp;" "&amp;$V$1),IF(AB242="SKLADEM",$V$6,IFERROR(IF(OR(AB242-TODAY()&gt;21,VLOOKUP(C242,[1]List1!$A:$E,4,FALSE)=0),AB242,DAY(AB242)&amp;"."&amp;MONTH(AB242)&amp;"."&amp;YEAR(AB242)&amp;" "&amp;$V$4&amp;VLOOKUP(C242,[1]List1!$A:$E,4,FALSE)&amp;" "&amp;$V$1),AB242))))</f>
        <v>OFFLINE!</v>
      </c>
      <c r="AD242" s="686" t="str">
        <f>_xlfn.IFNA(VLOOKUP(C242,'General price list'!C:AM,MATCH($AD$20,'General price list'!$C$20:$AM$20,0),FALSE),"")</f>
        <v/>
      </c>
      <c r="AE242" s="681" t="str">
        <f t="shared" si="44"/>
        <v/>
      </c>
      <c r="AF242" s="681" t="str">
        <f t="shared" si="45"/>
        <v/>
      </c>
      <c r="AG242" s="687" t="str">
        <f t="shared" si="46"/>
        <v/>
      </c>
      <c r="AH242" s="688" t="str">
        <f t="shared" si="47"/>
        <v/>
      </c>
      <c r="AI242" s="687" t="str">
        <f t="shared" si="48"/>
        <v/>
      </c>
      <c r="AJ242" s="689" t="str">
        <f t="shared" si="49"/>
        <v/>
      </c>
      <c r="AK242" s="689" t="str">
        <f t="shared" si="50"/>
        <v/>
      </c>
      <c r="AL242" s="689" t="str">
        <f t="shared" si="51"/>
        <v/>
      </c>
      <c r="AM242" s="690" t="str">
        <f t="shared" si="52"/>
        <v/>
      </c>
      <c r="AN242" s="382"/>
      <c r="AO242" s="314" t="str">
        <f>IF($R$3=1,IF(Y242=AA242,"","NE"),IF(#REF!=$V$10,"NE",""))</f>
        <v/>
      </c>
      <c r="AP242" s="315" t="str">
        <f>IF(AB242=$V$3,IF(VLOOKUP(C242,[1]List1!$A:$E,5,FALSE)=0,1,VLOOKUP(C242,[1]List1!$A:$E,5,FALSE)),"")</f>
        <v/>
      </c>
      <c r="AW242" s="291" t="e">
        <f>VLOOKUP(C242,'General price list'!C:AU,46,FALSE)</f>
        <v>#N/A</v>
      </c>
      <c r="AX242" s="291" t="e">
        <f>VLOOKUP(C242,'General price list'!C:AU,47,FALSE)</f>
        <v>#N/A</v>
      </c>
    </row>
    <row r="243" spans="1:50" ht="15" customHeight="1">
      <c r="A243" s="691" t="str">
        <f>Kat.!C243</f>
        <v xml:space="preserve">                                          </v>
      </c>
      <c r="B243" s="692">
        <v>222</v>
      </c>
      <c r="C243" s="693" t="s">
        <v>1022</v>
      </c>
      <c r="D243" s="693" t="s">
        <v>1023</v>
      </c>
      <c r="E243" s="694" t="s">
        <v>133</v>
      </c>
      <c r="F243" s="695">
        <f>VLOOKUP(C243,[2]List1!$A:$D,2,FALSE)</f>
        <v>85</v>
      </c>
      <c r="G243" s="696">
        <f t="shared" si="41"/>
        <v>85</v>
      </c>
      <c r="H243" s="697">
        <f t="shared" si="42"/>
        <v>3.5</v>
      </c>
      <c r="I243" s="837">
        <v>40</v>
      </c>
      <c r="J243" s="698" t="s">
        <v>45</v>
      </c>
      <c r="K243" s="856"/>
      <c r="L243" s="857" t="s">
        <v>13849</v>
      </c>
      <c r="M243" s="698" t="s">
        <v>131</v>
      </c>
      <c r="N243" s="869">
        <f>IFERROR(VLOOKUP(C243,[3]List1!$A:$D,4,FALSE),"N/A!")</f>
        <v>3.6196875000000003E-2</v>
      </c>
      <c r="O243" s="837">
        <f>IFERROR(VLOOKUP(C243,[3]List1!$A:$D,3,FALSE),"N/A!")</f>
        <v>2880</v>
      </c>
      <c r="P243" s="837">
        <f>IFERROR(VLOOKUP(C243,[3]List1!$A:$D,2,FALSE),"N/A!")</f>
        <v>14500</v>
      </c>
      <c r="Q243" s="698" t="s">
        <v>701</v>
      </c>
      <c r="R243" s="698" t="s">
        <v>24</v>
      </c>
      <c r="S243" s="698"/>
      <c r="T243" s="695">
        <v>15</v>
      </c>
      <c r="U243" s="874"/>
      <c r="V243" s="699" t="str">
        <f>_xlfn.IFNA(HYPERLINK("https://www.klasekpyrotechnics.cz/c920l"),"")</f>
        <v>https://www.klasekpyrotechnics.cz/c920l</v>
      </c>
      <c r="W243" s="700" t="str">
        <f>IFERROR(VLOOKUP($C243,Popisy!A:P,MATCH($W$17,Popisy!$A$7:$P$7,0),FALSE),"---------------")</f>
        <v>3 verschiedenfarbige Effekte</v>
      </c>
      <c r="X243" s="891" t="str">
        <f t="shared" si="43"/>
        <v/>
      </c>
      <c r="Y243" s="892"/>
      <c r="Z243" s="700">
        <f>IFERROR(IF(VLOOKUP(C243,[4]List1!$A:$D,4,FALSE)=0,"",VLOOKUP(C243,[4]List1!$A:$D,4,FALSE)),"")</f>
        <v>36</v>
      </c>
      <c r="AA243" s="707"/>
      <c r="AB243" s="912" t="str">
        <f>IFERROR(IF(VLOOKUP(C243,[1]List1!$A:$D,2,FALSE)="VYPRODÁNO",$V$9,IF(VLOOKUP(C243,[1]List1!$A:$D,2,FALSE)="DOCHÁZÍ",$V$3,VLOOKUP(C243,[1]List1!$A:$D,2,FALSE))),"OFFLINE!")</f>
        <v>15.06.2024</v>
      </c>
      <c r="AC243" s="912" t="str">
        <f ca="1">IF(AO243="NE",$V$10,IF(AB243=$V$3,IF(AP243&lt;1,$V$8,$V$2&amp;" "&amp;AP243&amp;" "&amp;$V$1),IF(AB243="SKLADEM",$V$6,IFERROR(IF(OR(AB243-TODAY()&gt;21,VLOOKUP(C243,[1]List1!$A:$E,4,FALSE)=0),AB243,DAY(AB243)&amp;"."&amp;MONTH(AB243)&amp;"."&amp;YEAR(AB243)&amp;" "&amp;$V$4&amp;VLOOKUP(C243,[1]List1!$A:$E,4,FALSE)&amp;" "&amp;$V$1),AB243))))</f>
        <v>15.06.2024</v>
      </c>
      <c r="AD243" s="701" t="str">
        <f ca="1">_xlfn.IFNA(VLOOKUP(C243,'General price list'!C:AM,MATCH($AD$20,'General price list'!$C$20:$AM$20,0),FALSE),"")</f>
        <v>15.06.2024</v>
      </c>
      <c r="AE243" s="695">
        <f t="shared" ca="1" si="44"/>
        <v>0</v>
      </c>
      <c r="AF243" s="695">
        <f t="shared" ca="1" si="45"/>
        <v>0</v>
      </c>
      <c r="AG243" s="702">
        <f t="shared" ca="1" si="46"/>
        <v>0</v>
      </c>
      <c r="AH243" s="703">
        <f t="shared" ca="1" si="47"/>
        <v>0</v>
      </c>
      <c r="AI243" s="702">
        <f t="shared" ca="1" si="48"/>
        <v>0</v>
      </c>
      <c r="AJ243" s="704" t="str">
        <f t="shared" ca="1" si="49"/>
        <v/>
      </c>
      <c r="AK243" s="704">
        <f t="shared" ca="1" si="50"/>
        <v>0</v>
      </c>
      <c r="AL243" s="704" t="str">
        <f t="shared" ca="1" si="51"/>
        <v/>
      </c>
      <c r="AM243" s="705" t="str">
        <f t="shared" ca="1" si="52"/>
        <v/>
      </c>
      <c r="AN243" s="382"/>
      <c r="AO243" s="314" t="str">
        <f>IF($R$3=1,IF(Y243=AA243,"","NE"),IF(#REF!=$V$10,"NE",""))</f>
        <v/>
      </c>
      <c r="AP243" s="315" t="str">
        <f>IF(AB243=$V$3,IF(VLOOKUP(C243,[1]List1!$A:$E,5,FALSE)=0,1,VLOOKUP(C243,[1]List1!$A:$E,5,FALSE)),"")</f>
        <v/>
      </c>
      <c r="AW243" s="458">
        <f>IFERROR(FIND(VLOOKUP('General price list'!$AB$7,'General price list'!$AC$1:$AD$12,2,FALSE),Q243,1),0)</f>
        <v>0</v>
      </c>
      <c r="AX243" s="458">
        <f>IFERROR(FIND(VLOOKUP('General price list'!$AB$7,'General price list'!$AC$1:$AD$12,2,FALSE),R243,1),0)</f>
        <v>0</v>
      </c>
    </row>
    <row r="244" spans="1:50" ht="15" customHeight="1">
      <c r="A244" s="677" t="str">
        <f>Kat.!C244</f>
        <v xml:space="preserve">                                          </v>
      </c>
      <c r="B244" s="678">
        <v>223</v>
      </c>
      <c r="C244" s="679" t="s">
        <v>1027</v>
      </c>
      <c r="D244" s="679" t="s">
        <v>1028</v>
      </c>
      <c r="E244" s="680" t="s">
        <v>133</v>
      </c>
      <c r="F244" s="681">
        <f>VLOOKUP(C244,[2]List1!$A:$D,2,FALSE)</f>
        <v>85</v>
      </c>
      <c r="G244" s="682">
        <f t="shared" si="41"/>
        <v>85</v>
      </c>
      <c r="H244" s="683">
        <f t="shared" si="42"/>
        <v>3.5</v>
      </c>
      <c r="I244" s="836">
        <v>40</v>
      </c>
      <c r="J244" s="680" t="s">
        <v>45</v>
      </c>
      <c r="K244" s="854"/>
      <c r="L244" s="855" t="s">
        <v>13849</v>
      </c>
      <c r="M244" s="680" t="s">
        <v>131</v>
      </c>
      <c r="N244" s="868">
        <f>IFERROR(VLOOKUP(C244,[3]List1!$A:$D,4,FALSE),"N/A!")</f>
        <v>3.6196875000000003E-2</v>
      </c>
      <c r="O244" s="836">
        <f>IFERROR(VLOOKUP(C244,[3]List1!$A:$D,3,FALSE),"N/A!")</f>
        <v>2880</v>
      </c>
      <c r="P244" s="836">
        <f>IFERROR(VLOOKUP(C244,[3]List1!$A:$D,2,FALSE),"N/A!")</f>
        <v>14500</v>
      </c>
      <c r="Q244" s="680" t="s">
        <v>701</v>
      </c>
      <c r="R244" s="680" t="s">
        <v>24</v>
      </c>
      <c r="S244" s="680"/>
      <c r="T244" s="681">
        <v>15</v>
      </c>
      <c r="U244" s="873"/>
      <c r="V244" s="684" t="str">
        <f>_xlfn.IFNA(HYPERLINK("https://www.klasekpyrotechnics.cz/c920m"),"")</f>
        <v>https://www.klasekpyrotechnics.cz/c920m</v>
      </c>
      <c r="W244" s="685" t="str">
        <f>IFERROR(VLOOKUP($C244,Popisy!A:P,MATCH($W$17,Popisy!$A$7:$P$7,0),FALSE),"---------------")</f>
        <v>3 verschiedenfarbige Effekte</v>
      </c>
      <c r="X244" s="889" t="str">
        <f t="shared" si="43"/>
        <v/>
      </c>
      <c r="Y244" s="890"/>
      <c r="Z244" s="685">
        <f>IFERROR(IF(VLOOKUP(C244,[4]List1!$A:$D,4,FALSE)=0,"",VLOOKUP(C244,[4]List1!$A:$D,4,FALSE)),"")</f>
        <v>36</v>
      </c>
      <c r="AA244" s="707"/>
      <c r="AB244" s="911" t="str">
        <f>IFERROR(IF(VLOOKUP(C244,[1]List1!$A:$D,2,FALSE)="VYPRODÁNO",$V$9,IF(VLOOKUP(C244,[1]List1!$A:$D,2,FALSE)="DOCHÁZÍ",$V$3,VLOOKUP(C244,[1]List1!$A:$D,2,FALSE))),"OFFLINE!")</f>
        <v>SKLADEM</v>
      </c>
      <c r="AC244" s="911" t="str">
        <f ca="1">IF(AO244="NE",$V$10,IF(AB244=$V$3,IF(AP244&lt;1,$V$8,$V$2&amp;" "&amp;AP244&amp;" "&amp;$V$1),IF(AB244="SKLADEM",$V$6,IFERROR(IF(OR(AB244-TODAY()&gt;21,VLOOKUP(C244,[1]List1!$A:$E,4,FALSE)=0),AB244,DAY(AB244)&amp;"."&amp;MONTH(AB244)&amp;"."&amp;YEAR(AB244)&amp;" "&amp;$V$4&amp;VLOOKUP(C244,[1]List1!$A:$E,4,FALSE)&amp;" "&amp;$V$1),AB244))))</f>
        <v>AUF LAGER</v>
      </c>
      <c r="AD244" s="686" t="str">
        <f ca="1">_xlfn.IFNA(VLOOKUP(C244,'General price list'!C:AM,MATCH($AD$20,'General price list'!$C$20:$AM$20,0),FALSE),"")</f>
        <v>AUF LAGER</v>
      </c>
      <c r="AE244" s="681">
        <f t="shared" ca="1" si="44"/>
        <v>0</v>
      </c>
      <c r="AF244" s="681">
        <f t="shared" ca="1" si="45"/>
        <v>0</v>
      </c>
      <c r="AG244" s="687">
        <f t="shared" ca="1" si="46"/>
        <v>0</v>
      </c>
      <c r="AH244" s="688">
        <f t="shared" ca="1" si="47"/>
        <v>0</v>
      </c>
      <c r="AI244" s="687">
        <f t="shared" ca="1" si="48"/>
        <v>0</v>
      </c>
      <c r="AJ244" s="689" t="str">
        <f t="shared" ca="1" si="49"/>
        <v/>
      </c>
      <c r="AK244" s="689">
        <f t="shared" ca="1" si="50"/>
        <v>0</v>
      </c>
      <c r="AL244" s="689" t="str">
        <f t="shared" ca="1" si="51"/>
        <v/>
      </c>
      <c r="AM244" s="690" t="str">
        <f t="shared" ca="1" si="52"/>
        <v/>
      </c>
      <c r="AN244" s="381"/>
      <c r="AO244" s="314" t="str">
        <f>IF($R$3=1,IF(Y244=AA244,"","NE"),IF(#REF!=$V$10,"NE",""))</f>
        <v/>
      </c>
      <c r="AP244" s="315" t="str">
        <f>IF(AB244=$V$3,IF(VLOOKUP(C244,[1]List1!$A:$E,5,FALSE)=0,1,VLOOKUP(C244,[1]List1!$A:$E,5,FALSE)),"")</f>
        <v/>
      </c>
      <c r="AW244" s="458">
        <f>IFERROR(FIND(VLOOKUP('General price list'!$AB$7,'General price list'!$AC$1:$AD$12,2,FALSE),Q244,1),0)</f>
        <v>0</v>
      </c>
      <c r="AX244" s="458">
        <f>IFERROR(FIND(VLOOKUP('General price list'!$AB$7,'General price list'!$AC$1:$AD$12,2,FALSE),R244,1),0)</f>
        <v>0</v>
      </c>
    </row>
    <row r="245" spans="1:50" ht="15" customHeight="1">
      <c r="A245" s="672" t="str">
        <f>Kat.!C245</f>
        <v xml:space="preserve">                                          Batterien 16 schuss, 20mm Mörser-1.3G</v>
      </c>
      <c r="B245" s="692">
        <v>224</v>
      </c>
      <c r="C245" s="693"/>
      <c r="D245" s="693"/>
      <c r="E245" s="694"/>
      <c r="F245" s="695" t="str">
        <f>IFERROR(ROUND(VLOOKUP(C245,'General price list'!$C:$AN,4,FALSE),0),"")</f>
        <v/>
      </c>
      <c r="G245" s="696" t="str">
        <f t="shared" si="41"/>
        <v/>
      </c>
      <c r="H245" s="697" t="str">
        <f t="shared" si="42"/>
        <v/>
      </c>
      <c r="I245" s="837"/>
      <c r="J245" s="698"/>
      <c r="K245" s="856"/>
      <c r="L245" s="857"/>
      <c r="M245" s="698"/>
      <c r="N245" s="869" t="str">
        <f>IFERROR(IF(VLOOKUP($C245,'General price list'!$C:$AN,MATCH(N$20,'General price list'!$C$20:$AM$20,0),FALSE)=0,"",VLOOKUP($C245,'General price list'!$C:$AN,MATCH(N$20,'General price list'!$C$20:$AM$20,0),FALSE)),"")</f>
        <v/>
      </c>
      <c r="O245" s="837" t="str">
        <f>IFERROR(IF(VLOOKUP($C245,'General price list'!$C:$AN,MATCH(O$20,'General price list'!$C$20:$AM$20,0),FALSE)=0,"",VLOOKUP($C245,'General price list'!$C:$AN,MATCH(O$20,'General price list'!$C$20:$AM$20,0),FALSE)),"")</f>
        <v/>
      </c>
      <c r="P245" s="837" t="str">
        <f>IFERROR(IF(VLOOKUP($C245,'General price list'!$C:$AN,MATCH(P$20,'General price list'!$C$20:$AM$20,0),FALSE)=0,"",VLOOKUP($C245,'General price list'!$C:$AN,MATCH(P$20,'General price list'!$C$20:$AM$20,0),FALSE)),"")</f>
        <v/>
      </c>
      <c r="Q245" s="698"/>
      <c r="R245" s="698"/>
      <c r="S245" s="698"/>
      <c r="T245" s="695"/>
      <c r="U245" s="874"/>
      <c r="V245" s="699"/>
      <c r="W245" s="700" t="str">
        <f>IFERROR(VLOOKUP($C245,'General price list'!$C:$AN,MATCH(W$20,'General price list'!$C$20:$AM$20,0),FALSE),"")</f>
        <v/>
      </c>
      <c r="X245" s="891" t="str">
        <f t="shared" si="43"/>
        <v/>
      </c>
      <c r="Y245" s="892"/>
      <c r="Z245" s="700" t="str">
        <f>IFERROR(VLOOKUP($C245,'General price list'!$C:$AN,MATCH(Z$20,'General price list'!$C$20:$AM$20,0),FALSE),"")</f>
        <v/>
      </c>
      <c r="AA245" s="707"/>
      <c r="AB245" s="912" t="str">
        <f>IFERROR(IF(VLOOKUP(C245,[1]List1!$A:$D,2,FALSE)="VYPRODÁNO",$V$9,IF(VLOOKUP(C245,[1]List1!$A:$D,2,FALSE)="DOCHÁZÍ",$V$3,VLOOKUP(C245,[1]List1!$A:$D,2,FALSE))),"OFFLINE!")</f>
        <v>OFFLINE!</v>
      </c>
      <c r="AC245" s="912" t="str">
        <f ca="1">IF(AO245="NE",$V$10,IF(AB245=$V$3,IF(AP245&lt;1,$V$8,$V$2&amp;" "&amp;AP245&amp;" "&amp;$V$1),IF(AB245="SKLADEM",$V$6,IFERROR(IF(OR(AB245-TODAY()&gt;21,VLOOKUP(C245,[1]List1!$A:$E,4,FALSE)=0),AB245,DAY(AB245)&amp;"."&amp;MONTH(AB245)&amp;"."&amp;YEAR(AB245)&amp;" "&amp;$V$4&amp;VLOOKUP(C245,[1]List1!$A:$E,4,FALSE)&amp;" "&amp;$V$1),AB245))))</f>
        <v>OFFLINE!</v>
      </c>
      <c r="AD245" s="701" t="str">
        <f>_xlfn.IFNA(VLOOKUP(C245,'General price list'!C:AM,MATCH($AD$20,'General price list'!$C$20:$AM$20,0),FALSE),"")</f>
        <v/>
      </c>
      <c r="AE245" s="695" t="str">
        <f t="shared" si="44"/>
        <v/>
      </c>
      <c r="AF245" s="695" t="str">
        <f t="shared" si="45"/>
        <v/>
      </c>
      <c r="AG245" s="702" t="str">
        <f t="shared" si="46"/>
        <v/>
      </c>
      <c r="AH245" s="703" t="str">
        <f t="shared" si="47"/>
        <v/>
      </c>
      <c r="AI245" s="702" t="str">
        <f t="shared" si="48"/>
        <v/>
      </c>
      <c r="AJ245" s="704" t="str">
        <f t="shared" si="49"/>
        <v/>
      </c>
      <c r="AK245" s="704" t="str">
        <f t="shared" si="50"/>
        <v/>
      </c>
      <c r="AL245" s="704" t="str">
        <f t="shared" si="51"/>
        <v/>
      </c>
      <c r="AM245" s="705" t="str">
        <f t="shared" si="52"/>
        <v/>
      </c>
      <c r="AN245" s="382"/>
      <c r="AO245" s="314" t="str">
        <f>IF($R$3=1,IF(Y245=AA245,"","NE"),IF(#REF!=$V$10,"NE",""))</f>
        <v/>
      </c>
      <c r="AP245" s="315" t="str">
        <f>IF(AB245=$V$3,IF(VLOOKUP(C245,[1]List1!$A:$E,5,FALSE)=0,1,VLOOKUP(C245,[1]List1!$A:$E,5,FALSE)),"")</f>
        <v/>
      </c>
      <c r="AW245" s="291" t="e">
        <f>VLOOKUP(C245,'General price list'!C:AU,46,FALSE)</f>
        <v>#N/A</v>
      </c>
      <c r="AX245" s="291" t="e">
        <f>VLOOKUP(C245,'General price list'!C:AU,47,FALSE)</f>
        <v>#N/A</v>
      </c>
    </row>
    <row r="246" spans="1:50" ht="15" customHeight="1">
      <c r="A246" s="677" t="str">
        <f>Kat.!C246</f>
        <v xml:space="preserve">                                          </v>
      </c>
      <c r="B246" s="678">
        <v>225</v>
      </c>
      <c r="C246" s="679" t="s">
        <v>1029</v>
      </c>
      <c r="D246" s="679" t="s">
        <v>12564</v>
      </c>
      <c r="E246" s="680" t="s">
        <v>420</v>
      </c>
      <c r="F246" s="681">
        <f>VLOOKUP(C246,[2]List1!$A:$D,2,FALSE)</f>
        <v>141</v>
      </c>
      <c r="G246" s="682">
        <f t="shared" si="41"/>
        <v>141</v>
      </c>
      <c r="H246" s="683">
        <f t="shared" si="42"/>
        <v>5.7</v>
      </c>
      <c r="I246" s="836">
        <v>24</v>
      </c>
      <c r="J246" s="680" t="s">
        <v>45</v>
      </c>
      <c r="K246" s="854" t="s">
        <v>12593</v>
      </c>
      <c r="L246" s="855" t="s">
        <v>13850</v>
      </c>
      <c r="M246" s="680" t="s">
        <v>131</v>
      </c>
      <c r="N246" s="868">
        <f>IFERROR(VLOOKUP(C246,[3]List1!$A:$D,4,FALSE),"N/A!")</f>
        <v>3.6861500000000005E-2</v>
      </c>
      <c r="O246" s="836">
        <f>IFERROR(VLOOKUP(C246,[3]List1!$A:$D,3,FALSE),"N/A!")</f>
        <v>3072</v>
      </c>
      <c r="P246" s="836">
        <f>IFERROR(VLOOKUP(C246,[3]List1!$A:$D,2,FALSE),"N/A!")</f>
        <v>17500</v>
      </c>
      <c r="Q246" s="680" t="s">
        <v>13755</v>
      </c>
      <c r="R246" s="680" t="s">
        <v>24</v>
      </c>
      <c r="S246" s="680"/>
      <c r="T246" s="681">
        <v>15</v>
      </c>
      <c r="U246" s="873"/>
      <c r="V246" s="684" t="str">
        <f>_xlfn.IFNA(HYPERLINK("https://www.klasekpyrotechnics.cz/c1620du"),"")</f>
        <v>https://www.klasekpyrotechnics.cz/c1620du</v>
      </c>
      <c r="W246" s="685" t="str">
        <f>IFERROR(VLOOKUP($C246,Popisy!A:P,MATCH($W$17,Popisy!$A$7:$P$7,0),FALSE),"---------------")</f>
        <v>Silberne Mine mit der roten Spur und mit der titanischen Detonation</v>
      </c>
      <c r="X246" s="889" t="str">
        <f t="shared" si="43"/>
        <v/>
      </c>
      <c r="Y246" s="890"/>
      <c r="Z246" s="685">
        <f>IFERROR(IF(VLOOKUP(C246,[4]List1!$A:$D,4,FALSE)=0,"",VLOOKUP(C246,[4]List1!$A:$D,4,FALSE)),"")</f>
        <v>36</v>
      </c>
      <c r="AA246" s="707"/>
      <c r="AB246" s="911" t="str">
        <f>IFERROR(IF(VLOOKUP(C246,[1]List1!$A:$D,2,FALSE)="VYPRODÁNO",$V$9,IF(VLOOKUP(C246,[1]List1!$A:$D,2,FALSE)="DOCHÁZÍ",$V$3,VLOOKUP(C246,[1]List1!$A:$D,2,FALSE))),"OFFLINE!")</f>
        <v>15.06.2024</v>
      </c>
      <c r="AC246" s="911" t="str">
        <f ca="1">IF(AO246="NE",$V$10,IF(AB246=$V$3,IF(AP246&lt;1,$V$8,$V$2&amp;" "&amp;AP246&amp;" "&amp;$V$1),IF(AB246="SKLADEM",$V$6,IFERROR(IF(OR(AB246-TODAY()&gt;21,VLOOKUP(C246,[1]List1!$A:$E,4,FALSE)=0),AB246,DAY(AB246)&amp;"."&amp;MONTH(AB246)&amp;"."&amp;YEAR(AB246)&amp;" "&amp;$V$4&amp;VLOOKUP(C246,[1]List1!$A:$E,4,FALSE)&amp;" "&amp;$V$1),AB246))))</f>
        <v>15.06.2024</v>
      </c>
      <c r="AD246" s="686" t="str">
        <f ca="1">_xlfn.IFNA(VLOOKUP(C246,'General price list'!C:AM,MATCH($AD$20,'General price list'!$C$20:$AM$20,0),FALSE),"")</f>
        <v>15.06.2024</v>
      </c>
      <c r="AE246" s="681">
        <f t="shared" ca="1" si="44"/>
        <v>0</v>
      </c>
      <c r="AF246" s="681">
        <f t="shared" ca="1" si="45"/>
        <v>0</v>
      </c>
      <c r="AG246" s="687">
        <f t="shared" ca="1" si="46"/>
        <v>0</v>
      </c>
      <c r="AH246" s="688">
        <f t="shared" ca="1" si="47"/>
        <v>0</v>
      </c>
      <c r="AI246" s="687">
        <f t="shared" ca="1" si="48"/>
        <v>0</v>
      </c>
      <c r="AJ246" s="689" t="str">
        <f t="shared" ca="1" si="49"/>
        <v/>
      </c>
      <c r="AK246" s="689">
        <f t="shared" ca="1" si="50"/>
        <v>0</v>
      </c>
      <c r="AL246" s="689" t="str">
        <f t="shared" ca="1" si="51"/>
        <v/>
      </c>
      <c r="AM246" s="690" t="str">
        <f t="shared" ca="1" si="52"/>
        <v/>
      </c>
      <c r="AN246" s="382"/>
      <c r="AO246" s="314" t="str">
        <f>IF($R$3=1,IF(Y246=AA246,"","NE"),IF(#REF!=$V$10,"NE",""))</f>
        <v/>
      </c>
      <c r="AP246" s="292" t="str">
        <f>IF(AB246=$V$3,IF(VLOOKUP(C246,[1]List1!$A:$E,5,FALSE)=0,1,VLOOKUP(C246,[1]List1!$A:$E,5,FALSE)),"")</f>
        <v/>
      </c>
      <c r="AW246" s="458">
        <f>IFERROR(FIND(VLOOKUP('General price list'!$AB$7,'General price list'!$AC$1:$AD$12,2,FALSE),Q246,1),0)</f>
        <v>7</v>
      </c>
      <c r="AX246" s="458">
        <f>IFERROR(FIND(VLOOKUP('General price list'!$AB$7,'General price list'!$AC$1:$AD$12,2,FALSE),R246,1),0)</f>
        <v>0</v>
      </c>
    </row>
    <row r="247" spans="1:50" ht="15" customHeight="1">
      <c r="A247" s="691" t="str">
        <f>Kat.!C247</f>
        <v xml:space="preserve">                                          </v>
      </c>
      <c r="B247" s="692">
        <v>226</v>
      </c>
      <c r="C247" s="693" t="s">
        <v>4856</v>
      </c>
      <c r="D247" s="693" t="s">
        <v>13221</v>
      </c>
      <c r="E247" s="694" t="s">
        <v>420</v>
      </c>
      <c r="F247" s="695">
        <f>VLOOKUP(C247,[2]List1!$A:$D,2,FALSE)</f>
        <v>149</v>
      </c>
      <c r="G247" s="696">
        <f t="shared" si="41"/>
        <v>149</v>
      </c>
      <c r="H247" s="697">
        <f t="shared" si="42"/>
        <v>6.1</v>
      </c>
      <c r="I247" s="837">
        <v>24</v>
      </c>
      <c r="J247" s="698" t="s">
        <v>45</v>
      </c>
      <c r="K247" s="856"/>
      <c r="L247" s="857" t="s">
        <v>13850</v>
      </c>
      <c r="M247" s="698" t="s">
        <v>131</v>
      </c>
      <c r="N247" s="869">
        <f>IFERROR(VLOOKUP(C247,[3]List1!$A:$D,4,FALSE),"N/A!")</f>
        <v>3.6861500000000005E-2</v>
      </c>
      <c r="O247" s="837">
        <f>IFERROR(VLOOKUP(C247,[3]List1!$A:$D,3,FALSE),"N/A!")</f>
        <v>3072</v>
      </c>
      <c r="P247" s="837">
        <f>IFERROR(VLOOKUP(C247,[3]List1!$A:$D,2,FALSE),"N/A!")</f>
        <v>17500</v>
      </c>
      <c r="Q247" s="698" t="s">
        <v>12595</v>
      </c>
      <c r="R247" s="698" t="s">
        <v>24</v>
      </c>
      <c r="S247" s="698"/>
      <c r="T247" s="695">
        <v>15</v>
      </c>
      <c r="U247" s="874"/>
      <c r="V247" s="699" t="str">
        <f>_xlfn.IFNA(HYPERLINK("https://www.klasekpyrotechnics.cz/c1620du_s"),"")</f>
        <v>https://www.klasekpyrotechnics.cz/c1620du_s</v>
      </c>
      <c r="W247" s="700" t="str">
        <f>IFERROR(VLOOKUP($C247,Popisy!A:P,MATCH($W$17,Popisy!$A$7:$P$7,0),FALSE),"---------------")</f>
        <v>Silberne Mine mit der roten Spur und mit der titanischen Detonation(strong edition)</v>
      </c>
      <c r="X247" s="891" t="str">
        <f t="shared" si="43"/>
        <v/>
      </c>
      <c r="Y247" s="892"/>
      <c r="Z247" s="700">
        <f>IFERROR(IF(VLOOKUP(C247,[4]List1!$A:$D,4,FALSE)=0,"",VLOOKUP(C247,[4]List1!$A:$D,4,FALSE)),"")</f>
        <v>36</v>
      </c>
      <c r="AA247" s="707"/>
      <c r="AB247" s="912" t="str">
        <f>IFERROR(IF(VLOOKUP(C247,[1]List1!$A:$D,2,FALSE)="VYPRODÁNO",$V$9,IF(VLOOKUP(C247,[1]List1!$A:$D,2,FALSE)="DOCHÁZÍ",$V$3,VLOOKUP(C247,[1]List1!$A:$D,2,FALSE))),"OFFLINE!")</f>
        <v>SKLADEM</v>
      </c>
      <c r="AC247" s="912" t="str">
        <f ca="1">IF(AO247="NE",$V$10,IF(AB247=$V$3,IF(AP247&lt;1,$V$8,$V$2&amp;" "&amp;AP247&amp;" "&amp;$V$1),IF(AB247="SKLADEM",$V$6,IFERROR(IF(OR(AB247-TODAY()&gt;21,VLOOKUP(C247,[1]List1!$A:$E,4,FALSE)=0),AB247,DAY(AB247)&amp;"."&amp;MONTH(AB247)&amp;"."&amp;YEAR(AB247)&amp;" "&amp;$V$4&amp;VLOOKUP(C247,[1]List1!$A:$E,4,FALSE)&amp;" "&amp;$V$1),AB247))))</f>
        <v>AUF LAGER</v>
      </c>
      <c r="AD247" s="701">
        <f>_xlfn.IFNA(VLOOKUP(C247,'General price list'!C:AM,MATCH($AD$20,'General price list'!$C$20:$AM$20,0),FALSE),"")</f>
        <v>0</v>
      </c>
      <c r="AE247" s="695">
        <f t="shared" si="44"/>
        <v>0</v>
      </c>
      <c r="AF247" s="695">
        <f t="shared" si="45"/>
        <v>0</v>
      </c>
      <c r="AG247" s="702">
        <f t="shared" si="46"/>
        <v>0</v>
      </c>
      <c r="AH247" s="703">
        <f t="shared" si="47"/>
        <v>0</v>
      </c>
      <c r="AI247" s="702">
        <f t="shared" si="48"/>
        <v>0</v>
      </c>
      <c r="AJ247" s="704" t="str">
        <f t="shared" si="49"/>
        <v/>
      </c>
      <c r="AK247" s="704">
        <f t="shared" si="50"/>
        <v>0</v>
      </c>
      <c r="AL247" s="704" t="str">
        <f t="shared" si="51"/>
        <v/>
      </c>
      <c r="AM247" s="705" t="str">
        <f t="shared" si="52"/>
        <v/>
      </c>
      <c r="AN247" s="382"/>
      <c r="AO247" s="314" t="str">
        <f>IF($R$3=1,IF(Y247=AA247,"","NE"),IF(#REF!=$V$10,"NE",""))</f>
        <v/>
      </c>
      <c r="AP247" s="315" t="str">
        <f>IF(AB247=$V$3,IF(VLOOKUP(C247,[1]List1!$A:$E,5,FALSE)=0,1,VLOOKUP(C247,[1]List1!$A:$E,5,FALSE)),"")</f>
        <v/>
      </c>
      <c r="AW247" s="458">
        <f>IFERROR(FIND(VLOOKUP('General price list'!$AB$7,'General price list'!$AC$1:$AD$12,2,FALSE),Q247,1),0)</f>
        <v>13</v>
      </c>
      <c r="AX247" s="458">
        <f>IFERROR(FIND(VLOOKUP('General price list'!$AB$7,'General price list'!$AC$1:$AD$12,2,FALSE),R247,1),0)</f>
        <v>0</v>
      </c>
    </row>
    <row r="248" spans="1:50" ht="15" customHeight="1">
      <c r="A248" s="677" t="str">
        <f>Kat.!C248</f>
        <v xml:space="preserve">                                          </v>
      </c>
      <c r="B248" s="678">
        <v>227</v>
      </c>
      <c r="C248" s="679" t="s">
        <v>4866</v>
      </c>
      <c r="D248" s="679" t="s">
        <v>13222</v>
      </c>
      <c r="E248" s="680" t="s">
        <v>420</v>
      </c>
      <c r="F248" s="681">
        <f>VLOOKUP(C248,[2]List1!$A:$D,2,FALSE)</f>
        <v>141</v>
      </c>
      <c r="G248" s="682">
        <f t="shared" si="41"/>
        <v>141</v>
      </c>
      <c r="H248" s="683">
        <f t="shared" si="42"/>
        <v>5.7</v>
      </c>
      <c r="I248" s="836">
        <v>24</v>
      </c>
      <c r="J248" s="680" t="s">
        <v>45</v>
      </c>
      <c r="K248" s="854"/>
      <c r="L248" s="855" t="s">
        <v>13850</v>
      </c>
      <c r="M248" s="680" t="s">
        <v>131</v>
      </c>
      <c r="N248" s="868">
        <f>IFERROR(VLOOKUP(C248,[3]List1!$A:$D,4,FALSE),"N/A!")</f>
        <v>3.6861500000000005E-2</v>
      </c>
      <c r="O248" s="836">
        <f>IFERROR(VLOOKUP(C248,[3]List1!$A:$D,3,FALSE),"N/A!")</f>
        <v>3072</v>
      </c>
      <c r="P248" s="836">
        <f>IFERROR(VLOOKUP(C248,[3]List1!$A:$D,2,FALSE),"N/A!")</f>
        <v>17500</v>
      </c>
      <c r="Q248" s="680" t="s">
        <v>12595</v>
      </c>
      <c r="R248" s="680" t="s">
        <v>24</v>
      </c>
      <c r="S248" s="680"/>
      <c r="T248" s="681">
        <v>5</v>
      </c>
      <c r="U248" s="873"/>
      <c r="V248" s="684" t="str">
        <f>_xlfn.IFNA(HYPERLINK("https://www.klasekpyrotechnics.cz/c1620du_5"),"")</f>
        <v>https://www.klasekpyrotechnics.cz/c1620du_5</v>
      </c>
      <c r="W248" s="685" t="str">
        <f>IFERROR(VLOOKUP($C248,Popisy!A:P,MATCH($W$17,Popisy!$A$7:$P$7,0),FALSE),"---------------")</f>
        <v>Silberne Mine mit der roten Spur und mit der titanischen Detonation</v>
      </c>
      <c r="X248" s="889" t="str">
        <f t="shared" si="43"/>
        <v/>
      </c>
      <c r="Y248" s="890"/>
      <c r="Z248" s="685">
        <f>IFERROR(IF(VLOOKUP(C248,[4]List1!$A:$D,4,FALSE)=0,"",VLOOKUP(C248,[4]List1!$A:$D,4,FALSE)),"")</f>
        <v>36</v>
      </c>
      <c r="AA248" s="707"/>
      <c r="AB248" s="911" t="str">
        <f>IFERROR(IF(VLOOKUP(C248,[1]List1!$A:$D,2,FALSE)="VYPRODÁNO",$V$9,IF(VLOOKUP(C248,[1]List1!$A:$D,2,FALSE)="DOCHÁZÍ",$V$3,VLOOKUP(C248,[1]List1!$A:$D,2,FALSE))),"OFFLINE!")</f>
        <v>SKLADEM</v>
      </c>
      <c r="AC248" s="911" t="str">
        <f ca="1">IF(AO248="NE",$V$10,IF(AB248=$V$3,IF(AP248&lt;1,$V$8,$V$2&amp;" "&amp;AP248&amp;" "&amp;$V$1),IF(AB248="SKLADEM",$V$6,IFERROR(IF(OR(AB248-TODAY()&gt;21,VLOOKUP(C248,[1]List1!$A:$E,4,FALSE)=0),AB248,DAY(AB248)&amp;"."&amp;MONTH(AB248)&amp;"."&amp;YEAR(AB248)&amp;" "&amp;$V$4&amp;VLOOKUP(C248,[1]List1!$A:$E,4,FALSE)&amp;" "&amp;$V$1),AB248))))</f>
        <v>AUF LAGER</v>
      </c>
      <c r="AD248" s="686" t="str">
        <f ca="1">_xlfn.IFNA(VLOOKUP(C248,'General price list'!C:AM,MATCH($AD$20,'General price list'!$C$20:$AM$20,0),FALSE),"")</f>
        <v>AUF LAGER</v>
      </c>
      <c r="AE248" s="681">
        <f t="shared" ca="1" si="44"/>
        <v>0</v>
      </c>
      <c r="AF248" s="681">
        <f t="shared" ca="1" si="45"/>
        <v>0</v>
      </c>
      <c r="AG248" s="687">
        <f t="shared" ca="1" si="46"/>
        <v>0</v>
      </c>
      <c r="AH248" s="688">
        <f t="shared" ca="1" si="47"/>
        <v>0</v>
      </c>
      <c r="AI248" s="687">
        <f t="shared" ca="1" si="48"/>
        <v>0</v>
      </c>
      <c r="AJ248" s="689" t="str">
        <f t="shared" ca="1" si="49"/>
        <v/>
      </c>
      <c r="AK248" s="689">
        <f t="shared" ca="1" si="50"/>
        <v>0</v>
      </c>
      <c r="AL248" s="689" t="str">
        <f t="shared" ca="1" si="51"/>
        <v/>
      </c>
      <c r="AM248" s="690" t="str">
        <f t="shared" ca="1" si="52"/>
        <v/>
      </c>
      <c r="AN248" s="313"/>
      <c r="AO248" s="314" t="str">
        <f>IF($R$3=1,IF(Y248=AA248,"","NE"),IF(#REF!=$V$10,"NE",""))</f>
        <v/>
      </c>
      <c r="AP248" s="315" t="str">
        <f>IF(AB248=$V$3,IF(VLOOKUP(C248,[1]List1!$A:$E,5,FALSE)=0,1,VLOOKUP(C248,[1]List1!$A:$E,5,FALSE)),"")</f>
        <v/>
      </c>
      <c r="AW248" s="458">
        <f>IFERROR(FIND(VLOOKUP('General price list'!$AB$7,'General price list'!$AC$1:$AD$12,2,FALSE),Q248,1),0)</f>
        <v>13</v>
      </c>
      <c r="AX248" s="458">
        <f>IFERROR(FIND(VLOOKUP('General price list'!$AB$7,'General price list'!$AC$1:$AD$12,2,FALSE),R248,1),0)</f>
        <v>0</v>
      </c>
    </row>
    <row r="249" spans="1:50" ht="15" customHeight="1">
      <c r="A249" s="691" t="str">
        <f>Kat.!C249</f>
        <v xml:space="preserve">                                          </v>
      </c>
      <c r="B249" s="692">
        <v>228</v>
      </c>
      <c r="C249" s="693" t="s">
        <v>1033</v>
      </c>
      <c r="D249" s="693" t="s">
        <v>12565</v>
      </c>
      <c r="E249" s="694" t="s">
        <v>420</v>
      </c>
      <c r="F249" s="695">
        <f>VLOOKUP(C249,[2]List1!$A:$D,2,FALSE)</f>
        <v>134</v>
      </c>
      <c r="G249" s="696">
        <f t="shared" si="41"/>
        <v>134</v>
      </c>
      <c r="H249" s="697">
        <f t="shared" si="42"/>
        <v>5.5</v>
      </c>
      <c r="I249" s="837">
        <v>24</v>
      </c>
      <c r="J249" s="698" t="s">
        <v>45</v>
      </c>
      <c r="K249" s="856" t="s">
        <v>12593</v>
      </c>
      <c r="L249" s="857" t="s">
        <v>13818</v>
      </c>
      <c r="M249" s="698" t="s">
        <v>131</v>
      </c>
      <c r="N249" s="869">
        <f>IFERROR(VLOOKUP(C249,[3]List1!$A:$D,4,FALSE),"N/A!")</f>
        <v>3.6861500000000005E-2</v>
      </c>
      <c r="O249" s="837">
        <f>IFERROR(VLOOKUP(C249,[3]List1!$A:$D,3,FALSE),"N/A!")</f>
        <v>2640</v>
      </c>
      <c r="P249" s="837">
        <f>IFERROR(VLOOKUP(C249,[3]List1!$A:$D,2,FALSE),"N/A!")</f>
        <v>17796</v>
      </c>
      <c r="Q249" s="698" t="s">
        <v>610</v>
      </c>
      <c r="R249" s="698" t="s">
        <v>24</v>
      </c>
      <c r="S249" s="698"/>
      <c r="T249" s="695">
        <v>20</v>
      </c>
      <c r="U249" s="874"/>
      <c r="V249" s="699" t="str">
        <f>_xlfn.IFNA(HYPERLINK("https://www.klasekpyrotechnics.cz/c1620bpf"),"")</f>
        <v>https://www.klasekpyrotechnics.cz/c1620bpf</v>
      </c>
      <c r="W249" s="700" t="str">
        <f>IFERROR(VLOOKUP($C249,Popisy!A:P,MATCH($W$17,Popisy!$A$7:$P$7,0),FALSE),"---------------")</f>
        <v>4 verschiedenfarbige Effekte</v>
      </c>
      <c r="X249" s="891" t="str">
        <f t="shared" si="43"/>
        <v/>
      </c>
      <c r="Y249" s="892"/>
      <c r="Z249" s="700">
        <f>IFERROR(IF(VLOOKUP(C249,[4]List1!$A:$D,4,FALSE)=0,"",VLOOKUP(C249,[4]List1!$A:$D,4,FALSE)),"")</f>
        <v>36</v>
      </c>
      <c r="AA249" s="707"/>
      <c r="AB249" s="912" t="str">
        <f>IFERROR(IF(VLOOKUP(C249,[1]List1!$A:$D,2,FALSE)="VYPRODÁNO",$V$9,IF(VLOOKUP(C249,[1]List1!$A:$D,2,FALSE)="DOCHÁZÍ",$V$3,VLOOKUP(C249,[1]List1!$A:$D,2,FALSE))),"OFFLINE!")</f>
        <v>SKLADEM</v>
      </c>
      <c r="AC249" s="912" t="str">
        <f ca="1">IF(AO249="NE",$V$10,IF(AB249=$V$3,IF(AP249&lt;1,$V$8,$V$2&amp;" "&amp;AP249&amp;" "&amp;$V$1),IF(AB249="SKLADEM",$V$6,IFERROR(IF(OR(AB249-TODAY()&gt;21,VLOOKUP(C249,[1]List1!$A:$E,4,FALSE)=0),AB249,DAY(AB249)&amp;"."&amp;MONTH(AB249)&amp;"."&amp;YEAR(AB249)&amp;" "&amp;$V$4&amp;VLOOKUP(C249,[1]List1!$A:$E,4,FALSE)&amp;" "&amp;$V$1),AB249))))</f>
        <v>AUF LAGER</v>
      </c>
      <c r="AD249" s="701" t="str">
        <f ca="1">_xlfn.IFNA(VLOOKUP(C249,'General price list'!C:AM,MATCH($AD$20,'General price list'!$C$20:$AM$20,0),FALSE),"")</f>
        <v>AUF LAGER</v>
      </c>
      <c r="AE249" s="695">
        <f t="shared" ca="1" si="44"/>
        <v>0</v>
      </c>
      <c r="AF249" s="695">
        <f t="shared" ca="1" si="45"/>
        <v>0</v>
      </c>
      <c r="AG249" s="702">
        <f t="shared" ca="1" si="46"/>
        <v>0</v>
      </c>
      <c r="AH249" s="703">
        <f t="shared" ca="1" si="47"/>
        <v>0</v>
      </c>
      <c r="AI249" s="702">
        <f t="shared" ca="1" si="48"/>
        <v>0</v>
      </c>
      <c r="AJ249" s="704" t="str">
        <f t="shared" ca="1" si="49"/>
        <v/>
      </c>
      <c r="AK249" s="704">
        <f t="shared" ca="1" si="50"/>
        <v>0</v>
      </c>
      <c r="AL249" s="704" t="str">
        <f t="shared" ca="1" si="51"/>
        <v/>
      </c>
      <c r="AM249" s="705" t="str">
        <f t="shared" ca="1" si="52"/>
        <v/>
      </c>
      <c r="AN249" s="382"/>
      <c r="AO249" s="314" t="str">
        <f>IF($R$3=1,IF(Y249=AA249,"","NE"),IF(#REF!=$V$10,"NE",""))</f>
        <v/>
      </c>
      <c r="AP249" s="315" t="str">
        <f>IF(AB249=$V$3,IF(VLOOKUP(C249,[1]List1!$A:$E,5,FALSE)=0,1,VLOOKUP(C249,[1]List1!$A:$E,5,FALSE)),"")</f>
        <v/>
      </c>
      <c r="AW249" s="458">
        <f>IFERROR(FIND(VLOOKUP('General price list'!$AB$7,'General price list'!$AC$1:$AD$12,2,FALSE),Q249,1),0)</f>
        <v>0</v>
      </c>
      <c r="AX249" s="458">
        <f>IFERROR(FIND(VLOOKUP('General price list'!$AB$7,'General price list'!$AC$1:$AD$12,2,FALSE),R249,1),0)</f>
        <v>0</v>
      </c>
    </row>
    <row r="250" spans="1:50" ht="15" customHeight="1">
      <c r="A250" s="677" t="str">
        <f>Kat.!C250</f>
        <v xml:space="preserve">                                          </v>
      </c>
      <c r="B250" s="678">
        <v>229</v>
      </c>
      <c r="C250" s="679" t="s">
        <v>1034</v>
      </c>
      <c r="D250" s="679" t="s">
        <v>1035</v>
      </c>
      <c r="E250" s="680" t="s">
        <v>420</v>
      </c>
      <c r="F250" s="681">
        <f>VLOOKUP(C250,[2]List1!$A:$D,2,FALSE)</f>
        <v>141</v>
      </c>
      <c r="G250" s="682">
        <f t="shared" si="41"/>
        <v>141</v>
      </c>
      <c r="H250" s="683">
        <f t="shared" si="42"/>
        <v>5.7</v>
      </c>
      <c r="I250" s="836">
        <v>24</v>
      </c>
      <c r="J250" s="680" t="s">
        <v>45</v>
      </c>
      <c r="K250" s="854"/>
      <c r="L250" s="855" t="s">
        <v>13849</v>
      </c>
      <c r="M250" s="680" t="s">
        <v>131</v>
      </c>
      <c r="N250" s="868">
        <f>IFERROR(VLOOKUP(C250,[3]List1!$A:$D,4,FALSE),"N/A!")</f>
        <v>3.6861500000000005E-2</v>
      </c>
      <c r="O250" s="836">
        <f>IFERROR(VLOOKUP(C250,[3]List1!$A:$D,3,FALSE),"N/A!")</f>
        <v>3072</v>
      </c>
      <c r="P250" s="836">
        <f>IFERROR(VLOOKUP(C250,[3]List1!$A:$D,2,FALSE),"N/A!")</f>
        <v>16000</v>
      </c>
      <c r="Q250" s="680" t="s">
        <v>13756</v>
      </c>
      <c r="R250" s="680" t="s">
        <v>24</v>
      </c>
      <c r="S250" s="680"/>
      <c r="T250" s="681">
        <v>20</v>
      </c>
      <c r="U250" s="873"/>
      <c r="V250" s="684" t="str">
        <f>_xlfn.IFNA(HYPERLINK("https://www.klasekpyrotechnics.cz/c1620h"),"")</f>
        <v>https://www.klasekpyrotechnics.cz/c1620h</v>
      </c>
      <c r="W250" s="685" t="str">
        <f>IFERROR(VLOOKUP($C250,Popisy!A:P,MATCH($W$17,Popisy!$A$7:$P$7,0),FALSE),"---------------")</f>
        <v>4 verschiedenfarbige Effekte</v>
      </c>
      <c r="X250" s="889" t="str">
        <f t="shared" si="43"/>
        <v/>
      </c>
      <c r="Y250" s="890"/>
      <c r="Z250" s="685">
        <f>IFERROR(IF(VLOOKUP(C250,[4]List1!$A:$D,4,FALSE)=0,"",VLOOKUP(C250,[4]List1!$A:$D,4,FALSE)),"")</f>
        <v>36</v>
      </c>
      <c r="AA250" s="707"/>
      <c r="AB250" s="911" t="str">
        <f>IFERROR(IF(VLOOKUP(C250,[1]List1!$A:$D,2,FALSE)="VYPRODÁNO",$V$9,IF(VLOOKUP(C250,[1]List1!$A:$D,2,FALSE)="DOCHÁZÍ",$V$3,VLOOKUP(C250,[1]List1!$A:$D,2,FALSE))),"OFFLINE!")</f>
        <v>SKLADEM</v>
      </c>
      <c r="AC250" s="911" t="str">
        <f ca="1">IF(AO250="NE",$V$10,IF(AB250=$V$3,IF(AP250&lt;1,$V$8,$V$2&amp;" "&amp;AP250&amp;" "&amp;$V$1),IF(AB250="SKLADEM",$V$6,IFERROR(IF(OR(AB250-TODAY()&gt;21,VLOOKUP(C250,[1]List1!$A:$E,4,FALSE)=0),AB250,DAY(AB250)&amp;"."&amp;MONTH(AB250)&amp;"."&amp;YEAR(AB250)&amp;" "&amp;$V$4&amp;VLOOKUP(C250,[1]List1!$A:$E,4,FALSE)&amp;" "&amp;$V$1),AB250))))</f>
        <v>AUF LAGER</v>
      </c>
      <c r="AD250" s="686" t="str">
        <f ca="1">_xlfn.IFNA(VLOOKUP(C250,'General price list'!C:AM,MATCH($AD$20,'General price list'!$C$20:$AM$20,0),FALSE),"")</f>
        <v>AUF LAGER</v>
      </c>
      <c r="AE250" s="681">
        <f t="shared" ca="1" si="44"/>
        <v>0</v>
      </c>
      <c r="AF250" s="681">
        <f t="shared" ca="1" si="45"/>
        <v>0</v>
      </c>
      <c r="AG250" s="687">
        <f t="shared" ca="1" si="46"/>
        <v>0</v>
      </c>
      <c r="AH250" s="688">
        <f t="shared" ca="1" si="47"/>
        <v>0</v>
      </c>
      <c r="AI250" s="687">
        <f t="shared" ca="1" si="48"/>
        <v>0</v>
      </c>
      <c r="AJ250" s="689" t="str">
        <f t="shared" ca="1" si="49"/>
        <v/>
      </c>
      <c r="AK250" s="689">
        <f t="shared" ca="1" si="50"/>
        <v>0</v>
      </c>
      <c r="AL250" s="689" t="str">
        <f t="shared" ca="1" si="51"/>
        <v/>
      </c>
      <c r="AM250" s="690" t="str">
        <f t="shared" ca="1" si="52"/>
        <v/>
      </c>
      <c r="AN250" s="313"/>
      <c r="AO250" s="314" t="str">
        <f>IF($R$3=1,IF(Y250=AA250,"","NE"),IF(#REF!=$V$10,"NE",""))</f>
        <v/>
      </c>
      <c r="AP250" s="315" t="str">
        <f>IF(AB250=$V$3,IF(VLOOKUP(C250,[1]List1!$A:$E,5,FALSE)=0,1,VLOOKUP(C250,[1]List1!$A:$E,5,FALSE)),"")</f>
        <v/>
      </c>
      <c r="AW250" s="458">
        <f>IFERROR(FIND(VLOOKUP('General price list'!$AB$7,'General price list'!$AC$1:$AD$12,2,FALSE),Q250,1),0)</f>
        <v>7</v>
      </c>
      <c r="AX250" s="458">
        <f>IFERROR(FIND(VLOOKUP('General price list'!$AB$7,'General price list'!$AC$1:$AD$12,2,FALSE),R250,1),0)</f>
        <v>0</v>
      </c>
    </row>
    <row r="251" spans="1:50" ht="15" customHeight="1">
      <c r="A251" s="691" t="str">
        <f>Kat.!C251</f>
        <v xml:space="preserve">                                          </v>
      </c>
      <c r="B251" s="692">
        <v>230</v>
      </c>
      <c r="C251" s="693" t="s">
        <v>1036</v>
      </c>
      <c r="D251" s="693" t="s">
        <v>1037</v>
      </c>
      <c r="E251" s="694" t="s">
        <v>420</v>
      </c>
      <c r="F251" s="695">
        <f>VLOOKUP(C251,[2]List1!$A:$D,2,FALSE)</f>
        <v>141</v>
      </c>
      <c r="G251" s="696">
        <f t="shared" si="41"/>
        <v>141</v>
      </c>
      <c r="H251" s="697">
        <f t="shared" si="42"/>
        <v>5.7</v>
      </c>
      <c r="I251" s="837">
        <v>24</v>
      </c>
      <c r="J251" s="698" t="s">
        <v>45</v>
      </c>
      <c r="K251" s="856"/>
      <c r="L251" s="857" t="s">
        <v>13849</v>
      </c>
      <c r="M251" s="698" t="s">
        <v>131</v>
      </c>
      <c r="N251" s="869">
        <f>IFERROR(VLOOKUP(C251,[3]List1!$A:$D,4,FALSE),"N/A!")</f>
        <v>3.6861500000000005E-2</v>
      </c>
      <c r="O251" s="837">
        <f>IFERROR(VLOOKUP(C251,[3]List1!$A:$D,3,FALSE),"N/A!")</f>
        <v>3072</v>
      </c>
      <c r="P251" s="837">
        <f>IFERROR(VLOOKUP(C251,[3]List1!$A:$D,2,FALSE),"N/A!")</f>
        <v>17000</v>
      </c>
      <c r="Q251" s="698" t="s">
        <v>13755</v>
      </c>
      <c r="R251" s="698" t="s">
        <v>24</v>
      </c>
      <c r="S251" s="698"/>
      <c r="T251" s="695">
        <v>20</v>
      </c>
      <c r="U251" s="874"/>
      <c r="V251" s="699" t="str">
        <f>_xlfn.IFNA(HYPERLINK("https://www.klasekpyrotechnics.cz/c1620n"),"")</f>
        <v>https://www.klasekpyrotechnics.cz/c1620n</v>
      </c>
      <c r="W251" s="700" t="str">
        <f>IFERROR(VLOOKUP($C251,Popisy!A:P,MATCH($W$17,Popisy!$A$7:$P$7,0),FALSE),"---------------")</f>
        <v>4 verschiedenfarbige Effekte</v>
      </c>
      <c r="X251" s="891" t="str">
        <f t="shared" si="43"/>
        <v/>
      </c>
      <c r="Y251" s="892"/>
      <c r="Z251" s="700">
        <f>IFERROR(IF(VLOOKUP(C251,[4]List1!$A:$D,4,FALSE)=0,"",VLOOKUP(C251,[4]List1!$A:$D,4,FALSE)),"")</f>
        <v>36</v>
      </c>
      <c r="AA251" s="707"/>
      <c r="AB251" s="912" t="str">
        <f>IFERROR(IF(VLOOKUP(C251,[1]List1!$A:$D,2,FALSE)="VYPRODÁNO",$V$9,IF(VLOOKUP(C251,[1]List1!$A:$D,2,FALSE)="DOCHÁZÍ",$V$3,VLOOKUP(C251,[1]List1!$A:$D,2,FALSE))),"OFFLINE!")</f>
        <v>SKLADEM</v>
      </c>
      <c r="AC251" s="912" t="str">
        <f ca="1">IF(AO251="NE",$V$10,IF(AB251=$V$3,IF(AP251&lt;1,$V$8,$V$2&amp;" "&amp;AP251&amp;" "&amp;$V$1),IF(AB251="SKLADEM",$V$6,IFERROR(IF(OR(AB251-TODAY()&gt;21,VLOOKUP(C251,[1]List1!$A:$E,4,FALSE)=0),AB251,DAY(AB251)&amp;"."&amp;MONTH(AB251)&amp;"."&amp;YEAR(AB251)&amp;" "&amp;$V$4&amp;VLOOKUP(C251,[1]List1!$A:$E,4,FALSE)&amp;" "&amp;$V$1),AB251))))</f>
        <v>AUF LAGER</v>
      </c>
      <c r="AD251" s="701">
        <f>_xlfn.IFNA(VLOOKUP(C251,'General price list'!C:AM,MATCH($AD$20,'General price list'!$C$20:$AM$20,0),FALSE),"")</f>
        <v>0</v>
      </c>
      <c r="AE251" s="695">
        <f t="shared" si="44"/>
        <v>0</v>
      </c>
      <c r="AF251" s="695">
        <f t="shared" si="45"/>
        <v>0</v>
      </c>
      <c r="AG251" s="702">
        <f t="shared" si="46"/>
        <v>0</v>
      </c>
      <c r="AH251" s="703">
        <f t="shared" si="47"/>
        <v>0</v>
      </c>
      <c r="AI251" s="702">
        <f t="shared" si="48"/>
        <v>0</v>
      </c>
      <c r="AJ251" s="704" t="str">
        <f t="shared" si="49"/>
        <v/>
      </c>
      <c r="AK251" s="704">
        <f t="shared" si="50"/>
        <v>0</v>
      </c>
      <c r="AL251" s="704" t="str">
        <f t="shared" si="51"/>
        <v/>
      </c>
      <c r="AM251" s="705" t="str">
        <f t="shared" si="52"/>
        <v/>
      </c>
      <c r="AN251" s="313"/>
      <c r="AO251" s="314" t="str">
        <f>IF($R$3=1,IF(Y251=AA251,"","NE"),IF(#REF!=$V$10,"NE",""))</f>
        <v/>
      </c>
      <c r="AP251" s="315" t="str">
        <f>IF(AB251=$V$3,IF(VLOOKUP(C251,[1]List1!$A:$E,5,FALSE)=0,1,VLOOKUP(C251,[1]List1!$A:$E,5,FALSE)),"")</f>
        <v/>
      </c>
      <c r="AW251" s="458">
        <f>IFERROR(FIND(VLOOKUP('General price list'!$AB$7,'General price list'!$AC$1:$AD$12,2,FALSE),Q251,1),0)</f>
        <v>7</v>
      </c>
      <c r="AX251" s="458">
        <f>IFERROR(FIND(VLOOKUP('General price list'!$AB$7,'General price list'!$AC$1:$AD$12,2,FALSE),R251,1),0)</f>
        <v>0</v>
      </c>
    </row>
    <row r="252" spans="1:50" ht="15" customHeight="1">
      <c r="A252" s="677" t="str">
        <f>Kat.!C252</f>
        <v xml:space="preserve">                                          </v>
      </c>
      <c r="B252" s="678">
        <v>231</v>
      </c>
      <c r="C252" s="679" t="s">
        <v>1039</v>
      </c>
      <c r="D252" s="679" t="s">
        <v>1040</v>
      </c>
      <c r="E252" s="680" t="s">
        <v>420</v>
      </c>
      <c r="F252" s="681">
        <f>VLOOKUP(C252,[2]List1!$A:$D,2,FALSE)</f>
        <v>141</v>
      </c>
      <c r="G252" s="682">
        <f t="shared" si="41"/>
        <v>141</v>
      </c>
      <c r="H252" s="683">
        <f t="shared" si="42"/>
        <v>5.7</v>
      </c>
      <c r="I252" s="836">
        <v>24</v>
      </c>
      <c r="J252" s="680" t="s">
        <v>45</v>
      </c>
      <c r="K252" s="854"/>
      <c r="L252" s="855" t="s">
        <v>13849</v>
      </c>
      <c r="M252" s="680" t="s">
        <v>131</v>
      </c>
      <c r="N252" s="868">
        <f>IFERROR(VLOOKUP(C252,[3]List1!$A:$D,4,FALSE),"N/A!")</f>
        <v>3.6861500000000005E-2</v>
      </c>
      <c r="O252" s="836">
        <f>IFERROR(VLOOKUP(C252,[3]List1!$A:$D,3,FALSE),"N/A!")</f>
        <v>3072</v>
      </c>
      <c r="P252" s="836">
        <f>IFERROR(VLOOKUP(C252,[3]List1!$A:$D,2,FALSE),"N/A!")</f>
        <v>18500</v>
      </c>
      <c r="Q252" s="680" t="s">
        <v>13755</v>
      </c>
      <c r="R252" s="680" t="s">
        <v>24</v>
      </c>
      <c r="S252" s="680"/>
      <c r="T252" s="681">
        <v>20</v>
      </c>
      <c r="U252" s="873"/>
      <c r="V252" s="684" t="str">
        <f>_xlfn.IFNA(HYPERLINK("https://www.klasekpyrotechnics.cz/c1620m"),"")</f>
        <v>https://www.klasekpyrotechnics.cz/c1620m</v>
      </c>
      <c r="W252" s="685" t="str">
        <f>IFERROR(VLOOKUP($C252,Popisy!A:P,MATCH($W$17,Popisy!$A$7:$P$7,0),FALSE),"---------------")</f>
        <v>4 verschiedenfarbige Effekte</v>
      </c>
      <c r="X252" s="889" t="str">
        <f t="shared" si="43"/>
        <v/>
      </c>
      <c r="Y252" s="890"/>
      <c r="Z252" s="685">
        <f>IFERROR(IF(VLOOKUP(C252,[4]List1!$A:$D,4,FALSE)=0,"",VLOOKUP(C252,[4]List1!$A:$D,4,FALSE)),"")</f>
        <v>36</v>
      </c>
      <c r="AA252" s="707"/>
      <c r="AB252" s="911" t="str">
        <f>IFERROR(IF(VLOOKUP(C252,[1]List1!$A:$D,2,FALSE)="VYPRODÁNO",$V$9,IF(VLOOKUP(C252,[1]List1!$A:$D,2,FALSE)="DOCHÁZÍ",$V$3,VLOOKUP(C252,[1]List1!$A:$D,2,FALSE))),"OFFLINE!")</f>
        <v>15.09.2024</v>
      </c>
      <c r="AC252" s="911" t="str">
        <f ca="1">IF(AO252="NE",$V$10,IF(AB252=$V$3,IF(AP252&lt;1,$V$8,$V$2&amp;" "&amp;AP252&amp;" "&amp;$V$1),IF(AB252="SKLADEM",$V$6,IFERROR(IF(OR(AB252-TODAY()&gt;21,VLOOKUP(C252,[1]List1!$A:$E,4,FALSE)=0),AB252,DAY(AB252)&amp;"."&amp;MONTH(AB252)&amp;"."&amp;YEAR(AB252)&amp;" "&amp;$V$4&amp;VLOOKUP(C252,[1]List1!$A:$E,4,FALSE)&amp;" "&amp;$V$1),AB252))))</f>
        <v>15.09.2024</v>
      </c>
      <c r="AD252" s="686" t="str">
        <f ca="1">_xlfn.IFNA(VLOOKUP(C252,'General price list'!C:AM,MATCH($AD$20,'General price list'!$C$20:$AM$20,0),FALSE),"")</f>
        <v>15.09.2024</v>
      </c>
      <c r="AE252" s="681">
        <f t="shared" ca="1" si="44"/>
        <v>0</v>
      </c>
      <c r="AF252" s="681">
        <f t="shared" ca="1" si="45"/>
        <v>0</v>
      </c>
      <c r="AG252" s="687">
        <f t="shared" ca="1" si="46"/>
        <v>0</v>
      </c>
      <c r="AH252" s="688">
        <f t="shared" ca="1" si="47"/>
        <v>0</v>
      </c>
      <c r="AI252" s="687">
        <f t="shared" ca="1" si="48"/>
        <v>0</v>
      </c>
      <c r="AJ252" s="689" t="str">
        <f t="shared" ca="1" si="49"/>
        <v/>
      </c>
      <c r="AK252" s="689">
        <f t="shared" ca="1" si="50"/>
        <v>0</v>
      </c>
      <c r="AL252" s="689" t="str">
        <f t="shared" ca="1" si="51"/>
        <v/>
      </c>
      <c r="AM252" s="690" t="str">
        <f t="shared" ca="1" si="52"/>
        <v/>
      </c>
      <c r="AN252" s="313"/>
      <c r="AO252" s="314" t="str">
        <f>IF($R$3=1,IF(Y252=AA252,"","NE"),IF(#REF!=$V$10,"NE",""))</f>
        <v/>
      </c>
      <c r="AP252" s="315" t="str">
        <f>IF(AB252=$V$3,IF(VLOOKUP(C252,[1]List1!$A:$E,5,FALSE)=0,1,VLOOKUP(C252,[1]List1!$A:$E,5,FALSE)),"")</f>
        <v/>
      </c>
      <c r="AW252" s="458">
        <f>IFERROR(FIND(VLOOKUP('General price list'!$AB$7,'General price list'!$AC$1:$AD$12,2,FALSE),Q252,1),0)</f>
        <v>7</v>
      </c>
      <c r="AX252" s="458">
        <f>IFERROR(FIND(VLOOKUP('General price list'!$AB$7,'General price list'!$AC$1:$AD$12,2,FALSE),R252,1),0)</f>
        <v>0</v>
      </c>
    </row>
    <row r="253" spans="1:50" ht="15" customHeight="1">
      <c r="A253" s="691" t="str">
        <f>Kat.!C253</f>
        <v xml:space="preserve">                                          </v>
      </c>
      <c r="B253" s="692">
        <v>232</v>
      </c>
      <c r="C253" s="693" t="s">
        <v>1041</v>
      </c>
      <c r="D253" s="693" t="s">
        <v>1042</v>
      </c>
      <c r="E253" s="694" t="s">
        <v>420</v>
      </c>
      <c r="F253" s="695">
        <f>VLOOKUP(C253,[2]List1!$A:$D,2,FALSE)</f>
        <v>141</v>
      </c>
      <c r="G253" s="696">
        <f t="shared" si="41"/>
        <v>141</v>
      </c>
      <c r="H253" s="697">
        <f t="shared" si="42"/>
        <v>5.7</v>
      </c>
      <c r="I253" s="837">
        <v>24</v>
      </c>
      <c r="J253" s="698" t="s">
        <v>45</v>
      </c>
      <c r="K253" s="856"/>
      <c r="L253" s="857" t="s">
        <v>13849</v>
      </c>
      <c r="M253" s="698" t="s">
        <v>131</v>
      </c>
      <c r="N253" s="869">
        <f>IFERROR(VLOOKUP(C253,[3]List1!$A:$D,4,FALSE),"N/A!")</f>
        <v>3.6861500000000005E-2</v>
      </c>
      <c r="O253" s="837">
        <f>IFERROR(VLOOKUP(C253,[3]List1!$A:$D,3,FALSE),"N/A!")</f>
        <v>3072</v>
      </c>
      <c r="P253" s="837">
        <f>IFERROR(VLOOKUP(C253,[3]List1!$A:$D,2,FALSE),"N/A!")</f>
        <v>18500</v>
      </c>
      <c r="Q253" s="698" t="s">
        <v>13755</v>
      </c>
      <c r="R253" s="698" t="s">
        <v>24</v>
      </c>
      <c r="S253" s="698"/>
      <c r="T253" s="695">
        <v>20</v>
      </c>
      <c r="U253" s="874"/>
      <c r="V253" s="699" t="str">
        <f>_xlfn.IFNA(HYPERLINK("https://www.klasekpyrotechnics.cz/c1620f"),"")</f>
        <v>https://www.klasekpyrotechnics.cz/c1620f</v>
      </c>
      <c r="W253" s="700" t="str">
        <f>IFERROR(VLOOKUP($C253,Popisy!A:P,MATCH($W$17,Popisy!$A$7:$P$7,0),FALSE),"---------------")</f>
        <v>4 verschiedenfarbige Effekte</v>
      </c>
      <c r="X253" s="891" t="str">
        <f t="shared" si="43"/>
        <v/>
      </c>
      <c r="Y253" s="892"/>
      <c r="Z253" s="700">
        <f>IFERROR(IF(VLOOKUP(C253,[4]List1!$A:$D,4,FALSE)=0,"",VLOOKUP(C253,[4]List1!$A:$D,4,FALSE)),"")</f>
        <v>36</v>
      </c>
      <c r="AA253" s="707"/>
      <c r="AB253" s="912" t="str">
        <f>IFERROR(IF(VLOOKUP(C253,[1]List1!$A:$D,2,FALSE)="VYPRODÁNO",$V$9,IF(VLOOKUP(C253,[1]List1!$A:$D,2,FALSE)="DOCHÁZÍ",$V$3,VLOOKUP(C253,[1]List1!$A:$D,2,FALSE))),"OFFLINE!")</f>
        <v>SKLADEM</v>
      </c>
      <c r="AC253" s="912" t="str">
        <f ca="1">IF(AO253="NE",$V$10,IF(AB253=$V$3,IF(AP253&lt;1,$V$8,$V$2&amp;" "&amp;AP253&amp;" "&amp;$V$1),IF(AB253="SKLADEM",$V$6,IFERROR(IF(OR(AB253-TODAY()&gt;21,VLOOKUP(C253,[1]List1!$A:$E,4,FALSE)=0),AB253,DAY(AB253)&amp;"."&amp;MONTH(AB253)&amp;"."&amp;YEAR(AB253)&amp;" "&amp;$V$4&amp;VLOOKUP(C253,[1]List1!$A:$E,4,FALSE)&amp;" "&amp;$V$1),AB253))))</f>
        <v>AUF LAGER</v>
      </c>
      <c r="AD253" s="701">
        <f>_xlfn.IFNA(VLOOKUP(C253,'General price list'!C:AM,MATCH($AD$20,'General price list'!$C$20:$AM$20,0),FALSE),"")</f>
        <v>0</v>
      </c>
      <c r="AE253" s="695">
        <f t="shared" si="44"/>
        <v>0</v>
      </c>
      <c r="AF253" s="695">
        <f t="shared" si="45"/>
        <v>0</v>
      </c>
      <c r="AG253" s="702">
        <f t="shared" si="46"/>
        <v>0</v>
      </c>
      <c r="AH253" s="703">
        <f t="shared" si="47"/>
        <v>0</v>
      </c>
      <c r="AI253" s="702">
        <f t="shared" si="48"/>
        <v>0</v>
      </c>
      <c r="AJ253" s="704" t="str">
        <f t="shared" si="49"/>
        <v/>
      </c>
      <c r="AK253" s="704">
        <f t="shared" si="50"/>
        <v>0</v>
      </c>
      <c r="AL253" s="704" t="str">
        <f t="shared" si="51"/>
        <v/>
      </c>
      <c r="AM253" s="705" t="str">
        <f t="shared" si="52"/>
        <v/>
      </c>
      <c r="AN253" s="381"/>
      <c r="AO253" s="314" t="str">
        <f>IF($R$3=1,IF(Y253=AA253,"","NE"),IF(#REF!=$V$10,"NE",""))</f>
        <v/>
      </c>
      <c r="AP253" s="315" t="str">
        <f>IF(AB253=$V$3,IF(VLOOKUP(C253,[1]List1!$A:$E,5,FALSE)=0,1,VLOOKUP(C253,[1]List1!$A:$E,5,FALSE)),"")</f>
        <v/>
      </c>
      <c r="AW253" s="458">
        <f>IFERROR(FIND(VLOOKUP('General price list'!$AB$7,'General price list'!$AC$1:$AD$12,2,FALSE),Q253,1),0)</f>
        <v>7</v>
      </c>
      <c r="AX253" s="458">
        <f>IFERROR(FIND(VLOOKUP('General price list'!$AB$7,'General price list'!$AC$1:$AD$12,2,FALSE),R253,1),0)</f>
        <v>0</v>
      </c>
    </row>
    <row r="254" spans="1:50" ht="15" customHeight="1">
      <c r="A254" s="672" t="str">
        <f>Kat.!C254</f>
        <v xml:space="preserve">                                          Batterien 16 schuss, 20mm Mörser-1.4G</v>
      </c>
      <c r="B254" s="678">
        <v>233</v>
      </c>
      <c r="C254" s="679"/>
      <c r="D254" s="679"/>
      <c r="E254" s="680"/>
      <c r="F254" s="681" t="str">
        <f>IFERROR(ROUND(VLOOKUP(C254,'General price list'!$C:$AN,4,FALSE),0),"")</f>
        <v/>
      </c>
      <c r="G254" s="682" t="str">
        <f t="shared" si="41"/>
        <v/>
      </c>
      <c r="H254" s="683" t="str">
        <f t="shared" si="42"/>
        <v/>
      </c>
      <c r="I254" s="836"/>
      <c r="J254" s="680"/>
      <c r="K254" s="854"/>
      <c r="L254" s="855"/>
      <c r="M254" s="680"/>
      <c r="N254" s="868" t="str">
        <f>IFERROR(IF(VLOOKUP($C254,'General price list'!$C:$AN,MATCH(N$20,'General price list'!$C$20:$AM$20,0),FALSE)=0,"",VLOOKUP($C254,'General price list'!$C:$AN,MATCH(N$20,'General price list'!$C$20:$AM$20,0),FALSE)),"")</f>
        <v/>
      </c>
      <c r="O254" s="836" t="str">
        <f>IFERROR(IF(VLOOKUP($C254,'General price list'!$C:$AN,MATCH(O$20,'General price list'!$C$20:$AM$20,0),FALSE)=0,"",VLOOKUP($C254,'General price list'!$C:$AN,MATCH(O$20,'General price list'!$C$20:$AM$20,0),FALSE)),"")</f>
        <v/>
      </c>
      <c r="P254" s="836" t="str">
        <f>IFERROR(IF(VLOOKUP($C254,'General price list'!$C:$AN,MATCH(P$20,'General price list'!$C$20:$AM$20,0),FALSE)=0,"",VLOOKUP($C254,'General price list'!$C:$AN,MATCH(P$20,'General price list'!$C$20:$AM$20,0),FALSE)),"")</f>
        <v/>
      </c>
      <c r="Q254" s="680"/>
      <c r="R254" s="680"/>
      <c r="S254" s="680"/>
      <c r="T254" s="681"/>
      <c r="U254" s="873"/>
      <c r="V254" s="684"/>
      <c r="W254" s="685" t="str">
        <f>IFERROR(VLOOKUP($C254,'General price list'!$C:$AN,MATCH(W$20,'General price list'!$C$20:$AM$20,0),FALSE),"")</f>
        <v/>
      </c>
      <c r="X254" s="889" t="str">
        <f t="shared" si="43"/>
        <v/>
      </c>
      <c r="Y254" s="890"/>
      <c r="Z254" s="685" t="str">
        <f>IFERROR(VLOOKUP($C254,'General price list'!$C:$AN,MATCH(Z$20,'General price list'!$C$20:$AM$20,0),FALSE),"")</f>
        <v/>
      </c>
      <c r="AA254" s="707"/>
      <c r="AB254" s="911" t="str">
        <f>IFERROR(IF(VLOOKUP(C254,[1]List1!$A:$D,2,FALSE)="VYPRODÁNO",$V$9,IF(VLOOKUP(C254,[1]List1!$A:$D,2,FALSE)="DOCHÁZÍ",$V$3,VLOOKUP(C254,[1]List1!$A:$D,2,FALSE))),"OFFLINE!")</f>
        <v>OFFLINE!</v>
      </c>
      <c r="AC254" s="911" t="str">
        <f ca="1">IF(AO254="NE",$V$10,IF(AB254=$V$3,IF(AP254&lt;1,$V$8,$V$2&amp;" "&amp;AP254&amp;" "&amp;$V$1),IF(AB254="SKLADEM",$V$6,IFERROR(IF(OR(AB254-TODAY()&gt;21,VLOOKUP(C254,[1]List1!$A:$E,4,FALSE)=0),AB254,DAY(AB254)&amp;"."&amp;MONTH(AB254)&amp;"."&amp;YEAR(AB254)&amp;" "&amp;$V$4&amp;VLOOKUP(C254,[1]List1!$A:$E,4,FALSE)&amp;" "&amp;$V$1),AB254))))</f>
        <v>OFFLINE!</v>
      </c>
      <c r="AD254" s="686" t="str">
        <f>_xlfn.IFNA(VLOOKUP(C254,'General price list'!C:AM,MATCH($AD$20,'General price list'!$C$20:$AM$20,0),FALSE),"")</f>
        <v/>
      </c>
      <c r="AE254" s="681" t="str">
        <f t="shared" si="44"/>
        <v/>
      </c>
      <c r="AF254" s="681" t="str">
        <f t="shared" si="45"/>
        <v/>
      </c>
      <c r="AG254" s="687" t="str">
        <f t="shared" si="46"/>
        <v/>
      </c>
      <c r="AH254" s="688" t="str">
        <f t="shared" si="47"/>
        <v/>
      </c>
      <c r="AI254" s="687" t="str">
        <f t="shared" si="48"/>
        <v/>
      </c>
      <c r="AJ254" s="689" t="str">
        <f t="shared" si="49"/>
        <v/>
      </c>
      <c r="AK254" s="689" t="str">
        <f t="shared" si="50"/>
        <v/>
      </c>
      <c r="AL254" s="689" t="str">
        <f t="shared" si="51"/>
        <v/>
      </c>
      <c r="AM254" s="690" t="str">
        <f t="shared" si="52"/>
        <v/>
      </c>
      <c r="AN254" s="316"/>
      <c r="AO254" s="314" t="str">
        <f>IF($R$3=1,IF(Y254=AA254,"","NE"),IF(#REF!=$V$10,"NE",""))</f>
        <v/>
      </c>
      <c r="AP254" s="315" t="str">
        <f>IF(AB254=$V$3,IF(VLOOKUP(C254,[1]List1!$A:$E,5,FALSE)=0,1,VLOOKUP(C254,[1]List1!$A:$E,5,FALSE)),"")</f>
        <v/>
      </c>
      <c r="AW254" s="291" t="e">
        <f>VLOOKUP(C254,'General price list'!C:AU,46,FALSE)</f>
        <v>#N/A</v>
      </c>
      <c r="AX254" s="291" t="e">
        <f>VLOOKUP(C254,'General price list'!C:AU,47,FALSE)</f>
        <v>#N/A</v>
      </c>
    </row>
    <row r="255" spans="1:50" ht="15" customHeight="1">
      <c r="A255" s="691" t="str">
        <f>Kat.!C255</f>
        <v xml:space="preserve">                                          </v>
      </c>
      <c r="B255" s="692">
        <v>234</v>
      </c>
      <c r="C255" s="693" t="s">
        <v>1044</v>
      </c>
      <c r="D255" s="693" t="s">
        <v>1035</v>
      </c>
      <c r="E255" s="694" t="s">
        <v>420</v>
      </c>
      <c r="F255" s="695">
        <f>VLOOKUP(C255,[2]List1!$A:$D,2,FALSE)</f>
        <v>141</v>
      </c>
      <c r="G255" s="696">
        <f t="shared" si="41"/>
        <v>141</v>
      </c>
      <c r="H255" s="697">
        <f t="shared" si="42"/>
        <v>5.7</v>
      </c>
      <c r="I255" s="837">
        <v>24</v>
      </c>
      <c r="J255" s="698" t="s">
        <v>45</v>
      </c>
      <c r="K255" s="856"/>
      <c r="L255" s="857" t="s">
        <v>13851</v>
      </c>
      <c r="M255" s="698" t="s">
        <v>25</v>
      </c>
      <c r="N255" s="869">
        <f>IFERROR(VLOOKUP(C255,[3]List1!$A:$D,4,FALSE),"N/A!")</f>
        <v>3.6861500000000005E-2</v>
      </c>
      <c r="O255" s="837">
        <f>IFERROR(VLOOKUP(C255,[3]List1!$A:$D,3,FALSE),"N/A!")</f>
        <v>3072</v>
      </c>
      <c r="P255" s="837">
        <f>IFERROR(VLOOKUP(C255,[3]List1!$A:$D,2,FALSE),"N/A!")</f>
        <v>18300</v>
      </c>
      <c r="Q255" s="698" t="s">
        <v>2570</v>
      </c>
      <c r="R255" s="698" t="s">
        <v>24</v>
      </c>
      <c r="S255" s="698"/>
      <c r="T255" s="695">
        <v>20</v>
      </c>
      <c r="U255" s="874"/>
      <c r="V255" s="699" t="str">
        <f>_xlfn.IFNA(HYPERLINK("https://www.klasekpyrotechnics.cz/c1620h14"),"")</f>
        <v>https://www.klasekpyrotechnics.cz/c1620h14</v>
      </c>
      <c r="W255" s="700" t="str">
        <f>IFERROR(VLOOKUP($C255,Popisy!A:P,MATCH($W$17,Popisy!$A$7:$P$7,0),FALSE),"---------------")</f>
        <v>4 verschiedenfarbige Effekte</v>
      </c>
      <c r="X255" s="891" t="str">
        <f t="shared" si="43"/>
        <v/>
      </c>
      <c r="Y255" s="892"/>
      <c r="Z255" s="700">
        <f>IFERROR(IF(VLOOKUP(C255,[4]List1!$A:$D,4,FALSE)=0,"",VLOOKUP(C255,[4]List1!$A:$D,4,FALSE)),"")</f>
        <v>36</v>
      </c>
      <c r="AA255" s="707"/>
      <c r="AB255" s="912" t="str">
        <f>IFERROR(IF(VLOOKUP(C255,[1]List1!$A:$D,2,FALSE)="VYPRODÁNO",$V$9,IF(VLOOKUP(C255,[1]List1!$A:$D,2,FALSE)="DOCHÁZÍ",$V$3,VLOOKUP(C255,[1]List1!$A:$D,2,FALSE))),"OFFLINE!")</f>
        <v>SKLADEM</v>
      </c>
      <c r="AC255" s="912" t="str">
        <f ca="1">IF(AO255="NE",$V$10,IF(AB255=$V$3,IF(AP255&lt;1,$V$8,$V$2&amp;" "&amp;AP255&amp;" "&amp;$V$1),IF(AB255="SKLADEM",$V$6,IFERROR(IF(OR(AB255-TODAY()&gt;21,VLOOKUP(C255,[1]List1!$A:$E,4,FALSE)=0),AB255,DAY(AB255)&amp;"."&amp;MONTH(AB255)&amp;"."&amp;YEAR(AB255)&amp;" "&amp;$V$4&amp;VLOOKUP(C255,[1]List1!$A:$E,4,FALSE)&amp;" "&amp;$V$1),AB255))))</f>
        <v>AUF LAGER</v>
      </c>
      <c r="AD255" s="701" t="str">
        <f ca="1">_xlfn.IFNA(VLOOKUP(C255,'General price list'!C:AM,MATCH($AD$20,'General price list'!$C$20:$AM$20,0),FALSE),"")</f>
        <v>AUF LAGER</v>
      </c>
      <c r="AE255" s="695">
        <f t="shared" ca="1" si="44"/>
        <v>0</v>
      </c>
      <c r="AF255" s="695">
        <f t="shared" ca="1" si="45"/>
        <v>0</v>
      </c>
      <c r="AG255" s="702">
        <f t="shared" ca="1" si="46"/>
        <v>0</v>
      </c>
      <c r="AH255" s="703">
        <f t="shared" ca="1" si="47"/>
        <v>0</v>
      </c>
      <c r="AI255" s="702">
        <f t="shared" ca="1" si="48"/>
        <v>0</v>
      </c>
      <c r="AJ255" s="704" t="str">
        <f t="shared" ca="1" si="49"/>
        <v/>
      </c>
      <c r="AK255" s="704" t="str">
        <f t="shared" ca="1" si="50"/>
        <v/>
      </c>
      <c r="AL255" s="704">
        <f t="shared" ca="1" si="51"/>
        <v>0</v>
      </c>
      <c r="AM255" s="705" t="str">
        <f t="shared" ca="1" si="52"/>
        <v/>
      </c>
      <c r="AN255" s="313"/>
      <c r="AO255" s="314" t="str">
        <f>IF($R$3=1,IF(Y255=AA255,"","NE"),IF(#REF!=$V$10,"NE",""))</f>
        <v/>
      </c>
      <c r="AP255" s="315" t="str">
        <f>IF(AB255=$V$3,IF(VLOOKUP(C255,[1]List1!$A:$E,5,FALSE)=0,1,VLOOKUP(C255,[1]List1!$A:$E,5,FALSE)),"")</f>
        <v/>
      </c>
      <c r="AW255" s="458">
        <f>IFERROR(FIND(VLOOKUP('General price list'!$AB$7,'General price list'!$AC$1:$AD$12,2,FALSE),Q255,1),0)</f>
        <v>7</v>
      </c>
      <c r="AX255" s="458">
        <f>IFERROR(FIND(VLOOKUP('General price list'!$AB$7,'General price list'!$AC$1:$AD$12,2,FALSE),R255,1),0)</f>
        <v>0</v>
      </c>
    </row>
    <row r="256" spans="1:50" ht="15" customHeight="1">
      <c r="A256" s="677" t="str">
        <f>Kat.!C256</f>
        <v xml:space="preserve">                                          </v>
      </c>
      <c r="B256" s="678">
        <v>235</v>
      </c>
      <c r="C256" s="679" t="s">
        <v>1045</v>
      </c>
      <c r="D256" s="679" t="s">
        <v>1037</v>
      </c>
      <c r="E256" s="680" t="s">
        <v>420</v>
      </c>
      <c r="F256" s="681">
        <f>VLOOKUP(C256,[2]List1!$A:$D,2,FALSE)</f>
        <v>141</v>
      </c>
      <c r="G256" s="682">
        <f t="shared" si="41"/>
        <v>141</v>
      </c>
      <c r="H256" s="683">
        <f t="shared" si="42"/>
        <v>5.7</v>
      </c>
      <c r="I256" s="836">
        <v>24</v>
      </c>
      <c r="J256" s="680" t="s">
        <v>45</v>
      </c>
      <c r="K256" s="854"/>
      <c r="L256" s="855" t="s">
        <v>13832</v>
      </c>
      <c r="M256" s="680" t="s">
        <v>25</v>
      </c>
      <c r="N256" s="868">
        <f>IFERROR(VLOOKUP(C256,[3]List1!$A:$D,4,FALSE),"N/A!")</f>
        <v>3.6861500000000005E-2</v>
      </c>
      <c r="O256" s="836">
        <f>IFERROR(VLOOKUP(C256,[3]List1!$A:$D,3,FALSE),"N/A!")</f>
        <v>3072</v>
      </c>
      <c r="P256" s="836">
        <f>IFERROR(VLOOKUP(C256,[3]List1!$A:$D,2,FALSE),"N/A!")</f>
        <v>18300</v>
      </c>
      <c r="Q256" s="680" t="s">
        <v>1030</v>
      </c>
      <c r="R256" s="680" t="s">
        <v>24</v>
      </c>
      <c r="S256" s="680"/>
      <c r="T256" s="681">
        <v>20</v>
      </c>
      <c r="U256" s="873"/>
      <c r="V256" s="684" t="str">
        <f>_xlfn.IFNA(HYPERLINK("https://www.klasekpyrotechnics.cz/c1620n14"),"")</f>
        <v>https://www.klasekpyrotechnics.cz/c1620n14</v>
      </c>
      <c r="W256" s="685" t="str">
        <f>IFERROR(VLOOKUP($C256,Popisy!A:P,MATCH($W$17,Popisy!$A$7:$P$7,0),FALSE),"---------------")</f>
        <v>4 verschiedenfarbige Effekte</v>
      </c>
      <c r="X256" s="889" t="str">
        <f t="shared" si="43"/>
        <v/>
      </c>
      <c r="Y256" s="890"/>
      <c r="Z256" s="685">
        <f>IFERROR(IF(VLOOKUP(C256,[4]List1!$A:$D,4,FALSE)=0,"",VLOOKUP(C256,[4]List1!$A:$D,4,FALSE)),"")</f>
        <v>36</v>
      </c>
      <c r="AA256" s="707"/>
      <c r="AB256" s="911" t="str">
        <f>IFERROR(IF(VLOOKUP(C256,[1]List1!$A:$D,2,FALSE)="VYPRODÁNO",$V$9,IF(VLOOKUP(C256,[1]List1!$A:$D,2,FALSE)="DOCHÁZÍ",$V$3,VLOOKUP(C256,[1]List1!$A:$D,2,FALSE))),"OFFLINE!")</f>
        <v>SKLADEM</v>
      </c>
      <c r="AC256" s="911" t="str">
        <f ca="1">IF(AO256="NE",$V$10,IF(AB256=$V$3,IF(AP256&lt;1,$V$8,$V$2&amp;" "&amp;AP256&amp;" "&amp;$V$1),IF(AB256="SKLADEM",$V$6,IFERROR(IF(OR(AB256-TODAY()&gt;21,VLOOKUP(C256,[1]List1!$A:$E,4,FALSE)=0),AB256,DAY(AB256)&amp;"."&amp;MONTH(AB256)&amp;"."&amp;YEAR(AB256)&amp;" "&amp;$V$4&amp;VLOOKUP(C256,[1]List1!$A:$E,4,FALSE)&amp;" "&amp;$V$1),AB256))))</f>
        <v>AUF LAGER</v>
      </c>
      <c r="AD256" s="686" t="str">
        <f ca="1">_xlfn.IFNA(VLOOKUP(C256,'General price list'!C:AM,MATCH($AD$20,'General price list'!$C$20:$AM$20,0),FALSE),"")</f>
        <v>AUF LAGER</v>
      </c>
      <c r="AE256" s="681">
        <f t="shared" ca="1" si="44"/>
        <v>0</v>
      </c>
      <c r="AF256" s="681">
        <f t="shared" ca="1" si="45"/>
        <v>0</v>
      </c>
      <c r="AG256" s="687">
        <f t="shared" ca="1" si="46"/>
        <v>0</v>
      </c>
      <c r="AH256" s="688">
        <f t="shared" ca="1" si="47"/>
        <v>0</v>
      </c>
      <c r="AI256" s="687">
        <f t="shared" ca="1" si="48"/>
        <v>0</v>
      </c>
      <c r="AJ256" s="689" t="str">
        <f t="shared" ca="1" si="49"/>
        <v/>
      </c>
      <c r="AK256" s="689" t="str">
        <f t="shared" ca="1" si="50"/>
        <v/>
      </c>
      <c r="AL256" s="689">
        <f t="shared" ca="1" si="51"/>
        <v>0</v>
      </c>
      <c r="AM256" s="690" t="str">
        <f t="shared" ca="1" si="52"/>
        <v/>
      </c>
      <c r="AN256" s="313"/>
      <c r="AO256" s="314" t="str">
        <f>IF($R$3=1,IF(Y256=AA256,"","NE"),IF(#REF!=$V$10,"NE",""))</f>
        <v/>
      </c>
      <c r="AP256" s="315" t="str">
        <f>IF(AB256=$V$3,IF(VLOOKUP(C256,[1]List1!$A:$E,5,FALSE)=0,1,VLOOKUP(C256,[1]List1!$A:$E,5,FALSE)),"")</f>
        <v/>
      </c>
      <c r="AW256" s="458">
        <f>IFERROR(FIND(VLOOKUP('General price list'!$AB$7,'General price list'!$AC$1:$AD$12,2,FALSE),Q256,1),0)</f>
        <v>13</v>
      </c>
      <c r="AX256" s="458">
        <f>IFERROR(FIND(VLOOKUP('General price list'!$AB$7,'General price list'!$AC$1:$AD$12,2,FALSE),R256,1),0)</f>
        <v>0</v>
      </c>
    </row>
    <row r="257" spans="1:50" ht="15" customHeight="1">
      <c r="A257" s="691" t="str">
        <f>Kat.!C257</f>
        <v xml:space="preserve">                                          </v>
      </c>
      <c r="B257" s="692">
        <v>236</v>
      </c>
      <c r="C257" s="693" t="s">
        <v>1046</v>
      </c>
      <c r="D257" s="693" t="s">
        <v>1040</v>
      </c>
      <c r="E257" s="694" t="s">
        <v>420</v>
      </c>
      <c r="F257" s="695">
        <f>VLOOKUP(C257,[2]List1!$A:$D,2,FALSE)</f>
        <v>141</v>
      </c>
      <c r="G257" s="696">
        <f t="shared" si="41"/>
        <v>141</v>
      </c>
      <c r="H257" s="697">
        <f t="shared" si="42"/>
        <v>5.7</v>
      </c>
      <c r="I257" s="837">
        <v>24</v>
      </c>
      <c r="J257" s="698" t="s">
        <v>45</v>
      </c>
      <c r="K257" s="856"/>
      <c r="L257" s="857" t="s">
        <v>13851</v>
      </c>
      <c r="M257" s="698" t="s">
        <v>25</v>
      </c>
      <c r="N257" s="869">
        <f>IFERROR(VLOOKUP(C257,[3]List1!$A:$D,4,FALSE),"N/A!")</f>
        <v>3.6861500000000005E-2</v>
      </c>
      <c r="O257" s="837">
        <f>IFERROR(VLOOKUP(C257,[3]List1!$A:$D,3,FALSE),"N/A!")</f>
        <v>3072</v>
      </c>
      <c r="P257" s="837">
        <f>IFERROR(VLOOKUP(C257,[3]List1!$A:$D,2,FALSE),"N/A!")</f>
        <v>17916</v>
      </c>
      <c r="Q257" s="698" t="s">
        <v>13755</v>
      </c>
      <c r="R257" s="698" t="s">
        <v>24</v>
      </c>
      <c r="S257" s="698"/>
      <c r="T257" s="695">
        <v>20</v>
      </c>
      <c r="U257" s="874"/>
      <c r="V257" s="699" t="str">
        <f>_xlfn.IFNA(HYPERLINK("https://www.klasekpyrotechnics.cz/c1620m14"),"")</f>
        <v>https://www.klasekpyrotechnics.cz/c1620m14</v>
      </c>
      <c r="W257" s="700" t="str">
        <f>IFERROR(VLOOKUP($C257,Popisy!A:P,MATCH($W$17,Popisy!$A$7:$P$7,0),FALSE),"---------------")</f>
        <v>4 verschiedenfarbige Effekte</v>
      </c>
      <c r="X257" s="891" t="str">
        <f t="shared" si="43"/>
        <v/>
      </c>
      <c r="Y257" s="892"/>
      <c r="Z257" s="700">
        <f>IFERROR(IF(VLOOKUP(C257,[4]List1!$A:$D,4,FALSE)=0,"",VLOOKUP(C257,[4]List1!$A:$D,4,FALSE)),"")</f>
        <v>36</v>
      </c>
      <c r="AA257" s="707"/>
      <c r="AB257" s="912" t="str">
        <f>IFERROR(IF(VLOOKUP(C257,[1]List1!$A:$D,2,FALSE)="VYPRODÁNO",$V$9,IF(VLOOKUP(C257,[1]List1!$A:$D,2,FALSE)="DOCHÁZÍ",$V$3,VLOOKUP(C257,[1]List1!$A:$D,2,FALSE))),"OFFLINE!")</f>
        <v>SKLADEM</v>
      </c>
      <c r="AC257" s="912" t="str">
        <f ca="1">IF(AO257="NE",$V$10,IF(AB257=$V$3,IF(AP257&lt;1,$V$8,$V$2&amp;" "&amp;AP257&amp;" "&amp;$V$1),IF(AB257="SKLADEM",$V$6,IFERROR(IF(OR(AB257-TODAY()&gt;21,VLOOKUP(C257,[1]List1!$A:$E,4,FALSE)=0),AB257,DAY(AB257)&amp;"."&amp;MONTH(AB257)&amp;"."&amp;YEAR(AB257)&amp;" "&amp;$V$4&amp;VLOOKUP(C257,[1]List1!$A:$E,4,FALSE)&amp;" "&amp;$V$1),AB257))))</f>
        <v>AUF LAGER</v>
      </c>
      <c r="AD257" s="701" t="str">
        <f ca="1">_xlfn.IFNA(VLOOKUP(C257,'General price list'!C:AM,MATCH($AD$20,'General price list'!$C$20:$AM$20,0),FALSE),"")</f>
        <v>AUF LAGER</v>
      </c>
      <c r="AE257" s="695">
        <f t="shared" ca="1" si="44"/>
        <v>0</v>
      </c>
      <c r="AF257" s="695">
        <f t="shared" ca="1" si="45"/>
        <v>0</v>
      </c>
      <c r="AG257" s="702">
        <f t="shared" ca="1" si="46"/>
        <v>0</v>
      </c>
      <c r="AH257" s="703">
        <f t="shared" ca="1" si="47"/>
        <v>0</v>
      </c>
      <c r="AI257" s="702">
        <f t="shared" ca="1" si="48"/>
        <v>0</v>
      </c>
      <c r="AJ257" s="704" t="str">
        <f t="shared" ca="1" si="49"/>
        <v/>
      </c>
      <c r="AK257" s="704" t="str">
        <f t="shared" ca="1" si="50"/>
        <v/>
      </c>
      <c r="AL257" s="704">
        <f t="shared" ca="1" si="51"/>
        <v>0</v>
      </c>
      <c r="AM257" s="705" t="str">
        <f t="shared" ca="1" si="52"/>
        <v/>
      </c>
      <c r="AN257" s="313"/>
      <c r="AO257" s="314" t="str">
        <f>IF($R$3=1,IF(Y257=AA257,"","NE"),IF(#REF!=$V$10,"NE",""))</f>
        <v/>
      </c>
      <c r="AP257" s="315" t="str">
        <f>IF(AB257=$V$3,IF(VLOOKUP(C257,[1]List1!$A:$E,5,FALSE)=0,1,VLOOKUP(C257,[1]List1!$A:$E,5,FALSE)),"")</f>
        <v/>
      </c>
      <c r="AW257" s="458">
        <f>IFERROR(FIND(VLOOKUP('General price list'!$AB$7,'General price list'!$AC$1:$AD$12,2,FALSE),Q257,1),0)</f>
        <v>7</v>
      </c>
      <c r="AX257" s="458">
        <f>IFERROR(FIND(VLOOKUP('General price list'!$AB$7,'General price list'!$AC$1:$AD$12,2,FALSE),R257,1),0)</f>
        <v>0</v>
      </c>
    </row>
    <row r="258" spans="1:50" ht="15" customHeight="1">
      <c r="A258" s="677" t="str">
        <f>Kat.!C258</f>
        <v xml:space="preserve">                                          </v>
      </c>
      <c r="B258" s="678">
        <v>237</v>
      </c>
      <c r="C258" s="679" t="s">
        <v>1047</v>
      </c>
      <c r="D258" s="679" t="s">
        <v>1042</v>
      </c>
      <c r="E258" s="680" t="s">
        <v>420</v>
      </c>
      <c r="F258" s="681">
        <f>VLOOKUP(C258,[2]List1!$A:$D,2,FALSE)</f>
        <v>141</v>
      </c>
      <c r="G258" s="682">
        <f t="shared" si="41"/>
        <v>141</v>
      </c>
      <c r="H258" s="683">
        <f t="shared" si="42"/>
        <v>5.7</v>
      </c>
      <c r="I258" s="836">
        <v>24</v>
      </c>
      <c r="J258" s="680" t="s">
        <v>45</v>
      </c>
      <c r="K258" s="854"/>
      <c r="L258" s="855" t="s">
        <v>13851</v>
      </c>
      <c r="M258" s="680" t="s">
        <v>25</v>
      </c>
      <c r="N258" s="868">
        <f>IFERROR(VLOOKUP(C258,[3]List1!$A:$D,4,FALSE),"N/A!")</f>
        <v>3.6861500000000005E-2</v>
      </c>
      <c r="O258" s="836">
        <f>IFERROR(VLOOKUP(C258,[3]List1!$A:$D,3,FALSE),"N/A!")</f>
        <v>3072</v>
      </c>
      <c r="P258" s="836">
        <f>IFERROR(VLOOKUP(C258,[3]List1!$A:$D,2,FALSE),"N/A!")</f>
        <v>17800</v>
      </c>
      <c r="Q258" s="680" t="s">
        <v>2570</v>
      </c>
      <c r="R258" s="680" t="s">
        <v>24</v>
      </c>
      <c r="S258" s="680"/>
      <c r="T258" s="681">
        <v>20</v>
      </c>
      <c r="U258" s="873"/>
      <c r="V258" s="684" t="str">
        <f>_xlfn.IFNA(HYPERLINK("https://www.klasekpyrotechnics.cz/c1620f14"),"")</f>
        <v>https://www.klasekpyrotechnics.cz/c1620f14</v>
      </c>
      <c r="W258" s="685" t="str">
        <f>IFERROR(VLOOKUP($C258,Popisy!A:P,MATCH($W$17,Popisy!$A$7:$P$7,0),FALSE),"---------------")</f>
        <v>4 verschiedenfarbige Effekte</v>
      </c>
      <c r="X258" s="889" t="str">
        <f t="shared" si="43"/>
        <v/>
      </c>
      <c r="Y258" s="890"/>
      <c r="Z258" s="685">
        <f>IFERROR(IF(VLOOKUP(C258,[4]List1!$A:$D,4,FALSE)=0,"",VLOOKUP(C258,[4]List1!$A:$D,4,FALSE)),"")</f>
        <v>36</v>
      </c>
      <c r="AA258" s="707"/>
      <c r="AB258" s="911" t="str">
        <f>IFERROR(IF(VLOOKUP(C258,[1]List1!$A:$D,2,FALSE)="VYPRODÁNO",$V$9,IF(VLOOKUP(C258,[1]List1!$A:$D,2,FALSE)="DOCHÁZÍ",$V$3,VLOOKUP(C258,[1]List1!$A:$D,2,FALSE))),"OFFLINE!")</f>
        <v>SKLADEM</v>
      </c>
      <c r="AC258" s="911" t="str">
        <f ca="1">IF(AO258="NE",$V$10,IF(AB258=$V$3,IF(AP258&lt;1,$V$8,$V$2&amp;" "&amp;AP258&amp;" "&amp;$V$1),IF(AB258="SKLADEM",$V$6,IFERROR(IF(OR(AB258-TODAY()&gt;21,VLOOKUP(C258,[1]List1!$A:$E,4,FALSE)=0),AB258,DAY(AB258)&amp;"."&amp;MONTH(AB258)&amp;"."&amp;YEAR(AB258)&amp;" "&amp;$V$4&amp;VLOOKUP(C258,[1]List1!$A:$E,4,FALSE)&amp;" "&amp;$V$1),AB258))))</f>
        <v>AUF LAGER</v>
      </c>
      <c r="AD258" s="686">
        <f>_xlfn.IFNA(VLOOKUP(C258,'General price list'!C:AM,MATCH($AD$20,'General price list'!$C$20:$AM$20,0),FALSE),"")</f>
        <v>0</v>
      </c>
      <c r="AE258" s="681">
        <f t="shared" si="44"/>
        <v>0</v>
      </c>
      <c r="AF258" s="681">
        <f t="shared" si="45"/>
        <v>0</v>
      </c>
      <c r="AG258" s="687">
        <f t="shared" si="46"/>
        <v>0</v>
      </c>
      <c r="AH258" s="688">
        <f t="shared" si="47"/>
        <v>0</v>
      </c>
      <c r="AI258" s="687">
        <f t="shared" si="48"/>
        <v>0</v>
      </c>
      <c r="AJ258" s="689" t="str">
        <f t="shared" si="49"/>
        <v/>
      </c>
      <c r="AK258" s="689" t="str">
        <f t="shared" si="50"/>
        <v/>
      </c>
      <c r="AL258" s="689">
        <f t="shared" si="51"/>
        <v>0</v>
      </c>
      <c r="AM258" s="690" t="str">
        <f t="shared" si="52"/>
        <v/>
      </c>
      <c r="AN258" s="313"/>
      <c r="AO258" s="314" t="str">
        <f>IF($R$3=1,IF(Y258=AA258,"","NE"),IF(#REF!=$V$10,"NE",""))</f>
        <v/>
      </c>
      <c r="AP258" s="315" t="str">
        <f>IF(AB258=$V$3,IF(VLOOKUP(C258,[1]List1!$A:$E,5,FALSE)=0,1,VLOOKUP(C258,[1]List1!$A:$E,5,FALSE)),"")</f>
        <v/>
      </c>
      <c r="AW258" s="458">
        <f>IFERROR(FIND(VLOOKUP('General price list'!$AB$7,'General price list'!$AC$1:$AD$12,2,FALSE),Q258,1),0)</f>
        <v>7</v>
      </c>
      <c r="AX258" s="458">
        <f>IFERROR(FIND(VLOOKUP('General price list'!$AB$7,'General price list'!$AC$1:$AD$12,2,FALSE),R258,1),0)</f>
        <v>0</v>
      </c>
    </row>
    <row r="259" spans="1:50" ht="15" customHeight="1">
      <c r="A259" s="672" t="str">
        <f>Kat.!C259</f>
        <v xml:space="preserve">                                          Batterien 25 schuss, 20mm Mörser-1.3G</v>
      </c>
      <c r="B259" s="692">
        <v>238</v>
      </c>
      <c r="C259" s="693"/>
      <c r="D259" s="693"/>
      <c r="E259" s="694"/>
      <c r="F259" s="695" t="str">
        <f>IFERROR(ROUND(VLOOKUP(C259,'General price list'!$C:$AN,4,FALSE),0),"")</f>
        <v/>
      </c>
      <c r="G259" s="696" t="str">
        <f t="shared" si="41"/>
        <v/>
      </c>
      <c r="H259" s="697" t="str">
        <f t="shared" si="42"/>
        <v/>
      </c>
      <c r="I259" s="837"/>
      <c r="J259" s="698"/>
      <c r="K259" s="856"/>
      <c r="L259" s="857"/>
      <c r="M259" s="698"/>
      <c r="N259" s="869" t="str">
        <f>IFERROR(IF(VLOOKUP($C259,'General price list'!$C:$AN,MATCH(N$20,'General price list'!$C$20:$AM$20,0),FALSE)=0,"",VLOOKUP($C259,'General price list'!$C:$AN,MATCH(N$20,'General price list'!$C$20:$AM$20,0),FALSE)),"")</f>
        <v/>
      </c>
      <c r="O259" s="837" t="str">
        <f>IFERROR(IF(VLOOKUP($C259,'General price list'!$C:$AN,MATCH(O$20,'General price list'!$C$20:$AM$20,0),FALSE)=0,"",VLOOKUP($C259,'General price list'!$C:$AN,MATCH(O$20,'General price list'!$C$20:$AM$20,0),FALSE)),"")</f>
        <v/>
      </c>
      <c r="P259" s="837" t="str">
        <f>IFERROR(IF(VLOOKUP($C259,'General price list'!$C:$AN,MATCH(P$20,'General price list'!$C$20:$AM$20,0),FALSE)=0,"",VLOOKUP($C259,'General price list'!$C:$AN,MATCH(P$20,'General price list'!$C$20:$AM$20,0),FALSE)),"")</f>
        <v/>
      </c>
      <c r="Q259" s="698"/>
      <c r="R259" s="698"/>
      <c r="S259" s="698"/>
      <c r="T259" s="695"/>
      <c r="U259" s="874"/>
      <c r="V259" s="699"/>
      <c r="W259" s="700" t="str">
        <f>IFERROR(VLOOKUP($C259,'General price list'!$C:$AN,MATCH(W$20,'General price list'!$C$20:$AM$20,0),FALSE),"")</f>
        <v/>
      </c>
      <c r="X259" s="891" t="str">
        <f t="shared" si="43"/>
        <v/>
      </c>
      <c r="Y259" s="892"/>
      <c r="Z259" s="700" t="str">
        <f>IFERROR(VLOOKUP($C259,'General price list'!$C:$AN,MATCH(Z$20,'General price list'!$C$20:$AM$20,0),FALSE),"")</f>
        <v/>
      </c>
      <c r="AA259" s="707"/>
      <c r="AB259" s="912" t="str">
        <f>IFERROR(IF(VLOOKUP(C259,[1]List1!$A:$D,2,FALSE)="VYPRODÁNO",$V$9,IF(VLOOKUP(C259,[1]List1!$A:$D,2,FALSE)="DOCHÁZÍ",$V$3,VLOOKUP(C259,[1]List1!$A:$D,2,FALSE))),"OFFLINE!")</f>
        <v>OFFLINE!</v>
      </c>
      <c r="AC259" s="912" t="str">
        <f ca="1">IF(AO259="NE",$V$10,IF(AB259=$V$3,IF(AP259&lt;1,$V$8,$V$2&amp;" "&amp;AP259&amp;" "&amp;$V$1),IF(AB259="SKLADEM",$V$6,IFERROR(IF(OR(AB259-TODAY()&gt;21,VLOOKUP(C259,[1]List1!$A:$E,4,FALSE)=0),AB259,DAY(AB259)&amp;"."&amp;MONTH(AB259)&amp;"."&amp;YEAR(AB259)&amp;" "&amp;$V$4&amp;VLOOKUP(C259,[1]List1!$A:$E,4,FALSE)&amp;" "&amp;$V$1),AB259))))</f>
        <v>OFFLINE!</v>
      </c>
      <c r="AD259" s="701" t="str">
        <f>_xlfn.IFNA(VLOOKUP(C259,'General price list'!C:AM,MATCH($AD$20,'General price list'!$C$20:$AM$20,0),FALSE),"")</f>
        <v/>
      </c>
      <c r="AE259" s="695" t="str">
        <f t="shared" si="44"/>
        <v/>
      </c>
      <c r="AF259" s="695" t="str">
        <f t="shared" si="45"/>
        <v/>
      </c>
      <c r="AG259" s="702" t="str">
        <f t="shared" si="46"/>
        <v/>
      </c>
      <c r="AH259" s="703" t="str">
        <f t="shared" si="47"/>
        <v/>
      </c>
      <c r="AI259" s="702" t="str">
        <f t="shared" si="48"/>
        <v/>
      </c>
      <c r="AJ259" s="704" t="str">
        <f t="shared" si="49"/>
        <v/>
      </c>
      <c r="AK259" s="704" t="str">
        <f t="shared" si="50"/>
        <v/>
      </c>
      <c r="AL259" s="704" t="str">
        <f t="shared" si="51"/>
        <v/>
      </c>
      <c r="AM259" s="705" t="str">
        <f t="shared" si="52"/>
        <v/>
      </c>
      <c r="AN259" s="313"/>
      <c r="AO259" s="314" t="str">
        <f>IF($R$3=1,IF(Y259=AA259,"","NE"),IF(#REF!=$V$10,"NE",""))</f>
        <v/>
      </c>
      <c r="AP259" s="315" t="str">
        <f>IF(AB259=$V$3,IF(VLOOKUP(C259,[1]List1!$A:$E,5,FALSE)=0,1,VLOOKUP(C259,[1]List1!$A:$E,5,FALSE)),"")</f>
        <v/>
      </c>
      <c r="AW259" s="291" t="e">
        <f>VLOOKUP(C259,'General price list'!C:AU,46,FALSE)</f>
        <v>#N/A</v>
      </c>
      <c r="AX259" s="291" t="e">
        <f>VLOOKUP(C259,'General price list'!C:AU,47,FALSE)</f>
        <v>#N/A</v>
      </c>
    </row>
    <row r="260" spans="1:50" ht="15" customHeight="1">
      <c r="A260" s="677" t="str">
        <f>Kat.!C260</f>
        <v xml:space="preserve">                                          </v>
      </c>
      <c r="B260" s="678">
        <v>239</v>
      </c>
      <c r="C260" s="679" t="s">
        <v>1051</v>
      </c>
      <c r="D260" s="679" t="s">
        <v>1052</v>
      </c>
      <c r="E260" s="680" t="s">
        <v>399</v>
      </c>
      <c r="F260" s="681">
        <f>VLOOKUP(C260,[2]List1!$A:$D,2,FALSE)</f>
        <v>214</v>
      </c>
      <c r="G260" s="682">
        <f t="shared" si="41"/>
        <v>214</v>
      </c>
      <c r="H260" s="683">
        <f t="shared" si="42"/>
        <v>8.6999999999999993</v>
      </c>
      <c r="I260" s="836">
        <v>12</v>
      </c>
      <c r="J260" s="680" t="s">
        <v>45</v>
      </c>
      <c r="K260" s="854"/>
      <c r="L260" s="855" t="s">
        <v>13849</v>
      </c>
      <c r="M260" s="680" t="s">
        <v>131</v>
      </c>
      <c r="N260" s="868">
        <f>IFERROR(VLOOKUP(C260,[3]List1!$A:$D,4,FALSE),"N/A!")</f>
        <v>2.6871000000000003E-2</v>
      </c>
      <c r="O260" s="836">
        <f>IFERROR(VLOOKUP(C260,[3]List1!$A:$D,3,FALSE),"N/A!")</f>
        <v>2400</v>
      </c>
      <c r="P260" s="836">
        <f>IFERROR(VLOOKUP(C260,[3]List1!$A:$D,2,FALSE),"N/A!")</f>
        <v>13000</v>
      </c>
      <c r="Q260" s="680" t="s">
        <v>44</v>
      </c>
      <c r="R260" s="680" t="s">
        <v>24</v>
      </c>
      <c r="S260" s="680"/>
      <c r="T260" s="681">
        <v>30</v>
      </c>
      <c r="U260" s="873"/>
      <c r="V260" s="684" t="str">
        <f>_xlfn.IFNA(HYPERLINK("https://www.klasekpyrotechnics.cz/c2520z"),"")</f>
        <v>https://www.klasekpyrotechnics.cz/c2520z</v>
      </c>
      <c r="W260" s="685" t="str">
        <f>IFERROR(VLOOKUP($C260,Popisy!A:P,MATCH($W$17,Popisy!$A$7:$P$7,0),FALSE),"---------------")</f>
        <v>5 verschiedenfarbige Effekte</v>
      </c>
      <c r="X260" s="889" t="str">
        <f t="shared" si="43"/>
        <v/>
      </c>
      <c r="Y260" s="890"/>
      <c r="Z260" s="685">
        <f>IFERROR(IF(VLOOKUP(C260,[4]List1!$A:$D,4,FALSE)=0,"",VLOOKUP(C260,[4]List1!$A:$D,4,FALSE)),"")</f>
        <v>54</v>
      </c>
      <c r="AA260" s="707"/>
      <c r="AB260" s="911" t="str">
        <f>IFERROR(IF(VLOOKUP(C260,[1]List1!$A:$D,2,FALSE)="VYPRODÁNO",$V$9,IF(VLOOKUP(C260,[1]List1!$A:$D,2,FALSE)="DOCHÁZÍ",$V$3,VLOOKUP(C260,[1]List1!$A:$D,2,FALSE))),"OFFLINE!")</f>
        <v>SKLADEM</v>
      </c>
      <c r="AC260" s="911" t="str">
        <f ca="1">IF(AO260="NE",$V$10,IF(AB260=$V$3,IF(AP260&lt;1,$V$8,$V$2&amp;" "&amp;AP260&amp;" "&amp;$V$1),IF(AB260="SKLADEM",$V$6,IFERROR(IF(OR(AB260-TODAY()&gt;21,VLOOKUP(C260,[1]List1!$A:$E,4,FALSE)=0),AB260,DAY(AB260)&amp;"."&amp;MONTH(AB260)&amp;"."&amp;YEAR(AB260)&amp;" "&amp;$V$4&amp;VLOOKUP(C260,[1]List1!$A:$E,4,FALSE)&amp;" "&amp;$V$1),AB260))))</f>
        <v>AUF LAGER</v>
      </c>
      <c r="AD260" s="686" t="str">
        <f ca="1">_xlfn.IFNA(VLOOKUP(C260,'General price list'!C:AM,MATCH($AD$20,'General price list'!$C$20:$AM$20,0),FALSE),"")</f>
        <v>AUF LAGER</v>
      </c>
      <c r="AE260" s="681">
        <f t="shared" ca="1" si="44"/>
        <v>0</v>
      </c>
      <c r="AF260" s="681">
        <f t="shared" ca="1" si="45"/>
        <v>0</v>
      </c>
      <c r="AG260" s="687">
        <f t="shared" ca="1" si="46"/>
        <v>0</v>
      </c>
      <c r="AH260" s="688">
        <f t="shared" ca="1" si="47"/>
        <v>0</v>
      </c>
      <c r="AI260" s="687">
        <f t="shared" ca="1" si="48"/>
        <v>0</v>
      </c>
      <c r="AJ260" s="689" t="str">
        <f t="shared" ca="1" si="49"/>
        <v/>
      </c>
      <c r="AK260" s="689">
        <f t="shared" ca="1" si="50"/>
        <v>0</v>
      </c>
      <c r="AL260" s="689" t="str">
        <f t="shared" ca="1" si="51"/>
        <v/>
      </c>
      <c r="AM260" s="690" t="str">
        <f t="shared" ca="1" si="52"/>
        <v/>
      </c>
      <c r="AN260" s="381"/>
      <c r="AO260" s="314" t="str">
        <f>IF($R$3=1,IF(Y260=AA260,"","NE"),IF(#REF!=$V$10,"NE",""))</f>
        <v/>
      </c>
      <c r="AP260" s="315" t="str">
        <f>IF(AB260=$V$3,IF(VLOOKUP(C260,[1]List1!$A:$E,5,FALSE)=0,1,VLOOKUP(C260,[1]List1!$A:$E,5,FALSE)),"")</f>
        <v/>
      </c>
      <c r="AW260" s="458">
        <f>IFERROR(FIND(VLOOKUP('General price list'!$AB$7,'General price list'!$AC$1:$AD$12,2,FALSE),Q260,1),0)</f>
        <v>13</v>
      </c>
      <c r="AX260" s="458">
        <f>IFERROR(FIND(VLOOKUP('General price list'!$AB$7,'General price list'!$AC$1:$AD$12,2,FALSE),R260,1),0)</f>
        <v>0</v>
      </c>
    </row>
    <row r="261" spans="1:50" ht="15" customHeight="1">
      <c r="A261" s="691" t="str">
        <f>Kat.!C261</f>
        <v xml:space="preserve">                                          </v>
      </c>
      <c r="B261" s="692">
        <v>240</v>
      </c>
      <c r="C261" s="693" t="s">
        <v>1054</v>
      </c>
      <c r="D261" s="693" t="s">
        <v>1055</v>
      </c>
      <c r="E261" s="694" t="s">
        <v>399</v>
      </c>
      <c r="F261" s="695">
        <f>VLOOKUP(C261,[2]List1!$A:$D,2,FALSE)</f>
        <v>214</v>
      </c>
      <c r="G261" s="696">
        <f t="shared" si="41"/>
        <v>214</v>
      </c>
      <c r="H261" s="697">
        <f t="shared" si="42"/>
        <v>8.6999999999999993</v>
      </c>
      <c r="I261" s="837">
        <v>12</v>
      </c>
      <c r="J261" s="698" t="s">
        <v>45</v>
      </c>
      <c r="K261" s="856"/>
      <c r="L261" s="857" t="s">
        <v>13849</v>
      </c>
      <c r="M261" s="698" t="s">
        <v>131</v>
      </c>
      <c r="N261" s="869">
        <f>IFERROR(VLOOKUP(C261,[3]List1!$A:$D,4,FALSE),"N/A!")</f>
        <v>2.6871000000000003E-2</v>
      </c>
      <c r="O261" s="837">
        <f>IFERROR(VLOOKUP(C261,[3]List1!$A:$D,3,FALSE),"N/A!")</f>
        <v>2400</v>
      </c>
      <c r="P261" s="837">
        <f>IFERROR(VLOOKUP(C261,[3]List1!$A:$D,2,FALSE),"N/A!")</f>
        <v>13000</v>
      </c>
      <c r="Q261" s="698" t="s">
        <v>13757</v>
      </c>
      <c r="R261" s="698" t="s">
        <v>24</v>
      </c>
      <c r="S261" s="698"/>
      <c r="T261" s="695">
        <v>30</v>
      </c>
      <c r="U261" s="874"/>
      <c r="V261" s="699" t="str">
        <f>_xlfn.IFNA(HYPERLINK("https://www.klasekpyrotechnics.cz/c2520di"),"")</f>
        <v>https://www.klasekpyrotechnics.cz/c2520di</v>
      </c>
      <c r="W261" s="700" t="str">
        <f>IFERROR(VLOOKUP($C261,Popisy!A:P,MATCH($W$17,Popisy!$A$7:$P$7,0),FALSE),"---------------")</f>
        <v>5 verschiedenfarbige Effekte</v>
      </c>
      <c r="X261" s="891" t="str">
        <f t="shared" si="43"/>
        <v/>
      </c>
      <c r="Y261" s="892"/>
      <c r="Z261" s="700">
        <f>IFERROR(IF(VLOOKUP(C261,[4]List1!$A:$D,4,FALSE)=0,"",VLOOKUP(C261,[4]List1!$A:$D,4,FALSE)),"")</f>
        <v>54</v>
      </c>
      <c r="AA261" s="707"/>
      <c r="AB261" s="912" t="str">
        <f>IFERROR(IF(VLOOKUP(C261,[1]List1!$A:$D,2,FALSE)="VYPRODÁNO",$V$9,IF(VLOOKUP(C261,[1]List1!$A:$D,2,FALSE)="DOCHÁZÍ",$V$3,VLOOKUP(C261,[1]List1!$A:$D,2,FALSE))),"OFFLINE!")</f>
        <v>30.09.2024</v>
      </c>
      <c r="AC261" s="912" t="str">
        <f ca="1">IF(AO261="NE",$V$10,IF(AB261=$V$3,IF(AP261&lt;1,$V$8,$V$2&amp;" "&amp;AP261&amp;" "&amp;$V$1),IF(AB261="SKLADEM",$V$6,IFERROR(IF(OR(AB261-TODAY()&gt;21,VLOOKUP(C261,[1]List1!$A:$E,4,FALSE)=0),AB261,DAY(AB261)&amp;"."&amp;MONTH(AB261)&amp;"."&amp;YEAR(AB261)&amp;" "&amp;$V$4&amp;VLOOKUP(C261,[1]List1!$A:$E,4,FALSE)&amp;" "&amp;$V$1),AB261))))</f>
        <v>30.09.2024</v>
      </c>
      <c r="AD261" s="701" t="str">
        <f ca="1">_xlfn.IFNA(VLOOKUP(C261,'General price list'!C:AM,MATCH($AD$20,'General price list'!$C$20:$AM$20,0),FALSE),"")</f>
        <v>30.09.2024</v>
      </c>
      <c r="AE261" s="695">
        <f t="shared" ca="1" si="44"/>
        <v>0</v>
      </c>
      <c r="AF261" s="695">
        <f t="shared" ca="1" si="45"/>
        <v>0</v>
      </c>
      <c r="AG261" s="702">
        <f t="shared" ca="1" si="46"/>
        <v>0</v>
      </c>
      <c r="AH261" s="703">
        <f t="shared" ca="1" si="47"/>
        <v>0</v>
      </c>
      <c r="AI261" s="702">
        <f t="shared" ca="1" si="48"/>
        <v>0</v>
      </c>
      <c r="AJ261" s="704" t="str">
        <f t="shared" ca="1" si="49"/>
        <v/>
      </c>
      <c r="AK261" s="704">
        <f t="shared" ca="1" si="50"/>
        <v>0</v>
      </c>
      <c r="AL261" s="704" t="str">
        <f t="shared" ca="1" si="51"/>
        <v/>
      </c>
      <c r="AM261" s="705" t="str">
        <f t="shared" ca="1" si="52"/>
        <v/>
      </c>
      <c r="AN261" s="313"/>
      <c r="AO261" s="314" t="str">
        <f>IF($R$3=1,IF(Y261=AA261,"","NE"),IF(#REF!=$V$10,"NE",""))</f>
        <v/>
      </c>
      <c r="AP261" s="315" t="str">
        <f>IF(AB261=$V$3,IF(VLOOKUP(C261,[1]List1!$A:$E,5,FALSE)=0,1,VLOOKUP(C261,[1]List1!$A:$E,5,FALSE)),"")</f>
        <v/>
      </c>
      <c r="AW261" s="458">
        <f>IFERROR(FIND(VLOOKUP('General price list'!$AB$7,'General price list'!$AC$1:$AD$12,2,FALSE),Q261,1),0)</f>
        <v>16</v>
      </c>
      <c r="AX261" s="458">
        <f>IFERROR(FIND(VLOOKUP('General price list'!$AB$7,'General price list'!$AC$1:$AD$12,2,FALSE),R261,1),0)</f>
        <v>0</v>
      </c>
    </row>
    <row r="262" spans="1:50" ht="15" customHeight="1">
      <c r="A262" s="677" t="str">
        <f>Kat.!C262</f>
        <v xml:space="preserve">                                          </v>
      </c>
      <c r="B262" s="678">
        <v>241</v>
      </c>
      <c r="C262" s="679" t="s">
        <v>1056</v>
      </c>
      <c r="D262" s="679" t="s">
        <v>1057</v>
      </c>
      <c r="E262" s="680" t="s">
        <v>399</v>
      </c>
      <c r="F262" s="681">
        <f>VLOOKUP(C262,[2]List1!$A:$D,2,FALSE)</f>
        <v>214</v>
      </c>
      <c r="G262" s="682">
        <f t="shared" si="41"/>
        <v>214</v>
      </c>
      <c r="H262" s="683">
        <f t="shared" si="42"/>
        <v>8.6999999999999993</v>
      </c>
      <c r="I262" s="836">
        <v>12</v>
      </c>
      <c r="J262" s="680" t="s">
        <v>45</v>
      </c>
      <c r="K262" s="854"/>
      <c r="L262" s="855" t="s">
        <v>13849</v>
      </c>
      <c r="M262" s="680" t="s">
        <v>131</v>
      </c>
      <c r="N262" s="868">
        <f>IFERROR(VLOOKUP(C262,[3]List1!$A:$D,4,FALSE),"N/A!")</f>
        <v>2.6871000000000003E-2</v>
      </c>
      <c r="O262" s="836">
        <f>IFERROR(VLOOKUP(C262,[3]List1!$A:$D,3,FALSE),"N/A!")</f>
        <v>2400</v>
      </c>
      <c r="P262" s="836">
        <f>IFERROR(VLOOKUP(C262,[3]List1!$A:$D,2,FALSE),"N/A!")</f>
        <v>11600</v>
      </c>
      <c r="Q262" s="680" t="s">
        <v>44</v>
      </c>
      <c r="R262" s="680" t="s">
        <v>24</v>
      </c>
      <c r="S262" s="680"/>
      <c r="T262" s="681">
        <v>30</v>
      </c>
      <c r="U262" s="873"/>
      <c r="V262" s="684" t="str">
        <f>_xlfn.IFNA(HYPERLINK("https://www.klasekpyrotechnics.cz/c2520t"),"")</f>
        <v>https://www.klasekpyrotechnics.cz/c2520t</v>
      </c>
      <c r="W262" s="685" t="str">
        <f>IFERROR(VLOOKUP($C262,Popisy!A:P,MATCH($W$17,Popisy!$A$7:$P$7,0),FALSE),"---------------")</f>
        <v>5 verschiedenfarbige Effekte</v>
      </c>
      <c r="X262" s="889" t="str">
        <f t="shared" si="43"/>
        <v/>
      </c>
      <c r="Y262" s="890"/>
      <c r="Z262" s="685">
        <f>IFERROR(IF(VLOOKUP(C262,[4]List1!$A:$D,4,FALSE)=0,"",VLOOKUP(C262,[4]List1!$A:$D,4,FALSE)),"")</f>
        <v>54</v>
      </c>
      <c r="AA262" s="707"/>
      <c r="AB262" s="911" t="str">
        <f>IFERROR(IF(VLOOKUP(C262,[1]List1!$A:$D,2,FALSE)="VYPRODÁNO",$V$9,IF(VLOOKUP(C262,[1]List1!$A:$D,2,FALSE)="DOCHÁZÍ",$V$3,VLOOKUP(C262,[1]List1!$A:$D,2,FALSE))),"OFFLINE!")</f>
        <v>SKLADEM</v>
      </c>
      <c r="AC262" s="911" t="str">
        <f ca="1">IF(AO262="NE",$V$10,IF(AB262=$V$3,IF(AP262&lt;1,$V$8,$V$2&amp;" "&amp;AP262&amp;" "&amp;$V$1),IF(AB262="SKLADEM",$V$6,IFERROR(IF(OR(AB262-TODAY()&gt;21,VLOOKUP(C262,[1]List1!$A:$E,4,FALSE)=0),AB262,DAY(AB262)&amp;"."&amp;MONTH(AB262)&amp;"."&amp;YEAR(AB262)&amp;" "&amp;$V$4&amp;VLOOKUP(C262,[1]List1!$A:$E,4,FALSE)&amp;" "&amp;$V$1),AB262))))</f>
        <v>AUF LAGER</v>
      </c>
      <c r="AD262" s="686" t="str">
        <f ca="1">_xlfn.IFNA(VLOOKUP(C262,'General price list'!C:AM,MATCH($AD$20,'General price list'!$C$20:$AM$20,0),FALSE),"")</f>
        <v>AUF LAGER</v>
      </c>
      <c r="AE262" s="681">
        <f t="shared" ca="1" si="44"/>
        <v>0</v>
      </c>
      <c r="AF262" s="681">
        <f t="shared" ca="1" si="45"/>
        <v>0</v>
      </c>
      <c r="AG262" s="687">
        <f t="shared" ca="1" si="46"/>
        <v>0</v>
      </c>
      <c r="AH262" s="688">
        <f t="shared" ca="1" si="47"/>
        <v>0</v>
      </c>
      <c r="AI262" s="687">
        <f t="shared" ca="1" si="48"/>
        <v>0</v>
      </c>
      <c r="AJ262" s="689" t="str">
        <f t="shared" ca="1" si="49"/>
        <v/>
      </c>
      <c r="AK262" s="689">
        <f t="shared" ca="1" si="50"/>
        <v>0</v>
      </c>
      <c r="AL262" s="689" t="str">
        <f t="shared" ca="1" si="51"/>
        <v/>
      </c>
      <c r="AM262" s="690" t="str">
        <f t="shared" ca="1" si="52"/>
        <v/>
      </c>
      <c r="AN262" s="382"/>
      <c r="AO262" s="314" t="str">
        <f>IF($R$3=1,IF(Y262=AA262,"","NE"),IF(#REF!=$V$10,"NE",""))</f>
        <v/>
      </c>
      <c r="AP262" s="315" t="str">
        <f>IF(AB262=$V$3,IF(VLOOKUP(C262,[1]List1!$A:$E,5,FALSE)=0,1,VLOOKUP(C262,[1]List1!$A:$E,5,FALSE)),"")</f>
        <v/>
      </c>
      <c r="AW262" s="458">
        <f>IFERROR(FIND(VLOOKUP('General price list'!$AB$7,'General price list'!$AC$1:$AD$12,2,FALSE),Q262,1),0)</f>
        <v>13</v>
      </c>
      <c r="AX262" s="458">
        <f>IFERROR(FIND(VLOOKUP('General price list'!$AB$7,'General price list'!$AC$1:$AD$12,2,FALSE),R262,1),0)</f>
        <v>0</v>
      </c>
    </row>
    <row r="263" spans="1:50" ht="15" customHeight="1">
      <c r="A263" s="691" t="str">
        <f>Kat.!C263</f>
        <v xml:space="preserve">                                          </v>
      </c>
      <c r="B263" s="692">
        <v>242</v>
      </c>
      <c r="C263" s="693" t="s">
        <v>1058</v>
      </c>
      <c r="D263" s="693" t="s">
        <v>1059</v>
      </c>
      <c r="E263" s="694" t="s">
        <v>399</v>
      </c>
      <c r="F263" s="695">
        <f>VLOOKUP(C263,[2]List1!$A:$D,2,FALSE)</f>
        <v>214</v>
      </c>
      <c r="G263" s="696">
        <f t="shared" si="41"/>
        <v>214</v>
      </c>
      <c r="H263" s="697">
        <f t="shared" si="42"/>
        <v>8.6999999999999993</v>
      </c>
      <c r="I263" s="837">
        <v>12</v>
      </c>
      <c r="J263" s="698" t="s">
        <v>45</v>
      </c>
      <c r="K263" s="856"/>
      <c r="L263" s="857" t="s">
        <v>13849</v>
      </c>
      <c r="M263" s="698" t="s">
        <v>131</v>
      </c>
      <c r="N263" s="869">
        <f>IFERROR(VLOOKUP(C263,[3]List1!$A:$D,4,FALSE),"N/A!")</f>
        <v>2.6871000000000003E-2</v>
      </c>
      <c r="O263" s="837">
        <f>IFERROR(VLOOKUP(C263,[3]List1!$A:$D,3,FALSE),"N/A!")</f>
        <v>2400</v>
      </c>
      <c r="P263" s="837">
        <f>IFERROR(VLOOKUP(C263,[3]List1!$A:$D,2,FALSE),"N/A!")</f>
        <v>11600</v>
      </c>
      <c r="Q263" s="698" t="s">
        <v>44</v>
      </c>
      <c r="R263" s="698" t="s">
        <v>24</v>
      </c>
      <c r="S263" s="698"/>
      <c r="T263" s="695">
        <v>30</v>
      </c>
      <c r="U263" s="874"/>
      <c r="V263" s="699" t="str">
        <f>_xlfn.IFNA(HYPERLINK("https://www.klasekpyrotechnics.cz/c2520se"),"")</f>
        <v>https://www.klasekpyrotechnics.cz/c2520se</v>
      </c>
      <c r="W263" s="700" t="str">
        <f>IFERROR(VLOOKUP($C263,Popisy!A:P,MATCH($W$17,Popisy!$A$7:$P$7,0),FALSE),"---------------")</f>
        <v>5 verschiedenfarbige Effekte</v>
      </c>
      <c r="X263" s="891" t="str">
        <f t="shared" si="43"/>
        <v/>
      </c>
      <c r="Y263" s="892"/>
      <c r="Z263" s="700">
        <f>IFERROR(IF(VLOOKUP(C263,[4]List1!$A:$D,4,FALSE)=0,"",VLOOKUP(C263,[4]List1!$A:$D,4,FALSE)),"")</f>
        <v>54</v>
      </c>
      <c r="AA263" s="707"/>
      <c r="AB263" s="912" t="str">
        <f>IFERROR(IF(VLOOKUP(C263,[1]List1!$A:$D,2,FALSE)="VYPRODÁNO",$V$9,IF(VLOOKUP(C263,[1]List1!$A:$D,2,FALSE)="DOCHÁZÍ",$V$3,VLOOKUP(C263,[1]List1!$A:$D,2,FALSE))),"OFFLINE!")</f>
        <v>SKLADEM</v>
      </c>
      <c r="AC263" s="912" t="str">
        <f ca="1">IF(AO263="NE",$V$10,IF(AB263=$V$3,IF(AP263&lt;1,$V$8,$V$2&amp;" "&amp;AP263&amp;" "&amp;$V$1),IF(AB263="SKLADEM",$V$6,IFERROR(IF(OR(AB263-TODAY()&gt;21,VLOOKUP(C263,[1]List1!$A:$E,4,FALSE)=0),AB263,DAY(AB263)&amp;"."&amp;MONTH(AB263)&amp;"."&amp;YEAR(AB263)&amp;" "&amp;$V$4&amp;VLOOKUP(C263,[1]List1!$A:$E,4,FALSE)&amp;" "&amp;$V$1),AB263))))</f>
        <v>AUF LAGER</v>
      </c>
      <c r="AD263" s="701">
        <f>_xlfn.IFNA(VLOOKUP(C263,'General price list'!C:AM,MATCH($AD$20,'General price list'!$C$20:$AM$20,0),FALSE),"")</f>
        <v>0</v>
      </c>
      <c r="AE263" s="695">
        <f t="shared" si="44"/>
        <v>0</v>
      </c>
      <c r="AF263" s="695">
        <f t="shared" si="45"/>
        <v>0</v>
      </c>
      <c r="AG263" s="702">
        <f t="shared" si="46"/>
        <v>0</v>
      </c>
      <c r="AH263" s="703">
        <f t="shared" si="47"/>
        <v>0</v>
      </c>
      <c r="AI263" s="702">
        <f t="shared" si="48"/>
        <v>0</v>
      </c>
      <c r="AJ263" s="704" t="str">
        <f t="shared" si="49"/>
        <v/>
      </c>
      <c r="AK263" s="704">
        <f t="shared" si="50"/>
        <v>0</v>
      </c>
      <c r="AL263" s="704" t="str">
        <f t="shared" si="51"/>
        <v/>
      </c>
      <c r="AM263" s="705" t="str">
        <f t="shared" si="52"/>
        <v/>
      </c>
      <c r="AN263" s="313"/>
      <c r="AO263" s="314" t="str">
        <f>IF($R$3=1,IF(Y263=AA263,"","NE"),IF(#REF!=$V$10,"NE",""))</f>
        <v/>
      </c>
      <c r="AP263" s="315" t="str">
        <f>IF(AB263=$V$3,IF(VLOOKUP(C263,[1]List1!$A:$E,5,FALSE)=0,1,VLOOKUP(C263,[1]List1!$A:$E,5,FALSE)),"")</f>
        <v/>
      </c>
      <c r="AW263" s="458">
        <f>IFERROR(FIND(VLOOKUP('General price list'!$AB$7,'General price list'!$AC$1:$AD$12,2,FALSE),Q263,1),0)</f>
        <v>13</v>
      </c>
      <c r="AX263" s="458">
        <f>IFERROR(FIND(VLOOKUP('General price list'!$AB$7,'General price list'!$AC$1:$AD$12,2,FALSE),R263,1),0)</f>
        <v>0</v>
      </c>
    </row>
    <row r="264" spans="1:50" ht="15" customHeight="1">
      <c r="A264" s="677" t="str">
        <f>Kat.!C264</f>
        <v xml:space="preserve">                                          </v>
      </c>
      <c r="B264" s="678">
        <v>243</v>
      </c>
      <c r="C264" s="679" t="s">
        <v>1063</v>
      </c>
      <c r="D264" s="679" t="s">
        <v>1064</v>
      </c>
      <c r="E264" s="680" t="s">
        <v>399</v>
      </c>
      <c r="F264" s="681">
        <f>VLOOKUP(C264,[2]List1!$A:$D,2,FALSE)</f>
        <v>214</v>
      </c>
      <c r="G264" s="682">
        <f t="shared" si="41"/>
        <v>214</v>
      </c>
      <c r="H264" s="683">
        <f t="shared" si="42"/>
        <v>8.6999999999999993</v>
      </c>
      <c r="I264" s="836">
        <v>12</v>
      </c>
      <c r="J264" s="680" t="s">
        <v>45</v>
      </c>
      <c r="K264" s="854"/>
      <c r="L264" s="855" t="s">
        <v>13849</v>
      </c>
      <c r="M264" s="680" t="s">
        <v>131</v>
      </c>
      <c r="N264" s="868">
        <f>IFERROR(VLOOKUP(C264,[3]List1!$A:$D,4,FALSE),"N/A!")</f>
        <v>2.6871000000000003E-2</v>
      </c>
      <c r="O264" s="836">
        <f>IFERROR(VLOOKUP(C264,[3]List1!$A:$D,3,FALSE),"N/A!")</f>
        <v>2400</v>
      </c>
      <c r="P264" s="836">
        <f>IFERROR(VLOOKUP(C264,[3]List1!$A:$D,2,FALSE),"N/A!")</f>
        <v>12300</v>
      </c>
      <c r="Q264" s="680" t="s">
        <v>13758</v>
      </c>
      <c r="R264" s="680" t="s">
        <v>24</v>
      </c>
      <c r="S264" s="680"/>
      <c r="T264" s="681">
        <v>30</v>
      </c>
      <c r="U264" s="873"/>
      <c r="V264" s="684" t="str">
        <f>_xlfn.IFNA(HYPERLINK("https://www.klasekpyrotechnics.cz/c2520st"),"")</f>
        <v>https://www.klasekpyrotechnics.cz/c2520st</v>
      </c>
      <c r="W264" s="685" t="str">
        <f>IFERROR(VLOOKUP($C264,Popisy!A:P,MATCH($W$17,Popisy!$A$7:$P$7,0),FALSE),"---------------")</f>
        <v>Rote Welle mit der knallenden Mitte, silberne Mine mit der roten Spur und der titanischen Detonation</v>
      </c>
      <c r="X264" s="889" t="str">
        <f t="shared" si="43"/>
        <v/>
      </c>
      <c r="Y264" s="890"/>
      <c r="Z264" s="685">
        <f>IFERROR(IF(VLOOKUP(C264,[4]List1!$A:$D,4,FALSE)=0,"",VLOOKUP(C264,[4]List1!$A:$D,4,FALSE)),"")</f>
        <v>54</v>
      </c>
      <c r="AA264" s="707"/>
      <c r="AB264" s="911" t="str">
        <f>IFERROR(IF(VLOOKUP(C264,[1]List1!$A:$D,2,FALSE)="VYPRODÁNO",$V$9,IF(VLOOKUP(C264,[1]List1!$A:$D,2,FALSE)="DOCHÁZÍ",$V$3,VLOOKUP(C264,[1]List1!$A:$D,2,FALSE))),"OFFLINE!")</f>
        <v>15.09.2024</v>
      </c>
      <c r="AC264" s="911" t="str">
        <f ca="1">IF(AO264="NE",$V$10,IF(AB264=$V$3,IF(AP264&lt;1,$V$8,$V$2&amp;" "&amp;AP264&amp;" "&amp;$V$1),IF(AB264="SKLADEM",$V$6,IFERROR(IF(OR(AB264-TODAY()&gt;21,VLOOKUP(C264,[1]List1!$A:$E,4,FALSE)=0),AB264,DAY(AB264)&amp;"."&amp;MONTH(AB264)&amp;"."&amp;YEAR(AB264)&amp;" "&amp;$V$4&amp;VLOOKUP(C264,[1]List1!$A:$E,4,FALSE)&amp;" "&amp;$V$1),AB264))))</f>
        <v>15.09.2024</v>
      </c>
      <c r="AD264" s="686" t="str">
        <f ca="1">_xlfn.IFNA(VLOOKUP(C264,'General price list'!C:AM,MATCH($AD$20,'General price list'!$C$20:$AM$20,0),FALSE),"")</f>
        <v>15.09.2024</v>
      </c>
      <c r="AE264" s="681">
        <f t="shared" ca="1" si="44"/>
        <v>0</v>
      </c>
      <c r="AF264" s="681">
        <f t="shared" ca="1" si="45"/>
        <v>0</v>
      </c>
      <c r="AG264" s="687">
        <f t="shared" ca="1" si="46"/>
        <v>0</v>
      </c>
      <c r="AH264" s="688">
        <f t="shared" ca="1" si="47"/>
        <v>0</v>
      </c>
      <c r="AI264" s="687">
        <f t="shared" ca="1" si="48"/>
        <v>0</v>
      </c>
      <c r="AJ264" s="689" t="str">
        <f t="shared" ca="1" si="49"/>
        <v/>
      </c>
      <c r="AK264" s="689">
        <f t="shared" ca="1" si="50"/>
        <v>0</v>
      </c>
      <c r="AL264" s="689" t="str">
        <f t="shared" ca="1" si="51"/>
        <v/>
      </c>
      <c r="AM264" s="690" t="str">
        <f t="shared" ca="1" si="52"/>
        <v/>
      </c>
      <c r="AN264" s="381"/>
      <c r="AO264" s="314" t="str">
        <f>IF($R$3=1,IF(Y264=AA264,"","NE"),IF(#REF!=$V$10,"NE",""))</f>
        <v/>
      </c>
      <c r="AP264" s="315" t="str">
        <f>IF(AB264=$V$3,IF(VLOOKUP(C264,[1]List1!$A:$E,5,FALSE)=0,1,VLOOKUP(C264,[1]List1!$A:$E,5,FALSE)),"")</f>
        <v/>
      </c>
      <c r="AW264" s="458">
        <f>IFERROR(FIND(VLOOKUP('General price list'!$AB$7,'General price list'!$AC$1:$AD$12,2,FALSE),Q264,1),0)</f>
        <v>19</v>
      </c>
      <c r="AX264" s="458">
        <f>IFERROR(FIND(VLOOKUP('General price list'!$AB$7,'General price list'!$AC$1:$AD$12,2,FALSE),R264,1),0)</f>
        <v>0</v>
      </c>
    </row>
    <row r="265" spans="1:50" ht="15" customHeight="1">
      <c r="A265" s="691" t="str">
        <f>Kat.!C265</f>
        <v xml:space="preserve">                                          </v>
      </c>
      <c r="B265" s="692">
        <v>244</v>
      </c>
      <c r="C265" s="693" t="s">
        <v>1068</v>
      </c>
      <c r="D265" s="693" t="s">
        <v>1069</v>
      </c>
      <c r="E265" s="694" t="s">
        <v>399</v>
      </c>
      <c r="F265" s="695">
        <f>VLOOKUP(C265,[2]List1!$A:$D,2,FALSE)</f>
        <v>214</v>
      </c>
      <c r="G265" s="696">
        <f t="shared" si="41"/>
        <v>214</v>
      </c>
      <c r="H265" s="697">
        <f t="shared" si="42"/>
        <v>8.6999999999999993</v>
      </c>
      <c r="I265" s="837">
        <v>12</v>
      </c>
      <c r="J265" s="698" t="s">
        <v>45</v>
      </c>
      <c r="K265" s="856"/>
      <c r="L265" s="857" t="s">
        <v>13849</v>
      </c>
      <c r="M265" s="698" t="s">
        <v>131</v>
      </c>
      <c r="N265" s="869">
        <f>IFERROR(VLOOKUP(C265,[3]List1!$A:$D,4,FALSE),"N/A!")</f>
        <v>2.6871000000000003E-2</v>
      </c>
      <c r="O265" s="837">
        <f>IFERROR(VLOOKUP(C265,[3]List1!$A:$D,3,FALSE),"N/A!")</f>
        <v>2400</v>
      </c>
      <c r="P265" s="837">
        <f>IFERROR(VLOOKUP(C265,[3]List1!$A:$D,2,FALSE),"N/A!")</f>
        <v>11600</v>
      </c>
      <c r="Q265" s="698" t="s">
        <v>13759</v>
      </c>
      <c r="R265" s="698" t="s">
        <v>24</v>
      </c>
      <c r="S265" s="698"/>
      <c r="T265" s="695">
        <v>30</v>
      </c>
      <c r="U265" s="874"/>
      <c r="V265" s="699" t="str">
        <f>_xlfn.IFNA(HYPERLINK("https://www.klasekpyrotechnics.cz/c2520sl"),"")</f>
        <v>https://www.klasekpyrotechnics.cz/c2520sl</v>
      </c>
      <c r="W265" s="700" t="str">
        <f>IFERROR(VLOOKUP($C265,Popisy!A:P,MATCH($W$17,Popisy!$A$7:$P$7,0),FALSE),"---------------")</f>
        <v>Silberne Welle mit grünen Enden und mit der blinkenden Mitte, orangenfarbige Spur mit orangenfarbigen Perlen und mit knallenden Sternen</v>
      </c>
      <c r="X265" s="891" t="str">
        <f t="shared" si="43"/>
        <v/>
      </c>
      <c r="Y265" s="892"/>
      <c r="Z265" s="700">
        <f>IFERROR(IF(VLOOKUP(C265,[4]List1!$A:$D,4,FALSE)=0,"",VLOOKUP(C265,[4]List1!$A:$D,4,FALSE)),"")</f>
        <v>54</v>
      </c>
      <c r="AA265" s="707"/>
      <c r="AB265" s="912" t="str">
        <f>IFERROR(IF(VLOOKUP(C265,[1]List1!$A:$D,2,FALSE)="VYPRODÁNO",$V$9,IF(VLOOKUP(C265,[1]List1!$A:$D,2,FALSE)="DOCHÁZÍ",$V$3,VLOOKUP(C265,[1]List1!$A:$D,2,FALSE))),"OFFLINE!")</f>
        <v>SKLADEM</v>
      </c>
      <c r="AC265" s="912" t="str">
        <f ca="1">IF(AO265="NE",$V$10,IF(AB265=$V$3,IF(AP265&lt;1,$V$8,$V$2&amp;" "&amp;AP265&amp;" "&amp;$V$1),IF(AB265="SKLADEM",$V$6,IFERROR(IF(OR(AB265-TODAY()&gt;21,VLOOKUP(C265,[1]List1!$A:$E,4,FALSE)=0),AB265,DAY(AB265)&amp;"."&amp;MONTH(AB265)&amp;"."&amp;YEAR(AB265)&amp;" "&amp;$V$4&amp;VLOOKUP(C265,[1]List1!$A:$E,4,FALSE)&amp;" "&amp;$V$1),AB265))))</f>
        <v>AUF LAGER</v>
      </c>
      <c r="AD265" s="701" t="str">
        <f ca="1">_xlfn.IFNA(VLOOKUP(C265,'General price list'!C:AM,MATCH($AD$20,'General price list'!$C$20:$AM$20,0),FALSE),"")</f>
        <v>AUF LAGER</v>
      </c>
      <c r="AE265" s="695">
        <f t="shared" ca="1" si="44"/>
        <v>0</v>
      </c>
      <c r="AF265" s="695">
        <f t="shared" ca="1" si="45"/>
        <v>0</v>
      </c>
      <c r="AG265" s="702">
        <f t="shared" ca="1" si="46"/>
        <v>0</v>
      </c>
      <c r="AH265" s="703">
        <f t="shared" ca="1" si="47"/>
        <v>0</v>
      </c>
      <c r="AI265" s="702">
        <f t="shared" ca="1" si="48"/>
        <v>0</v>
      </c>
      <c r="AJ265" s="704" t="str">
        <f t="shared" ca="1" si="49"/>
        <v/>
      </c>
      <c r="AK265" s="704">
        <f t="shared" ca="1" si="50"/>
        <v>0</v>
      </c>
      <c r="AL265" s="704" t="str">
        <f t="shared" ca="1" si="51"/>
        <v/>
      </c>
      <c r="AM265" s="705" t="str">
        <f t="shared" ca="1" si="52"/>
        <v/>
      </c>
      <c r="AN265" s="313"/>
      <c r="AO265" s="314" t="str">
        <f>IF($R$3=1,IF(Y265=AA265,"","NE"),IF(#REF!=$V$10,"NE",""))</f>
        <v/>
      </c>
      <c r="AP265" s="315" t="str">
        <f>IF(AB265=$V$3,IF(VLOOKUP(C265,[1]List1!$A:$E,5,FALSE)=0,1,VLOOKUP(C265,[1]List1!$A:$E,5,FALSE)),"")</f>
        <v/>
      </c>
      <c r="AW265" s="458">
        <f>IFERROR(FIND(VLOOKUP('General price list'!$AB$7,'General price list'!$AC$1:$AD$12,2,FALSE),Q265,1),0)</f>
        <v>19</v>
      </c>
      <c r="AX265" s="458">
        <f>IFERROR(FIND(VLOOKUP('General price list'!$AB$7,'General price list'!$AC$1:$AD$12,2,FALSE),R265,1),0)</f>
        <v>0</v>
      </c>
    </row>
    <row r="266" spans="1:50" ht="15" customHeight="1">
      <c r="A266" s="677" t="str">
        <f>Kat.!C266</f>
        <v xml:space="preserve">                                          </v>
      </c>
      <c r="B266" s="678">
        <v>245</v>
      </c>
      <c r="C266" s="679" t="s">
        <v>1073</v>
      </c>
      <c r="D266" s="679" t="s">
        <v>1074</v>
      </c>
      <c r="E266" s="680" t="s">
        <v>399</v>
      </c>
      <c r="F266" s="681">
        <f>VLOOKUP(C266,[2]List1!$A:$D,2,FALSE)</f>
        <v>214</v>
      </c>
      <c r="G266" s="682">
        <f t="shared" si="41"/>
        <v>214</v>
      </c>
      <c r="H266" s="683">
        <f t="shared" si="42"/>
        <v>8.6999999999999993</v>
      </c>
      <c r="I266" s="836">
        <v>12</v>
      </c>
      <c r="J266" s="680" t="s">
        <v>45</v>
      </c>
      <c r="K266" s="854"/>
      <c r="L266" s="855" t="s">
        <v>13849</v>
      </c>
      <c r="M266" s="680" t="s">
        <v>131</v>
      </c>
      <c r="N266" s="868">
        <f>IFERROR(VLOOKUP(C266,[3]List1!$A:$D,4,FALSE),"N/A!")</f>
        <v>2.6871000000000003E-2</v>
      </c>
      <c r="O266" s="836">
        <f>IFERROR(VLOOKUP(C266,[3]List1!$A:$D,3,FALSE),"N/A!")</f>
        <v>2400</v>
      </c>
      <c r="P266" s="836">
        <f>IFERROR(VLOOKUP(C266,[3]List1!$A:$D,2,FALSE),"N/A!")</f>
        <v>13440</v>
      </c>
      <c r="Q266" s="680" t="s">
        <v>13757</v>
      </c>
      <c r="R266" s="680" t="s">
        <v>24</v>
      </c>
      <c r="S266" s="680"/>
      <c r="T266" s="681">
        <v>25</v>
      </c>
      <c r="U266" s="873"/>
      <c r="V266" s="684" t="str">
        <f>_xlfn.IFNA(HYPERLINK("https://www.klasekpyrotechnics.cz/c2520r"),"")</f>
        <v>https://www.klasekpyrotechnics.cz/c2520r</v>
      </c>
      <c r="W266" s="685" t="str">
        <f>IFERROR(VLOOKUP($C266,Popisy!A:P,MATCH($W$17,Popisy!$A$7:$P$7,0),FALSE),"---------------")</f>
        <v>Brokatkrone mit violetten Enden</v>
      </c>
      <c r="X266" s="889" t="str">
        <f t="shared" si="43"/>
        <v/>
      </c>
      <c r="Y266" s="890"/>
      <c r="Z266" s="685">
        <f>IFERROR(IF(VLOOKUP(C266,[4]List1!$A:$D,4,FALSE)=0,"",VLOOKUP(C266,[4]List1!$A:$D,4,FALSE)),"")</f>
        <v>54</v>
      </c>
      <c r="AA266" s="707"/>
      <c r="AB266" s="911" t="str">
        <f>IFERROR(IF(VLOOKUP(C266,[1]List1!$A:$D,2,FALSE)="VYPRODÁNO",$V$9,IF(VLOOKUP(C266,[1]List1!$A:$D,2,FALSE)="DOCHÁZÍ",$V$3,VLOOKUP(C266,[1]List1!$A:$D,2,FALSE))),"OFFLINE!")</f>
        <v>15.09.2024</v>
      </c>
      <c r="AC266" s="911" t="str">
        <f ca="1">IF(AO266="NE",$V$10,IF(AB266=$V$3,IF(AP266&lt;1,$V$8,$V$2&amp;" "&amp;AP266&amp;" "&amp;$V$1),IF(AB266="SKLADEM",$V$6,IFERROR(IF(OR(AB266-TODAY()&gt;21,VLOOKUP(C266,[1]List1!$A:$E,4,FALSE)=0),AB266,DAY(AB266)&amp;"."&amp;MONTH(AB266)&amp;"."&amp;YEAR(AB266)&amp;" "&amp;$V$4&amp;VLOOKUP(C266,[1]List1!$A:$E,4,FALSE)&amp;" "&amp;$V$1),AB266))))</f>
        <v>15.09.2024</v>
      </c>
      <c r="AD266" s="686">
        <f>_xlfn.IFNA(VLOOKUP(C266,'General price list'!C:AM,MATCH($AD$20,'General price list'!$C$20:$AM$20,0),FALSE),"")</f>
        <v>0</v>
      </c>
      <c r="AE266" s="681">
        <f t="shared" si="44"/>
        <v>0</v>
      </c>
      <c r="AF266" s="681">
        <f t="shared" si="45"/>
        <v>0</v>
      </c>
      <c r="AG266" s="687">
        <f t="shared" si="46"/>
        <v>0</v>
      </c>
      <c r="AH266" s="688">
        <f t="shared" si="47"/>
        <v>0</v>
      </c>
      <c r="AI266" s="687">
        <f t="shared" si="48"/>
        <v>0</v>
      </c>
      <c r="AJ266" s="689" t="str">
        <f t="shared" si="49"/>
        <v/>
      </c>
      <c r="AK266" s="689">
        <f t="shared" si="50"/>
        <v>0</v>
      </c>
      <c r="AL266" s="689" t="str">
        <f t="shared" si="51"/>
        <v/>
      </c>
      <c r="AM266" s="690" t="str">
        <f t="shared" si="52"/>
        <v/>
      </c>
      <c r="AN266" s="381"/>
      <c r="AO266" s="314" t="str">
        <f>IF($R$3=1,IF(Y266=AA266,"","NE"),IF(#REF!=$V$10,"NE",""))</f>
        <v/>
      </c>
      <c r="AP266" s="315" t="str">
        <f>IF(AB266=$V$3,IF(VLOOKUP(C266,[1]List1!$A:$E,5,FALSE)=0,1,VLOOKUP(C266,[1]List1!$A:$E,5,FALSE)),"")</f>
        <v/>
      </c>
      <c r="AW266" s="458">
        <f>IFERROR(FIND(VLOOKUP('General price list'!$AB$7,'General price list'!$AC$1:$AD$12,2,FALSE),Q266,1),0)</f>
        <v>16</v>
      </c>
      <c r="AX266" s="458">
        <f>IFERROR(FIND(VLOOKUP('General price list'!$AB$7,'General price list'!$AC$1:$AD$12,2,FALSE),R266,1),0)</f>
        <v>0</v>
      </c>
    </row>
    <row r="267" spans="1:50" ht="15" customHeight="1">
      <c r="A267" s="691" t="str">
        <f>Kat.!C267</f>
        <v xml:space="preserve">                                          </v>
      </c>
      <c r="B267" s="692">
        <v>246</v>
      </c>
      <c r="C267" s="693" t="s">
        <v>1082</v>
      </c>
      <c r="D267" s="693" t="s">
        <v>1078</v>
      </c>
      <c r="E267" s="694" t="s">
        <v>399</v>
      </c>
      <c r="F267" s="695">
        <f>VLOOKUP(C267,[2]List1!$A:$D,2,FALSE)</f>
        <v>214</v>
      </c>
      <c r="G267" s="696">
        <f t="shared" si="41"/>
        <v>214</v>
      </c>
      <c r="H267" s="697">
        <f t="shared" si="42"/>
        <v>8.6999999999999993</v>
      </c>
      <c r="I267" s="837">
        <v>12</v>
      </c>
      <c r="J267" s="698" t="s">
        <v>45</v>
      </c>
      <c r="K267" s="856"/>
      <c r="L267" s="857" t="s">
        <v>13849</v>
      </c>
      <c r="M267" s="698" t="s">
        <v>131</v>
      </c>
      <c r="N267" s="869">
        <f>IFERROR(VLOOKUP(C267,[3]List1!$A:$D,4,FALSE),"N/A!")</f>
        <v>2.6871000000000003E-2</v>
      </c>
      <c r="O267" s="837">
        <f>IFERROR(VLOOKUP(C267,[3]List1!$A:$D,3,FALSE),"N/A!")</f>
        <v>2400</v>
      </c>
      <c r="P267" s="837">
        <f>IFERROR(VLOOKUP(C267,[3]List1!$A:$D,2,FALSE),"N/A!")</f>
        <v>13000</v>
      </c>
      <c r="Q267" s="698" t="s">
        <v>13758</v>
      </c>
      <c r="R267" s="698" t="s">
        <v>24</v>
      </c>
      <c r="S267" s="698"/>
      <c r="T267" s="695">
        <v>25</v>
      </c>
      <c r="U267" s="874"/>
      <c r="V267" s="699" t="str">
        <f>_xlfn.IFNA(HYPERLINK("https://www.klasekpyrotechnics.cz/c2520vi"),"")</f>
        <v>https://www.klasekpyrotechnics.cz/c2520vi</v>
      </c>
      <c r="W267" s="700" t="str">
        <f>IFERROR(VLOOKUP($C267,Popisy!A:P,MATCH($W$17,Popisy!$A$7:$P$7,0),FALSE),"---------------")</f>
        <v>Blaue Palme mit der goldenen blinkenden Mitte</v>
      </c>
      <c r="X267" s="891" t="str">
        <f t="shared" si="43"/>
        <v/>
      </c>
      <c r="Y267" s="892"/>
      <c r="Z267" s="700">
        <f>IFERROR(IF(VLOOKUP(C267,[4]List1!$A:$D,4,FALSE)=0,"",VLOOKUP(C267,[4]List1!$A:$D,4,FALSE)),"")</f>
        <v>42</v>
      </c>
      <c r="AA267" s="707"/>
      <c r="AB267" s="912" t="str">
        <f>IFERROR(IF(VLOOKUP(C267,[1]List1!$A:$D,2,FALSE)="VYPRODÁNO",$V$9,IF(VLOOKUP(C267,[1]List1!$A:$D,2,FALSE)="DOCHÁZÍ",$V$3,VLOOKUP(C267,[1]List1!$A:$D,2,FALSE))),"OFFLINE!")</f>
        <v>15.09.2024</v>
      </c>
      <c r="AC267" s="912" t="str">
        <f ca="1">IF(AO267="NE",$V$10,IF(AB267=$V$3,IF(AP267&lt;1,$V$8,$V$2&amp;" "&amp;AP267&amp;" "&amp;$V$1),IF(AB267="SKLADEM",$V$6,IFERROR(IF(OR(AB267-TODAY()&gt;21,VLOOKUP(C267,[1]List1!$A:$E,4,FALSE)=0),AB267,DAY(AB267)&amp;"."&amp;MONTH(AB267)&amp;"."&amp;YEAR(AB267)&amp;" "&amp;$V$4&amp;VLOOKUP(C267,[1]List1!$A:$E,4,FALSE)&amp;" "&amp;$V$1),AB267))))</f>
        <v>15.09.2024</v>
      </c>
      <c r="AD267" s="701" t="str">
        <f ca="1">_xlfn.IFNA(VLOOKUP(C267,'General price list'!C:AM,MATCH($AD$20,'General price list'!$C$20:$AM$20,0),FALSE),"")</f>
        <v>15.09.2024</v>
      </c>
      <c r="AE267" s="695">
        <f t="shared" ca="1" si="44"/>
        <v>0</v>
      </c>
      <c r="AF267" s="695">
        <f t="shared" ca="1" si="45"/>
        <v>0</v>
      </c>
      <c r="AG267" s="702">
        <f t="shared" ca="1" si="46"/>
        <v>0</v>
      </c>
      <c r="AH267" s="703">
        <f t="shared" ca="1" si="47"/>
        <v>0</v>
      </c>
      <c r="AI267" s="702">
        <f t="shared" ca="1" si="48"/>
        <v>0</v>
      </c>
      <c r="AJ267" s="704" t="str">
        <f t="shared" ca="1" si="49"/>
        <v/>
      </c>
      <c r="AK267" s="704">
        <f t="shared" ca="1" si="50"/>
        <v>0</v>
      </c>
      <c r="AL267" s="704" t="str">
        <f t="shared" ca="1" si="51"/>
        <v/>
      </c>
      <c r="AM267" s="705" t="str">
        <f t="shared" ca="1" si="52"/>
        <v/>
      </c>
      <c r="AN267" s="382"/>
      <c r="AO267" s="314" t="str">
        <f>IF($R$3=1,IF(Y267=AA267,"","NE"),IF(#REF!=$V$10,"NE",""))</f>
        <v/>
      </c>
      <c r="AP267" s="315" t="str">
        <f>IF(AB267=$V$3,IF(VLOOKUP(C267,[1]List1!$A:$E,5,FALSE)=0,1,VLOOKUP(C267,[1]List1!$A:$E,5,FALSE)),"")</f>
        <v/>
      </c>
      <c r="AW267" s="458">
        <f>IFERROR(FIND(VLOOKUP('General price list'!$AB$7,'General price list'!$AC$1:$AD$12,2,FALSE),Q267,1),0)</f>
        <v>19</v>
      </c>
      <c r="AX267" s="458">
        <f>IFERROR(FIND(VLOOKUP('General price list'!$AB$7,'General price list'!$AC$1:$AD$12,2,FALSE),R267,1),0)</f>
        <v>0</v>
      </c>
    </row>
    <row r="268" spans="1:50" ht="15" customHeight="1">
      <c r="A268" s="672" t="str">
        <f>Kat.!C268</f>
        <v xml:space="preserve">                                          Batterien 25 schuss, 20mm Mörser-1.4G</v>
      </c>
      <c r="B268" s="678">
        <v>247</v>
      </c>
      <c r="C268" s="679"/>
      <c r="D268" s="679"/>
      <c r="E268" s="680"/>
      <c r="F268" s="681" t="str">
        <f>IFERROR(ROUND(VLOOKUP(C268,'General price list'!$C:$AN,4,FALSE),0),"")</f>
        <v/>
      </c>
      <c r="G268" s="682" t="str">
        <f t="shared" si="41"/>
        <v/>
      </c>
      <c r="H268" s="683" t="str">
        <f t="shared" si="42"/>
        <v/>
      </c>
      <c r="I268" s="836"/>
      <c r="J268" s="680"/>
      <c r="K268" s="854"/>
      <c r="L268" s="855"/>
      <c r="M268" s="680"/>
      <c r="N268" s="868" t="str">
        <f>IFERROR(IF(VLOOKUP($C268,'General price list'!$C:$AN,MATCH(N$20,'General price list'!$C$20:$AM$20,0),FALSE)=0,"",VLOOKUP($C268,'General price list'!$C:$AN,MATCH(N$20,'General price list'!$C$20:$AM$20,0),FALSE)),"")</f>
        <v/>
      </c>
      <c r="O268" s="836" t="str">
        <f>IFERROR(IF(VLOOKUP($C268,'General price list'!$C:$AN,MATCH(O$20,'General price list'!$C$20:$AM$20,0),FALSE)=0,"",VLOOKUP($C268,'General price list'!$C:$AN,MATCH(O$20,'General price list'!$C$20:$AM$20,0),FALSE)),"")</f>
        <v/>
      </c>
      <c r="P268" s="836" t="str">
        <f>IFERROR(IF(VLOOKUP($C268,'General price list'!$C:$AN,MATCH(P$20,'General price list'!$C$20:$AM$20,0),FALSE)=0,"",VLOOKUP($C268,'General price list'!$C:$AN,MATCH(P$20,'General price list'!$C$20:$AM$20,0),FALSE)),"")</f>
        <v/>
      </c>
      <c r="Q268" s="680"/>
      <c r="R268" s="680"/>
      <c r="S268" s="680"/>
      <c r="T268" s="681"/>
      <c r="U268" s="873"/>
      <c r="V268" s="684"/>
      <c r="W268" s="685" t="str">
        <f>IFERROR(VLOOKUP($C268,'General price list'!$C:$AN,MATCH(W$20,'General price list'!$C$20:$AM$20,0),FALSE),"")</f>
        <v/>
      </c>
      <c r="X268" s="889" t="str">
        <f t="shared" si="43"/>
        <v/>
      </c>
      <c r="Y268" s="890"/>
      <c r="Z268" s="685" t="str">
        <f>IFERROR(VLOOKUP($C268,'General price list'!$C:$AN,MATCH(Z$20,'General price list'!$C$20:$AM$20,0),FALSE),"")</f>
        <v/>
      </c>
      <c r="AA268" s="707"/>
      <c r="AB268" s="911" t="str">
        <f>IFERROR(IF(VLOOKUP(C268,[1]List1!$A:$D,2,FALSE)="VYPRODÁNO",$V$9,IF(VLOOKUP(C268,[1]List1!$A:$D,2,FALSE)="DOCHÁZÍ",$V$3,VLOOKUP(C268,[1]List1!$A:$D,2,FALSE))),"OFFLINE!")</f>
        <v>OFFLINE!</v>
      </c>
      <c r="AC268" s="911" t="str">
        <f ca="1">IF(AO268="NE",$V$10,IF(AB268=$V$3,IF(AP268&lt;1,$V$8,$V$2&amp;" "&amp;AP268&amp;" "&amp;$V$1),IF(AB268="SKLADEM",$V$6,IFERROR(IF(OR(AB268-TODAY()&gt;21,VLOOKUP(C268,[1]List1!$A:$E,4,FALSE)=0),AB268,DAY(AB268)&amp;"."&amp;MONTH(AB268)&amp;"."&amp;YEAR(AB268)&amp;" "&amp;$V$4&amp;VLOOKUP(C268,[1]List1!$A:$E,4,FALSE)&amp;" "&amp;$V$1),AB268))))</f>
        <v>OFFLINE!</v>
      </c>
      <c r="AD268" s="686" t="str">
        <f>_xlfn.IFNA(VLOOKUP(C268,'General price list'!C:AM,MATCH($AD$20,'General price list'!$C$20:$AM$20,0),FALSE),"")</f>
        <v/>
      </c>
      <c r="AE268" s="681" t="str">
        <f t="shared" si="44"/>
        <v/>
      </c>
      <c r="AF268" s="681" t="str">
        <f t="shared" si="45"/>
        <v/>
      </c>
      <c r="AG268" s="687" t="str">
        <f t="shared" si="46"/>
        <v/>
      </c>
      <c r="AH268" s="688" t="str">
        <f t="shared" si="47"/>
        <v/>
      </c>
      <c r="AI268" s="687" t="str">
        <f t="shared" si="48"/>
        <v/>
      </c>
      <c r="AJ268" s="689" t="str">
        <f t="shared" si="49"/>
        <v/>
      </c>
      <c r="AK268" s="689" t="str">
        <f t="shared" si="50"/>
        <v/>
      </c>
      <c r="AL268" s="689" t="str">
        <f t="shared" si="51"/>
        <v/>
      </c>
      <c r="AM268" s="690" t="str">
        <f t="shared" si="52"/>
        <v/>
      </c>
      <c r="AN268" s="313"/>
      <c r="AO268" s="314" t="str">
        <f>IF($R$3=1,IF(Y268=AA268,"","NE"),IF(#REF!=$V$10,"NE",""))</f>
        <v/>
      </c>
      <c r="AP268" s="315" t="str">
        <f>IF(AB268=$V$3,IF(VLOOKUP(C268,[1]List1!$A:$E,5,FALSE)=0,1,VLOOKUP(C268,[1]List1!$A:$E,5,FALSE)),"")</f>
        <v/>
      </c>
      <c r="AW268" s="291" t="e">
        <f>VLOOKUP(C268,'General price list'!C:AU,46,FALSE)</f>
        <v>#N/A</v>
      </c>
      <c r="AX268" s="291" t="e">
        <f>VLOOKUP(C268,'General price list'!C:AU,47,FALSE)</f>
        <v>#N/A</v>
      </c>
    </row>
    <row r="269" spans="1:50" ht="15" customHeight="1">
      <c r="A269" s="691" t="str">
        <f>Kat.!C269</f>
        <v xml:space="preserve">                                          </v>
      </c>
      <c r="B269" s="692">
        <v>248</v>
      </c>
      <c r="C269" s="693" t="s">
        <v>1060</v>
      </c>
      <c r="D269" s="693" t="s">
        <v>1055</v>
      </c>
      <c r="E269" s="694" t="s">
        <v>399</v>
      </c>
      <c r="F269" s="695">
        <f>VLOOKUP(C269,[2]List1!$A:$D,2,FALSE)</f>
        <v>214</v>
      </c>
      <c r="G269" s="696">
        <f t="shared" si="41"/>
        <v>214</v>
      </c>
      <c r="H269" s="697">
        <f t="shared" si="42"/>
        <v>8.6999999999999993</v>
      </c>
      <c r="I269" s="837">
        <v>12</v>
      </c>
      <c r="J269" s="698" t="s">
        <v>45</v>
      </c>
      <c r="K269" s="856"/>
      <c r="L269" s="857" t="s">
        <v>13852</v>
      </c>
      <c r="M269" s="698" t="s">
        <v>25</v>
      </c>
      <c r="N269" s="869">
        <f>IFERROR(VLOOKUP(C269,[3]List1!$A:$D,4,FALSE),"N/A!")</f>
        <v>2.6871000000000003E-2</v>
      </c>
      <c r="O269" s="837">
        <f>IFERROR(VLOOKUP(C269,[3]List1!$A:$D,3,FALSE),"N/A!")</f>
        <v>2400</v>
      </c>
      <c r="P269" s="837">
        <f>IFERROR(VLOOKUP(C269,[3]List1!$A:$D,2,FALSE),"N/A!")</f>
        <v>13100</v>
      </c>
      <c r="Q269" s="698" t="s">
        <v>13760</v>
      </c>
      <c r="R269" s="698" t="s">
        <v>24</v>
      </c>
      <c r="S269" s="698"/>
      <c r="T269" s="695">
        <v>30</v>
      </c>
      <c r="U269" s="874"/>
      <c r="V269" s="699" t="str">
        <f>_xlfn.IFNA(HYPERLINK("https://www.klasekpyrotechnics.cz/c2520di14"),"")</f>
        <v>https://www.klasekpyrotechnics.cz/c2520di14</v>
      </c>
      <c r="W269" s="700" t="str">
        <f>IFERROR(VLOOKUP($C269,Popisy!A:P,MATCH($W$17,Popisy!$A$7:$P$7,0),FALSE),"---------------")</f>
        <v>5 verschiedenfarbige Effekte</v>
      </c>
      <c r="X269" s="891" t="str">
        <f t="shared" si="43"/>
        <v/>
      </c>
      <c r="Y269" s="892"/>
      <c r="Z269" s="700">
        <f>IFERROR(IF(VLOOKUP(C269,[4]List1!$A:$D,4,FALSE)=0,"",VLOOKUP(C269,[4]List1!$A:$D,4,FALSE)),"")</f>
        <v>54</v>
      </c>
      <c r="AA269" s="707"/>
      <c r="AB269" s="912" t="str">
        <f>IFERROR(IF(VLOOKUP(C269,[1]List1!$A:$D,2,FALSE)="VYPRODÁNO",$V$9,IF(VLOOKUP(C269,[1]List1!$A:$D,2,FALSE)="DOCHÁZÍ",$V$3,VLOOKUP(C269,[1]List1!$A:$D,2,FALSE))),"OFFLINE!")</f>
        <v>LETZTE STÜCKE</v>
      </c>
      <c r="AC269" s="912" t="str">
        <f ca="1">IF(AO269="NE",$V$10,IF(AB269=$V$3,IF(AP269&lt;1,$V$8,$V$2&amp;" "&amp;AP269&amp;" "&amp;$V$1),IF(AB269="SKLADEM",$V$6,IFERROR(IF(OR(AB269-TODAY()&gt;21,VLOOKUP(C269,[1]List1!$A:$E,4,FALSE)=0),AB269,DAY(AB269)&amp;"."&amp;MONTH(AB269)&amp;"."&amp;YEAR(AB269)&amp;" "&amp;$V$4&amp;VLOOKUP(C269,[1]List1!$A:$E,4,FALSE)&amp;" "&amp;$V$1),AB269))))</f>
        <v>LETZTE 10 KTN</v>
      </c>
      <c r="AD269" s="701" t="str">
        <f ca="1">_xlfn.IFNA(VLOOKUP(C269,'General price list'!C:AM,MATCH($AD$20,'General price list'!$C$20:$AM$20,0),FALSE),"")</f>
        <v>LETZTE 10 KTN</v>
      </c>
      <c r="AE269" s="695">
        <f t="shared" ca="1" si="44"/>
        <v>0</v>
      </c>
      <c r="AF269" s="695">
        <f t="shared" ca="1" si="45"/>
        <v>0</v>
      </c>
      <c r="AG269" s="702">
        <f t="shared" ca="1" si="46"/>
        <v>0</v>
      </c>
      <c r="AH269" s="703">
        <f t="shared" ca="1" si="47"/>
        <v>0</v>
      </c>
      <c r="AI269" s="702">
        <f t="shared" ca="1" si="48"/>
        <v>0</v>
      </c>
      <c r="AJ269" s="704" t="str">
        <f t="shared" ca="1" si="49"/>
        <v/>
      </c>
      <c r="AK269" s="704" t="str">
        <f t="shared" ca="1" si="50"/>
        <v/>
      </c>
      <c r="AL269" s="704">
        <f t="shared" ca="1" si="51"/>
        <v>0</v>
      </c>
      <c r="AM269" s="705" t="str">
        <f t="shared" ca="1" si="52"/>
        <v/>
      </c>
      <c r="AN269" s="313"/>
      <c r="AO269" s="314" t="str">
        <f>IF($R$3=1,IF(Y269=AA269,"","NE"),IF(#REF!=$V$10,"NE",""))</f>
        <v/>
      </c>
      <c r="AP269" s="315">
        <f>IF(AB269=$V$3,IF(VLOOKUP(C269,[1]List1!$A:$E,5,FALSE)=0,1,VLOOKUP(C269,[1]List1!$A:$E,5,FALSE)),"")</f>
        <v>10</v>
      </c>
      <c r="AW269" s="458">
        <f>IFERROR(FIND(VLOOKUP('General price list'!$AB$7,'General price list'!$AC$1:$AD$12,2,FALSE),Q269,1),0)</f>
        <v>13</v>
      </c>
      <c r="AX269" s="458">
        <f>IFERROR(FIND(VLOOKUP('General price list'!$AB$7,'General price list'!$AC$1:$AD$12,2,FALSE),R269,1),0)</f>
        <v>0</v>
      </c>
    </row>
    <row r="270" spans="1:50" ht="15" customHeight="1">
      <c r="A270" s="677" t="str">
        <f>Kat.!C270</f>
        <v xml:space="preserve">                                          </v>
      </c>
      <c r="B270" s="678">
        <v>249</v>
      </c>
      <c r="C270" s="679" t="s">
        <v>1061</v>
      </c>
      <c r="D270" s="679" t="s">
        <v>1057</v>
      </c>
      <c r="E270" s="680" t="s">
        <v>399</v>
      </c>
      <c r="F270" s="681">
        <f>VLOOKUP(C270,[2]List1!$A:$D,2,FALSE)</f>
        <v>214</v>
      </c>
      <c r="G270" s="682">
        <f t="shared" si="41"/>
        <v>214</v>
      </c>
      <c r="H270" s="683">
        <f t="shared" si="42"/>
        <v>8.6999999999999993</v>
      </c>
      <c r="I270" s="836">
        <v>12</v>
      </c>
      <c r="J270" s="680" t="s">
        <v>45</v>
      </c>
      <c r="K270" s="854"/>
      <c r="L270" s="855" t="s">
        <v>13852</v>
      </c>
      <c r="M270" s="680" t="s">
        <v>25</v>
      </c>
      <c r="N270" s="868">
        <f>IFERROR(VLOOKUP(C270,[3]List1!$A:$D,4,FALSE),"N/A!")</f>
        <v>2.6871000000000003E-2</v>
      </c>
      <c r="O270" s="836">
        <f>IFERROR(VLOOKUP(C270,[3]List1!$A:$D,3,FALSE),"N/A!")</f>
        <v>2400</v>
      </c>
      <c r="P270" s="836">
        <f>IFERROR(VLOOKUP(C270,[3]List1!$A:$D,2,FALSE),"N/A!")</f>
        <v>13800</v>
      </c>
      <c r="Q270" s="680" t="s">
        <v>13761</v>
      </c>
      <c r="R270" s="680" t="s">
        <v>24</v>
      </c>
      <c r="S270" s="680"/>
      <c r="T270" s="681">
        <v>30</v>
      </c>
      <c r="U270" s="873"/>
      <c r="V270" s="684" t="str">
        <f>_xlfn.IFNA(HYPERLINK("https://www.klasekpyrotechnics.cz/c2520t14"),"")</f>
        <v>https://www.klasekpyrotechnics.cz/c2520t14</v>
      </c>
      <c r="W270" s="685" t="str">
        <f>IFERROR(VLOOKUP($C270,Popisy!A:P,MATCH($W$17,Popisy!$A$7:$P$7,0),FALSE),"---------------")</f>
        <v>5 verschiedenfarbige Effekte</v>
      </c>
      <c r="X270" s="889" t="str">
        <f t="shared" si="43"/>
        <v/>
      </c>
      <c r="Y270" s="890"/>
      <c r="Z270" s="685">
        <f>IFERROR(IF(VLOOKUP(C270,[4]List1!$A:$D,4,FALSE)=0,"",VLOOKUP(C270,[4]List1!$A:$D,4,FALSE)),"")</f>
        <v>54</v>
      </c>
      <c r="AA270" s="707"/>
      <c r="AB270" s="911" t="str">
        <f>IFERROR(IF(VLOOKUP(C270,[1]List1!$A:$D,2,FALSE)="VYPRODÁNO",$V$9,IF(VLOOKUP(C270,[1]List1!$A:$D,2,FALSE)="DOCHÁZÍ",$V$3,VLOOKUP(C270,[1]List1!$A:$D,2,FALSE))),"OFFLINE!")</f>
        <v>15.09.2024</v>
      </c>
      <c r="AC270" s="911" t="str">
        <f ca="1">IF(AO270="NE",$V$10,IF(AB270=$V$3,IF(AP270&lt;1,$V$8,$V$2&amp;" "&amp;AP270&amp;" "&amp;$V$1),IF(AB270="SKLADEM",$V$6,IFERROR(IF(OR(AB270-TODAY()&gt;21,VLOOKUP(C270,[1]List1!$A:$E,4,FALSE)=0),AB270,DAY(AB270)&amp;"."&amp;MONTH(AB270)&amp;"."&amp;YEAR(AB270)&amp;" "&amp;$V$4&amp;VLOOKUP(C270,[1]List1!$A:$E,4,FALSE)&amp;" "&amp;$V$1),AB270))))</f>
        <v>15.09.2024</v>
      </c>
      <c r="AD270" s="686">
        <f>_xlfn.IFNA(VLOOKUP(C270,'General price list'!C:AM,MATCH($AD$20,'General price list'!$C$20:$AM$20,0),FALSE),"")</f>
        <v>0</v>
      </c>
      <c r="AE270" s="681">
        <f t="shared" si="44"/>
        <v>0</v>
      </c>
      <c r="AF270" s="681">
        <f t="shared" si="45"/>
        <v>0</v>
      </c>
      <c r="AG270" s="687">
        <f t="shared" si="46"/>
        <v>0</v>
      </c>
      <c r="AH270" s="688">
        <f t="shared" si="47"/>
        <v>0</v>
      </c>
      <c r="AI270" s="687">
        <f t="shared" si="48"/>
        <v>0</v>
      </c>
      <c r="AJ270" s="689" t="str">
        <f t="shared" si="49"/>
        <v/>
      </c>
      <c r="AK270" s="689" t="str">
        <f t="shared" si="50"/>
        <v/>
      </c>
      <c r="AL270" s="689">
        <f t="shared" si="51"/>
        <v>0</v>
      </c>
      <c r="AM270" s="690" t="str">
        <f t="shared" si="52"/>
        <v/>
      </c>
      <c r="AN270" s="313"/>
      <c r="AO270" s="314" t="str">
        <f>IF($R$3=1,IF(Y270=AA270,"","NE"),IF(#REF!=$V$10,"NE",""))</f>
        <v/>
      </c>
      <c r="AP270" s="315" t="str">
        <f>IF(AB270=$V$3,IF(VLOOKUP(C270,[1]List1!$A:$E,5,FALSE)=0,1,VLOOKUP(C270,[1]List1!$A:$E,5,FALSE)),"")</f>
        <v/>
      </c>
      <c r="AW270" s="458">
        <f>IFERROR(FIND(VLOOKUP('General price list'!$AB$7,'General price list'!$AC$1:$AD$12,2,FALSE),Q270,1),0)</f>
        <v>13</v>
      </c>
      <c r="AX270" s="458">
        <f>IFERROR(FIND(VLOOKUP('General price list'!$AB$7,'General price list'!$AC$1:$AD$12,2,FALSE),R270,1),0)</f>
        <v>0</v>
      </c>
    </row>
    <row r="271" spans="1:50" ht="15" customHeight="1">
      <c r="A271" s="691" t="str">
        <f>Kat.!C271</f>
        <v xml:space="preserve">                                          </v>
      </c>
      <c r="B271" s="692">
        <v>250</v>
      </c>
      <c r="C271" s="693" t="s">
        <v>1062</v>
      </c>
      <c r="D271" s="693" t="s">
        <v>1059</v>
      </c>
      <c r="E271" s="694" t="s">
        <v>399</v>
      </c>
      <c r="F271" s="695">
        <f>VLOOKUP(C271,[2]List1!$A:$D,2,FALSE)</f>
        <v>214</v>
      </c>
      <c r="G271" s="696">
        <f t="shared" si="41"/>
        <v>214</v>
      </c>
      <c r="H271" s="697">
        <f t="shared" si="42"/>
        <v>8.6999999999999993</v>
      </c>
      <c r="I271" s="837">
        <v>12</v>
      </c>
      <c r="J271" s="698" t="s">
        <v>45</v>
      </c>
      <c r="K271" s="856"/>
      <c r="L271" s="857" t="s">
        <v>13852</v>
      </c>
      <c r="M271" s="698" t="s">
        <v>25</v>
      </c>
      <c r="N271" s="869">
        <f>IFERROR(VLOOKUP(C271,[3]List1!$A:$D,4,FALSE),"N/A!")</f>
        <v>2.6871000000000003E-2</v>
      </c>
      <c r="O271" s="837">
        <f>IFERROR(VLOOKUP(C271,[3]List1!$A:$D,3,FALSE),"N/A!")</f>
        <v>2400</v>
      </c>
      <c r="P271" s="837">
        <f>IFERROR(VLOOKUP(C271,[3]List1!$A:$D,2,FALSE),"N/A!")</f>
        <v>11600</v>
      </c>
      <c r="Q271" s="698" t="s">
        <v>13760</v>
      </c>
      <c r="R271" s="698" t="s">
        <v>24</v>
      </c>
      <c r="S271" s="698"/>
      <c r="T271" s="695">
        <v>30</v>
      </c>
      <c r="U271" s="874"/>
      <c r="V271" s="699" t="str">
        <f>_xlfn.IFNA(HYPERLINK("https://www.klasekpyrotechnics.cz/c2520se14"),"")</f>
        <v>https://www.klasekpyrotechnics.cz/c2520se14</v>
      </c>
      <c r="W271" s="700" t="str">
        <f>IFERROR(VLOOKUP($C271,Popisy!A:P,MATCH($W$17,Popisy!$A$7:$P$7,0),FALSE),"---------------")</f>
        <v>5 verschiedenfarbige Effekte</v>
      </c>
      <c r="X271" s="891" t="str">
        <f t="shared" si="43"/>
        <v/>
      </c>
      <c r="Y271" s="892"/>
      <c r="Z271" s="700">
        <f>IFERROR(IF(VLOOKUP(C271,[4]List1!$A:$D,4,FALSE)=0,"",VLOOKUP(C271,[4]List1!$A:$D,4,FALSE)),"")</f>
        <v>54</v>
      </c>
      <c r="AA271" s="707"/>
      <c r="AB271" s="912" t="str">
        <f>IFERROR(IF(VLOOKUP(C271,[1]List1!$A:$D,2,FALSE)="VYPRODÁNO",$V$9,IF(VLOOKUP(C271,[1]List1!$A:$D,2,FALSE)="DOCHÁZÍ",$V$3,VLOOKUP(C271,[1]List1!$A:$D,2,FALSE))),"OFFLINE!")</f>
        <v>SKLADEM</v>
      </c>
      <c r="AC271" s="912" t="str">
        <f ca="1">IF(AO271="NE",$V$10,IF(AB271=$V$3,IF(AP271&lt;1,$V$8,$V$2&amp;" "&amp;AP271&amp;" "&amp;$V$1),IF(AB271="SKLADEM",$V$6,IFERROR(IF(OR(AB271-TODAY()&gt;21,VLOOKUP(C271,[1]List1!$A:$E,4,FALSE)=0),AB271,DAY(AB271)&amp;"."&amp;MONTH(AB271)&amp;"."&amp;YEAR(AB271)&amp;" "&amp;$V$4&amp;VLOOKUP(C271,[1]List1!$A:$E,4,FALSE)&amp;" "&amp;$V$1),AB271))))</f>
        <v>AUF LAGER</v>
      </c>
      <c r="AD271" s="701" t="str">
        <f ca="1">_xlfn.IFNA(VLOOKUP(C271,'General price list'!C:AM,MATCH($AD$20,'General price list'!$C$20:$AM$20,0),FALSE),"")</f>
        <v>AUF LAGER</v>
      </c>
      <c r="AE271" s="695">
        <f t="shared" ca="1" si="44"/>
        <v>0</v>
      </c>
      <c r="AF271" s="695">
        <f t="shared" ca="1" si="45"/>
        <v>0</v>
      </c>
      <c r="AG271" s="702">
        <f t="shared" ca="1" si="46"/>
        <v>0</v>
      </c>
      <c r="AH271" s="703">
        <f t="shared" ca="1" si="47"/>
        <v>0</v>
      </c>
      <c r="AI271" s="702">
        <f t="shared" ca="1" si="48"/>
        <v>0</v>
      </c>
      <c r="AJ271" s="704" t="str">
        <f t="shared" ca="1" si="49"/>
        <v/>
      </c>
      <c r="AK271" s="704" t="str">
        <f t="shared" ca="1" si="50"/>
        <v/>
      </c>
      <c r="AL271" s="704">
        <f t="shared" ca="1" si="51"/>
        <v>0</v>
      </c>
      <c r="AM271" s="705" t="str">
        <f t="shared" ca="1" si="52"/>
        <v/>
      </c>
      <c r="AN271" s="382"/>
      <c r="AO271" s="314" t="str">
        <f>IF($R$3=1,IF(Y271=AA271,"","NE"),IF(#REF!=$V$10,"NE",""))</f>
        <v/>
      </c>
      <c r="AP271" s="315" t="str">
        <f>IF(AB271=$V$3,IF(VLOOKUP(C271,[1]List1!$A:$E,5,FALSE)=0,1,VLOOKUP(C271,[1]List1!$A:$E,5,FALSE)),"")</f>
        <v/>
      </c>
      <c r="AW271" s="458">
        <f>IFERROR(FIND(VLOOKUP('General price list'!$AB$7,'General price list'!$AC$1:$AD$12,2,FALSE),Q271,1),0)</f>
        <v>13</v>
      </c>
      <c r="AX271" s="458">
        <f>IFERROR(FIND(VLOOKUP('General price list'!$AB$7,'General price list'!$AC$1:$AD$12,2,FALSE),R271,1),0)</f>
        <v>0</v>
      </c>
    </row>
    <row r="272" spans="1:50" ht="15" customHeight="1">
      <c r="A272" s="672" t="str">
        <f>Kat.!C272</f>
        <v xml:space="preserve">                                          Batterien 49 schuss, 20mm Mörser-1.3G</v>
      </c>
      <c r="B272" s="678">
        <v>251</v>
      </c>
      <c r="C272" s="679"/>
      <c r="D272" s="679"/>
      <c r="E272" s="680"/>
      <c r="F272" s="681" t="str">
        <f>IFERROR(ROUND(VLOOKUP(C272,'General price list'!$C:$AN,4,FALSE),0),"")</f>
        <v/>
      </c>
      <c r="G272" s="682" t="str">
        <f t="shared" si="41"/>
        <v/>
      </c>
      <c r="H272" s="683" t="str">
        <f t="shared" si="42"/>
        <v/>
      </c>
      <c r="I272" s="836"/>
      <c r="J272" s="680"/>
      <c r="K272" s="854"/>
      <c r="L272" s="855"/>
      <c r="M272" s="680"/>
      <c r="N272" s="868" t="str">
        <f>IFERROR(IF(VLOOKUP($C272,'General price list'!$C:$AN,MATCH(N$20,'General price list'!$C$20:$AM$20,0),FALSE)=0,"",VLOOKUP($C272,'General price list'!$C:$AN,MATCH(N$20,'General price list'!$C$20:$AM$20,0),FALSE)),"")</f>
        <v/>
      </c>
      <c r="O272" s="836" t="str">
        <f>IFERROR(IF(VLOOKUP($C272,'General price list'!$C:$AN,MATCH(O$20,'General price list'!$C$20:$AM$20,0),FALSE)=0,"",VLOOKUP($C272,'General price list'!$C:$AN,MATCH(O$20,'General price list'!$C$20:$AM$20,0),FALSE)),"")</f>
        <v/>
      </c>
      <c r="P272" s="836" t="str">
        <f>IFERROR(IF(VLOOKUP($C272,'General price list'!$C:$AN,MATCH(P$20,'General price list'!$C$20:$AM$20,0),FALSE)=0,"",VLOOKUP($C272,'General price list'!$C:$AN,MATCH(P$20,'General price list'!$C$20:$AM$20,0),FALSE)),"")</f>
        <v/>
      </c>
      <c r="Q272" s="680"/>
      <c r="R272" s="680"/>
      <c r="S272" s="680"/>
      <c r="T272" s="681"/>
      <c r="U272" s="873"/>
      <c r="V272" s="684"/>
      <c r="W272" s="685" t="str">
        <f>IFERROR(VLOOKUP($C272,'General price list'!$C:$AN,MATCH(W$20,'General price list'!$C$20:$AM$20,0),FALSE),"")</f>
        <v/>
      </c>
      <c r="X272" s="889" t="str">
        <f t="shared" si="43"/>
        <v/>
      </c>
      <c r="Y272" s="890"/>
      <c r="Z272" s="685" t="str">
        <f>IFERROR(VLOOKUP($C272,'General price list'!$C:$AN,MATCH(Z$20,'General price list'!$C$20:$AM$20,0),FALSE),"")</f>
        <v/>
      </c>
      <c r="AA272" s="707"/>
      <c r="AB272" s="911" t="str">
        <f>IFERROR(IF(VLOOKUP(C272,[1]List1!$A:$D,2,FALSE)="VYPRODÁNO",$V$9,IF(VLOOKUP(C272,[1]List1!$A:$D,2,FALSE)="DOCHÁZÍ",$V$3,VLOOKUP(C272,[1]List1!$A:$D,2,FALSE))),"OFFLINE!")</f>
        <v>OFFLINE!</v>
      </c>
      <c r="AC272" s="911" t="str">
        <f ca="1">IF(AO272="NE",$V$10,IF(AB272=$V$3,IF(AP272&lt;1,$V$8,$V$2&amp;" "&amp;AP272&amp;" "&amp;$V$1),IF(AB272="SKLADEM",$V$6,IFERROR(IF(OR(AB272-TODAY()&gt;21,VLOOKUP(C272,[1]List1!$A:$E,4,FALSE)=0),AB272,DAY(AB272)&amp;"."&amp;MONTH(AB272)&amp;"."&amp;YEAR(AB272)&amp;" "&amp;$V$4&amp;VLOOKUP(C272,[1]List1!$A:$E,4,FALSE)&amp;" "&amp;$V$1),AB272))))</f>
        <v>OFFLINE!</v>
      </c>
      <c r="AD272" s="686" t="str">
        <f>_xlfn.IFNA(VLOOKUP(C272,'General price list'!C:AM,MATCH($AD$20,'General price list'!$C$20:$AM$20,0),FALSE),"")</f>
        <v/>
      </c>
      <c r="AE272" s="681" t="str">
        <f t="shared" si="44"/>
        <v/>
      </c>
      <c r="AF272" s="681" t="str">
        <f t="shared" si="45"/>
        <v/>
      </c>
      <c r="AG272" s="687" t="str">
        <f t="shared" si="46"/>
        <v/>
      </c>
      <c r="AH272" s="688" t="str">
        <f t="shared" si="47"/>
        <v/>
      </c>
      <c r="AI272" s="687" t="str">
        <f t="shared" si="48"/>
        <v/>
      </c>
      <c r="AJ272" s="689" t="str">
        <f t="shared" si="49"/>
        <v/>
      </c>
      <c r="AK272" s="689" t="str">
        <f t="shared" si="50"/>
        <v/>
      </c>
      <c r="AL272" s="689" t="str">
        <f t="shared" si="51"/>
        <v/>
      </c>
      <c r="AM272" s="690" t="str">
        <f t="shared" si="52"/>
        <v/>
      </c>
      <c r="AN272" s="313"/>
      <c r="AO272" s="314" t="str">
        <f>IF($R$3=1,IF(Y272=AA272,"","NE"),IF(#REF!=$V$10,"NE",""))</f>
        <v/>
      </c>
      <c r="AP272" s="315" t="str">
        <f>IF(AB272=$V$3,IF(VLOOKUP(C272,[1]List1!$A:$E,5,FALSE)=0,1,VLOOKUP(C272,[1]List1!$A:$E,5,FALSE)),"")</f>
        <v/>
      </c>
      <c r="AW272" s="291" t="e">
        <f>VLOOKUP(C272,'General price list'!C:AU,46,FALSE)</f>
        <v>#N/A</v>
      </c>
      <c r="AX272" s="291" t="e">
        <f>VLOOKUP(C272,'General price list'!C:AU,47,FALSE)</f>
        <v>#N/A</v>
      </c>
    </row>
    <row r="273" spans="1:50" ht="15" customHeight="1">
      <c r="A273" s="691" t="str">
        <f>Kat.!C273</f>
        <v xml:space="preserve">                                          </v>
      </c>
      <c r="B273" s="692">
        <v>252</v>
      </c>
      <c r="C273" s="693" t="s">
        <v>1088</v>
      </c>
      <c r="D273" s="693" t="s">
        <v>1089</v>
      </c>
      <c r="E273" s="694" t="s">
        <v>423</v>
      </c>
      <c r="F273" s="695">
        <f>VLOOKUP(C273,[2]List1!$A:$D,2,FALSE)</f>
        <v>414</v>
      </c>
      <c r="G273" s="696">
        <f t="shared" si="41"/>
        <v>414</v>
      </c>
      <c r="H273" s="697">
        <f t="shared" si="42"/>
        <v>16.8</v>
      </c>
      <c r="I273" s="837">
        <v>8</v>
      </c>
      <c r="J273" s="698" t="s">
        <v>45</v>
      </c>
      <c r="K273" s="856"/>
      <c r="L273" s="857" t="s">
        <v>13849</v>
      </c>
      <c r="M273" s="698" t="s">
        <v>131</v>
      </c>
      <c r="N273" s="869">
        <f>IFERROR(VLOOKUP(C273,[3]List1!$A:$D,4,FALSE),"N/A!")</f>
        <v>3.4985250000000002E-2</v>
      </c>
      <c r="O273" s="837">
        <f>IFERROR(VLOOKUP(C273,[3]List1!$A:$D,3,FALSE),"N/A!")</f>
        <v>3136</v>
      </c>
      <c r="P273" s="837">
        <f>IFERROR(VLOOKUP(C273,[3]List1!$A:$D,2,FALSE),"N/A!")</f>
        <v>18400</v>
      </c>
      <c r="Q273" s="698" t="s">
        <v>1038</v>
      </c>
      <c r="R273" s="698" t="s">
        <v>24</v>
      </c>
      <c r="S273" s="698"/>
      <c r="T273" s="695">
        <v>40</v>
      </c>
      <c r="U273" s="874"/>
      <c r="V273" s="699" t="str">
        <f>_xlfn.IFNA(HYPERLINK("https://www.klasekpyrotechnics.cz/c4920dr"),"")</f>
        <v>https://www.klasekpyrotechnics.cz/c4920dr</v>
      </c>
      <c r="W273" s="700" t="str">
        <f>IFERROR(VLOOKUP($C273,Popisy!A:P,MATCH($W$17,Popisy!$A$7:$P$7,0),FALSE),"---------------")</f>
        <v>7 verschiedenfarbige Effekte</v>
      </c>
      <c r="X273" s="891" t="str">
        <f t="shared" si="43"/>
        <v/>
      </c>
      <c r="Y273" s="892"/>
      <c r="Z273" s="700">
        <f>IFERROR(IF(VLOOKUP(C273,[4]List1!$A:$D,4,FALSE)=0,"",VLOOKUP(C273,[4]List1!$A:$D,4,FALSE)),"")</f>
        <v>36</v>
      </c>
      <c r="AA273" s="707"/>
      <c r="AB273" s="912" t="str">
        <f>IFERROR(IF(VLOOKUP(C273,[1]List1!$A:$D,2,FALSE)="VYPRODÁNO",$V$9,IF(VLOOKUP(C273,[1]List1!$A:$D,2,FALSE)="DOCHÁZÍ",$V$3,VLOOKUP(C273,[1]List1!$A:$D,2,FALSE))),"OFFLINE!")</f>
        <v>SKLADEM</v>
      </c>
      <c r="AC273" s="912" t="str">
        <f ca="1">IF(AO273="NE",$V$10,IF(AB273=$V$3,IF(AP273&lt;1,$V$8,$V$2&amp;" "&amp;AP273&amp;" "&amp;$V$1),IF(AB273="SKLADEM",$V$6,IFERROR(IF(OR(AB273-TODAY()&gt;21,VLOOKUP(C273,[1]List1!$A:$E,4,FALSE)=0),AB273,DAY(AB273)&amp;"."&amp;MONTH(AB273)&amp;"."&amp;YEAR(AB273)&amp;" "&amp;$V$4&amp;VLOOKUP(C273,[1]List1!$A:$E,4,FALSE)&amp;" "&amp;$V$1),AB273))))</f>
        <v>AUF LAGER</v>
      </c>
      <c r="AD273" s="701" t="str">
        <f ca="1">_xlfn.IFNA(VLOOKUP(C273,'General price list'!C:AM,MATCH($AD$20,'General price list'!$C$20:$AM$20,0),FALSE),"")</f>
        <v>AUF LAGER</v>
      </c>
      <c r="AE273" s="695">
        <f t="shared" ca="1" si="44"/>
        <v>0</v>
      </c>
      <c r="AF273" s="695">
        <f t="shared" ca="1" si="45"/>
        <v>0</v>
      </c>
      <c r="AG273" s="702">
        <f t="shared" ca="1" si="46"/>
        <v>0</v>
      </c>
      <c r="AH273" s="703">
        <f t="shared" ca="1" si="47"/>
        <v>0</v>
      </c>
      <c r="AI273" s="702">
        <f t="shared" ca="1" si="48"/>
        <v>0</v>
      </c>
      <c r="AJ273" s="704" t="str">
        <f t="shared" ca="1" si="49"/>
        <v/>
      </c>
      <c r="AK273" s="704">
        <f t="shared" ca="1" si="50"/>
        <v>0</v>
      </c>
      <c r="AL273" s="704" t="str">
        <f t="shared" ca="1" si="51"/>
        <v/>
      </c>
      <c r="AM273" s="705" t="str">
        <f t="shared" ca="1" si="52"/>
        <v/>
      </c>
      <c r="AN273" s="381"/>
      <c r="AO273" s="314" t="str">
        <f>IF($R$3=1,IF(Y273=AA273,"","NE"),IF(#REF!=$V$10,"NE",""))</f>
        <v/>
      </c>
      <c r="AP273" s="315" t="str">
        <f>IF(AB273=$V$3,IF(VLOOKUP(C273,[1]List1!$A:$E,5,FALSE)=0,1,VLOOKUP(C273,[1]List1!$A:$E,5,FALSE)),"")</f>
        <v/>
      </c>
      <c r="AW273" s="458">
        <f>IFERROR(FIND(VLOOKUP('General price list'!$AB$7,'General price list'!$AC$1:$AD$12,2,FALSE),Q273,1),0)</f>
        <v>10</v>
      </c>
      <c r="AX273" s="458">
        <f>IFERROR(FIND(VLOOKUP('General price list'!$AB$7,'General price list'!$AC$1:$AD$12,2,FALSE),R273,1),0)</f>
        <v>0</v>
      </c>
    </row>
    <row r="274" spans="1:50" ht="15" customHeight="1">
      <c r="A274" s="677" t="str">
        <f>Kat.!C274</f>
        <v xml:space="preserve">                                          </v>
      </c>
      <c r="B274" s="678">
        <v>253</v>
      </c>
      <c r="C274" s="679" t="s">
        <v>1090</v>
      </c>
      <c r="D274" s="679" t="s">
        <v>1091</v>
      </c>
      <c r="E274" s="680" t="s">
        <v>423</v>
      </c>
      <c r="F274" s="681">
        <f>VLOOKUP(C274,[2]List1!$A:$D,2,FALSE)</f>
        <v>414</v>
      </c>
      <c r="G274" s="682">
        <f t="shared" si="41"/>
        <v>414</v>
      </c>
      <c r="H274" s="683">
        <f t="shared" si="42"/>
        <v>16.8</v>
      </c>
      <c r="I274" s="836">
        <v>8</v>
      </c>
      <c r="J274" s="680" t="s">
        <v>45</v>
      </c>
      <c r="K274" s="854"/>
      <c r="L274" s="855" t="s">
        <v>13849</v>
      </c>
      <c r="M274" s="680" t="s">
        <v>131</v>
      </c>
      <c r="N274" s="868">
        <f>IFERROR(VLOOKUP(C274,[3]List1!$A:$D,4,FALSE),"N/A!")</f>
        <v>3.4985250000000002E-2</v>
      </c>
      <c r="O274" s="836">
        <f>IFERROR(VLOOKUP(C274,[3]List1!$A:$D,3,FALSE),"N/A!")</f>
        <v>3136</v>
      </c>
      <c r="P274" s="836">
        <f>IFERROR(VLOOKUP(C274,[3]List1!$A:$D,2,FALSE),"N/A!")</f>
        <v>17000</v>
      </c>
      <c r="Q274" s="680" t="s">
        <v>1038</v>
      </c>
      <c r="R274" s="680" t="s">
        <v>24</v>
      </c>
      <c r="S274" s="680"/>
      <c r="T274" s="681">
        <v>40</v>
      </c>
      <c r="U274" s="873"/>
      <c r="V274" s="684" t="str">
        <f>_xlfn.IFNA(HYPERLINK("https://www.klasekpyrotechnics.cz/c4920k"),"")</f>
        <v>https://www.klasekpyrotechnics.cz/c4920k</v>
      </c>
      <c r="W274" s="685" t="str">
        <f>IFERROR(VLOOKUP($C274,Popisy!A:P,MATCH($W$17,Popisy!$A$7:$P$7,0),FALSE),"---------------")</f>
        <v>7 verschiedenfarbige Effekte</v>
      </c>
      <c r="X274" s="889" t="str">
        <f t="shared" si="43"/>
        <v/>
      </c>
      <c r="Y274" s="890"/>
      <c r="Z274" s="685">
        <f>IFERROR(IF(VLOOKUP(C274,[4]List1!$A:$D,4,FALSE)=0,"",VLOOKUP(C274,[4]List1!$A:$D,4,FALSE)),"")</f>
        <v>36</v>
      </c>
      <c r="AA274" s="707"/>
      <c r="AB274" s="911" t="str">
        <f>IFERROR(IF(VLOOKUP(C274,[1]List1!$A:$D,2,FALSE)="VYPRODÁNO",$V$9,IF(VLOOKUP(C274,[1]List1!$A:$D,2,FALSE)="DOCHÁZÍ",$V$3,VLOOKUP(C274,[1]List1!$A:$D,2,FALSE))),"OFFLINE!")</f>
        <v>SKLADEM</v>
      </c>
      <c r="AC274" s="911" t="str">
        <f ca="1">IF(AO274="NE",$V$10,IF(AB274=$V$3,IF(AP274&lt;1,$V$8,$V$2&amp;" "&amp;AP274&amp;" "&amp;$V$1),IF(AB274="SKLADEM",$V$6,IFERROR(IF(OR(AB274-TODAY()&gt;21,VLOOKUP(C274,[1]List1!$A:$E,4,FALSE)=0),AB274,DAY(AB274)&amp;"."&amp;MONTH(AB274)&amp;"."&amp;YEAR(AB274)&amp;" "&amp;$V$4&amp;VLOOKUP(C274,[1]List1!$A:$E,4,FALSE)&amp;" "&amp;$V$1),AB274))))</f>
        <v>AUF LAGER</v>
      </c>
      <c r="AD274" s="686" t="str">
        <f ca="1">_xlfn.IFNA(VLOOKUP(C274,'General price list'!C:AM,MATCH($AD$20,'General price list'!$C$20:$AM$20,0),FALSE),"")</f>
        <v>AUF LAGER</v>
      </c>
      <c r="AE274" s="681">
        <f t="shared" ca="1" si="44"/>
        <v>0</v>
      </c>
      <c r="AF274" s="681">
        <f t="shared" ca="1" si="45"/>
        <v>0</v>
      </c>
      <c r="AG274" s="687">
        <f t="shared" ca="1" si="46"/>
        <v>0</v>
      </c>
      <c r="AH274" s="688">
        <f t="shared" ca="1" si="47"/>
        <v>0</v>
      </c>
      <c r="AI274" s="687">
        <f t="shared" ca="1" si="48"/>
        <v>0</v>
      </c>
      <c r="AJ274" s="689" t="str">
        <f t="shared" ca="1" si="49"/>
        <v/>
      </c>
      <c r="AK274" s="689">
        <f t="shared" ca="1" si="50"/>
        <v>0</v>
      </c>
      <c r="AL274" s="689" t="str">
        <f t="shared" ca="1" si="51"/>
        <v/>
      </c>
      <c r="AM274" s="690" t="str">
        <f t="shared" ca="1" si="52"/>
        <v/>
      </c>
      <c r="AN274" s="382"/>
      <c r="AO274" s="314" t="str">
        <f>IF($R$3=1,IF(Y274=AA274,"","NE"),IF(#REF!=$V$10,"NE",""))</f>
        <v/>
      </c>
      <c r="AP274" s="315" t="str">
        <f>IF(AB274=$V$3,IF(VLOOKUP(C274,[1]List1!$A:$E,5,FALSE)=0,1,VLOOKUP(C274,[1]List1!$A:$E,5,FALSE)),"")</f>
        <v/>
      </c>
      <c r="AW274" s="458">
        <f>IFERROR(FIND(VLOOKUP('General price list'!$AB$7,'General price list'!$AC$1:$AD$12,2,FALSE),Q274,1),0)</f>
        <v>10</v>
      </c>
      <c r="AX274" s="458">
        <f>IFERROR(FIND(VLOOKUP('General price list'!$AB$7,'General price list'!$AC$1:$AD$12,2,FALSE),R274,1),0)</f>
        <v>0</v>
      </c>
    </row>
    <row r="275" spans="1:50" ht="15" customHeight="1">
      <c r="A275" s="691" t="str">
        <f>Kat.!C275</f>
        <v xml:space="preserve">                                          </v>
      </c>
      <c r="B275" s="692">
        <v>254</v>
      </c>
      <c r="C275" s="693" t="s">
        <v>1093</v>
      </c>
      <c r="D275" s="693" t="s">
        <v>1094</v>
      </c>
      <c r="E275" s="694" t="s">
        <v>423</v>
      </c>
      <c r="F275" s="695">
        <f>VLOOKUP(C275,[2]List1!$A:$D,2,FALSE)</f>
        <v>414</v>
      </c>
      <c r="G275" s="696">
        <f t="shared" si="41"/>
        <v>414</v>
      </c>
      <c r="H275" s="697">
        <f t="shared" si="42"/>
        <v>16.8</v>
      </c>
      <c r="I275" s="837">
        <v>8</v>
      </c>
      <c r="J275" s="698" t="s">
        <v>45</v>
      </c>
      <c r="K275" s="856">
        <v>5</v>
      </c>
      <c r="L275" s="857" t="s">
        <v>13849</v>
      </c>
      <c r="M275" s="698" t="s">
        <v>131</v>
      </c>
      <c r="N275" s="869">
        <f>IFERROR(VLOOKUP(C275,[3]List1!$A:$D,4,FALSE),"N/A!")</f>
        <v>3.4985250000000002E-2</v>
      </c>
      <c r="O275" s="837">
        <f>IFERROR(VLOOKUP(C275,[3]List1!$A:$D,3,FALSE),"N/A!")</f>
        <v>3136</v>
      </c>
      <c r="P275" s="837">
        <f>IFERROR(VLOOKUP(C275,[3]List1!$A:$D,2,FALSE),"N/A!")</f>
        <v>17000</v>
      </c>
      <c r="Q275" s="698" t="s">
        <v>1038</v>
      </c>
      <c r="R275" s="698" t="s">
        <v>24</v>
      </c>
      <c r="S275" s="698"/>
      <c r="T275" s="695">
        <v>40</v>
      </c>
      <c r="U275" s="874"/>
      <c r="V275" s="699" t="str">
        <f>_xlfn.IFNA(HYPERLINK("https://www.klasekpyrotechnics.cz/c4920s"),"")</f>
        <v>https://www.klasekpyrotechnics.cz/c4920s</v>
      </c>
      <c r="W275" s="700" t="str">
        <f>IFERROR(VLOOKUP($C275,Popisy!A:P,MATCH($W$17,Popisy!$A$7:$P$7,0),FALSE),"---------------")</f>
        <v>7 verschiedenfarbige Effekte</v>
      </c>
      <c r="X275" s="891" t="str">
        <f t="shared" si="43"/>
        <v/>
      </c>
      <c r="Y275" s="892"/>
      <c r="Z275" s="700">
        <f>IFERROR(IF(VLOOKUP(C275,[4]List1!$A:$D,4,FALSE)=0,"",VLOOKUP(C275,[4]List1!$A:$D,4,FALSE)),"")</f>
        <v>36</v>
      </c>
      <c r="AA275" s="707"/>
      <c r="AB275" s="912" t="str">
        <f>IFERROR(IF(VLOOKUP(C275,[1]List1!$A:$D,2,FALSE)="VYPRODÁNO",$V$9,IF(VLOOKUP(C275,[1]List1!$A:$D,2,FALSE)="DOCHÁZÍ",$V$3,VLOOKUP(C275,[1]List1!$A:$D,2,FALSE))),"OFFLINE!")</f>
        <v>SKLADEM</v>
      </c>
      <c r="AC275" s="912" t="str">
        <f ca="1">IF(AO275="NE",$V$10,IF(AB275=$V$3,IF(AP275&lt;1,$V$8,$V$2&amp;" "&amp;AP275&amp;" "&amp;$V$1),IF(AB275="SKLADEM",$V$6,IFERROR(IF(OR(AB275-TODAY()&gt;21,VLOOKUP(C275,[1]List1!$A:$E,4,FALSE)=0),AB275,DAY(AB275)&amp;"."&amp;MONTH(AB275)&amp;"."&amp;YEAR(AB275)&amp;" "&amp;$V$4&amp;VLOOKUP(C275,[1]List1!$A:$E,4,FALSE)&amp;" "&amp;$V$1),AB275))))</f>
        <v>AUF LAGER</v>
      </c>
      <c r="AD275" s="701" t="str">
        <f ca="1">_xlfn.IFNA(VLOOKUP(C275,'General price list'!C:AM,MATCH($AD$20,'General price list'!$C$20:$AM$20,0),FALSE),"")</f>
        <v>AUF LAGER</v>
      </c>
      <c r="AE275" s="695">
        <f t="shared" ca="1" si="44"/>
        <v>0</v>
      </c>
      <c r="AF275" s="695">
        <f t="shared" ca="1" si="45"/>
        <v>0</v>
      </c>
      <c r="AG275" s="702">
        <f t="shared" ca="1" si="46"/>
        <v>0</v>
      </c>
      <c r="AH275" s="703">
        <f t="shared" ca="1" si="47"/>
        <v>0</v>
      </c>
      <c r="AI275" s="702">
        <f t="shared" ca="1" si="48"/>
        <v>0</v>
      </c>
      <c r="AJ275" s="704" t="str">
        <f t="shared" ca="1" si="49"/>
        <v/>
      </c>
      <c r="AK275" s="704">
        <f t="shared" ca="1" si="50"/>
        <v>0</v>
      </c>
      <c r="AL275" s="704" t="str">
        <f t="shared" ca="1" si="51"/>
        <v/>
      </c>
      <c r="AM275" s="705" t="str">
        <f t="shared" ca="1" si="52"/>
        <v/>
      </c>
      <c r="AN275" s="382"/>
      <c r="AO275" s="314" t="str">
        <f>IF($R$3=1,IF(Y275=AA275,"","NE"),IF(#REF!=$V$10,"NE",""))</f>
        <v/>
      </c>
      <c r="AP275" s="315" t="str">
        <f>IF(AB275=$V$3,IF(VLOOKUP(C275,[1]List1!$A:$E,5,FALSE)=0,1,VLOOKUP(C275,[1]List1!$A:$E,5,FALSE)),"")</f>
        <v/>
      </c>
      <c r="AW275" s="458">
        <f>IFERROR(FIND(VLOOKUP('General price list'!$AB$7,'General price list'!$AC$1:$AD$12,2,FALSE),Q275,1),0)</f>
        <v>10</v>
      </c>
      <c r="AX275" s="458">
        <f>IFERROR(FIND(VLOOKUP('General price list'!$AB$7,'General price list'!$AC$1:$AD$12,2,FALSE),R275,1),0)</f>
        <v>0</v>
      </c>
    </row>
    <row r="276" spans="1:50" ht="15" customHeight="1">
      <c r="A276" s="672" t="str">
        <f>Kat.!C276</f>
        <v xml:space="preserve">                                          Batterien 49 schuss, 20mm Mörser-1.4G</v>
      </c>
      <c r="B276" s="678">
        <v>255</v>
      </c>
      <c r="C276" s="679"/>
      <c r="D276" s="679"/>
      <c r="E276" s="680"/>
      <c r="F276" s="681" t="str">
        <f>IFERROR(ROUND(VLOOKUP(C276,'General price list'!$C:$AN,4,FALSE),0),"")</f>
        <v/>
      </c>
      <c r="G276" s="682" t="str">
        <f t="shared" si="41"/>
        <v/>
      </c>
      <c r="H276" s="683" t="str">
        <f t="shared" si="42"/>
        <v/>
      </c>
      <c r="I276" s="836"/>
      <c r="J276" s="680"/>
      <c r="K276" s="854"/>
      <c r="L276" s="855"/>
      <c r="M276" s="680"/>
      <c r="N276" s="868" t="str">
        <f>IFERROR(IF(VLOOKUP($C276,'General price list'!$C:$AN,MATCH(N$20,'General price list'!$C$20:$AM$20,0),FALSE)=0,"",VLOOKUP($C276,'General price list'!$C:$AN,MATCH(N$20,'General price list'!$C$20:$AM$20,0),FALSE)),"")</f>
        <v/>
      </c>
      <c r="O276" s="836" t="str">
        <f>IFERROR(IF(VLOOKUP($C276,'General price list'!$C:$AN,MATCH(O$20,'General price list'!$C$20:$AM$20,0),FALSE)=0,"",VLOOKUP($C276,'General price list'!$C:$AN,MATCH(O$20,'General price list'!$C$20:$AM$20,0),FALSE)),"")</f>
        <v/>
      </c>
      <c r="P276" s="836" t="str">
        <f>IFERROR(IF(VLOOKUP($C276,'General price list'!$C:$AN,MATCH(P$20,'General price list'!$C$20:$AM$20,0),FALSE)=0,"",VLOOKUP($C276,'General price list'!$C:$AN,MATCH(P$20,'General price list'!$C$20:$AM$20,0),FALSE)),"")</f>
        <v/>
      </c>
      <c r="Q276" s="680"/>
      <c r="R276" s="680"/>
      <c r="S276" s="680"/>
      <c r="T276" s="681"/>
      <c r="U276" s="873"/>
      <c r="V276" s="684"/>
      <c r="W276" s="685" t="str">
        <f>IFERROR(VLOOKUP($C276,'General price list'!$C:$AN,MATCH(W$20,'General price list'!$C$20:$AM$20,0),FALSE),"")</f>
        <v/>
      </c>
      <c r="X276" s="889" t="str">
        <f t="shared" si="43"/>
        <v/>
      </c>
      <c r="Y276" s="890"/>
      <c r="Z276" s="685" t="str">
        <f>IFERROR(VLOOKUP($C276,'General price list'!$C:$AN,MATCH(Z$20,'General price list'!$C$20:$AM$20,0),FALSE),"")</f>
        <v/>
      </c>
      <c r="AA276" s="707"/>
      <c r="AB276" s="911" t="str">
        <f>IFERROR(IF(VLOOKUP(C276,[1]List1!$A:$D,2,FALSE)="VYPRODÁNO",$V$9,IF(VLOOKUP(C276,[1]List1!$A:$D,2,FALSE)="DOCHÁZÍ",$V$3,VLOOKUP(C276,[1]List1!$A:$D,2,FALSE))),"OFFLINE!")</f>
        <v>OFFLINE!</v>
      </c>
      <c r="AC276" s="911" t="str">
        <f ca="1">IF(AO276="NE",$V$10,IF(AB276=$V$3,IF(AP276&lt;1,$V$8,$V$2&amp;" "&amp;AP276&amp;" "&amp;$V$1),IF(AB276="SKLADEM",$V$6,IFERROR(IF(OR(AB276-TODAY()&gt;21,VLOOKUP(C276,[1]List1!$A:$E,4,FALSE)=0),AB276,DAY(AB276)&amp;"."&amp;MONTH(AB276)&amp;"."&amp;YEAR(AB276)&amp;" "&amp;$V$4&amp;VLOOKUP(C276,[1]List1!$A:$E,4,FALSE)&amp;" "&amp;$V$1),AB276))))</f>
        <v>OFFLINE!</v>
      </c>
      <c r="AD276" s="686" t="str">
        <f>_xlfn.IFNA(VLOOKUP(C276,'General price list'!C:AM,MATCH($AD$20,'General price list'!$C$20:$AM$20,0),FALSE),"")</f>
        <v/>
      </c>
      <c r="AE276" s="681" t="str">
        <f t="shared" si="44"/>
        <v/>
      </c>
      <c r="AF276" s="681" t="str">
        <f t="shared" si="45"/>
        <v/>
      </c>
      <c r="AG276" s="687" t="str">
        <f t="shared" si="46"/>
        <v/>
      </c>
      <c r="AH276" s="688" t="str">
        <f t="shared" si="47"/>
        <v/>
      </c>
      <c r="AI276" s="687" t="str">
        <f t="shared" si="48"/>
        <v/>
      </c>
      <c r="AJ276" s="689" t="str">
        <f t="shared" si="49"/>
        <v/>
      </c>
      <c r="AK276" s="689" t="str">
        <f t="shared" si="50"/>
        <v/>
      </c>
      <c r="AL276" s="689" t="str">
        <f t="shared" si="51"/>
        <v/>
      </c>
      <c r="AM276" s="690" t="str">
        <f t="shared" si="52"/>
        <v/>
      </c>
      <c r="AN276" s="381"/>
      <c r="AO276" s="314" t="str">
        <f>IF($R$3=1,IF(Y276=AA276,"","NE"),IF(#REF!=$V$10,"NE",""))</f>
        <v/>
      </c>
      <c r="AP276" s="315" t="str">
        <f>IF(AB276=$V$3,IF(VLOOKUP(C276,[1]List1!$A:$E,5,FALSE)=0,1,VLOOKUP(C276,[1]List1!$A:$E,5,FALSE)),"")</f>
        <v/>
      </c>
      <c r="AW276" s="291" t="e">
        <f>VLOOKUP(C276,'General price list'!C:AU,46,FALSE)</f>
        <v>#N/A</v>
      </c>
      <c r="AX276" s="291" t="e">
        <f>VLOOKUP(C276,'General price list'!C:AU,47,FALSE)</f>
        <v>#N/A</v>
      </c>
    </row>
    <row r="277" spans="1:50" ht="15" customHeight="1">
      <c r="A277" s="691" t="str">
        <f>Kat.!C277</f>
        <v xml:space="preserve">                                          </v>
      </c>
      <c r="B277" s="692">
        <v>256</v>
      </c>
      <c r="C277" s="693" t="s">
        <v>1095</v>
      </c>
      <c r="D277" s="693" t="s">
        <v>13223</v>
      </c>
      <c r="E277" s="694" t="s">
        <v>423</v>
      </c>
      <c r="F277" s="695">
        <f>VLOOKUP(C277,[2]List1!$A:$D,2,FALSE)</f>
        <v>522</v>
      </c>
      <c r="G277" s="696">
        <f t="shared" si="41"/>
        <v>522</v>
      </c>
      <c r="H277" s="697">
        <f t="shared" si="42"/>
        <v>21.2</v>
      </c>
      <c r="I277" s="837">
        <v>8</v>
      </c>
      <c r="J277" s="698" t="s">
        <v>45</v>
      </c>
      <c r="K277" s="856"/>
      <c r="L277" s="857" t="s">
        <v>13828</v>
      </c>
      <c r="M277" s="698" t="s">
        <v>25</v>
      </c>
      <c r="N277" s="869">
        <f>IFERROR(VLOOKUP(C277,[3]List1!$A:$D,4,FALSE),"N/A!")</f>
        <v>3.4985250000000002E-2</v>
      </c>
      <c r="O277" s="837">
        <f>IFERROR(VLOOKUP(C277,[3]List1!$A:$D,3,FALSE),"N/A!")</f>
        <v>3992</v>
      </c>
      <c r="P277" s="837">
        <f>IFERROR(VLOOKUP(C277,[3]List1!$A:$D,2,FALSE),"N/A!")</f>
        <v>19000</v>
      </c>
      <c r="Q277" s="698" t="s">
        <v>1092</v>
      </c>
      <c r="R277" s="698" t="s">
        <v>24</v>
      </c>
      <c r="S277" s="698"/>
      <c r="T277" s="695">
        <v>45</v>
      </c>
      <c r="U277" s="874"/>
      <c r="V277" s="699" t="str">
        <f>_xlfn.IFNA(HYPERLINK("https://www.klasekpyrotechnics.cz/c4920sig14"),"")</f>
        <v>https://www.klasekpyrotechnics.cz/c4920sig14</v>
      </c>
      <c r="W277" s="700" t="str">
        <f>IFERROR(VLOOKUP($C277,Popisy!A:P,MATCH($W$17,Popisy!$A$7:$P$7,0),FALSE),"---------------")</f>
        <v>7 verschiedenfarbige Effekte</v>
      </c>
      <c r="X277" s="891" t="str">
        <f t="shared" si="43"/>
        <v/>
      </c>
      <c r="Y277" s="892"/>
      <c r="Z277" s="700">
        <f>IFERROR(IF(VLOOKUP(C277,[4]List1!$A:$D,4,FALSE)=0,"",VLOOKUP(C277,[4]List1!$A:$D,4,FALSE)),"")</f>
        <v>36</v>
      </c>
      <c r="AA277" s="707"/>
      <c r="AB277" s="912" t="str">
        <f>IFERROR(IF(VLOOKUP(C277,[1]List1!$A:$D,2,FALSE)="VYPRODÁNO",$V$9,IF(VLOOKUP(C277,[1]List1!$A:$D,2,FALSE)="DOCHÁZÍ",$V$3,VLOOKUP(C277,[1]List1!$A:$D,2,FALSE))),"OFFLINE!")</f>
        <v>SKLADEM</v>
      </c>
      <c r="AC277" s="912" t="str">
        <f ca="1">IF(AO277="NE",$V$10,IF(AB277=$V$3,IF(AP277&lt;1,$V$8,$V$2&amp;" "&amp;AP277&amp;" "&amp;$V$1),IF(AB277="SKLADEM",$V$6,IFERROR(IF(OR(AB277-TODAY()&gt;21,VLOOKUP(C277,[1]List1!$A:$E,4,FALSE)=0),AB277,DAY(AB277)&amp;"."&amp;MONTH(AB277)&amp;"."&amp;YEAR(AB277)&amp;" "&amp;$V$4&amp;VLOOKUP(C277,[1]List1!$A:$E,4,FALSE)&amp;" "&amp;$V$1),AB277))))</f>
        <v>AUF LAGER</v>
      </c>
      <c r="AD277" s="701">
        <f>_xlfn.IFNA(VLOOKUP(C277,'General price list'!C:AM,MATCH($AD$20,'General price list'!$C$20:$AM$20,0),FALSE),"")</f>
        <v>0</v>
      </c>
      <c r="AE277" s="695">
        <f t="shared" si="44"/>
        <v>0</v>
      </c>
      <c r="AF277" s="695">
        <f t="shared" si="45"/>
        <v>0</v>
      </c>
      <c r="AG277" s="702">
        <f t="shared" si="46"/>
        <v>0</v>
      </c>
      <c r="AH277" s="703">
        <f t="shared" si="47"/>
        <v>0</v>
      </c>
      <c r="AI277" s="702">
        <f t="shared" si="48"/>
        <v>0</v>
      </c>
      <c r="AJ277" s="704" t="str">
        <f t="shared" si="49"/>
        <v/>
      </c>
      <c r="AK277" s="704" t="str">
        <f t="shared" si="50"/>
        <v/>
      </c>
      <c r="AL277" s="704">
        <f t="shared" si="51"/>
        <v>0</v>
      </c>
      <c r="AM277" s="705" t="str">
        <f t="shared" si="52"/>
        <v/>
      </c>
      <c r="AN277" s="382"/>
      <c r="AO277" s="314" t="str">
        <f>IF($R$3=1,IF(Y277=AA277,"","NE"),IF(#REF!=$V$10,"NE",""))</f>
        <v/>
      </c>
      <c r="AP277" s="315" t="str">
        <f>IF(AB277=$V$3,IF(VLOOKUP(C277,[1]List1!$A:$E,5,FALSE)=0,1,VLOOKUP(C277,[1]List1!$A:$E,5,FALSE)),"")</f>
        <v/>
      </c>
      <c r="AW277" s="458">
        <f>IFERROR(FIND(VLOOKUP('General price list'!$AB$7,'General price list'!$AC$1:$AD$12,2,FALSE),Q277,1),0)</f>
        <v>10</v>
      </c>
      <c r="AX277" s="458">
        <f>IFERROR(FIND(VLOOKUP('General price list'!$AB$7,'General price list'!$AC$1:$AD$12,2,FALSE),R277,1),0)</f>
        <v>0</v>
      </c>
    </row>
    <row r="278" spans="1:50" ht="15" customHeight="1">
      <c r="A278" s="677" t="str">
        <f>Kat.!C278</f>
        <v xml:space="preserve">                                          </v>
      </c>
      <c r="B278" s="678">
        <v>257</v>
      </c>
      <c r="C278" s="679" t="s">
        <v>1096</v>
      </c>
      <c r="D278" s="679" t="s">
        <v>1089</v>
      </c>
      <c r="E278" s="680" t="s">
        <v>423</v>
      </c>
      <c r="F278" s="681">
        <f>VLOOKUP(C278,[2]List1!$A:$D,2,FALSE)</f>
        <v>414</v>
      </c>
      <c r="G278" s="682">
        <f t="shared" si="41"/>
        <v>414</v>
      </c>
      <c r="H278" s="683">
        <f t="shared" si="42"/>
        <v>16.8</v>
      </c>
      <c r="I278" s="836">
        <v>8</v>
      </c>
      <c r="J278" s="680" t="s">
        <v>45</v>
      </c>
      <c r="K278" s="854"/>
      <c r="L278" s="855" t="s">
        <v>13832</v>
      </c>
      <c r="M278" s="680" t="s">
        <v>25</v>
      </c>
      <c r="N278" s="868">
        <f>IFERROR(VLOOKUP(C278,[3]List1!$A:$D,4,FALSE),"N/A!")</f>
        <v>3.4985250000000002E-2</v>
      </c>
      <c r="O278" s="836">
        <f>IFERROR(VLOOKUP(C278,[3]List1!$A:$D,3,FALSE),"N/A!")</f>
        <v>3136</v>
      </c>
      <c r="P278" s="836">
        <f>IFERROR(VLOOKUP(C278,[3]List1!$A:$D,2,FALSE),"N/A!")</f>
        <v>17700</v>
      </c>
      <c r="Q278" s="680" t="s">
        <v>150</v>
      </c>
      <c r="R278" s="680" t="s">
        <v>24</v>
      </c>
      <c r="S278" s="680"/>
      <c r="T278" s="681">
        <v>45</v>
      </c>
      <c r="U278" s="873"/>
      <c r="V278" s="684" t="str">
        <f>_xlfn.IFNA(HYPERLINK("https://www.klasekpyrotechnics.cz/c4920dr14"),"")</f>
        <v>https://www.klasekpyrotechnics.cz/c4920dr14</v>
      </c>
      <c r="W278" s="685" t="str">
        <f>IFERROR(VLOOKUP($C278,Popisy!A:P,MATCH($W$17,Popisy!$A$7:$P$7,0),FALSE),"---------------")</f>
        <v>7 verschiedenfarbige Effekte</v>
      </c>
      <c r="X278" s="889" t="str">
        <f t="shared" si="43"/>
        <v/>
      </c>
      <c r="Y278" s="890"/>
      <c r="Z278" s="685">
        <f>IFERROR(IF(VLOOKUP(C278,[4]List1!$A:$D,4,FALSE)=0,"",VLOOKUP(C278,[4]List1!$A:$D,4,FALSE)),"")</f>
        <v>36</v>
      </c>
      <c r="AA278" s="707"/>
      <c r="AB278" s="911" t="str">
        <f>IFERROR(IF(VLOOKUP(C278,[1]List1!$A:$D,2,FALSE)="VYPRODÁNO",$V$9,IF(VLOOKUP(C278,[1]List1!$A:$D,2,FALSE)="DOCHÁZÍ",$V$3,VLOOKUP(C278,[1]List1!$A:$D,2,FALSE))),"OFFLINE!")</f>
        <v>SKLADEM</v>
      </c>
      <c r="AC278" s="911" t="str">
        <f ca="1">IF(AO278="NE",$V$10,IF(AB278=$V$3,IF(AP278&lt;1,$V$8,$V$2&amp;" "&amp;AP278&amp;" "&amp;$V$1),IF(AB278="SKLADEM",$V$6,IFERROR(IF(OR(AB278-TODAY()&gt;21,VLOOKUP(C278,[1]List1!$A:$E,4,FALSE)=0),AB278,DAY(AB278)&amp;"."&amp;MONTH(AB278)&amp;"."&amp;YEAR(AB278)&amp;" "&amp;$V$4&amp;VLOOKUP(C278,[1]List1!$A:$E,4,FALSE)&amp;" "&amp;$V$1),AB278))))</f>
        <v>AUF LAGER</v>
      </c>
      <c r="AD278" s="686" t="str">
        <f ca="1">_xlfn.IFNA(VLOOKUP(C278,'General price list'!C:AM,MATCH($AD$20,'General price list'!$C$20:$AM$20,0),FALSE),"")</f>
        <v>AUF LAGER</v>
      </c>
      <c r="AE278" s="681">
        <f t="shared" ca="1" si="44"/>
        <v>0</v>
      </c>
      <c r="AF278" s="681">
        <f t="shared" ca="1" si="45"/>
        <v>0</v>
      </c>
      <c r="AG278" s="687">
        <f t="shared" ca="1" si="46"/>
        <v>0</v>
      </c>
      <c r="AH278" s="688">
        <f t="shared" ca="1" si="47"/>
        <v>0</v>
      </c>
      <c r="AI278" s="687">
        <f t="shared" ca="1" si="48"/>
        <v>0</v>
      </c>
      <c r="AJ278" s="689" t="str">
        <f t="shared" ca="1" si="49"/>
        <v/>
      </c>
      <c r="AK278" s="689" t="str">
        <f t="shared" ca="1" si="50"/>
        <v/>
      </c>
      <c r="AL278" s="689">
        <f t="shared" ca="1" si="51"/>
        <v>0</v>
      </c>
      <c r="AM278" s="690" t="str">
        <f t="shared" ca="1" si="52"/>
        <v/>
      </c>
      <c r="AN278" s="381"/>
      <c r="AO278" s="314" t="str">
        <f>IF($R$3=1,IF(Y278=AA278,"","NE"),IF(#REF!=$V$10,"NE",""))</f>
        <v/>
      </c>
      <c r="AP278" s="315" t="str">
        <f>IF(AB278=$V$3,IF(VLOOKUP(C278,[1]List1!$A:$E,5,FALSE)=0,1,VLOOKUP(C278,[1]List1!$A:$E,5,FALSE)),"")</f>
        <v/>
      </c>
      <c r="AW278" s="458">
        <f>IFERROR(FIND(VLOOKUP('General price list'!$AB$7,'General price list'!$AC$1:$AD$12,2,FALSE),Q278,1),0)</f>
        <v>10</v>
      </c>
      <c r="AX278" s="458">
        <f>IFERROR(FIND(VLOOKUP('General price list'!$AB$7,'General price list'!$AC$1:$AD$12,2,FALSE),R278,1),0)</f>
        <v>0</v>
      </c>
    </row>
    <row r="279" spans="1:50" ht="15" customHeight="1">
      <c r="A279" s="691" t="str">
        <f>Kat.!C279</f>
        <v xml:space="preserve">                                          </v>
      </c>
      <c r="B279" s="692">
        <v>258</v>
      </c>
      <c r="C279" s="693" t="s">
        <v>1098</v>
      </c>
      <c r="D279" s="693" t="s">
        <v>1094</v>
      </c>
      <c r="E279" s="694" t="s">
        <v>423</v>
      </c>
      <c r="F279" s="695">
        <f>VLOOKUP(C279,[2]List1!$A:$D,2,FALSE)</f>
        <v>414</v>
      </c>
      <c r="G279" s="696">
        <f t="shared" ref="G279:G342" si="53">IFERROR((F279)*$B$19,"")</f>
        <v>414</v>
      </c>
      <c r="H279" s="697">
        <f t="shared" ref="H279:H342" si="54">IFERROR(ROUND(G279/$F$19,1),"")</f>
        <v>16.8</v>
      </c>
      <c r="I279" s="837">
        <v>8</v>
      </c>
      <c r="J279" s="698" t="s">
        <v>45</v>
      </c>
      <c r="K279" s="856">
        <v>5</v>
      </c>
      <c r="L279" s="857" t="s">
        <v>13853</v>
      </c>
      <c r="M279" s="698" t="s">
        <v>25</v>
      </c>
      <c r="N279" s="869">
        <f>IFERROR(VLOOKUP(C279,[3]List1!$A:$D,4,FALSE),"N/A!")</f>
        <v>3.4985250000000002E-2</v>
      </c>
      <c r="O279" s="837">
        <f>IFERROR(VLOOKUP(C279,[3]List1!$A:$D,3,FALSE),"N/A!")</f>
        <v>3136</v>
      </c>
      <c r="P279" s="837">
        <f>IFERROR(VLOOKUP(C279,[3]List1!$A:$D,2,FALSE),"N/A!")</f>
        <v>16500</v>
      </c>
      <c r="Q279" s="698" t="s">
        <v>150</v>
      </c>
      <c r="R279" s="698" t="s">
        <v>24</v>
      </c>
      <c r="S279" s="698"/>
      <c r="T279" s="695">
        <v>40</v>
      </c>
      <c r="U279" s="874"/>
      <c r="V279" s="699" t="str">
        <f>_xlfn.IFNA(HYPERLINK("https://www.klasekpyrotechnics.cz/c4920s14"),"")</f>
        <v>https://www.klasekpyrotechnics.cz/c4920s14</v>
      </c>
      <c r="W279" s="700" t="str">
        <f>IFERROR(VLOOKUP($C279,Popisy!A:P,MATCH($W$17,Popisy!$A$7:$P$7,0),FALSE),"---------------")</f>
        <v>7 verschiedenfarbige Effekte</v>
      </c>
      <c r="X279" s="891" t="str">
        <f t="shared" ref="X279:X342" si="55">IF(AA279&lt;0.0001,"",AA279)</f>
        <v/>
      </c>
      <c r="Y279" s="892"/>
      <c r="Z279" s="700">
        <f>IFERROR(IF(VLOOKUP(C279,[4]List1!$A:$D,4,FALSE)=0,"",VLOOKUP(C279,[4]List1!$A:$D,4,FALSE)),"")</f>
        <v>36</v>
      </c>
      <c r="AA279" s="707"/>
      <c r="AB279" s="912" t="str">
        <f>IFERROR(IF(VLOOKUP(C279,[1]List1!$A:$D,2,FALSE)="VYPRODÁNO",$V$9,IF(VLOOKUP(C279,[1]List1!$A:$D,2,FALSE)="DOCHÁZÍ",$V$3,VLOOKUP(C279,[1]List1!$A:$D,2,FALSE))),"OFFLINE!")</f>
        <v>20.06.2024</v>
      </c>
      <c r="AC279" s="912" t="str">
        <f ca="1">IF(AO279="NE",$V$10,IF(AB279=$V$3,IF(AP279&lt;1,$V$8,$V$2&amp;" "&amp;AP279&amp;" "&amp;$V$1),IF(AB279="SKLADEM",$V$6,IFERROR(IF(OR(AB279-TODAY()&gt;21,VLOOKUP(C279,[1]List1!$A:$E,4,FALSE)=0),AB279,DAY(AB279)&amp;"."&amp;MONTH(AB279)&amp;"."&amp;YEAR(AB279)&amp;" "&amp;$V$4&amp;VLOOKUP(C279,[1]List1!$A:$E,4,FALSE)&amp;" "&amp;$V$1),AB279))))</f>
        <v>20.06.2024</v>
      </c>
      <c r="AD279" s="701" t="str">
        <f ca="1">_xlfn.IFNA(VLOOKUP(C279,'General price list'!C:AM,MATCH($AD$20,'General price list'!$C$20:$AM$20,0),FALSE),"")</f>
        <v>20.06.2024</v>
      </c>
      <c r="AE279" s="695">
        <f t="shared" ref="AE279:AE342" ca="1" si="56">IFERROR(IF(AD279=$V$10,0,G279*I279*AA279),"")</f>
        <v>0</v>
      </c>
      <c r="AF279" s="695">
        <f t="shared" ref="AF279:AF342" ca="1" si="57">IFERROR(IF($W$17=$AB$8,AG279*1.23,AE279*1.21),"")</f>
        <v>0</v>
      </c>
      <c r="AG279" s="702">
        <f t="shared" ref="AG279:AG342" ca="1" si="58">IFERROR(IF($V$10=AD279,0,H279*I279*AA279),"")</f>
        <v>0</v>
      </c>
      <c r="AH279" s="703">
        <f t="shared" ref="AH279:AH342" ca="1" si="59">IFERROR(IF($V$10=AD279,0,(P279*AA279)/1000),"")</f>
        <v>0</v>
      </c>
      <c r="AI279" s="702">
        <f t="shared" ref="AI279:AI342" ca="1" si="60">IFERROR(IF($V$10=AD279,0,N279*AA279),"")</f>
        <v>0</v>
      </c>
      <c r="AJ279" s="704" t="str">
        <f t="shared" ref="AJ279:AJ342" ca="1" si="61">IFERROR(IF($V$10=AD279,"",IF(M279="1.1G",(O279/1000)*AA279,"")),0)</f>
        <v/>
      </c>
      <c r="AK279" s="704" t="str">
        <f t="shared" ref="AK279:AK342" ca="1" si="62">IFERROR(IF($V$10=AD279,"",IF(M279="1.3G",(O279/1000)*AA279,"")),0)</f>
        <v/>
      </c>
      <c r="AL279" s="704">
        <f t="shared" ref="AL279:AL342" ca="1" si="63">IFERROR(IF($V$10=AD279,"",IF(M279="1.4G",(O279/1000)*AA279,"")),0)</f>
        <v>0</v>
      </c>
      <c r="AM279" s="705" t="str">
        <f t="shared" ref="AM279:AM342" ca="1" si="64">IFERROR(IF(SUM(AJ279:AL279)=0,"",SUM(AJ279:AL279)),"")</f>
        <v/>
      </c>
      <c r="AN279" s="382"/>
      <c r="AO279" s="314" t="str">
        <f>IF($R$3=1,IF(Y279=AA279,"","NE"),IF(#REF!=$V$10,"NE",""))</f>
        <v/>
      </c>
      <c r="AP279" s="315" t="str">
        <f>IF(AB279=$V$3,IF(VLOOKUP(C279,[1]List1!$A:$E,5,FALSE)=0,1,VLOOKUP(C279,[1]List1!$A:$E,5,FALSE)),"")</f>
        <v/>
      </c>
      <c r="AW279" s="458">
        <f>IFERROR(FIND(VLOOKUP('General price list'!$AB$7,'General price list'!$AC$1:$AD$12,2,FALSE),Q279,1),0)</f>
        <v>10</v>
      </c>
      <c r="AX279" s="458">
        <f>IFERROR(FIND(VLOOKUP('General price list'!$AB$7,'General price list'!$AC$1:$AD$12,2,FALSE),R279,1),0)</f>
        <v>0</v>
      </c>
    </row>
    <row r="280" spans="1:50" ht="15" customHeight="1">
      <c r="A280" s="672" t="str">
        <f>Kat.!C280</f>
        <v xml:space="preserve">                                          Batterien 49 schuss, 20mm schräg Mörser-1.3G</v>
      </c>
      <c r="B280" s="678">
        <v>259</v>
      </c>
      <c r="C280" s="679"/>
      <c r="D280" s="679"/>
      <c r="E280" s="680"/>
      <c r="F280" s="681" t="str">
        <f>IFERROR(ROUND(VLOOKUP(C280,'General price list'!$C:$AN,4,FALSE),0),"")</f>
        <v/>
      </c>
      <c r="G280" s="682" t="str">
        <f t="shared" si="53"/>
        <v/>
      </c>
      <c r="H280" s="683" t="str">
        <f t="shared" si="54"/>
        <v/>
      </c>
      <c r="I280" s="836"/>
      <c r="J280" s="680"/>
      <c r="K280" s="854"/>
      <c r="L280" s="855"/>
      <c r="M280" s="680"/>
      <c r="N280" s="868" t="str">
        <f>IFERROR(IF(VLOOKUP($C280,'General price list'!$C:$AN,MATCH(N$20,'General price list'!$C$20:$AM$20,0),FALSE)=0,"",VLOOKUP($C280,'General price list'!$C:$AN,MATCH(N$20,'General price list'!$C$20:$AM$20,0),FALSE)),"")</f>
        <v/>
      </c>
      <c r="O280" s="836" t="str">
        <f>IFERROR(IF(VLOOKUP($C280,'General price list'!$C:$AN,MATCH(O$20,'General price list'!$C$20:$AM$20,0),FALSE)=0,"",VLOOKUP($C280,'General price list'!$C:$AN,MATCH(O$20,'General price list'!$C$20:$AM$20,0),FALSE)),"")</f>
        <v/>
      </c>
      <c r="P280" s="836" t="str">
        <f>IFERROR(IF(VLOOKUP($C280,'General price list'!$C:$AN,MATCH(P$20,'General price list'!$C$20:$AM$20,0),FALSE)=0,"",VLOOKUP($C280,'General price list'!$C:$AN,MATCH(P$20,'General price list'!$C$20:$AM$20,0),FALSE)),"")</f>
        <v/>
      </c>
      <c r="Q280" s="680"/>
      <c r="R280" s="680"/>
      <c r="S280" s="680"/>
      <c r="T280" s="681"/>
      <c r="U280" s="873"/>
      <c r="V280" s="684"/>
      <c r="W280" s="685" t="str">
        <f>IFERROR(VLOOKUP($C280,'General price list'!$C:$AN,MATCH(W$20,'General price list'!$C$20:$AM$20,0),FALSE),"")</f>
        <v/>
      </c>
      <c r="X280" s="889" t="str">
        <f t="shared" si="55"/>
        <v/>
      </c>
      <c r="Y280" s="890"/>
      <c r="Z280" s="685" t="str">
        <f>IFERROR(VLOOKUP($C280,'General price list'!$C:$AN,MATCH(Z$20,'General price list'!$C$20:$AM$20,0),FALSE),"")</f>
        <v/>
      </c>
      <c r="AA280" s="707"/>
      <c r="AB280" s="911" t="str">
        <f>IFERROR(IF(VLOOKUP(C280,[1]List1!$A:$D,2,FALSE)="VYPRODÁNO",$V$9,IF(VLOOKUP(C280,[1]List1!$A:$D,2,FALSE)="DOCHÁZÍ",$V$3,VLOOKUP(C280,[1]List1!$A:$D,2,FALSE))),"OFFLINE!")</f>
        <v>OFFLINE!</v>
      </c>
      <c r="AC280" s="911" t="str">
        <f ca="1">IF(AO280="NE",$V$10,IF(AB280=$V$3,IF(AP280&lt;1,$V$8,$V$2&amp;" "&amp;AP280&amp;" "&amp;$V$1),IF(AB280="SKLADEM",$V$6,IFERROR(IF(OR(AB280-TODAY()&gt;21,VLOOKUP(C280,[1]List1!$A:$E,4,FALSE)=0),AB280,DAY(AB280)&amp;"."&amp;MONTH(AB280)&amp;"."&amp;YEAR(AB280)&amp;" "&amp;$V$4&amp;VLOOKUP(C280,[1]List1!$A:$E,4,FALSE)&amp;" "&amp;$V$1),AB280))))</f>
        <v>OFFLINE!</v>
      </c>
      <c r="AD280" s="686" t="str">
        <f>_xlfn.IFNA(VLOOKUP(C280,'General price list'!C:AM,MATCH($AD$20,'General price list'!$C$20:$AM$20,0),FALSE),"")</f>
        <v/>
      </c>
      <c r="AE280" s="681" t="str">
        <f t="shared" si="56"/>
        <v/>
      </c>
      <c r="AF280" s="681" t="str">
        <f t="shared" si="57"/>
        <v/>
      </c>
      <c r="AG280" s="687" t="str">
        <f t="shared" si="58"/>
        <v/>
      </c>
      <c r="AH280" s="688" t="str">
        <f t="shared" si="59"/>
        <v/>
      </c>
      <c r="AI280" s="687" t="str">
        <f t="shared" si="60"/>
        <v/>
      </c>
      <c r="AJ280" s="689" t="str">
        <f t="shared" si="61"/>
        <v/>
      </c>
      <c r="AK280" s="689" t="str">
        <f t="shared" si="62"/>
        <v/>
      </c>
      <c r="AL280" s="689" t="str">
        <f t="shared" si="63"/>
        <v/>
      </c>
      <c r="AM280" s="690" t="str">
        <f t="shared" si="64"/>
        <v/>
      </c>
      <c r="AN280" s="382"/>
      <c r="AO280" s="314" t="str">
        <f>IF($R$3=1,IF(Y280=AA280,"","NE"),IF(#REF!=$V$10,"NE",""))</f>
        <v/>
      </c>
      <c r="AP280" s="315" t="str">
        <f>IF(AB280=$V$3,IF(VLOOKUP(C280,[1]List1!$A:$E,5,FALSE)=0,1,VLOOKUP(C280,[1]List1!$A:$E,5,FALSE)),"")</f>
        <v/>
      </c>
      <c r="AW280" s="291" t="e">
        <f>VLOOKUP(C280,'General price list'!C:AU,46,FALSE)</f>
        <v>#N/A</v>
      </c>
      <c r="AX280" s="291" t="e">
        <f>VLOOKUP(C280,'General price list'!C:AU,47,FALSE)</f>
        <v>#N/A</v>
      </c>
    </row>
    <row r="281" spans="1:50" ht="15" customHeight="1">
      <c r="A281" s="691" t="str">
        <f>Kat.!C281</f>
        <v xml:space="preserve">                                          </v>
      </c>
      <c r="B281" s="692">
        <v>260</v>
      </c>
      <c r="C281" s="693" t="s">
        <v>1099</v>
      </c>
      <c r="D281" s="693" t="s">
        <v>1100</v>
      </c>
      <c r="E281" s="694" t="s">
        <v>1006</v>
      </c>
      <c r="F281" s="695">
        <f>VLOOKUP(C281,[2]List1!$A:$D,2,FALSE)</f>
        <v>496</v>
      </c>
      <c r="G281" s="696">
        <f t="shared" si="53"/>
        <v>496</v>
      </c>
      <c r="H281" s="697">
        <f t="shared" si="54"/>
        <v>20.2</v>
      </c>
      <c r="I281" s="837">
        <v>6</v>
      </c>
      <c r="J281" s="698" t="s">
        <v>45</v>
      </c>
      <c r="K281" s="856"/>
      <c r="L281" s="857" t="s">
        <v>13849</v>
      </c>
      <c r="M281" s="698" t="s">
        <v>131</v>
      </c>
      <c r="N281" s="869">
        <f>IFERROR(VLOOKUP(C281,[3]List1!$A:$D,4,FALSE),"N/A!")</f>
        <v>4.2600999999999993E-2</v>
      </c>
      <c r="O281" s="837">
        <f>IFERROR(VLOOKUP(C281,[3]List1!$A:$D,3,FALSE),"N/A!")</f>
        <v>2352</v>
      </c>
      <c r="P281" s="837">
        <f>IFERROR(VLOOKUP(C281,[3]List1!$A:$D,2,FALSE),"N/A!")</f>
        <v>15500</v>
      </c>
      <c r="Q281" s="698" t="s">
        <v>13762</v>
      </c>
      <c r="R281" s="698" t="s">
        <v>24</v>
      </c>
      <c r="S281" s="698"/>
      <c r="T281" s="695">
        <v>40</v>
      </c>
      <c r="U281" s="874"/>
      <c r="V281" s="699" t="str">
        <f>_xlfn.IFNA(HYPERLINK("https://www.klasekpyrotechnics.cz/cf4920g"),"")</f>
        <v>https://www.klasekpyrotechnics.cz/cf4920g</v>
      </c>
      <c r="W281" s="700" t="str">
        <f>IFERROR(VLOOKUP($C281,Popisy!A:P,MATCH($W$17,Popisy!$A$7:$P$7,0),FALSE),"---------------")</f>
        <v>7 verschiedenfarbige Effekte</v>
      </c>
      <c r="X281" s="891" t="str">
        <f t="shared" si="55"/>
        <v/>
      </c>
      <c r="Y281" s="892"/>
      <c r="Z281" s="700">
        <f>IFERROR(IF(VLOOKUP(C281,[4]List1!$A:$D,4,FALSE)=0,"",VLOOKUP(C281,[4]List1!$A:$D,4,FALSE)),"")</f>
        <v>24</v>
      </c>
      <c r="AA281" s="707"/>
      <c r="AB281" s="912" t="str">
        <f>IFERROR(IF(VLOOKUP(C281,[1]List1!$A:$D,2,FALSE)="VYPRODÁNO",$V$9,IF(VLOOKUP(C281,[1]List1!$A:$D,2,FALSE)="DOCHÁZÍ",$V$3,VLOOKUP(C281,[1]List1!$A:$D,2,FALSE))),"OFFLINE!")</f>
        <v>SKLADEM</v>
      </c>
      <c r="AC281" s="912" t="str">
        <f ca="1">IF(AO281="NE",$V$10,IF(AB281=$V$3,IF(AP281&lt;1,$V$8,$V$2&amp;" "&amp;AP281&amp;" "&amp;$V$1),IF(AB281="SKLADEM",$V$6,IFERROR(IF(OR(AB281-TODAY()&gt;21,VLOOKUP(C281,[1]List1!$A:$E,4,FALSE)=0),AB281,DAY(AB281)&amp;"."&amp;MONTH(AB281)&amp;"."&amp;YEAR(AB281)&amp;" "&amp;$V$4&amp;VLOOKUP(C281,[1]List1!$A:$E,4,FALSE)&amp;" "&amp;$V$1),AB281))))</f>
        <v>AUF LAGER</v>
      </c>
      <c r="AD281" s="701" t="str">
        <f ca="1">_xlfn.IFNA(VLOOKUP(C281,'General price list'!C:AM,MATCH($AD$20,'General price list'!$C$20:$AM$20,0),FALSE),"")</f>
        <v>AUF LAGER</v>
      </c>
      <c r="AE281" s="695">
        <f t="shared" ca="1" si="56"/>
        <v>0</v>
      </c>
      <c r="AF281" s="695">
        <f t="shared" ca="1" si="57"/>
        <v>0</v>
      </c>
      <c r="AG281" s="702">
        <f t="shared" ca="1" si="58"/>
        <v>0</v>
      </c>
      <c r="AH281" s="703">
        <f t="shared" ca="1" si="59"/>
        <v>0</v>
      </c>
      <c r="AI281" s="702">
        <f t="shared" ca="1" si="60"/>
        <v>0</v>
      </c>
      <c r="AJ281" s="704" t="str">
        <f t="shared" ca="1" si="61"/>
        <v/>
      </c>
      <c r="AK281" s="704">
        <f t="shared" ca="1" si="62"/>
        <v>0</v>
      </c>
      <c r="AL281" s="704" t="str">
        <f t="shared" ca="1" si="63"/>
        <v/>
      </c>
      <c r="AM281" s="705" t="str">
        <f t="shared" ca="1" si="64"/>
        <v/>
      </c>
      <c r="AN281" s="382"/>
      <c r="AO281" s="314" t="str">
        <f>IF($R$3=1,IF(Y281=AA281,"","NE"),IF(#REF!=$V$10,"NE",""))</f>
        <v/>
      </c>
      <c r="AP281" s="315" t="str">
        <f>IF(AB281=$V$3,IF(VLOOKUP(C281,[1]List1!$A:$E,5,FALSE)=0,1,VLOOKUP(C281,[1]List1!$A:$E,5,FALSE)),"")</f>
        <v/>
      </c>
      <c r="AW281" s="458">
        <f>IFERROR(FIND(VLOOKUP('General price list'!$AB$7,'General price list'!$AC$1:$AD$12,2,FALSE),Q281,1),0)</f>
        <v>16</v>
      </c>
      <c r="AX281" s="458">
        <f>IFERROR(FIND(VLOOKUP('General price list'!$AB$7,'General price list'!$AC$1:$AD$12,2,FALSE),R281,1),0)</f>
        <v>0</v>
      </c>
    </row>
    <row r="282" spans="1:50" ht="15" customHeight="1">
      <c r="A282" s="677" t="str">
        <f>Kat.!C282</f>
        <v xml:space="preserve">                                          </v>
      </c>
      <c r="B282" s="678">
        <v>261</v>
      </c>
      <c r="C282" s="679" t="s">
        <v>1101</v>
      </c>
      <c r="D282" s="679" t="s">
        <v>1102</v>
      </c>
      <c r="E282" s="680" t="s">
        <v>1006</v>
      </c>
      <c r="F282" s="681">
        <f>VLOOKUP(C282,[2]List1!$A:$D,2,FALSE)</f>
        <v>496</v>
      </c>
      <c r="G282" s="682">
        <f t="shared" si="53"/>
        <v>496</v>
      </c>
      <c r="H282" s="683">
        <f t="shared" si="54"/>
        <v>20.2</v>
      </c>
      <c r="I282" s="836">
        <v>6</v>
      </c>
      <c r="J282" s="680" t="s">
        <v>45</v>
      </c>
      <c r="K282" s="854"/>
      <c r="L282" s="855" t="s">
        <v>13849</v>
      </c>
      <c r="M282" s="680" t="s">
        <v>131</v>
      </c>
      <c r="N282" s="868">
        <f>IFERROR(VLOOKUP(C282,[3]List1!$A:$D,4,FALSE),"N/A!")</f>
        <v>4.2600999999999993E-2</v>
      </c>
      <c r="O282" s="836">
        <f>IFERROR(VLOOKUP(C282,[3]List1!$A:$D,3,FALSE),"N/A!")</f>
        <v>2352</v>
      </c>
      <c r="P282" s="836">
        <f>IFERROR(VLOOKUP(C282,[3]List1!$A:$D,2,FALSE),"N/A!")</f>
        <v>15500</v>
      </c>
      <c r="Q282" s="680" t="s">
        <v>13762</v>
      </c>
      <c r="R282" s="680" t="s">
        <v>24</v>
      </c>
      <c r="S282" s="680"/>
      <c r="T282" s="681">
        <v>40</v>
      </c>
      <c r="U282" s="873"/>
      <c r="V282" s="684" t="str">
        <f>_xlfn.IFNA(HYPERLINK("https://www.klasekpyrotechnics.cz/cf4920j"),"")</f>
        <v>https://www.klasekpyrotechnics.cz/cf4920j</v>
      </c>
      <c r="W282" s="685" t="str">
        <f>IFERROR(VLOOKUP($C282,Popisy!A:P,MATCH($W$17,Popisy!$A$7:$P$7,0),FALSE),"---------------")</f>
        <v>7 verschiedenfarbige Effekte</v>
      </c>
      <c r="X282" s="889" t="str">
        <f t="shared" si="55"/>
        <v/>
      </c>
      <c r="Y282" s="890"/>
      <c r="Z282" s="685">
        <f>IFERROR(IF(VLOOKUP(C282,[4]List1!$A:$D,4,FALSE)=0,"",VLOOKUP(C282,[4]List1!$A:$D,4,FALSE)),"")</f>
        <v>24</v>
      </c>
      <c r="AA282" s="707"/>
      <c r="AB282" s="911" t="str">
        <f>IFERROR(IF(VLOOKUP(C282,[1]List1!$A:$D,2,FALSE)="VYPRODÁNO",$V$9,IF(VLOOKUP(C282,[1]List1!$A:$D,2,FALSE)="DOCHÁZÍ",$V$3,VLOOKUP(C282,[1]List1!$A:$D,2,FALSE))),"OFFLINE!")</f>
        <v>30.09.2024</v>
      </c>
      <c r="AC282" s="911" t="str">
        <f ca="1">IF(AO282="NE",$V$10,IF(AB282=$V$3,IF(AP282&lt;1,$V$8,$V$2&amp;" "&amp;AP282&amp;" "&amp;$V$1),IF(AB282="SKLADEM",$V$6,IFERROR(IF(OR(AB282-TODAY()&gt;21,VLOOKUP(C282,[1]List1!$A:$E,4,FALSE)=0),AB282,DAY(AB282)&amp;"."&amp;MONTH(AB282)&amp;"."&amp;YEAR(AB282)&amp;" "&amp;$V$4&amp;VLOOKUP(C282,[1]List1!$A:$E,4,FALSE)&amp;" "&amp;$V$1),AB282))))</f>
        <v>30.09.2024</v>
      </c>
      <c r="AD282" s="686" t="str">
        <f ca="1">_xlfn.IFNA(VLOOKUP(C282,'General price list'!C:AM,MATCH($AD$20,'General price list'!$C$20:$AM$20,0),FALSE),"")</f>
        <v>30.09.2024</v>
      </c>
      <c r="AE282" s="681">
        <f t="shared" ca="1" si="56"/>
        <v>0</v>
      </c>
      <c r="AF282" s="681">
        <f t="shared" ca="1" si="57"/>
        <v>0</v>
      </c>
      <c r="AG282" s="687">
        <f t="shared" ca="1" si="58"/>
        <v>0</v>
      </c>
      <c r="AH282" s="688">
        <f t="shared" ca="1" si="59"/>
        <v>0</v>
      </c>
      <c r="AI282" s="687">
        <f t="shared" ca="1" si="60"/>
        <v>0</v>
      </c>
      <c r="AJ282" s="689" t="str">
        <f t="shared" ca="1" si="61"/>
        <v/>
      </c>
      <c r="AK282" s="689">
        <f t="shared" ca="1" si="62"/>
        <v>0</v>
      </c>
      <c r="AL282" s="689" t="str">
        <f t="shared" ca="1" si="63"/>
        <v/>
      </c>
      <c r="AM282" s="690" t="str">
        <f t="shared" ca="1" si="64"/>
        <v/>
      </c>
      <c r="AN282" s="382"/>
      <c r="AO282" s="314" t="str">
        <f>IF($R$3=1,IF(Y282=AA282,"","NE"),IF(#REF!=$V$10,"NE",""))</f>
        <v/>
      </c>
      <c r="AP282" s="315" t="str">
        <f>IF(AB282=$V$3,IF(VLOOKUP(C282,[1]List1!$A:$E,5,FALSE)=0,1,VLOOKUP(C282,[1]List1!$A:$E,5,FALSE)),"")</f>
        <v/>
      </c>
      <c r="AW282" s="458">
        <f>IFERROR(FIND(VLOOKUP('General price list'!$AB$7,'General price list'!$AC$1:$AD$12,2,FALSE),Q282,1),0)</f>
        <v>16</v>
      </c>
      <c r="AX282" s="458">
        <f>IFERROR(FIND(VLOOKUP('General price list'!$AB$7,'General price list'!$AC$1:$AD$12,2,FALSE),R282,1),0)</f>
        <v>0</v>
      </c>
    </row>
    <row r="283" spans="1:50" ht="15" customHeight="1">
      <c r="A283" s="691" t="str">
        <f>Kat.!C283</f>
        <v>×</v>
      </c>
      <c r="B283" s="692">
        <v>262</v>
      </c>
      <c r="C283" s="693" t="s">
        <v>1103</v>
      </c>
      <c r="D283" s="693" t="s">
        <v>1104</v>
      </c>
      <c r="E283" s="694" t="s">
        <v>1006</v>
      </c>
      <c r="F283" s="695">
        <f>VLOOKUP(C283,[2]List1!$A:$D,2,FALSE)</f>
        <v>496</v>
      </c>
      <c r="G283" s="696">
        <f t="shared" si="53"/>
        <v>496</v>
      </c>
      <c r="H283" s="697">
        <f t="shared" si="54"/>
        <v>20.2</v>
      </c>
      <c r="I283" s="837">
        <v>6</v>
      </c>
      <c r="J283" s="698" t="s">
        <v>45</v>
      </c>
      <c r="K283" s="856"/>
      <c r="L283" s="857" t="s">
        <v>13849</v>
      </c>
      <c r="M283" s="698" t="s">
        <v>131</v>
      </c>
      <c r="N283" s="869">
        <f>IFERROR(VLOOKUP(C283,[3]List1!$A:$D,4,FALSE),"N/A!")</f>
        <v>4.2600999999999993E-2</v>
      </c>
      <c r="O283" s="837">
        <f>IFERROR(VLOOKUP(C283,[3]List1!$A:$D,3,FALSE),"N/A!")</f>
        <v>2352</v>
      </c>
      <c r="P283" s="837">
        <f>IFERROR(VLOOKUP(C283,[3]List1!$A:$D,2,FALSE),"N/A!")</f>
        <v>15500</v>
      </c>
      <c r="Q283" s="698" t="s">
        <v>13762</v>
      </c>
      <c r="R283" s="698" t="s">
        <v>24</v>
      </c>
      <c r="S283" s="698"/>
      <c r="T283" s="695">
        <v>30</v>
      </c>
      <c r="U283" s="874"/>
      <c r="V283" s="699" t="str">
        <f>_xlfn.IFNA(HYPERLINK("https://www.klasekpyrotechnics.cz/cf4920a"),"")</f>
        <v>https://www.klasekpyrotechnics.cz/cf4920a</v>
      </c>
      <c r="W283" s="700" t="str">
        <f>IFERROR(VLOOKUP($C283,Popisy!A:P,MATCH($W$17,Popisy!$A$7:$P$7,0),FALSE),"---------------")</f>
        <v>7 verschiedenfarbige Effekte</v>
      </c>
      <c r="X283" s="891" t="str">
        <f t="shared" si="55"/>
        <v/>
      </c>
      <c r="Y283" s="892"/>
      <c r="Z283" s="700">
        <f>IFERROR(IF(VLOOKUP(C283,[4]List1!$A:$D,4,FALSE)=0,"",VLOOKUP(C283,[4]List1!$A:$D,4,FALSE)),"")</f>
        <v>24</v>
      </c>
      <c r="AA283" s="707"/>
      <c r="AB283" s="912" t="str">
        <f>IFERROR(IF(VLOOKUP(C283,[1]List1!$A:$D,2,FALSE)="VYPRODÁNO",$V$9,IF(VLOOKUP(C283,[1]List1!$A:$D,2,FALSE)="DOCHÁZÍ",$V$3,VLOOKUP(C283,[1]List1!$A:$D,2,FALSE))),"OFFLINE!")</f>
        <v>SKLADEM</v>
      </c>
      <c r="AC283" s="912" t="str">
        <f ca="1">IF(AO283="NE",$V$10,IF(AB283=$V$3,IF(AP283&lt;1,$V$8,$V$2&amp;" "&amp;AP283&amp;" "&amp;$V$1),IF(AB283="SKLADEM",$V$6,IFERROR(IF(OR(AB283-TODAY()&gt;21,VLOOKUP(C283,[1]List1!$A:$E,4,FALSE)=0),AB283,DAY(AB283)&amp;"."&amp;MONTH(AB283)&amp;"."&amp;YEAR(AB283)&amp;" "&amp;$V$4&amp;VLOOKUP(C283,[1]List1!$A:$E,4,FALSE)&amp;" "&amp;$V$1),AB283))))</f>
        <v>AUF LAGER</v>
      </c>
      <c r="AD283" s="701" t="str">
        <f ca="1">_xlfn.IFNA(VLOOKUP(C283,'General price list'!C:AM,MATCH($AD$20,'General price list'!$C$20:$AM$20,0),FALSE),"")</f>
        <v>AUF LAGER</v>
      </c>
      <c r="AE283" s="695">
        <f t="shared" ca="1" si="56"/>
        <v>0</v>
      </c>
      <c r="AF283" s="695">
        <f t="shared" ca="1" si="57"/>
        <v>0</v>
      </c>
      <c r="AG283" s="702">
        <f t="shared" ca="1" si="58"/>
        <v>0</v>
      </c>
      <c r="AH283" s="703">
        <f t="shared" ca="1" si="59"/>
        <v>0</v>
      </c>
      <c r="AI283" s="702">
        <f t="shared" ca="1" si="60"/>
        <v>0</v>
      </c>
      <c r="AJ283" s="704" t="str">
        <f t="shared" ca="1" si="61"/>
        <v/>
      </c>
      <c r="AK283" s="704">
        <f t="shared" ca="1" si="62"/>
        <v>0</v>
      </c>
      <c r="AL283" s="704" t="str">
        <f t="shared" ca="1" si="63"/>
        <v/>
      </c>
      <c r="AM283" s="705" t="str">
        <f t="shared" ca="1" si="64"/>
        <v/>
      </c>
      <c r="AN283" s="381"/>
      <c r="AO283" s="314" t="str">
        <f>IF($R$3=1,IF(Y283=AA283,"","NE"),IF(#REF!=$V$10,"NE",""))</f>
        <v/>
      </c>
      <c r="AP283" s="315" t="str">
        <f>IF(AB283=$V$3,IF(VLOOKUP(C283,[1]List1!$A:$E,5,FALSE)=0,1,VLOOKUP(C283,[1]List1!$A:$E,5,FALSE)),"")</f>
        <v/>
      </c>
      <c r="AW283" s="458">
        <f>IFERROR(FIND(VLOOKUP('General price list'!$AB$7,'General price list'!$AC$1:$AD$12,2,FALSE),Q283,1),0)</f>
        <v>16</v>
      </c>
      <c r="AX283" s="458">
        <f>IFERROR(FIND(VLOOKUP('General price list'!$AB$7,'General price list'!$AC$1:$AD$12,2,FALSE),R283,1),0)</f>
        <v>0</v>
      </c>
    </row>
    <row r="284" spans="1:50" ht="15" customHeight="1">
      <c r="A284" s="677" t="str">
        <f>Kat.!C284</f>
        <v xml:space="preserve">                                          </v>
      </c>
      <c r="B284" s="678">
        <v>263</v>
      </c>
      <c r="C284" s="679" t="s">
        <v>1106</v>
      </c>
      <c r="D284" s="679" t="s">
        <v>1107</v>
      </c>
      <c r="E284" s="680" t="s">
        <v>1006</v>
      </c>
      <c r="F284" s="681">
        <f>VLOOKUP(C284,[2]List1!$A:$D,2,FALSE)</f>
        <v>496</v>
      </c>
      <c r="G284" s="682">
        <f t="shared" si="53"/>
        <v>496</v>
      </c>
      <c r="H284" s="683">
        <f t="shared" si="54"/>
        <v>20.2</v>
      </c>
      <c r="I284" s="836">
        <v>6</v>
      </c>
      <c r="J284" s="680" t="s">
        <v>45</v>
      </c>
      <c r="K284" s="854"/>
      <c r="L284" s="855" t="s">
        <v>13849</v>
      </c>
      <c r="M284" s="680" t="s">
        <v>131</v>
      </c>
      <c r="N284" s="868">
        <f>IFERROR(VLOOKUP(C284,[3]List1!$A:$D,4,FALSE),"N/A!")</f>
        <v>4.2600999999999993E-2</v>
      </c>
      <c r="O284" s="836">
        <f>IFERROR(VLOOKUP(C284,[3]List1!$A:$D,3,FALSE),"N/A!")</f>
        <v>2352</v>
      </c>
      <c r="P284" s="836">
        <f>IFERROR(VLOOKUP(C284,[3]List1!$A:$D,2,FALSE),"N/A!")</f>
        <v>15500</v>
      </c>
      <c r="Q284" s="680" t="s">
        <v>13763</v>
      </c>
      <c r="R284" s="680" t="s">
        <v>24</v>
      </c>
      <c r="S284" s="680"/>
      <c r="T284" s="681">
        <v>30</v>
      </c>
      <c r="U284" s="873"/>
      <c r="V284" s="684" t="str">
        <f>_xlfn.IFNA(HYPERLINK("https://www.klasekpyrotechnics.cz/cf4920vip"),"")</f>
        <v>https://www.klasekpyrotechnics.cz/cf4920vip</v>
      </c>
      <c r="W284" s="685" t="str">
        <f>IFERROR(VLOOKUP($C284,Popisy!A:P,MATCH($W$17,Popisy!$A$7:$P$7,0),FALSE),"---------------")</f>
        <v>Brokatkrone mit violetten enden</v>
      </c>
      <c r="X284" s="889" t="str">
        <f t="shared" si="55"/>
        <v/>
      </c>
      <c r="Y284" s="890"/>
      <c r="Z284" s="685">
        <f>IFERROR(IF(VLOOKUP(C284,[4]List1!$A:$D,4,FALSE)=0,"",VLOOKUP(C284,[4]List1!$A:$D,4,FALSE)),"")</f>
        <v>24</v>
      </c>
      <c r="AA284" s="707"/>
      <c r="AB284" s="911" t="str">
        <f>IFERROR(IF(VLOOKUP(C284,[1]List1!$A:$D,2,FALSE)="VYPRODÁNO",$V$9,IF(VLOOKUP(C284,[1]List1!$A:$D,2,FALSE)="DOCHÁZÍ",$V$3,VLOOKUP(C284,[1]List1!$A:$D,2,FALSE))),"OFFLINE!")</f>
        <v>SKLADEM</v>
      </c>
      <c r="AC284" s="911" t="str">
        <f ca="1">IF(AO284="NE",$V$10,IF(AB284=$V$3,IF(AP284&lt;1,$V$8,$V$2&amp;" "&amp;AP284&amp;" "&amp;$V$1),IF(AB284="SKLADEM",$V$6,IFERROR(IF(OR(AB284-TODAY()&gt;21,VLOOKUP(C284,[1]List1!$A:$E,4,FALSE)=0),AB284,DAY(AB284)&amp;"."&amp;MONTH(AB284)&amp;"."&amp;YEAR(AB284)&amp;" "&amp;$V$4&amp;VLOOKUP(C284,[1]List1!$A:$E,4,FALSE)&amp;" "&amp;$V$1),AB284))))</f>
        <v>AUF LAGER</v>
      </c>
      <c r="AD284" s="686">
        <f>_xlfn.IFNA(VLOOKUP(C284,'General price list'!C:AM,MATCH($AD$20,'General price list'!$C$20:$AM$20,0),FALSE),"")</f>
        <v>0</v>
      </c>
      <c r="AE284" s="681">
        <f t="shared" si="56"/>
        <v>0</v>
      </c>
      <c r="AF284" s="681">
        <f t="shared" si="57"/>
        <v>0</v>
      </c>
      <c r="AG284" s="687">
        <f t="shared" si="58"/>
        <v>0</v>
      </c>
      <c r="AH284" s="688">
        <f t="shared" si="59"/>
        <v>0</v>
      </c>
      <c r="AI284" s="687">
        <f t="shared" si="60"/>
        <v>0</v>
      </c>
      <c r="AJ284" s="689" t="str">
        <f t="shared" si="61"/>
        <v/>
      </c>
      <c r="AK284" s="689">
        <f t="shared" si="62"/>
        <v>0</v>
      </c>
      <c r="AL284" s="689" t="str">
        <f t="shared" si="63"/>
        <v/>
      </c>
      <c r="AM284" s="690" t="str">
        <f t="shared" si="64"/>
        <v/>
      </c>
      <c r="AN284" s="382"/>
      <c r="AO284" s="314" t="str">
        <f>IF($R$3=1,IF(Y284=AA284,"","NE"),IF(#REF!=$V$10,"NE",""))</f>
        <v/>
      </c>
      <c r="AP284" s="315" t="str">
        <f>IF(AB284=$V$3,IF(VLOOKUP(C284,[1]List1!$A:$E,5,FALSE)=0,1,VLOOKUP(C284,[1]List1!$A:$E,5,FALSE)),"")</f>
        <v/>
      </c>
      <c r="AW284" s="458">
        <f>IFERROR(FIND(VLOOKUP('General price list'!$AB$7,'General price list'!$AC$1:$AD$12,2,FALSE),Q284,1),0)</f>
        <v>13</v>
      </c>
      <c r="AX284" s="458">
        <f>IFERROR(FIND(VLOOKUP('General price list'!$AB$7,'General price list'!$AC$1:$AD$12,2,FALSE),R284,1),0)</f>
        <v>0</v>
      </c>
    </row>
    <row r="285" spans="1:50" ht="15" customHeight="1">
      <c r="A285" s="672" t="str">
        <f>Kat.!C285</f>
        <v xml:space="preserve">                                          Batterien 49 schuss, 20mm schräg Mörser-1.4G</v>
      </c>
      <c r="B285" s="692">
        <v>264</v>
      </c>
      <c r="C285" s="693"/>
      <c r="D285" s="693"/>
      <c r="E285" s="694"/>
      <c r="F285" s="695" t="str">
        <f>IFERROR(ROUND(VLOOKUP(C285,'General price list'!$C:$AN,4,FALSE),0),"")</f>
        <v/>
      </c>
      <c r="G285" s="696" t="str">
        <f t="shared" si="53"/>
        <v/>
      </c>
      <c r="H285" s="697" t="str">
        <f t="shared" si="54"/>
        <v/>
      </c>
      <c r="I285" s="837"/>
      <c r="J285" s="698"/>
      <c r="K285" s="856"/>
      <c r="L285" s="857"/>
      <c r="M285" s="698"/>
      <c r="N285" s="869" t="str">
        <f>IFERROR(IF(VLOOKUP($C285,'General price list'!$C:$AN,MATCH(N$20,'General price list'!$C$20:$AM$20,0),FALSE)=0,"",VLOOKUP($C285,'General price list'!$C:$AN,MATCH(N$20,'General price list'!$C$20:$AM$20,0),FALSE)),"")</f>
        <v/>
      </c>
      <c r="O285" s="837" t="str">
        <f>IFERROR(IF(VLOOKUP($C285,'General price list'!$C:$AN,MATCH(O$20,'General price list'!$C$20:$AM$20,0),FALSE)=0,"",VLOOKUP($C285,'General price list'!$C:$AN,MATCH(O$20,'General price list'!$C$20:$AM$20,0),FALSE)),"")</f>
        <v/>
      </c>
      <c r="P285" s="837" t="str">
        <f>IFERROR(IF(VLOOKUP($C285,'General price list'!$C:$AN,MATCH(P$20,'General price list'!$C$20:$AM$20,0),FALSE)=0,"",VLOOKUP($C285,'General price list'!$C:$AN,MATCH(P$20,'General price list'!$C$20:$AM$20,0),FALSE)),"")</f>
        <v/>
      </c>
      <c r="Q285" s="698"/>
      <c r="R285" s="698"/>
      <c r="S285" s="698"/>
      <c r="T285" s="695"/>
      <c r="U285" s="874"/>
      <c r="V285" s="699"/>
      <c r="W285" s="700" t="str">
        <f>IFERROR(VLOOKUP($C285,'General price list'!$C:$AN,MATCH(W$20,'General price list'!$C$20:$AM$20,0),FALSE),"")</f>
        <v/>
      </c>
      <c r="X285" s="891" t="str">
        <f t="shared" si="55"/>
        <v/>
      </c>
      <c r="Y285" s="892"/>
      <c r="Z285" s="700" t="str">
        <f>IFERROR(VLOOKUP($C285,'General price list'!$C:$AN,MATCH(Z$20,'General price list'!$C$20:$AM$20,0),FALSE),"")</f>
        <v/>
      </c>
      <c r="AA285" s="707"/>
      <c r="AB285" s="912" t="str">
        <f>IFERROR(IF(VLOOKUP(C285,[1]List1!$A:$D,2,FALSE)="VYPRODÁNO",$V$9,IF(VLOOKUP(C285,[1]List1!$A:$D,2,FALSE)="DOCHÁZÍ",$V$3,VLOOKUP(C285,[1]List1!$A:$D,2,FALSE))),"OFFLINE!")</f>
        <v>OFFLINE!</v>
      </c>
      <c r="AC285" s="912" t="str">
        <f ca="1">IF(AO285="NE",$V$10,IF(AB285=$V$3,IF(AP285&lt;1,$V$8,$V$2&amp;" "&amp;AP285&amp;" "&amp;$V$1),IF(AB285="SKLADEM",$V$6,IFERROR(IF(OR(AB285-TODAY()&gt;21,VLOOKUP(C285,[1]List1!$A:$E,4,FALSE)=0),AB285,DAY(AB285)&amp;"."&amp;MONTH(AB285)&amp;"."&amp;YEAR(AB285)&amp;" "&amp;$V$4&amp;VLOOKUP(C285,[1]List1!$A:$E,4,FALSE)&amp;" "&amp;$V$1),AB285))))</f>
        <v>OFFLINE!</v>
      </c>
      <c r="AD285" s="701" t="str">
        <f>_xlfn.IFNA(VLOOKUP(C285,'General price list'!C:AM,MATCH($AD$20,'General price list'!$C$20:$AM$20,0),FALSE),"")</f>
        <v/>
      </c>
      <c r="AE285" s="695" t="str">
        <f t="shared" si="56"/>
        <v/>
      </c>
      <c r="AF285" s="695" t="str">
        <f t="shared" si="57"/>
        <v/>
      </c>
      <c r="AG285" s="702" t="str">
        <f t="shared" si="58"/>
        <v/>
      </c>
      <c r="AH285" s="703" t="str">
        <f t="shared" si="59"/>
        <v/>
      </c>
      <c r="AI285" s="702" t="str">
        <f t="shared" si="60"/>
        <v/>
      </c>
      <c r="AJ285" s="704" t="str">
        <f t="shared" si="61"/>
        <v/>
      </c>
      <c r="AK285" s="704" t="str">
        <f t="shared" si="62"/>
        <v/>
      </c>
      <c r="AL285" s="704" t="str">
        <f t="shared" si="63"/>
        <v/>
      </c>
      <c r="AM285" s="705" t="str">
        <f t="shared" si="64"/>
        <v/>
      </c>
      <c r="AN285" s="381"/>
      <c r="AO285" s="314" t="str">
        <f>IF($R$3=1,IF(Y285=AA285,"","NE"),IF(#REF!=$V$10,"NE",""))</f>
        <v/>
      </c>
      <c r="AP285" s="315" t="str">
        <f>IF(AB285=$V$3,IF(VLOOKUP(C285,[1]List1!$A:$E,5,FALSE)=0,1,VLOOKUP(C285,[1]List1!$A:$E,5,FALSE)),"")</f>
        <v/>
      </c>
      <c r="AW285" s="291" t="e">
        <f>VLOOKUP(C285,'General price list'!C:AU,46,FALSE)</f>
        <v>#N/A</v>
      </c>
      <c r="AX285" s="291" t="e">
        <f>VLOOKUP(C285,'General price list'!C:AU,47,FALSE)</f>
        <v>#N/A</v>
      </c>
    </row>
    <row r="286" spans="1:50" ht="15" customHeight="1">
      <c r="A286" s="677" t="str">
        <f>Kat.!C286</f>
        <v xml:space="preserve">                                          </v>
      </c>
      <c r="B286" s="678">
        <v>265</v>
      </c>
      <c r="C286" s="679" t="s">
        <v>1105</v>
      </c>
      <c r="D286" s="679" t="s">
        <v>1100</v>
      </c>
      <c r="E286" s="680" t="s">
        <v>1006</v>
      </c>
      <c r="F286" s="681">
        <f>VLOOKUP(C286,[2]List1!$A:$D,2,FALSE)</f>
        <v>496</v>
      </c>
      <c r="G286" s="682">
        <f t="shared" si="53"/>
        <v>496</v>
      </c>
      <c r="H286" s="683">
        <f t="shared" si="54"/>
        <v>20.2</v>
      </c>
      <c r="I286" s="836">
        <v>6</v>
      </c>
      <c r="J286" s="680" t="s">
        <v>45</v>
      </c>
      <c r="K286" s="854"/>
      <c r="L286" s="855" t="s">
        <v>13854</v>
      </c>
      <c r="M286" s="680" t="s">
        <v>25</v>
      </c>
      <c r="N286" s="868">
        <f>IFERROR(VLOOKUP(C286,[3]List1!$A:$D,4,FALSE),"N/A!")</f>
        <v>4.2600999999999993E-2</v>
      </c>
      <c r="O286" s="836">
        <f>IFERROR(VLOOKUP(C286,[3]List1!$A:$D,3,FALSE),"N/A!")</f>
        <v>2352</v>
      </c>
      <c r="P286" s="836">
        <f>IFERROR(VLOOKUP(C286,[3]List1!$A:$D,2,FALSE),"N/A!")</f>
        <v>15500</v>
      </c>
      <c r="Q286" s="680" t="s">
        <v>1092</v>
      </c>
      <c r="R286" s="680" t="s">
        <v>24</v>
      </c>
      <c r="S286" s="680"/>
      <c r="T286" s="681">
        <v>45</v>
      </c>
      <c r="U286" s="873"/>
      <c r="V286" s="684" t="str">
        <f>_xlfn.IFNA(HYPERLINK("https://www.klasekpyrotechnics.cz/cf4920g14"),"")</f>
        <v>https://www.klasekpyrotechnics.cz/cf4920g14</v>
      </c>
      <c r="W286" s="685" t="str">
        <f>IFERROR(VLOOKUP($C286,Popisy!A:P,MATCH($W$17,Popisy!$A$7:$P$7,0),FALSE),"---------------")</f>
        <v>7 verschiedenfarbige Effekte</v>
      </c>
      <c r="X286" s="889" t="str">
        <f t="shared" si="55"/>
        <v/>
      </c>
      <c r="Y286" s="890"/>
      <c r="Z286" s="685">
        <f>IFERROR(IF(VLOOKUP(C286,[4]List1!$A:$D,4,FALSE)=0,"",VLOOKUP(C286,[4]List1!$A:$D,4,FALSE)),"")</f>
        <v>24</v>
      </c>
      <c r="AA286" s="707"/>
      <c r="AB286" s="911" t="str">
        <f>IFERROR(IF(VLOOKUP(C286,[1]List1!$A:$D,2,FALSE)="VYPRODÁNO",$V$9,IF(VLOOKUP(C286,[1]List1!$A:$D,2,FALSE)="DOCHÁZÍ",$V$3,VLOOKUP(C286,[1]List1!$A:$D,2,FALSE))),"OFFLINE!")</f>
        <v>30.09.2024</v>
      </c>
      <c r="AC286" s="911" t="str">
        <f ca="1">IF(AO286="NE",$V$10,IF(AB286=$V$3,IF(AP286&lt;1,$V$8,$V$2&amp;" "&amp;AP286&amp;" "&amp;$V$1),IF(AB286="SKLADEM",$V$6,IFERROR(IF(OR(AB286-TODAY()&gt;21,VLOOKUP(C286,[1]List1!$A:$E,4,FALSE)=0),AB286,DAY(AB286)&amp;"."&amp;MONTH(AB286)&amp;"."&amp;YEAR(AB286)&amp;" "&amp;$V$4&amp;VLOOKUP(C286,[1]List1!$A:$E,4,FALSE)&amp;" "&amp;$V$1),AB286))))</f>
        <v>30.09.2024</v>
      </c>
      <c r="AD286" s="686" t="str">
        <f ca="1">_xlfn.IFNA(VLOOKUP(C286,'General price list'!C:AM,MATCH($AD$20,'General price list'!$C$20:$AM$20,0),FALSE),"")</f>
        <v>30.09.2024</v>
      </c>
      <c r="AE286" s="681">
        <f t="shared" ca="1" si="56"/>
        <v>0</v>
      </c>
      <c r="AF286" s="681">
        <f t="shared" ca="1" si="57"/>
        <v>0</v>
      </c>
      <c r="AG286" s="687">
        <f t="shared" ca="1" si="58"/>
        <v>0</v>
      </c>
      <c r="AH286" s="688">
        <f t="shared" ca="1" si="59"/>
        <v>0</v>
      </c>
      <c r="AI286" s="687">
        <f t="shared" ca="1" si="60"/>
        <v>0</v>
      </c>
      <c r="AJ286" s="689" t="str">
        <f t="shared" ca="1" si="61"/>
        <v/>
      </c>
      <c r="AK286" s="689" t="str">
        <f t="shared" ca="1" si="62"/>
        <v/>
      </c>
      <c r="AL286" s="689">
        <f t="shared" ca="1" si="63"/>
        <v>0</v>
      </c>
      <c r="AM286" s="690" t="str">
        <f t="shared" ca="1" si="64"/>
        <v/>
      </c>
      <c r="AN286" s="382"/>
      <c r="AO286" s="314" t="str">
        <f>IF($R$3=1,IF(Y286=AA286,"","NE"),IF(#REF!=$V$10,"NE",""))</f>
        <v/>
      </c>
      <c r="AP286" s="292" t="str">
        <f>IF(AB286=$V$3,IF(VLOOKUP(C286,[1]List1!$A:$E,5,FALSE)=0,1,VLOOKUP(C286,[1]List1!$A:$E,5,FALSE)),"")</f>
        <v/>
      </c>
      <c r="AW286" s="458">
        <f>IFERROR(FIND(VLOOKUP('General price list'!$AB$7,'General price list'!$AC$1:$AD$12,2,FALSE),Q286,1),0)</f>
        <v>10</v>
      </c>
      <c r="AX286" s="458">
        <f>IFERROR(FIND(VLOOKUP('General price list'!$AB$7,'General price list'!$AC$1:$AD$12,2,FALSE),R286,1),0)</f>
        <v>0</v>
      </c>
    </row>
    <row r="287" spans="1:50" ht="15" customHeight="1">
      <c r="A287" s="672" t="str">
        <f>Kat.!C287</f>
        <v xml:space="preserve">                                          Batterien 64 schuss, 20mm Mörser-1.3G</v>
      </c>
      <c r="B287" s="692">
        <v>266</v>
      </c>
      <c r="C287" s="693"/>
      <c r="D287" s="693"/>
      <c r="E287" s="694"/>
      <c r="F287" s="695" t="str">
        <f>IFERROR(ROUND(VLOOKUP(C287,'General price list'!$C:$AN,4,FALSE),0),"")</f>
        <v/>
      </c>
      <c r="G287" s="696" t="str">
        <f t="shared" si="53"/>
        <v/>
      </c>
      <c r="H287" s="697" t="str">
        <f t="shared" si="54"/>
        <v/>
      </c>
      <c r="I287" s="837"/>
      <c r="J287" s="698"/>
      <c r="K287" s="856"/>
      <c r="L287" s="857"/>
      <c r="M287" s="698"/>
      <c r="N287" s="869" t="str">
        <f>IFERROR(IF(VLOOKUP($C287,'General price list'!$C:$AN,MATCH(N$20,'General price list'!$C$20:$AM$20,0),FALSE)=0,"",VLOOKUP($C287,'General price list'!$C:$AN,MATCH(N$20,'General price list'!$C$20:$AM$20,0),FALSE)),"")</f>
        <v/>
      </c>
      <c r="O287" s="837" t="str">
        <f>IFERROR(IF(VLOOKUP($C287,'General price list'!$C:$AN,MATCH(O$20,'General price list'!$C$20:$AM$20,0),FALSE)=0,"",VLOOKUP($C287,'General price list'!$C:$AN,MATCH(O$20,'General price list'!$C$20:$AM$20,0),FALSE)),"")</f>
        <v/>
      </c>
      <c r="P287" s="837" t="str">
        <f>IFERROR(IF(VLOOKUP($C287,'General price list'!$C:$AN,MATCH(P$20,'General price list'!$C$20:$AM$20,0),FALSE)=0,"",VLOOKUP($C287,'General price list'!$C:$AN,MATCH(P$20,'General price list'!$C$20:$AM$20,0),FALSE)),"")</f>
        <v/>
      </c>
      <c r="Q287" s="698"/>
      <c r="R287" s="698"/>
      <c r="S287" s="698"/>
      <c r="T287" s="695"/>
      <c r="U287" s="874"/>
      <c r="V287" s="699"/>
      <c r="W287" s="700" t="str">
        <f>IFERROR(VLOOKUP($C287,'General price list'!$C:$AN,MATCH(W$20,'General price list'!$C$20:$AM$20,0),FALSE),"")</f>
        <v/>
      </c>
      <c r="X287" s="891" t="str">
        <f t="shared" si="55"/>
        <v/>
      </c>
      <c r="Y287" s="892"/>
      <c r="Z287" s="700" t="str">
        <f>IFERROR(VLOOKUP($C287,'General price list'!$C:$AN,MATCH(Z$20,'General price list'!$C$20:$AM$20,0),FALSE),"")</f>
        <v/>
      </c>
      <c r="AA287" s="707"/>
      <c r="AB287" s="912" t="str">
        <f>IFERROR(IF(VLOOKUP(C287,[1]List1!$A:$D,2,FALSE)="VYPRODÁNO",$V$9,IF(VLOOKUP(C287,[1]List1!$A:$D,2,FALSE)="DOCHÁZÍ",$V$3,VLOOKUP(C287,[1]List1!$A:$D,2,FALSE))),"OFFLINE!")</f>
        <v>OFFLINE!</v>
      </c>
      <c r="AC287" s="912" t="str">
        <f ca="1">IF(AO287="NE",$V$10,IF(AB287=$V$3,IF(AP287&lt;1,$V$8,$V$2&amp;" "&amp;AP287&amp;" "&amp;$V$1),IF(AB287="SKLADEM",$V$6,IFERROR(IF(OR(AB287-TODAY()&gt;21,VLOOKUP(C287,[1]List1!$A:$E,4,FALSE)=0),AB287,DAY(AB287)&amp;"."&amp;MONTH(AB287)&amp;"."&amp;YEAR(AB287)&amp;" "&amp;$V$4&amp;VLOOKUP(C287,[1]List1!$A:$E,4,FALSE)&amp;" "&amp;$V$1),AB287))))</f>
        <v>OFFLINE!</v>
      </c>
      <c r="AD287" s="701" t="str">
        <f>_xlfn.IFNA(VLOOKUP(C287,'General price list'!C:AM,MATCH($AD$20,'General price list'!$C$20:$AM$20,0),FALSE),"")</f>
        <v/>
      </c>
      <c r="AE287" s="695" t="str">
        <f t="shared" si="56"/>
        <v/>
      </c>
      <c r="AF287" s="695" t="str">
        <f t="shared" si="57"/>
        <v/>
      </c>
      <c r="AG287" s="702" t="str">
        <f t="shared" si="58"/>
        <v/>
      </c>
      <c r="AH287" s="703" t="str">
        <f t="shared" si="59"/>
        <v/>
      </c>
      <c r="AI287" s="702" t="str">
        <f t="shared" si="60"/>
        <v/>
      </c>
      <c r="AJ287" s="704" t="str">
        <f t="shared" si="61"/>
        <v/>
      </c>
      <c r="AK287" s="704" t="str">
        <f t="shared" si="62"/>
        <v/>
      </c>
      <c r="AL287" s="704" t="str">
        <f t="shared" si="63"/>
        <v/>
      </c>
      <c r="AM287" s="705" t="str">
        <f t="shared" si="64"/>
        <v/>
      </c>
      <c r="AN287" s="382"/>
      <c r="AO287" s="314" t="str">
        <f>IF($R$3=1,IF(Y287=AA287,"","NE"),IF(#REF!=$V$10,"NE",""))</f>
        <v/>
      </c>
      <c r="AP287" s="315" t="str">
        <f>IF(AB287=$V$3,IF(VLOOKUP(C287,[1]List1!$A:$E,5,FALSE)=0,1,VLOOKUP(C287,[1]List1!$A:$E,5,FALSE)),"")</f>
        <v/>
      </c>
      <c r="AW287" s="291" t="e">
        <f>VLOOKUP(C287,'General price list'!C:AU,46,FALSE)</f>
        <v>#N/A</v>
      </c>
      <c r="AX287" s="291" t="e">
        <f>VLOOKUP(C287,'General price list'!C:AU,47,FALSE)</f>
        <v>#N/A</v>
      </c>
    </row>
    <row r="288" spans="1:50" ht="15" customHeight="1">
      <c r="A288" s="677" t="str">
        <f>Kat.!C288</f>
        <v xml:space="preserve">                                          </v>
      </c>
      <c r="B288" s="678">
        <v>267</v>
      </c>
      <c r="C288" s="679" t="s">
        <v>1109</v>
      </c>
      <c r="D288" s="679" t="s">
        <v>1110</v>
      </c>
      <c r="E288" s="680" t="s">
        <v>1006</v>
      </c>
      <c r="F288" s="681">
        <f>VLOOKUP(C288,[2]List1!$A:$D,2,FALSE)</f>
        <v>520</v>
      </c>
      <c r="G288" s="682">
        <f t="shared" si="53"/>
        <v>520</v>
      </c>
      <c r="H288" s="683">
        <f t="shared" si="54"/>
        <v>21.2</v>
      </c>
      <c r="I288" s="836">
        <v>6</v>
      </c>
      <c r="J288" s="680" t="s">
        <v>45</v>
      </c>
      <c r="K288" s="854"/>
      <c r="L288" s="855" t="s">
        <v>13849</v>
      </c>
      <c r="M288" s="680" t="s">
        <v>131</v>
      </c>
      <c r="N288" s="868">
        <f>IFERROR(VLOOKUP(C288,[3]List1!$A:$D,4,FALSE),"N/A!")</f>
        <v>3.6456000000000002E-2</v>
      </c>
      <c r="O288" s="836">
        <f>IFERROR(VLOOKUP(C288,[3]List1!$A:$D,3,FALSE),"N/A!")</f>
        <v>2988</v>
      </c>
      <c r="P288" s="836">
        <f>IFERROR(VLOOKUP(C288,[3]List1!$A:$D,2,FALSE),"N/A!")</f>
        <v>16500</v>
      </c>
      <c r="Q288" s="680" t="s">
        <v>1198</v>
      </c>
      <c r="R288" s="680" t="s">
        <v>24</v>
      </c>
      <c r="S288" s="680"/>
      <c r="T288" s="681">
        <v>55</v>
      </c>
      <c r="U288" s="873"/>
      <c r="V288" s="684" t="str">
        <f>_xlfn.IFNA(HYPERLINK("https://www.klasekpyrotechnics.cz/c6420b"),"")</f>
        <v>https://www.klasekpyrotechnics.cz/c6420b</v>
      </c>
      <c r="W288" s="685" t="str">
        <f>IFERROR(VLOOKUP($C288,Popisy!A:P,MATCH($W$17,Popisy!$A$7:$P$7,0),FALSE),"---------------")</f>
        <v>8 verschiedenfarbige Effekte</v>
      </c>
      <c r="X288" s="889" t="str">
        <f t="shared" si="55"/>
        <v/>
      </c>
      <c r="Y288" s="890"/>
      <c r="Z288" s="685">
        <f>IFERROR(IF(VLOOKUP(C288,[4]List1!$A:$D,4,FALSE)=0,"",VLOOKUP(C288,[4]List1!$A:$D,4,FALSE)),"")</f>
        <v>48</v>
      </c>
      <c r="AA288" s="707"/>
      <c r="AB288" s="911" t="str">
        <f>IFERROR(IF(VLOOKUP(C288,[1]List1!$A:$D,2,FALSE)="VYPRODÁNO",$V$9,IF(VLOOKUP(C288,[1]List1!$A:$D,2,FALSE)="DOCHÁZÍ",$V$3,VLOOKUP(C288,[1]List1!$A:$D,2,FALSE))),"OFFLINE!")</f>
        <v>SKLADEM</v>
      </c>
      <c r="AC288" s="911" t="str">
        <f ca="1">IF(AO288="NE",$V$10,IF(AB288=$V$3,IF(AP288&lt;1,$V$8,$V$2&amp;" "&amp;AP288&amp;" "&amp;$V$1),IF(AB288="SKLADEM",$V$6,IFERROR(IF(OR(AB288-TODAY()&gt;21,VLOOKUP(C288,[1]List1!$A:$E,4,FALSE)=0),AB288,DAY(AB288)&amp;"."&amp;MONTH(AB288)&amp;"."&amp;YEAR(AB288)&amp;" "&amp;$V$4&amp;VLOOKUP(C288,[1]List1!$A:$E,4,FALSE)&amp;" "&amp;$V$1),AB288))))</f>
        <v>AUF LAGER</v>
      </c>
      <c r="AD288" s="686" t="str">
        <f ca="1">_xlfn.IFNA(VLOOKUP(C288,'General price list'!C:AM,MATCH($AD$20,'General price list'!$C$20:$AM$20,0),FALSE),"")</f>
        <v>AUF LAGER</v>
      </c>
      <c r="AE288" s="681">
        <f t="shared" ca="1" si="56"/>
        <v>0</v>
      </c>
      <c r="AF288" s="681">
        <f t="shared" ca="1" si="57"/>
        <v>0</v>
      </c>
      <c r="AG288" s="687">
        <f t="shared" ca="1" si="58"/>
        <v>0</v>
      </c>
      <c r="AH288" s="688">
        <f t="shared" ca="1" si="59"/>
        <v>0</v>
      </c>
      <c r="AI288" s="687">
        <f t="shared" ca="1" si="60"/>
        <v>0</v>
      </c>
      <c r="AJ288" s="689" t="str">
        <f t="shared" ca="1" si="61"/>
        <v/>
      </c>
      <c r="AK288" s="689">
        <f t="shared" ca="1" si="62"/>
        <v>0</v>
      </c>
      <c r="AL288" s="689" t="str">
        <f t="shared" ca="1" si="63"/>
        <v/>
      </c>
      <c r="AM288" s="690" t="str">
        <f t="shared" ca="1" si="64"/>
        <v/>
      </c>
      <c r="AN288" s="381"/>
      <c r="AO288" s="314" t="str">
        <f>IF($R$3=1,IF(Y288=AA288,"","NE"),IF(#REF!=$V$10,"NE",""))</f>
        <v/>
      </c>
      <c r="AP288" s="315" t="str">
        <f>IF(AB288=$V$3,IF(VLOOKUP(C288,[1]List1!$A:$E,5,FALSE)=0,1,VLOOKUP(C288,[1]List1!$A:$E,5,FALSE)),"")</f>
        <v/>
      </c>
      <c r="AW288" s="458">
        <f>IFERROR(FIND(VLOOKUP('General price list'!$AB$7,'General price list'!$AC$1:$AD$12,2,FALSE),Q288,1),0)</f>
        <v>13</v>
      </c>
      <c r="AX288" s="458">
        <f>IFERROR(FIND(VLOOKUP('General price list'!$AB$7,'General price list'!$AC$1:$AD$12,2,FALSE),R288,1),0)</f>
        <v>0</v>
      </c>
    </row>
    <row r="289" spans="1:50" ht="15" customHeight="1">
      <c r="A289" s="691" t="str">
        <f>Kat.!C289</f>
        <v xml:space="preserve">                                          </v>
      </c>
      <c r="B289" s="692">
        <v>268</v>
      </c>
      <c r="C289" s="693" t="s">
        <v>1114</v>
      </c>
      <c r="D289" s="693" t="s">
        <v>1115</v>
      </c>
      <c r="E289" s="694" t="s">
        <v>1006</v>
      </c>
      <c r="F289" s="695">
        <f>VLOOKUP(C289,[2]List1!$A:$D,2,FALSE)</f>
        <v>520</v>
      </c>
      <c r="G289" s="696">
        <f t="shared" si="53"/>
        <v>520</v>
      </c>
      <c r="H289" s="697">
        <f t="shared" si="54"/>
        <v>21.2</v>
      </c>
      <c r="I289" s="837">
        <v>6</v>
      </c>
      <c r="J289" s="698" t="s">
        <v>45</v>
      </c>
      <c r="K289" s="856"/>
      <c r="L289" s="857" t="s">
        <v>13849</v>
      </c>
      <c r="M289" s="698" t="s">
        <v>131</v>
      </c>
      <c r="N289" s="869">
        <f>IFERROR(VLOOKUP(C289,[3]List1!$A:$D,4,FALSE),"N/A!")</f>
        <v>3.6456000000000002E-2</v>
      </c>
      <c r="O289" s="837">
        <f>IFERROR(VLOOKUP(C289,[3]List1!$A:$D,3,FALSE),"N/A!")</f>
        <v>2988</v>
      </c>
      <c r="P289" s="837">
        <f>IFERROR(VLOOKUP(C289,[3]List1!$A:$D,2,FALSE),"N/A!")</f>
        <v>17100</v>
      </c>
      <c r="Q289" s="698" t="s">
        <v>1198</v>
      </c>
      <c r="R289" s="698" t="s">
        <v>24</v>
      </c>
      <c r="S289" s="698"/>
      <c r="T289" s="695">
        <v>55</v>
      </c>
      <c r="U289" s="874"/>
      <c r="V289" s="699" t="str">
        <f>_xlfn.IFNA(HYPERLINK("https://www.klasekpyrotechnics.cz/c6420g"),"")</f>
        <v>https://www.klasekpyrotechnics.cz/c6420g</v>
      </c>
      <c r="W289" s="700" t="str">
        <f>IFERROR(VLOOKUP($C289,Popisy!A:P,MATCH($W$17,Popisy!$A$7:$P$7,0),FALSE),"---------------")</f>
        <v>8 verschiedenfarbige Effekte</v>
      </c>
      <c r="X289" s="891" t="str">
        <f t="shared" si="55"/>
        <v/>
      </c>
      <c r="Y289" s="892"/>
      <c r="Z289" s="700">
        <f>IFERROR(IF(VLOOKUP(C289,[4]List1!$A:$D,4,FALSE)=0,"",VLOOKUP(C289,[4]List1!$A:$D,4,FALSE)),"")</f>
        <v>48</v>
      </c>
      <c r="AA289" s="707"/>
      <c r="AB289" s="912" t="str">
        <f>IFERROR(IF(VLOOKUP(C289,[1]List1!$A:$D,2,FALSE)="VYPRODÁNO",$V$9,IF(VLOOKUP(C289,[1]List1!$A:$D,2,FALSE)="DOCHÁZÍ",$V$3,VLOOKUP(C289,[1]List1!$A:$D,2,FALSE))),"OFFLINE!")</f>
        <v>SKLADEM</v>
      </c>
      <c r="AC289" s="912" t="str">
        <f ca="1">IF(AO289="NE",$V$10,IF(AB289=$V$3,IF(AP289&lt;1,$V$8,$V$2&amp;" "&amp;AP289&amp;" "&amp;$V$1),IF(AB289="SKLADEM",$V$6,IFERROR(IF(OR(AB289-TODAY()&gt;21,VLOOKUP(C289,[1]List1!$A:$E,4,FALSE)=0),AB289,DAY(AB289)&amp;"."&amp;MONTH(AB289)&amp;"."&amp;YEAR(AB289)&amp;" "&amp;$V$4&amp;VLOOKUP(C289,[1]List1!$A:$E,4,FALSE)&amp;" "&amp;$V$1),AB289))))</f>
        <v>AUF LAGER</v>
      </c>
      <c r="AD289" s="701" t="str">
        <f ca="1">_xlfn.IFNA(VLOOKUP(C289,'General price list'!C:AM,MATCH($AD$20,'General price list'!$C$20:$AM$20,0),FALSE),"")</f>
        <v>AUF LAGER</v>
      </c>
      <c r="AE289" s="695">
        <f t="shared" ca="1" si="56"/>
        <v>0</v>
      </c>
      <c r="AF289" s="695">
        <f t="shared" ca="1" si="57"/>
        <v>0</v>
      </c>
      <c r="AG289" s="702">
        <f t="shared" ca="1" si="58"/>
        <v>0</v>
      </c>
      <c r="AH289" s="703">
        <f t="shared" ca="1" si="59"/>
        <v>0</v>
      </c>
      <c r="AI289" s="702">
        <f t="shared" ca="1" si="60"/>
        <v>0</v>
      </c>
      <c r="AJ289" s="704" t="str">
        <f t="shared" ca="1" si="61"/>
        <v/>
      </c>
      <c r="AK289" s="704">
        <f t="shared" ca="1" si="62"/>
        <v>0</v>
      </c>
      <c r="AL289" s="704" t="str">
        <f t="shared" ca="1" si="63"/>
        <v/>
      </c>
      <c r="AM289" s="705" t="str">
        <f t="shared" ca="1" si="64"/>
        <v/>
      </c>
      <c r="AN289" s="382"/>
      <c r="AO289" s="314" t="str">
        <f>IF($R$3=1,IF(Y289=AA289,"","NE"),IF(#REF!=$V$10,"NE",""))</f>
        <v/>
      </c>
      <c r="AP289" s="315" t="str">
        <f>IF(AB289=$V$3,IF(VLOOKUP(C289,[1]List1!$A:$E,5,FALSE)=0,1,VLOOKUP(C289,[1]List1!$A:$E,5,FALSE)),"")</f>
        <v/>
      </c>
      <c r="AW289" s="458">
        <f>IFERROR(FIND(VLOOKUP('General price list'!$AB$7,'General price list'!$AC$1:$AD$12,2,FALSE),Q289,1),0)</f>
        <v>13</v>
      </c>
      <c r="AX289" s="458">
        <f>IFERROR(FIND(VLOOKUP('General price list'!$AB$7,'General price list'!$AC$1:$AD$12,2,FALSE),R289,1),0)</f>
        <v>0</v>
      </c>
    </row>
    <row r="290" spans="1:50" ht="15" customHeight="1">
      <c r="A290" s="677" t="str">
        <f>Kat.!C290</f>
        <v xml:space="preserve">                                          </v>
      </c>
      <c r="B290" s="678">
        <v>269</v>
      </c>
      <c r="C290" s="679" t="s">
        <v>1116</v>
      </c>
      <c r="D290" s="679" t="s">
        <v>1117</v>
      </c>
      <c r="E290" s="680" t="s">
        <v>1006</v>
      </c>
      <c r="F290" s="681">
        <f>VLOOKUP(C290,[2]List1!$A:$D,2,FALSE)</f>
        <v>520</v>
      </c>
      <c r="G290" s="682">
        <f t="shared" si="53"/>
        <v>520</v>
      </c>
      <c r="H290" s="683">
        <f t="shared" si="54"/>
        <v>21.2</v>
      </c>
      <c r="I290" s="836">
        <v>6</v>
      </c>
      <c r="J290" s="680" t="s">
        <v>45</v>
      </c>
      <c r="K290" s="854">
        <v>5</v>
      </c>
      <c r="L290" s="855" t="s">
        <v>13849</v>
      </c>
      <c r="M290" s="680" t="s">
        <v>131</v>
      </c>
      <c r="N290" s="868">
        <f>IFERROR(VLOOKUP(C290,[3]List1!$A:$D,4,FALSE),"N/A!")</f>
        <v>3.6456000000000002E-2</v>
      </c>
      <c r="O290" s="836">
        <f>IFERROR(VLOOKUP(C290,[3]List1!$A:$D,3,FALSE),"N/A!")</f>
        <v>2988</v>
      </c>
      <c r="P290" s="836">
        <f>IFERROR(VLOOKUP(C290,[3]List1!$A:$D,2,FALSE),"N/A!")</f>
        <v>16968</v>
      </c>
      <c r="Q290" s="680" t="s">
        <v>1198</v>
      </c>
      <c r="R290" s="680" t="s">
        <v>24</v>
      </c>
      <c r="S290" s="680"/>
      <c r="T290" s="681">
        <v>55</v>
      </c>
      <c r="U290" s="873"/>
      <c r="V290" s="684" t="str">
        <f>_xlfn.IFNA(HYPERLINK("https://www.klasekpyrotechnics.cz/c6420d"),"")</f>
        <v>https://www.klasekpyrotechnics.cz/c6420d</v>
      </c>
      <c r="W290" s="685" t="str">
        <f>IFERROR(VLOOKUP($C290,Popisy!A:P,MATCH($W$17,Popisy!$A$7:$P$7,0),FALSE),"---------------")</f>
        <v>8 verschiedenfarbige Effekte</v>
      </c>
      <c r="X290" s="889" t="str">
        <f t="shared" si="55"/>
        <v/>
      </c>
      <c r="Y290" s="890"/>
      <c r="Z290" s="685">
        <f>IFERROR(IF(VLOOKUP(C290,[4]List1!$A:$D,4,FALSE)=0,"",VLOOKUP(C290,[4]List1!$A:$D,4,FALSE)),"")</f>
        <v>48</v>
      </c>
      <c r="AA290" s="707"/>
      <c r="AB290" s="911" t="str">
        <f>IFERROR(IF(VLOOKUP(C290,[1]List1!$A:$D,2,FALSE)="VYPRODÁNO",$V$9,IF(VLOOKUP(C290,[1]List1!$A:$D,2,FALSE)="DOCHÁZÍ",$V$3,VLOOKUP(C290,[1]List1!$A:$D,2,FALSE))),"OFFLINE!")</f>
        <v>SKLADEM</v>
      </c>
      <c r="AC290" s="911" t="str">
        <f ca="1">IF(AO290="NE",$V$10,IF(AB290=$V$3,IF(AP290&lt;1,$V$8,$V$2&amp;" "&amp;AP290&amp;" "&amp;$V$1),IF(AB290="SKLADEM",$V$6,IFERROR(IF(OR(AB290-TODAY()&gt;21,VLOOKUP(C290,[1]List1!$A:$E,4,FALSE)=0),AB290,DAY(AB290)&amp;"."&amp;MONTH(AB290)&amp;"."&amp;YEAR(AB290)&amp;" "&amp;$V$4&amp;VLOOKUP(C290,[1]List1!$A:$E,4,FALSE)&amp;" "&amp;$V$1),AB290))))</f>
        <v>AUF LAGER</v>
      </c>
      <c r="AD290" s="686" t="str">
        <f ca="1">_xlfn.IFNA(VLOOKUP(C290,'General price list'!C:AM,MATCH($AD$20,'General price list'!$C$20:$AM$20,0),FALSE),"")</f>
        <v>AUF LAGER</v>
      </c>
      <c r="AE290" s="681">
        <f t="shared" ca="1" si="56"/>
        <v>0</v>
      </c>
      <c r="AF290" s="681">
        <f t="shared" ca="1" si="57"/>
        <v>0</v>
      </c>
      <c r="AG290" s="687">
        <f t="shared" ca="1" si="58"/>
        <v>0</v>
      </c>
      <c r="AH290" s="688">
        <f t="shared" ca="1" si="59"/>
        <v>0</v>
      </c>
      <c r="AI290" s="687">
        <f t="shared" ca="1" si="60"/>
        <v>0</v>
      </c>
      <c r="AJ290" s="689" t="str">
        <f t="shared" ca="1" si="61"/>
        <v/>
      </c>
      <c r="AK290" s="689">
        <f t="shared" ca="1" si="62"/>
        <v>0</v>
      </c>
      <c r="AL290" s="689" t="str">
        <f t="shared" ca="1" si="63"/>
        <v/>
      </c>
      <c r="AM290" s="690" t="str">
        <f t="shared" ca="1" si="64"/>
        <v/>
      </c>
      <c r="AN290" s="313"/>
      <c r="AO290" s="314" t="str">
        <f>IF($R$3=1,IF(Y290=AA290,"","NE"),IF(#REF!=$V$10,"NE",""))</f>
        <v/>
      </c>
      <c r="AP290" s="315" t="str">
        <f>IF(AB290=$V$3,IF(VLOOKUP(C290,[1]List1!$A:$E,5,FALSE)=0,1,VLOOKUP(C290,[1]List1!$A:$E,5,FALSE)),"")</f>
        <v/>
      </c>
      <c r="AW290" s="458">
        <f>IFERROR(FIND(VLOOKUP('General price list'!$AB$7,'General price list'!$AC$1:$AD$12,2,FALSE),Q290,1),0)</f>
        <v>13</v>
      </c>
      <c r="AX290" s="458">
        <f>IFERROR(FIND(VLOOKUP('General price list'!$AB$7,'General price list'!$AC$1:$AD$12,2,FALSE),R290,1),0)</f>
        <v>0</v>
      </c>
    </row>
    <row r="291" spans="1:50" ht="15" customHeight="1">
      <c r="A291" s="672" t="str">
        <f>Kat.!C291</f>
        <v xml:space="preserve">                                          Batterien 64 schuss, 20mm Mörser-1.4G</v>
      </c>
      <c r="B291" s="692">
        <v>270</v>
      </c>
      <c r="C291" s="693"/>
      <c r="D291" s="693"/>
      <c r="E291" s="694"/>
      <c r="F291" s="695" t="str">
        <f>IFERROR(ROUND(VLOOKUP(C291,'General price list'!$C:$AN,4,FALSE),0),"")</f>
        <v/>
      </c>
      <c r="G291" s="696" t="str">
        <f t="shared" si="53"/>
        <v/>
      </c>
      <c r="H291" s="697" t="str">
        <f t="shared" si="54"/>
        <v/>
      </c>
      <c r="I291" s="837"/>
      <c r="J291" s="698"/>
      <c r="K291" s="856"/>
      <c r="L291" s="857"/>
      <c r="M291" s="698"/>
      <c r="N291" s="869" t="str">
        <f>IFERROR(IF(VLOOKUP($C291,'General price list'!$C:$AN,MATCH(N$20,'General price list'!$C$20:$AM$20,0),FALSE)=0,"",VLOOKUP($C291,'General price list'!$C:$AN,MATCH(N$20,'General price list'!$C$20:$AM$20,0),FALSE)),"")</f>
        <v/>
      </c>
      <c r="O291" s="837" t="str">
        <f>IFERROR(IF(VLOOKUP($C291,'General price list'!$C:$AN,MATCH(O$20,'General price list'!$C$20:$AM$20,0),FALSE)=0,"",VLOOKUP($C291,'General price list'!$C:$AN,MATCH(O$20,'General price list'!$C$20:$AM$20,0),FALSE)),"")</f>
        <v/>
      </c>
      <c r="P291" s="837" t="str">
        <f>IFERROR(IF(VLOOKUP($C291,'General price list'!$C:$AN,MATCH(P$20,'General price list'!$C$20:$AM$20,0),FALSE)=0,"",VLOOKUP($C291,'General price list'!$C:$AN,MATCH(P$20,'General price list'!$C$20:$AM$20,0),FALSE)),"")</f>
        <v/>
      </c>
      <c r="Q291" s="698"/>
      <c r="R291" s="698"/>
      <c r="S291" s="698"/>
      <c r="T291" s="695"/>
      <c r="U291" s="874"/>
      <c r="V291" s="699"/>
      <c r="W291" s="700" t="str">
        <f>IFERROR(VLOOKUP($C291,'General price list'!$C:$AN,MATCH(W$20,'General price list'!$C$20:$AM$20,0),FALSE),"")</f>
        <v/>
      </c>
      <c r="X291" s="891" t="str">
        <f t="shared" si="55"/>
        <v/>
      </c>
      <c r="Y291" s="892"/>
      <c r="Z291" s="700" t="str">
        <f>IFERROR(VLOOKUP($C291,'General price list'!$C:$AN,MATCH(Z$20,'General price list'!$C$20:$AM$20,0),FALSE),"")</f>
        <v/>
      </c>
      <c r="AA291" s="707"/>
      <c r="AB291" s="912" t="str">
        <f>IFERROR(IF(VLOOKUP(C291,[1]List1!$A:$D,2,FALSE)="VYPRODÁNO",$V$9,IF(VLOOKUP(C291,[1]List1!$A:$D,2,FALSE)="DOCHÁZÍ",$V$3,VLOOKUP(C291,[1]List1!$A:$D,2,FALSE))),"OFFLINE!")</f>
        <v>OFFLINE!</v>
      </c>
      <c r="AC291" s="912" t="str">
        <f ca="1">IF(AO291="NE",$V$10,IF(AB291=$V$3,IF(AP291&lt;1,$V$8,$V$2&amp;" "&amp;AP291&amp;" "&amp;$V$1),IF(AB291="SKLADEM",$V$6,IFERROR(IF(OR(AB291-TODAY()&gt;21,VLOOKUP(C291,[1]List1!$A:$E,4,FALSE)=0),AB291,DAY(AB291)&amp;"."&amp;MONTH(AB291)&amp;"."&amp;YEAR(AB291)&amp;" "&amp;$V$4&amp;VLOOKUP(C291,[1]List1!$A:$E,4,FALSE)&amp;" "&amp;$V$1),AB291))))</f>
        <v>OFFLINE!</v>
      </c>
      <c r="AD291" s="701" t="str">
        <f>_xlfn.IFNA(VLOOKUP(C291,'General price list'!C:AM,MATCH($AD$20,'General price list'!$C$20:$AM$20,0),FALSE),"")</f>
        <v/>
      </c>
      <c r="AE291" s="695" t="str">
        <f t="shared" si="56"/>
        <v/>
      </c>
      <c r="AF291" s="695" t="str">
        <f t="shared" si="57"/>
        <v/>
      </c>
      <c r="AG291" s="702" t="str">
        <f t="shared" si="58"/>
        <v/>
      </c>
      <c r="AH291" s="703" t="str">
        <f t="shared" si="59"/>
        <v/>
      </c>
      <c r="AI291" s="702" t="str">
        <f t="shared" si="60"/>
        <v/>
      </c>
      <c r="AJ291" s="704" t="str">
        <f t="shared" si="61"/>
        <v/>
      </c>
      <c r="AK291" s="704" t="str">
        <f t="shared" si="62"/>
        <v/>
      </c>
      <c r="AL291" s="704" t="str">
        <f t="shared" si="63"/>
        <v/>
      </c>
      <c r="AM291" s="705" t="str">
        <f t="shared" si="64"/>
        <v/>
      </c>
      <c r="AN291" s="382"/>
      <c r="AO291" s="314" t="str">
        <f>IF($R$3=1,IF(Y291=AA291,"","NE"),IF(#REF!=$V$10,"NE",""))</f>
        <v/>
      </c>
      <c r="AP291" s="292" t="str">
        <f>IF(AB291=$V$3,IF(VLOOKUP(C291,[1]List1!$A:$E,5,FALSE)=0,1,VLOOKUP(C291,[1]List1!$A:$E,5,FALSE)),"")</f>
        <v/>
      </c>
      <c r="AW291" s="291" t="e">
        <f>VLOOKUP(C291,'General price list'!C:AU,46,FALSE)</f>
        <v>#N/A</v>
      </c>
      <c r="AX291" s="291" t="e">
        <f>VLOOKUP(C291,'General price list'!C:AU,47,FALSE)</f>
        <v>#N/A</v>
      </c>
    </row>
    <row r="292" spans="1:50" ht="15" customHeight="1">
      <c r="A292" s="677" t="str">
        <f>Kat.!C292</f>
        <v xml:space="preserve">                                          </v>
      </c>
      <c r="B292" s="678">
        <v>271</v>
      </c>
      <c r="C292" s="679" t="s">
        <v>1118</v>
      </c>
      <c r="D292" s="679" t="s">
        <v>1115</v>
      </c>
      <c r="E292" s="680" t="s">
        <v>1006</v>
      </c>
      <c r="F292" s="681">
        <f>VLOOKUP(C292,[2]List1!$A:$D,2,FALSE)</f>
        <v>520</v>
      </c>
      <c r="G292" s="682">
        <f t="shared" si="53"/>
        <v>520</v>
      </c>
      <c r="H292" s="683">
        <f t="shared" si="54"/>
        <v>21.2</v>
      </c>
      <c r="I292" s="836">
        <v>6</v>
      </c>
      <c r="J292" s="680" t="s">
        <v>45</v>
      </c>
      <c r="K292" s="854"/>
      <c r="L292" s="855" t="s">
        <v>13855</v>
      </c>
      <c r="M292" s="680" t="s">
        <v>25</v>
      </c>
      <c r="N292" s="868">
        <f>IFERROR(VLOOKUP(C292,[3]List1!$A:$D,4,FALSE),"N/A!")</f>
        <v>3.6456000000000002E-2</v>
      </c>
      <c r="O292" s="836">
        <f>IFERROR(VLOOKUP(C292,[3]List1!$A:$D,3,FALSE),"N/A!")</f>
        <v>2988</v>
      </c>
      <c r="P292" s="836">
        <f>IFERROR(VLOOKUP(C292,[3]List1!$A:$D,2,FALSE),"N/A!")</f>
        <v>16500</v>
      </c>
      <c r="Q292" s="680" t="s">
        <v>13764</v>
      </c>
      <c r="R292" s="680" t="s">
        <v>24</v>
      </c>
      <c r="S292" s="680"/>
      <c r="T292" s="681">
        <v>55</v>
      </c>
      <c r="U292" s="873"/>
      <c r="V292" s="684" t="str">
        <f>_xlfn.IFNA(HYPERLINK("https://www.klasekpyrotechnics.cz/c6420g14"),"")</f>
        <v>https://www.klasekpyrotechnics.cz/c6420g14</v>
      </c>
      <c r="W292" s="685" t="str">
        <f>IFERROR(VLOOKUP($C292,Popisy!A:P,MATCH($W$17,Popisy!$A$7:$P$7,0),FALSE),"---------------")</f>
        <v>8 verschiedenfarbige Effekte</v>
      </c>
      <c r="X292" s="889" t="str">
        <f t="shared" si="55"/>
        <v/>
      </c>
      <c r="Y292" s="890"/>
      <c r="Z292" s="685">
        <f>IFERROR(IF(VLOOKUP(C292,[4]List1!$A:$D,4,FALSE)=0,"",VLOOKUP(C292,[4]List1!$A:$D,4,FALSE)),"")</f>
        <v>48</v>
      </c>
      <c r="AA292" s="707"/>
      <c r="AB292" s="911" t="str">
        <f>IFERROR(IF(VLOOKUP(C292,[1]List1!$A:$D,2,FALSE)="VYPRODÁNO",$V$9,IF(VLOOKUP(C292,[1]List1!$A:$D,2,FALSE)="DOCHÁZÍ",$V$3,VLOOKUP(C292,[1]List1!$A:$D,2,FALSE))),"OFFLINE!")</f>
        <v>SKLADEM</v>
      </c>
      <c r="AC292" s="911" t="str">
        <f ca="1">IF(AO292="NE",$V$10,IF(AB292=$V$3,IF(AP292&lt;1,$V$8,$V$2&amp;" "&amp;AP292&amp;" "&amp;$V$1),IF(AB292="SKLADEM",$V$6,IFERROR(IF(OR(AB292-TODAY()&gt;21,VLOOKUP(C292,[1]List1!$A:$E,4,FALSE)=0),AB292,DAY(AB292)&amp;"."&amp;MONTH(AB292)&amp;"."&amp;YEAR(AB292)&amp;" "&amp;$V$4&amp;VLOOKUP(C292,[1]List1!$A:$E,4,FALSE)&amp;" "&amp;$V$1),AB292))))</f>
        <v>AUF LAGER</v>
      </c>
      <c r="AD292" s="686" t="str">
        <f ca="1">_xlfn.IFNA(VLOOKUP(C292,'General price list'!C:AM,MATCH($AD$20,'General price list'!$C$20:$AM$20,0),FALSE),"")</f>
        <v>AUF LAGER</v>
      </c>
      <c r="AE292" s="681">
        <f t="shared" ca="1" si="56"/>
        <v>0</v>
      </c>
      <c r="AF292" s="681">
        <f t="shared" ca="1" si="57"/>
        <v>0</v>
      </c>
      <c r="AG292" s="687">
        <f t="shared" ca="1" si="58"/>
        <v>0</v>
      </c>
      <c r="AH292" s="688">
        <f t="shared" ca="1" si="59"/>
        <v>0</v>
      </c>
      <c r="AI292" s="687">
        <f t="shared" ca="1" si="60"/>
        <v>0</v>
      </c>
      <c r="AJ292" s="689" t="str">
        <f t="shared" ca="1" si="61"/>
        <v/>
      </c>
      <c r="AK292" s="689" t="str">
        <f t="shared" ca="1" si="62"/>
        <v/>
      </c>
      <c r="AL292" s="689">
        <f t="shared" ca="1" si="63"/>
        <v>0</v>
      </c>
      <c r="AM292" s="690" t="str">
        <f t="shared" ca="1" si="64"/>
        <v/>
      </c>
      <c r="AN292" s="382"/>
      <c r="AO292" s="314" t="str">
        <f>IF($R$3=1,IF(Y292=AA292,"","NE"),IF(#REF!=$V$10,"NE",""))</f>
        <v/>
      </c>
      <c r="AP292" s="315" t="str">
        <f>IF(AB292=$V$3,IF(VLOOKUP(C292,[1]List1!$A:$E,5,FALSE)=0,1,VLOOKUP(C292,[1]List1!$A:$E,5,FALSE)),"")</f>
        <v/>
      </c>
      <c r="AW292" s="458">
        <f>IFERROR(FIND(VLOOKUP('General price list'!$AB$7,'General price list'!$AC$1:$AD$12,2,FALSE),Q292,1),0)</f>
        <v>13</v>
      </c>
      <c r="AX292" s="458">
        <f>IFERROR(FIND(VLOOKUP('General price list'!$AB$7,'General price list'!$AC$1:$AD$12,2,FALSE),R292,1),0)</f>
        <v>0</v>
      </c>
    </row>
    <row r="293" spans="1:50" ht="15" customHeight="1">
      <c r="A293" s="691" t="str">
        <f>Kat.!C293</f>
        <v xml:space="preserve">                                          </v>
      </c>
      <c r="B293" s="692">
        <v>272</v>
      </c>
      <c r="C293" s="693" t="s">
        <v>1119</v>
      </c>
      <c r="D293" s="693" t="s">
        <v>1117</v>
      </c>
      <c r="E293" s="694" t="s">
        <v>1006</v>
      </c>
      <c r="F293" s="695">
        <f>VLOOKUP(C293,[2]List1!$A:$D,2,FALSE)</f>
        <v>520</v>
      </c>
      <c r="G293" s="696">
        <f t="shared" si="53"/>
        <v>520</v>
      </c>
      <c r="H293" s="697">
        <f t="shared" si="54"/>
        <v>21.2</v>
      </c>
      <c r="I293" s="837">
        <v>6</v>
      </c>
      <c r="J293" s="698" t="s">
        <v>45</v>
      </c>
      <c r="K293" s="856">
        <v>5</v>
      </c>
      <c r="L293" s="857" t="s">
        <v>13855</v>
      </c>
      <c r="M293" s="698" t="s">
        <v>25</v>
      </c>
      <c r="N293" s="869">
        <f>IFERROR(VLOOKUP(C293,[3]List1!$A:$D,4,FALSE),"N/A!")</f>
        <v>3.6456000000000002E-2</v>
      </c>
      <c r="O293" s="837">
        <f>IFERROR(VLOOKUP(C293,[3]List1!$A:$D,3,FALSE),"N/A!")</f>
        <v>2988</v>
      </c>
      <c r="P293" s="837">
        <f>IFERROR(VLOOKUP(C293,[3]List1!$A:$D,2,FALSE),"N/A!")</f>
        <v>18500</v>
      </c>
      <c r="Q293" s="698" t="s">
        <v>13765</v>
      </c>
      <c r="R293" s="698" t="s">
        <v>24</v>
      </c>
      <c r="S293" s="698"/>
      <c r="T293" s="695">
        <v>55</v>
      </c>
      <c r="U293" s="874"/>
      <c r="V293" s="699" t="str">
        <f>_xlfn.IFNA(HYPERLINK("https://www.klasekpyrotechnics.cz/c6420d14"),"")</f>
        <v>https://www.klasekpyrotechnics.cz/c6420d14</v>
      </c>
      <c r="W293" s="700" t="str">
        <f>IFERROR(VLOOKUP($C293,Popisy!A:P,MATCH($W$17,Popisy!$A$7:$P$7,0),FALSE),"---------------")</f>
        <v>8 verschiedenfarbige Effekte</v>
      </c>
      <c r="X293" s="891" t="str">
        <f t="shared" si="55"/>
        <v/>
      </c>
      <c r="Y293" s="892"/>
      <c r="Z293" s="700">
        <f>IFERROR(IF(VLOOKUP(C293,[4]List1!$A:$D,4,FALSE)=0,"",VLOOKUP(C293,[4]List1!$A:$D,4,FALSE)),"")</f>
        <v>48</v>
      </c>
      <c r="AA293" s="707"/>
      <c r="AB293" s="912" t="str">
        <f>IFERROR(IF(VLOOKUP(C293,[1]List1!$A:$D,2,FALSE)="VYPRODÁNO",$V$9,IF(VLOOKUP(C293,[1]List1!$A:$D,2,FALSE)="DOCHÁZÍ",$V$3,VLOOKUP(C293,[1]List1!$A:$D,2,FALSE))),"OFFLINE!")</f>
        <v>30.04.2024</v>
      </c>
      <c r="AC293" s="912" t="str">
        <f ca="1">IF(AO293="NE",$V$10,IF(AB293=$V$3,IF(AP293&lt;1,$V$8,$V$2&amp;" "&amp;AP293&amp;" "&amp;$V$1),IF(AB293="SKLADEM",$V$6,IFERROR(IF(OR(AB293-TODAY()&gt;21,VLOOKUP(C293,[1]List1!$A:$E,4,FALSE)=0),AB293,DAY(AB293)&amp;"."&amp;MONTH(AB293)&amp;"."&amp;YEAR(AB293)&amp;" "&amp;$V$4&amp;VLOOKUP(C293,[1]List1!$A:$E,4,FALSE)&amp;" "&amp;$V$1),AB293))))</f>
        <v>30.04.2024</v>
      </c>
      <c r="AD293" s="701">
        <f>_xlfn.IFNA(VLOOKUP(C293,'General price list'!C:AM,MATCH($AD$20,'General price list'!$C$20:$AM$20,0),FALSE),"")</f>
        <v>0</v>
      </c>
      <c r="AE293" s="695">
        <f t="shared" si="56"/>
        <v>0</v>
      </c>
      <c r="AF293" s="695">
        <f t="shared" si="57"/>
        <v>0</v>
      </c>
      <c r="AG293" s="702">
        <f t="shared" si="58"/>
        <v>0</v>
      </c>
      <c r="AH293" s="703">
        <f t="shared" si="59"/>
        <v>0</v>
      </c>
      <c r="AI293" s="702">
        <f t="shared" si="60"/>
        <v>0</v>
      </c>
      <c r="AJ293" s="704" t="str">
        <f t="shared" si="61"/>
        <v/>
      </c>
      <c r="AK293" s="704" t="str">
        <f t="shared" si="62"/>
        <v/>
      </c>
      <c r="AL293" s="704">
        <f t="shared" si="63"/>
        <v>0</v>
      </c>
      <c r="AM293" s="705" t="str">
        <f t="shared" si="64"/>
        <v/>
      </c>
      <c r="AN293" s="381"/>
      <c r="AO293" s="314" t="str">
        <f>IF($R$3=1,IF(Y293=AA293,"","NE"),IF(#REF!=$V$10,"NE",""))</f>
        <v/>
      </c>
      <c r="AP293" s="315" t="str">
        <f>IF(AB293=$V$3,IF(VLOOKUP(C293,[1]List1!$A:$E,5,FALSE)=0,1,VLOOKUP(C293,[1]List1!$A:$E,5,FALSE)),"")</f>
        <v/>
      </c>
      <c r="AW293" s="458">
        <f>IFERROR(FIND(VLOOKUP('General price list'!$AB$7,'General price list'!$AC$1:$AD$12,2,FALSE),Q293,1),0)</f>
        <v>13</v>
      </c>
      <c r="AX293" s="458">
        <f>IFERROR(FIND(VLOOKUP('General price list'!$AB$7,'General price list'!$AC$1:$AD$12,2,FALSE),R293,1),0)</f>
        <v>0</v>
      </c>
    </row>
    <row r="294" spans="1:50" ht="15" customHeight="1">
      <c r="A294" s="672" t="str">
        <f>Kat.!C294</f>
        <v xml:space="preserve">                                          Batterien 66 schuss, 20mm I+V+W+schräg Mörser-1.4G</v>
      </c>
      <c r="B294" s="678">
        <v>273</v>
      </c>
      <c r="C294" s="679"/>
      <c r="D294" s="679"/>
      <c r="E294" s="680"/>
      <c r="F294" s="681" t="str">
        <f>IFERROR(ROUND(VLOOKUP(C294,'General price list'!$C:$AN,4,FALSE),0),"")</f>
        <v/>
      </c>
      <c r="G294" s="682" t="str">
        <f t="shared" si="53"/>
        <v/>
      </c>
      <c r="H294" s="683" t="str">
        <f t="shared" si="54"/>
        <v/>
      </c>
      <c r="I294" s="836"/>
      <c r="J294" s="680"/>
      <c r="K294" s="854"/>
      <c r="L294" s="855"/>
      <c r="M294" s="680"/>
      <c r="N294" s="868" t="str">
        <f>IFERROR(IF(VLOOKUP($C294,'General price list'!$C:$AN,MATCH(N$20,'General price list'!$C$20:$AM$20,0),FALSE)=0,"",VLOOKUP($C294,'General price list'!$C:$AN,MATCH(N$20,'General price list'!$C$20:$AM$20,0),FALSE)),"")</f>
        <v/>
      </c>
      <c r="O294" s="836" t="str">
        <f>IFERROR(IF(VLOOKUP($C294,'General price list'!$C:$AN,MATCH(O$20,'General price list'!$C$20:$AM$20,0),FALSE)=0,"",VLOOKUP($C294,'General price list'!$C:$AN,MATCH(O$20,'General price list'!$C$20:$AM$20,0),FALSE)),"")</f>
        <v/>
      </c>
      <c r="P294" s="836" t="str">
        <f>IFERROR(IF(VLOOKUP($C294,'General price list'!$C:$AN,MATCH(P$20,'General price list'!$C$20:$AM$20,0),FALSE)=0,"",VLOOKUP($C294,'General price list'!$C:$AN,MATCH(P$20,'General price list'!$C$20:$AM$20,0),FALSE)),"")</f>
        <v/>
      </c>
      <c r="Q294" s="680"/>
      <c r="R294" s="680"/>
      <c r="S294" s="680"/>
      <c r="T294" s="681"/>
      <c r="U294" s="873"/>
      <c r="V294" s="684"/>
      <c r="W294" s="685" t="str">
        <f>IFERROR(VLOOKUP($C294,'General price list'!$C:$AN,MATCH(W$20,'General price list'!$C$20:$AM$20,0),FALSE),"")</f>
        <v/>
      </c>
      <c r="X294" s="889" t="str">
        <f t="shared" si="55"/>
        <v/>
      </c>
      <c r="Y294" s="890"/>
      <c r="Z294" s="685" t="str">
        <f>IFERROR(VLOOKUP($C294,'General price list'!$C:$AN,MATCH(Z$20,'General price list'!$C$20:$AM$20,0),FALSE),"")</f>
        <v/>
      </c>
      <c r="AA294" s="707"/>
      <c r="AB294" s="911" t="str">
        <f>IFERROR(IF(VLOOKUP(C294,[1]List1!$A:$D,2,FALSE)="VYPRODÁNO",$V$9,IF(VLOOKUP(C294,[1]List1!$A:$D,2,FALSE)="DOCHÁZÍ",$V$3,VLOOKUP(C294,[1]List1!$A:$D,2,FALSE))),"OFFLINE!")</f>
        <v>OFFLINE!</v>
      </c>
      <c r="AC294" s="911" t="str">
        <f ca="1">IF(AO294="NE",$V$10,IF(AB294=$V$3,IF(AP294&lt;1,$V$8,$V$2&amp;" "&amp;AP294&amp;" "&amp;$V$1),IF(AB294="SKLADEM",$V$6,IFERROR(IF(OR(AB294-TODAY()&gt;21,VLOOKUP(C294,[1]List1!$A:$E,4,FALSE)=0),AB294,DAY(AB294)&amp;"."&amp;MONTH(AB294)&amp;"."&amp;YEAR(AB294)&amp;" "&amp;$V$4&amp;VLOOKUP(C294,[1]List1!$A:$E,4,FALSE)&amp;" "&amp;$V$1),AB294))))</f>
        <v>OFFLINE!</v>
      </c>
      <c r="AD294" s="686" t="str">
        <f>_xlfn.IFNA(VLOOKUP(C294,'General price list'!C:AM,MATCH($AD$20,'General price list'!$C$20:$AM$20,0),FALSE),"")</f>
        <v/>
      </c>
      <c r="AE294" s="681" t="str">
        <f t="shared" si="56"/>
        <v/>
      </c>
      <c r="AF294" s="681" t="str">
        <f t="shared" si="57"/>
        <v/>
      </c>
      <c r="AG294" s="687" t="str">
        <f t="shared" si="58"/>
        <v/>
      </c>
      <c r="AH294" s="688" t="str">
        <f t="shared" si="59"/>
        <v/>
      </c>
      <c r="AI294" s="687" t="str">
        <f t="shared" si="60"/>
        <v/>
      </c>
      <c r="AJ294" s="689" t="str">
        <f t="shared" si="61"/>
        <v/>
      </c>
      <c r="AK294" s="689" t="str">
        <f t="shared" si="62"/>
        <v/>
      </c>
      <c r="AL294" s="689" t="str">
        <f t="shared" si="63"/>
        <v/>
      </c>
      <c r="AM294" s="690" t="str">
        <f t="shared" si="64"/>
        <v/>
      </c>
      <c r="AN294" s="382"/>
      <c r="AO294" s="314" t="str">
        <f>IF($R$3=1,IF(Y294=AA294,"","NE"),IF(#REF!=$V$10,"NE",""))</f>
        <v/>
      </c>
      <c r="AP294" s="315" t="str">
        <f>IF(AB294=$V$3,IF(VLOOKUP(C294,[1]List1!$A:$E,5,FALSE)=0,1,VLOOKUP(C294,[1]List1!$A:$E,5,FALSE)),"")</f>
        <v/>
      </c>
      <c r="AW294" s="291" t="e">
        <f>VLOOKUP(C294,'General price list'!C:AU,46,FALSE)</f>
        <v>#N/A</v>
      </c>
      <c r="AX294" s="291" t="e">
        <f>VLOOKUP(C294,'General price list'!C:AU,47,FALSE)</f>
        <v>#N/A</v>
      </c>
    </row>
    <row r="295" spans="1:50" ht="15" customHeight="1">
      <c r="A295" s="691" t="str">
        <f>Kat.!C295</f>
        <v xml:space="preserve">                                          </v>
      </c>
      <c r="B295" s="692">
        <v>274</v>
      </c>
      <c r="C295" s="693" t="s">
        <v>1129</v>
      </c>
      <c r="D295" s="693" t="s">
        <v>1125</v>
      </c>
      <c r="E295" s="694" t="s">
        <v>1003</v>
      </c>
      <c r="F295" s="695">
        <f>VLOOKUP(C295,[2]List1!$A:$D,2,FALSE)</f>
        <v>729</v>
      </c>
      <c r="G295" s="696">
        <f t="shared" si="53"/>
        <v>729</v>
      </c>
      <c r="H295" s="697">
        <f t="shared" si="54"/>
        <v>29.7</v>
      </c>
      <c r="I295" s="837">
        <v>4</v>
      </c>
      <c r="J295" s="698" t="s">
        <v>45</v>
      </c>
      <c r="K295" s="856"/>
      <c r="L295" s="857" t="s">
        <v>13828</v>
      </c>
      <c r="M295" s="698" t="s">
        <v>25</v>
      </c>
      <c r="N295" s="869">
        <f>IFERROR(VLOOKUP(C295,[3]List1!$A:$D,4,FALSE),"N/A!")</f>
        <v>5.9062499999999997E-2</v>
      </c>
      <c r="O295" s="837">
        <f>IFERROR(VLOOKUP(C295,[3]List1!$A:$D,3,FALSE),"N/A!")</f>
        <v>1964</v>
      </c>
      <c r="P295" s="837">
        <f>IFERROR(VLOOKUP(C295,[3]List1!$A:$D,2,FALSE),"N/A!")</f>
        <v>14000</v>
      </c>
      <c r="Q295" s="698" t="s">
        <v>11089</v>
      </c>
      <c r="R295" s="698" t="s">
        <v>24</v>
      </c>
      <c r="S295" s="698"/>
      <c r="T295" s="695">
        <v>45</v>
      </c>
      <c r="U295" s="874"/>
      <c r="V295" s="699" t="str">
        <f>_xlfn.IFNA(HYPERLINK("https://www.klasekpyrotechnics.cz/c6620p14"),"")</f>
        <v>https://www.klasekpyrotechnics.cz/c6620p14</v>
      </c>
      <c r="W295" s="700" t="str">
        <f>IFERROR(VLOOKUP($C295,Popisy!A:P,MATCH($W$17,Popisy!$A$7:$P$7,0),FALSE),"---------------")</f>
        <v>9 verschiedenfarbige Effekte</v>
      </c>
      <c r="X295" s="891" t="str">
        <f t="shared" si="55"/>
        <v/>
      </c>
      <c r="Y295" s="892"/>
      <c r="Z295" s="700">
        <f>IFERROR(IF(VLOOKUP(C295,[4]List1!$A:$D,4,FALSE)=0,"",VLOOKUP(C295,[4]List1!$A:$D,4,FALSE)),"")</f>
        <v>18</v>
      </c>
      <c r="AA295" s="707"/>
      <c r="AB295" s="912" t="str">
        <f>IFERROR(IF(VLOOKUP(C295,[1]List1!$A:$D,2,FALSE)="VYPRODÁNO",$V$9,IF(VLOOKUP(C295,[1]List1!$A:$D,2,FALSE)="DOCHÁZÍ",$V$3,VLOOKUP(C295,[1]List1!$A:$D,2,FALSE))),"OFFLINE!")</f>
        <v>SKLADEM</v>
      </c>
      <c r="AC295" s="912" t="str">
        <f ca="1">IF(AO295="NE",$V$10,IF(AB295=$V$3,IF(AP295&lt;1,$V$8,$V$2&amp;" "&amp;AP295&amp;" "&amp;$V$1),IF(AB295="SKLADEM",$V$6,IFERROR(IF(OR(AB295-TODAY()&gt;21,VLOOKUP(C295,[1]List1!$A:$E,4,FALSE)=0),AB295,DAY(AB295)&amp;"."&amp;MONTH(AB295)&amp;"."&amp;YEAR(AB295)&amp;" "&amp;$V$4&amp;VLOOKUP(C295,[1]List1!$A:$E,4,FALSE)&amp;" "&amp;$V$1),AB295))))</f>
        <v>AUF LAGER</v>
      </c>
      <c r="AD295" s="701">
        <f>_xlfn.IFNA(VLOOKUP(C295,'General price list'!C:AM,MATCH($AD$20,'General price list'!$C$20:$AM$20,0),FALSE),"")</f>
        <v>0</v>
      </c>
      <c r="AE295" s="695">
        <f t="shared" si="56"/>
        <v>0</v>
      </c>
      <c r="AF295" s="695">
        <f t="shared" si="57"/>
        <v>0</v>
      </c>
      <c r="AG295" s="702">
        <f t="shared" si="58"/>
        <v>0</v>
      </c>
      <c r="AH295" s="703">
        <f t="shared" si="59"/>
        <v>0</v>
      </c>
      <c r="AI295" s="702">
        <f t="shared" si="60"/>
        <v>0</v>
      </c>
      <c r="AJ295" s="704" t="str">
        <f t="shared" si="61"/>
        <v/>
      </c>
      <c r="AK295" s="704" t="str">
        <f t="shared" si="62"/>
        <v/>
      </c>
      <c r="AL295" s="704">
        <f t="shared" si="63"/>
        <v>0</v>
      </c>
      <c r="AM295" s="705" t="str">
        <f t="shared" si="64"/>
        <v/>
      </c>
      <c r="AN295" s="381"/>
      <c r="AO295" s="314" t="str">
        <f>IF($R$3=1,IF(Y295=AA295,"","NE"),IF(#REF!=$V$10,"NE",""))</f>
        <v/>
      </c>
      <c r="AP295" s="315" t="str">
        <f>IF(AB295=$V$3,IF(VLOOKUP(C295,[1]List1!$A:$E,5,FALSE)=0,1,VLOOKUP(C295,[1]List1!$A:$E,5,FALSE)),"")</f>
        <v/>
      </c>
      <c r="AW295" s="458">
        <f>IFERROR(FIND(VLOOKUP('General price list'!$AB$7,'General price list'!$AC$1:$AD$12,2,FALSE),Q295,1),0)</f>
        <v>16</v>
      </c>
      <c r="AX295" s="458">
        <f>IFERROR(FIND(VLOOKUP('General price list'!$AB$7,'General price list'!$AC$1:$AD$12,2,FALSE),R295,1),0)</f>
        <v>0</v>
      </c>
    </row>
    <row r="296" spans="1:50" ht="15" customHeight="1">
      <c r="A296" s="677" t="str">
        <f>Kat.!C296</f>
        <v xml:space="preserve">                                          </v>
      </c>
      <c r="B296" s="678">
        <v>275</v>
      </c>
      <c r="C296" s="679" t="s">
        <v>1130</v>
      </c>
      <c r="D296" s="679" t="s">
        <v>1127</v>
      </c>
      <c r="E296" s="680" t="s">
        <v>1003</v>
      </c>
      <c r="F296" s="681">
        <f>VLOOKUP(C296,[2]List1!$A:$D,2,FALSE)</f>
        <v>729</v>
      </c>
      <c r="G296" s="682">
        <f t="shared" si="53"/>
        <v>729</v>
      </c>
      <c r="H296" s="683">
        <f t="shared" si="54"/>
        <v>29.7</v>
      </c>
      <c r="I296" s="836">
        <v>4</v>
      </c>
      <c r="J296" s="680" t="s">
        <v>45</v>
      </c>
      <c r="K296" s="854"/>
      <c r="L296" s="855" t="s">
        <v>13828</v>
      </c>
      <c r="M296" s="680" t="s">
        <v>25</v>
      </c>
      <c r="N296" s="868">
        <f>IFERROR(VLOOKUP(C296,[3]List1!$A:$D,4,FALSE),"N/A!")</f>
        <v>5.9062499999999997E-2</v>
      </c>
      <c r="O296" s="836">
        <f>IFERROR(VLOOKUP(C296,[3]List1!$A:$D,3,FALSE),"N/A!")</f>
        <v>1964</v>
      </c>
      <c r="P296" s="836">
        <f>IFERROR(VLOOKUP(C296,[3]List1!$A:$D,2,FALSE),"N/A!")</f>
        <v>14000</v>
      </c>
      <c r="Q296" s="680" t="s">
        <v>11089</v>
      </c>
      <c r="R296" s="680" t="s">
        <v>24</v>
      </c>
      <c r="S296" s="680"/>
      <c r="T296" s="681">
        <v>45</v>
      </c>
      <c r="U296" s="873"/>
      <c r="V296" s="684" t="str">
        <f>_xlfn.IFNA(HYPERLINK("https://www.klasekpyrotechnics.cz/c6620l14"),"")</f>
        <v>https://www.klasekpyrotechnics.cz/c6620l14</v>
      </c>
      <c r="W296" s="685" t="str">
        <f>IFERROR(VLOOKUP($C296,Popisy!A:P,MATCH($W$17,Popisy!$A$7:$P$7,0),FALSE),"---------------")</f>
        <v>9 verschiedenfarbige Effekte</v>
      </c>
      <c r="X296" s="889" t="str">
        <f t="shared" si="55"/>
        <v/>
      </c>
      <c r="Y296" s="890"/>
      <c r="Z296" s="685">
        <f>IFERROR(IF(VLOOKUP(C296,[4]List1!$A:$D,4,FALSE)=0,"",VLOOKUP(C296,[4]List1!$A:$D,4,FALSE)),"")</f>
        <v>18</v>
      </c>
      <c r="AA296" s="707"/>
      <c r="AB296" s="911" t="str">
        <f>IFERROR(IF(VLOOKUP(C296,[1]List1!$A:$D,2,FALSE)="VYPRODÁNO",$V$9,IF(VLOOKUP(C296,[1]List1!$A:$D,2,FALSE)="DOCHÁZÍ",$V$3,VLOOKUP(C296,[1]List1!$A:$D,2,FALSE))),"OFFLINE!")</f>
        <v>SKLADEM</v>
      </c>
      <c r="AC296" s="911" t="str">
        <f ca="1">IF(AO296="NE",$V$10,IF(AB296=$V$3,IF(AP296&lt;1,$V$8,$V$2&amp;" "&amp;AP296&amp;" "&amp;$V$1),IF(AB296="SKLADEM",$V$6,IFERROR(IF(OR(AB296-TODAY()&gt;21,VLOOKUP(C296,[1]List1!$A:$E,4,FALSE)=0),AB296,DAY(AB296)&amp;"."&amp;MONTH(AB296)&amp;"."&amp;YEAR(AB296)&amp;" "&amp;$V$4&amp;VLOOKUP(C296,[1]List1!$A:$E,4,FALSE)&amp;" "&amp;$V$1),AB296))))</f>
        <v>AUF LAGER</v>
      </c>
      <c r="AD296" s="686" t="str">
        <f ca="1">_xlfn.IFNA(VLOOKUP(C296,'General price list'!C:AM,MATCH($AD$20,'General price list'!$C$20:$AM$20,0),FALSE),"")</f>
        <v>AUF LAGER</v>
      </c>
      <c r="AE296" s="681">
        <f t="shared" ca="1" si="56"/>
        <v>0</v>
      </c>
      <c r="AF296" s="681">
        <f t="shared" ca="1" si="57"/>
        <v>0</v>
      </c>
      <c r="AG296" s="687">
        <f t="shared" ca="1" si="58"/>
        <v>0</v>
      </c>
      <c r="AH296" s="688">
        <f t="shared" ca="1" si="59"/>
        <v>0</v>
      </c>
      <c r="AI296" s="687">
        <f t="shared" ca="1" si="60"/>
        <v>0</v>
      </c>
      <c r="AJ296" s="689" t="str">
        <f t="shared" ca="1" si="61"/>
        <v/>
      </c>
      <c r="AK296" s="689" t="str">
        <f t="shared" ca="1" si="62"/>
        <v/>
      </c>
      <c r="AL296" s="689">
        <f t="shared" ca="1" si="63"/>
        <v>0</v>
      </c>
      <c r="AM296" s="690" t="str">
        <f t="shared" ca="1" si="64"/>
        <v/>
      </c>
      <c r="AN296" s="382"/>
      <c r="AO296" s="314" t="str">
        <f>IF($R$3=1,IF(Y296=AA296,"","NE"),IF(#REF!=$V$10,"NE",""))</f>
        <v/>
      </c>
      <c r="AP296" s="315" t="str">
        <f>IF(AB296=$V$3,IF(VLOOKUP(C296,[1]List1!$A:$E,5,FALSE)=0,1,VLOOKUP(C296,[1]List1!$A:$E,5,FALSE)),"")</f>
        <v/>
      </c>
      <c r="AW296" s="458">
        <f>IFERROR(FIND(VLOOKUP('General price list'!$AB$7,'General price list'!$AC$1:$AD$12,2,FALSE),Q296,1),0)</f>
        <v>16</v>
      </c>
      <c r="AX296" s="458">
        <f>IFERROR(FIND(VLOOKUP('General price list'!$AB$7,'General price list'!$AC$1:$AD$12,2,FALSE),R296,1),0)</f>
        <v>0</v>
      </c>
    </row>
    <row r="297" spans="1:50" ht="15" customHeight="1">
      <c r="A297" s="672" t="str">
        <f>Kat.!C297</f>
        <v xml:space="preserve">                                          Batterien 90 schuss, 20mm Mörser-1.3G</v>
      </c>
      <c r="B297" s="692">
        <v>276</v>
      </c>
      <c r="C297" s="693"/>
      <c r="D297" s="693"/>
      <c r="E297" s="694"/>
      <c r="F297" s="695" t="str">
        <f>IFERROR(ROUND(VLOOKUP(C297,'General price list'!$C:$AN,4,FALSE),0),"")</f>
        <v/>
      </c>
      <c r="G297" s="696" t="str">
        <f t="shared" si="53"/>
        <v/>
      </c>
      <c r="H297" s="697" t="str">
        <f t="shared" si="54"/>
        <v/>
      </c>
      <c r="I297" s="837"/>
      <c r="J297" s="698"/>
      <c r="K297" s="856"/>
      <c r="L297" s="857"/>
      <c r="M297" s="698"/>
      <c r="N297" s="869" t="str">
        <f>IFERROR(IF(VLOOKUP($C297,'General price list'!$C:$AN,MATCH(N$20,'General price list'!$C$20:$AM$20,0),FALSE)=0,"",VLOOKUP($C297,'General price list'!$C:$AN,MATCH(N$20,'General price list'!$C$20:$AM$20,0),FALSE)),"")</f>
        <v/>
      </c>
      <c r="O297" s="837" t="str">
        <f>IFERROR(IF(VLOOKUP($C297,'General price list'!$C:$AN,MATCH(O$20,'General price list'!$C$20:$AM$20,0),FALSE)=0,"",VLOOKUP($C297,'General price list'!$C:$AN,MATCH(O$20,'General price list'!$C$20:$AM$20,0),FALSE)),"")</f>
        <v/>
      </c>
      <c r="P297" s="837" t="str">
        <f>IFERROR(IF(VLOOKUP($C297,'General price list'!$C:$AN,MATCH(P$20,'General price list'!$C$20:$AM$20,0),FALSE)=0,"",VLOOKUP($C297,'General price list'!$C:$AN,MATCH(P$20,'General price list'!$C$20:$AM$20,0),FALSE)),"")</f>
        <v/>
      </c>
      <c r="Q297" s="698"/>
      <c r="R297" s="698"/>
      <c r="S297" s="698"/>
      <c r="T297" s="695"/>
      <c r="U297" s="874"/>
      <c r="V297" s="699"/>
      <c r="W297" s="700" t="str">
        <f>IFERROR(VLOOKUP($C297,'General price list'!$C:$AN,MATCH(W$20,'General price list'!$C$20:$AM$20,0),FALSE),"")</f>
        <v/>
      </c>
      <c r="X297" s="891" t="str">
        <f t="shared" si="55"/>
        <v/>
      </c>
      <c r="Y297" s="892"/>
      <c r="Z297" s="700" t="str">
        <f>IFERROR(VLOOKUP($C297,'General price list'!$C:$AN,MATCH(Z$20,'General price list'!$C$20:$AM$20,0),FALSE),"")</f>
        <v/>
      </c>
      <c r="AA297" s="707"/>
      <c r="AB297" s="912" t="str">
        <f>IFERROR(IF(VLOOKUP(C297,[1]List1!$A:$D,2,FALSE)="VYPRODÁNO",$V$9,IF(VLOOKUP(C297,[1]List1!$A:$D,2,FALSE)="DOCHÁZÍ",$V$3,VLOOKUP(C297,[1]List1!$A:$D,2,FALSE))),"OFFLINE!")</f>
        <v>OFFLINE!</v>
      </c>
      <c r="AC297" s="912" t="str">
        <f ca="1">IF(AO297="NE",$V$10,IF(AB297=$V$3,IF(AP297&lt;1,$V$8,$V$2&amp;" "&amp;AP297&amp;" "&amp;$V$1),IF(AB297="SKLADEM",$V$6,IFERROR(IF(OR(AB297-TODAY()&gt;21,VLOOKUP(C297,[1]List1!$A:$E,4,FALSE)=0),AB297,DAY(AB297)&amp;"."&amp;MONTH(AB297)&amp;"."&amp;YEAR(AB297)&amp;" "&amp;$V$4&amp;VLOOKUP(C297,[1]List1!$A:$E,4,FALSE)&amp;" "&amp;$V$1),AB297))))</f>
        <v>OFFLINE!</v>
      </c>
      <c r="AD297" s="701" t="str">
        <f>_xlfn.IFNA(VLOOKUP(C297,'General price list'!C:AM,MATCH($AD$20,'General price list'!$C$20:$AM$20,0),FALSE),"")</f>
        <v/>
      </c>
      <c r="AE297" s="695" t="str">
        <f t="shared" si="56"/>
        <v/>
      </c>
      <c r="AF297" s="695" t="str">
        <f t="shared" si="57"/>
        <v/>
      </c>
      <c r="AG297" s="702" t="str">
        <f t="shared" si="58"/>
        <v/>
      </c>
      <c r="AH297" s="703" t="str">
        <f t="shared" si="59"/>
        <v/>
      </c>
      <c r="AI297" s="702" t="str">
        <f t="shared" si="60"/>
        <v/>
      </c>
      <c r="AJ297" s="704" t="str">
        <f t="shared" si="61"/>
        <v/>
      </c>
      <c r="AK297" s="704" t="str">
        <f t="shared" si="62"/>
        <v/>
      </c>
      <c r="AL297" s="704" t="str">
        <f t="shared" si="63"/>
        <v/>
      </c>
      <c r="AM297" s="705" t="str">
        <f t="shared" si="64"/>
        <v/>
      </c>
      <c r="AN297" s="313"/>
      <c r="AO297" s="314" t="str">
        <f>IF($R$3=1,IF(Y297=AA297,"","NE"),IF(#REF!=$V$10,"NE",""))</f>
        <v/>
      </c>
      <c r="AP297" s="315" t="str">
        <f>IF(AB297=$V$3,IF(VLOOKUP(C297,[1]List1!$A:$E,5,FALSE)=0,1,VLOOKUP(C297,[1]List1!$A:$E,5,FALSE)),"")</f>
        <v/>
      </c>
      <c r="AW297" s="291" t="e">
        <f>VLOOKUP(C297,'General price list'!C:AU,46,FALSE)</f>
        <v>#N/A</v>
      </c>
      <c r="AX297" s="291" t="e">
        <f>VLOOKUP(C297,'General price list'!C:AU,47,FALSE)</f>
        <v>#N/A</v>
      </c>
    </row>
    <row r="298" spans="1:50" ht="15" customHeight="1">
      <c r="A298" s="677" t="str">
        <f>Kat.!C298</f>
        <v xml:space="preserve">                                          </v>
      </c>
      <c r="B298" s="678">
        <v>277</v>
      </c>
      <c r="C298" s="679" t="s">
        <v>1132</v>
      </c>
      <c r="D298" s="679" t="s">
        <v>1133</v>
      </c>
      <c r="E298" s="680" t="s">
        <v>1006</v>
      </c>
      <c r="F298" s="681">
        <f>VLOOKUP(C298,[2]List1!$A:$D,2,FALSE)</f>
        <v>725</v>
      </c>
      <c r="G298" s="682">
        <f t="shared" si="53"/>
        <v>725</v>
      </c>
      <c r="H298" s="683">
        <f t="shared" si="54"/>
        <v>29.5</v>
      </c>
      <c r="I298" s="836">
        <v>6</v>
      </c>
      <c r="J298" s="680" t="s">
        <v>130</v>
      </c>
      <c r="K298" s="854"/>
      <c r="L298" s="855" t="s">
        <v>13856</v>
      </c>
      <c r="M298" s="680" t="s">
        <v>131</v>
      </c>
      <c r="N298" s="868">
        <f>IFERROR(VLOOKUP(C298,[3]List1!$A:$D,4,FALSE),"N/A!")</f>
        <v>5.0232000000000006E-2</v>
      </c>
      <c r="O298" s="836">
        <f>IFERROR(VLOOKUP(C298,[3]List1!$A:$D,3,FALSE),"N/A!")</f>
        <v>4320</v>
      </c>
      <c r="P298" s="836">
        <f>IFERROR(VLOOKUP(C298,[3]List1!$A:$D,2,FALSE),"N/A!")</f>
        <v>24000</v>
      </c>
      <c r="Q298" s="680" t="s">
        <v>13766</v>
      </c>
      <c r="R298" s="680" t="s">
        <v>24</v>
      </c>
      <c r="S298" s="680"/>
      <c r="T298" s="681">
        <v>70</v>
      </c>
      <c r="U298" s="873"/>
      <c r="V298" s="684" t="str">
        <f>_xlfn.IFNA(HYPERLINK("https://www.klasekpyrotechnics.cz/c9020v"),"")</f>
        <v>https://www.klasekpyrotechnics.cz/c9020v</v>
      </c>
      <c r="W298" s="685" t="str">
        <f>IFERROR(VLOOKUP($C298,Popisy!A:P,MATCH($W$17,Popisy!$A$7:$P$7,0),FALSE),"---------------")</f>
        <v>10 verschiedenfarbige Effekte</v>
      </c>
      <c r="X298" s="889" t="str">
        <f t="shared" si="55"/>
        <v/>
      </c>
      <c r="Y298" s="890"/>
      <c r="Z298" s="685">
        <f>IFERROR(IF(VLOOKUP(C298,[4]List1!$A:$D,4,FALSE)=0,"",VLOOKUP(C298,[4]List1!$A:$D,4,FALSE)),"")</f>
        <v>24</v>
      </c>
      <c r="AA298" s="707"/>
      <c r="AB298" s="911" t="str">
        <f>IFERROR(IF(VLOOKUP(C298,[1]List1!$A:$D,2,FALSE)="VYPRODÁNO",$V$9,IF(VLOOKUP(C298,[1]List1!$A:$D,2,FALSE)="DOCHÁZÍ",$V$3,VLOOKUP(C298,[1]List1!$A:$D,2,FALSE))),"OFFLINE!")</f>
        <v>SKLADEM</v>
      </c>
      <c r="AC298" s="911" t="str">
        <f ca="1">IF(AO298="NE",$V$10,IF(AB298=$V$3,IF(AP298&lt;1,$V$8,$V$2&amp;" "&amp;AP298&amp;" "&amp;$V$1),IF(AB298="SKLADEM",$V$6,IFERROR(IF(OR(AB298-TODAY()&gt;21,VLOOKUP(C298,[1]List1!$A:$E,4,FALSE)=0),AB298,DAY(AB298)&amp;"."&amp;MONTH(AB298)&amp;"."&amp;YEAR(AB298)&amp;" "&amp;$V$4&amp;VLOOKUP(C298,[1]List1!$A:$E,4,FALSE)&amp;" "&amp;$V$1),AB298))))</f>
        <v>AUF LAGER</v>
      </c>
      <c r="AD298" s="686" t="str">
        <f ca="1">_xlfn.IFNA(VLOOKUP(C298,'General price list'!C:AM,MATCH($AD$20,'General price list'!$C$20:$AM$20,0),FALSE),"")</f>
        <v>AUF LAGER</v>
      </c>
      <c r="AE298" s="681">
        <f t="shared" ca="1" si="56"/>
        <v>0</v>
      </c>
      <c r="AF298" s="681">
        <f t="shared" ca="1" si="57"/>
        <v>0</v>
      </c>
      <c r="AG298" s="687">
        <f t="shared" ca="1" si="58"/>
        <v>0</v>
      </c>
      <c r="AH298" s="688">
        <f t="shared" ca="1" si="59"/>
        <v>0</v>
      </c>
      <c r="AI298" s="687">
        <f t="shared" ca="1" si="60"/>
        <v>0</v>
      </c>
      <c r="AJ298" s="689" t="str">
        <f t="shared" ca="1" si="61"/>
        <v/>
      </c>
      <c r="AK298" s="689">
        <f t="shared" ca="1" si="62"/>
        <v>0</v>
      </c>
      <c r="AL298" s="689" t="str">
        <f t="shared" ca="1" si="63"/>
        <v/>
      </c>
      <c r="AM298" s="690" t="str">
        <f t="shared" ca="1" si="64"/>
        <v/>
      </c>
      <c r="AN298" s="313"/>
      <c r="AO298" s="314" t="str">
        <f>IF($R$3=1,IF(Y298=AA298,"","NE"),IF(#REF!=$V$10,"NE",""))</f>
        <v/>
      </c>
      <c r="AP298" s="315" t="str">
        <f>IF(AB298=$V$3,IF(VLOOKUP(C298,[1]List1!$A:$E,5,FALSE)=0,1,VLOOKUP(C298,[1]List1!$A:$E,5,FALSE)),"")</f>
        <v/>
      </c>
      <c r="AW298" s="458">
        <f>IFERROR(FIND(VLOOKUP('General price list'!$AB$7,'General price list'!$AC$1:$AD$12,2,FALSE),Q298,1),0)</f>
        <v>16</v>
      </c>
      <c r="AX298" s="458">
        <f>IFERROR(FIND(VLOOKUP('General price list'!$AB$7,'General price list'!$AC$1:$AD$12,2,FALSE),R298,1),0)</f>
        <v>0</v>
      </c>
    </row>
    <row r="299" spans="1:50" ht="15" customHeight="1">
      <c r="A299" s="691" t="str">
        <f>Kat.!C299</f>
        <v xml:space="preserve">                                          </v>
      </c>
      <c r="B299" s="692">
        <v>278</v>
      </c>
      <c r="C299" s="693" t="s">
        <v>1134</v>
      </c>
      <c r="D299" s="693" t="s">
        <v>1135</v>
      </c>
      <c r="E299" s="694" t="s">
        <v>1006</v>
      </c>
      <c r="F299" s="695">
        <f>VLOOKUP(C299,[2]List1!$A:$D,2,FALSE)</f>
        <v>725</v>
      </c>
      <c r="G299" s="696">
        <f t="shared" si="53"/>
        <v>725</v>
      </c>
      <c r="H299" s="697">
        <f t="shared" si="54"/>
        <v>29.5</v>
      </c>
      <c r="I299" s="837">
        <v>6</v>
      </c>
      <c r="J299" s="698" t="s">
        <v>130</v>
      </c>
      <c r="K299" s="856"/>
      <c r="L299" s="857" t="s">
        <v>13856</v>
      </c>
      <c r="M299" s="698" t="s">
        <v>131</v>
      </c>
      <c r="N299" s="869">
        <f>IFERROR(VLOOKUP(C299,[3]List1!$A:$D,4,FALSE),"N/A!")</f>
        <v>5.0232000000000006E-2</v>
      </c>
      <c r="O299" s="837">
        <f>IFERROR(VLOOKUP(C299,[3]List1!$A:$D,3,FALSE),"N/A!")</f>
        <v>4320</v>
      </c>
      <c r="P299" s="837">
        <f>IFERROR(VLOOKUP(C299,[3]List1!$A:$D,2,FALSE),"N/A!")</f>
        <v>25300</v>
      </c>
      <c r="Q299" s="698" t="s">
        <v>13766</v>
      </c>
      <c r="R299" s="698" t="s">
        <v>24</v>
      </c>
      <c r="S299" s="698"/>
      <c r="T299" s="695">
        <v>65</v>
      </c>
      <c r="U299" s="874"/>
      <c r="V299" s="699" t="str">
        <f>_xlfn.IFNA(HYPERLINK("https://www.klasekpyrotechnics.cz/c9020x"),"")</f>
        <v>https://www.klasekpyrotechnics.cz/c9020x</v>
      </c>
      <c r="W299" s="700" t="str">
        <f>IFERROR(VLOOKUP($C299,Popisy!A:P,MATCH($W$17,Popisy!$A$7:$P$7,0),FALSE),"---------------")</f>
        <v>10 verschiedenfarbige Effekte</v>
      </c>
      <c r="X299" s="891" t="str">
        <f t="shared" si="55"/>
        <v/>
      </c>
      <c r="Y299" s="892"/>
      <c r="Z299" s="700">
        <f>IFERROR(IF(VLOOKUP(C299,[4]List1!$A:$D,4,FALSE)=0,"",VLOOKUP(C299,[4]List1!$A:$D,4,FALSE)),"")</f>
        <v>24</v>
      </c>
      <c r="AA299" s="707"/>
      <c r="AB299" s="912" t="str">
        <f>IFERROR(IF(VLOOKUP(C299,[1]List1!$A:$D,2,FALSE)="VYPRODÁNO",$V$9,IF(VLOOKUP(C299,[1]List1!$A:$D,2,FALSE)="DOCHÁZÍ",$V$3,VLOOKUP(C299,[1]List1!$A:$D,2,FALSE))),"OFFLINE!")</f>
        <v>LETZTE STÜCKE</v>
      </c>
      <c r="AC299" s="912" t="str">
        <f ca="1">IF(AO299="NE",$V$10,IF(AB299=$V$3,IF(AP299&lt;1,$V$8,$V$2&amp;" "&amp;AP299&amp;" "&amp;$V$1),IF(AB299="SKLADEM",$V$6,IFERROR(IF(OR(AB299-TODAY()&gt;21,VLOOKUP(C299,[1]List1!$A:$E,4,FALSE)=0),AB299,DAY(AB299)&amp;"."&amp;MONTH(AB299)&amp;"."&amp;YEAR(AB299)&amp;" "&amp;$V$4&amp;VLOOKUP(C299,[1]List1!$A:$E,4,FALSE)&amp;" "&amp;$V$1),AB299))))</f>
        <v>LETZTE 60 KTN</v>
      </c>
      <c r="AD299" s="701" t="str">
        <f ca="1">_xlfn.IFNA(VLOOKUP(C299,'General price list'!C:AM,MATCH($AD$20,'General price list'!$C$20:$AM$20,0),FALSE),"")</f>
        <v>LETZTE 60 KTN</v>
      </c>
      <c r="AE299" s="695">
        <f t="shared" ca="1" si="56"/>
        <v>0</v>
      </c>
      <c r="AF299" s="695">
        <f t="shared" ca="1" si="57"/>
        <v>0</v>
      </c>
      <c r="AG299" s="702">
        <f t="shared" ca="1" si="58"/>
        <v>0</v>
      </c>
      <c r="AH299" s="703">
        <f t="shared" ca="1" si="59"/>
        <v>0</v>
      </c>
      <c r="AI299" s="702">
        <f t="shared" ca="1" si="60"/>
        <v>0</v>
      </c>
      <c r="AJ299" s="704" t="str">
        <f t="shared" ca="1" si="61"/>
        <v/>
      </c>
      <c r="AK299" s="704">
        <f t="shared" ca="1" si="62"/>
        <v>0</v>
      </c>
      <c r="AL299" s="704" t="str">
        <f t="shared" ca="1" si="63"/>
        <v/>
      </c>
      <c r="AM299" s="705" t="str">
        <f t="shared" ca="1" si="64"/>
        <v/>
      </c>
      <c r="AN299" s="382"/>
      <c r="AO299" s="314" t="str">
        <f>IF($R$3=1,IF(Y299=AA299,"","NE"),IF(#REF!=$V$10,"NE",""))</f>
        <v/>
      </c>
      <c r="AP299" s="315">
        <f>IF(AB299=$V$3,IF(VLOOKUP(C299,[1]List1!$A:$E,5,FALSE)=0,1,VLOOKUP(C299,[1]List1!$A:$E,5,FALSE)),"")</f>
        <v>60</v>
      </c>
      <c r="AW299" s="458">
        <f>IFERROR(FIND(VLOOKUP('General price list'!$AB$7,'General price list'!$AC$1:$AD$12,2,FALSE),Q299,1),0)</f>
        <v>16</v>
      </c>
      <c r="AX299" s="458">
        <f>IFERROR(FIND(VLOOKUP('General price list'!$AB$7,'General price list'!$AC$1:$AD$12,2,FALSE),R299,1),0)</f>
        <v>0</v>
      </c>
    </row>
    <row r="300" spans="1:50" ht="15" customHeight="1">
      <c r="A300" s="672" t="str">
        <f>Kat.!C300</f>
        <v xml:space="preserve">                                          Batterien 100 schuss, 20mm Mörser-1.4G</v>
      </c>
      <c r="B300" s="678">
        <v>279</v>
      </c>
      <c r="C300" s="679"/>
      <c r="D300" s="679"/>
      <c r="E300" s="680"/>
      <c r="F300" s="681" t="str">
        <f>IFERROR(ROUND(VLOOKUP(C300,'General price list'!$C:$AN,4,FALSE),0),"")</f>
        <v/>
      </c>
      <c r="G300" s="682" t="str">
        <f t="shared" si="53"/>
        <v/>
      </c>
      <c r="H300" s="683" t="str">
        <f t="shared" si="54"/>
        <v/>
      </c>
      <c r="I300" s="836"/>
      <c r="J300" s="680"/>
      <c r="K300" s="854"/>
      <c r="L300" s="855"/>
      <c r="M300" s="680"/>
      <c r="N300" s="868" t="str">
        <f>IFERROR(IF(VLOOKUP($C300,'General price list'!$C:$AN,MATCH(N$20,'General price list'!$C$20:$AM$20,0),FALSE)=0,"",VLOOKUP($C300,'General price list'!$C:$AN,MATCH(N$20,'General price list'!$C$20:$AM$20,0),FALSE)),"")</f>
        <v/>
      </c>
      <c r="O300" s="836" t="str">
        <f>IFERROR(IF(VLOOKUP($C300,'General price list'!$C:$AN,MATCH(O$20,'General price list'!$C$20:$AM$20,0),FALSE)=0,"",VLOOKUP($C300,'General price list'!$C:$AN,MATCH(O$20,'General price list'!$C$20:$AM$20,0),FALSE)),"")</f>
        <v/>
      </c>
      <c r="P300" s="836" t="str">
        <f>IFERROR(IF(VLOOKUP($C300,'General price list'!$C:$AN,MATCH(P$20,'General price list'!$C$20:$AM$20,0),FALSE)=0,"",VLOOKUP($C300,'General price list'!$C:$AN,MATCH(P$20,'General price list'!$C$20:$AM$20,0),FALSE)),"")</f>
        <v/>
      </c>
      <c r="Q300" s="680"/>
      <c r="R300" s="680"/>
      <c r="S300" s="680"/>
      <c r="T300" s="681"/>
      <c r="U300" s="873"/>
      <c r="V300" s="684"/>
      <c r="W300" s="685" t="str">
        <f>IFERROR(VLOOKUP($C300,'General price list'!$C:$AN,MATCH(W$20,'General price list'!$C$20:$AM$20,0),FALSE),"")</f>
        <v/>
      </c>
      <c r="X300" s="889" t="str">
        <f t="shared" si="55"/>
        <v/>
      </c>
      <c r="Y300" s="890"/>
      <c r="Z300" s="685" t="str">
        <f>IFERROR(VLOOKUP($C300,'General price list'!$C:$AN,MATCH(Z$20,'General price list'!$C$20:$AM$20,0),FALSE),"")</f>
        <v/>
      </c>
      <c r="AA300" s="707"/>
      <c r="AB300" s="911" t="str">
        <f>IFERROR(IF(VLOOKUP(C300,[1]List1!$A:$D,2,FALSE)="VYPRODÁNO",$V$9,IF(VLOOKUP(C300,[1]List1!$A:$D,2,FALSE)="DOCHÁZÍ",$V$3,VLOOKUP(C300,[1]List1!$A:$D,2,FALSE))),"OFFLINE!")</f>
        <v>OFFLINE!</v>
      </c>
      <c r="AC300" s="911" t="str">
        <f ca="1">IF(AO300="NE",$V$10,IF(AB300=$V$3,IF(AP300&lt;1,$V$8,$V$2&amp;" "&amp;AP300&amp;" "&amp;$V$1),IF(AB300="SKLADEM",$V$6,IFERROR(IF(OR(AB300-TODAY()&gt;21,VLOOKUP(C300,[1]List1!$A:$E,4,FALSE)=0),AB300,DAY(AB300)&amp;"."&amp;MONTH(AB300)&amp;"."&amp;YEAR(AB300)&amp;" "&amp;$V$4&amp;VLOOKUP(C300,[1]List1!$A:$E,4,FALSE)&amp;" "&amp;$V$1),AB300))))</f>
        <v>OFFLINE!</v>
      </c>
      <c r="AD300" s="686" t="str">
        <f>_xlfn.IFNA(VLOOKUP(C300,'General price list'!C:AM,MATCH($AD$20,'General price list'!$C$20:$AM$20,0),FALSE),"")</f>
        <v/>
      </c>
      <c r="AE300" s="681" t="str">
        <f t="shared" si="56"/>
        <v/>
      </c>
      <c r="AF300" s="681" t="str">
        <f t="shared" si="57"/>
        <v/>
      </c>
      <c r="AG300" s="687" t="str">
        <f t="shared" si="58"/>
        <v/>
      </c>
      <c r="AH300" s="688" t="str">
        <f t="shared" si="59"/>
        <v/>
      </c>
      <c r="AI300" s="687" t="str">
        <f t="shared" si="60"/>
        <v/>
      </c>
      <c r="AJ300" s="689" t="str">
        <f t="shared" si="61"/>
        <v/>
      </c>
      <c r="AK300" s="689" t="str">
        <f t="shared" si="62"/>
        <v/>
      </c>
      <c r="AL300" s="689" t="str">
        <f t="shared" si="63"/>
        <v/>
      </c>
      <c r="AM300" s="690" t="str">
        <f t="shared" si="64"/>
        <v/>
      </c>
      <c r="AN300" s="382"/>
      <c r="AO300" s="314" t="str">
        <f>IF($R$3=1,IF(Y300=AA300,"","NE"),IF(#REF!=$V$10,"NE",""))</f>
        <v/>
      </c>
      <c r="AP300" s="315" t="str">
        <f>IF(AB300=$V$3,IF(VLOOKUP(C300,[1]List1!$A:$E,5,FALSE)=0,1,VLOOKUP(C300,[1]List1!$A:$E,5,FALSE)),"")</f>
        <v/>
      </c>
      <c r="AW300" s="291" t="e">
        <f>VLOOKUP(C300,'General price list'!C:AU,46,FALSE)</f>
        <v>#N/A</v>
      </c>
      <c r="AX300" s="291" t="e">
        <f>VLOOKUP(C300,'General price list'!C:AU,47,FALSE)</f>
        <v>#N/A</v>
      </c>
    </row>
    <row r="301" spans="1:50" ht="15" customHeight="1">
      <c r="A301" s="691" t="str">
        <f>Kat.!C301</f>
        <v xml:space="preserve">                                          </v>
      </c>
      <c r="B301" s="692">
        <v>280</v>
      </c>
      <c r="C301" s="693" t="s">
        <v>1136</v>
      </c>
      <c r="D301" s="693" t="s">
        <v>12568</v>
      </c>
      <c r="E301" s="694" t="s">
        <v>1003</v>
      </c>
      <c r="F301" s="695">
        <f>VLOOKUP(C301,[2]List1!$A:$D,2,FALSE)</f>
        <v>778</v>
      </c>
      <c r="G301" s="696">
        <f t="shared" si="53"/>
        <v>778</v>
      </c>
      <c r="H301" s="697">
        <f t="shared" si="54"/>
        <v>31.7</v>
      </c>
      <c r="I301" s="837">
        <v>4</v>
      </c>
      <c r="J301" s="698" t="s">
        <v>45</v>
      </c>
      <c r="K301" s="856" t="s">
        <v>12593</v>
      </c>
      <c r="L301" s="857" t="s">
        <v>13857</v>
      </c>
      <c r="M301" s="698" t="s">
        <v>25</v>
      </c>
      <c r="N301" s="869">
        <f>IFERROR(VLOOKUP(C301,[3]List1!$A:$D,4,FALSE),"N/A!")</f>
        <v>3.6414000000000002E-2</v>
      </c>
      <c r="O301" s="837">
        <f>IFERROR(VLOOKUP(C301,[3]List1!$A:$D,3,FALSE),"N/A!")</f>
        <v>2000</v>
      </c>
      <c r="P301" s="837">
        <f>IFERROR(VLOOKUP(C301,[3]List1!$A:$D,2,FALSE),"N/A!")</f>
        <v>17000</v>
      </c>
      <c r="Q301" s="698" t="s">
        <v>13767</v>
      </c>
      <c r="R301" s="698" t="s">
        <v>24</v>
      </c>
      <c r="S301" s="698"/>
      <c r="T301" s="695">
        <v>60</v>
      </c>
      <c r="U301" s="874"/>
      <c r="V301" s="699" t="str">
        <f>_xlfn.IFNA(HYPERLINK("https://www.klasekpyrotechnics.cz/c10020bp14"),"")</f>
        <v>https://www.klasekpyrotechnics.cz/c10020bp14</v>
      </c>
      <c r="W301" s="700" t="str">
        <f>IFERROR(VLOOKUP($C301,Popisy!A:P,MATCH($W$17,Popisy!$A$7:$P$7,0),FALSE),"---------------")</f>
        <v>10 verschiedenfarbige Effekte</v>
      </c>
      <c r="X301" s="891" t="str">
        <f t="shared" si="55"/>
        <v/>
      </c>
      <c r="Y301" s="892"/>
      <c r="Z301" s="700">
        <f>IFERROR(IF(VLOOKUP(C301,[4]List1!$A:$D,4,FALSE)=0,"",VLOOKUP(C301,[4]List1!$A:$D,4,FALSE)),"")</f>
        <v>24</v>
      </c>
      <c r="AA301" s="707"/>
      <c r="AB301" s="912" t="str">
        <f>IFERROR(IF(VLOOKUP(C301,[1]List1!$A:$D,2,FALSE)="VYPRODÁNO",$V$9,IF(VLOOKUP(C301,[1]List1!$A:$D,2,FALSE)="DOCHÁZÍ",$V$3,VLOOKUP(C301,[1]List1!$A:$D,2,FALSE))),"OFFLINE!")</f>
        <v>SKLADEM</v>
      </c>
      <c r="AC301" s="912" t="str">
        <f ca="1">IF(AO301="NE",$V$10,IF(AB301=$V$3,IF(AP301&lt;1,$V$8,$V$2&amp;" "&amp;AP301&amp;" "&amp;$V$1),IF(AB301="SKLADEM",$V$6,IFERROR(IF(OR(AB301-TODAY()&gt;21,VLOOKUP(C301,[1]List1!$A:$E,4,FALSE)=0),AB301,DAY(AB301)&amp;"."&amp;MONTH(AB301)&amp;"."&amp;YEAR(AB301)&amp;" "&amp;$V$4&amp;VLOOKUP(C301,[1]List1!$A:$E,4,FALSE)&amp;" "&amp;$V$1),AB301))))</f>
        <v>AUF LAGER</v>
      </c>
      <c r="AD301" s="701" t="str">
        <f ca="1">_xlfn.IFNA(VLOOKUP(C301,'General price list'!C:AM,MATCH($AD$20,'General price list'!$C$20:$AM$20,0),FALSE),"")</f>
        <v>AUF LAGER</v>
      </c>
      <c r="AE301" s="695">
        <f t="shared" ca="1" si="56"/>
        <v>0</v>
      </c>
      <c r="AF301" s="695">
        <f t="shared" ca="1" si="57"/>
        <v>0</v>
      </c>
      <c r="AG301" s="702">
        <f t="shared" ca="1" si="58"/>
        <v>0</v>
      </c>
      <c r="AH301" s="703">
        <f t="shared" ca="1" si="59"/>
        <v>0</v>
      </c>
      <c r="AI301" s="702">
        <f t="shared" ca="1" si="60"/>
        <v>0</v>
      </c>
      <c r="AJ301" s="704" t="str">
        <f t="shared" ca="1" si="61"/>
        <v/>
      </c>
      <c r="AK301" s="704" t="str">
        <f t="shared" ca="1" si="62"/>
        <v/>
      </c>
      <c r="AL301" s="704">
        <f t="shared" ca="1" si="63"/>
        <v>0</v>
      </c>
      <c r="AM301" s="705" t="str">
        <f t="shared" ca="1" si="64"/>
        <v/>
      </c>
      <c r="AN301" s="382"/>
      <c r="AO301" s="314" t="str">
        <f>IF($R$3=1,IF(Y301=AA301,"","NE"),IF(#REF!=$V$10,"NE",""))</f>
        <v/>
      </c>
      <c r="AP301" s="315" t="str">
        <f>IF(AB301=$V$3,IF(VLOOKUP(C301,[1]List1!$A:$E,5,FALSE)=0,1,VLOOKUP(C301,[1]List1!$A:$E,5,FALSE)),"")</f>
        <v/>
      </c>
      <c r="AW301" s="458">
        <f>IFERROR(FIND(VLOOKUP('General price list'!$AB$7,'General price list'!$AC$1:$AD$12,2,FALSE),Q301,1),0)</f>
        <v>13</v>
      </c>
      <c r="AX301" s="458">
        <f>IFERROR(FIND(VLOOKUP('General price list'!$AB$7,'General price list'!$AC$1:$AD$12,2,FALSE),R301,1),0)</f>
        <v>0</v>
      </c>
    </row>
    <row r="302" spans="1:50" ht="15" customHeight="1">
      <c r="A302" s="677" t="str">
        <f>Kat.!C302</f>
        <v xml:space="preserve">                                          </v>
      </c>
      <c r="B302" s="678">
        <v>281</v>
      </c>
      <c r="C302" s="679" t="s">
        <v>1138</v>
      </c>
      <c r="D302" s="679" t="s">
        <v>12569</v>
      </c>
      <c r="E302" s="680" t="s">
        <v>1003</v>
      </c>
      <c r="F302" s="681">
        <f>VLOOKUP(C302,[2]List1!$A:$D,2,FALSE)</f>
        <v>778</v>
      </c>
      <c r="G302" s="682">
        <f t="shared" si="53"/>
        <v>778</v>
      </c>
      <c r="H302" s="683">
        <f t="shared" si="54"/>
        <v>31.7</v>
      </c>
      <c r="I302" s="836">
        <v>4</v>
      </c>
      <c r="J302" s="680" t="s">
        <v>45</v>
      </c>
      <c r="K302" s="854"/>
      <c r="L302" s="855" t="s">
        <v>13828</v>
      </c>
      <c r="M302" s="680" t="s">
        <v>25</v>
      </c>
      <c r="N302" s="868">
        <f>IFERROR(VLOOKUP(C302,[3]List1!$A:$D,4,FALSE),"N/A!")</f>
        <v>3.6414000000000002E-2</v>
      </c>
      <c r="O302" s="836">
        <f>IFERROR(VLOOKUP(C302,[3]List1!$A:$D,3,FALSE),"N/A!")</f>
        <v>2000</v>
      </c>
      <c r="P302" s="836">
        <f>IFERROR(VLOOKUP(C302,[3]List1!$A:$D,2,FALSE),"N/A!")</f>
        <v>16800</v>
      </c>
      <c r="Q302" s="680" t="s">
        <v>13768</v>
      </c>
      <c r="R302" s="680" t="s">
        <v>24</v>
      </c>
      <c r="S302" s="680"/>
      <c r="T302" s="681">
        <v>60</v>
      </c>
      <c r="U302" s="873"/>
      <c r="V302" s="684" t="str">
        <f>_xlfn.IFNA(HYPERLINK("https://www.klasekpyrotechnics.cz/c10020bpf14"),"")</f>
        <v>https://www.klasekpyrotechnics.cz/c10020bpf14</v>
      </c>
      <c r="W302" s="685" t="str">
        <f>IFERROR(VLOOKUP($C302,Popisy!A:P,MATCH($W$17,Popisy!$A$7:$P$7,0),FALSE),"---------------")</f>
        <v>10 verschiedenfarbige Effekte</v>
      </c>
      <c r="X302" s="889" t="str">
        <f t="shared" si="55"/>
        <v/>
      </c>
      <c r="Y302" s="890"/>
      <c r="Z302" s="685">
        <f>IFERROR(IF(VLOOKUP(C302,[4]List1!$A:$D,4,FALSE)=0,"",VLOOKUP(C302,[4]List1!$A:$D,4,FALSE)),"")</f>
        <v>24</v>
      </c>
      <c r="AA302" s="707"/>
      <c r="AB302" s="911" t="str">
        <f>IFERROR(IF(VLOOKUP(C302,[1]List1!$A:$D,2,FALSE)="VYPRODÁNO",$V$9,IF(VLOOKUP(C302,[1]List1!$A:$D,2,FALSE)="DOCHÁZÍ",$V$3,VLOOKUP(C302,[1]List1!$A:$D,2,FALSE))),"OFFLINE!")</f>
        <v>SKLADEM</v>
      </c>
      <c r="AC302" s="911" t="str">
        <f ca="1">IF(AO302="NE",$V$10,IF(AB302=$V$3,IF(AP302&lt;1,$V$8,$V$2&amp;" "&amp;AP302&amp;" "&amp;$V$1),IF(AB302="SKLADEM",$V$6,IFERROR(IF(OR(AB302-TODAY()&gt;21,VLOOKUP(C302,[1]List1!$A:$E,4,FALSE)=0),AB302,DAY(AB302)&amp;"."&amp;MONTH(AB302)&amp;"."&amp;YEAR(AB302)&amp;" "&amp;$V$4&amp;VLOOKUP(C302,[1]List1!$A:$E,4,FALSE)&amp;" "&amp;$V$1),AB302))))</f>
        <v>AUF LAGER</v>
      </c>
      <c r="AD302" s="686" t="str">
        <f ca="1">_xlfn.IFNA(VLOOKUP(C302,'General price list'!C:AM,MATCH($AD$20,'General price list'!$C$20:$AM$20,0),FALSE),"")</f>
        <v>AUF LAGER</v>
      </c>
      <c r="AE302" s="681">
        <f t="shared" ca="1" si="56"/>
        <v>0</v>
      </c>
      <c r="AF302" s="681">
        <f t="shared" ca="1" si="57"/>
        <v>0</v>
      </c>
      <c r="AG302" s="687">
        <f t="shared" ca="1" si="58"/>
        <v>0</v>
      </c>
      <c r="AH302" s="688">
        <f t="shared" ca="1" si="59"/>
        <v>0</v>
      </c>
      <c r="AI302" s="687">
        <f t="shared" ca="1" si="60"/>
        <v>0</v>
      </c>
      <c r="AJ302" s="689" t="str">
        <f t="shared" ca="1" si="61"/>
        <v/>
      </c>
      <c r="AK302" s="689" t="str">
        <f t="shared" ca="1" si="62"/>
        <v/>
      </c>
      <c r="AL302" s="689">
        <f t="shared" ca="1" si="63"/>
        <v>0</v>
      </c>
      <c r="AM302" s="690" t="str">
        <f t="shared" ca="1" si="64"/>
        <v/>
      </c>
      <c r="AN302" s="382"/>
      <c r="AO302" s="314" t="str">
        <f>IF($R$3=1,IF(Y302=AA302,"","NE"),IF(#REF!=$V$10,"NE",""))</f>
        <v/>
      </c>
      <c r="AP302" s="315" t="str">
        <f>IF(AB302=$V$3,IF(VLOOKUP(C302,[1]List1!$A:$E,5,FALSE)=0,1,VLOOKUP(C302,[1]List1!$A:$E,5,FALSE)),"")</f>
        <v/>
      </c>
      <c r="AW302" s="458">
        <f>IFERROR(FIND(VLOOKUP('General price list'!$AB$7,'General price list'!$AC$1:$AD$12,2,FALSE),Q302,1),0)</f>
        <v>13</v>
      </c>
      <c r="AX302" s="458">
        <f>IFERROR(FIND(VLOOKUP('General price list'!$AB$7,'General price list'!$AC$1:$AD$12,2,FALSE),R302,1),0)</f>
        <v>0</v>
      </c>
    </row>
    <row r="303" spans="1:50" ht="15" customHeight="1">
      <c r="A303" s="691" t="str">
        <f>Kat.!C303</f>
        <v xml:space="preserve">                                          </v>
      </c>
      <c r="B303" s="692">
        <v>282</v>
      </c>
      <c r="C303" s="693" t="s">
        <v>4916</v>
      </c>
      <c r="D303" s="693" t="s">
        <v>12570</v>
      </c>
      <c r="E303" s="694" t="s">
        <v>1003</v>
      </c>
      <c r="F303" s="695">
        <f>VLOOKUP(C303,[2]List1!$A:$D,2,FALSE)</f>
        <v>778</v>
      </c>
      <c r="G303" s="696">
        <f t="shared" si="53"/>
        <v>778</v>
      </c>
      <c r="H303" s="697">
        <f t="shared" si="54"/>
        <v>31.7</v>
      </c>
      <c r="I303" s="837">
        <v>4</v>
      </c>
      <c r="J303" s="698" t="s">
        <v>45</v>
      </c>
      <c r="K303" s="856"/>
      <c r="L303" s="857" t="s">
        <v>13828</v>
      </c>
      <c r="M303" s="698" t="s">
        <v>25</v>
      </c>
      <c r="N303" s="869">
        <f>IFERROR(VLOOKUP(C303,[3]List1!$A:$D,4,FALSE),"N/A!")</f>
        <v>3.6414000000000002E-2</v>
      </c>
      <c r="O303" s="837">
        <f>IFERROR(VLOOKUP(C303,[3]List1!$A:$D,3,FALSE),"N/A!")</f>
        <v>2000</v>
      </c>
      <c r="P303" s="837">
        <f>IFERROR(VLOOKUP(C303,[3]List1!$A:$D,2,FALSE),"N/A!")</f>
        <v>17000</v>
      </c>
      <c r="Q303" s="698" t="s">
        <v>1137</v>
      </c>
      <c r="R303" s="698" t="s">
        <v>24</v>
      </c>
      <c r="S303" s="698"/>
      <c r="T303" s="695">
        <v>80</v>
      </c>
      <c r="U303" s="874"/>
      <c r="V303" s="699" t="str">
        <f>_xlfn.IFNA(HYPERLINK("https://www.klasekpyrotechnics.cz/c10020bps14"),"")</f>
        <v>https://www.klasekpyrotechnics.cz/c10020bps14</v>
      </c>
      <c r="W303" s="700" t="str">
        <f>IFERROR(VLOOKUP($C303,Popisy!A:P,MATCH($W$17,Popisy!$A$7:$P$7,0),FALSE),"---------------")</f>
        <v>10 verschiedenfarbige Effekte</v>
      </c>
      <c r="X303" s="891" t="str">
        <f t="shared" si="55"/>
        <v/>
      </c>
      <c r="Y303" s="892"/>
      <c r="Z303" s="700">
        <f>IFERROR(IF(VLOOKUP(C303,[4]List1!$A:$D,4,FALSE)=0,"",VLOOKUP(C303,[4]List1!$A:$D,4,FALSE)),"")</f>
        <v>24</v>
      </c>
      <c r="AA303" s="707"/>
      <c r="AB303" s="912" t="str">
        <f>IFERROR(IF(VLOOKUP(C303,[1]List1!$A:$D,2,FALSE)="VYPRODÁNO",$V$9,IF(VLOOKUP(C303,[1]List1!$A:$D,2,FALSE)="DOCHÁZÍ",$V$3,VLOOKUP(C303,[1]List1!$A:$D,2,FALSE))),"OFFLINE!")</f>
        <v>SKLADEM</v>
      </c>
      <c r="AC303" s="912" t="str">
        <f ca="1">IF(AO303="NE",$V$10,IF(AB303=$V$3,IF(AP303&lt;1,$V$8,$V$2&amp;" "&amp;AP303&amp;" "&amp;$V$1),IF(AB303="SKLADEM",$V$6,IFERROR(IF(OR(AB303-TODAY()&gt;21,VLOOKUP(C303,[1]List1!$A:$E,4,FALSE)=0),AB303,DAY(AB303)&amp;"."&amp;MONTH(AB303)&amp;"."&amp;YEAR(AB303)&amp;" "&amp;$V$4&amp;VLOOKUP(C303,[1]List1!$A:$E,4,FALSE)&amp;" "&amp;$V$1),AB303))))</f>
        <v>AUF LAGER</v>
      </c>
      <c r="AD303" s="701" t="str">
        <f ca="1">_xlfn.IFNA(VLOOKUP(C303,'General price list'!C:AM,MATCH($AD$20,'General price list'!$C$20:$AM$20,0),FALSE),"")</f>
        <v>AUF LAGER</v>
      </c>
      <c r="AE303" s="695">
        <f t="shared" ca="1" si="56"/>
        <v>0</v>
      </c>
      <c r="AF303" s="695">
        <f t="shared" ca="1" si="57"/>
        <v>0</v>
      </c>
      <c r="AG303" s="702">
        <f t="shared" ca="1" si="58"/>
        <v>0</v>
      </c>
      <c r="AH303" s="703">
        <f t="shared" ca="1" si="59"/>
        <v>0</v>
      </c>
      <c r="AI303" s="702">
        <f t="shared" ca="1" si="60"/>
        <v>0</v>
      </c>
      <c r="AJ303" s="704" t="str">
        <f t="shared" ca="1" si="61"/>
        <v/>
      </c>
      <c r="AK303" s="704" t="str">
        <f t="shared" ca="1" si="62"/>
        <v/>
      </c>
      <c r="AL303" s="704">
        <f t="shared" ca="1" si="63"/>
        <v>0</v>
      </c>
      <c r="AM303" s="705" t="str">
        <f t="shared" ca="1" si="64"/>
        <v/>
      </c>
      <c r="AN303" s="382"/>
      <c r="AO303" s="314" t="str">
        <f>IF($R$3=1,IF(Y303=AA303,"","NE"),IF(#REF!=$V$10,"NE",""))</f>
        <v/>
      </c>
      <c r="AP303" s="292" t="str">
        <f>IF(AB303=$V$3,IF(VLOOKUP(C303,[1]List1!$A:$E,5,FALSE)=0,1,VLOOKUP(C303,[1]List1!$A:$E,5,FALSE)),"")</f>
        <v/>
      </c>
      <c r="AW303" s="458">
        <f>IFERROR(FIND(VLOOKUP('General price list'!$AB$7,'General price list'!$AC$1:$AD$12,2,FALSE),Q303,1),0)</f>
        <v>10</v>
      </c>
      <c r="AX303" s="458">
        <f>IFERROR(FIND(VLOOKUP('General price list'!$AB$7,'General price list'!$AC$1:$AD$12,2,FALSE),R303,1),0)</f>
        <v>0</v>
      </c>
    </row>
    <row r="304" spans="1:50" ht="15" customHeight="1">
      <c r="A304" s="677" t="str">
        <f>Kat.!C304</f>
        <v xml:space="preserve">                                          </v>
      </c>
      <c r="B304" s="678">
        <v>283</v>
      </c>
      <c r="C304" s="679" t="s">
        <v>1139</v>
      </c>
      <c r="D304" s="679" t="s">
        <v>12571</v>
      </c>
      <c r="E304" s="680" t="s">
        <v>1003</v>
      </c>
      <c r="F304" s="681">
        <f>VLOOKUP(C304,[2]List1!$A:$D,2,FALSE)</f>
        <v>797</v>
      </c>
      <c r="G304" s="682">
        <f t="shared" si="53"/>
        <v>797</v>
      </c>
      <c r="H304" s="683">
        <f t="shared" si="54"/>
        <v>32.4</v>
      </c>
      <c r="I304" s="836">
        <v>4</v>
      </c>
      <c r="J304" s="680" t="s">
        <v>45</v>
      </c>
      <c r="K304" s="854"/>
      <c r="L304" s="855" t="s">
        <v>13828</v>
      </c>
      <c r="M304" s="680" t="s">
        <v>25</v>
      </c>
      <c r="N304" s="868">
        <f>IFERROR(VLOOKUP(C304,[3]List1!$A:$D,4,FALSE),"N/A!")</f>
        <v>3.6414000000000002E-2</v>
      </c>
      <c r="O304" s="836">
        <f>IFERROR(VLOOKUP(C304,[3]List1!$A:$D,3,FALSE),"N/A!")</f>
        <v>2000</v>
      </c>
      <c r="P304" s="836">
        <f>IFERROR(VLOOKUP(C304,[3]List1!$A:$D,2,FALSE),"N/A!")</f>
        <v>16800</v>
      </c>
      <c r="Q304" s="680" t="s">
        <v>1137</v>
      </c>
      <c r="R304" s="680" t="s">
        <v>24</v>
      </c>
      <c r="S304" s="680"/>
      <c r="T304" s="681">
        <v>60</v>
      </c>
      <c r="U304" s="873"/>
      <c r="V304" s="684" t="str">
        <f>_xlfn.IFNA(HYPERLINK("https://www.klasekpyrotechnics.cz/c10020nid14"),"")</f>
        <v>https://www.klasekpyrotechnics.cz/c10020nid14</v>
      </c>
      <c r="W304" s="685" t="str">
        <f>IFERROR(VLOOKUP($C304,Popisy!A:P,MATCH($W$17,Popisy!$A$7:$P$7,0),FALSE),"---------------")</f>
        <v>10 verschiedenfarbige Effekte</v>
      </c>
      <c r="X304" s="889" t="str">
        <f t="shared" si="55"/>
        <v/>
      </c>
      <c r="Y304" s="890"/>
      <c r="Z304" s="685">
        <f>IFERROR(IF(VLOOKUP(C304,[4]List1!$A:$D,4,FALSE)=0,"",VLOOKUP(C304,[4]List1!$A:$D,4,FALSE)),"")</f>
        <v>24</v>
      </c>
      <c r="AA304" s="707"/>
      <c r="AB304" s="911" t="str">
        <f>IFERROR(IF(VLOOKUP(C304,[1]List1!$A:$D,2,FALSE)="VYPRODÁNO",$V$9,IF(VLOOKUP(C304,[1]List1!$A:$D,2,FALSE)="DOCHÁZÍ",$V$3,VLOOKUP(C304,[1]List1!$A:$D,2,FALSE))),"OFFLINE!")</f>
        <v>30.09.2024</v>
      </c>
      <c r="AC304" s="911" t="str">
        <f ca="1">IF(AO304="NE",$V$10,IF(AB304=$V$3,IF(AP304&lt;1,$V$8,$V$2&amp;" "&amp;AP304&amp;" "&amp;$V$1),IF(AB304="SKLADEM",$V$6,IFERROR(IF(OR(AB304-TODAY()&gt;21,VLOOKUP(C304,[1]List1!$A:$E,4,FALSE)=0),AB304,DAY(AB304)&amp;"."&amp;MONTH(AB304)&amp;"."&amp;YEAR(AB304)&amp;" "&amp;$V$4&amp;VLOOKUP(C304,[1]List1!$A:$E,4,FALSE)&amp;" "&amp;$V$1),AB304))))</f>
        <v>30.09.2024</v>
      </c>
      <c r="AD304" s="686" t="str">
        <f ca="1">_xlfn.IFNA(VLOOKUP(C304,'General price list'!C:AM,MATCH($AD$20,'General price list'!$C$20:$AM$20,0),FALSE),"")</f>
        <v>30.09.2024</v>
      </c>
      <c r="AE304" s="681">
        <f t="shared" ca="1" si="56"/>
        <v>0</v>
      </c>
      <c r="AF304" s="681">
        <f t="shared" ca="1" si="57"/>
        <v>0</v>
      </c>
      <c r="AG304" s="687">
        <f t="shared" ca="1" si="58"/>
        <v>0</v>
      </c>
      <c r="AH304" s="688">
        <f t="shared" ca="1" si="59"/>
        <v>0</v>
      </c>
      <c r="AI304" s="687">
        <f t="shared" ca="1" si="60"/>
        <v>0</v>
      </c>
      <c r="AJ304" s="689" t="str">
        <f t="shared" ca="1" si="61"/>
        <v/>
      </c>
      <c r="AK304" s="689" t="str">
        <f t="shared" ca="1" si="62"/>
        <v/>
      </c>
      <c r="AL304" s="689">
        <f t="shared" ca="1" si="63"/>
        <v>0</v>
      </c>
      <c r="AM304" s="690" t="str">
        <f t="shared" ca="1" si="64"/>
        <v/>
      </c>
      <c r="AN304" s="313"/>
      <c r="AO304" s="314" t="str">
        <f>IF($R$3=1,IF(Y304=AA304,"","NE"),IF(#REF!=$V$10,"NE",""))</f>
        <v/>
      </c>
      <c r="AP304" s="315" t="str">
        <f>IF(AB304=$V$3,IF(VLOOKUP(C304,[1]List1!$A:$E,5,FALSE)=0,1,VLOOKUP(C304,[1]List1!$A:$E,5,FALSE)),"")</f>
        <v/>
      </c>
      <c r="AW304" s="458">
        <f>IFERROR(FIND(VLOOKUP('General price list'!$AB$7,'General price list'!$AC$1:$AD$12,2,FALSE),Q304,1),0)</f>
        <v>10</v>
      </c>
      <c r="AX304" s="458">
        <f>IFERROR(FIND(VLOOKUP('General price list'!$AB$7,'General price list'!$AC$1:$AD$12,2,FALSE),R304,1),0)</f>
        <v>0</v>
      </c>
    </row>
    <row r="305" spans="1:50" ht="15" customHeight="1">
      <c r="A305" s="672" t="str">
        <f>Kat.!C305</f>
        <v xml:space="preserve">                                          Batterien 100 schuss, 20mm Mörser(alle Richtungen)-1.4G</v>
      </c>
      <c r="B305" s="692">
        <v>284</v>
      </c>
      <c r="C305" s="693"/>
      <c r="D305" s="693"/>
      <c r="E305" s="694"/>
      <c r="F305" s="695" t="str">
        <f>IFERROR(ROUND(VLOOKUP(C305,'General price list'!$C:$AN,4,FALSE),0),"")</f>
        <v/>
      </c>
      <c r="G305" s="696" t="str">
        <f t="shared" si="53"/>
        <v/>
      </c>
      <c r="H305" s="697" t="str">
        <f t="shared" si="54"/>
        <v/>
      </c>
      <c r="I305" s="837"/>
      <c r="J305" s="698"/>
      <c r="K305" s="856"/>
      <c r="L305" s="857"/>
      <c r="M305" s="698"/>
      <c r="N305" s="869" t="str">
        <f>IFERROR(IF(VLOOKUP($C305,'General price list'!$C:$AN,MATCH(N$20,'General price list'!$C$20:$AM$20,0),FALSE)=0,"",VLOOKUP($C305,'General price list'!$C:$AN,MATCH(N$20,'General price list'!$C$20:$AM$20,0),FALSE)),"")</f>
        <v/>
      </c>
      <c r="O305" s="837" t="str">
        <f>IFERROR(IF(VLOOKUP($C305,'General price list'!$C:$AN,MATCH(O$20,'General price list'!$C$20:$AM$20,0),FALSE)=0,"",VLOOKUP($C305,'General price list'!$C:$AN,MATCH(O$20,'General price list'!$C$20:$AM$20,0),FALSE)),"")</f>
        <v/>
      </c>
      <c r="P305" s="837" t="str">
        <f>IFERROR(IF(VLOOKUP($C305,'General price list'!$C:$AN,MATCH(P$20,'General price list'!$C$20:$AM$20,0),FALSE)=0,"",VLOOKUP($C305,'General price list'!$C:$AN,MATCH(P$20,'General price list'!$C$20:$AM$20,0),FALSE)),"")</f>
        <v/>
      </c>
      <c r="Q305" s="698"/>
      <c r="R305" s="698"/>
      <c r="S305" s="698"/>
      <c r="T305" s="695"/>
      <c r="U305" s="874"/>
      <c r="V305" s="699"/>
      <c r="W305" s="700" t="str">
        <f>IFERROR(VLOOKUP($C305,'General price list'!$C:$AN,MATCH(W$20,'General price list'!$C$20:$AM$20,0),FALSE),"")</f>
        <v/>
      </c>
      <c r="X305" s="891" t="str">
        <f t="shared" si="55"/>
        <v/>
      </c>
      <c r="Y305" s="892"/>
      <c r="Z305" s="700" t="str">
        <f>IFERROR(VLOOKUP($C305,'General price list'!$C:$AN,MATCH(Z$20,'General price list'!$C$20:$AM$20,0),FALSE),"")</f>
        <v/>
      </c>
      <c r="AA305" s="707"/>
      <c r="AB305" s="912" t="str">
        <f>IFERROR(IF(VLOOKUP(C305,[1]List1!$A:$D,2,FALSE)="VYPRODÁNO",$V$9,IF(VLOOKUP(C305,[1]List1!$A:$D,2,FALSE)="DOCHÁZÍ",$V$3,VLOOKUP(C305,[1]List1!$A:$D,2,FALSE))),"OFFLINE!")</f>
        <v>OFFLINE!</v>
      </c>
      <c r="AC305" s="912" t="str">
        <f ca="1">IF(AO305="NE",$V$10,IF(AB305=$V$3,IF(AP305&lt;1,$V$8,$V$2&amp;" "&amp;AP305&amp;" "&amp;$V$1),IF(AB305="SKLADEM",$V$6,IFERROR(IF(OR(AB305-TODAY()&gt;21,VLOOKUP(C305,[1]List1!$A:$E,4,FALSE)=0),AB305,DAY(AB305)&amp;"."&amp;MONTH(AB305)&amp;"."&amp;YEAR(AB305)&amp;" "&amp;$V$4&amp;VLOOKUP(C305,[1]List1!$A:$E,4,FALSE)&amp;" "&amp;$V$1),AB305))))</f>
        <v>OFFLINE!</v>
      </c>
      <c r="AD305" s="701" t="str">
        <f>_xlfn.IFNA(VLOOKUP(C305,'General price list'!C:AM,MATCH($AD$20,'General price list'!$C$20:$AM$20,0),FALSE),"")</f>
        <v/>
      </c>
      <c r="AE305" s="695" t="str">
        <f t="shared" si="56"/>
        <v/>
      </c>
      <c r="AF305" s="695" t="str">
        <f t="shared" si="57"/>
        <v/>
      </c>
      <c r="AG305" s="702" t="str">
        <f t="shared" si="58"/>
        <v/>
      </c>
      <c r="AH305" s="703" t="str">
        <f t="shared" si="59"/>
        <v/>
      </c>
      <c r="AI305" s="702" t="str">
        <f t="shared" si="60"/>
        <v/>
      </c>
      <c r="AJ305" s="704" t="str">
        <f t="shared" si="61"/>
        <v/>
      </c>
      <c r="AK305" s="704" t="str">
        <f t="shared" si="62"/>
        <v/>
      </c>
      <c r="AL305" s="704" t="str">
        <f t="shared" si="63"/>
        <v/>
      </c>
      <c r="AM305" s="705" t="str">
        <f t="shared" si="64"/>
        <v/>
      </c>
      <c r="AN305" s="313"/>
      <c r="AO305" s="314" t="str">
        <f>IF($R$3=1,IF(Y305=AA305,"","NE"),IF(#REF!=$V$10,"NE",""))</f>
        <v/>
      </c>
      <c r="AP305" s="315" t="str">
        <f>IF(AB305=$V$3,IF(VLOOKUP(C305,[1]List1!$A:$E,5,FALSE)=0,1,VLOOKUP(C305,[1]List1!$A:$E,5,FALSE)),"")</f>
        <v/>
      </c>
      <c r="AW305" s="291" t="e">
        <f>VLOOKUP(C305,'General price list'!C:AU,46,FALSE)</f>
        <v>#N/A</v>
      </c>
      <c r="AX305" s="291" t="e">
        <f>VLOOKUP(C305,'General price list'!C:AU,47,FALSE)</f>
        <v>#N/A</v>
      </c>
    </row>
    <row r="306" spans="1:50" ht="15" customHeight="1">
      <c r="A306" s="677" t="str">
        <f>Kat.!C306</f>
        <v>×</v>
      </c>
      <c r="B306" s="678">
        <v>285</v>
      </c>
      <c r="C306" s="679" t="s">
        <v>2340</v>
      </c>
      <c r="D306" s="679" t="s">
        <v>12572</v>
      </c>
      <c r="E306" s="680" t="s">
        <v>1003</v>
      </c>
      <c r="F306" s="681">
        <f>VLOOKUP(C306,[2]List1!$A:$D,2,FALSE)</f>
        <v>915</v>
      </c>
      <c r="G306" s="682">
        <f t="shared" si="53"/>
        <v>915</v>
      </c>
      <c r="H306" s="683">
        <f t="shared" si="54"/>
        <v>37.200000000000003</v>
      </c>
      <c r="I306" s="836">
        <v>4</v>
      </c>
      <c r="J306" s="680" t="s">
        <v>45</v>
      </c>
      <c r="K306" s="854" t="s">
        <v>12594</v>
      </c>
      <c r="L306" s="855" t="s">
        <v>13858</v>
      </c>
      <c r="M306" s="680" t="s">
        <v>25</v>
      </c>
      <c r="N306" s="868">
        <f>IFERROR(VLOOKUP(C306,[3]List1!$A:$D,4,FALSE),"N/A!")</f>
        <v>4.9492124999999998E-2</v>
      </c>
      <c r="O306" s="836">
        <f>IFERROR(VLOOKUP(C306,[3]List1!$A:$D,3,FALSE),"N/A!")</f>
        <v>2000</v>
      </c>
      <c r="P306" s="836">
        <f>IFERROR(VLOOKUP(C306,[3]List1!$A:$D,2,FALSE),"N/A!")</f>
        <v>18000</v>
      </c>
      <c r="Q306" s="680" t="s">
        <v>13769</v>
      </c>
      <c r="R306" s="680" t="s">
        <v>24</v>
      </c>
      <c r="S306" s="680"/>
      <c r="T306" s="681">
        <v>60</v>
      </c>
      <c r="U306" s="873"/>
      <c r="V306" s="684" t="str">
        <f>_xlfn.IFNA(HYPERLINK("https://www.klasekpyrotechnics.cz/c10020xbpw14"),"")</f>
        <v>https://www.klasekpyrotechnics.cz/c10020xbpw14</v>
      </c>
      <c r="W306" s="685" t="str">
        <f>IFERROR(VLOOKUP($C306,Popisy!A:P,MATCH($W$17,Popisy!$A$7:$P$7,0),FALSE),"---------------")</f>
        <v>10 verschiedenfarbige Effekte</v>
      </c>
      <c r="X306" s="889" t="str">
        <f t="shared" si="55"/>
        <v/>
      </c>
      <c r="Y306" s="890"/>
      <c r="Z306" s="685">
        <f>IFERROR(IF(VLOOKUP(C306,[4]List1!$A:$D,4,FALSE)=0,"",VLOOKUP(C306,[4]List1!$A:$D,4,FALSE)),"")</f>
        <v>22</v>
      </c>
      <c r="AA306" s="707"/>
      <c r="AB306" s="911" t="str">
        <f>IFERROR(IF(VLOOKUP(C306,[1]List1!$A:$D,2,FALSE)="VYPRODÁNO",$V$9,IF(VLOOKUP(C306,[1]List1!$A:$D,2,FALSE)="DOCHÁZÍ",$V$3,VLOOKUP(C306,[1]List1!$A:$D,2,FALSE))),"OFFLINE!")</f>
        <v>SKLADEM</v>
      </c>
      <c r="AC306" s="911" t="str">
        <f ca="1">IF(AO306="NE",$V$10,IF(AB306=$V$3,IF(AP306&lt;1,$V$8,$V$2&amp;" "&amp;AP306&amp;" "&amp;$V$1),IF(AB306="SKLADEM",$V$6,IFERROR(IF(OR(AB306-TODAY()&gt;21,VLOOKUP(C306,[1]List1!$A:$E,4,FALSE)=0),AB306,DAY(AB306)&amp;"."&amp;MONTH(AB306)&amp;"."&amp;YEAR(AB306)&amp;" "&amp;$V$4&amp;VLOOKUP(C306,[1]List1!$A:$E,4,FALSE)&amp;" "&amp;$V$1),AB306))))</f>
        <v>AUF LAGER</v>
      </c>
      <c r="AD306" s="686" t="str">
        <f ca="1">_xlfn.IFNA(VLOOKUP(C306,'General price list'!C:AM,MATCH($AD$20,'General price list'!$C$20:$AM$20,0),FALSE),"")</f>
        <v>AUF LAGER</v>
      </c>
      <c r="AE306" s="681">
        <f t="shared" ca="1" si="56"/>
        <v>0</v>
      </c>
      <c r="AF306" s="681">
        <f t="shared" ca="1" si="57"/>
        <v>0</v>
      </c>
      <c r="AG306" s="687">
        <f t="shared" ca="1" si="58"/>
        <v>0</v>
      </c>
      <c r="AH306" s="688">
        <f t="shared" ca="1" si="59"/>
        <v>0</v>
      </c>
      <c r="AI306" s="687">
        <f t="shared" ca="1" si="60"/>
        <v>0</v>
      </c>
      <c r="AJ306" s="689" t="str">
        <f t="shared" ca="1" si="61"/>
        <v/>
      </c>
      <c r="AK306" s="689" t="str">
        <f t="shared" ca="1" si="62"/>
        <v/>
      </c>
      <c r="AL306" s="689">
        <f t="shared" ca="1" si="63"/>
        <v>0</v>
      </c>
      <c r="AM306" s="690" t="str">
        <f t="shared" ca="1" si="64"/>
        <v/>
      </c>
      <c r="AN306" s="381"/>
      <c r="AO306" s="314" t="str">
        <f>IF($R$3=1,IF(Y306=AA306,"","NE"),IF(#REF!=$V$10,"NE",""))</f>
        <v/>
      </c>
      <c r="AP306" s="315" t="str">
        <f>IF(AB306=$V$3,IF(VLOOKUP(C306,[1]List1!$A:$E,5,FALSE)=0,1,VLOOKUP(C306,[1]List1!$A:$E,5,FALSE)),"")</f>
        <v/>
      </c>
      <c r="AW306" s="458">
        <f>IFERROR(FIND(VLOOKUP('General price list'!$AB$7,'General price list'!$AC$1:$AD$12,2,FALSE),Q306,1),0)</f>
        <v>10</v>
      </c>
      <c r="AX306" s="458">
        <f>IFERROR(FIND(VLOOKUP('General price list'!$AB$7,'General price list'!$AC$1:$AD$12,2,FALSE),R306,1),0)</f>
        <v>0</v>
      </c>
    </row>
    <row r="307" spans="1:50" ht="15" customHeight="1">
      <c r="A307" s="691" t="str">
        <f>Kat.!C307</f>
        <v xml:space="preserve">                                          </v>
      </c>
      <c r="B307" s="692">
        <v>286</v>
      </c>
      <c r="C307" s="693" t="s">
        <v>2341</v>
      </c>
      <c r="D307" s="693" t="s">
        <v>12573</v>
      </c>
      <c r="E307" s="694" t="s">
        <v>1003</v>
      </c>
      <c r="F307" s="695">
        <f>VLOOKUP(C307,[2]List1!$A:$D,2,FALSE)</f>
        <v>915</v>
      </c>
      <c r="G307" s="696">
        <f t="shared" si="53"/>
        <v>915</v>
      </c>
      <c r="H307" s="697">
        <f t="shared" si="54"/>
        <v>37.200000000000003</v>
      </c>
      <c r="I307" s="837">
        <v>4</v>
      </c>
      <c r="J307" s="698" t="s">
        <v>45</v>
      </c>
      <c r="K307" s="856" t="s">
        <v>12594</v>
      </c>
      <c r="L307" s="857" t="s">
        <v>13858</v>
      </c>
      <c r="M307" s="698" t="s">
        <v>25</v>
      </c>
      <c r="N307" s="869">
        <f>IFERROR(VLOOKUP(C307,[3]List1!$A:$D,4,FALSE),"N/A!")</f>
        <v>4.9492124999999998E-2</v>
      </c>
      <c r="O307" s="837">
        <f>IFERROR(VLOOKUP(C307,[3]List1!$A:$D,3,FALSE),"N/A!")</f>
        <v>2000</v>
      </c>
      <c r="P307" s="837">
        <f>IFERROR(VLOOKUP(C307,[3]List1!$A:$D,2,FALSE),"N/A!")</f>
        <v>18000</v>
      </c>
      <c r="Q307" s="698" t="s">
        <v>13769</v>
      </c>
      <c r="R307" s="698" t="s">
        <v>24</v>
      </c>
      <c r="S307" s="698"/>
      <c r="T307" s="695">
        <v>60</v>
      </c>
      <c r="U307" s="874"/>
      <c r="V307" s="699" t="str">
        <f>_xlfn.IFNA(HYPERLINK("https://www.klasekpyrotechnics.cz/c10020xbp14"),"")</f>
        <v>https://www.klasekpyrotechnics.cz/c10020xbp14</v>
      </c>
      <c r="W307" s="700" t="str">
        <f>IFERROR(VLOOKUP($C307,Popisy!A:P,MATCH($W$17,Popisy!$A$7:$P$7,0),FALSE),"---------------")</f>
        <v>10 verschiedenfarbige Effekte</v>
      </c>
      <c r="X307" s="891" t="str">
        <f t="shared" si="55"/>
        <v/>
      </c>
      <c r="Y307" s="892"/>
      <c r="Z307" s="700">
        <f>IFERROR(IF(VLOOKUP(C307,[4]List1!$A:$D,4,FALSE)=0,"",VLOOKUP(C307,[4]List1!$A:$D,4,FALSE)),"")</f>
        <v>22</v>
      </c>
      <c r="AA307" s="707"/>
      <c r="AB307" s="912" t="str">
        <f>IFERROR(IF(VLOOKUP(C307,[1]List1!$A:$D,2,FALSE)="VYPRODÁNO",$V$9,IF(VLOOKUP(C307,[1]List1!$A:$D,2,FALSE)="DOCHÁZÍ",$V$3,VLOOKUP(C307,[1]List1!$A:$D,2,FALSE))),"OFFLINE!")</f>
        <v>SKLADEM</v>
      </c>
      <c r="AC307" s="912" t="str">
        <f ca="1">IF(AO307="NE",$V$10,IF(AB307=$V$3,IF(AP307&lt;1,$V$8,$V$2&amp;" "&amp;AP307&amp;" "&amp;$V$1),IF(AB307="SKLADEM",$V$6,IFERROR(IF(OR(AB307-TODAY()&gt;21,VLOOKUP(C307,[1]List1!$A:$E,4,FALSE)=0),AB307,DAY(AB307)&amp;"."&amp;MONTH(AB307)&amp;"."&amp;YEAR(AB307)&amp;" "&amp;$V$4&amp;VLOOKUP(C307,[1]List1!$A:$E,4,FALSE)&amp;" "&amp;$V$1),AB307))))</f>
        <v>AUF LAGER</v>
      </c>
      <c r="AD307" s="701" t="str">
        <f ca="1">_xlfn.IFNA(VLOOKUP(C307,'General price list'!C:AM,MATCH($AD$20,'General price list'!$C$20:$AM$20,0),FALSE),"")</f>
        <v>AUF LAGER</v>
      </c>
      <c r="AE307" s="695">
        <f t="shared" ca="1" si="56"/>
        <v>0</v>
      </c>
      <c r="AF307" s="695">
        <f t="shared" ca="1" si="57"/>
        <v>0</v>
      </c>
      <c r="AG307" s="702">
        <f t="shared" ca="1" si="58"/>
        <v>0</v>
      </c>
      <c r="AH307" s="703">
        <f t="shared" ca="1" si="59"/>
        <v>0</v>
      </c>
      <c r="AI307" s="702">
        <f t="shared" ca="1" si="60"/>
        <v>0</v>
      </c>
      <c r="AJ307" s="704" t="str">
        <f t="shared" ca="1" si="61"/>
        <v/>
      </c>
      <c r="AK307" s="704" t="str">
        <f t="shared" ca="1" si="62"/>
        <v/>
      </c>
      <c r="AL307" s="704">
        <f t="shared" ca="1" si="63"/>
        <v>0</v>
      </c>
      <c r="AM307" s="705" t="str">
        <f t="shared" ca="1" si="64"/>
        <v/>
      </c>
      <c r="AN307" s="382"/>
      <c r="AO307" s="314" t="str">
        <f>IF($R$3=1,IF(Y307=AA307,"","NE"),IF(#REF!=$V$10,"NE",""))</f>
        <v/>
      </c>
      <c r="AP307" s="315" t="str">
        <f>IF(AB307=$V$3,IF(VLOOKUP(C307,[1]List1!$A:$E,5,FALSE)=0,1,VLOOKUP(C307,[1]List1!$A:$E,5,FALSE)),"")</f>
        <v/>
      </c>
      <c r="AW307" s="458">
        <f>IFERROR(FIND(VLOOKUP('General price list'!$AB$7,'General price list'!$AC$1:$AD$12,2,FALSE),Q307,1),0)</f>
        <v>10</v>
      </c>
      <c r="AX307" s="458">
        <f>IFERROR(FIND(VLOOKUP('General price list'!$AB$7,'General price list'!$AC$1:$AD$12,2,FALSE),R307,1),0)</f>
        <v>0</v>
      </c>
    </row>
    <row r="308" spans="1:50" ht="15" customHeight="1">
      <c r="A308" s="677" t="str">
        <f>Kat.!C308</f>
        <v xml:space="preserve">                                          </v>
      </c>
      <c r="B308" s="678">
        <v>287</v>
      </c>
      <c r="C308" s="679" t="s">
        <v>4918</v>
      </c>
      <c r="D308" s="679" t="s">
        <v>4919</v>
      </c>
      <c r="E308" s="680" t="s">
        <v>1003</v>
      </c>
      <c r="F308" s="681">
        <f>VLOOKUP(C308,[2]List1!$A:$D,2,FALSE)</f>
        <v>926</v>
      </c>
      <c r="G308" s="682">
        <f t="shared" si="53"/>
        <v>926</v>
      </c>
      <c r="H308" s="683">
        <f t="shared" si="54"/>
        <v>37.700000000000003</v>
      </c>
      <c r="I308" s="836">
        <v>4</v>
      </c>
      <c r="J308" s="680" t="s">
        <v>45</v>
      </c>
      <c r="K308" s="854" t="s">
        <v>12594</v>
      </c>
      <c r="L308" s="855" t="s">
        <v>13858</v>
      </c>
      <c r="M308" s="680" t="s">
        <v>25</v>
      </c>
      <c r="N308" s="868">
        <f>IFERROR(VLOOKUP(C308,[3]List1!$A:$D,4,FALSE),"N/A!")</f>
        <v>5.6318625000000011E-2</v>
      </c>
      <c r="O308" s="836">
        <f>IFERROR(VLOOKUP(C308,[3]List1!$A:$D,3,FALSE),"N/A!")</f>
        <v>2000</v>
      </c>
      <c r="P308" s="836">
        <f>IFERROR(VLOOKUP(C308,[3]List1!$A:$D,2,FALSE),"N/A!")</f>
        <v>18000</v>
      </c>
      <c r="Q308" s="680" t="s">
        <v>13769</v>
      </c>
      <c r="R308" s="680" t="s">
        <v>24</v>
      </c>
      <c r="S308" s="680"/>
      <c r="T308" s="681">
        <v>40</v>
      </c>
      <c r="U308" s="873"/>
      <c r="V308" s="684" t="str">
        <f>_xlfn.IFNA(HYPERLINK("https://www.klasekpyrotechnics.cz/c10020xts14"),"")</f>
        <v>https://www.klasekpyrotechnics.cz/c10020xts14</v>
      </c>
      <c r="W308" s="685" t="str">
        <f>IFERROR(VLOOKUP($C308,Popisy!A:P,MATCH($W$17,Popisy!$A$7:$P$7,0),FALSE),"---------------")</f>
        <v>10 verschiedenfarbige Effekte</v>
      </c>
      <c r="X308" s="889" t="str">
        <f t="shared" si="55"/>
        <v/>
      </c>
      <c r="Y308" s="890"/>
      <c r="Z308" s="685">
        <f>IFERROR(IF(VLOOKUP(C308,[4]List1!$A:$D,4,FALSE)=0,"",VLOOKUP(C308,[4]List1!$A:$D,4,FALSE)),"")</f>
        <v>22</v>
      </c>
      <c r="AA308" s="707"/>
      <c r="AB308" s="911" t="str">
        <f>IFERROR(IF(VLOOKUP(C308,[1]List1!$A:$D,2,FALSE)="VYPRODÁNO",$V$9,IF(VLOOKUP(C308,[1]List1!$A:$D,2,FALSE)="DOCHÁZÍ",$V$3,VLOOKUP(C308,[1]List1!$A:$D,2,FALSE))),"OFFLINE!")</f>
        <v>SKLADEM</v>
      </c>
      <c r="AC308" s="911" t="str">
        <f ca="1">IF(AO308="NE",$V$10,IF(AB308=$V$3,IF(AP308&lt;1,$V$8,$V$2&amp;" "&amp;AP308&amp;" "&amp;$V$1),IF(AB308="SKLADEM",$V$6,IFERROR(IF(OR(AB308-TODAY()&gt;21,VLOOKUP(C308,[1]List1!$A:$E,4,FALSE)=0),AB308,DAY(AB308)&amp;"."&amp;MONTH(AB308)&amp;"."&amp;YEAR(AB308)&amp;" "&amp;$V$4&amp;VLOOKUP(C308,[1]List1!$A:$E,4,FALSE)&amp;" "&amp;$V$1),AB308))))</f>
        <v>AUF LAGER</v>
      </c>
      <c r="AD308" s="686" t="str">
        <f ca="1">_xlfn.IFNA(VLOOKUP(C308,'General price list'!C:AM,MATCH($AD$20,'General price list'!$C$20:$AM$20,0),FALSE),"")</f>
        <v>AUF LAGER</v>
      </c>
      <c r="AE308" s="681">
        <f t="shared" ca="1" si="56"/>
        <v>0</v>
      </c>
      <c r="AF308" s="681">
        <f t="shared" ca="1" si="57"/>
        <v>0</v>
      </c>
      <c r="AG308" s="687">
        <f t="shared" ca="1" si="58"/>
        <v>0</v>
      </c>
      <c r="AH308" s="688">
        <f t="shared" ca="1" si="59"/>
        <v>0</v>
      </c>
      <c r="AI308" s="687">
        <f t="shared" ca="1" si="60"/>
        <v>0</v>
      </c>
      <c r="AJ308" s="689" t="str">
        <f t="shared" ca="1" si="61"/>
        <v/>
      </c>
      <c r="AK308" s="689" t="str">
        <f t="shared" ca="1" si="62"/>
        <v/>
      </c>
      <c r="AL308" s="689">
        <f t="shared" ca="1" si="63"/>
        <v>0</v>
      </c>
      <c r="AM308" s="690" t="str">
        <f t="shared" ca="1" si="64"/>
        <v/>
      </c>
      <c r="AN308" s="382"/>
      <c r="AO308" s="314" t="str">
        <f>IF($R$3=1,IF(Y308=AA308,"","NE"),IF(#REF!=$V$10,"NE",""))</f>
        <v/>
      </c>
      <c r="AP308" s="315" t="str">
        <f>IF(AB308=$V$3,IF(VLOOKUP(C308,[1]List1!$A:$E,5,FALSE)=0,1,VLOOKUP(C308,[1]List1!$A:$E,5,FALSE)),"")</f>
        <v/>
      </c>
      <c r="AW308" s="458">
        <f>IFERROR(FIND(VLOOKUP('General price list'!$AB$7,'General price list'!$AC$1:$AD$12,2,FALSE),Q308,1),0)</f>
        <v>10</v>
      </c>
      <c r="AX308" s="458">
        <f>IFERROR(FIND(VLOOKUP('General price list'!$AB$7,'General price list'!$AC$1:$AD$12,2,FALSE),R308,1),0)</f>
        <v>0</v>
      </c>
    </row>
    <row r="309" spans="1:50" ht="15" customHeight="1">
      <c r="A309" s="691" t="str">
        <f>Kat.!C309</f>
        <v xml:space="preserve">                                          </v>
      </c>
      <c r="B309" s="692">
        <v>288</v>
      </c>
      <c r="C309" s="693" t="s">
        <v>2342</v>
      </c>
      <c r="D309" s="693" t="s">
        <v>12574</v>
      </c>
      <c r="E309" s="694" t="s">
        <v>1003</v>
      </c>
      <c r="F309" s="695">
        <f>VLOOKUP(C309,[2]List1!$A:$D,2,FALSE)</f>
        <v>926</v>
      </c>
      <c r="G309" s="696">
        <f t="shared" si="53"/>
        <v>926</v>
      </c>
      <c r="H309" s="697">
        <f t="shared" si="54"/>
        <v>37.700000000000003</v>
      </c>
      <c r="I309" s="837">
        <v>4</v>
      </c>
      <c r="J309" s="698" t="s">
        <v>45</v>
      </c>
      <c r="K309" s="856" t="s">
        <v>12594</v>
      </c>
      <c r="L309" s="857" t="s">
        <v>13858</v>
      </c>
      <c r="M309" s="698" t="s">
        <v>25</v>
      </c>
      <c r="N309" s="869">
        <f>IFERROR(VLOOKUP(C309,[3]List1!$A:$D,4,FALSE),"N/A!")</f>
        <v>5.6318625000000011E-2</v>
      </c>
      <c r="O309" s="837">
        <f>IFERROR(VLOOKUP(C309,[3]List1!$A:$D,3,FALSE),"N/A!")</f>
        <v>2000</v>
      </c>
      <c r="P309" s="837">
        <f>IFERROR(VLOOKUP(C309,[3]List1!$A:$D,2,FALSE),"N/A!")</f>
        <v>18000</v>
      </c>
      <c r="Q309" s="698" t="s">
        <v>13769</v>
      </c>
      <c r="R309" s="698" t="s">
        <v>24</v>
      </c>
      <c r="S309" s="698"/>
      <c r="T309" s="695">
        <v>60</v>
      </c>
      <c r="U309" s="874"/>
      <c r="V309" s="699" t="str">
        <f>_xlfn.IFNA(HYPERLINK("https://www.klasekpyrotechnics.cz/c10020xpr14"),"")</f>
        <v>https://www.klasekpyrotechnics.cz/c10020xpr14</v>
      </c>
      <c r="W309" s="700" t="str">
        <f>IFERROR(VLOOKUP($C309,Popisy!A:P,MATCH($W$17,Popisy!$A$7:$P$7,0),FALSE),"---------------")</f>
        <v>10 verschiedenfarbige Effekte</v>
      </c>
      <c r="X309" s="891" t="str">
        <f t="shared" si="55"/>
        <v/>
      </c>
      <c r="Y309" s="892"/>
      <c r="Z309" s="700">
        <f>IFERROR(IF(VLOOKUP(C309,[4]List1!$A:$D,4,FALSE)=0,"",VLOOKUP(C309,[4]List1!$A:$D,4,FALSE)),"")</f>
        <v>22</v>
      </c>
      <c r="AA309" s="707"/>
      <c r="AB309" s="912" t="str">
        <f>IFERROR(IF(VLOOKUP(C309,[1]List1!$A:$D,2,FALSE)="VYPRODÁNO",$V$9,IF(VLOOKUP(C309,[1]List1!$A:$D,2,FALSE)="DOCHÁZÍ",$V$3,VLOOKUP(C309,[1]List1!$A:$D,2,FALSE))),"OFFLINE!")</f>
        <v>SKLADEM</v>
      </c>
      <c r="AC309" s="912" t="str">
        <f ca="1">IF(AO309="NE",$V$10,IF(AB309=$V$3,IF(AP309&lt;1,$V$8,$V$2&amp;" "&amp;AP309&amp;" "&amp;$V$1),IF(AB309="SKLADEM",$V$6,IFERROR(IF(OR(AB309-TODAY()&gt;21,VLOOKUP(C309,[1]List1!$A:$E,4,FALSE)=0),AB309,DAY(AB309)&amp;"."&amp;MONTH(AB309)&amp;"."&amp;YEAR(AB309)&amp;" "&amp;$V$4&amp;VLOOKUP(C309,[1]List1!$A:$E,4,FALSE)&amp;" "&amp;$V$1),AB309))))</f>
        <v>AUF LAGER</v>
      </c>
      <c r="AD309" s="701" t="str">
        <f ca="1">_xlfn.IFNA(VLOOKUP(C309,'General price list'!C:AM,MATCH($AD$20,'General price list'!$C$20:$AM$20,0),FALSE),"")</f>
        <v>AUF LAGER</v>
      </c>
      <c r="AE309" s="695">
        <f t="shared" ca="1" si="56"/>
        <v>0</v>
      </c>
      <c r="AF309" s="695">
        <f t="shared" ca="1" si="57"/>
        <v>0</v>
      </c>
      <c r="AG309" s="702">
        <f t="shared" ca="1" si="58"/>
        <v>0</v>
      </c>
      <c r="AH309" s="703">
        <f t="shared" ca="1" si="59"/>
        <v>0</v>
      </c>
      <c r="AI309" s="702">
        <f t="shared" ca="1" si="60"/>
        <v>0</v>
      </c>
      <c r="AJ309" s="704" t="str">
        <f t="shared" ca="1" si="61"/>
        <v/>
      </c>
      <c r="AK309" s="704" t="str">
        <f t="shared" ca="1" si="62"/>
        <v/>
      </c>
      <c r="AL309" s="704">
        <f t="shared" ca="1" si="63"/>
        <v>0</v>
      </c>
      <c r="AM309" s="705" t="str">
        <f t="shared" ca="1" si="64"/>
        <v/>
      </c>
      <c r="AN309" s="382"/>
      <c r="AO309" s="314" t="str">
        <f>IF($R$3=1,IF(Y309=AA309,"","NE"),IF(#REF!=$V$10,"NE",""))</f>
        <v/>
      </c>
      <c r="AP309" s="315" t="str">
        <f>IF(AB309=$V$3,IF(VLOOKUP(C309,[1]List1!$A:$E,5,FALSE)=0,1,VLOOKUP(C309,[1]List1!$A:$E,5,FALSE)),"")</f>
        <v/>
      </c>
      <c r="AW309" s="458">
        <f>IFERROR(FIND(VLOOKUP('General price list'!$AB$7,'General price list'!$AC$1:$AD$12,2,FALSE),Q309,1),0)</f>
        <v>10</v>
      </c>
      <c r="AX309" s="458">
        <f>IFERROR(FIND(VLOOKUP('General price list'!$AB$7,'General price list'!$AC$1:$AD$12,2,FALSE),R309,1),0)</f>
        <v>0</v>
      </c>
    </row>
    <row r="310" spans="1:50" ht="15" customHeight="1">
      <c r="A310" s="672" t="str">
        <f>Kat.!C310</f>
        <v xml:space="preserve">                                          Batterien 130 schuss, 20mm Mörser-1.3G</v>
      </c>
      <c r="B310" s="678">
        <v>289</v>
      </c>
      <c r="C310" s="679"/>
      <c r="D310" s="679"/>
      <c r="E310" s="680"/>
      <c r="F310" s="681" t="str">
        <f>IFERROR(ROUND(VLOOKUP(C310,'General price list'!$C:$AN,4,FALSE),0),"")</f>
        <v/>
      </c>
      <c r="G310" s="682" t="str">
        <f t="shared" si="53"/>
        <v/>
      </c>
      <c r="H310" s="683" t="str">
        <f t="shared" si="54"/>
        <v/>
      </c>
      <c r="I310" s="836"/>
      <c r="J310" s="680"/>
      <c r="K310" s="854"/>
      <c r="L310" s="855"/>
      <c r="M310" s="680"/>
      <c r="N310" s="868" t="str">
        <f>IFERROR(IF(VLOOKUP($C310,'General price list'!$C:$AN,MATCH(N$20,'General price list'!$C$20:$AM$20,0),FALSE)=0,"",VLOOKUP($C310,'General price list'!$C:$AN,MATCH(N$20,'General price list'!$C$20:$AM$20,0),FALSE)),"")</f>
        <v/>
      </c>
      <c r="O310" s="836" t="str">
        <f>IFERROR(IF(VLOOKUP($C310,'General price list'!$C:$AN,MATCH(O$20,'General price list'!$C$20:$AM$20,0),FALSE)=0,"",VLOOKUP($C310,'General price list'!$C:$AN,MATCH(O$20,'General price list'!$C$20:$AM$20,0),FALSE)),"")</f>
        <v/>
      </c>
      <c r="P310" s="836" t="str">
        <f>IFERROR(IF(VLOOKUP($C310,'General price list'!$C:$AN,MATCH(P$20,'General price list'!$C$20:$AM$20,0),FALSE)=0,"",VLOOKUP($C310,'General price list'!$C:$AN,MATCH(P$20,'General price list'!$C$20:$AM$20,0),FALSE)),"")</f>
        <v/>
      </c>
      <c r="Q310" s="680"/>
      <c r="R310" s="680"/>
      <c r="S310" s="680"/>
      <c r="T310" s="681"/>
      <c r="U310" s="873"/>
      <c r="V310" s="684"/>
      <c r="W310" s="685" t="str">
        <f>IFERROR(VLOOKUP($C310,'General price list'!$C:$AN,MATCH(W$20,'General price list'!$C$20:$AM$20,0),FALSE),"")</f>
        <v/>
      </c>
      <c r="X310" s="889" t="str">
        <f t="shared" si="55"/>
        <v/>
      </c>
      <c r="Y310" s="890"/>
      <c r="Z310" s="685" t="str">
        <f>IFERROR(VLOOKUP($C310,'General price list'!$C:$AN,MATCH(Z$20,'General price list'!$C$20:$AM$20,0),FALSE),"")</f>
        <v/>
      </c>
      <c r="AA310" s="707"/>
      <c r="AB310" s="911" t="str">
        <f>IFERROR(IF(VLOOKUP(C310,[1]List1!$A:$D,2,FALSE)="VYPRODÁNO",$V$9,IF(VLOOKUP(C310,[1]List1!$A:$D,2,FALSE)="DOCHÁZÍ",$V$3,VLOOKUP(C310,[1]List1!$A:$D,2,FALSE))),"OFFLINE!")</f>
        <v>OFFLINE!</v>
      </c>
      <c r="AC310" s="911" t="str">
        <f ca="1">IF(AO310="NE",$V$10,IF(AB310=$V$3,IF(AP310&lt;1,$V$8,$V$2&amp;" "&amp;AP310&amp;" "&amp;$V$1),IF(AB310="SKLADEM",$V$6,IFERROR(IF(OR(AB310-TODAY()&gt;21,VLOOKUP(C310,[1]List1!$A:$E,4,FALSE)=0),AB310,DAY(AB310)&amp;"."&amp;MONTH(AB310)&amp;"."&amp;YEAR(AB310)&amp;" "&amp;$V$4&amp;VLOOKUP(C310,[1]List1!$A:$E,4,FALSE)&amp;" "&amp;$V$1),AB310))))</f>
        <v>OFFLINE!</v>
      </c>
      <c r="AD310" s="686" t="str">
        <f>_xlfn.IFNA(VLOOKUP(C310,'General price list'!C:AM,MATCH($AD$20,'General price list'!$C$20:$AM$20,0),FALSE),"")</f>
        <v/>
      </c>
      <c r="AE310" s="681" t="str">
        <f t="shared" si="56"/>
        <v/>
      </c>
      <c r="AF310" s="681" t="str">
        <f t="shared" si="57"/>
        <v/>
      </c>
      <c r="AG310" s="687" t="str">
        <f t="shared" si="58"/>
        <v/>
      </c>
      <c r="AH310" s="688" t="str">
        <f t="shared" si="59"/>
        <v/>
      </c>
      <c r="AI310" s="687" t="str">
        <f t="shared" si="60"/>
        <v/>
      </c>
      <c r="AJ310" s="689" t="str">
        <f t="shared" si="61"/>
        <v/>
      </c>
      <c r="AK310" s="689" t="str">
        <f t="shared" si="62"/>
        <v/>
      </c>
      <c r="AL310" s="689" t="str">
        <f t="shared" si="63"/>
        <v/>
      </c>
      <c r="AM310" s="690" t="str">
        <f t="shared" si="64"/>
        <v/>
      </c>
      <c r="AN310" s="382"/>
      <c r="AO310" s="314" t="str">
        <f>IF($R$3=1,IF(Y310=AA310,"","NE"),IF(#REF!=$V$10,"NE",""))</f>
        <v/>
      </c>
      <c r="AP310" s="315" t="str">
        <f>IF(AB310=$V$3,IF(VLOOKUP(C310,[1]List1!$A:$E,5,FALSE)=0,1,VLOOKUP(C310,[1]List1!$A:$E,5,FALSE)),"")</f>
        <v/>
      </c>
      <c r="AW310" s="291" t="e">
        <f>VLOOKUP(C310,'General price list'!C:AU,46,FALSE)</f>
        <v>#N/A</v>
      </c>
      <c r="AX310" s="291" t="e">
        <f>VLOOKUP(C310,'General price list'!C:AU,47,FALSE)</f>
        <v>#N/A</v>
      </c>
    </row>
    <row r="311" spans="1:50" ht="15" customHeight="1">
      <c r="A311" s="691" t="str">
        <f>Kat.!C311</f>
        <v xml:space="preserve">                                          </v>
      </c>
      <c r="B311" s="692">
        <v>290</v>
      </c>
      <c r="C311" s="693" t="s">
        <v>1145</v>
      </c>
      <c r="D311" s="693" t="s">
        <v>1146</v>
      </c>
      <c r="E311" s="694" t="s">
        <v>762</v>
      </c>
      <c r="F311" s="695">
        <f>VLOOKUP(C311,[2]List1!$A:$D,2,FALSE)</f>
        <v>1080</v>
      </c>
      <c r="G311" s="696">
        <f t="shared" si="53"/>
        <v>1080</v>
      </c>
      <c r="H311" s="697">
        <f t="shared" si="54"/>
        <v>43.9</v>
      </c>
      <c r="I311" s="837">
        <v>3</v>
      </c>
      <c r="J311" s="698" t="s">
        <v>130</v>
      </c>
      <c r="K311" s="856"/>
      <c r="L311" s="857" t="s">
        <v>13856</v>
      </c>
      <c r="M311" s="698" t="s">
        <v>131</v>
      </c>
      <c r="N311" s="869">
        <f>IFERROR(VLOOKUP(C311,[3]List1!$A:$D,4,FALSE),"N/A!")</f>
        <v>3.8808000000000002E-2</v>
      </c>
      <c r="O311" s="837">
        <f>IFERROR(VLOOKUP(C311,[3]List1!$A:$D,3,FALSE),"N/A!")</f>
        <v>2991</v>
      </c>
      <c r="P311" s="837">
        <f>IFERROR(VLOOKUP(C311,[3]List1!$A:$D,2,FALSE),"N/A!")</f>
        <v>17600</v>
      </c>
      <c r="Q311" s="698" t="s">
        <v>13770</v>
      </c>
      <c r="R311" s="698" t="s">
        <v>24</v>
      </c>
      <c r="S311" s="698"/>
      <c r="T311" s="695">
        <v>90</v>
      </c>
      <c r="U311" s="874"/>
      <c r="V311" s="699" t="str">
        <f>_xlfn.IFNA(HYPERLINK("https://www.klasekpyrotechnics.cz/c13020m"),"")</f>
        <v>https://www.klasekpyrotechnics.cz/c13020m</v>
      </c>
      <c r="W311" s="700" t="str">
        <f>IFERROR(VLOOKUP($C311,Popisy!A:P,MATCH($W$17,Popisy!$A$7:$P$7,0),FALSE),"---------------")</f>
        <v>13 verschiedenfarbige Effekte</v>
      </c>
      <c r="X311" s="891" t="str">
        <f t="shared" si="55"/>
        <v/>
      </c>
      <c r="Y311" s="892"/>
      <c r="Z311" s="700">
        <f>IFERROR(IF(VLOOKUP(C311,[4]List1!$A:$D,4,FALSE)=0,"",VLOOKUP(C311,[4]List1!$A:$D,4,FALSE)),"")</f>
        <v>36</v>
      </c>
      <c r="AA311" s="707"/>
      <c r="AB311" s="912" t="str">
        <f>IFERROR(IF(VLOOKUP(C311,[1]List1!$A:$D,2,FALSE)="VYPRODÁNO",$V$9,IF(VLOOKUP(C311,[1]List1!$A:$D,2,FALSE)="DOCHÁZÍ",$V$3,VLOOKUP(C311,[1]List1!$A:$D,2,FALSE))),"OFFLINE!")</f>
        <v>SKLADEM</v>
      </c>
      <c r="AC311" s="912" t="str">
        <f ca="1">IF(AO311="NE",$V$10,IF(AB311=$V$3,IF(AP311&lt;1,$V$8,$V$2&amp;" "&amp;AP311&amp;" "&amp;$V$1),IF(AB311="SKLADEM",$V$6,IFERROR(IF(OR(AB311-TODAY()&gt;21,VLOOKUP(C311,[1]List1!$A:$E,4,FALSE)=0),AB311,DAY(AB311)&amp;"."&amp;MONTH(AB311)&amp;"."&amp;YEAR(AB311)&amp;" "&amp;$V$4&amp;VLOOKUP(C311,[1]List1!$A:$E,4,FALSE)&amp;" "&amp;$V$1),AB311))))</f>
        <v>AUF LAGER</v>
      </c>
      <c r="AD311" s="701" t="str">
        <f ca="1">_xlfn.IFNA(VLOOKUP(C311,'General price list'!C:AM,MATCH($AD$20,'General price list'!$C$20:$AM$20,0),FALSE),"")</f>
        <v>AUF LAGER</v>
      </c>
      <c r="AE311" s="695">
        <f t="shared" ca="1" si="56"/>
        <v>0</v>
      </c>
      <c r="AF311" s="695">
        <f t="shared" ca="1" si="57"/>
        <v>0</v>
      </c>
      <c r="AG311" s="702">
        <f t="shared" ca="1" si="58"/>
        <v>0</v>
      </c>
      <c r="AH311" s="703">
        <f t="shared" ca="1" si="59"/>
        <v>0</v>
      </c>
      <c r="AI311" s="702">
        <f t="shared" ca="1" si="60"/>
        <v>0</v>
      </c>
      <c r="AJ311" s="704" t="str">
        <f t="shared" ca="1" si="61"/>
        <v/>
      </c>
      <c r="AK311" s="704">
        <f t="shared" ca="1" si="62"/>
        <v>0</v>
      </c>
      <c r="AL311" s="704" t="str">
        <f t="shared" ca="1" si="63"/>
        <v/>
      </c>
      <c r="AM311" s="705" t="str">
        <f t="shared" ca="1" si="64"/>
        <v/>
      </c>
      <c r="AN311" s="382"/>
      <c r="AO311" s="314" t="str">
        <f>IF($R$3=1,IF(Y311=AA311,"","NE"),IF(#REF!=$V$10,"NE",""))</f>
        <v/>
      </c>
      <c r="AP311" s="315" t="str">
        <f>IF(AB311=$V$3,IF(VLOOKUP(C311,[1]List1!$A:$E,5,FALSE)=0,1,VLOOKUP(C311,[1]List1!$A:$E,5,FALSE)),"")</f>
        <v/>
      </c>
      <c r="AW311" s="458">
        <f>IFERROR(FIND(VLOOKUP('General price list'!$AB$7,'General price list'!$AC$1:$AD$12,2,FALSE),Q311,1),0)</f>
        <v>16</v>
      </c>
      <c r="AX311" s="458">
        <f>IFERROR(FIND(VLOOKUP('General price list'!$AB$7,'General price list'!$AC$1:$AD$12,2,FALSE),R311,1),0)</f>
        <v>0</v>
      </c>
    </row>
    <row r="312" spans="1:50" ht="15" customHeight="1">
      <c r="A312" s="677" t="str">
        <f>Kat.!C312</f>
        <v xml:space="preserve">                                          </v>
      </c>
      <c r="B312" s="678">
        <v>291</v>
      </c>
      <c r="C312" s="679" t="s">
        <v>1150</v>
      </c>
      <c r="D312" s="679" t="s">
        <v>13224</v>
      </c>
      <c r="E312" s="680" t="s">
        <v>762</v>
      </c>
      <c r="F312" s="681">
        <f>VLOOKUP(C312,[2]List1!$A:$D,2,FALSE)</f>
        <v>1080</v>
      </c>
      <c r="G312" s="682">
        <f t="shared" si="53"/>
        <v>1080</v>
      </c>
      <c r="H312" s="683">
        <f t="shared" si="54"/>
        <v>43.9</v>
      </c>
      <c r="I312" s="836">
        <v>3</v>
      </c>
      <c r="J312" s="680" t="s">
        <v>130</v>
      </c>
      <c r="K312" s="854" t="s">
        <v>12593</v>
      </c>
      <c r="L312" s="855" t="s">
        <v>13856</v>
      </c>
      <c r="M312" s="680" t="s">
        <v>131</v>
      </c>
      <c r="N312" s="868">
        <f>IFERROR(VLOOKUP(C312,[3]List1!$A:$D,4,FALSE),"N/A!")</f>
        <v>3.8808000000000002E-2</v>
      </c>
      <c r="O312" s="836">
        <f>IFERROR(VLOOKUP(C312,[3]List1!$A:$D,3,FALSE),"N/A!")</f>
        <v>2991</v>
      </c>
      <c r="P312" s="836">
        <f>IFERROR(VLOOKUP(C312,[3]List1!$A:$D,2,FALSE),"N/A!")</f>
        <v>17200</v>
      </c>
      <c r="Q312" s="680" t="s">
        <v>13771</v>
      </c>
      <c r="R312" s="680" t="s">
        <v>24</v>
      </c>
      <c r="S312" s="680"/>
      <c r="T312" s="681">
        <v>80</v>
      </c>
      <c r="U312" s="873"/>
      <c r="V312" s="684" t="str">
        <f>_xlfn.IFNA(HYPERLINK("https://www.klasekpyrotechnics.cz/c13020b"),"")</f>
        <v>https://www.klasekpyrotechnics.cz/c13020b</v>
      </c>
      <c r="W312" s="685" t="str">
        <f>IFERROR(VLOOKUP($C312,Popisy!A:P,MATCH($W$17,Popisy!$A$7:$P$7,0),FALSE),"---------------")</f>
        <v>13 verschiedenfarbige Effekte</v>
      </c>
      <c r="X312" s="889" t="str">
        <f t="shared" si="55"/>
        <v/>
      </c>
      <c r="Y312" s="890"/>
      <c r="Z312" s="685">
        <f>IFERROR(IF(VLOOKUP(C312,[4]List1!$A:$D,4,FALSE)=0,"",VLOOKUP(C312,[4]List1!$A:$D,4,FALSE)),"")</f>
        <v>36</v>
      </c>
      <c r="AA312" s="707"/>
      <c r="AB312" s="911" t="str">
        <f>IFERROR(IF(VLOOKUP(C312,[1]List1!$A:$D,2,FALSE)="VYPRODÁNO",$V$9,IF(VLOOKUP(C312,[1]List1!$A:$D,2,FALSE)="DOCHÁZÍ",$V$3,VLOOKUP(C312,[1]List1!$A:$D,2,FALSE))),"OFFLINE!")</f>
        <v>SKLADEM</v>
      </c>
      <c r="AC312" s="911" t="str">
        <f ca="1">IF(AO312="NE",$V$10,IF(AB312=$V$3,IF(AP312&lt;1,$V$8,$V$2&amp;" "&amp;AP312&amp;" "&amp;$V$1),IF(AB312="SKLADEM",$V$6,IFERROR(IF(OR(AB312-TODAY()&gt;21,VLOOKUP(C312,[1]List1!$A:$E,4,FALSE)=0),AB312,DAY(AB312)&amp;"."&amp;MONTH(AB312)&amp;"."&amp;YEAR(AB312)&amp;" "&amp;$V$4&amp;VLOOKUP(C312,[1]List1!$A:$E,4,FALSE)&amp;" "&amp;$V$1),AB312))))</f>
        <v>AUF LAGER</v>
      </c>
      <c r="AD312" s="686" t="str">
        <f ca="1">_xlfn.IFNA(VLOOKUP(C312,'General price list'!C:AM,MATCH($AD$20,'General price list'!$C$20:$AM$20,0),FALSE),"")</f>
        <v>AUF LAGER</v>
      </c>
      <c r="AE312" s="681">
        <f t="shared" ca="1" si="56"/>
        <v>0</v>
      </c>
      <c r="AF312" s="681">
        <f t="shared" ca="1" si="57"/>
        <v>0</v>
      </c>
      <c r="AG312" s="687">
        <f t="shared" ca="1" si="58"/>
        <v>0</v>
      </c>
      <c r="AH312" s="688">
        <f t="shared" ca="1" si="59"/>
        <v>0</v>
      </c>
      <c r="AI312" s="687">
        <f t="shared" ca="1" si="60"/>
        <v>0</v>
      </c>
      <c r="AJ312" s="689" t="str">
        <f t="shared" ca="1" si="61"/>
        <v/>
      </c>
      <c r="AK312" s="689">
        <f t="shared" ca="1" si="62"/>
        <v>0</v>
      </c>
      <c r="AL312" s="689" t="str">
        <f t="shared" ca="1" si="63"/>
        <v/>
      </c>
      <c r="AM312" s="690" t="str">
        <f t="shared" ca="1" si="64"/>
        <v/>
      </c>
      <c r="AN312" s="382"/>
      <c r="AO312" s="314" t="str">
        <f>IF($R$3=1,IF(Y312=AA312,"","NE"),IF(#REF!=$V$10,"NE",""))</f>
        <v/>
      </c>
      <c r="AP312" s="315" t="str">
        <f>IF(AB312=$V$3,IF(VLOOKUP(C312,[1]List1!$A:$E,5,FALSE)=0,1,VLOOKUP(C312,[1]List1!$A:$E,5,FALSE)),"")</f>
        <v/>
      </c>
      <c r="AW312" s="458">
        <f>IFERROR(FIND(VLOOKUP('General price list'!$AB$7,'General price list'!$AC$1:$AD$12,2,FALSE),Q312,1),0)</f>
        <v>13</v>
      </c>
      <c r="AX312" s="458">
        <f>IFERROR(FIND(VLOOKUP('General price list'!$AB$7,'General price list'!$AC$1:$AD$12,2,FALSE),R312,1),0)</f>
        <v>0</v>
      </c>
    </row>
    <row r="313" spans="1:50" ht="15" customHeight="1">
      <c r="A313" s="672" t="str">
        <f>Kat.!C313</f>
        <v xml:space="preserve">                                          Verbundfeurwerk 20mm - F2 - 1.4G</v>
      </c>
      <c r="B313" s="692">
        <v>292</v>
      </c>
      <c r="C313" s="693"/>
      <c r="D313" s="693"/>
      <c r="E313" s="694"/>
      <c r="F313" s="695" t="str">
        <f>IFERROR(ROUND(VLOOKUP(C313,'General price list'!$C:$AN,4,FALSE),0),"")</f>
        <v/>
      </c>
      <c r="G313" s="696" t="str">
        <f t="shared" si="53"/>
        <v/>
      </c>
      <c r="H313" s="697" t="str">
        <f t="shared" si="54"/>
        <v/>
      </c>
      <c r="I313" s="837"/>
      <c r="J313" s="698"/>
      <c r="K313" s="856"/>
      <c r="L313" s="857"/>
      <c r="M313" s="698"/>
      <c r="N313" s="869" t="str">
        <f>IFERROR(IF(VLOOKUP($C313,'General price list'!$C:$AN,MATCH(N$20,'General price list'!$C$20:$AM$20,0),FALSE)=0,"",VLOOKUP($C313,'General price list'!$C:$AN,MATCH(N$20,'General price list'!$C$20:$AM$20,0),FALSE)),"")</f>
        <v/>
      </c>
      <c r="O313" s="837" t="str">
        <f>IFERROR(IF(VLOOKUP($C313,'General price list'!$C:$AN,MATCH(O$20,'General price list'!$C$20:$AM$20,0),FALSE)=0,"",VLOOKUP($C313,'General price list'!$C:$AN,MATCH(O$20,'General price list'!$C$20:$AM$20,0),FALSE)),"")</f>
        <v/>
      </c>
      <c r="P313" s="837" t="str">
        <f>IFERROR(IF(VLOOKUP($C313,'General price list'!$C:$AN,MATCH(P$20,'General price list'!$C$20:$AM$20,0),FALSE)=0,"",VLOOKUP($C313,'General price list'!$C:$AN,MATCH(P$20,'General price list'!$C$20:$AM$20,0),FALSE)),"")</f>
        <v/>
      </c>
      <c r="Q313" s="698"/>
      <c r="R313" s="698"/>
      <c r="S313" s="698"/>
      <c r="T313" s="695"/>
      <c r="U313" s="874"/>
      <c r="V313" s="699"/>
      <c r="W313" s="700" t="str">
        <f>IFERROR(VLOOKUP($C313,'General price list'!$C:$AN,MATCH(W$20,'General price list'!$C$20:$AM$20,0),FALSE),"")</f>
        <v/>
      </c>
      <c r="X313" s="891" t="str">
        <f t="shared" si="55"/>
        <v/>
      </c>
      <c r="Y313" s="892"/>
      <c r="Z313" s="700" t="str">
        <f>IFERROR(VLOOKUP($C313,'General price list'!$C:$AN,MATCH(Z$20,'General price list'!$C$20:$AM$20,0),FALSE),"")</f>
        <v/>
      </c>
      <c r="AA313" s="707"/>
      <c r="AB313" s="912" t="str">
        <f>IFERROR(IF(VLOOKUP(C313,[1]List1!$A:$D,2,FALSE)="VYPRODÁNO",$V$9,IF(VLOOKUP(C313,[1]List1!$A:$D,2,FALSE)="DOCHÁZÍ",$V$3,VLOOKUP(C313,[1]List1!$A:$D,2,FALSE))),"OFFLINE!")</f>
        <v>OFFLINE!</v>
      </c>
      <c r="AC313" s="912" t="str">
        <f ca="1">IF(AO313="NE",$V$10,IF(AB313=$V$3,IF(AP313&lt;1,$V$8,$V$2&amp;" "&amp;AP313&amp;" "&amp;$V$1),IF(AB313="SKLADEM",$V$6,IFERROR(IF(OR(AB313-TODAY()&gt;21,VLOOKUP(C313,[1]List1!$A:$E,4,FALSE)=0),AB313,DAY(AB313)&amp;"."&amp;MONTH(AB313)&amp;"."&amp;YEAR(AB313)&amp;" "&amp;$V$4&amp;VLOOKUP(C313,[1]List1!$A:$E,4,FALSE)&amp;" "&amp;$V$1),AB313))))</f>
        <v>OFFLINE!</v>
      </c>
      <c r="AD313" s="701" t="str">
        <f>_xlfn.IFNA(VLOOKUP(C313,'General price list'!C:AM,MATCH($AD$20,'General price list'!$C$20:$AM$20,0),FALSE),"")</f>
        <v/>
      </c>
      <c r="AE313" s="695" t="str">
        <f t="shared" si="56"/>
        <v/>
      </c>
      <c r="AF313" s="695" t="str">
        <f t="shared" si="57"/>
        <v/>
      </c>
      <c r="AG313" s="702" t="str">
        <f t="shared" si="58"/>
        <v/>
      </c>
      <c r="AH313" s="703" t="str">
        <f t="shared" si="59"/>
        <v/>
      </c>
      <c r="AI313" s="702" t="str">
        <f t="shared" si="60"/>
        <v/>
      </c>
      <c r="AJ313" s="704" t="str">
        <f t="shared" si="61"/>
        <v/>
      </c>
      <c r="AK313" s="704" t="str">
        <f t="shared" si="62"/>
        <v/>
      </c>
      <c r="AL313" s="704" t="str">
        <f t="shared" si="63"/>
        <v/>
      </c>
      <c r="AM313" s="705" t="str">
        <f t="shared" si="64"/>
        <v/>
      </c>
      <c r="AN313" s="382"/>
      <c r="AO313" s="314" t="str">
        <f>IF($R$3=1,IF(Y313=AA313,"","NE"),IF(#REF!=$V$10,"NE",""))</f>
        <v/>
      </c>
      <c r="AP313" s="315" t="str">
        <f>IF(AB313=$V$3,IF(VLOOKUP(C313,[1]List1!$A:$E,5,FALSE)=0,1,VLOOKUP(C313,[1]List1!$A:$E,5,FALSE)),"")</f>
        <v/>
      </c>
      <c r="AW313" s="291" t="e">
        <f>VLOOKUP(C313,'General price list'!C:AU,46,FALSE)</f>
        <v>#N/A</v>
      </c>
      <c r="AX313" s="291" t="e">
        <f>VLOOKUP(C313,'General price list'!C:AU,47,FALSE)</f>
        <v>#N/A</v>
      </c>
    </row>
    <row r="314" spans="1:50" ht="15" customHeight="1">
      <c r="A314" s="677" t="str">
        <f>Kat.!C314</f>
        <v xml:space="preserve">                                          </v>
      </c>
      <c r="B314" s="678">
        <v>293</v>
      </c>
      <c r="C314" s="679" t="s">
        <v>1162</v>
      </c>
      <c r="D314" s="679" t="s">
        <v>12576</v>
      </c>
      <c r="E314" s="680" t="s">
        <v>129</v>
      </c>
      <c r="F314" s="681">
        <f>VLOOKUP(C314,[2]List1!$A:$D,2,FALSE)</f>
        <v>1367</v>
      </c>
      <c r="G314" s="682">
        <f t="shared" si="53"/>
        <v>1367</v>
      </c>
      <c r="H314" s="683">
        <f t="shared" si="54"/>
        <v>55.6</v>
      </c>
      <c r="I314" s="836">
        <v>1</v>
      </c>
      <c r="J314" s="680" t="s">
        <v>45</v>
      </c>
      <c r="K314" s="854"/>
      <c r="L314" s="855" t="s">
        <v>13832</v>
      </c>
      <c r="M314" s="680" t="s">
        <v>25</v>
      </c>
      <c r="N314" s="868">
        <f>IFERROR(VLOOKUP(C314,[3]List1!$A:$D,4,FALSE),"N/A!")</f>
        <v>1.2937624999999998E-2</v>
      </c>
      <c r="O314" s="836">
        <f>IFERROR(VLOOKUP(C314,[3]List1!$A:$D,3,FALSE),"N/A!")</f>
        <v>996</v>
      </c>
      <c r="P314" s="836">
        <f>IFERROR(VLOOKUP(C314,[3]List1!$A:$D,2,FALSE),"N/A!")</f>
        <v>6350</v>
      </c>
      <c r="Q314" s="680" t="s">
        <v>13772</v>
      </c>
      <c r="R314" s="680" t="s">
        <v>24</v>
      </c>
      <c r="S314" s="680"/>
      <c r="T314" s="681">
        <v>100</v>
      </c>
      <c r="U314" s="873"/>
      <c r="V314" s="684" t="str">
        <f>_xlfn.IFNA(HYPERLINK("https://www.klasekpyrotechnics.cz/c12820f-c14"),"")</f>
        <v>https://www.klasekpyrotechnics.cz/c12820f-c14</v>
      </c>
      <c r="W314" s="685" t="str">
        <f>IFERROR(VLOOKUP($C314,Popisy!A:P,MATCH($W$17,Popisy!$A$7:$P$7,0),FALSE),"---------------")</f>
        <v>16 verschiedenfarbige Effekte</v>
      </c>
      <c r="X314" s="889" t="str">
        <f t="shared" si="55"/>
        <v/>
      </c>
      <c r="Y314" s="890"/>
      <c r="Z314" s="685">
        <f>IFERROR(IF(VLOOKUP(C314,[4]List1!$A:$D,4,FALSE)=0,"",VLOOKUP(C314,[4]List1!$A:$D,4,FALSE)),"")</f>
        <v>77</v>
      </c>
      <c r="AA314" s="707"/>
      <c r="AB314" s="911" t="str">
        <f>IFERROR(IF(VLOOKUP(C314,[1]List1!$A:$D,2,FALSE)="VYPRODÁNO",$V$9,IF(VLOOKUP(C314,[1]List1!$A:$D,2,FALSE)="DOCHÁZÍ",$V$3,VLOOKUP(C314,[1]List1!$A:$D,2,FALSE))),"OFFLINE!")</f>
        <v>30.04.2024</v>
      </c>
      <c r="AC314" s="911" t="str">
        <f ca="1">IF(AO314="NE",$V$10,IF(AB314=$V$3,IF(AP314&lt;1,$V$8,$V$2&amp;" "&amp;AP314&amp;" "&amp;$V$1),IF(AB314="SKLADEM",$V$6,IFERROR(IF(OR(AB314-TODAY()&gt;21,VLOOKUP(C314,[1]List1!$A:$E,4,FALSE)=0),AB314,DAY(AB314)&amp;"."&amp;MONTH(AB314)&amp;"."&amp;YEAR(AB314)&amp;" "&amp;$V$4&amp;VLOOKUP(C314,[1]List1!$A:$E,4,FALSE)&amp;" "&amp;$V$1),AB314))))</f>
        <v>30.04.2024</v>
      </c>
      <c r="AD314" s="686" t="str">
        <f ca="1">_xlfn.IFNA(VLOOKUP(C314,'General price list'!C:AM,MATCH($AD$20,'General price list'!$C$20:$AM$20,0),FALSE),"")</f>
        <v>30.04.2024</v>
      </c>
      <c r="AE314" s="681">
        <f t="shared" ca="1" si="56"/>
        <v>0</v>
      </c>
      <c r="AF314" s="681">
        <f t="shared" ca="1" si="57"/>
        <v>0</v>
      </c>
      <c r="AG314" s="687">
        <f t="shared" ca="1" si="58"/>
        <v>0</v>
      </c>
      <c r="AH314" s="688">
        <f t="shared" ca="1" si="59"/>
        <v>0</v>
      </c>
      <c r="AI314" s="687">
        <f t="shared" ca="1" si="60"/>
        <v>0</v>
      </c>
      <c r="AJ314" s="689" t="str">
        <f t="shared" ca="1" si="61"/>
        <v/>
      </c>
      <c r="AK314" s="689" t="str">
        <f t="shared" ca="1" si="62"/>
        <v/>
      </c>
      <c r="AL314" s="689">
        <f t="shared" ca="1" si="63"/>
        <v>0</v>
      </c>
      <c r="AM314" s="690" t="str">
        <f t="shared" ca="1" si="64"/>
        <v/>
      </c>
      <c r="AN314" s="382"/>
      <c r="AO314" s="314" t="str">
        <f>IF($R$3=1,IF(Y314=AA314,"","NE"),IF(#REF!=$V$10,"NE",""))</f>
        <v/>
      </c>
      <c r="AP314" s="315" t="str">
        <f>IF(AB314=$V$3,IF(VLOOKUP(C314,[1]List1!$A:$E,5,FALSE)=0,1,VLOOKUP(C314,[1]List1!$A:$E,5,FALSE)),"")</f>
        <v/>
      </c>
      <c r="AW314" s="458">
        <f>IFERROR(FIND(VLOOKUP('General price list'!$AB$7,'General price list'!$AC$1:$AD$12,2,FALSE),Q314,1),0)</f>
        <v>10</v>
      </c>
      <c r="AX314" s="458">
        <f>IFERROR(FIND(VLOOKUP('General price list'!$AB$7,'General price list'!$AC$1:$AD$12,2,FALSE),R314,1),0)</f>
        <v>0</v>
      </c>
    </row>
    <row r="315" spans="1:50" ht="15" customHeight="1">
      <c r="A315" s="691" t="str">
        <f>Kat.!C315</f>
        <v xml:space="preserve">                                          </v>
      </c>
      <c r="B315" s="692">
        <v>294</v>
      </c>
      <c r="C315" s="693" t="s">
        <v>1166</v>
      </c>
      <c r="D315" s="693" t="s">
        <v>1167</v>
      </c>
      <c r="E315" s="694" t="s">
        <v>129</v>
      </c>
      <c r="F315" s="695">
        <f>VLOOKUP(C315,[2]List1!$A:$D,2,FALSE)</f>
        <v>1896</v>
      </c>
      <c r="G315" s="696">
        <f t="shared" si="53"/>
        <v>1896</v>
      </c>
      <c r="H315" s="697">
        <f t="shared" si="54"/>
        <v>77.099999999999994</v>
      </c>
      <c r="I315" s="837">
        <v>1</v>
      </c>
      <c r="J315" s="698" t="s">
        <v>45</v>
      </c>
      <c r="K315" s="856"/>
      <c r="L315" s="857" t="s">
        <v>13858</v>
      </c>
      <c r="M315" s="698" t="s">
        <v>25</v>
      </c>
      <c r="N315" s="869">
        <f>IFERROR(VLOOKUP(C315,[3]List1!$A:$D,4,FALSE),"N/A!")</f>
        <v>2.8262499999999999E-2</v>
      </c>
      <c r="O315" s="837">
        <f>IFERROR(VLOOKUP(C315,[3]List1!$A:$D,3,FALSE),"N/A!")</f>
        <v>980</v>
      </c>
      <c r="P315" s="837">
        <f>IFERROR(VLOOKUP(C315,[3]List1!$A:$D,2,FALSE),"N/A!")</f>
        <v>8000</v>
      </c>
      <c r="Q315" s="698" t="s">
        <v>13773</v>
      </c>
      <c r="R315" s="698" t="s">
        <v>24</v>
      </c>
      <c r="S315" s="698"/>
      <c r="T315" s="695">
        <v>100</v>
      </c>
      <c r="U315" s="874"/>
      <c r="V315" s="699" t="str">
        <f>_xlfn.IFNA(HYPERLINK("https://www.klasekpyrotechnics.cz/c13220b-c14"),"")</f>
        <v>https://www.klasekpyrotechnics.cz/c13220b-c14</v>
      </c>
      <c r="W315" s="700" t="str">
        <f>IFERROR(VLOOKUP($C315,Popisy!A:P,MATCH($W$17,Popisy!$A$7:$P$7,0),FALSE),"---------------")</f>
        <v>18 verschiedenfarbige Effekte</v>
      </c>
      <c r="X315" s="891" t="str">
        <f t="shared" si="55"/>
        <v/>
      </c>
      <c r="Y315" s="892"/>
      <c r="Z315" s="700">
        <f>IFERROR(IF(VLOOKUP(C315,[4]List1!$A:$D,4,FALSE)=0,"",VLOOKUP(C315,[4]List1!$A:$D,4,FALSE)),"")</f>
        <v>40</v>
      </c>
      <c r="AA315" s="707"/>
      <c r="AB315" s="912" t="str">
        <f>IFERROR(IF(VLOOKUP(C315,[1]List1!$A:$D,2,FALSE)="VYPRODÁNO",$V$9,IF(VLOOKUP(C315,[1]List1!$A:$D,2,FALSE)="DOCHÁZÍ",$V$3,VLOOKUP(C315,[1]List1!$A:$D,2,FALSE))),"OFFLINE!")</f>
        <v>SKLADEM</v>
      </c>
      <c r="AC315" s="912" t="str">
        <f ca="1">IF(AO315="NE",$V$10,IF(AB315=$V$3,IF(AP315&lt;1,$V$8,$V$2&amp;" "&amp;AP315&amp;" "&amp;$V$1),IF(AB315="SKLADEM",$V$6,IFERROR(IF(OR(AB315-TODAY()&gt;21,VLOOKUP(C315,[1]List1!$A:$E,4,FALSE)=0),AB315,DAY(AB315)&amp;"."&amp;MONTH(AB315)&amp;"."&amp;YEAR(AB315)&amp;" "&amp;$V$4&amp;VLOOKUP(C315,[1]List1!$A:$E,4,FALSE)&amp;" "&amp;$V$1),AB315))))</f>
        <v>AUF LAGER</v>
      </c>
      <c r="AD315" s="701">
        <f>_xlfn.IFNA(VLOOKUP(C315,'General price list'!C:AM,MATCH($AD$20,'General price list'!$C$20:$AM$20,0),FALSE),"")</f>
        <v>0</v>
      </c>
      <c r="AE315" s="695">
        <f t="shared" si="56"/>
        <v>0</v>
      </c>
      <c r="AF315" s="695">
        <f t="shared" si="57"/>
        <v>0</v>
      </c>
      <c r="AG315" s="702">
        <f t="shared" si="58"/>
        <v>0</v>
      </c>
      <c r="AH315" s="703">
        <f t="shared" si="59"/>
        <v>0</v>
      </c>
      <c r="AI315" s="702">
        <f t="shared" si="60"/>
        <v>0</v>
      </c>
      <c r="AJ315" s="704" t="str">
        <f t="shared" si="61"/>
        <v/>
      </c>
      <c r="AK315" s="704" t="str">
        <f t="shared" si="62"/>
        <v/>
      </c>
      <c r="AL315" s="704">
        <f t="shared" si="63"/>
        <v>0</v>
      </c>
      <c r="AM315" s="705" t="str">
        <f t="shared" si="64"/>
        <v/>
      </c>
      <c r="AN315" s="381"/>
      <c r="AO315" s="314" t="str">
        <f>IF($R$3=1,IF(Y315=AA315,"","NE"),IF(#REF!=$V$10,"NE",""))</f>
        <v/>
      </c>
      <c r="AP315" s="315" t="str">
        <f>IF(AB315=$V$3,IF(VLOOKUP(C315,[1]List1!$A:$E,5,FALSE)=0,1,VLOOKUP(C315,[1]List1!$A:$E,5,FALSE)),"")</f>
        <v/>
      </c>
      <c r="AW315" s="458">
        <f>IFERROR(FIND(VLOOKUP('General price list'!$AB$7,'General price list'!$AC$1:$AD$12,2,FALSE),Q315,1),0)</f>
        <v>0</v>
      </c>
      <c r="AX315" s="458">
        <f>IFERROR(FIND(VLOOKUP('General price list'!$AB$7,'General price list'!$AC$1:$AD$12,2,FALSE),R315,1),0)</f>
        <v>0</v>
      </c>
    </row>
    <row r="316" spans="1:50" ht="15" customHeight="1">
      <c r="A316" s="677" t="str">
        <f>Kat.!C316</f>
        <v xml:space="preserve">                                          </v>
      </c>
      <c r="B316" s="678">
        <v>295</v>
      </c>
      <c r="C316" s="679" t="s">
        <v>2348</v>
      </c>
      <c r="D316" s="679" t="s">
        <v>12575</v>
      </c>
      <c r="E316" s="680" t="s">
        <v>129</v>
      </c>
      <c r="F316" s="681">
        <f>VLOOKUP(C316,[2]List1!$A:$D,2,FALSE)</f>
        <v>2095</v>
      </c>
      <c r="G316" s="682">
        <f t="shared" si="53"/>
        <v>2095</v>
      </c>
      <c r="H316" s="683">
        <f t="shared" si="54"/>
        <v>85.2</v>
      </c>
      <c r="I316" s="836">
        <v>1</v>
      </c>
      <c r="J316" s="680" t="s">
        <v>45</v>
      </c>
      <c r="K316" s="854" t="s">
        <v>12593</v>
      </c>
      <c r="L316" s="855" t="s">
        <v>13858</v>
      </c>
      <c r="M316" s="680" t="s">
        <v>25</v>
      </c>
      <c r="N316" s="868">
        <f>IFERROR(VLOOKUP(C316,[3]List1!$A:$D,4,FALSE),"N/A!")</f>
        <v>2.5042500000000002E-2</v>
      </c>
      <c r="O316" s="836">
        <f>IFERROR(VLOOKUP(C316,[3]List1!$A:$D,3,FALSE),"N/A!")</f>
        <v>1000</v>
      </c>
      <c r="P316" s="836">
        <f>IFERROR(VLOOKUP(C316,[3]List1!$A:$D,2,FALSE),"N/A!")</f>
        <v>10000</v>
      </c>
      <c r="Q316" s="680" t="s">
        <v>13774</v>
      </c>
      <c r="R316" s="680" t="s">
        <v>24</v>
      </c>
      <c r="S316" s="680"/>
      <c r="T316" s="681">
        <v>100</v>
      </c>
      <c r="U316" s="873"/>
      <c r="V316" s="684" t="str">
        <f>_xlfn.IFNA(HYPERLINK("https://www.klasekpyrotechnics.cz/c20020xpr-c14"),"")</f>
        <v>https://www.klasekpyrotechnics.cz/c20020xpr-c14</v>
      </c>
      <c r="W316" s="685" t="str">
        <f>IFERROR(VLOOKUP($C316,Popisy!A:P,MATCH($W$17,Popisy!$A$7:$P$7,0),FALSE),"---------------")</f>
        <v>20 verschiedenfarbige Effekte</v>
      </c>
      <c r="X316" s="889" t="str">
        <f t="shared" si="55"/>
        <v/>
      </c>
      <c r="Y316" s="890"/>
      <c r="Z316" s="685" t="str">
        <f>IFERROR(IF(VLOOKUP(C316,[4]List1!$A:$D,4,FALSE)=0,"",VLOOKUP(C316,[4]List1!$A:$D,4,FALSE)),"")</f>
        <v>40</v>
      </c>
      <c r="AA316" s="707"/>
      <c r="AB316" s="911" t="str">
        <f>IFERROR(IF(VLOOKUP(C316,[1]List1!$A:$D,2,FALSE)="VYPRODÁNO",$V$9,IF(VLOOKUP(C316,[1]List1!$A:$D,2,FALSE)="DOCHÁZÍ",$V$3,VLOOKUP(C316,[1]List1!$A:$D,2,FALSE))),"OFFLINE!")</f>
        <v>SKLADEM</v>
      </c>
      <c r="AC316" s="911" t="str">
        <f ca="1">IF(AO316="NE",$V$10,IF(AB316=$V$3,IF(AP316&lt;1,$V$8,$V$2&amp;" "&amp;AP316&amp;" "&amp;$V$1),IF(AB316="SKLADEM",$V$6,IFERROR(IF(OR(AB316-TODAY()&gt;21,VLOOKUP(C316,[1]List1!$A:$E,4,FALSE)=0),AB316,DAY(AB316)&amp;"."&amp;MONTH(AB316)&amp;"."&amp;YEAR(AB316)&amp;" "&amp;$V$4&amp;VLOOKUP(C316,[1]List1!$A:$E,4,FALSE)&amp;" "&amp;$V$1),AB316))))</f>
        <v>AUF LAGER</v>
      </c>
      <c r="AD316" s="686" t="str">
        <f ca="1">_xlfn.IFNA(VLOOKUP(C316,'General price list'!C:AM,MATCH($AD$20,'General price list'!$C$20:$AM$20,0),FALSE),"")</f>
        <v>AUF LAGER</v>
      </c>
      <c r="AE316" s="681">
        <f t="shared" ca="1" si="56"/>
        <v>0</v>
      </c>
      <c r="AF316" s="681">
        <f t="shared" ca="1" si="57"/>
        <v>0</v>
      </c>
      <c r="AG316" s="687">
        <f t="shared" ca="1" si="58"/>
        <v>0</v>
      </c>
      <c r="AH316" s="688">
        <f t="shared" ca="1" si="59"/>
        <v>0</v>
      </c>
      <c r="AI316" s="687">
        <f t="shared" ca="1" si="60"/>
        <v>0</v>
      </c>
      <c r="AJ316" s="689" t="str">
        <f t="shared" ca="1" si="61"/>
        <v/>
      </c>
      <c r="AK316" s="689" t="str">
        <f t="shared" ca="1" si="62"/>
        <v/>
      </c>
      <c r="AL316" s="689">
        <f t="shared" ca="1" si="63"/>
        <v>0</v>
      </c>
      <c r="AM316" s="690" t="str">
        <f t="shared" ca="1" si="64"/>
        <v/>
      </c>
      <c r="AN316" s="382"/>
      <c r="AO316" s="314" t="str">
        <f>IF($R$3=1,IF(Y316=AA316,"","NE"),IF(#REF!=$V$10,"NE",""))</f>
        <v/>
      </c>
      <c r="AP316" s="315" t="str">
        <f>IF(AB316=$V$3,IF(VLOOKUP(C316,[1]List1!$A:$E,5,FALSE)=0,1,VLOOKUP(C316,[1]List1!$A:$E,5,FALSE)),"")</f>
        <v/>
      </c>
      <c r="AW316" s="458">
        <f>IFERROR(FIND(VLOOKUP('General price list'!$AB$7,'General price list'!$AC$1:$AD$12,2,FALSE),Q316,1),0)</f>
        <v>7</v>
      </c>
      <c r="AX316" s="458">
        <f>IFERROR(FIND(VLOOKUP('General price list'!$AB$7,'General price list'!$AC$1:$AD$12,2,FALSE),R316,1),0)</f>
        <v>0</v>
      </c>
    </row>
    <row r="317" spans="1:50" ht="15" customHeight="1">
      <c r="A317" s="691" t="str">
        <f>Kat.!C317</f>
        <v xml:space="preserve">                                          </v>
      </c>
      <c r="B317" s="692">
        <v>296</v>
      </c>
      <c r="C317" s="693" t="s">
        <v>4949</v>
      </c>
      <c r="D317" s="693" t="s">
        <v>4950</v>
      </c>
      <c r="E317" s="694" t="s">
        <v>129</v>
      </c>
      <c r="F317" s="695">
        <f>VLOOKUP(C317,[2]List1!$A:$D,2,FALSE)</f>
        <v>2095</v>
      </c>
      <c r="G317" s="696">
        <f t="shared" si="53"/>
        <v>2095</v>
      </c>
      <c r="H317" s="697">
        <f t="shared" si="54"/>
        <v>85.2</v>
      </c>
      <c r="I317" s="837">
        <v>1</v>
      </c>
      <c r="J317" s="698" t="s">
        <v>45</v>
      </c>
      <c r="K317" s="856" t="s">
        <v>12593</v>
      </c>
      <c r="L317" s="857" t="s">
        <v>13858</v>
      </c>
      <c r="M317" s="698" t="s">
        <v>25</v>
      </c>
      <c r="N317" s="869">
        <f>IFERROR(VLOOKUP(C317,[3]List1!$A:$D,4,FALSE),"N/A!")</f>
        <v>2.5042500000000002E-2</v>
      </c>
      <c r="O317" s="837">
        <f>IFERROR(VLOOKUP(C317,[3]List1!$A:$D,3,FALSE),"N/A!")</f>
        <v>1000</v>
      </c>
      <c r="P317" s="837">
        <f>IFERROR(VLOOKUP(C317,[3]List1!$A:$D,2,FALSE),"N/A!")</f>
        <v>10000</v>
      </c>
      <c r="Q317" s="698" t="s">
        <v>13774</v>
      </c>
      <c r="R317" s="698" t="s">
        <v>24</v>
      </c>
      <c r="S317" s="698"/>
      <c r="T317" s="695">
        <v>80</v>
      </c>
      <c r="U317" s="874"/>
      <c r="V317" s="699" t="str">
        <f>_xlfn.IFNA(HYPERLINK("https://www.klasekpyrotechnics.cz/c20020xts-c14"),"")</f>
        <v>https://www.klasekpyrotechnics.cz/c20020xts-c14</v>
      </c>
      <c r="W317" s="700" t="str">
        <f>IFERROR(VLOOKUP($C317,Popisy!A:P,MATCH($W$17,Popisy!$A$7:$P$7,0),FALSE),"---------------")</f>
        <v>20 verschiedenfarbige Effekte</v>
      </c>
      <c r="X317" s="891" t="str">
        <f t="shared" si="55"/>
        <v/>
      </c>
      <c r="Y317" s="892"/>
      <c r="Z317" s="700" t="str">
        <f>IFERROR(IF(VLOOKUP(C317,[4]List1!$A:$D,4,FALSE)=0,"",VLOOKUP(C317,[4]List1!$A:$D,4,FALSE)),"")</f>
        <v>40</v>
      </c>
      <c r="AA317" s="707"/>
      <c r="AB317" s="912" t="str">
        <f>IFERROR(IF(VLOOKUP(C317,[1]List1!$A:$D,2,FALSE)="VYPRODÁNO",$V$9,IF(VLOOKUP(C317,[1]List1!$A:$D,2,FALSE)="DOCHÁZÍ",$V$3,VLOOKUP(C317,[1]List1!$A:$D,2,FALSE))),"OFFLINE!")</f>
        <v>SKLADEM</v>
      </c>
      <c r="AC317" s="912" t="str">
        <f ca="1">IF(AO317="NE",$V$10,IF(AB317=$V$3,IF(AP317&lt;1,$V$8,$V$2&amp;" "&amp;AP317&amp;" "&amp;$V$1),IF(AB317="SKLADEM",$V$6,IFERROR(IF(OR(AB317-TODAY()&gt;21,VLOOKUP(C317,[1]List1!$A:$E,4,FALSE)=0),AB317,DAY(AB317)&amp;"."&amp;MONTH(AB317)&amp;"."&amp;YEAR(AB317)&amp;" "&amp;$V$4&amp;VLOOKUP(C317,[1]List1!$A:$E,4,FALSE)&amp;" "&amp;$V$1),AB317))))</f>
        <v>AUF LAGER</v>
      </c>
      <c r="AD317" s="701" t="str">
        <f ca="1">_xlfn.IFNA(VLOOKUP(C317,'General price list'!C:AM,MATCH($AD$20,'General price list'!$C$20:$AM$20,0),FALSE),"")</f>
        <v>AUF LAGER</v>
      </c>
      <c r="AE317" s="695">
        <f t="shared" ca="1" si="56"/>
        <v>0</v>
      </c>
      <c r="AF317" s="695">
        <f t="shared" ca="1" si="57"/>
        <v>0</v>
      </c>
      <c r="AG317" s="702">
        <f t="shared" ca="1" si="58"/>
        <v>0</v>
      </c>
      <c r="AH317" s="703">
        <f t="shared" ca="1" si="59"/>
        <v>0</v>
      </c>
      <c r="AI317" s="702">
        <f t="shared" ca="1" si="60"/>
        <v>0</v>
      </c>
      <c r="AJ317" s="704" t="str">
        <f t="shared" ca="1" si="61"/>
        <v/>
      </c>
      <c r="AK317" s="704" t="str">
        <f t="shared" ca="1" si="62"/>
        <v/>
      </c>
      <c r="AL317" s="704">
        <f t="shared" ca="1" si="63"/>
        <v>0</v>
      </c>
      <c r="AM317" s="705" t="str">
        <f t="shared" ca="1" si="64"/>
        <v/>
      </c>
      <c r="AN317" s="382"/>
      <c r="AO317" s="314" t="str">
        <f>IF($R$3=1,IF(Y317=AA317,"","NE"),IF(#REF!=$V$10,"NE",""))</f>
        <v/>
      </c>
      <c r="AP317" s="315" t="str">
        <f>IF(AB317=$V$3,IF(VLOOKUP(C317,[1]List1!$A:$E,5,FALSE)=0,1,VLOOKUP(C317,[1]List1!$A:$E,5,FALSE)),"")</f>
        <v/>
      </c>
      <c r="AW317" s="458">
        <f>IFERROR(FIND(VLOOKUP('General price list'!$AB$7,'General price list'!$AC$1:$AD$12,2,FALSE),Q317,1),0)</f>
        <v>7</v>
      </c>
      <c r="AX317" s="458">
        <f>IFERROR(FIND(VLOOKUP('General price list'!$AB$7,'General price list'!$AC$1:$AD$12,2,FALSE),R317,1),0)</f>
        <v>0</v>
      </c>
    </row>
    <row r="318" spans="1:50" ht="15" customHeight="1">
      <c r="A318" s="677" t="str">
        <f>Kat.!C318</f>
        <v xml:space="preserve">                                          </v>
      </c>
      <c r="B318" s="678">
        <v>297</v>
      </c>
      <c r="C318" s="679" t="s">
        <v>1169</v>
      </c>
      <c r="D318" s="679" t="s">
        <v>1282</v>
      </c>
      <c r="E318" s="680" t="s">
        <v>129</v>
      </c>
      <c r="F318" s="681">
        <f>VLOOKUP(C318,[2]List1!$A:$D,2,FALSE)</f>
        <v>1912</v>
      </c>
      <c r="G318" s="682">
        <f t="shared" si="53"/>
        <v>1912</v>
      </c>
      <c r="H318" s="683">
        <f t="shared" si="54"/>
        <v>77.8</v>
      </c>
      <c r="I318" s="836">
        <v>1</v>
      </c>
      <c r="J318" s="680" t="s">
        <v>45</v>
      </c>
      <c r="K318" s="854"/>
      <c r="L318" s="855" t="s">
        <v>13832</v>
      </c>
      <c r="M318" s="680" t="s">
        <v>25</v>
      </c>
      <c r="N318" s="868">
        <f>IFERROR(VLOOKUP(C318,[3]List1!$A:$D,4,FALSE),"N/A!")</f>
        <v>1.8269999999999998E-2</v>
      </c>
      <c r="O318" s="836">
        <f>IFERROR(VLOOKUP(C318,[3]List1!$A:$D,3,FALSE),"N/A!")</f>
        <v>1494</v>
      </c>
      <c r="P318" s="836">
        <f>IFERROR(VLOOKUP(C318,[3]List1!$A:$D,2,FALSE),"N/A!")</f>
        <v>9580</v>
      </c>
      <c r="Q318" s="680" t="s">
        <v>13747</v>
      </c>
      <c r="R318" s="680" t="s">
        <v>24</v>
      </c>
      <c r="S318" s="680"/>
      <c r="T318" s="681">
        <v>150</v>
      </c>
      <c r="U318" s="873"/>
      <c r="V318" s="684" t="str">
        <f>_xlfn.IFNA(HYPERLINK("https://www.klasekpyrotechnics.cz/c19220f-c14"),"")</f>
        <v>https://www.klasekpyrotechnics.cz/c19220f-c14</v>
      </c>
      <c r="W318" s="685" t="str">
        <f>IFERROR(VLOOKUP($C318,Popisy!A:P,MATCH($W$17,Popisy!$A$7:$P$7,0),FALSE),"---------------")</f>
        <v>24 verschiedenfarbige Effekte</v>
      </c>
      <c r="X318" s="889" t="str">
        <f t="shared" si="55"/>
        <v/>
      </c>
      <c r="Y318" s="890"/>
      <c r="Z318" s="685">
        <f>IFERROR(IF(VLOOKUP(C318,[4]List1!$A:$D,4,FALSE)=0,"",VLOOKUP(C318,[4]List1!$A:$D,4,FALSE)),"")</f>
        <v>66</v>
      </c>
      <c r="AA318" s="707"/>
      <c r="AB318" s="911" t="str">
        <f>IFERROR(IF(VLOOKUP(C318,[1]List1!$A:$D,2,FALSE)="VYPRODÁNO",$V$9,IF(VLOOKUP(C318,[1]List1!$A:$D,2,FALSE)="DOCHÁZÍ",$V$3,VLOOKUP(C318,[1]List1!$A:$D,2,FALSE))),"OFFLINE!")</f>
        <v>SKLADEM</v>
      </c>
      <c r="AC318" s="911" t="str">
        <f ca="1">IF(AO318="NE",$V$10,IF(AB318=$V$3,IF(AP318&lt;1,$V$8,$V$2&amp;" "&amp;AP318&amp;" "&amp;$V$1),IF(AB318="SKLADEM",$V$6,IFERROR(IF(OR(AB318-TODAY()&gt;21,VLOOKUP(C318,[1]List1!$A:$E,4,FALSE)=0),AB318,DAY(AB318)&amp;"."&amp;MONTH(AB318)&amp;"."&amp;YEAR(AB318)&amp;" "&amp;$V$4&amp;VLOOKUP(C318,[1]List1!$A:$E,4,FALSE)&amp;" "&amp;$V$1),AB318))))</f>
        <v>AUF LAGER</v>
      </c>
      <c r="AD318" s="686" t="str">
        <f ca="1">_xlfn.IFNA(VLOOKUP(C318,'General price list'!C:AM,MATCH($AD$20,'General price list'!$C$20:$AM$20,0),FALSE),"")</f>
        <v>AUF LAGER</v>
      </c>
      <c r="AE318" s="681">
        <f t="shared" ca="1" si="56"/>
        <v>0</v>
      </c>
      <c r="AF318" s="681">
        <f t="shared" ca="1" si="57"/>
        <v>0</v>
      </c>
      <c r="AG318" s="687">
        <f t="shared" ca="1" si="58"/>
        <v>0</v>
      </c>
      <c r="AH318" s="688">
        <f t="shared" ca="1" si="59"/>
        <v>0</v>
      </c>
      <c r="AI318" s="687">
        <f t="shared" ca="1" si="60"/>
        <v>0</v>
      </c>
      <c r="AJ318" s="689" t="str">
        <f t="shared" ca="1" si="61"/>
        <v/>
      </c>
      <c r="AK318" s="689" t="str">
        <f t="shared" ca="1" si="62"/>
        <v/>
      </c>
      <c r="AL318" s="689">
        <f t="shared" ca="1" si="63"/>
        <v>0</v>
      </c>
      <c r="AM318" s="690" t="str">
        <f t="shared" ca="1" si="64"/>
        <v/>
      </c>
      <c r="AN318" s="313"/>
      <c r="AO318" s="314" t="str">
        <f>IF($R$3=1,IF(Y318=AA318,"","NE"),IF(#REF!=$V$10,"NE",""))</f>
        <v/>
      </c>
      <c r="AP318" s="315" t="str">
        <f>IF(AB318=$V$3,IF(VLOOKUP(C318,[1]List1!$A:$E,5,FALSE)=0,1,VLOOKUP(C318,[1]List1!$A:$E,5,FALSE)),"")</f>
        <v/>
      </c>
      <c r="AW318" s="458">
        <f>IFERROR(FIND(VLOOKUP('General price list'!$AB$7,'General price list'!$AC$1:$AD$12,2,FALSE),Q318,1),0)</f>
        <v>13</v>
      </c>
      <c r="AX318" s="458">
        <f>IFERROR(FIND(VLOOKUP('General price list'!$AB$7,'General price list'!$AC$1:$AD$12,2,FALSE),R318,1),0)</f>
        <v>0</v>
      </c>
    </row>
    <row r="319" spans="1:50" ht="15" customHeight="1">
      <c r="A319" s="691" t="str">
        <f>Kat.!C319</f>
        <v xml:space="preserve">                                          </v>
      </c>
      <c r="B319" s="692">
        <v>298</v>
      </c>
      <c r="C319" s="693" t="s">
        <v>2349</v>
      </c>
      <c r="D319" s="693" t="s">
        <v>12131</v>
      </c>
      <c r="E319" s="694" t="s">
        <v>129</v>
      </c>
      <c r="F319" s="695">
        <f>VLOOKUP(C319,[2]List1!$A:$D,2,FALSE)</f>
        <v>3336</v>
      </c>
      <c r="G319" s="696">
        <f t="shared" si="53"/>
        <v>3336</v>
      </c>
      <c r="H319" s="697">
        <f t="shared" si="54"/>
        <v>135.69999999999999</v>
      </c>
      <c r="I319" s="837">
        <v>1</v>
      </c>
      <c r="J319" s="698" t="s">
        <v>45</v>
      </c>
      <c r="K319" s="856"/>
      <c r="L319" s="857" t="s">
        <v>13858</v>
      </c>
      <c r="M319" s="698" t="s">
        <v>25</v>
      </c>
      <c r="N319" s="869">
        <f>IFERROR(VLOOKUP(C319,[3]List1!$A:$D,4,FALSE),"N/A!")</f>
        <v>3.2933250000000004E-2</v>
      </c>
      <c r="O319" s="837">
        <f>IFERROR(VLOOKUP(C319,[3]List1!$A:$D,3,FALSE),"N/A!")</f>
        <v>1994</v>
      </c>
      <c r="P319" s="837">
        <f>IFERROR(VLOOKUP(C319,[3]List1!$A:$D,2,FALSE),"N/A!")</f>
        <v>12700</v>
      </c>
      <c r="Q319" s="698" t="s">
        <v>13775</v>
      </c>
      <c r="R319" s="698" t="s">
        <v>24</v>
      </c>
      <c r="S319" s="698"/>
      <c r="T319" s="695">
        <v>120</v>
      </c>
      <c r="U319" s="874"/>
      <c r="V319" s="699" t="str">
        <f>_xlfn.IFNA(HYPERLINK("https://www.klasekpyrotechnics.cz/c25220xfs-c14"),"")</f>
        <v>https://www.klasekpyrotechnics.cz/c25220xfs-c14</v>
      </c>
      <c r="W319" s="700" t="str">
        <f>IFERROR(VLOOKUP($C319,Popisy!A:P,MATCH($W$17,Popisy!$A$7:$P$7,0),FALSE),"---------------")</f>
        <v>24 verschiedenfarbige Effekte</v>
      </c>
      <c r="X319" s="891" t="str">
        <f t="shared" si="55"/>
        <v/>
      </c>
      <c r="Y319" s="892"/>
      <c r="Z319" s="700" t="str">
        <f>IFERROR(IF(VLOOKUP(C319,[4]List1!$A:$D,4,FALSE)=0,"",VLOOKUP(C319,[4]List1!$A:$D,4,FALSE)),"")</f>
        <v>40</v>
      </c>
      <c r="AA319" s="707"/>
      <c r="AB319" s="912" t="str">
        <f>IFERROR(IF(VLOOKUP(C319,[1]List1!$A:$D,2,FALSE)="VYPRODÁNO",$V$9,IF(VLOOKUP(C319,[1]List1!$A:$D,2,FALSE)="DOCHÁZÍ",$V$3,VLOOKUP(C319,[1]List1!$A:$D,2,FALSE))),"OFFLINE!")</f>
        <v>SKLADEM</v>
      </c>
      <c r="AC319" s="912" t="str">
        <f ca="1">IF(AO319="NE",$V$10,IF(AB319=$V$3,IF(AP319&lt;1,$V$8,$V$2&amp;" "&amp;AP319&amp;" "&amp;$V$1),IF(AB319="SKLADEM",$V$6,IFERROR(IF(OR(AB319-TODAY()&gt;21,VLOOKUP(C319,[1]List1!$A:$E,4,FALSE)=0),AB319,DAY(AB319)&amp;"."&amp;MONTH(AB319)&amp;"."&amp;YEAR(AB319)&amp;" "&amp;$V$4&amp;VLOOKUP(C319,[1]List1!$A:$E,4,FALSE)&amp;" "&amp;$V$1),AB319))))</f>
        <v>AUF LAGER</v>
      </c>
      <c r="AD319" s="701" t="str">
        <f ca="1">_xlfn.IFNA(VLOOKUP(C319,'General price list'!C:AM,MATCH($AD$20,'General price list'!$C$20:$AM$20,0),FALSE),"")</f>
        <v>AUF LAGER</v>
      </c>
      <c r="AE319" s="695">
        <f t="shared" ca="1" si="56"/>
        <v>0</v>
      </c>
      <c r="AF319" s="695">
        <f t="shared" ca="1" si="57"/>
        <v>0</v>
      </c>
      <c r="AG319" s="702">
        <f t="shared" ca="1" si="58"/>
        <v>0</v>
      </c>
      <c r="AH319" s="703">
        <f t="shared" ca="1" si="59"/>
        <v>0</v>
      </c>
      <c r="AI319" s="702">
        <f t="shared" ca="1" si="60"/>
        <v>0</v>
      </c>
      <c r="AJ319" s="704" t="str">
        <f t="shared" ca="1" si="61"/>
        <v/>
      </c>
      <c r="AK319" s="704" t="str">
        <f t="shared" ca="1" si="62"/>
        <v/>
      </c>
      <c r="AL319" s="704">
        <f t="shared" ca="1" si="63"/>
        <v>0</v>
      </c>
      <c r="AM319" s="705" t="str">
        <f t="shared" ca="1" si="64"/>
        <v/>
      </c>
      <c r="AN319" s="382"/>
      <c r="AO319" s="314" t="str">
        <f>IF($R$3=1,IF(Y319=AA319,"","NE"),IF(#REF!=$V$10,"NE",""))</f>
        <v/>
      </c>
      <c r="AP319" s="315" t="str">
        <f>IF(AB319=$V$3,IF(VLOOKUP(C319,[1]List1!$A:$E,5,FALSE)=0,1,VLOOKUP(C319,[1]List1!$A:$E,5,FALSE)),"")</f>
        <v/>
      </c>
      <c r="AW319" s="458">
        <f>IFERROR(FIND(VLOOKUP('General price list'!$AB$7,'General price list'!$AC$1:$AD$12,2,FALSE),Q319,1),0)</f>
        <v>13</v>
      </c>
      <c r="AX319" s="458">
        <f>IFERROR(FIND(VLOOKUP('General price list'!$AB$7,'General price list'!$AC$1:$AD$12,2,FALSE),R319,1),0)</f>
        <v>0</v>
      </c>
    </row>
    <row r="320" spans="1:50" ht="15" customHeight="1">
      <c r="A320" s="677" t="str">
        <f>Kat.!C320</f>
        <v xml:space="preserve">                                          </v>
      </c>
      <c r="B320" s="678">
        <v>299</v>
      </c>
      <c r="C320" s="679" t="s">
        <v>1173</v>
      </c>
      <c r="D320" s="679" t="s">
        <v>1174</v>
      </c>
      <c r="E320" s="680" t="s">
        <v>129</v>
      </c>
      <c r="F320" s="681">
        <f>VLOOKUP(C320,[2]List1!$A:$D,2,FALSE)</f>
        <v>2631</v>
      </c>
      <c r="G320" s="682">
        <f t="shared" si="53"/>
        <v>2631</v>
      </c>
      <c r="H320" s="683">
        <f t="shared" si="54"/>
        <v>107</v>
      </c>
      <c r="I320" s="836">
        <v>1</v>
      </c>
      <c r="J320" s="680" t="s">
        <v>45</v>
      </c>
      <c r="K320" s="854"/>
      <c r="L320" s="855" t="s">
        <v>13832</v>
      </c>
      <c r="M320" s="680" t="s">
        <v>25</v>
      </c>
      <c r="N320" s="868">
        <f>IFERROR(VLOOKUP(C320,[3]List1!$A:$D,4,FALSE),"N/A!")</f>
        <v>2.4696000000000003E-2</v>
      </c>
      <c r="O320" s="836">
        <f>IFERROR(VLOOKUP(C320,[3]List1!$A:$D,3,FALSE),"N/A!")</f>
        <v>1992</v>
      </c>
      <c r="P320" s="836">
        <f>IFERROR(VLOOKUP(C320,[3]List1!$A:$D,2,FALSE),"N/A!")</f>
        <v>12000</v>
      </c>
      <c r="Q320" s="680" t="s">
        <v>13776</v>
      </c>
      <c r="R320" s="680" t="s">
        <v>24</v>
      </c>
      <c r="S320" s="680"/>
      <c r="T320" s="681">
        <v>180</v>
      </c>
      <c r="U320" s="873"/>
      <c r="V320" s="684" t="str">
        <f>_xlfn.IFNA(HYPERLINK("https://www.klasekpyrotechnics.cz/c25620f-c14"),"")</f>
        <v>https://www.klasekpyrotechnics.cz/c25620f-c14</v>
      </c>
      <c r="W320" s="685" t="str">
        <f>IFERROR(VLOOKUP($C320,Popisy!A:P,MATCH($W$17,Popisy!$A$7:$P$7,0),FALSE),"---------------")</f>
        <v>32 verschiedenfarbige Effekte</v>
      </c>
      <c r="X320" s="889" t="str">
        <f t="shared" si="55"/>
        <v/>
      </c>
      <c r="Y320" s="890"/>
      <c r="Z320" s="685">
        <f>IFERROR(IF(VLOOKUP(C320,[4]List1!$A:$D,4,FALSE)=0,"",VLOOKUP(C320,[4]List1!$A:$D,4,FALSE)),"")</f>
        <v>66</v>
      </c>
      <c r="AA320" s="707"/>
      <c r="AB320" s="911" t="str">
        <f>IFERROR(IF(VLOOKUP(C320,[1]List1!$A:$D,2,FALSE)="VYPRODÁNO",$V$9,IF(VLOOKUP(C320,[1]List1!$A:$D,2,FALSE)="DOCHÁZÍ",$V$3,VLOOKUP(C320,[1]List1!$A:$D,2,FALSE))),"OFFLINE!")</f>
        <v>SKLADEM</v>
      </c>
      <c r="AC320" s="911" t="str">
        <f ca="1">IF(AO320="NE",$V$10,IF(AB320=$V$3,IF(AP320&lt;1,$V$8,$V$2&amp;" "&amp;AP320&amp;" "&amp;$V$1),IF(AB320="SKLADEM",$V$6,IFERROR(IF(OR(AB320-TODAY()&gt;21,VLOOKUP(C320,[1]List1!$A:$E,4,FALSE)=0),AB320,DAY(AB320)&amp;"."&amp;MONTH(AB320)&amp;"."&amp;YEAR(AB320)&amp;" "&amp;$V$4&amp;VLOOKUP(C320,[1]List1!$A:$E,4,FALSE)&amp;" "&amp;$V$1),AB320))))</f>
        <v>AUF LAGER</v>
      </c>
      <c r="AD320" s="686" t="str">
        <f ca="1">_xlfn.IFNA(VLOOKUP(C320,'General price list'!C:AM,MATCH($AD$20,'General price list'!$C$20:$AM$20,0),FALSE),"")</f>
        <v>AUF LAGER</v>
      </c>
      <c r="AE320" s="681">
        <f t="shared" ca="1" si="56"/>
        <v>0</v>
      </c>
      <c r="AF320" s="681">
        <f t="shared" ca="1" si="57"/>
        <v>0</v>
      </c>
      <c r="AG320" s="687">
        <f t="shared" ca="1" si="58"/>
        <v>0</v>
      </c>
      <c r="AH320" s="688">
        <f t="shared" ca="1" si="59"/>
        <v>0</v>
      </c>
      <c r="AI320" s="687">
        <f t="shared" ca="1" si="60"/>
        <v>0</v>
      </c>
      <c r="AJ320" s="689" t="str">
        <f t="shared" ca="1" si="61"/>
        <v/>
      </c>
      <c r="AK320" s="689" t="str">
        <f t="shared" ca="1" si="62"/>
        <v/>
      </c>
      <c r="AL320" s="689">
        <f t="shared" ca="1" si="63"/>
        <v>0</v>
      </c>
      <c r="AM320" s="690" t="str">
        <f t="shared" ca="1" si="64"/>
        <v/>
      </c>
      <c r="AN320" s="382"/>
      <c r="AO320" s="314" t="str">
        <f>IF($R$3=1,IF(Y320=AA320,"","NE"),IF(#REF!=$V$10,"NE",""))</f>
        <v/>
      </c>
      <c r="AP320" s="315" t="str">
        <f>IF(AB320=$V$3,IF(VLOOKUP(C320,[1]List1!$A:$E,5,FALSE)=0,1,VLOOKUP(C320,[1]List1!$A:$E,5,FALSE)),"")</f>
        <v/>
      </c>
      <c r="AW320" s="458">
        <f>IFERROR(FIND(VLOOKUP('General price list'!$AB$7,'General price list'!$AC$1:$AD$12,2,FALSE),Q320,1),0)</f>
        <v>10</v>
      </c>
      <c r="AX320" s="458">
        <f>IFERROR(FIND(VLOOKUP('General price list'!$AB$7,'General price list'!$AC$1:$AD$12,2,FALSE),R320,1),0)</f>
        <v>0</v>
      </c>
    </row>
    <row r="321" spans="1:50" ht="15" customHeight="1">
      <c r="A321" s="691" t="str">
        <f>Kat.!C321</f>
        <v xml:space="preserve">                                          </v>
      </c>
      <c r="B321" s="692">
        <v>300</v>
      </c>
      <c r="C321" s="693" t="s">
        <v>1178</v>
      </c>
      <c r="D321" s="693" t="s">
        <v>1179</v>
      </c>
      <c r="E321" s="694" t="s">
        <v>129</v>
      </c>
      <c r="F321" s="695">
        <f>VLOOKUP(C321,[2]List1!$A:$D,2,FALSE)</f>
        <v>3554</v>
      </c>
      <c r="G321" s="696">
        <f t="shared" si="53"/>
        <v>3554</v>
      </c>
      <c r="H321" s="697">
        <f t="shared" si="54"/>
        <v>144.6</v>
      </c>
      <c r="I321" s="837">
        <v>1</v>
      </c>
      <c r="J321" s="698" t="s">
        <v>45</v>
      </c>
      <c r="K321" s="856"/>
      <c r="L321" s="857" t="s">
        <v>13858</v>
      </c>
      <c r="M321" s="698" t="s">
        <v>25</v>
      </c>
      <c r="N321" s="869">
        <f>IFERROR(VLOOKUP(C321,[3]List1!$A:$D,4,FALSE),"N/A!")</f>
        <v>5.5107499999999997E-2</v>
      </c>
      <c r="O321" s="837">
        <f>IFERROR(VLOOKUP(C321,[3]List1!$A:$D,3,FALSE),"N/A!")</f>
        <v>1960</v>
      </c>
      <c r="P321" s="837">
        <f>IFERROR(VLOOKUP(C321,[3]List1!$A:$D,2,FALSE),"N/A!")</f>
        <v>15000</v>
      </c>
      <c r="Q321" s="698" t="s">
        <v>13777</v>
      </c>
      <c r="R321" s="698" t="s">
        <v>24</v>
      </c>
      <c r="S321" s="698"/>
      <c r="T321" s="695">
        <v>180</v>
      </c>
      <c r="U321" s="874"/>
      <c r="V321" s="699" t="str">
        <f>_xlfn.IFNA(HYPERLINK("https://www.klasekpyrotechnics.cz/c26420n-c14"),"")</f>
        <v>https://www.klasekpyrotechnics.cz/c26420n-c14</v>
      </c>
      <c r="W321" s="700" t="str">
        <f>IFERROR(VLOOKUP($C321,Popisy!A:P,MATCH($W$17,Popisy!$A$7:$P$7,0),FALSE),"---------------")</f>
        <v>18 verschiedenfarbige Effekte</v>
      </c>
      <c r="X321" s="891" t="str">
        <f t="shared" si="55"/>
        <v/>
      </c>
      <c r="Y321" s="892"/>
      <c r="Z321" s="700">
        <f>IFERROR(IF(VLOOKUP(C321,[4]List1!$A:$D,4,FALSE)=0,"",VLOOKUP(C321,[4]List1!$A:$D,4,FALSE)),"")</f>
        <v>18</v>
      </c>
      <c r="AA321" s="707"/>
      <c r="AB321" s="912" t="str">
        <f>IFERROR(IF(VLOOKUP(C321,[1]List1!$A:$D,2,FALSE)="VYPRODÁNO",$V$9,IF(VLOOKUP(C321,[1]List1!$A:$D,2,FALSE)="DOCHÁZÍ",$V$3,VLOOKUP(C321,[1]List1!$A:$D,2,FALSE))),"OFFLINE!")</f>
        <v>SKLADEM</v>
      </c>
      <c r="AC321" s="912" t="str">
        <f ca="1">IF(AO321="NE",$V$10,IF(AB321=$V$3,IF(AP321&lt;1,$V$8,$V$2&amp;" "&amp;AP321&amp;" "&amp;$V$1),IF(AB321="SKLADEM",$V$6,IFERROR(IF(OR(AB321-TODAY()&gt;21,VLOOKUP(C321,[1]List1!$A:$E,4,FALSE)=0),AB321,DAY(AB321)&amp;"."&amp;MONTH(AB321)&amp;"."&amp;YEAR(AB321)&amp;" "&amp;$V$4&amp;VLOOKUP(C321,[1]List1!$A:$E,4,FALSE)&amp;" "&amp;$V$1),AB321))))</f>
        <v>AUF LAGER</v>
      </c>
      <c r="AD321" s="701" t="str">
        <f ca="1">_xlfn.IFNA(VLOOKUP(C321,'General price list'!C:AM,MATCH($AD$20,'General price list'!$C$20:$AM$20,0),FALSE),"")</f>
        <v>AUF LAGER</v>
      </c>
      <c r="AE321" s="695">
        <f t="shared" ca="1" si="56"/>
        <v>0</v>
      </c>
      <c r="AF321" s="695">
        <f t="shared" ca="1" si="57"/>
        <v>0</v>
      </c>
      <c r="AG321" s="702">
        <f t="shared" ca="1" si="58"/>
        <v>0</v>
      </c>
      <c r="AH321" s="703">
        <f t="shared" ca="1" si="59"/>
        <v>0</v>
      </c>
      <c r="AI321" s="702">
        <f t="shared" ca="1" si="60"/>
        <v>0</v>
      </c>
      <c r="AJ321" s="704" t="str">
        <f t="shared" ca="1" si="61"/>
        <v/>
      </c>
      <c r="AK321" s="704" t="str">
        <f t="shared" ca="1" si="62"/>
        <v/>
      </c>
      <c r="AL321" s="704">
        <f t="shared" ca="1" si="63"/>
        <v>0</v>
      </c>
      <c r="AM321" s="705" t="str">
        <f t="shared" ca="1" si="64"/>
        <v/>
      </c>
      <c r="AN321" s="382"/>
      <c r="AO321" s="314" t="str">
        <f>IF($R$3=1,IF(Y321=AA321,"","NE"),IF(#REF!=$V$10,"NE",""))</f>
        <v/>
      </c>
      <c r="AP321" s="315" t="str">
        <f>IF(AB321=$V$3,IF(VLOOKUP(C321,[1]List1!$A:$E,5,FALSE)=0,1,VLOOKUP(C321,[1]List1!$A:$E,5,FALSE)),"")</f>
        <v/>
      </c>
      <c r="AW321" s="458">
        <f>IFERROR(FIND(VLOOKUP('General price list'!$AB$7,'General price list'!$AC$1:$AD$12,2,FALSE),Q321,1),0)</f>
        <v>22</v>
      </c>
      <c r="AX321" s="458">
        <f>IFERROR(FIND(VLOOKUP('General price list'!$AB$7,'General price list'!$AC$1:$AD$12,2,FALSE),R321,1),0)</f>
        <v>0</v>
      </c>
    </row>
    <row r="322" spans="1:50" ht="15" customHeight="1">
      <c r="A322" s="677" t="str">
        <f>Kat.!C322</f>
        <v xml:space="preserve">                                          </v>
      </c>
      <c r="B322" s="678">
        <v>301</v>
      </c>
      <c r="C322" s="679" t="s">
        <v>2350</v>
      </c>
      <c r="D322" s="679" t="s">
        <v>12577</v>
      </c>
      <c r="E322" s="680" t="s">
        <v>129</v>
      </c>
      <c r="F322" s="681">
        <f>VLOOKUP(C322,[2]List1!$A:$D,2,FALSE)</f>
        <v>4476</v>
      </c>
      <c r="G322" s="682">
        <f t="shared" si="53"/>
        <v>4476</v>
      </c>
      <c r="H322" s="683">
        <f t="shared" si="54"/>
        <v>182.1</v>
      </c>
      <c r="I322" s="836">
        <v>1</v>
      </c>
      <c r="J322" s="680" t="s">
        <v>45</v>
      </c>
      <c r="K322" s="854"/>
      <c r="L322" s="855" t="s">
        <v>13858</v>
      </c>
      <c r="M322" s="680" t="s">
        <v>25</v>
      </c>
      <c r="N322" s="868">
        <f>IFERROR(VLOOKUP(C322,[3]List1!$A:$D,4,FALSE),"N/A!")</f>
        <v>5.0675999999999999E-2</v>
      </c>
      <c r="O322" s="836">
        <f>IFERROR(VLOOKUP(C322,[3]List1!$A:$D,3,FALSE),"N/A!")</f>
        <v>2000</v>
      </c>
      <c r="P322" s="836">
        <f>IFERROR(VLOOKUP(C322,[3]List1!$A:$D,2,FALSE),"N/A!")</f>
        <v>18000</v>
      </c>
      <c r="Q322" s="680" t="s">
        <v>13778</v>
      </c>
      <c r="R322" s="680" t="s">
        <v>24</v>
      </c>
      <c r="S322" s="680"/>
      <c r="T322" s="681">
        <v>200</v>
      </c>
      <c r="U322" s="873"/>
      <c r="V322" s="684" t="str">
        <f>_xlfn.IFNA(HYPERLINK("https://www.klasekpyrotechnics.cz/c40020xpr-c14"),"")</f>
        <v>https://www.klasekpyrotechnics.cz/c40020xpr-c14</v>
      </c>
      <c r="W322" s="685" t="str">
        <f>IFERROR(VLOOKUP($C322,Popisy!A:P,MATCH($W$17,Popisy!$A$7:$P$7,0),FALSE),"---------------")</f>
        <v>40 verschiedenfarbige Effekte</v>
      </c>
      <c r="X322" s="889" t="str">
        <f t="shared" si="55"/>
        <v/>
      </c>
      <c r="Y322" s="890"/>
      <c r="Z322" s="685" t="str">
        <f>IFERROR(IF(VLOOKUP(C322,[4]List1!$A:$D,4,FALSE)=0,"",VLOOKUP(C322,[4]List1!$A:$D,4,FALSE)),"")</f>
        <v>20</v>
      </c>
      <c r="AA322" s="707"/>
      <c r="AB322" s="911" t="str">
        <f>IFERROR(IF(VLOOKUP(C322,[1]List1!$A:$D,2,FALSE)="VYPRODÁNO",$V$9,IF(VLOOKUP(C322,[1]List1!$A:$D,2,FALSE)="DOCHÁZÍ",$V$3,VLOOKUP(C322,[1]List1!$A:$D,2,FALSE))),"OFFLINE!")</f>
        <v>15.06.2024</v>
      </c>
      <c r="AC322" s="911" t="str">
        <f ca="1">IF(AO322="NE",$V$10,IF(AB322=$V$3,IF(AP322&lt;1,$V$8,$V$2&amp;" "&amp;AP322&amp;" "&amp;$V$1),IF(AB322="SKLADEM",$V$6,IFERROR(IF(OR(AB322-TODAY()&gt;21,VLOOKUP(C322,[1]List1!$A:$E,4,FALSE)=0),AB322,DAY(AB322)&amp;"."&amp;MONTH(AB322)&amp;"."&amp;YEAR(AB322)&amp;" "&amp;$V$4&amp;VLOOKUP(C322,[1]List1!$A:$E,4,FALSE)&amp;" "&amp;$V$1),AB322))))</f>
        <v>15.06.2024</v>
      </c>
      <c r="AD322" s="686" t="str">
        <f ca="1">_xlfn.IFNA(VLOOKUP(C322,'General price list'!C:AM,MATCH($AD$20,'General price list'!$C$20:$AM$20,0),FALSE),"")</f>
        <v>15.06.2024</v>
      </c>
      <c r="AE322" s="681">
        <f t="shared" ca="1" si="56"/>
        <v>0</v>
      </c>
      <c r="AF322" s="681">
        <f t="shared" ca="1" si="57"/>
        <v>0</v>
      </c>
      <c r="AG322" s="687">
        <f t="shared" ca="1" si="58"/>
        <v>0</v>
      </c>
      <c r="AH322" s="688">
        <f t="shared" ca="1" si="59"/>
        <v>0</v>
      </c>
      <c r="AI322" s="687">
        <f t="shared" ca="1" si="60"/>
        <v>0</v>
      </c>
      <c r="AJ322" s="689" t="str">
        <f t="shared" ca="1" si="61"/>
        <v/>
      </c>
      <c r="AK322" s="689" t="str">
        <f t="shared" ca="1" si="62"/>
        <v/>
      </c>
      <c r="AL322" s="689">
        <f t="shared" ca="1" si="63"/>
        <v>0</v>
      </c>
      <c r="AM322" s="690" t="str">
        <f t="shared" ca="1" si="64"/>
        <v/>
      </c>
      <c r="AN322" s="382"/>
      <c r="AO322" s="314" t="str">
        <f>IF($R$3=1,IF(Y322=AA322,"","NE"),IF(#REF!=$V$10,"NE",""))</f>
        <v/>
      </c>
      <c r="AP322" s="315" t="str">
        <f>IF(AB322=$V$3,IF(VLOOKUP(C322,[1]List1!$A:$E,5,FALSE)=0,1,VLOOKUP(C322,[1]List1!$A:$E,5,FALSE)),"")</f>
        <v/>
      </c>
      <c r="AW322" s="458">
        <f>IFERROR(FIND(VLOOKUP('General price list'!$AB$7,'General price list'!$AC$1:$AD$12,2,FALSE),Q322,1),0)</f>
        <v>13</v>
      </c>
      <c r="AX322" s="458">
        <f>IFERROR(FIND(VLOOKUP('General price list'!$AB$7,'General price list'!$AC$1:$AD$12,2,FALSE),R322,1),0)</f>
        <v>0</v>
      </c>
    </row>
    <row r="323" spans="1:50" ht="15" customHeight="1">
      <c r="A323" s="672" t="str">
        <f>Kat.!C323</f>
        <v xml:space="preserve">                                          Batterien 16 schuss, 25mm Mörser-1.3G</v>
      </c>
      <c r="B323" s="692">
        <v>302</v>
      </c>
      <c r="C323" s="693"/>
      <c r="D323" s="693"/>
      <c r="E323" s="694"/>
      <c r="F323" s="695" t="str">
        <f>IFERROR(ROUND(VLOOKUP(C323,'General price list'!$C:$AN,4,FALSE),0),"")</f>
        <v/>
      </c>
      <c r="G323" s="696" t="str">
        <f t="shared" si="53"/>
        <v/>
      </c>
      <c r="H323" s="697" t="str">
        <f t="shared" si="54"/>
        <v/>
      </c>
      <c r="I323" s="837"/>
      <c r="J323" s="698"/>
      <c r="K323" s="856"/>
      <c r="L323" s="857"/>
      <c r="M323" s="698"/>
      <c r="N323" s="869" t="str">
        <f>IFERROR(IF(VLOOKUP($C323,'General price list'!$C:$AN,MATCH(N$20,'General price list'!$C$20:$AM$20,0),FALSE)=0,"",VLOOKUP($C323,'General price list'!$C:$AN,MATCH(N$20,'General price list'!$C$20:$AM$20,0),FALSE)),"")</f>
        <v/>
      </c>
      <c r="O323" s="837" t="str">
        <f>IFERROR(IF(VLOOKUP($C323,'General price list'!$C:$AN,MATCH(O$20,'General price list'!$C$20:$AM$20,0),FALSE)=0,"",VLOOKUP($C323,'General price list'!$C:$AN,MATCH(O$20,'General price list'!$C$20:$AM$20,0),FALSE)),"")</f>
        <v/>
      </c>
      <c r="P323" s="837" t="str">
        <f>IFERROR(IF(VLOOKUP($C323,'General price list'!$C:$AN,MATCH(P$20,'General price list'!$C$20:$AM$20,0),FALSE)=0,"",VLOOKUP($C323,'General price list'!$C:$AN,MATCH(P$20,'General price list'!$C$20:$AM$20,0),FALSE)),"")</f>
        <v/>
      </c>
      <c r="Q323" s="698"/>
      <c r="R323" s="698"/>
      <c r="S323" s="698"/>
      <c r="T323" s="695"/>
      <c r="U323" s="874"/>
      <c r="V323" s="699"/>
      <c r="W323" s="700" t="str">
        <f>IFERROR(VLOOKUP($C323,'General price list'!$C:$AN,MATCH(W$20,'General price list'!$C$20:$AM$20,0),FALSE),"")</f>
        <v/>
      </c>
      <c r="X323" s="891" t="str">
        <f t="shared" si="55"/>
        <v/>
      </c>
      <c r="Y323" s="892"/>
      <c r="Z323" s="700" t="str">
        <f>IFERROR(VLOOKUP($C323,'General price list'!$C:$AN,MATCH(Z$20,'General price list'!$C$20:$AM$20,0),FALSE),"")</f>
        <v/>
      </c>
      <c r="AA323" s="707"/>
      <c r="AB323" s="912" t="str">
        <f>IFERROR(IF(VLOOKUP(C323,[1]List1!$A:$D,2,FALSE)="VYPRODÁNO",$V$9,IF(VLOOKUP(C323,[1]List1!$A:$D,2,FALSE)="DOCHÁZÍ",$V$3,VLOOKUP(C323,[1]List1!$A:$D,2,FALSE))),"OFFLINE!")</f>
        <v>OFFLINE!</v>
      </c>
      <c r="AC323" s="912" t="str">
        <f ca="1">IF(AO323="NE",$V$10,IF(AB323=$V$3,IF(AP323&lt;1,$V$8,$V$2&amp;" "&amp;AP323&amp;" "&amp;$V$1),IF(AB323="SKLADEM",$V$6,IFERROR(IF(OR(AB323-TODAY()&gt;21,VLOOKUP(C323,[1]List1!$A:$E,4,FALSE)=0),AB323,DAY(AB323)&amp;"."&amp;MONTH(AB323)&amp;"."&amp;YEAR(AB323)&amp;" "&amp;$V$4&amp;VLOOKUP(C323,[1]List1!$A:$E,4,FALSE)&amp;" "&amp;$V$1),AB323))))</f>
        <v>OFFLINE!</v>
      </c>
      <c r="AD323" s="701" t="str">
        <f>_xlfn.IFNA(VLOOKUP(C323,'General price list'!C:AM,MATCH($AD$20,'General price list'!$C$20:$AM$20,0),FALSE),"")</f>
        <v/>
      </c>
      <c r="AE323" s="695" t="str">
        <f t="shared" si="56"/>
        <v/>
      </c>
      <c r="AF323" s="695" t="str">
        <f t="shared" si="57"/>
        <v/>
      </c>
      <c r="AG323" s="702" t="str">
        <f t="shared" si="58"/>
        <v/>
      </c>
      <c r="AH323" s="703" t="str">
        <f t="shared" si="59"/>
        <v/>
      </c>
      <c r="AI323" s="702" t="str">
        <f t="shared" si="60"/>
        <v/>
      </c>
      <c r="AJ323" s="704" t="str">
        <f t="shared" si="61"/>
        <v/>
      </c>
      <c r="AK323" s="704" t="str">
        <f t="shared" si="62"/>
        <v/>
      </c>
      <c r="AL323" s="704" t="str">
        <f t="shared" si="63"/>
        <v/>
      </c>
      <c r="AM323" s="705" t="str">
        <f t="shared" si="64"/>
        <v/>
      </c>
      <c r="AN323" s="313"/>
      <c r="AO323" s="314" t="str">
        <f>IF($R$3=1,IF(Y323=AA323,"","NE"),IF(#REF!=$V$10,"NE",""))</f>
        <v/>
      </c>
      <c r="AP323" s="315" t="str">
        <f>IF(AB323=$V$3,IF(VLOOKUP(C323,[1]List1!$A:$E,5,FALSE)=0,1,VLOOKUP(C323,[1]List1!$A:$E,5,FALSE)),"")</f>
        <v/>
      </c>
      <c r="AW323" s="291" t="e">
        <f>VLOOKUP(C323,'General price list'!C:AU,46,FALSE)</f>
        <v>#N/A</v>
      </c>
      <c r="AX323" s="291" t="e">
        <f>VLOOKUP(C323,'General price list'!C:AU,47,FALSE)</f>
        <v>#N/A</v>
      </c>
    </row>
    <row r="324" spans="1:50" ht="15" customHeight="1">
      <c r="A324" s="677" t="str">
        <f>Kat.!C324</f>
        <v xml:space="preserve">                                          </v>
      </c>
      <c r="B324" s="678">
        <v>303</v>
      </c>
      <c r="C324" s="679" t="s">
        <v>1205</v>
      </c>
      <c r="D324" s="679" t="s">
        <v>1206</v>
      </c>
      <c r="E324" s="680" t="s">
        <v>399</v>
      </c>
      <c r="F324" s="681">
        <f>VLOOKUP(C324,[2]List1!$A:$D,2,FALSE)</f>
        <v>229</v>
      </c>
      <c r="G324" s="682">
        <f t="shared" si="53"/>
        <v>229</v>
      </c>
      <c r="H324" s="683">
        <f t="shared" si="54"/>
        <v>9.3000000000000007</v>
      </c>
      <c r="I324" s="836">
        <v>12</v>
      </c>
      <c r="J324" s="680" t="s">
        <v>45</v>
      </c>
      <c r="K324" s="854"/>
      <c r="L324" s="855" t="s">
        <v>13849</v>
      </c>
      <c r="M324" s="680" t="s">
        <v>131</v>
      </c>
      <c r="N324" s="868">
        <f>IFERROR(VLOOKUP(C324,[3]List1!$A:$D,4,FALSE),"N/A!")</f>
        <v>3.2864000000000004E-2</v>
      </c>
      <c r="O324" s="836">
        <f>IFERROR(VLOOKUP(C324,[3]List1!$A:$D,3,FALSE),"N/A!")</f>
        <v>2496</v>
      </c>
      <c r="P324" s="836">
        <f>IFERROR(VLOOKUP(C324,[3]List1!$A:$D,2,FALSE),"N/A!")</f>
        <v>15000</v>
      </c>
      <c r="Q324" s="680" t="s">
        <v>44</v>
      </c>
      <c r="R324" s="680" t="s">
        <v>24</v>
      </c>
      <c r="S324" s="680"/>
      <c r="T324" s="681">
        <v>25</v>
      </c>
      <c r="U324" s="873"/>
      <c r="V324" s="684" t="str">
        <f>_xlfn.IFNA(HYPERLINK("https://www.klasekpyrotechnics.cz/c1625b"),"")</f>
        <v>https://www.klasekpyrotechnics.cz/c1625b</v>
      </c>
      <c r="W324" s="685" t="str">
        <f>IFERROR(VLOOKUP($C324,Popisy!A:P,MATCH($W$17,Popisy!$A$7:$P$7,0),FALSE),"---------------")</f>
        <v>4 verschiedenfarbige Effekte</v>
      </c>
      <c r="X324" s="889" t="str">
        <f t="shared" si="55"/>
        <v/>
      </c>
      <c r="Y324" s="890"/>
      <c r="Z324" s="685">
        <f>IFERROR(IF(VLOOKUP(C324,[4]List1!$A:$D,4,FALSE)=0,"",VLOOKUP(C324,[4]List1!$A:$D,4,FALSE)),"")</f>
        <v>45</v>
      </c>
      <c r="AA324" s="707"/>
      <c r="AB324" s="911" t="str">
        <f>IFERROR(IF(VLOOKUP(C324,[1]List1!$A:$D,2,FALSE)="VYPRODÁNO",$V$9,IF(VLOOKUP(C324,[1]List1!$A:$D,2,FALSE)="DOCHÁZÍ",$V$3,VLOOKUP(C324,[1]List1!$A:$D,2,FALSE))),"OFFLINE!")</f>
        <v>SKLADEM</v>
      </c>
      <c r="AC324" s="911" t="str">
        <f ca="1">IF(AO324="NE",$V$10,IF(AB324=$V$3,IF(AP324&lt;1,$V$8,$V$2&amp;" "&amp;AP324&amp;" "&amp;$V$1),IF(AB324="SKLADEM",$V$6,IFERROR(IF(OR(AB324-TODAY()&gt;21,VLOOKUP(C324,[1]List1!$A:$E,4,FALSE)=0),AB324,DAY(AB324)&amp;"."&amp;MONTH(AB324)&amp;"."&amp;YEAR(AB324)&amp;" "&amp;$V$4&amp;VLOOKUP(C324,[1]List1!$A:$E,4,FALSE)&amp;" "&amp;$V$1),AB324))))</f>
        <v>AUF LAGER</v>
      </c>
      <c r="AD324" s="686" t="str">
        <f ca="1">_xlfn.IFNA(VLOOKUP(C324,'General price list'!C:AM,MATCH($AD$20,'General price list'!$C$20:$AM$20,0),FALSE),"")</f>
        <v>AUF LAGER</v>
      </c>
      <c r="AE324" s="681">
        <f t="shared" ca="1" si="56"/>
        <v>0</v>
      </c>
      <c r="AF324" s="681">
        <f t="shared" ca="1" si="57"/>
        <v>0</v>
      </c>
      <c r="AG324" s="687">
        <f t="shared" ca="1" si="58"/>
        <v>0</v>
      </c>
      <c r="AH324" s="688">
        <f t="shared" ca="1" si="59"/>
        <v>0</v>
      </c>
      <c r="AI324" s="687">
        <f t="shared" ca="1" si="60"/>
        <v>0</v>
      </c>
      <c r="AJ324" s="689" t="str">
        <f t="shared" ca="1" si="61"/>
        <v/>
      </c>
      <c r="AK324" s="689">
        <f t="shared" ca="1" si="62"/>
        <v>0</v>
      </c>
      <c r="AL324" s="689" t="str">
        <f t="shared" ca="1" si="63"/>
        <v/>
      </c>
      <c r="AM324" s="690" t="str">
        <f t="shared" ca="1" si="64"/>
        <v/>
      </c>
      <c r="AN324" s="382"/>
      <c r="AO324" s="314" t="str">
        <f>IF($R$3=1,IF(Y324=AA324,"","NE"),IF(#REF!=$V$10,"NE",""))</f>
        <v/>
      </c>
      <c r="AP324" s="315" t="str">
        <f>IF(AB324=$V$3,IF(VLOOKUP(C324,[1]List1!$A:$E,5,FALSE)=0,1,VLOOKUP(C324,[1]List1!$A:$E,5,FALSE)),"")</f>
        <v/>
      </c>
      <c r="AW324" s="458">
        <f>IFERROR(FIND(VLOOKUP('General price list'!$AB$7,'General price list'!$AC$1:$AD$12,2,FALSE),Q324,1),0)</f>
        <v>13</v>
      </c>
      <c r="AX324" s="458">
        <f>IFERROR(FIND(VLOOKUP('General price list'!$AB$7,'General price list'!$AC$1:$AD$12,2,FALSE),R324,1),0)</f>
        <v>0</v>
      </c>
    </row>
    <row r="325" spans="1:50" ht="15" customHeight="1">
      <c r="A325" s="691" t="str">
        <f>Kat.!C325</f>
        <v xml:space="preserve">                                          </v>
      </c>
      <c r="B325" s="692">
        <v>304</v>
      </c>
      <c r="C325" s="693" t="s">
        <v>1207</v>
      </c>
      <c r="D325" s="693" t="s">
        <v>1208</v>
      </c>
      <c r="E325" s="694" t="s">
        <v>399</v>
      </c>
      <c r="F325" s="695">
        <f>VLOOKUP(C325,[2]List1!$A:$D,2,FALSE)</f>
        <v>229</v>
      </c>
      <c r="G325" s="696">
        <f t="shared" si="53"/>
        <v>229</v>
      </c>
      <c r="H325" s="697">
        <f t="shared" si="54"/>
        <v>9.3000000000000007</v>
      </c>
      <c r="I325" s="837">
        <v>12</v>
      </c>
      <c r="J325" s="698" t="s">
        <v>45</v>
      </c>
      <c r="K325" s="856"/>
      <c r="L325" s="857" t="s">
        <v>13849</v>
      </c>
      <c r="M325" s="698" t="s">
        <v>131</v>
      </c>
      <c r="N325" s="869">
        <f>IFERROR(VLOOKUP(C325,[3]List1!$A:$D,4,FALSE),"N/A!")</f>
        <v>3.2864000000000004E-2</v>
      </c>
      <c r="O325" s="837">
        <f>IFERROR(VLOOKUP(C325,[3]List1!$A:$D,3,FALSE),"N/A!")</f>
        <v>2496</v>
      </c>
      <c r="P325" s="837">
        <f>IFERROR(VLOOKUP(C325,[3]List1!$A:$D,2,FALSE),"N/A!")</f>
        <v>14500</v>
      </c>
      <c r="Q325" s="698" t="s">
        <v>44</v>
      </c>
      <c r="R325" s="698" t="s">
        <v>24</v>
      </c>
      <c r="S325" s="698"/>
      <c r="T325" s="695">
        <v>25</v>
      </c>
      <c r="U325" s="874"/>
      <c r="V325" s="699" t="str">
        <f>_xlfn.IFNA(HYPERLINK("https://www.klasekpyrotechnics.cz/c1625d"),"")</f>
        <v>https://www.klasekpyrotechnics.cz/c1625d</v>
      </c>
      <c r="W325" s="700" t="str">
        <f>IFERROR(VLOOKUP($C325,Popisy!A:P,MATCH($W$17,Popisy!$A$7:$P$7,0),FALSE),"---------------")</f>
        <v>4 verschiedenfarbige Effekte</v>
      </c>
      <c r="X325" s="891" t="str">
        <f t="shared" si="55"/>
        <v/>
      </c>
      <c r="Y325" s="892"/>
      <c r="Z325" s="700">
        <f>IFERROR(IF(VLOOKUP(C325,[4]List1!$A:$D,4,FALSE)=0,"",VLOOKUP(C325,[4]List1!$A:$D,4,FALSE)),"")</f>
        <v>45</v>
      </c>
      <c r="AA325" s="707"/>
      <c r="AB325" s="912" t="str">
        <f>IFERROR(IF(VLOOKUP(C325,[1]List1!$A:$D,2,FALSE)="VYPRODÁNO",$V$9,IF(VLOOKUP(C325,[1]List1!$A:$D,2,FALSE)="DOCHÁZÍ",$V$3,VLOOKUP(C325,[1]List1!$A:$D,2,FALSE))),"OFFLINE!")</f>
        <v>SKLADEM</v>
      </c>
      <c r="AC325" s="912" t="str">
        <f ca="1">IF(AO325="NE",$V$10,IF(AB325=$V$3,IF(AP325&lt;1,$V$8,$V$2&amp;" "&amp;AP325&amp;" "&amp;$V$1),IF(AB325="SKLADEM",$V$6,IFERROR(IF(OR(AB325-TODAY()&gt;21,VLOOKUP(C325,[1]List1!$A:$E,4,FALSE)=0),AB325,DAY(AB325)&amp;"."&amp;MONTH(AB325)&amp;"."&amp;YEAR(AB325)&amp;" "&amp;$V$4&amp;VLOOKUP(C325,[1]List1!$A:$E,4,FALSE)&amp;" "&amp;$V$1),AB325))))</f>
        <v>AUF LAGER</v>
      </c>
      <c r="AD325" s="701" t="str">
        <f ca="1">_xlfn.IFNA(VLOOKUP(C325,'General price list'!C:AM,MATCH($AD$20,'General price list'!$C$20:$AM$20,0),FALSE),"")</f>
        <v>AUF LAGER</v>
      </c>
      <c r="AE325" s="695">
        <f t="shared" ca="1" si="56"/>
        <v>0</v>
      </c>
      <c r="AF325" s="695">
        <f t="shared" ca="1" si="57"/>
        <v>0</v>
      </c>
      <c r="AG325" s="702">
        <f t="shared" ca="1" si="58"/>
        <v>0</v>
      </c>
      <c r="AH325" s="703">
        <f t="shared" ca="1" si="59"/>
        <v>0</v>
      </c>
      <c r="AI325" s="702">
        <f t="shared" ca="1" si="60"/>
        <v>0</v>
      </c>
      <c r="AJ325" s="704" t="str">
        <f t="shared" ca="1" si="61"/>
        <v/>
      </c>
      <c r="AK325" s="704">
        <f t="shared" ca="1" si="62"/>
        <v>0</v>
      </c>
      <c r="AL325" s="704" t="str">
        <f t="shared" ca="1" si="63"/>
        <v/>
      </c>
      <c r="AM325" s="705" t="str">
        <f t="shared" ca="1" si="64"/>
        <v/>
      </c>
      <c r="AN325" s="382"/>
      <c r="AO325" s="314" t="str">
        <f>IF($R$3=1,IF(Y325=AA325,"","NE"),IF(#REF!=$V$10,"NE",""))</f>
        <v/>
      </c>
      <c r="AP325" s="315" t="str">
        <f>IF(AB325=$V$3,IF(VLOOKUP(C325,[1]List1!$A:$E,5,FALSE)=0,1,VLOOKUP(C325,[1]List1!$A:$E,5,FALSE)),"")</f>
        <v/>
      </c>
      <c r="AW325" s="458">
        <f>IFERROR(FIND(VLOOKUP('General price list'!$AB$7,'General price list'!$AC$1:$AD$12,2,FALSE),Q325,1),0)</f>
        <v>13</v>
      </c>
      <c r="AX325" s="458">
        <f>IFERROR(FIND(VLOOKUP('General price list'!$AB$7,'General price list'!$AC$1:$AD$12,2,FALSE),R325,1),0)</f>
        <v>0</v>
      </c>
    </row>
    <row r="326" spans="1:50" ht="15" customHeight="1">
      <c r="A326" s="677" t="str">
        <f>Kat.!C326</f>
        <v xml:space="preserve">                                          </v>
      </c>
      <c r="B326" s="678">
        <v>305</v>
      </c>
      <c r="C326" s="679" t="s">
        <v>1209</v>
      </c>
      <c r="D326" s="679" t="s">
        <v>1210</v>
      </c>
      <c r="E326" s="680" t="s">
        <v>399</v>
      </c>
      <c r="F326" s="681">
        <f>VLOOKUP(C326,[2]List1!$A:$D,2,FALSE)</f>
        <v>229</v>
      </c>
      <c r="G326" s="682">
        <f t="shared" si="53"/>
        <v>229</v>
      </c>
      <c r="H326" s="683">
        <f t="shared" si="54"/>
        <v>9.3000000000000007</v>
      </c>
      <c r="I326" s="836">
        <v>12</v>
      </c>
      <c r="J326" s="680" t="s">
        <v>45</v>
      </c>
      <c r="K326" s="854"/>
      <c r="L326" s="855" t="s">
        <v>13849</v>
      </c>
      <c r="M326" s="680" t="s">
        <v>131</v>
      </c>
      <c r="N326" s="868">
        <f>IFERROR(VLOOKUP(C326,[3]List1!$A:$D,4,FALSE),"N/A!")</f>
        <v>3.2864000000000004E-2</v>
      </c>
      <c r="O326" s="836">
        <f>IFERROR(VLOOKUP(C326,[3]List1!$A:$D,3,FALSE),"N/A!")</f>
        <v>2496</v>
      </c>
      <c r="P326" s="836">
        <f>IFERROR(VLOOKUP(C326,[3]List1!$A:$D,2,FALSE),"N/A!")</f>
        <v>15400</v>
      </c>
      <c r="Q326" s="680" t="s">
        <v>44</v>
      </c>
      <c r="R326" s="680" t="s">
        <v>24</v>
      </c>
      <c r="S326" s="680"/>
      <c r="T326" s="681">
        <v>25</v>
      </c>
      <c r="U326" s="873"/>
      <c r="V326" s="684" t="str">
        <f>_xlfn.IFNA(HYPERLINK("https://www.klasekpyrotechnics.cz/c1625f"),"")</f>
        <v>https://www.klasekpyrotechnics.cz/c1625f</v>
      </c>
      <c r="W326" s="685" t="str">
        <f>IFERROR(VLOOKUP($C326,Popisy!A:P,MATCH($W$17,Popisy!$A$7:$P$7,0),FALSE),"---------------")</f>
        <v>4 verschiedenfarbige Effekte</v>
      </c>
      <c r="X326" s="889" t="str">
        <f t="shared" si="55"/>
        <v/>
      </c>
      <c r="Y326" s="890"/>
      <c r="Z326" s="685">
        <f>IFERROR(IF(VLOOKUP(C326,[4]List1!$A:$D,4,FALSE)=0,"",VLOOKUP(C326,[4]List1!$A:$D,4,FALSE)),"")</f>
        <v>45</v>
      </c>
      <c r="AA326" s="707"/>
      <c r="AB326" s="911" t="str">
        <f>IFERROR(IF(VLOOKUP(C326,[1]List1!$A:$D,2,FALSE)="VYPRODÁNO",$V$9,IF(VLOOKUP(C326,[1]List1!$A:$D,2,FALSE)="DOCHÁZÍ",$V$3,VLOOKUP(C326,[1]List1!$A:$D,2,FALSE))),"OFFLINE!")</f>
        <v>SKLADEM</v>
      </c>
      <c r="AC326" s="911" t="str">
        <f ca="1">IF(AO326="NE",$V$10,IF(AB326=$V$3,IF(AP326&lt;1,$V$8,$V$2&amp;" "&amp;AP326&amp;" "&amp;$V$1),IF(AB326="SKLADEM",$V$6,IFERROR(IF(OR(AB326-TODAY()&gt;21,VLOOKUP(C326,[1]List1!$A:$E,4,FALSE)=0),AB326,DAY(AB326)&amp;"."&amp;MONTH(AB326)&amp;"."&amp;YEAR(AB326)&amp;" "&amp;$V$4&amp;VLOOKUP(C326,[1]List1!$A:$E,4,FALSE)&amp;" "&amp;$V$1),AB326))))</f>
        <v>AUF LAGER</v>
      </c>
      <c r="AD326" s="686" t="str">
        <f ca="1">_xlfn.IFNA(VLOOKUP(C326,'General price list'!C:AM,MATCH($AD$20,'General price list'!$C$20:$AM$20,0),FALSE),"")</f>
        <v>AUF LAGER</v>
      </c>
      <c r="AE326" s="681">
        <f t="shared" ca="1" si="56"/>
        <v>0</v>
      </c>
      <c r="AF326" s="681">
        <f t="shared" ca="1" si="57"/>
        <v>0</v>
      </c>
      <c r="AG326" s="687">
        <f t="shared" ca="1" si="58"/>
        <v>0</v>
      </c>
      <c r="AH326" s="688">
        <f t="shared" ca="1" si="59"/>
        <v>0</v>
      </c>
      <c r="AI326" s="687">
        <f t="shared" ca="1" si="60"/>
        <v>0</v>
      </c>
      <c r="AJ326" s="689" t="str">
        <f t="shared" ca="1" si="61"/>
        <v/>
      </c>
      <c r="AK326" s="689">
        <f t="shared" ca="1" si="62"/>
        <v>0</v>
      </c>
      <c r="AL326" s="689" t="str">
        <f t="shared" ca="1" si="63"/>
        <v/>
      </c>
      <c r="AM326" s="690" t="str">
        <f t="shared" ca="1" si="64"/>
        <v/>
      </c>
      <c r="AN326" s="382"/>
      <c r="AO326" s="314" t="str">
        <f>IF($R$3=1,IF(Y326=AA326,"","NE"),IF(#REF!=$V$10,"NE",""))</f>
        <v/>
      </c>
      <c r="AP326" s="315" t="str">
        <f>IF(AB326=$V$3,IF(VLOOKUP(C326,[1]List1!$A:$E,5,FALSE)=0,1,VLOOKUP(C326,[1]List1!$A:$E,5,FALSE)),"")</f>
        <v/>
      </c>
      <c r="AW326" s="458">
        <f>IFERROR(FIND(VLOOKUP('General price list'!$AB$7,'General price list'!$AC$1:$AD$12,2,FALSE),Q326,1),0)</f>
        <v>13</v>
      </c>
      <c r="AX326" s="458">
        <f>IFERROR(FIND(VLOOKUP('General price list'!$AB$7,'General price list'!$AC$1:$AD$12,2,FALSE),R326,1),0)</f>
        <v>0</v>
      </c>
    </row>
    <row r="327" spans="1:50" ht="15" customHeight="1">
      <c r="A327" s="691" t="str">
        <f>Kat.!C327</f>
        <v xml:space="preserve">                                          </v>
      </c>
      <c r="B327" s="692">
        <v>306</v>
      </c>
      <c r="C327" s="693" t="s">
        <v>1211</v>
      </c>
      <c r="D327" s="693" t="s">
        <v>1212</v>
      </c>
      <c r="E327" s="694" t="s">
        <v>399</v>
      </c>
      <c r="F327" s="695">
        <f>VLOOKUP(C327,[2]List1!$A:$D,2,FALSE)</f>
        <v>229</v>
      </c>
      <c r="G327" s="696">
        <f t="shared" si="53"/>
        <v>229</v>
      </c>
      <c r="H327" s="697">
        <f t="shared" si="54"/>
        <v>9.3000000000000007</v>
      </c>
      <c r="I327" s="837">
        <v>12</v>
      </c>
      <c r="J327" s="698" t="s">
        <v>45</v>
      </c>
      <c r="K327" s="856"/>
      <c r="L327" s="857" t="s">
        <v>13849</v>
      </c>
      <c r="M327" s="698" t="s">
        <v>131</v>
      </c>
      <c r="N327" s="869">
        <f>IFERROR(VLOOKUP(C327,[3]List1!$A:$D,4,FALSE),"N/A!")</f>
        <v>3.2864000000000004E-2</v>
      </c>
      <c r="O327" s="837">
        <f>IFERROR(VLOOKUP(C327,[3]List1!$A:$D,3,FALSE),"N/A!")</f>
        <v>2496</v>
      </c>
      <c r="P327" s="837">
        <f>IFERROR(VLOOKUP(C327,[3]List1!$A:$D,2,FALSE),"N/A!")</f>
        <v>16000</v>
      </c>
      <c r="Q327" s="698" t="s">
        <v>44</v>
      </c>
      <c r="R327" s="698" t="s">
        <v>24</v>
      </c>
      <c r="S327" s="698"/>
      <c r="T327" s="695">
        <v>25</v>
      </c>
      <c r="U327" s="874"/>
      <c r="V327" s="699" t="str">
        <f>_xlfn.IFNA(HYPERLINK("https://www.klasekpyrotechnics.cz/c1625g"),"")</f>
        <v>https://www.klasekpyrotechnics.cz/c1625g</v>
      </c>
      <c r="W327" s="700" t="str">
        <f>IFERROR(VLOOKUP($C327,Popisy!A:P,MATCH($W$17,Popisy!$A$7:$P$7,0),FALSE),"---------------")</f>
        <v>4 verschiedenfarbige Effekte</v>
      </c>
      <c r="X327" s="891" t="str">
        <f t="shared" si="55"/>
        <v/>
      </c>
      <c r="Y327" s="892"/>
      <c r="Z327" s="700">
        <f>IFERROR(IF(VLOOKUP(C327,[4]List1!$A:$D,4,FALSE)=0,"",VLOOKUP(C327,[4]List1!$A:$D,4,FALSE)),"")</f>
        <v>45</v>
      </c>
      <c r="AA327" s="707"/>
      <c r="AB327" s="912" t="str">
        <f>IFERROR(IF(VLOOKUP(C327,[1]List1!$A:$D,2,FALSE)="VYPRODÁNO",$V$9,IF(VLOOKUP(C327,[1]List1!$A:$D,2,FALSE)="DOCHÁZÍ",$V$3,VLOOKUP(C327,[1]List1!$A:$D,2,FALSE))),"OFFLINE!")</f>
        <v>LETZTE STÜCKE</v>
      </c>
      <c r="AC327" s="912" t="str">
        <f ca="1">IF(AO327="NE",$V$10,IF(AB327=$V$3,IF(AP327&lt;1,$V$8,$V$2&amp;" "&amp;AP327&amp;" "&amp;$V$1),IF(AB327="SKLADEM",$V$6,IFERROR(IF(OR(AB327-TODAY()&gt;21,VLOOKUP(C327,[1]List1!$A:$E,4,FALSE)=0),AB327,DAY(AB327)&amp;"."&amp;MONTH(AB327)&amp;"."&amp;YEAR(AB327)&amp;" "&amp;$V$4&amp;VLOOKUP(C327,[1]List1!$A:$E,4,FALSE)&amp;" "&amp;$V$1),AB327))))</f>
        <v>LETZTE 14 KTN</v>
      </c>
      <c r="AD327" s="701" t="str">
        <f ca="1">_xlfn.IFNA(VLOOKUP(C327,'General price list'!C:AM,MATCH($AD$20,'General price list'!$C$20:$AM$20,0),FALSE),"")</f>
        <v>LETZTE 14 KTN</v>
      </c>
      <c r="AE327" s="695">
        <f t="shared" ca="1" si="56"/>
        <v>0</v>
      </c>
      <c r="AF327" s="695">
        <f t="shared" ca="1" si="57"/>
        <v>0</v>
      </c>
      <c r="AG327" s="702">
        <f t="shared" ca="1" si="58"/>
        <v>0</v>
      </c>
      <c r="AH327" s="703">
        <f t="shared" ca="1" si="59"/>
        <v>0</v>
      </c>
      <c r="AI327" s="702">
        <f t="shared" ca="1" si="60"/>
        <v>0</v>
      </c>
      <c r="AJ327" s="704" t="str">
        <f t="shared" ca="1" si="61"/>
        <v/>
      </c>
      <c r="AK327" s="704">
        <f t="shared" ca="1" si="62"/>
        <v>0</v>
      </c>
      <c r="AL327" s="704" t="str">
        <f t="shared" ca="1" si="63"/>
        <v/>
      </c>
      <c r="AM327" s="705" t="str">
        <f t="shared" ca="1" si="64"/>
        <v/>
      </c>
      <c r="AN327" s="382"/>
      <c r="AO327" s="314" t="str">
        <f>IF($R$3=1,IF(Y327=AA327,"","NE"),IF(#REF!=$V$10,"NE",""))</f>
        <v/>
      </c>
      <c r="AP327" s="315">
        <f>IF(AB327=$V$3,IF(VLOOKUP(C327,[1]List1!$A:$E,5,FALSE)=0,1,VLOOKUP(C327,[1]List1!$A:$E,5,FALSE)),"")</f>
        <v>14</v>
      </c>
      <c r="AW327" s="458">
        <f>IFERROR(FIND(VLOOKUP('General price list'!$AB$7,'General price list'!$AC$1:$AD$12,2,FALSE),Q327,1),0)</f>
        <v>13</v>
      </c>
      <c r="AX327" s="458">
        <f>IFERROR(FIND(VLOOKUP('General price list'!$AB$7,'General price list'!$AC$1:$AD$12,2,FALSE),R327,1),0)</f>
        <v>0</v>
      </c>
    </row>
    <row r="328" spans="1:50" ht="15" customHeight="1">
      <c r="A328" s="672" t="str">
        <f>Kat.!C328</f>
        <v xml:space="preserve">                                          Batterien 16 schuss, 25mm Mörser-1.4G</v>
      </c>
      <c r="B328" s="678">
        <v>307</v>
      </c>
      <c r="C328" s="679"/>
      <c r="D328" s="679"/>
      <c r="E328" s="680"/>
      <c r="F328" s="681" t="str">
        <f>IFERROR(ROUND(VLOOKUP(C328,'General price list'!$C:$AN,4,FALSE),0),"")</f>
        <v/>
      </c>
      <c r="G328" s="682" t="str">
        <f t="shared" si="53"/>
        <v/>
      </c>
      <c r="H328" s="683" t="str">
        <f t="shared" si="54"/>
        <v/>
      </c>
      <c r="I328" s="836"/>
      <c r="J328" s="680"/>
      <c r="K328" s="854"/>
      <c r="L328" s="855"/>
      <c r="M328" s="680"/>
      <c r="N328" s="868" t="str">
        <f>IFERROR(IF(VLOOKUP($C328,'General price list'!$C:$AN,MATCH(N$20,'General price list'!$C$20:$AM$20,0),FALSE)=0,"",VLOOKUP($C328,'General price list'!$C:$AN,MATCH(N$20,'General price list'!$C$20:$AM$20,0),FALSE)),"")</f>
        <v/>
      </c>
      <c r="O328" s="836" t="str">
        <f>IFERROR(IF(VLOOKUP($C328,'General price list'!$C:$AN,MATCH(O$20,'General price list'!$C$20:$AM$20,0),FALSE)=0,"",VLOOKUP($C328,'General price list'!$C:$AN,MATCH(O$20,'General price list'!$C$20:$AM$20,0),FALSE)),"")</f>
        <v/>
      </c>
      <c r="P328" s="836" t="str">
        <f>IFERROR(IF(VLOOKUP($C328,'General price list'!$C:$AN,MATCH(P$20,'General price list'!$C$20:$AM$20,0),FALSE)=0,"",VLOOKUP($C328,'General price list'!$C:$AN,MATCH(P$20,'General price list'!$C$20:$AM$20,0),FALSE)),"")</f>
        <v/>
      </c>
      <c r="Q328" s="680"/>
      <c r="R328" s="680"/>
      <c r="S328" s="680"/>
      <c r="T328" s="681"/>
      <c r="U328" s="873"/>
      <c r="V328" s="684"/>
      <c r="W328" s="685" t="str">
        <f>IFERROR(VLOOKUP($C328,'General price list'!$C:$AN,MATCH(W$20,'General price list'!$C$20:$AM$20,0),FALSE),"")</f>
        <v/>
      </c>
      <c r="X328" s="889" t="str">
        <f t="shared" si="55"/>
        <v/>
      </c>
      <c r="Y328" s="890"/>
      <c r="Z328" s="685" t="str">
        <f>IFERROR(VLOOKUP($C328,'General price list'!$C:$AN,MATCH(Z$20,'General price list'!$C$20:$AM$20,0),FALSE),"")</f>
        <v/>
      </c>
      <c r="AA328" s="707"/>
      <c r="AB328" s="911" t="str">
        <f>IFERROR(IF(VLOOKUP(C328,[1]List1!$A:$D,2,FALSE)="VYPRODÁNO",$V$9,IF(VLOOKUP(C328,[1]List1!$A:$D,2,FALSE)="DOCHÁZÍ",$V$3,VLOOKUP(C328,[1]List1!$A:$D,2,FALSE))),"OFFLINE!")</f>
        <v>OFFLINE!</v>
      </c>
      <c r="AC328" s="911" t="str">
        <f ca="1">IF(AO328="NE",$V$10,IF(AB328=$V$3,IF(AP328&lt;1,$V$8,$V$2&amp;" "&amp;AP328&amp;" "&amp;$V$1),IF(AB328="SKLADEM",$V$6,IFERROR(IF(OR(AB328-TODAY()&gt;21,VLOOKUP(C328,[1]List1!$A:$E,4,FALSE)=0),AB328,DAY(AB328)&amp;"."&amp;MONTH(AB328)&amp;"."&amp;YEAR(AB328)&amp;" "&amp;$V$4&amp;VLOOKUP(C328,[1]List1!$A:$E,4,FALSE)&amp;" "&amp;$V$1),AB328))))</f>
        <v>OFFLINE!</v>
      </c>
      <c r="AD328" s="686" t="str">
        <f>_xlfn.IFNA(VLOOKUP(C328,'General price list'!C:AM,MATCH($AD$20,'General price list'!$C$20:$AM$20,0),FALSE),"")</f>
        <v/>
      </c>
      <c r="AE328" s="681" t="str">
        <f t="shared" si="56"/>
        <v/>
      </c>
      <c r="AF328" s="681" t="str">
        <f t="shared" si="57"/>
        <v/>
      </c>
      <c r="AG328" s="687" t="str">
        <f t="shared" si="58"/>
        <v/>
      </c>
      <c r="AH328" s="688" t="str">
        <f t="shared" si="59"/>
        <v/>
      </c>
      <c r="AI328" s="687" t="str">
        <f t="shared" si="60"/>
        <v/>
      </c>
      <c r="AJ328" s="689" t="str">
        <f t="shared" si="61"/>
        <v/>
      </c>
      <c r="AK328" s="689" t="str">
        <f t="shared" si="62"/>
        <v/>
      </c>
      <c r="AL328" s="689" t="str">
        <f t="shared" si="63"/>
        <v/>
      </c>
      <c r="AM328" s="690" t="str">
        <f t="shared" si="64"/>
        <v/>
      </c>
      <c r="AN328" s="382"/>
      <c r="AO328" s="314" t="str">
        <f>IF($R$3=1,IF(Y328=AA328,"","NE"),IF(#REF!=$V$10,"NE",""))</f>
        <v/>
      </c>
      <c r="AP328" s="315" t="str">
        <f>IF(AB328=$V$3,IF(VLOOKUP(C328,[1]List1!$A:$E,5,FALSE)=0,1,VLOOKUP(C328,[1]List1!$A:$E,5,FALSE)),"")</f>
        <v/>
      </c>
      <c r="AW328" s="291" t="e">
        <f>VLOOKUP(C328,'General price list'!C:AU,46,FALSE)</f>
        <v>#N/A</v>
      </c>
      <c r="AX328" s="291" t="e">
        <f>VLOOKUP(C328,'General price list'!C:AU,47,FALSE)</f>
        <v>#N/A</v>
      </c>
    </row>
    <row r="329" spans="1:50" ht="15" customHeight="1">
      <c r="A329" s="691" t="str">
        <f>Kat.!C329</f>
        <v xml:space="preserve">                                          </v>
      </c>
      <c r="B329" s="692">
        <v>308</v>
      </c>
      <c r="C329" s="693" t="s">
        <v>1213</v>
      </c>
      <c r="D329" s="693" t="s">
        <v>1206</v>
      </c>
      <c r="E329" s="694" t="s">
        <v>399</v>
      </c>
      <c r="F329" s="695">
        <f>VLOOKUP(C329,[2]List1!$A:$D,2,FALSE)</f>
        <v>229</v>
      </c>
      <c r="G329" s="696">
        <f t="shared" si="53"/>
        <v>229</v>
      </c>
      <c r="H329" s="697">
        <f t="shared" si="54"/>
        <v>9.3000000000000007</v>
      </c>
      <c r="I329" s="837">
        <v>12</v>
      </c>
      <c r="J329" s="698" t="s">
        <v>45</v>
      </c>
      <c r="K329" s="856"/>
      <c r="L329" s="857" t="s">
        <v>13859</v>
      </c>
      <c r="M329" s="698" t="s">
        <v>25</v>
      </c>
      <c r="N329" s="869">
        <f>IFERROR(VLOOKUP(C329,[3]List1!$A:$D,4,FALSE),"N/A!")</f>
        <v>3.2864000000000004E-2</v>
      </c>
      <c r="O329" s="837">
        <f>IFERROR(VLOOKUP(C329,[3]List1!$A:$D,3,FALSE),"N/A!")</f>
        <v>2496</v>
      </c>
      <c r="P329" s="837">
        <f>IFERROR(VLOOKUP(C329,[3]List1!$A:$D,2,FALSE),"N/A!")</f>
        <v>15200</v>
      </c>
      <c r="Q329" s="698" t="s">
        <v>13779</v>
      </c>
      <c r="R329" s="698" t="s">
        <v>24</v>
      </c>
      <c r="S329" s="698"/>
      <c r="T329" s="695">
        <v>25</v>
      </c>
      <c r="U329" s="874"/>
      <c r="V329" s="699" t="str">
        <f>_xlfn.IFNA(HYPERLINK("https://www.klasekpyrotechnics.cz/c1625b14"),"")</f>
        <v>https://www.klasekpyrotechnics.cz/c1625b14</v>
      </c>
      <c r="W329" s="700" t="str">
        <f>IFERROR(VLOOKUP($C329,Popisy!A:P,MATCH($W$17,Popisy!$A$7:$P$7,0),FALSE),"---------------")</f>
        <v>4 verschiedenfarbige Effekte</v>
      </c>
      <c r="X329" s="891" t="str">
        <f t="shared" si="55"/>
        <v/>
      </c>
      <c r="Y329" s="892"/>
      <c r="Z329" s="700">
        <f>IFERROR(IF(VLOOKUP(C329,[4]List1!$A:$D,4,FALSE)=0,"",VLOOKUP(C329,[4]List1!$A:$D,4,FALSE)),"")</f>
        <v>45</v>
      </c>
      <c r="AA329" s="707"/>
      <c r="AB329" s="912" t="str">
        <f>IFERROR(IF(VLOOKUP(C329,[1]List1!$A:$D,2,FALSE)="VYPRODÁNO",$V$9,IF(VLOOKUP(C329,[1]List1!$A:$D,2,FALSE)="DOCHÁZÍ",$V$3,VLOOKUP(C329,[1]List1!$A:$D,2,FALSE))),"OFFLINE!")</f>
        <v>SKLADEM</v>
      </c>
      <c r="AC329" s="912" t="str">
        <f ca="1">IF(AO329="NE",$V$10,IF(AB329=$V$3,IF(AP329&lt;1,$V$8,$V$2&amp;" "&amp;AP329&amp;" "&amp;$V$1),IF(AB329="SKLADEM",$V$6,IFERROR(IF(OR(AB329-TODAY()&gt;21,VLOOKUP(C329,[1]List1!$A:$E,4,FALSE)=0),AB329,DAY(AB329)&amp;"."&amp;MONTH(AB329)&amp;"."&amp;YEAR(AB329)&amp;" "&amp;$V$4&amp;VLOOKUP(C329,[1]List1!$A:$E,4,FALSE)&amp;" "&amp;$V$1),AB329))))</f>
        <v>AUF LAGER</v>
      </c>
      <c r="AD329" s="701" t="str">
        <f ca="1">_xlfn.IFNA(VLOOKUP(C329,'General price list'!C:AM,MATCH($AD$20,'General price list'!$C$20:$AM$20,0),FALSE),"")</f>
        <v>AUF LAGER</v>
      </c>
      <c r="AE329" s="695">
        <f t="shared" ca="1" si="56"/>
        <v>0</v>
      </c>
      <c r="AF329" s="695">
        <f t="shared" ca="1" si="57"/>
        <v>0</v>
      </c>
      <c r="AG329" s="702">
        <f t="shared" ca="1" si="58"/>
        <v>0</v>
      </c>
      <c r="AH329" s="703">
        <f t="shared" ca="1" si="59"/>
        <v>0</v>
      </c>
      <c r="AI329" s="702">
        <f t="shared" ca="1" si="60"/>
        <v>0</v>
      </c>
      <c r="AJ329" s="704" t="str">
        <f t="shared" ca="1" si="61"/>
        <v/>
      </c>
      <c r="AK329" s="704" t="str">
        <f t="shared" ca="1" si="62"/>
        <v/>
      </c>
      <c r="AL329" s="704">
        <f t="shared" ca="1" si="63"/>
        <v>0</v>
      </c>
      <c r="AM329" s="705" t="str">
        <f t="shared" ca="1" si="64"/>
        <v/>
      </c>
      <c r="AN329" s="313"/>
      <c r="AO329" s="314" t="str">
        <f>IF($R$3=1,IF(Y329=AA329,"","NE"),IF(#REF!=$V$10,"NE",""))</f>
        <v/>
      </c>
      <c r="AP329" s="315" t="str">
        <f>IF(AB329=$V$3,IF(VLOOKUP(C329,[1]List1!$A:$E,5,FALSE)=0,1,VLOOKUP(C329,[1]List1!$A:$E,5,FALSE)),"")</f>
        <v/>
      </c>
      <c r="AW329" s="458">
        <f>IFERROR(FIND(VLOOKUP('General price list'!$AB$7,'General price list'!$AC$1:$AD$12,2,FALSE),Q329,1),0)</f>
        <v>13</v>
      </c>
      <c r="AX329" s="458">
        <f>IFERROR(FIND(VLOOKUP('General price list'!$AB$7,'General price list'!$AC$1:$AD$12,2,FALSE),R329,1),0)</f>
        <v>0</v>
      </c>
    </row>
    <row r="330" spans="1:50" ht="15" customHeight="1">
      <c r="A330" s="677" t="str">
        <f>Kat.!C330</f>
        <v xml:space="preserve">                                          </v>
      </c>
      <c r="B330" s="678">
        <v>309</v>
      </c>
      <c r="C330" s="679" t="s">
        <v>1214</v>
      </c>
      <c r="D330" s="679" t="s">
        <v>1208</v>
      </c>
      <c r="E330" s="680" t="s">
        <v>399</v>
      </c>
      <c r="F330" s="681">
        <f>VLOOKUP(C330,[2]List1!$A:$D,2,FALSE)</f>
        <v>229</v>
      </c>
      <c r="G330" s="682">
        <f t="shared" si="53"/>
        <v>229</v>
      </c>
      <c r="H330" s="683">
        <f t="shared" si="54"/>
        <v>9.3000000000000007</v>
      </c>
      <c r="I330" s="836">
        <v>12</v>
      </c>
      <c r="J330" s="680" t="s">
        <v>45</v>
      </c>
      <c r="K330" s="854"/>
      <c r="L330" s="855" t="s">
        <v>13859</v>
      </c>
      <c r="M330" s="680" t="s">
        <v>25</v>
      </c>
      <c r="N330" s="868">
        <f>IFERROR(VLOOKUP(C330,[3]List1!$A:$D,4,FALSE),"N/A!")</f>
        <v>3.2864000000000004E-2</v>
      </c>
      <c r="O330" s="836">
        <f>IFERROR(VLOOKUP(C330,[3]List1!$A:$D,3,FALSE),"N/A!")</f>
        <v>2496</v>
      </c>
      <c r="P330" s="836">
        <f>IFERROR(VLOOKUP(C330,[3]List1!$A:$D,2,FALSE),"N/A!")</f>
        <v>15000</v>
      </c>
      <c r="Q330" s="680" t="s">
        <v>12596</v>
      </c>
      <c r="R330" s="680" t="s">
        <v>24</v>
      </c>
      <c r="S330" s="680"/>
      <c r="T330" s="681">
        <v>25</v>
      </c>
      <c r="U330" s="873"/>
      <c r="V330" s="684" t="str">
        <f>_xlfn.IFNA(HYPERLINK("https://www.klasekpyrotechnics.cz/c1625d14"),"")</f>
        <v>https://www.klasekpyrotechnics.cz/c1625d14</v>
      </c>
      <c r="W330" s="685" t="str">
        <f>IFERROR(VLOOKUP($C330,Popisy!A:P,MATCH($W$17,Popisy!$A$7:$P$7,0),FALSE),"---------------")</f>
        <v>4 verschiedenfarbige Effekte</v>
      </c>
      <c r="X330" s="889" t="str">
        <f t="shared" si="55"/>
        <v/>
      </c>
      <c r="Y330" s="890"/>
      <c r="Z330" s="685">
        <f>IFERROR(IF(VLOOKUP(C330,[4]List1!$A:$D,4,FALSE)=0,"",VLOOKUP(C330,[4]List1!$A:$D,4,FALSE)),"")</f>
        <v>45</v>
      </c>
      <c r="AA330" s="707"/>
      <c r="AB330" s="911" t="str">
        <f>IFERROR(IF(VLOOKUP(C330,[1]List1!$A:$D,2,FALSE)="VYPRODÁNO",$V$9,IF(VLOOKUP(C330,[1]List1!$A:$D,2,FALSE)="DOCHÁZÍ",$V$3,VLOOKUP(C330,[1]List1!$A:$D,2,FALSE))),"OFFLINE!")</f>
        <v>SKLADEM</v>
      </c>
      <c r="AC330" s="911" t="str">
        <f ca="1">IF(AO330="NE",$V$10,IF(AB330=$V$3,IF(AP330&lt;1,$V$8,$V$2&amp;" "&amp;AP330&amp;" "&amp;$V$1),IF(AB330="SKLADEM",$V$6,IFERROR(IF(OR(AB330-TODAY()&gt;21,VLOOKUP(C330,[1]List1!$A:$E,4,FALSE)=0),AB330,DAY(AB330)&amp;"."&amp;MONTH(AB330)&amp;"."&amp;YEAR(AB330)&amp;" "&amp;$V$4&amp;VLOOKUP(C330,[1]List1!$A:$E,4,FALSE)&amp;" "&amp;$V$1),AB330))))</f>
        <v>AUF LAGER</v>
      </c>
      <c r="AD330" s="686" t="str">
        <f ca="1">_xlfn.IFNA(VLOOKUP(C330,'General price list'!C:AM,MATCH($AD$20,'General price list'!$C$20:$AM$20,0),FALSE),"")</f>
        <v>AUF LAGER</v>
      </c>
      <c r="AE330" s="681">
        <f t="shared" ca="1" si="56"/>
        <v>0</v>
      </c>
      <c r="AF330" s="681">
        <f t="shared" ca="1" si="57"/>
        <v>0</v>
      </c>
      <c r="AG330" s="687">
        <f t="shared" ca="1" si="58"/>
        <v>0</v>
      </c>
      <c r="AH330" s="688">
        <f t="shared" ca="1" si="59"/>
        <v>0</v>
      </c>
      <c r="AI330" s="687">
        <f t="shared" ca="1" si="60"/>
        <v>0</v>
      </c>
      <c r="AJ330" s="689" t="str">
        <f t="shared" ca="1" si="61"/>
        <v/>
      </c>
      <c r="AK330" s="689" t="str">
        <f t="shared" ca="1" si="62"/>
        <v/>
      </c>
      <c r="AL330" s="689">
        <f t="shared" ca="1" si="63"/>
        <v>0</v>
      </c>
      <c r="AM330" s="690" t="str">
        <f t="shared" ca="1" si="64"/>
        <v/>
      </c>
      <c r="AN330" s="382"/>
      <c r="AO330" s="314" t="str">
        <f>IF($R$3=1,IF(Y330=AA330,"","NE"),IF(#REF!=$V$10,"NE",""))</f>
        <v/>
      </c>
      <c r="AP330" s="315" t="str">
        <f>IF(AB330=$V$3,IF(VLOOKUP(C330,[1]List1!$A:$E,5,FALSE)=0,1,VLOOKUP(C330,[1]List1!$A:$E,5,FALSE)),"")</f>
        <v/>
      </c>
      <c r="AW330" s="458">
        <f>IFERROR(FIND(VLOOKUP('General price list'!$AB$7,'General price list'!$AC$1:$AD$12,2,FALSE),Q330,1),0)</f>
        <v>13</v>
      </c>
      <c r="AX330" s="458">
        <f>IFERROR(FIND(VLOOKUP('General price list'!$AB$7,'General price list'!$AC$1:$AD$12,2,FALSE),R330,1),0)</f>
        <v>0</v>
      </c>
    </row>
    <row r="331" spans="1:50" ht="15" customHeight="1">
      <c r="A331" s="691" t="str">
        <f>Kat.!C331</f>
        <v xml:space="preserve">                                          </v>
      </c>
      <c r="B331" s="692">
        <v>310</v>
      </c>
      <c r="C331" s="693" t="s">
        <v>1215</v>
      </c>
      <c r="D331" s="693" t="s">
        <v>1210</v>
      </c>
      <c r="E331" s="694" t="s">
        <v>399</v>
      </c>
      <c r="F331" s="695">
        <f>VLOOKUP(C331,[2]List1!$A:$D,2,FALSE)</f>
        <v>229</v>
      </c>
      <c r="G331" s="696">
        <f t="shared" si="53"/>
        <v>229</v>
      </c>
      <c r="H331" s="697">
        <f t="shared" si="54"/>
        <v>9.3000000000000007</v>
      </c>
      <c r="I331" s="837">
        <v>12</v>
      </c>
      <c r="J331" s="698" t="s">
        <v>45</v>
      </c>
      <c r="K331" s="856"/>
      <c r="L331" s="857" t="s">
        <v>13859</v>
      </c>
      <c r="M331" s="698" t="s">
        <v>25</v>
      </c>
      <c r="N331" s="869">
        <f>IFERROR(VLOOKUP(C331,[3]List1!$A:$D,4,FALSE),"N/A!")</f>
        <v>3.2864000000000004E-2</v>
      </c>
      <c r="O331" s="837">
        <f>IFERROR(VLOOKUP(C331,[3]List1!$A:$D,3,FALSE),"N/A!")</f>
        <v>2496</v>
      </c>
      <c r="P331" s="837">
        <f>IFERROR(VLOOKUP(C331,[3]List1!$A:$D,2,FALSE),"N/A!")</f>
        <v>15060</v>
      </c>
      <c r="Q331" s="698" t="s">
        <v>12596</v>
      </c>
      <c r="R331" s="698" t="s">
        <v>24</v>
      </c>
      <c r="S331" s="698"/>
      <c r="T331" s="695">
        <v>25</v>
      </c>
      <c r="U331" s="874"/>
      <c r="V331" s="699" t="str">
        <f>_xlfn.IFNA(HYPERLINK("https://www.klasekpyrotechnics.cz/c1625f14"),"")</f>
        <v>https://www.klasekpyrotechnics.cz/c1625f14</v>
      </c>
      <c r="W331" s="700" t="str">
        <f>IFERROR(VLOOKUP($C331,Popisy!A:P,MATCH($W$17,Popisy!$A$7:$P$7,0),FALSE),"---------------")</f>
        <v>4 verschiedenfarbige Effekte</v>
      </c>
      <c r="X331" s="891" t="str">
        <f t="shared" si="55"/>
        <v/>
      </c>
      <c r="Y331" s="892"/>
      <c r="Z331" s="700">
        <f>IFERROR(IF(VLOOKUP(C331,[4]List1!$A:$D,4,FALSE)=0,"",VLOOKUP(C331,[4]List1!$A:$D,4,FALSE)),"")</f>
        <v>45</v>
      </c>
      <c r="AA331" s="707"/>
      <c r="AB331" s="912" t="str">
        <f>IFERROR(IF(VLOOKUP(C331,[1]List1!$A:$D,2,FALSE)="VYPRODÁNO",$V$9,IF(VLOOKUP(C331,[1]List1!$A:$D,2,FALSE)="DOCHÁZÍ",$V$3,VLOOKUP(C331,[1]List1!$A:$D,2,FALSE))),"OFFLINE!")</f>
        <v>SKLADEM</v>
      </c>
      <c r="AC331" s="912" t="str">
        <f ca="1">IF(AO331="NE",$V$10,IF(AB331=$V$3,IF(AP331&lt;1,$V$8,$V$2&amp;" "&amp;AP331&amp;" "&amp;$V$1),IF(AB331="SKLADEM",$V$6,IFERROR(IF(OR(AB331-TODAY()&gt;21,VLOOKUP(C331,[1]List1!$A:$E,4,FALSE)=0),AB331,DAY(AB331)&amp;"."&amp;MONTH(AB331)&amp;"."&amp;YEAR(AB331)&amp;" "&amp;$V$4&amp;VLOOKUP(C331,[1]List1!$A:$E,4,FALSE)&amp;" "&amp;$V$1),AB331))))</f>
        <v>AUF LAGER</v>
      </c>
      <c r="AD331" s="701" t="str">
        <f ca="1">_xlfn.IFNA(VLOOKUP(C331,'General price list'!C:AM,MATCH($AD$20,'General price list'!$C$20:$AM$20,0),FALSE),"")</f>
        <v>AUF LAGER</v>
      </c>
      <c r="AE331" s="695">
        <f t="shared" ca="1" si="56"/>
        <v>0</v>
      </c>
      <c r="AF331" s="695">
        <f t="shared" ca="1" si="57"/>
        <v>0</v>
      </c>
      <c r="AG331" s="702">
        <f t="shared" ca="1" si="58"/>
        <v>0</v>
      </c>
      <c r="AH331" s="703">
        <f t="shared" ca="1" si="59"/>
        <v>0</v>
      </c>
      <c r="AI331" s="702">
        <f t="shared" ca="1" si="60"/>
        <v>0</v>
      </c>
      <c r="AJ331" s="704" t="str">
        <f t="shared" ca="1" si="61"/>
        <v/>
      </c>
      <c r="AK331" s="704" t="str">
        <f t="shared" ca="1" si="62"/>
        <v/>
      </c>
      <c r="AL331" s="704">
        <f t="shared" ca="1" si="63"/>
        <v>0</v>
      </c>
      <c r="AM331" s="705" t="str">
        <f t="shared" ca="1" si="64"/>
        <v/>
      </c>
      <c r="AN331" s="313"/>
      <c r="AO331" s="314" t="str">
        <f>IF($R$3=1,IF(Y331=AA331,"","NE"),IF(#REF!=$V$10,"NE",""))</f>
        <v/>
      </c>
      <c r="AP331" s="315" t="str">
        <f>IF(AB331=$V$3,IF(VLOOKUP(C331,[1]List1!$A:$E,5,FALSE)=0,1,VLOOKUP(C331,[1]List1!$A:$E,5,FALSE)),"")</f>
        <v/>
      </c>
      <c r="AW331" s="458">
        <f>IFERROR(FIND(VLOOKUP('General price list'!$AB$7,'General price list'!$AC$1:$AD$12,2,FALSE),Q331,1),0)</f>
        <v>13</v>
      </c>
      <c r="AX331" s="458">
        <f>IFERROR(FIND(VLOOKUP('General price list'!$AB$7,'General price list'!$AC$1:$AD$12,2,FALSE),R331,1),0)</f>
        <v>0</v>
      </c>
    </row>
    <row r="332" spans="1:50" ht="15" customHeight="1">
      <c r="A332" s="672" t="str">
        <f>Kat.!C332</f>
        <v xml:space="preserve">                                          Batterien 25 schuss, 25mm Mörser-1.3G</v>
      </c>
      <c r="B332" s="678">
        <v>311</v>
      </c>
      <c r="C332" s="679"/>
      <c r="D332" s="679"/>
      <c r="E332" s="680"/>
      <c r="F332" s="681" t="str">
        <f>IFERROR(ROUND(VLOOKUP(C332,'General price list'!$C:$AN,4,FALSE),0),"")</f>
        <v/>
      </c>
      <c r="G332" s="682" t="str">
        <f t="shared" si="53"/>
        <v/>
      </c>
      <c r="H332" s="683" t="str">
        <f t="shared" si="54"/>
        <v/>
      </c>
      <c r="I332" s="836"/>
      <c r="J332" s="680"/>
      <c r="K332" s="854"/>
      <c r="L332" s="855"/>
      <c r="M332" s="680"/>
      <c r="N332" s="868" t="str">
        <f>IFERROR(IF(VLOOKUP($C332,'General price list'!$C:$AN,MATCH(N$20,'General price list'!$C$20:$AM$20,0),FALSE)=0,"",VLOOKUP($C332,'General price list'!$C:$AN,MATCH(N$20,'General price list'!$C$20:$AM$20,0),FALSE)),"")</f>
        <v/>
      </c>
      <c r="O332" s="836" t="str">
        <f>IFERROR(IF(VLOOKUP($C332,'General price list'!$C:$AN,MATCH(O$20,'General price list'!$C$20:$AM$20,0),FALSE)=0,"",VLOOKUP($C332,'General price list'!$C:$AN,MATCH(O$20,'General price list'!$C$20:$AM$20,0),FALSE)),"")</f>
        <v/>
      </c>
      <c r="P332" s="836" t="str">
        <f>IFERROR(IF(VLOOKUP($C332,'General price list'!$C:$AN,MATCH(P$20,'General price list'!$C$20:$AM$20,0),FALSE)=0,"",VLOOKUP($C332,'General price list'!$C:$AN,MATCH(P$20,'General price list'!$C$20:$AM$20,0),FALSE)),"")</f>
        <v/>
      </c>
      <c r="Q332" s="680"/>
      <c r="R332" s="680"/>
      <c r="S332" s="680"/>
      <c r="T332" s="681"/>
      <c r="U332" s="873"/>
      <c r="V332" s="684"/>
      <c r="W332" s="685" t="str">
        <f>IFERROR(VLOOKUP($C332,'General price list'!$C:$AN,MATCH(W$20,'General price list'!$C$20:$AM$20,0),FALSE),"")</f>
        <v/>
      </c>
      <c r="X332" s="889" t="str">
        <f t="shared" si="55"/>
        <v/>
      </c>
      <c r="Y332" s="890"/>
      <c r="Z332" s="685" t="str">
        <f>IFERROR(VLOOKUP($C332,'General price list'!$C:$AN,MATCH(Z$20,'General price list'!$C$20:$AM$20,0),FALSE),"")</f>
        <v/>
      </c>
      <c r="AA332" s="707"/>
      <c r="AB332" s="911" t="str">
        <f>IFERROR(IF(VLOOKUP(C332,[1]List1!$A:$D,2,FALSE)="VYPRODÁNO",$V$9,IF(VLOOKUP(C332,[1]List1!$A:$D,2,FALSE)="DOCHÁZÍ",$V$3,VLOOKUP(C332,[1]List1!$A:$D,2,FALSE))),"OFFLINE!")</f>
        <v>OFFLINE!</v>
      </c>
      <c r="AC332" s="911" t="str">
        <f ca="1">IF(AO332="NE",$V$10,IF(AB332=$V$3,IF(AP332&lt;1,$V$8,$V$2&amp;" "&amp;AP332&amp;" "&amp;$V$1),IF(AB332="SKLADEM",$V$6,IFERROR(IF(OR(AB332-TODAY()&gt;21,VLOOKUP(C332,[1]List1!$A:$E,4,FALSE)=0),AB332,DAY(AB332)&amp;"."&amp;MONTH(AB332)&amp;"."&amp;YEAR(AB332)&amp;" "&amp;$V$4&amp;VLOOKUP(C332,[1]List1!$A:$E,4,FALSE)&amp;" "&amp;$V$1),AB332))))</f>
        <v>OFFLINE!</v>
      </c>
      <c r="AD332" s="686" t="str">
        <f>_xlfn.IFNA(VLOOKUP(C332,'General price list'!C:AM,MATCH($AD$20,'General price list'!$C$20:$AM$20,0),FALSE),"")</f>
        <v/>
      </c>
      <c r="AE332" s="681" t="str">
        <f t="shared" si="56"/>
        <v/>
      </c>
      <c r="AF332" s="681" t="str">
        <f t="shared" si="57"/>
        <v/>
      </c>
      <c r="AG332" s="687" t="str">
        <f t="shared" si="58"/>
        <v/>
      </c>
      <c r="AH332" s="688" t="str">
        <f t="shared" si="59"/>
        <v/>
      </c>
      <c r="AI332" s="687" t="str">
        <f t="shared" si="60"/>
        <v/>
      </c>
      <c r="AJ332" s="689" t="str">
        <f t="shared" si="61"/>
        <v/>
      </c>
      <c r="AK332" s="689" t="str">
        <f t="shared" si="62"/>
        <v/>
      </c>
      <c r="AL332" s="689" t="str">
        <f t="shared" si="63"/>
        <v/>
      </c>
      <c r="AM332" s="690" t="str">
        <f t="shared" si="64"/>
        <v/>
      </c>
      <c r="AN332" s="313"/>
      <c r="AO332" s="314" t="str">
        <f>IF($R$3=1,IF(Y332=AA332,"","NE"),IF(#REF!=$V$10,"NE",""))</f>
        <v/>
      </c>
      <c r="AP332" s="315" t="str">
        <f>IF(AB332=$V$3,IF(VLOOKUP(C332,[1]List1!$A:$E,5,FALSE)=0,1,VLOOKUP(C332,[1]List1!$A:$E,5,FALSE)),"")</f>
        <v/>
      </c>
      <c r="AW332" s="291" t="e">
        <f>VLOOKUP(C332,'General price list'!C:AU,46,FALSE)</f>
        <v>#N/A</v>
      </c>
      <c r="AX332" s="291" t="e">
        <f>VLOOKUP(C332,'General price list'!C:AU,47,FALSE)</f>
        <v>#N/A</v>
      </c>
    </row>
    <row r="333" spans="1:50" ht="15" customHeight="1">
      <c r="A333" s="691" t="str">
        <f>Kat.!C333</f>
        <v xml:space="preserve">                                          </v>
      </c>
      <c r="B333" s="692">
        <v>312</v>
      </c>
      <c r="C333" s="693" t="s">
        <v>1218</v>
      </c>
      <c r="D333" s="693" t="s">
        <v>1219</v>
      </c>
      <c r="E333" s="694" t="s">
        <v>399</v>
      </c>
      <c r="F333" s="695">
        <f>VLOOKUP(C333,[2]List1!$A:$D,2,FALSE)</f>
        <v>345</v>
      </c>
      <c r="G333" s="696">
        <f t="shared" si="53"/>
        <v>345</v>
      </c>
      <c r="H333" s="697">
        <f t="shared" si="54"/>
        <v>14</v>
      </c>
      <c r="I333" s="837">
        <v>12</v>
      </c>
      <c r="J333" s="698" t="s">
        <v>45</v>
      </c>
      <c r="K333" s="856"/>
      <c r="L333" s="857" t="s">
        <v>13849</v>
      </c>
      <c r="M333" s="698" t="s">
        <v>131</v>
      </c>
      <c r="N333" s="869">
        <f>IFERROR(VLOOKUP(C333,[3]List1!$A:$D,4,FALSE),"N/A!")</f>
        <v>4.7185875000000009E-2</v>
      </c>
      <c r="O333" s="837">
        <f>IFERROR(VLOOKUP(C333,[3]List1!$A:$D,3,FALSE),"N/A!")</f>
        <v>3900</v>
      </c>
      <c r="P333" s="837">
        <f>IFERROR(VLOOKUP(C333,[3]List1!$A:$D,2,FALSE),"N/A!")</f>
        <v>21000</v>
      </c>
      <c r="Q333" s="698" t="s">
        <v>635</v>
      </c>
      <c r="R333" s="698" t="s">
        <v>24</v>
      </c>
      <c r="S333" s="698"/>
      <c r="T333" s="695">
        <v>30</v>
      </c>
      <c r="U333" s="874"/>
      <c r="V333" s="699" t="str">
        <f>_xlfn.IFNA(HYPERLINK("https://www.klasekpyrotechnics.cz/c2525c"),"")</f>
        <v>https://www.klasekpyrotechnics.cz/c2525c</v>
      </c>
      <c r="W333" s="700" t="str">
        <f>IFERROR(VLOOKUP($C333,Popisy!A:P,MATCH($W$17,Popisy!$A$7:$P$7,0),FALSE),"---------------")</f>
        <v>5 verschiedenfarbige Effekte</v>
      </c>
      <c r="X333" s="891" t="str">
        <f t="shared" si="55"/>
        <v/>
      </c>
      <c r="Y333" s="892"/>
      <c r="Z333" s="700">
        <f>IFERROR(IF(VLOOKUP(C333,[4]List1!$A:$D,4,FALSE)=0,"",VLOOKUP(C333,[4]List1!$A:$D,4,FALSE)),"")</f>
        <v>20</v>
      </c>
      <c r="AA333" s="707"/>
      <c r="AB333" s="912" t="str">
        <f>IFERROR(IF(VLOOKUP(C333,[1]List1!$A:$D,2,FALSE)="VYPRODÁNO",$V$9,IF(VLOOKUP(C333,[1]List1!$A:$D,2,FALSE)="DOCHÁZÍ",$V$3,VLOOKUP(C333,[1]List1!$A:$D,2,FALSE))),"OFFLINE!")</f>
        <v>SKLADEM</v>
      </c>
      <c r="AC333" s="912" t="str">
        <f ca="1">IF(AO333="NE",$V$10,IF(AB333=$V$3,IF(AP333&lt;1,$V$8,$V$2&amp;" "&amp;AP333&amp;" "&amp;$V$1),IF(AB333="SKLADEM",$V$6,IFERROR(IF(OR(AB333-TODAY()&gt;21,VLOOKUP(C333,[1]List1!$A:$E,4,FALSE)=0),AB333,DAY(AB333)&amp;"."&amp;MONTH(AB333)&amp;"."&amp;YEAR(AB333)&amp;" "&amp;$V$4&amp;VLOOKUP(C333,[1]List1!$A:$E,4,FALSE)&amp;" "&amp;$V$1),AB333))))</f>
        <v>AUF LAGER</v>
      </c>
      <c r="AD333" s="701" t="str">
        <f ca="1">_xlfn.IFNA(VLOOKUP(C333,'General price list'!C:AM,MATCH($AD$20,'General price list'!$C$20:$AM$20,0),FALSE),"")</f>
        <v>AUF LAGER</v>
      </c>
      <c r="AE333" s="695">
        <f t="shared" ca="1" si="56"/>
        <v>0</v>
      </c>
      <c r="AF333" s="695">
        <f t="shared" ca="1" si="57"/>
        <v>0</v>
      </c>
      <c r="AG333" s="702">
        <f t="shared" ca="1" si="58"/>
        <v>0</v>
      </c>
      <c r="AH333" s="703">
        <f t="shared" ca="1" si="59"/>
        <v>0</v>
      </c>
      <c r="AI333" s="702">
        <f t="shared" ca="1" si="60"/>
        <v>0</v>
      </c>
      <c r="AJ333" s="704" t="str">
        <f t="shared" ca="1" si="61"/>
        <v/>
      </c>
      <c r="AK333" s="704">
        <f t="shared" ca="1" si="62"/>
        <v>0</v>
      </c>
      <c r="AL333" s="704" t="str">
        <f t="shared" ca="1" si="63"/>
        <v/>
      </c>
      <c r="AM333" s="705" t="str">
        <f t="shared" ca="1" si="64"/>
        <v/>
      </c>
      <c r="AN333" s="381"/>
      <c r="AO333" s="314" t="str">
        <f>IF($R$3=1,IF(Y333=AA333,"","NE"),IF(#REF!=$V$10,"NE",""))</f>
        <v/>
      </c>
      <c r="AP333" s="315" t="str">
        <f>IF(AB333=$V$3,IF(VLOOKUP(C333,[1]List1!$A:$E,5,FALSE)=0,1,VLOOKUP(C333,[1]List1!$A:$E,5,FALSE)),"")</f>
        <v/>
      </c>
      <c r="AW333" s="458">
        <f>IFERROR(FIND(VLOOKUP('General price list'!$AB$7,'General price list'!$AC$1:$AD$12,2,FALSE),Q333,1),0)</f>
        <v>0</v>
      </c>
      <c r="AX333" s="458">
        <f>IFERROR(FIND(VLOOKUP('General price list'!$AB$7,'General price list'!$AC$1:$AD$12,2,FALSE),R333,1),0)</f>
        <v>0</v>
      </c>
    </row>
    <row r="334" spans="1:50" ht="15" customHeight="1">
      <c r="A334" s="677" t="str">
        <f>Kat.!C334</f>
        <v xml:space="preserve">                                          </v>
      </c>
      <c r="B334" s="678">
        <v>313</v>
      </c>
      <c r="C334" s="679" t="s">
        <v>1220</v>
      </c>
      <c r="D334" s="679" t="s">
        <v>1221</v>
      </c>
      <c r="E334" s="680" t="s">
        <v>399</v>
      </c>
      <c r="F334" s="681">
        <f>VLOOKUP(C334,[2]List1!$A:$D,2,FALSE)</f>
        <v>345</v>
      </c>
      <c r="G334" s="682">
        <f t="shared" si="53"/>
        <v>345</v>
      </c>
      <c r="H334" s="683">
        <f t="shared" si="54"/>
        <v>14</v>
      </c>
      <c r="I334" s="836">
        <v>12</v>
      </c>
      <c r="J334" s="680" t="s">
        <v>45</v>
      </c>
      <c r="K334" s="854"/>
      <c r="L334" s="855" t="s">
        <v>13849</v>
      </c>
      <c r="M334" s="680" t="s">
        <v>131</v>
      </c>
      <c r="N334" s="868">
        <f>IFERROR(VLOOKUP(C334,[3]List1!$A:$D,4,FALSE),"N/A!")</f>
        <v>4.7185875000000009E-2</v>
      </c>
      <c r="O334" s="836">
        <f>IFERROR(VLOOKUP(C334,[3]List1!$A:$D,3,FALSE),"N/A!")</f>
        <v>3900</v>
      </c>
      <c r="P334" s="836">
        <f>IFERROR(VLOOKUP(C334,[3]List1!$A:$D,2,FALSE),"N/A!")</f>
        <v>21000</v>
      </c>
      <c r="Q334" s="680" t="s">
        <v>13780</v>
      </c>
      <c r="R334" s="680" t="s">
        <v>24</v>
      </c>
      <c r="S334" s="680"/>
      <c r="T334" s="681">
        <v>30</v>
      </c>
      <c r="U334" s="873"/>
      <c r="V334" s="684" t="str">
        <f>_xlfn.IFNA(HYPERLINK("https://www.klasekpyrotechnics.cz/c2525l"),"")</f>
        <v>https://www.klasekpyrotechnics.cz/c2525l</v>
      </c>
      <c r="W334" s="685" t="str">
        <f>IFERROR(VLOOKUP($C334,Popisy!A:P,MATCH($W$17,Popisy!$A$7:$P$7,0),FALSE),"---------------")</f>
        <v>5 verschiedenfarbige Effekte</v>
      </c>
      <c r="X334" s="889" t="str">
        <f t="shared" si="55"/>
        <v/>
      </c>
      <c r="Y334" s="890"/>
      <c r="Z334" s="685">
        <f>IFERROR(IF(VLOOKUP(C334,[4]List1!$A:$D,4,FALSE)=0,"",VLOOKUP(C334,[4]List1!$A:$D,4,FALSE)),"")</f>
        <v>20</v>
      </c>
      <c r="AA334" s="707"/>
      <c r="AB334" s="911" t="str">
        <f>IFERROR(IF(VLOOKUP(C334,[1]List1!$A:$D,2,FALSE)="VYPRODÁNO",$V$9,IF(VLOOKUP(C334,[1]List1!$A:$D,2,FALSE)="DOCHÁZÍ",$V$3,VLOOKUP(C334,[1]List1!$A:$D,2,FALSE))),"OFFLINE!")</f>
        <v>SKLADEM</v>
      </c>
      <c r="AC334" s="911" t="str">
        <f ca="1">IF(AO334="NE",$V$10,IF(AB334=$V$3,IF(AP334&lt;1,$V$8,$V$2&amp;" "&amp;AP334&amp;" "&amp;$V$1),IF(AB334="SKLADEM",$V$6,IFERROR(IF(OR(AB334-TODAY()&gt;21,VLOOKUP(C334,[1]List1!$A:$E,4,FALSE)=0),AB334,DAY(AB334)&amp;"."&amp;MONTH(AB334)&amp;"."&amp;YEAR(AB334)&amp;" "&amp;$V$4&amp;VLOOKUP(C334,[1]List1!$A:$E,4,FALSE)&amp;" "&amp;$V$1),AB334))))</f>
        <v>AUF LAGER</v>
      </c>
      <c r="AD334" s="686" t="str">
        <f ca="1">_xlfn.IFNA(VLOOKUP(C334,'General price list'!C:AM,MATCH($AD$20,'General price list'!$C$20:$AM$20,0),FALSE),"")</f>
        <v>AUF LAGER</v>
      </c>
      <c r="AE334" s="681">
        <f t="shared" ca="1" si="56"/>
        <v>0</v>
      </c>
      <c r="AF334" s="681">
        <f t="shared" ca="1" si="57"/>
        <v>0</v>
      </c>
      <c r="AG334" s="687">
        <f t="shared" ca="1" si="58"/>
        <v>0</v>
      </c>
      <c r="AH334" s="688">
        <f t="shared" ca="1" si="59"/>
        <v>0</v>
      </c>
      <c r="AI334" s="687">
        <f t="shared" ca="1" si="60"/>
        <v>0</v>
      </c>
      <c r="AJ334" s="689" t="str">
        <f t="shared" ca="1" si="61"/>
        <v/>
      </c>
      <c r="AK334" s="689">
        <f t="shared" ca="1" si="62"/>
        <v>0</v>
      </c>
      <c r="AL334" s="689" t="str">
        <f t="shared" ca="1" si="63"/>
        <v/>
      </c>
      <c r="AM334" s="690" t="str">
        <f t="shared" ca="1" si="64"/>
        <v/>
      </c>
      <c r="AN334" s="382"/>
      <c r="AO334" s="314" t="str">
        <f>IF($R$3=1,IF(Y334=AA334,"","NE"),IF(#REF!=$V$10,"NE",""))</f>
        <v/>
      </c>
      <c r="AP334" s="315" t="str">
        <f>IF(AB334=$V$3,IF(VLOOKUP(C334,[1]List1!$A:$E,5,FALSE)=0,1,VLOOKUP(C334,[1]List1!$A:$E,5,FALSE)),"")</f>
        <v/>
      </c>
      <c r="AW334" s="458">
        <f>IFERROR(FIND(VLOOKUP('General price list'!$AB$7,'General price list'!$AC$1:$AD$12,2,FALSE),Q334,1),0)</f>
        <v>10</v>
      </c>
      <c r="AX334" s="458">
        <f>IFERROR(FIND(VLOOKUP('General price list'!$AB$7,'General price list'!$AC$1:$AD$12,2,FALSE),R334,1),0)</f>
        <v>0</v>
      </c>
    </row>
    <row r="335" spans="1:50" ht="15" customHeight="1">
      <c r="A335" s="672" t="str">
        <f>Kat.!C335</f>
        <v xml:space="preserve">                                          Batterien 25 schuss, 25mm schräg Mörser-1.3G</v>
      </c>
      <c r="B335" s="692">
        <v>314</v>
      </c>
      <c r="C335" s="693"/>
      <c r="D335" s="693"/>
      <c r="E335" s="694"/>
      <c r="F335" s="695" t="str">
        <f>IFERROR(ROUND(VLOOKUP(C335,'General price list'!$C:$AN,4,FALSE),0),"")</f>
        <v/>
      </c>
      <c r="G335" s="696" t="str">
        <f t="shared" si="53"/>
        <v/>
      </c>
      <c r="H335" s="697" t="str">
        <f t="shared" si="54"/>
        <v/>
      </c>
      <c r="I335" s="837"/>
      <c r="J335" s="698"/>
      <c r="K335" s="856"/>
      <c r="L335" s="857"/>
      <c r="M335" s="698"/>
      <c r="N335" s="869" t="str">
        <f>IFERROR(IF(VLOOKUP($C335,'General price list'!$C:$AN,MATCH(N$20,'General price list'!$C$20:$AM$20,0),FALSE)=0,"",VLOOKUP($C335,'General price list'!$C:$AN,MATCH(N$20,'General price list'!$C$20:$AM$20,0),FALSE)),"")</f>
        <v/>
      </c>
      <c r="O335" s="837" t="str">
        <f>IFERROR(IF(VLOOKUP($C335,'General price list'!$C:$AN,MATCH(O$20,'General price list'!$C$20:$AM$20,0),FALSE)=0,"",VLOOKUP($C335,'General price list'!$C:$AN,MATCH(O$20,'General price list'!$C$20:$AM$20,0),FALSE)),"")</f>
        <v/>
      </c>
      <c r="P335" s="837" t="str">
        <f>IFERROR(IF(VLOOKUP($C335,'General price list'!$C:$AN,MATCH(P$20,'General price list'!$C$20:$AM$20,0),FALSE)=0,"",VLOOKUP($C335,'General price list'!$C:$AN,MATCH(P$20,'General price list'!$C$20:$AM$20,0),FALSE)),"")</f>
        <v/>
      </c>
      <c r="Q335" s="698"/>
      <c r="R335" s="698"/>
      <c r="S335" s="698"/>
      <c r="T335" s="695"/>
      <c r="U335" s="874"/>
      <c r="V335" s="699"/>
      <c r="W335" s="700" t="str">
        <f>IFERROR(VLOOKUP($C335,'General price list'!$C:$AN,MATCH(W$20,'General price list'!$C$20:$AM$20,0),FALSE),"")</f>
        <v/>
      </c>
      <c r="X335" s="891" t="str">
        <f t="shared" si="55"/>
        <v/>
      </c>
      <c r="Y335" s="892"/>
      <c r="Z335" s="700" t="str">
        <f>IFERROR(VLOOKUP($C335,'General price list'!$C:$AN,MATCH(Z$20,'General price list'!$C$20:$AM$20,0),FALSE),"")</f>
        <v/>
      </c>
      <c r="AA335" s="707"/>
      <c r="AB335" s="912" t="str">
        <f>IFERROR(IF(VLOOKUP(C335,[1]List1!$A:$D,2,FALSE)="VYPRODÁNO",$V$9,IF(VLOOKUP(C335,[1]List1!$A:$D,2,FALSE)="DOCHÁZÍ",$V$3,VLOOKUP(C335,[1]List1!$A:$D,2,FALSE))),"OFFLINE!")</f>
        <v>OFFLINE!</v>
      </c>
      <c r="AC335" s="912" t="str">
        <f ca="1">IF(AO335="NE",$V$10,IF(AB335=$V$3,IF(AP335&lt;1,$V$8,$V$2&amp;" "&amp;AP335&amp;" "&amp;$V$1),IF(AB335="SKLADEM",$V$6,IFERROR(IF(OR(AB335-TODAY()&gt;21,VLOOKUP(C335,[1]List1!$A:$E,4,FALSE)=0),AB335,DAY(AB335)&amp;"."&amp;MONTH(AB335)&amp;"."&amp;YEAR(AB335)&amp;" "&amp;$V$4&amp;VLOOKUP(C335,[1]List1!$A:$E,4,FALSE)&amp;" "&amp;$V$1),AB335))))</f>
        <v>OFFLINE!</v>
      </c>
      <c r="AD335" s="701" t="str">
        <f>_xlfn.IFNA(VLOOKUP(C335,'General price list'!C:AM,MATCH($AD$20,'General price list'!$C$20:$AM$20,0),FALSE),"")</f>
        <v/>
      </c>
      <c r="AE335" s="695" t="str">
        <f t="shared" si="56"/>
        <v/>
      </c>
      <c r="AF335" s="695" t="str">
        <f t="shared" si="57"/>
        <v/>
      </c>
      <c r="AG335" s="702" t="str">
        <f t="shared" si="58"/>
        <v/>
      </c>
      <c r="AH335" s="703" t="str">
        <f t="shared" si="59"/>
        <v/>
      </c>
      <c r="AI335" s="702" t="str">
        <f t="shared" si="60"/>
        <v/>
      </c>
      <c r="AJ335" s="704" t="str">
        <f t="shared" si="61"/>
        <v/>
      </c>
      <c r="AK335" s="704" t="str">
        <f t="shared" si="62"/>
        <v/>
      </c>
      <c r="AL335" s="704" t="str">
        <f t="shared" si="63"/>
        <v/>
      </c>
      <c r="AM335" s="705" t="str">
        <f t="shared" si="64"/>
        <v/>
      </c>
      <c r="AN335" s="313"/>
      <c r="AO335" s="314" t="str">
        <f>IF($R$3=1,IF(Y335=AA335,"","NE"),IF(#REF!=$V$10,"NE",""))</f>
        <v/>
      </c>
      <c r="AP335" s="315" t="str">
        <f>IF(AB335=$V$3,IF(VLOOKUP(C335,[1]List1!$A:$E,5,FALSE)=0,1,VLOOKUP(C335,[1]List1!$A:$E,5,FALSE)),"")</f>
        <v/>
      </c>
      <c r="AW335" s="291" t="e">
        <f>VLOOKUP(C335,'General price list'!C:AU,46,FALSE)</f>
        <v>#N/A</v>
      </c>
      <c r="AX335" s="291" t="e">
        <f>VLOOKUP(C335,'General price list'!C:AU,47,FALSE)</f>
        <v>#N/A</v>
      </c>
    </row>
    <row r="336" spans="1:50" ht="15" customHeight="1">
      <c r="A336" s="677" t="str">
        <f>Kat.!C336</f>
        <v xml:space="preserve">                                          </v>
      </c>
      <c r="B336" s="678">
        <v>315</v>
      </c>
      <c r="C336" s="679" t="s">
        <v>1222</v>
      </c>
      <c r="D336" s="679" t="s">
        <v>1223</v>
      </c>
      <c r="E336" s="680" t="s">
        <v>1224</v>
      </c>
      <c r="F336" s="681">
        <f>VLOOKUP(C336,[2]List1!$A:$D,2,FALSE)</f>
        <v>429</v>
      </c>
      <c r="G336" s="682">
        <f t="shared" si="53"/>
        <v>429</v>
      </c>
      <c r="H336" s="683">
        <f t="shared" si="54"/>
        <v>17.5</v>
      </c>
      <c r="I336" s="836">
        <v>10</v>
      </c>
      <c r="J336" s="680" t="s">
        <v>45</v>
      </c>
      <c r="K336" s="854"/>
      <c r="L336" s="855" t="s">
        <v>13849</v>
      </c>
      <c r="M336" s="680" t="s">
        <v>131</v>
      </c>
      <c r="N336" s="868">
        <f>IFERROR(VLOOKUP(C336,[3]List1!$A:$D,4,FALSE),"N/A!")</f>
        <v>7.3631250000000009E-2</v>
      </c>
      <c r="O336" s="836">
        <f>IFERROR(VLOOKUP(C336,[3]List1!$A:$D,3,FALSE),"N/A!")</f>
        <v>3250</v>
      </c>
      <c r="P336" s="836">
        <f>IFERROR(VLOOKUP(C336,[3]List1!$A:$D,2,FALSE),"N/A!")</f>
        <v>19500</v>
      </c>
      <c r="Q336" s="680" t="s">
        <v>1227</v>
      </c>
      <c r="R336" s="680" t="s">
        <v>24</v>
      </c>
      <c r="S336" s="680"/>
      <c r="T336" s="681">
        <v>30</v>
      </c>
      <c r="U336" s="873"/>
      <c r="V336" s="684" t="str">
        <f>_xlfn.IFNA(HYPERLINK("https://www.klasekpyrotechnics.cz/cf2525d"),"")</f>
        <v>https://www.klasekpyrotechnics.cz/cf2525d</v>
      </c>
      <c r="W336" s="685" t="str">
        <f>IFERROR(VLOOKUP($C336,Popisy!A:P,MATCH($W$17,Popisy!$A$7:$P$7,0),FALSE),"---------------")</f>
        <v>5 verschiedenfarbige Effekte</v>
      </c>
      <c r="X336" s="889" t="str">
        <f t="shared" si="55"/>
        <v/>
      </c>
      <c r="Y336" s="890"/>
      <c r="Z336" s="685" t="str">
        <f>IFERROR(IF(VLOOKUP(C336,[4]List1!$A:$D,4,FALSE)=0,"",VLOOKUP(C336,[4]List1!$A:$D,4,FALSE)),"")</f>
        <v>20</v>
      </c>
      <c r="AA336" s="707"/>
      <c r="AB336" s="911" t="str">
        <f>IFERROR(IF(VLOOKUP(C336,[1]List1!$A:$D,2,FALSE)="VYPRODÁNO",$V$9,IF(VLOOKUP(C336,[1]List1!$A:$D,2,FALSE)="DOCHÁZÍ",$V$3,VLOOKUP(C336,[1]List1!$A:$D,2,FALSE))),"OFFLINE!")</f>
        <v>SKLADEM</v>
      </c>
      <c r="AC336" s="911" t="str">
        <f ca="1">IF(AO336="NE",$V$10,IF(AB336=$V$3,IF(AP336&lt;1,$V$8,$V$2&amp;" "&amp;AP336&amp;" "&amp;$V$1),IF(AB336="SKLADEM",$V$6,IFERROR(IF(OR(AB336-TODAY()&gt;21,VLOOKUP(C336,[1]List1!$A:$E,4,FALSE)=0),AB336,DAY(AB336)&amp;"."&amp;MONTH(AB336)&amp;"."&amp;YEAR(AB336)&amp;" "&amp;$V$4&amp;VLOOKUP(C336,[1]List1!$A:$E,4,FALSE)&amp;" "&amp;$V$1),AB336))))</f>
        <v>AUF LAGER</v>
      </c>
      <c r="AD336" s="686" t="str">
        <f ca="1">_xlfn.IFNA(VLOOKUP(C336,'General price list'!C:AM,MATCH($AD$20,'General price list'!$C$20:$AM$20,0),FALSE),"")</f>
        <v>AUF LAGER</v>
      </c>
      <c r="AE336" s="681">
        <f t="shared" ca="1" si="56"/>
        <v>0</v>
      </c>
      <c r="AF336" s="681">
        <f t="shared" ca="1" si="57"/>
        <v>0</v>
      </c>
      <c r="AG336" s="687">
        <f t="shared" ca="1" si="58"/>
        <v>0</v>
      </c>
      <c r="AH336" s="688">
        <f t="shared" ca="1" si="59"/>
        <v>0</v>
      </c>
      <c r="AI336" s="687">
        <f t="shared" ca="1" si="60"/>
        <v>0</v>
      </c>
      <c r="AJ336" s="689" t="str">
        <f t="shared" ca="1" si="61"/>
        <v/>
      </c>
      <c r="AK336" s="689">
        <f t="shared" ca="1" si="62"/>
        <v>0</v>
      </c>
      <c r="AL336" s="689" t="str">
        <f t="shared" ca="1" si="63"/>
        <v/>
      </c>
      <c r="AM336" s="690" t="str">
        <f t="shared" ca="1" si="64"/>
        <v/>
      </c>
      <c r="AN336" s="313"/>
      <c r="AO336" s="314" t="str">
        <f>IF($R$3=1,IF(Y336=AA336,"","NE"),IF(#REF!=$V$10,"NE",""))</f>
        <v/>
      </c>
      <c r="AP336" s="315" t="str">
        <f>IF(AB336=$V$3,IF(VLOOKUP(C336,[1]List1!$A:$E,5,FALSE)=0,1,VLOOKUP(C336,[1]List1!$A:$E,5,FALSE)),"")</f>
        <v/>
      </c>
      <c r="AW336" s="458">
        <f>IFERROR(FIND(VLOOKUP('General price list'!$AB$7,'General price list'!$AC$1:$AD$12,2,FALSE),Q336,1),0)</f>
        <v>13</v>
      </c>
      <c r="AX336" s="458">
        <f>IFERROR(FIND(VLOOKUP('General price list'!$AB$7,'General price list'!$AC$1:$AD$12,2,FALSE),R336,1),0)</f>
        <v>0</v>
      </c>
    </row>
    <row r="337" spans="1:50" ht="15" customHeight="1">
      <c r="A337" s="691" t="str">
        <f>Kat.!C337</f>
        <v xml:space="preserve">                                          </v>
      </c>
      <c r="B337" s="692">
        <v>316</v>
      </c>
      <c r="C337" s="693" t="s">
        <v>1225</v>
      </c>
      <c r="D337" s="693" t="s">
        <v>1226</v>
      </c>
      <c r="E337" s="694" t="s">
        <v>1224</v>
      </c>
      <c r="F337" s="695">
        <f>VLOOKUP(C337,[2]List1!$A:$D,2,FALSE)</f>
        <v>429</v>
      </c>
      <c r="G337" s="696">
        <f t="shared" si="53"/>
        <v>429</v>
      </c>
      <c r="H337" s="697">
        <f t="shared" si="54"/>
        <v>17.5</v>
      </c>
      <c r="I337" s="837">
        <v>10</v>
      </c>
      <c r="J337" s="698" t="s">
        <v>45</v>
      </c>
      <c r="K337" s="856"/>
      <c r="L337" s="857" t="s">
        <v>13849</v>
      </c>
      <c r="M337" s="698" t="s">
        <v>131</v>
      </c>
      <c r="N337" s="869">
        <f>IFERROR(VLOOKUP(C337,[3]List1!$A:$D,4,FALSE),"N/A!")</f>
        <v>7.3631250000000009E-2</v>
      </c>
      <c r="O337" s="837">
        <f>IFERROR(VLOOKUP(C337,[3]List1!$A:$D,3,FALSE),"N/A!")</f>
        <v>3250</v>
      </c>
      <c r="P337" s="837">
        <f>IFERROR(VLOOKUP(C337,[3]List1!$A:$D,2,FALSE),"N/A!")</f>
        <v>19500</v>
      </c>
      <c r="Q337" s="698" t="s">
        <v>1227</v>
      </c>
      <c r="R337" s="698" t="s">
        <v>24</v>
      </c>
      <c r="S337" s="698"/>
      <c r="T337" s="695">
        <v>30</v>
      </c>
      <c r="U337" s="874"/>
      <c r="V337" s="699" t="str">
        <f>_xlfn.IFNA(HYPERLINK("https://www.klasekpyrotechnics.cz/cf2525o"),"")</f>
        <v>https://www.klasekpyrotechnics.cz/cf2525o</v>
      </c>
      <c r="W337" s="700" t="str">
        <f>IFERROR(VLOOKUP($C337,Popisy!A:P,MATCH($W$17,Popisy!$A$7:$P$7,0),FALSE),"---------------")</f>
        <v>5 verschiedenfarbige Effekte</v>
      </c>
      <c r="X337" s="891" t="str">
        <f t="shared" si="55"/>
        <v/>
      </c>
      <c r="Y337" s="892"/>
      <c r="Z337" s="700" t="str">
        <f>IFERROR(IF(VLOOKUP(C337,[4]List1!$A:$D,4,FALSE)=0,"",VLOOKUP(C337,[4]List1!$A:$D,4,FALSE)),"")</f>
        <v>20</v>
      </c>
      <c r="AA337" s="707"/>
      <c r="AB337" s="912" t="str">
        <f>IFERROR(IF(VLOOKUP(C337,[1]List1!$A:$D,2,FALSE)="VYPRODÁNO",$V$9,IF(VLOOKUP(C337,[1]List1!$A:$D,2,FALSE)="DOCHÁZÍ",$V$3,VLOOKUP(C337,[1]List1!$A:$D,2,FALSE))),"OFFLINE!")</f>
        <v>SKLADEM</v>
      </c>
      <c r="AC337" s="912" t="str">
        <f ca="1">IF(AO337="NE",$V$10,IF(AB337=$V$3,IF(AP337&lt;1,$V$8,$V$2&amp;" "&amp;AP337&amp;" "&amp;$V$1),IF(AB337="SKLADEM",$V$6,IFERROR(IF(OR(AB337-TODAY()&gt;21,VLOOKUP(C337,[1]List1!$A:$E,4,FALSE)=0),AB337,DAY(AB337)&amp;"."&amp;MONTH(AB337)&amp;"."&amp;YEAR(AB337)&amp;" "&amp;$V$4&amp;VLOOKUP(C337,[1]List1!$A:$E,4,FALSE)&amp;" "&amp;$V$1),AB337))))</f>
        <v>AUF LAGER</v>
      </c>
      <c r="AD337" s="701" t="str">
        <f ca="1">_xlfn.IFNA(VLOOKUP(C337,'General price list'!C:AM,MATCH($AD$20,'General price list'!$C$20:$AM$20,0),FALSE),"")</f>
        <v>AUF LAGER</v>
      </c>
      <c r="AE337" s="695">
        <f t="shared" ca="1" si="56"/>
        <v>0</v>
      </c>
      <c r="AF337" s="695">
        <f t="shared" ca="1" si="57"/>
        <v>0</v>
      </c>
      <c r="AG337" s="702">
        <f t="shared" ca="1" si="58"/>
        <v>0</v>
      </c>
      <c r="AH337" s="703">
        <f t="shared" ca="1" si="59"/>
        <v>0</v>
      </c>
      <c r="AI337" s="702">
        <f t="shared" ca="1" si="60"/>
        <v>0</v>
      </c>
      <c r="AJ337" s="704" t="str">
        <f t="shared" ca="1" si="61"/>
        <v/>
      </c>
      <c r="AK337" s="704">
        <f t="shared" ca="1" si="62"/>
        <v>0</v>
      </c>
      <c r="AL337" s="704" t="str">
        <f t="shared" ca="1" si="63"/>
        <v/>
      </c>
      <c r="AM337" s="705" t="str">
        <f t="shared" ca="1" si="64"/>
        <v/>
      </c>
      <c r="AN337" s="381"/>
      <c r="AO337" s="314" t="str">
        <f>IF($R$3=1,IF(Y337=AA337,"","NE"),IF(#REF!=$V$10,"NE",""))</f>
        <v/>
      </c>
      <c r="AP337" s="315" t="str">
        <f>IF(AB337=$V$3,IF(VLOOKUP(C337,[1]List1!$A:$E,5,FALSE)=0,1,VLOOKUP(C337,[1]List1!$A:$E,5,FALSE)),"")</f>
        <v/>
      </c>
      <c r="AW337" s="458">
        <f>IFERROR(FIND(VLOOKUP('General price list'!$AB$7,'General price list'!$AC$1:$AD$12,2,FALSE),Q337,1),0)</f>
        <v>13</v>
      </c>
      <c r="AX337" s="458">
        <f>IFERROR(FIND(VLOOKUP('General price list'!$AB$7,'General price list'!$AC$1:$AD$12,2,FALSE),R337,1),0)</f>
        <v>0</v>
      </c>
    </row>
    <row r="338" spans="1:50" ht="15" customHeight="1">
      <c r="A338" s="677" t="str">
        <f>Kat.!C338</f>
        <v xml:space="preserve">                                          </v>
      </c>
      <c r="B338" s="678">
        <v>317</v>
      </c>
      <c r="C338" s="679" t="s">
        <v>1228</v>
      </c>
      <c r="D338" s="679" t="s">
        <v>1229</v>
      </c>
      <c r="E338" s="680" t="s">
        <v>1224</v>
      </c>
      <c r="F338" s="681">
        <f>VLOOKUP(C338,[2]List1!$A:$D,2,FALSE)</f>
        <v>429</v>
      </c>
      <c r="G338" s="682">
        <f t="shared" si="53"/>
        <v>429</v>
      </c>
      <c r="H338" s="683">
        <f t="shared" si="54"/>
        <v>17.5</v>
      </c>
      <c r="I338" s="836">
        <v>10</v>
      </c>
      <c r="J338" s="680" t="s">
        <v>45</v>
      </c>
      <c r="K338" s="854"/>
      <c r="L338" s="855" t="s">
        <v>13849</v>
      </c>
      <c r="M338" s="680" t="s">
        <v>131</v>
      </c>
      <c r="N338" s="868">
        <f>IFERROR(VLOOKUP(C338,[3]List1!$A:$D,4,FALSE),"N/A!")</f>
        <v>7.3631250000000009E-2</v>
      </c>
      <c r="O338" s="836">
        <f>IFERROR(VLOOKUP(C338,[3]List1!$A:$D,3,FALSE),"N/A!")</f>
        <v>3250</v>
      </c>
      <c r="P338" s="836">
        <f>IFERROR(VLOOKUP(C338,[3]List1!$A:$D,2,FALSE),"N/A!")</f>
        <v>19500</v>
      </c>
      <c r="Q338" s="680" t="s">
        <v>1198</v>
      </c>
      <c r="R338" s="680" t="s">
        <v>24</v>
      </c>
      <c r="S338" s="680"/>
      <c r="T338" s="681">
        <v>30</v>
      </c>
      <c r="U338" s="873"/>
      <c r="V338" s="684" t="str">
        <f>_xlfn.IFNA(HYPERLINK("https://www.klasekpyrotechnics.cz/cf2525s"),"")</f>
        <v>https://www.klasekpyrotechnics.cz/cf2525s</v>
      </c>
      <c r="W338" s="685" t="str">
        <f>IFERROR(VLOOKUP($C338,Popisy!A:P,MATCH($W$17,Popisy!$A$7:$P$7,0),FALSE),"---------------")</f>
        <v>5 verschiedenfarbige Effekte</v>
      </c>
      <c r="X338" s="889" t="str">
        <f t="shared" si="55"/>
        <v/>
      </c>
      <c r="Y338" s="890"/>
      <c r="Z338" s="685" t="str">
        <f>IFERROR(IF(VLOOKUP(C338,[4]List1!$A:$D,4,FALSE)=0,"",VLOOKUP(C338,[4]List1!$A:$D,4,FALSE)),"")</f>
        <v>20</v>
      </c>
      <c r="AA338" s="707"/>
      <c r="AB338" s="911" t="str">
        <f>IFERROR(IF(VLOOKUP(C338,[1]List1!$A:$D,2,FALSE)="VYPRODÁNO",$V$9,IF(VLOOKUP(C338,[1]List1!$A:$D,2,FALSE)="DOCHÁZÍ",$V$3,VLOOKUP(C338,[1]List1!$A:$D,2,FALSE))),"OFFLINE!")</f>
        <v>SKLADEM</v>
      </c>
      <c r="AC338" s="911" t="str">
        <f ca="1">IF(AO338="NE",$V$10,IF(AB338=$V$3,IF(AP338&lt;1,$V$8,$V$2&amp;" "&amp;AP338&amp;" "&amp;$V$1),IF(AB338="SKLADEM",$V$6,IFERROR(IF(OR(AB338-TODAY()&gt;21,VLOOKUP(C338,[1]List1!$A:$E,4,FALSE)=0),AB338,DAY(AB338)&amp;"."&amp;MONTH(AB338)&amp;"."&amp;YEAR(AB338)&amp;" "&amp;$V$4&amp;VLOOKUP(C338,[1]List1!$A:$E,4,FALSE)&amp;" "&amp;$V$1),AB338))))</f>
        <v>AUF LAGER</v>
      </c>
      <c r="AD338" s="686" t="str">
        <f ca="1">_xlfn.IFNA(VLOOKUP(C338,'General price list'!C:AM,MATCH($AD$20,'General price list'!$C$20:$AM$20,0),FALSE),"")</f>
        <v>AUF LAGER</v>
      </c>
      <c r="AE338" s="681">
        <f t="shared" ca="1" si="56"/>
        <v>0</v>
      </c>
      <c r="AF338" s="681">
        <f t="shared" ca="1" si="57"/>
        <v>0</v>
      </c>
      <c r="AG338" s="687">
        <f t="shared" ca="1" si="58"/>
        <v>0</v>
      </c>
      <c r="AH338" s="688">
        <f t="shared" ca="1" si="59"/>
        <v>0</v>
      </c>
      <c r="AI338" s="687">
        <f t="shared" ca="1" si="60"/>
        <v>0</v>
      </c>
      <c r="AJ338" s="689" t="str">
        <f t="shared" ca="1" si="61"/>
        <v/>
      </c>
      <c r="AK338" s="689">
        <f t="shared" ca="1" si="62"/>
        <v>0</v>
      </c>
      <c r="AL338" s="689" t="str">
        <f t="shared" ca="1" si="63"/>
        <v/>
      </c>
      <c r="AM338" s="690" t="str">
        <f t="shared" ca="1" si="64"/>
        <v/>
      </c>
      <c r="AN338" s="313"/>
      <c r="AO338" s="314" t="str">
        <f>IF($R$3=1,IF(Y338=AA338,"","NE"),IF(#REF!=$V$10,"NE",""))</f>
        <v/>
      </c>
      <c r="AP338" s="315" t="str">
        <f>IF(AB338=$V$3,IF(VLOOKUP(C338,[1]List1!$A:$E,5,FALSE)=0,1,VLOOKUP(C338,[1]List1!$A:$E,5,FALSE)),"")</f>
        <v/>
      </c>
      <c r="AW338" s="458">
        <f>IFERROR(FIND(VLOOKUP('General price list'!$AB$7,'General price list'!$AC$1:$AD$12,2,FALSE),Q338,1),0)</f>
        <v>13</v>
      </c>
      <c r="AX338" s="458">
        <f>IFERROR(FIND(VLOOKUP('General price list'!$AB$7,'General price list'!$AC$1:$AD$12,2,FALSE),R338,1),0)</f>
        <v>0</v>
      </c>
    </row>
    <row r="339" spans="1:50" ht="15" customHeight="1">
      <c r="A339" s="672" t="str">
        <f>Kat.!C339</f>
        <v xml:space="preserve">                                          Batterien 48 schuss, 25mm gerader+schräg Mörser-1.3G</v>
      </c>
      <c r="B339" s="692">
        <v>318</v>
      </c>
      <c r="C339" s="693"/>
      <c r="D339" s="693"/>
      <c r="E339" s="694"/>
      <c r="F339" s="695" t="str">
        <f>IFERROR(ROUND(VLOOKUP(C339,'General price list'!$C:$AN,4,FALSE),0),"")</f>
        <v/>
      </c>
      <c r="G339" s="696" t="str">
        <f t="shared" si="53"/>
        <v/>
      </c>
      <c r="H339" s="697" t="str">
        <f t="shared" si="54"/>
        <v/>
      </c>
      <c r="I339" s="837"/>
      <c r="J339" s="698"/>
      <c r="K339" s="856"/>
      <c r="L339" s="857"/>
      <c r="M339" s="698"/>
      <c r="N339" s="869" t="str">
        <f>IFERROR(IF(VLOOKUP($C339,'General price list'!$C:$AN,MATCH(N$20,'General price list'!$C$20:$AM$20,0),FALSE)=0,"",VLOOKUP($C339,'General price list'!$C:$AN,MATCH(N$20,'General price list'!$C$20:$AM$20,0),FALSE)),"")</f>
        <v/>
      </c>
      <c r="O339" s="837" t="str">
        <f>IFERROR(IF(VLOOKUP($C339,'General price list'!$C:$AN,MATCH(O$20,'General price list'!$C$20:$AM$20,0),FALSE)=0,"",VLOOKUP($C339,'General price list'!$C:$AN,MATCH(O$20,'General price list'!$C$20:$AM$20,0),FALSE)),"")</f>
        <v/>
      </c>
      <c r="P339" s="837" t="str">
        <f>IFERROR(IF(VLOOKUP($C339,'General price list'!$C:$AN,MATCH(P$20,'General price list'!$C$20:$AM$20,0),FALSE)=0,"",VLOOKUP($C339,'General price list'!$C:$AN,MATCH(P$20,'General price list'!$C$20:$AM$20,0),FALSE)),"")</f>
        <v/>
      </c>
      <c r="Q339" s="698"/>
      <c r="R339" s="698"/>
      <c r="S339" s="698"/>
      <c r="T339" s="695"/>
      <c r="U339" s="874"/>
      <c r="V339" s="699"/>
      <c r="W339" s="700" t="str">
        <f>IFERROR(VLOOKUP($C339,'General price list'!$C:$AN,MATCH(W$20,'General price list'!$C$20:$AM$20,0),FALSE),"")</f>
        <v/>
      </c>
      <c r="X339" s="891" t="str">
        <f t="shared" si="55"/>
        <v/>
      </c>
      <c r="Y339" s="892"/>
      <c r="Z339" s="700" t="str">
        <f>IFERROR(VLOOKUP($C339,'General price list'!$C:$AN,MATCH(Z$20,'General price list'!$C$20:$AM$20,0),FALSE),"")</f>
        <v/>
      </c>
      <c r="AA339" s="707"/>
      <c r="AB339" s="912" t="str">
        <f>IFERROR(IF(VLOOKUP(C339,[1]List1!$A:$D,2,FALSE)="VYPRODÁNO",$V$9,IF(VLOOKUP(C339,[1]List1!$A:$D,2,FALSE)="DOCHÁZÍ",$V$3,VLOOKUP(C339,[1]List1!$A:$D,2,FALSE))),"OFFLINE!")</f>
        <v>OFFLINE!</v>
      </c>
      <c r="AC339" s="912" t="str">
        <f ca="1">IF(AO339="NE",$V$10,IF(AB339=$V$3,IF(AP339&lt;1,$V$8,$V$2&amp;" "&amp;AP339&amp;" "&amp;$V$1),IF(AB339="SKLADEM",$V$6,IFERROR(IF(OR(AB339-TODAY()&gt;21,VLOOKUP(C339,[1]List1!$A:$E,4,FALSE)=0),AB339,DAY(AB339)&amp;"."&amp;MONTH(AB339)&amp;"."&amp;YEAR(AB339)&amp;" "&amp;$V$4&amp;VLOOKUP(C339,[1]List1!$A:$E,4,FALSE)&amp;" "&amp;$V$1),AB339))))</f>
        <v>OFFLINE!</v>
      </c>
      <c r="AD339" s="701" t="str">
        <f>_xlfn.IFNA(VLOOKUP(C339,'General price list'!C:AM,MATCH($AD$20,'General price list'!$C$20:$AM$20,0),FALSE),"")</f>
        <v/>
      </c>
      <c r="AE339" s="695" t="str">
        <f t="shared" si="56"/>
        <v/>
      </c>
      <c r="AF339" s="695" t="str">
        <f t="shared" si="57"/>
        <v/>
      </c>
      <c r="AG339" s="702" t="str">
        <f t="shared" si="58"/>
        <v/>
      </c>
      <c r="AH339" s="703" t="str">
        <f t="shared" si="59"/>
        <v/>
      </c>
      <c r="AI339" s="702" t="str">
        <f t="shared" si="60"/>
        <v/>
      </c>
      <c r="AJ339" s="704" t="str">
        <f t="shared" si="61"/>
        <v/>
      </c>
      <c r="AK339" s="704" t="str">
        <f t="shared" si="62"/>
        <v/>
      </c>
      <c r="AL339" s="704" t="str">
        <f t="shared" si="63"/>
        <v/>
      </c>
      <c r="AM339" s="705" t="str">
        <f t="shared" si="64"/>
        <v/>
      </c>
      <c r="AN339" s="382"/>
      <c r="AO339" s="314" t="str">
        <f>IF($R$3=1,IF(Y339=AA339,"","NE"),IF(#REF!=$V$10,"NE",""))</f>
        <v/>
      </c>
      <c r="AP339" s="315" t="str">
        <f>IF(AB339=$V$3,IF(VLOOKUP(C339,[1]List1!$A:$E,5,FALSE)=0,1,VLOOKUP(C339,[1]List1!$A:$E,5,FALSE)),"")</f>
        <v/>
      </c>
      <c r="AW339" s="291" t="e">
        <f>VLOOKUP(C339,'General price list'!C:AU,46,FALSE)</f>
        <v>#N/A</v>
      </c>
      <c r="AX339" s="291" t="e">
        <f>VLOOKUP(C339,'General price list'!C:AU,47,FALSE)</f>
        <v>#N/A</v>
      </c>
    </row>
    <row r="340" spans="1:50" ht="15" customHeight="1">
      <c r="A340" s="677" t="str">
        <f>Kat.!C340</f>
        <v>×</v>
      </c>
      <c r="B340" s="678">
        <v>319</v>
      </c>
      <c r="C340" s="679" t="s">
        <v>1230</v>
      </c>
      <c r="D340" s="679" t="s">
        <v>1231</v>
      </c>
      <c r="E340" s="680" t="s">
        <v>1006</v>
      </c>
      <c r="F340" s="681">
        <f>VLOOKUP(C340,[2]List1!$A:$D,2,FALSE)</f>
        <v>678</v>
      </c>
      <c r="G340" s="682">
        <f t="shared" si="53"/>
        <v>678</v>
      </c>
      <c r="H340" s="683">
        <f t="shared" si="54"/>
        <v>27.6</v>
      </c>
      <c r="I340" s="836">
        <v>6</v>
      </c>
      <c r="J340" s="680" t="s">
        <v>45</v>
      </c>
      <c r="K340" s="854"/>
      <c r="L340" s="855" t="s">
        <v>13849</v>
      </c>
      <c r="M340" s="680" t="s">
        <v>131</v>
      </c>
      <c r="N340" s="868">
        <f>IFERROR(VLOOKUP(C340,[3]List1!$A:$D,4,FALSE),"N/A!")</f>
        <v>6.2899999999999998E-2</v>
      </c>
      <c r="O340" s="836">
        <f>IFERROR(VLOOKUP(C340,[3]List1!$A:$D,3,FALSE),"N/A!")</f>
        <v>2976</v>
      </c>
      <c r="P340" s="836">
        <f>IFERROR(VLOOKUP(C340,[3]List1!$A:$D,2,FALSE),"N/A!")</f>
        <v>23500</v>
      </c>
      <c r="Q340" s="680" t="s">
        <v>13781</v>
      </c>
      <c r="R340" s="680" t="s">
        <v>24</v>
      </c>
      <c r="S340" s="680"/>
      <c r="T340" s="681">
        <v>35</v>
      </c>
      <c r="U340" s="873"/>
      <c r="V340" s="684" t="str">
        <f>_xlfn.IFNA(HYPERLINK("https://www.klasekpyrotechnics.cz/c4825mp"),"")</f>
        <v>https://www.klasekpyrotechnics.cz/c4825mp</v>
      </c>
      <c r="W340" s="685" t="str">
        <f>IFERROR(VLOOKUP($C340,Popisy!A:P,MATCH($W$17,Popisy!$A$7:$P$7,0),FALSE),"---------------")</f>
        <v>8 verschiedenfarbige Effekte</v>
      </c>
      <c r="X340" s="889" t="str">
        <f t="shared" si="55"/>
        <v/>
      </c>
      <c r="Y340" s="890"/>
      <c r="Z340" s="685">
        <f>IFERROR(IF(VLOOKUP(C340,[4]List1!$A:$D,4,FALSE)=0,"",VLOOKUP(C340,[4]List1!$A:$D,4,FALSE)),"")</f>
        <v>18</v>
      </c>
      <c r="AA340" s="707"/>
      <c r="AB340" s="911" t="str">
        <f>IFERROR(IF(VLOOKUP(C340,[1]List1!$A:$D,2,FALSE)="VYPRODÁNO",$V$9,IF(VLOOKUP(C340,[1]List1!$A:$D,2,FALSE)="DOCHÁZÍ",$V$3,VLOOKUP(C340,[1]List1!$A:$D,2,FALSE))),"OFFLINE!")</f>
        <v>SKLADEM</v>
      </c>
      <c r="AC340" s="911" t="str">
        <f ca="1">IF(AO340="NE",$V$10,IF(AB340=$V$3,IF(AP340&lt;1,$V$8,$V$2&amp;" "&amp;AP340&amp;" "&amp;$V$1),IF(AB340="SKLADEM",$V$6,IFERROR(IF(OR(AB340-TODAY()&gt;21,VLOOKUP(C340,[1]List1!$A:$E,4,FALSE)=0),AB340,DAY(AB340)&amp;"."&amp;MONTH(AB340)&amp;"."&amp;YEAR(AB340)&amp;" "&amp;$V$4&amp;VLOOKUP(C340,[1]List1!$A:$E,4,FALSE)&amp;" "&amp;$V$1),AB340))))</f>
        <v>AUF LAGER</v>
      </c>
      <c r="AD340" s="686" t="str">
        <f ca="1">_xlfn.IFNA(VLOOKUP(C340,'General price list'!C:AM,MATCH($AD$20,'General price list'!$C$20:$AM$20,0),FALSE),"")</f>
        <v>AUF LAGER</v>
      </c>
      <c r="AE340" s="681">
        <f t="shared" ca="1" si="56"/>
        <v>0</v>
      </c>
      <c r="AF340" s="681">
        <f t="shared" ca="1" si="57"/>
        <v>0</v>
      </c>
      <c r="AG340" s="687">
        <f t="shared" ca="1" si="58"/>
        <v>0</v>
      </c>
      <c r="AH340" s="688">
        <f t="shared" ca="1" si="59"/>
        <v>0</v>
      </c>
      <c r="AI340" s="687">
        <f t="shared" ca="1" si="60"/>
        <v>0</v>
      </c>
      <c r="AJ340" s="689" t="str">
        <f t="shared" ca="1" si="61"/>
        <v/>
      </c>
      <c r="AK340" s="689">
        <f t="shared" ca="1" si="62"/>
        <v>0</v>
      </c>
      <c r="AL340" s="689" t="str">
        <f t="shared" ca="1" si="63"/>
        <v/>
      </c>
      <c r="AM340" s="690" t="str">
        <f t="shared" ca="1" si="64"/>
        <v/>
      </c>
      <c r="AN340" s="382"/>
      <c r="AO340" s="314" t="str">
        <f>IF($R$3=1,IF(Y340=AA340,"","NE"),IF(#REF!=$V$10,"NE",""))</f>
        <v/>
      </c>
      <c r="AP340" s="315" t="str">
        <f>IF(AB340=$V$3,IF(VLOOKUP(C340,[1]List1!$A:$E,5,FALSE)=0,1,VLOOKUP(C340,[1]List1!$A:$E,5,FALSE)),"")</f>
        <v/>
      </c>
      <c r="AW340" s="458">
        <f>IFERROR(FIND(VLOOKUP('General price list'!$AB$7,'General price list'!$AC$1:$AD$12,2,FALSE),Q340,1),0)</f>
        <v>10</v>
      </c>
      <c r="AX340" s="458">
        <f>IFERROR(FIND(VLOOKUP('General price list'!$AB$7,'General price list'!$AC$1:$AD$12,2,FALSE),R340,1),0)</f>
        <v>0</v>
      </c>
    </row>
    <row r="341" spans="1:50" ht="15" customHeight="1">
      <c r="A341" s="672" t="str">
        <f>Kat.!C341</f>
        <v xml:space="preserve">                                          Batterien 49 schuss, 25mm Mörser-F2-1.3G</v>
      </c>
      <c r="B341" s="692">
        <v>320</v>
      </c>
      <c r="C341" s="693"/>
      <c r="D341" s="693"/>
      <c r="E341" s="694"/>
      <c r="F341" s="695" t="str">
        <f>IFERROR(ROUND(VLOOKUP(C341,'General price list'!$C:$AN,4,FALSE),0),"")</f>
        <v/>
      </c>
      <c r="G341" s="696" t="str">
        <f t="shared" si="53"/>
        <v/>
      </c>
      <c r="H341" s="697" t="str">
        <f t="shared" si="54"/>
        <v/>
      </c>
      <c r="I341" s="837"/>
      <c r="J341" s="698"/>
      <c r="K341" s="856"/>
      <c r="L341" s="857"/>
      <c r="M341" s="698"/>
      <c r="N341" s="869" t="str">
        <f>IFERROR(IF(VLOOKUP($C341,'General price list'!$C:$AN,MATCH(N$20,'General price list'!$C$20:$AM$20,0),FALSE)=0,"",VLOOKUP($C341,'General price list'!$C:$AN,MATCH(N$20,'General price list'!$C$20:$AM$20,0),FALSE)),"")</f>
        <v/>
      </c>
      <c r="O341" s="837" t="str">
        <f>IFERROR(IF(VLOOKUP($C341,'General price list'!$C:$AN,MATCH(O$20,'General price list'!$C$20:$AM$20,0),FALSE)=0,"",VLOOKUP($C341,'General price list'!$C:$AN,MATCH(O$20,'General price list'!$C$20:$AM$20,0),FALSE)),"")</f>
        <v/>
      </c>
      <c r="P341" s="837" t="str">
        <f>IFERROR(IF(VLOOKUP($C341,'General price list'!$C:$AN,MATCH(P$20,'General price list'!$C$20:$AM$20,0),FALSE)=0,"",VLOOKUP($C341,'General price list'!$C:$AN,MATCH(P$20,'General price list'!$C$20:$AM$20,0),FALSE)),"")</f>
        <v/>
      </c>
      <c r="Q341" s="698"/>
      <c r="R341" s="698"/>
      <c r="S341" s="698"/>
      <c r="T341" s="695"/>
      <c r="U341" s="874"/>
      <c r="V341" s="699"/>
      <c r="W341" s="700" t="str">
        <f>IFERROR(VLOOKUP($C341,'General price list'!$C:$AN,MATCH(W$20,'General price list'!$C$20:$AM$20,0),FALSE),"")</f>
        <v/>
      </c>
      <c r="X341" s="891" t="str">
        <f t="shared" si="55"/>
        <v/>
      </c>
      <c r="Y341" s="892"/>
      <c r="Z341" s="700" t="str">
        <f>IFERROR(VLOOKUP($C341,'General price list'!$C:$AN,MATCH(Z$20,'General price list'!$C$20:$AM$20,0),FALSE),"")</f>
        <v/>
      </c>
      <c r="AA341" s="707"/>
      <c r="AB341" s="912" t="str">
        <f>IFERROR(IF(VLOOKUP(C341,[1]List1!$A:$D,2,FALSE)="VYPRODÁNO",$V$9,IF(VLOOKUP(C341,[1]List1!$A:$D,2,FALSE)="DOCHÁZÍ",$V$3,VLOOKUP(C341,[1]List1!$A:$D,2,FALSE))),"OFFLINE!")</f>
        <v>OFFLINE!</v>
      </c>
      <c r="AC341" s="912" t="str">
        <f ca="1">IF(AO341="NE",$V$10,IF(AB341=$V$3,IF(AP341&lt;1,$V$8,$V$2&amp;" "&amp;AP341&amp;" "&amp;$V$1),IF(AB341="SKLADEM",$V$6,IFERROR(IF(OR(AB341-TODAY()&gt;21,VLOOKUP(C341,[1]List1!$A:$E,4,FALSE)=0),AB341,DAY(AB341)&amp;"."&amp;MONTH(AB341)&amp;"."&amp;YEAR(AB341)&amp;" "&amp;$V$4&amp;VLOOKUP(C341,[1]List1!$A:$E,4,FALSE)&amp;" "&amp;$V$1),AB341))))</f>
        <v>OFFLINE!</v>
      </c>
      <c r="AD341" s="701" t="str">
        <f>_xlfn.IFNA(VLOOKUP(C341,'General price list'!C:AM,MATCH($AD$20,'General price list'!$C$20:$AM$20,0),FALSE),"")</f>
        <v/>
      </c>
      <c r="AE341" s="695" t="str">
        <f t="shared" si="56"/>
        <v/>
      </c>
      <c r="AF341" s="695" t="str">
        <f t="shared" si="57"/>
        <v/>
      </c>
      <c r="AG341" s="702" t="str">
        <f t="shared" si="58"/>
        <v/>
      </c>
      <c r="AH341" s="703" t="str">
        <f t="shared" si="59"/>
        <v/>
      </c>
      <c r="AI341" s="702" t="str">
        <f t="shared" si="60"/>
        <v/>
      </c>
      <c r="AJ341" s="704" t="str">
        <f t="shared" si="61"/>
        <v/>
      </c>
      <c r="AK341" s="704" t="str">
        <f t="shared" si="62"/>
        <v/>
      </c>
      <c r="AL341" s="704" t="str">
        <f t="shared" si="63"/>
        <v/>
      </c>
      <c r="AM341" s="705" t="str">
        <f t="shared" si="64"/>
        <v/>
      </c>
      <c r="AN341" s="382"/>
      <c r="AO341" s="314" t="str">
        <f>IF($R$3=1,IF(Y341=AA341,"","NE"),IF(#REF!=$V$10,"NE",""))</f>
        <v/>
      </c>
      <c r="AP341" s="315" t="str">
        <f>IF(AB341=$V$3,IF(VLOOKUP(C341,[1]List1!$A:$E,5,FALSE)=0,1,VLOOKUP(C341,[1]List1!$A:$E,5,FALSE)),"")</f>
        <v/>
      </c>
      <c r="AW341" s="291" t="e">
        <f>VLOOKUP(C341,'General price list'!C:AU,46,FALSE)</f>
        <v>#N/A</v>
      </c>
      <c r="AX341" s="291" t="e">
        <f>VLOOKUP(C341,'General price list'!C:AU,47,FALSE)</f>
        <v>#N/A</v>
      </c>
    </row>
    <row r="342" spans="1:50" ht="15" customHeight="1">
      <c r="A342" s="677" t="str">
        <f>Kat.!C342</f>
        <v xml:space="preserve">                                          </v>
      </c>
      <c r="B342" s="678">
        <v>321</v>
      </c>
      <c r="C342" s="679" t="s">
        <v>1233</v>
      </c>
      <c r="D342" s="679" t="s">
        <v>1234</v>
      </c>
      <c r="E342" s="680" t="s">
        <v>1006</v>
      </c>
      <c r="F342" s="681">
        <f>VLOOKUP(C342,[2]List1!$A:$D,2,FALSE)</f>
        <v>671</v>
      </c>
      <c r="G342" s="682">
        <f t="shared" si="53"/>
        <v>671</v>
      </c>
      <c r="H342" s="683">
        <f t="shared" si="54"/>
        <v>27.3</v>
      </c>
      <c r="I342" s="836">
        <v>6</v>
      </c>
      <c r="J342" s="680" t="s">
        <v>45</v>
      </c>
      <c r="K342" s="854"/>
      <c r="L342" s="855" t="s">
        <v>13849</v>
      </c>
      <c r="M342" s="680" t="s">
        <v>131</v>
      </c>
      <c r="N342" s="868">
        <f>IFERROR(VLOOKUP(C342,[3]List1!$A:$D,4,FALSE),"N/A!")</f>
        <v>4.8944000000000001E-2</v>
      </c>
      <c r="O342" s="836">
        <f>IFERROR(VLOOKUP(C342,[3]List1!$A:$D,3,FALSE),"N/A!")</f>
        <v>2988</v>
      </c>
      <c r="P342" s="836">
        <f>IFERROR(VLOOKUP(C342,[3]List1!$A:$D,2,FALSE),"N/A!")</f>
        <v>20000</v>
      </c>
      <c r="Q342" s="680" t="s">
        <v>1232</v>
      </c>
      <c r="R342" s="680" t="s">
        <v>24</v>
      </c>
      <c r="S342" s="680"/>
      <c r="T342" s="681">
        <v>43</v>
      </c>
      <c r="U342" s="873"/>
      <c r="V342" s="684" t="str">
        <f>_xlfn.IFNA(HYPERLINK("https://www.klasekpyrotechnics.cz/c4925g"),"")</f>
        <v>https://www.klasekpyrotechnics.cz/c4925g</v>
      </c>
      <c r="W342" s="685" t="str">
        <f>IFERROR(VLOOKUP($C342,Popisy!A:P,MATCH($W$17,Popisy!$A$7:$P$7,0),FALSE),"---------------")</f>
        <v>7 verschiedenfarbige Effekte</v>
      </c>
      <c r="X342" s="889" t="str">
        <f t="shared" si="55"/>
        <v/>
      </c>
      <c r="Y342" s="890"/>
      <c r="Z342" s="685">
        <f>IFERROR(IF(VLOOKUP(C342,[4]List1!$A:$D,4,FALSE)=0,"",VLOOKUP(C342,[4]List1!$A:$D,4,FALSE)),"")</f>
        <v>25</v>
      </c>
      <c r="AA342" s="707"/>
      <c r="AB342" s="911" t="str">
        <f>IFERROR(IF(VLOOKUP(C342,[1]List1!$A:$D,2,FALSE)="VYPRODÁNO",$V$9,IF(VLOOKUP(C342,[1]List1!$A:$D,2,FALSE)="DOCHÁZÍ",$V$3,VLOOKUP(C342,[1]List1!$A:$D,2,FALSE))),"OFFLINE!")</f>
        <v>SKLADEM</v>
      </c>
      <c r="AC342" s="911" t="str">
        <f ca="1">IF(AO342="NE",$V$10,IF(AB342=$V$3,IF(AP342&lt;1,$V$8,$V$2&amp;" "&amp;AP342&amp;" "&amp;$V$1),IF(AB342="SKLADEM",$V$6,IFERROR(IF(OR(AB342-TODAY()&gt;21,VLOOKUP(C342,[1]List1!$A:$E,4,FALSE)=0),AB342,DAY(AB342)&amp;"."&amp;MONTH(AB342)&amp;"."&amp;YEAR(AB342)&amp;" "&amp;$V$4&amp;VLOOKUP(C342,[1]List1!$A:$E,4,FALSE)&amp;" "&amp;$V$1),AB342))))</f>
        <v>AUF LAGER</v>
      </c>
      <c r="AD342" s="686" t="str">
        <f ca="1">_xlfn.IFNA(VLOOKUP(C342,'General price list'!C:AM,MATCH($AD$20,'General price list'!$C$20:$AM$20,0),FALSE),"")</f>
        <v>AUF LAGER</v>
      </c>
      <c r="AE342" s="681">
        <f t="shared" ca="1" si="56"/>
        <v>0</v>
      </c>
      <c r="AF342" s="681">
        <f t="shared" ca="1" si="57"/>
        <v>0</v>
      </c>
      <c r="AG342" s="687">
        <f t="shared" ca="1" si="58"/>
        <v>0</v>
      </c>
      <c r="AH342" s="688">
        <f t="shared" ca="1" si="59"/>
        <v>0</v>
      </c>
      <c r="AI342" s="687">
        <f t="shared" ca="1" si="60"/>
        <v>0</v>
      </c>
      <c r="AJ342" s="689" t="str">
        <f t="shared" ca="1" si="61"/>
        <v/>
      </c>
      <c r="AK342" s="689">
        <f t="shared" ca="1" si="62"/>
        <v>0</v>
      </c>
      <c r="AL342" s="689" t="str">
        <f t="shared" ca="1" si="63"/>
        <v/>
      </c>
      <c r="AM342" s="690" t="str">
        <f t="shared" ca="1" si="64"/>
        <v/>
      </c>
      <c r="AN342" s="382"/>
      <c r="AO342" s="314" t="str">
        <f>IF($R$3=1,IF(Y342=AA342,"","NE"),IF(#REF!=$V$10,"NE",""))</f>
        <v/>
      </c>
      <c r="AP342" s="315" t="str">
        <f>IF(AB342=$V$3,IF(VLOOKUP(C342,[1]List1!$A:$E,5,FALSE)=0,1,VLOOKUP(C342,[1]List1!$A:$E,5,FALSE)),"")</f>
        <v/>
      </c>
      <c r="AW342" s="458">
        <f>IFERROR(FIND(VLOOKUP('General price list'!$AB$7,'General price list'!$AC$1:$AD$12,2,FALSE),Q342,1),0)</f>
        <v>10</v>
      </c>
      <c r="AX342" s="458">
        <f>IFERROR(FIND(VLOOKUP('General price list'!$AB$7,'General price list'!$AC$1:$AD$12,2,FALSE),R342,1),0)</f>
        <v>0</v>
      </c>
    </row>
    <row r="343" spans="1:50" ht="15" customHeight="1">
      <c r="A343" s="691" t="str">
        <f>Kat.!C343</f>
        <v xml:space="preserve">                                          </v>
      </c>
      <c r="B343" s="692">
        <v>322</v>
      </c>
      <c r="C343" s="693" t="s">
        <v>1235</v>
      </c>
      <c r="D343" s="693" t="s">
        <v>13226</v>
      </c>
      <c r="E343" s="694" t="s">
        <v>1006</v>
      </c>
      <c r="F343" s="695">
        <f>VLOOKUP(C343,[2]List1!$A:$D,2,FALSE)</f>
        <v>671</v>
      </c>
      <c r="G343" s="696">
        <f t="shared" ref="G343:G406" si="65">IFERROR((F343)*$B$19,"")</f>
        <v>671</v>
      </c>
      <c r="H343" s="697">
        <f t="shared" ref="H343:H406" si="66">IFERROR(ROUND(G343/$F$19,1),"")</f>
        <v>27.3</v>
      </c>
      <c r="I343" s="837">
        <v>6</v>
      </c>
      <c r="J343" s="698" t="s">
        <v>45</v>
      </c>
      <c r="K343" s="856"/>
      <c r="L343" s="857" t="s">
        <v>13849</v>
      </c>
      <c r="M343" s="698" t="s">
        <v>131</v>
      </c>
      <c r="N343" s="869">
        <f>IFERROR(VLOOKUP(C343,[3]List1!$A:$D,4,FALSE),"N/A!")</f>
        <v>4.8944000000000001E-2</v>
      </c>
      <c r="O343" s="837">
        <f>IFERROR(VLOOKUP(C343,[3]List1!$A:$D,3,FALSE),"N/A!")</f>
        <v>2988</v>
      </c>
      <c r="P343" s="837">
        <f>IFERROR(VLOOKUP(C343,[3]List1!$A:$D,2,FALSE),"N/A!")</f>
        <v>20000</v>
      </c>
      <c r="Q343" s="698" t="s">
        <v>13760</v>
      </c>
      <c r="R343" s="698" t="s">
        <v>24</v>
      </c>
      <c r="S343" s="698"/>
      <c r="T343" s="695">
        <v>43</v>
      </c>
      <c r="U343" s="874"/>
      <c r="V343" s="699" t="str">
        <f>_xlfn.IFNA(HYPERLINK("https://www.klasekpyrotechnics.cz/c4925p"),"")</f>
        <v>https://www.klasekpyrotechnics.cz/c4925p</v>
      </c>
      <c r="W343" s="700" t="str">
        <f>IFERROR(VLOOKUP($C343,Popisy!A:P,MATCH($W$17,Popisy!$A$7:$P$7,0),FALSE),"---------------")</f>
        <v>7 verschiedenfarbige Effekte</v>
      </c>
      <c r="X343" s="891" t="str">
        <f t="shared" ref="X343:X406" si="67">IF(AA343&lt;0.0001,"",AA343)</f>
        <v/>
      </c>
      <c r="Y343" s="892"/>
      <c r="Z343" s="700">
        <f>IFERROR(IF(VLOOKUP(C343,[4]List1!$A:$D,4,FALSE)=0,"",VLOOKUP(C343,[4]List1!$A:$D,4,FALSE)),"")</f>
        <v>25</v>
      </c>
      <c r="AA343" s="707"/>
      <c r="AB343" s="912" t="str">
        <f>IFERROR(IF(VLOOKUP(C343,[1]List1!$A:$D,2,FALSE)="VYPRODÁNO",$V$9,IF(VLOOKUP(C343,[1]List1!$A:$D,2,FALSE)="DOCHÁZÍ",$V$3,VLOOKUP(C343,[1]List1!$A:$D,2,FALSE))),"OFFLINE!")</f>
        <v>SKLADEM</v>
      </c>
      <c r="AC343" s="912" t="str">
        <f ca="1">IF(AO343="NE",$V$10,IF(AB343=$V$3,IF(AP343&lt;1,$V$8,$V$2&amp;" "&amp;AP343&amp;" "&amp;$V$1),IF(AB343="SKLADEM",$V$6,IFERROR(IF(OR(AB343-TODAY()&gt;21,VLOOKUP(C343,[1]List1!$A:$E,4,FALSE)=0),AB343,DAY(AB343)&amp;"."&amp;MONTH(AB343)&amp;"."&amp;YEAR(AB343)&amp;" "&amp;$V$4&amp;VLOOKUP(C343,[1]List1!$A:$E,4,FALSE)&amp;" "&amp;$V$1),AB343))))</f>
        <v>AUF LAGER</v>
      </c>
      <c r="AD343" s="701" t="str">
        <f ca="1">_xlfn.IFNA(VLOOKUP(C343,'General price list'!C:AM,MATCH($AD$20,'General price list'!$C$20:$AM$20,0),FALSE),"")</f>
        <v>AUF LAGER</v>
      </c>
      <c r="AE343" s="695">
        <f t="shared" ref="AE343:AE406" ca="1" si="68">IFERROR(IF(AD343=$V$10,0,G343*I343*AA343),"")</f>
        <v>0</v>
      </c>
      <c r="AF343" s="695">
        <f t="shared" ref="AF343:AF406" ca="1" si="69">IFERROR(IF($W$17=$AB$8,AG343*1.23,AE343*1.21),"")</f>
        <v>0</v>
      </c>
      <c r="AG343" s="702">
        <f t="shared" ref="AG343:AG406" ca="1" si="70">IFERROR(IF($V$10=AD343,0,H343*I343*AA343),"")</f>
        <v>0</v>
      </c>
      <c r="AH343" s="703">
        <f t="shared" ref="AH343:AH406" ca="1" si="71">IFERROR(IF($V$10=AD343,0,(P343*AA343)/1000),"")</f>
        <v>0</v>
      </c>
      <c r="AI343" s="702">
        <f t="shared" ref="AI343:AI406" ca="1" si="72">IFERROR(IF($V$10=AD343,0,N343*AA343),"")</f>
        <v>0</v>
      </c>
      <c r="AJ343" s="704" t="str">
        <f t="shared" ref="AJ343:AJ406" ca="1" si="73">IFERROR(IF($V$10=AD343,"",IF(M343="1.1G",(O343/1000)*AA343,"")),0)</f>
        <v/>
      </c>
      <c r="AK343" s="704">
        <f t="shared" ref="AK343:AK406" ca="1" si="74">IFERROR(IF($V$10=AD343,"",IF(M343="1.3G",(O343/1000)*AA343,"")),0)</f>
        <v>0</v>
      </c>
      <c r="AL343" s="704" t="str">
        <f t="shared" ref="AL343:AL406" ca="1" si="75">IFERROR(IF($V$10=AD343,"",IF(M343="1.4G",(O343/1000)*AA343,"")),0)</f>
        <v/>
      </c>
      <c r="AM343" s="705" t="str">
        <f t="shared" ref="AM343:AM406" ca="1" si="76">IFERROR(IF(SUM(AJ343:AL343)=0,"",SUM(AJ343:AL343)),"")</f>
        <v/>
      </c>
      <c r="AN343" s="381"/>
      <c r="AO343" s="314" t="str">
        <f>IF($R$3=1,IF(Y343=AA343,"","NE"),IF(#REF!=$V$10,"NE",""))</f>
        <v/>
      </c>
      <c r="AP343" s="292" t="str">
        <f>IF(AB343=$V$3,IF(VLOOKUP(C343,[1]List1!$A:$E,5,FALSE)=0,1,VLOOKUP(C343,[1]List1!$A:$E,5,FALSE)),"")</f>
        <v/>
      </c>
      <c r="AW343" s="458">
        <f>IFERROR(FIND(VLOOKUP('General price list'!$AB$7,'General price list'!$AC$1:$AD$12,2,FALSE),Q343,1),0)</f>
        <v>13</v>
      </c>
      <c r="AX343" s="458">
        <f>IFERROR(FIND(VLOOKUP('General price list'!$AB$7,'General price list'!$AC$1:$AD$12,2,FALSE),R343,1),0)</f>
        <v>0</v>
      </c>
    </row>
    <row r="344" spans="1:50" ht="15" customHeight="1">
      <c r="A344" s="677" t="str">
        <f>Kat.!C344</f>
        <v xml:space="preserve">                                          </v>
      </c>
      <c r="B344" s="678">
        <v>323</v>
      </c>
      <c r="C344" s="679" t="s">
        <v>1236</v>
      </c>
      <c r="D344" s="679" t="s">
        <v>1237</v>
      </c>
      <c r="E344" s="680" t="s">
        <v>1006</v>
      </c>
      <c r="F344" s="681">
        <f>VLOOKUP(C344,[2]List1!$A:$D,2,FALSE)</f>
        <v>671</v>
      </c>
      <c r="G344" s="682">
        <f t="shared" si="65"/>
        <v>671</v>
      </c>
      <c r="H344" s="683">
        <f t="shared" si="66"/>
        <v>27.3</v>
      </c>
      <c r="I344" s="836">
        <v>6</v>
      </c>
      <c r="J344" s="680" t="s">
        <v>45</v>
      </c>
      <c r="K344" s="854">
        <v>5</v>
      </c>
      <c r="L344" s="855" t="s">
        <v>13849</v>
      </c>
      <c r="M344" s="680" t="s">
        <v>131</v>
      </c>
      <c r="N344" s="868">
        <f>IFERROR(VLOOKUP(C344,[3]List1!$A:$D,4,FALSE),"N/A!")</f>
        <v>4.8944000000000001E-2</v>
      </c>
      <c r="O344" s="836">
        <f>IFERROR(VLOOKUP(C344,[3]List1!$A:$D,3,FALSE),"N/A!")</f>
        <v>2988</v>
      </c>
      <c r="P344" s="836">
        <f>IFERROR(VLOOKUP(C344,[3]List1!$A:$D,2,FALSE),"N/A!")</f>
        <v>20000</v>
      </c>
      <c r="Q344" s="680" t="s">
        <v>13782</v>
      </c>
      <c r="R344" s="680" t="s">
        <v>24</v>
      </c>
      <c r="S344" s="680"/>
      <c r="T344" s="681">
        <v>43</v>
      </c>
      <c r="U344" s="873"/>
      <c r="V344" s="684" t="str">
        <f>_xlfn.IFNA(HYPERLINK("https://www.klasekpyrotechnics.cz/c4925v"),"")</f>
        <v>https://www.klasekpyrotechnics.cz/c4925v</v>
      </c>
      <c r="W344" s="685" t="str">
        <f>IFERROR(VLOOKUP($C344,Popisy!A:P,MATCH($W$17,Popisy!$A$7:$P$7,0),FALSE),"---------------")</f>
        <v>7 verschiedenfarbige Effekte</v>
      </c>
      <c r="X344" s="889" t="str">
        <f t="shared" si="67"/>
        <v/>
      </c>
      <c r="Y344" s="890"/>
      <c r="Z344" s="685">
        <f>IFERROR(IF(VLOOKUP(C344,[4]List1!$A:$D,4,FALSE)=0,"",VLOOKUP(C344,[4]List1!$A:$D,4,FALSE)),"")</f>
        <v>25</v>
      </c>
      <c r="AA344" s="707"/>
      <c r="AB344" s="911" t="str">
        <f>IFERROR(IF(VLOOKUP(C344,[1]List1!$A:$D,2,FALSE)="VYPRODÁNO",$V$9,IF(VLOOKUP(C344,[1]List1!$A:$D,2,FALSE)="DOCHÁZÍ",$V$3,VLOOKUP(C344,[1]List1!$A:$D,2,FALSE))),"OFFLINE!")</f>
        <v>SKLADEM</v>
      </c>
      <c r="AC344" s="911" t="str">
        <f ca="1">IF(AO344="NE",$V$10,IF(AB344=$V$3,IF(AP344&lt;1,$V$8,$V$2&amp;" "&amp;AP344&amp;" "&amp;$V$1),IF(AB344="SKLADEM",$V$6,IFERROR(IF(OR(AB344-TODAY()&gt;21,VLOOKUP(C344,[1]List1!$A:$E,4,FALSE)=0),AB344,DAY(AB344)&amp;"."&amp;MONTH(AB344)&amp;"."&amp;YEAR(AB344)&amp;" "&amp;$V$4&amp;VLOOKUP(C344,[1]List1!$A:$E,4,FALSE)&amp;" "&amp;$V$1),AB344))))</f>
        <v>AUF LAGER</v>
      </c>
      <c r="AD344" s="686" t="str">
        <f ca="1">_xlfn.IFNA(VLOOKUP(C344,'General price list'!C:AM,MATCH($AD$20,'General price list'!$C$20:$AM$20,0),FALSE),"")</f>
        <v>AUF LAGER</v>
      </c>
      <c r="AE344" s="681">
        <f t="shared" ca="1" si="68"/>
        <v>0</v>
      </c>
      <c r="AF344" s="681">
        <f t="shared" ca="1" si="69"/>
        <v>0</v>
      </c>
      <c r="AG344" s="687">
        <f t="shared" ca="1" si="70"/>
        <v>0</v>
      </c>
      <c r="AH344" s="688">
        <f t="shared" ca="1" si="71"/>
        <v>0</v>
      </c>
      <c r="AI344" s="687">
        <f t="shared" ca="1" si="72"/>
        <v>0</v>
      </c>
      <c r="AJ344" s="689" t="str">
        <f t="shared" ca="1" si="73"/>
        <v/>
      </c>
      <c r="AK344" s="689">
        <f t="shared" ca="1" si="74"/>
        <v>0</v>
      </c>
      <c r="AL344" s="689" t="str">
        <f t="shared" ca="1" si="75"/>
        <v/>
      </c>
      <c r="AM344" s="690" t="str">
        <f t="shared" ca="1" si="76"/>
        <v/>
      </c>
      <c r="AN344" s="382"/>
      <c r="AO344" s="314" t="str">
        <f>IF($R$3=1,IF(Y344=AA344,"","NE"),IF(#REF!=$V$10,"NE",""))</f>
        <v/>
      </c>
      <c r="AP344" s="315" t="str">
        <f>IF(AB344=$V$3,IF(VLOOKUP(C344,[1]List1!$A:$E,5,FALSE)=0,1,VLOOKUP(C344,[1]List1!$A:$E,5,FALSE)),"")</f>
        <v/>
      </c>
      <c r="AW344" s="458">
        <f>IFERROR(FIND(VLOOKUP('General price list'!$AB$7,'General price list'!$AC$1:$AD$12,2,FALSE),Q344,1),0)</f>
        <v>13</v>
      </c>
      <c r="AX344" s="458">
        <f>IFERROR(FIND(VLOOKUP('General price list'!$AB$7,'General price list'!$AC$1:$AD$12,2,FALSE),R344,1),0)</f>
        <v>0</v>
      </c>
    </row>
    <row r="345" spans="1:50" ht="15" customHeight="1">
      <c r="A345" s="672" t="str">
        <f>Kat.!C345</f>
        <v xml:space="preserve">                                          Batterien 49 schuss, 25mm Mörser-F2-1.4G</v>
      </c>
      <c r="B345" s="692">
        <v>324</v>
      </c>
      <c r="C345" s="693"/>
      <c r="D345" s="693"/>
      <c r="E345" s="694"/>
      <c r="F345" s="695" t="str">
        <f>IFERROR(ROUND(VLOOKUP(C345,'General price list'!$C:$AN,4,FALSE),0),"")</f>
        <v/>
      </c>
      <c r="G345" s="696" t="str">
        <f t="shared" si="65"/>
        <v/>
      </c>
      <c r="H345" s="697" t="str">
        <f t="shared" si="66"/>
        <v/>
      </c>
      <c r="I345" s="837"/>
      <c r="J345" s="698"/>
      <c r="K345" s="856"/>
      <c r="L345" s="857"/>
      <c r="M345" s="698"/>
      <c r="N345" s="869" t="str">
        <f>IFERROR(IF(VLOOKUP($C345,'General price list'!$C:$AN,MATCH(N$20,'General price list'!$C$20:$AM$20,0),FALSE)=0,"",VLOOKUP($C345,'General price list'!$C:$AN,MATCH(N$20,'General price list'!$C$20:$AM$20,0),FALSE)),"")</f>
        <v/>
      </c>
      <c r="O345" s="837" t="str">
        <f>IFERROR(IF(VLOOKUP($C345,'General price list'!$C:$AN,MATCH(O$20,'General price list'!$C$20:$AM$20,0),FALSE)=0,"",VLOOKUP($C345,'General price list'!$C:$AN,MATCH(O$20,'General price list'!$C$20:$AM$20,0),FALSE)),"")</f>
        <v/>
      </c>
      <c r="P345" s="837" t="str">
        <f>IFERROR(IF(VLOOKUP($C345,'General price list'!$C:$AN,MATCH(P$20,'General price list'!$C$20:$AM$20,0),FALSE)=0,"",VLOOKUP($C345,'General price list'!$C:$AN,MATCH(P$20,'General price list'!$C$20:$AM$20,0),FALSE)),"")</f>
        <v/>
      </c>
      <c r="Q345" s="698"/>
      <c r="R345" s="698"/>
      <c r="S345" s="698"/>
      <c r="T345" s="695"/>
      <c r="U345" s="874"/>
      <c r="V345" s="699"/>
      <c r="W345" s="700" t="str">
        <f>IFERROR(VLOOKUP($C345,'General price list'!$C:$AN,MATCH(W$20,'General price list'!$C$20:$AM$20,0),FALSE),"")</f>
        <v/>
      </c>
      <c r="X345" s="891" t="str">
        <f t="shared" si="67"/>
        <v/>
      </c>
      <c r="Y345" s="892"/>
      <c r="Z345" s="700" t="str">
        <f>IFERROR(VLOOKUP($C345,'General price list'!$C:$AN,MATCH(Z$20,'General price list'!$C$20:$AM$20,0),FALSE),"")</f>
        <v/>
      </c>
      <c r="AA345" s="707"/>
      <c r="AB345" s="912" t="str">
        <f>IFERROR(IF(VLOOKUP(C345,[1]List1!$A:$D,2,FALSE)="VYPRODÁNO",$V$9,IF(VLOOKUP(C345,[1]List1!$A:$D,2,FALSE)="DOCHÁZÍ",$V$3,VLOOKUP(C345,[1]List1!$A:$D,2,FALSE))),"OFFLINE!")</f>
        <v>OFFLINE!</v>
      </c>
      <c r="AC345" s="912" t="str">
        <f ca="1">IF(AO345="NE",$V$10,IF(AB345=$V$3,IF(AP345&lt;1,$V$8,$V$2&amp;" "&amp;AP345&amp;" "&amp;$V$1),IF(AB345="SKLADEM",$V$6,IFERROR(IF(OR(AB345-TODAY()&gt;21,VLOOKUP(C345,[1]List1!$A:$E,4,FALSE)=0),AB345,DAY(AB345)&amp;"."&amp;MONTH(AB345)&amp;"."&amp;YEAR(AB345)&amp;" "&amp;$V$4&amp;VLOOKUP(C345,[1]List1!$A:$E,4,FALSE)&amp;" "&amp;$V$1),AB345))))</f>
        <v>OFFLINE!</v>
      </c>
      <c r="AD345" s="701" t="str">
        <f>_xlfn.IFNA(VLOOKUP(C345,'General price list'!C:AM,MATCH($AD$20,'General price list'!$C$20:$AM$20,0),FALSE),"")</f>
        <v/>
      </c>
      <c r="AE345" s="695" t="str">
        <f t="shared" si="68"/>
        <v/>
      </c>
      <c r="AF345" s="695" t="str">
        <f t="shared" si="69"/>
        <v/>
      </c>
      <c r="AG345" s="702" t="str">
        <f t="shared" si="70"/>
        <v/>
      </c>
      <c r="AH345" s="703" t="str">
        <f t="shared" si="71"/>
        <v/>
      </c>
      <c r="AI345" s="702" t="str">
        <f t="shared" si="72"/>
        <v/>
      </c>
      <c r="AJ345" s="704" t="str">
        <f t="shared" si="73"/>
        <v/>
      </c>
      <c r="AK345" s="704" t="str">
        <f t="shared" si="74"/>
        <v/>
      </c>
      <c r="AL345" s="704" t="str">
        <f t="shared" si="75"/>
        <v/>
      </c>
      <c r="AM345" s="705" t="str">
        <f t="shared" si="76"/>
        <v/>
      </c>
      <c r="AN345" s="313"/>
      <c r="AO345" s="314" t="str">
        <f>IF($R$3=1,IF(Y345=AA345,"","NE"),IF(#REF!=$V$10,"NE",""))</f>
        <v/>
      </c>
      <c r="AP345" s="315" t="str">
        <f>IF(AB345=$V$3,IF(VLOOKUP(C345,[1]List1!$A:$E,5,FALSE)=0,1,VLOOKUP(C345,[1]List1!$A:$E,5,FALSE)),"")</f>
        <v/>
      </c>
      <c r="AW345" s="291" t="e">
        <f>VLOOKUP(C345,'General price list'!C:AU,46,FALSE)</f>
        <v>#N/A</v>
      </c>
      <c r="AX345" s="291" t="e">
        <f>VLOOKUP(C345,'General price list'!C:AU,47,FALSE)</f>
        <v>#N/A</v>
      </c>
    </row>
    <row r="346" spans="1:50" ht="15" customHeight="1">
      <c r="A346" s="677" t="str">
        <f>Kat.!C346</f>
        <v xml:space="preserve">                                          </v>
      </c>
      <c r="B346" s="678">
        <v>325</v>
      </c>
      <c r="C346" s="679" t="s">
        <v>1238</v>
      </c>
      <c r="D346" s="679" t="s">
        <v>12578</v>
      </c>
      <c r="E346" s="680" t="s">
        <v>1006</v>
      </c>
      <c r="F346" s="681">
        <f>VLOOKUP(C346,[2]List1!$A:$D,2,FALSE)</f>
        <v>659</v>
      </c>
      <c r="G346" s="682">
        <f t="shared" si="65"/>
        <v>659</v>
      </c>
      <c r="H346" s="683">
        <f t="shared" si="66"/>
        <v>26.8</v>
      </c>
      <c r="I346" s="836">
        <v>6</v>
      </c>
      <c r="J346" s="680" t="s">
        <v>45</v>
      </c>
      <c r="K346" s="854" t="s">
        <v>12593</v>
      </c>
      <c r="L346" s="855" t="s">
        <v>13858</v>
      </c>
      <c r="M346" s="680" t="s">
        <v>25</v>
      </c>
      <c r="N346" s="868">
        <f>IFERROR(VLOOKUP(C346,[3]List1!$A:$D,4,FALSE),"N/A!")</f>
        <v>4.8944000000000001E-2</v>
      </c>
      <c r="O346" s="836">
        <f>IFERROR(VLOOKUP(C346,[3]List1!$A:$D,3,FALSE),"N/A!")</f>
        <v>3000</v>
      </c>
      <c r="P346" s="836">
        <f>IFERROR(VLOOKUP(C346,[3]List1!$A:$D,2,FALSE),"N/A!")</f>
        <v>20000</v>
      </c>
      <c r="Q346" s="680" t="s">
        <v>13782</v>
      </c>
      <c r="R346" s="680" t="s">
        <v>24</v>
      </c>
      <c r="S346" s="680"/>
      <c r="T346" s="681">
        <v>40</v>
      </c>
      <c r="U346" s="873"/>
      <c r="V346" s="684" t="str">
        <f>_xlfn.IFNA(HYPERLINK("https://www.klasekpyrotechnics.cz/c4925bp14"),"")</f>
        <v>https://www.klasekpyrotechnics.cz/c4925bp14</v>
      </c>
      <c r="W346" s="685" t="str">
        <f>IFERROR(VLOOKUP($C346,Popisy!A:P,MATCH($W$17,Popisy!$A$7:$P$7,0),FALSE),"---------------")</f>
        <v>7 verschiedenfarbige Effekte</v>
      </c>
      <c r="X346" s="889" t="str">
        <f t="shared" si="67"/>
        <v/>
      </c>
      <c r="Y346" s="890"/>
      <c r="Z346" s="685">
        <f>IFERROR(IF(VLOOKUP(C346,[4]List1!$A:$D,4,FALSE)=0,"",VLOOKUP(C346,[4]List1!$A:$D,4,FALSE)),"")</f>
        <v>25</v>
      </c>
      <c r="AA346" s="707"/>
      <c r="AB346" s="911" t="str">
        <f>IFERROR(IF(VLOOKUP(C346,[1]List1!$A:$D,2,FALSE)="VYPRODÁNO",$V$9,IF(VLOOKUP(C346,[1]List1!$A:$D,2,FALSE)="DOCHÁZÍ",$V$3,VLOOKUP(C346,[1]List1!$A:$D,2,FALSE))),"OFFLINE!")</f>
        <v>SKLADEM</v>
      </c>
      <c r="AC346" s="911" t="str">
        <f ca="1">IF(AO346="NE",$V$10,IF(AB346=$V$3,IF(AP346&lt;1,$V$8,$V$2&amp;" "&amp;AP346&amp;" "&amp;$V$1),IF(AB346="SKLADEM",$V$6,IFERROR(IF(OR(AB346-TODAY()&gt;21,VLOOKUP(C346,[1]List1!$A:$E,4,FALSE)=0),AB346,DAY(AB346)&amp;"."&amp;MONTH(AB346)&amp;"."&amp;YEAR(AB346)&amp;" "&amp;$V$4&amp;VLOOKUP(C346,[1]List1!$A:$E,4,FALSE)&amp;" "&amp;$V$1),AB346))))</f>
        <v>AUF LAGER</v>
      </c>
      <c r="AD346" s="686">
        <f>_xlfn.IFNA(VLOOKUP(C346,'General price list'!C:AM,MATCH($AD$20,'General price list'!$C$20:$AM$20,0),FALSE),"")</f>
        <v>0</v>
      </c>
      <c r="AE346" s="681">
        <f t="shared" si="68"/>
        <v>0</v>
      </c>
      <c r="AF346" s="681">
        <f t="shared" si="69"/>
        <v>0</v>
      </c>
      <c r="AG346" s="687">
        <f t="shared" si="70"/>
        <v>0</v>
      </c>
      <c r="AH346" s="688">
        <f t="shared" si="71"/>
        <v>0</v>
      </c>
      <c r="AI346" s="687">
        <f t="shared" si="72"/>
        <v>0</v>
      </c>
      <c r="AJ346" s="689" t="str">
        <f t="shared" si="73"/>
        <v/>
      </c>
      <c r="AK346" s="689" t="str">
        <f t="shared" si="74"/>
        <v/>
      </c>
      <c r="AL346" s="689">
        <f t="shared" si="75"/>
        <v>0</v>
      </c>
      <c r="AM346" s="690" t="str">
        <f t="shared" si="76"/>
        <v/>
      </c>
      <c r="AN346" s="382"/>
      <c r="AO346" s="314" t="str">
        <f>IF($R$3=1,IF(Y346=AA346,"","NE"),IF(#REF!=$V$10,"NE",""))</f>
        <v/>
      </c>
      <c r="AP346" s="315" t="str">
        <f>IF(AB346=$V$3,IF(VLOOKUP(C346,[1]List1!$A:$E,5,FALSE)=0,1,VLOOKUP(C346,[1]List1!$A:$E,5,FALSE)),"")</f>
        <v/>
      </c>
      <c r="AW346" s="458">
        <f>IFERROR(FIND(VLOOKUP('General price list'!$AB$7,'General price list'!$AC$1:$AD$12,2,FALSE),Q346,1),0)</f>
        <v>13</v>
      </c>
      <c r="AX346" s="458">
        <f>IFERROR(FIND(VLOOKUP('General price list'!$AB$7,'General price list'!$AC$1:$AD$12,2,FALSE),R346,1),0)</f>
        <v>0</v>
      </c>
    </row>
    <row r="347" spans="1:50" ht="15" customHeight="1">
      <c r="A347" s="691" t="str">
        <f>Kat.!C347</f>
        <v xml:space="preserve">                                          </v>
      </c>
      <c r="B347" s="692">
        <v>326</v>
      </c>
      <c r="C347" s="693" t="s">
        <v>1239</v>
      </c>
      <c r="D347" s="693" t="s">
        <v>1240</v>
      </c>
      <c r="E347" s="694" t="s">
        <v>1006</v>
      </c>
      <c r="F347" s="695">
        <f>VLOOKUP(C347,[2]List1!$A:$D,2,FALSE)</f>
        <v>728</v>
      </c>
      <c r="G347" s="696">
        <f t="shared" si="65"/>
        <v>728</v>
      </c>
      <c r="H347" s="697">
        <f t="shared" si="66"/>
        <v>29.6</v>
      </c>
      <c r="I347" s="837">
        <v>6</v>
      </c>
      <c r="J347" s="698" t="s">
        <v>45</v>
      </c>
      <c r="K347" s="856"/>
      <c r="L347" s="857" t="s">
        <v>13858</v>
      </c>
      <c r="M347" s="698" t="s">
        <v>25</v>
      </c>
      <c r="N347" s="869">
        <f>IFERROR(VLOOKUP(C347,[3]List1!$A:$D,4,FALSE),"N/A!")</f>
        <v>4.8944000000000001E-2</v>
      </c>
      <c r="O347" s="837">
        <f>IFERROR(VLOOKUP(C347,[3]List1!$A:$D,3,FALSE),"N/A!")</f>
        <v>2970</v>
      </c>
      <c r="P347" s="837">
        <f>IFERROR(VLOOKUP(C347,[3]List1!$A:$D,2,FALSE),"N/A!")</f>
        <v>20000</v>
      </c>
      <c r="Q347" s="698" t="s">
        <v>1232</v>
      </c>
      <c r="R347" s="698" t="s">
        <v>24</v>
      </c>
      <c r="S347" s="698"/>
      <c r="T347" s="695">
        <v>40</v>
      </c>
      <c r="U347" s="874"/>
      <c r="V347" s="699" t="str">
        <f>_xlfn.IFNA(HYPERLINK("https://www.klasekpyrotechnics.cz/c4925no14"),"")</f>
        <v>https://www.klasekpyrotechnics.cz/c4925no14</v>
      </c>
      <c r="W347" s="700" t="str">
        <f>IFERROR(VLOOKUP($C347,Popisy!A:P,MATCH($W$17,Popisy!$A$7:$P$7,0),FALSE),"---------------")</f>
        <v>7 verschiedenfarbige Effekte - ohne Lärm</v>
      </c>
      <c r="X347" s="891" t="str">
        <f t="shared" si="67"/>
        <v/>
      </c>
      <c r="Y347" s="892"/>
      <c r="Z347" s="700">
        <f>IFERROR(IF(VLOOKUP(C347,[4]List1!$A:$D,4,FALSE)=0,"",VLOOKUP(C347,[4]List1!$A:$D,4,FALSE)),"")</f>
        <v>25</v>
      </c>
      <c r="AA347" s="707"/>
      <c r="AB347" s="912" t="str">
        <f>IFERROR(IF(VLOOKUP(C347,[1]List1!$A:$D,2,FALSE)="VYPRODÁNO",$V$9,IF(VLOOKUP(C347,[1]List1!$A:$D,2,FALSE)="DOCHÁZÍ",$V$3,VLOOKUP(C347,[1]List1!$A:$D,2,FALSE))),"OFFLINE!")</f>
        <v>SKLADEM</v>
      </c>
      <c r="AC347" s="912" t="str">
        <f ca="1">IF(AO347="NE",$V$10,IF(AB347=$V$3,IF(AP347&lt;1,$V$8,$V$2&amp;" "&amp;AP347&amp;" "&amp;$V$1),IF(AB347="SKLADEM",$V$6,IFERROR(IF(OR(AB347-TODAY()&gt;21,VLOOKUP(C347,[1]List1!$A:$E,4,FALSE)=0),AB347,DAY(AB347)&amp;"."&amp;MONTH(AB347)&amp;"."&amp;YEAR(AB347)&amp;" "&amp;$V$4&amp;VLOOKUP(C347,[1]List1!$A:$E,4,FALSE)&amp;" "&amp;$V$1),AB347))))</f>
        <v>AUF LAGER</v>
      </c>
      <c r="AD347" s="701" t="str">
        <f ca="1">_xlfn.IFNA(VLOOKUP(C347,'General price list'!C:AM,MATCH($AD$20,'General price list'!$C$20:$AM$20,0),FALSE),"")</f>
        <v>AUF LAGER</v>
      </c>
      <c r="AE347" s="695">
        <f t="shared" ca="1" si="68"/>
        <v>0</v>
      </c>
      <c r="AF347" s="695">
        <f t="shared" ca="1" si="69"/>
        <v>0</v>
      </c>
      <c r="AG347" s="702">
        <f t="shared" ca="1" si="70"/>
        <v>0</v>
      </c>
      <c r="AH347" s="703">
        <f t="shared" ca="1" si="71"/>
        <v>0</v>
      </c>
      <c r="AI347" s="702">
        <f t="shared" ca="1" si="72"/>
        <v>0</v>
      </c>
      <c r="AJ347" s="704" t="str">
        <f t="shared" ca="1" si="73"/>
        <v/>
      </c>
      <c r="AK347" s="704" t="str">
        <f t="shared" ca="1" si="74"/>
        <v/>
      </c>
      <c r="AL347" s="704">
        <f t="shared" ca="1" si="75"/>
        <v>0</v>
      </c>
      <c r="AM347" s="705" t="str">
        <f t="shared" ca="1" si="76"/>
        <v/>
      </c>
      <c r="AN347" s="382"/>
      <c r="AO347" s="314" t="str">
        <f>IF($R$3=1,IF(Y347=AA347,"","NE"),IF(#REF!=$V$10,"NE",""))</f>
        <v/>
      </c>
      <c r="AP347" s="315" t="str">
        <f>IF(AB347=$V$3,IF(VLOOKUP(C347,[1]List1!$A:$E,5,FALSE)=0,1,VLOOKUP(C347,[1]List1!$A:$E,5,FALSE)),"")</f>
        <v/>
      </c>
      <c r="AW347" s="458">
        <f>IFERROR(FIND(VLOOKUP('General price list'!$AB$7,'General price list'!$AC$1:$AD$12,2,FALSE),Q347,1),0)</f>
        <v>10</v>
      </c>
      <c r="AX347" s="458">
        <f>IFERROR(FIND(VLOOKUP('General price list'!$AB$7,'General price list'!$AC$1:$AD$12,2,FALSE),R347,1),0)</f>
        <v>0</v>
      </c>
    </row>
    <row r="348" spans="1:50" ht="15" customHeight="1">
      <c r="A348" s="677" t="str">
        <f>Kat.!C348</f>
        <v xml:space="preserve">                                          </v>
      </c>
      <c r="B348" s="678">
        <v>327</v>
      </c>
      <c r="C348" s="679" t="s">
        <v>1243</v>
      </c>
      <c r="D348" s="679" t="s">
        <v>1237</v>
      </c>
      <c r="E348" s="680" t="s">
        <v>1006</v>
      </c>
      <c r="F348" s="681">
        <f>VLOOKUP(C348,[2]List1!$A:$D,2,FALSE)</f>
        <v>671</v>
      </c>
      <c r="G348" s="682">
        <f t="shared" si="65"/>
        <v>671</v>
      </c>
      <c r="H348" s="683">
        <f t="shared" si="66"/>
        <v>27.3</v>
      </c>
      <c r="I348" s="836">
        <v>6</v>
      </c>
      <c r="J348" s="680" t="s">
        <v>45</v>
      </c>
      <c r="K348" s="854">
        <v>5</v>
      </c>
      <c r="L348" s="855" t="s">
        <v>13846</v>
      </c>
      <c r="M348" s="680" t="s">
        <v>25</v>
      </c>
      <c r="N348" s="868">
        <f>IFERROR(VLOOKUP(C348,[3]List1!$A:$D,4,FALSE),"N/A!")</f>
        <v>4.8944000000000001E-2</v>
      </c>
      <c r="O348" s="836">
        <f>IFERROR(VLOOKUP(C348,[3]List1!$A:$D,3,FALSE),"N/A!")</f>
        <v>2988</v>
      </c>
      <c r="P348" s="836">
        <f>IFERROR(VLOOKUP(C348,[3]List1!$A:$D,2,FALSE),"N/A!")</f>
        <v>20000</v>
      </c>
      <c r="Q348" s="680" t="s">
        <v>13760</v>
      </c>
      <c r="R348" s="680" t="s">
        <v>24</v>
      </c>
      <c r="S348" s="680"/>
      <c r="T348" s="681">
        <v>40</v>
      </c>
      <c r="U348" s="873"/>
      <c r="V348" s="684" t="str">
        <f>_xlfn.IFNA(HYPERLINK("https://www.klasekpyrotechnics.cz/c4925v14"),"")</f>
        <v>https://www.klasekpyrotechnics.cz/c4925v14</v>
      </c>
      <c r="W348" s="685" t="str">
        <f>IFERROR(VLOOKUP($C348,Popisy!A:P,MATCH($W$17,Popisy!$A$7:$P$7,0),FALSE),"---------------")</f>
        <v>7 verschiedenfarbige Effekte</v>
      </c>
      <c r="X348" s="889" t="str">
        <f t="shared" si="67"/>
        <v/>
      </c>
      <c r="Y348" s="890"/>
      <c r="Z348" s="685">
        <f>IFERROR(IF(VLOOKUP(C348,[4]List1!$A:$D,4,FALSE)=0,"",VLOOKUP(C348,[4]List1!$A:$D,4,FALSE)),"")</f>
        <v>25</v>
      </c>
      <c r="AA348" s="707"/>
      <c r="AB348" s="911" t="str">
        <f>IFERROR(IF(VLOOKUP(C348,[1]List1!$A:$D,2,FALSE)="VYPRODÁNO",$V$9,IF(VLOOKUP(C348,[1]List1!$A:$D,2,FALSE)="DOCHÁZÍ",$V$3,VLOOKUP(C348,[1]List1!$A:$D,2,FALSE))),"OFFLINE!")</f>
        <v>15.06.2024</v>
      </c>
      <c r="AC348" s="911" t="str">
        <f ca="1">IF(AO348="NE",$V$10,IF(AB348=$V$3,IF(AP348&lt;1,$V$8,$V$2&amp;" "&amp;AP348&amp;" "&amp;$V$1),IF(AB348="SKLADEM",$V$6,IFERROR(IF(OR(AB348-TODAY()&gt;21,VLOOKUP(C348,[1]List1!$A:$E,4,FALSE)=0),AB348,DAY(AB348)&amp;"."&amp;MONTH(AB348)&amp;"."&amp;YEAR(AB348)&amp;" "&amp;$V$4&amp;VLOOKUP(C348,[1]List1!$A:$E,4,FALSE)&amp;" "&amp;$V$1),AB348))))</f>
        <v>15.06.2024</v>
      </c>
      <c r="AD348" s="686" t="str">
        <f ca="1">_xlfn.IFNA(VLOOKUP(C348,'General price list'!C:AM,MATCH($AD$20,'General price list'!$C$20:$AM$20,0),FALSE),"")</f>
        <v>15.06.2024</v>
      </c>
      <c r="AE348" s="681">
        <f t="shared" ca="1" si="68"/>
        <v>0</v>
      </c>
      <c r="AF348" s="681">
        <f t="shared" ca="1" si="69"/>
        <v>0</v>
      </c>
      <c r="AG348" s="687">
        <f t="shared" ca="1" si="70"/>
        <v>0</v>
      </c>
      <c r="AH348" s="688">
        <f t="shared" ca="1" si="71"/>
        <v>0</v>
      </c>
      <c r="AI348" s="687">
        <f t="shared" ca="1" si="72"/>
        <v>0</v>
      </c>
      <c r="AJ348" s="689" t="str">
        <f t="shared" ca="1" si="73"/>
        <v/>
      </c>
      <c r="AK348" s="689" t="str">
        <f t="shared" ca="1" si="74"/>
        <v/>
      </c>
      <c r="AL348" s="689">
        <f t="shared" ca="1" si="75"/>
        <v>0</v>
      </c>
      <c r="AM348" s="690" t="str">
        <f t="shared" ca="1" si="76"/>
        <v/>
      </c>
      <c r="AN348" s="382"/>
      <c r="AO348" s="314" t="str">
        <f>IF($R$3=1,IF(Y348=AA348,"","NE"),IF(#REF!=$V$10,"NE",""))</f>
        <v/>
      </c>
      <c r="AP348" s="315" t="str">
        <f>IF(AB348=$V$3,IF(VLOOKUP(C348,[1]List1!$A:$E,5,FALSE)=0,1,VLOOKUP(C348,[1]List1!$A:$E,5,FALSE)),"")</f>
        <v/>
      </c>
      <c r="AW348" s="458">
        <f>IFERROR(FIND(VLOOKUP('General price list'!$AB$7,'General price list'!$AC$1:$AD$12,2,FALSE),Q348,1),0)</f>
        <v>13</v>
      </c>
      <c r="AX348" s="458">
        <f>IFERROR(FIND(VLOOKUP('General price list'!$AB$7,'General price list'!$AC$1:$AD$12,2,FALSE),R348,1),0)</f>
        <v>0</v>
      </c>
    </row>
    <row r="349" spans="1:50" ht="15" customHeight="1">
      <c r="A349" s="672" t="str">
        <f>Kat.!C349</f>
        <v xml:space="preserve">                                          Batterien 88 schuss, 25mm Mörser-1.3G</v>
      </c>
      <c r="B349" s="692">
        <v>328</v>
      </c>
      <c r="C349" s="693"/>
      <c r="D349" s="693"/>
      <c r="E349" s="694"/>
      <c r="F349" s="695" t="str">
        <f>IFERROR(ROUND(VLOOKUP(C349,'General price list'!$C:$AN,4,FALSE),0),"")</f>
        <v/>
      </c>
      <c r="G349" s="696" t="str">
        <f t="shared" si="65"/>
        <v/>
      </c>
      <c r="H349" s="697" t="str">
        <f t="shared" si="66"/>
        <v/>
      </c>
      <c r="I349" s="837"/>
      <c r="J349" s="698"/>
      <c r="K349" s="856"/>
      <c r="L349" s="857"/>
      <c r="M349" s="698"/>
      <c r="N349" s="869" t="str">
        <f>IFERROR(IF(VLOOKUP($C349,'General price list'!$C:$AN,MATCH(N$20,'General price list'!$C$20:$AM$20,0),FALSE)=0,"",VLOOKUP($C349,'General price list'!$C:$AN,MATCH(N$20,'General price list'!$C$20:$AM$20,0),FALSE)),"")</f>
        <v/>
      </c>
      <c r="O349" s="837" t="str">
        <f>IFERROR(IF(VLOOKUP($C349,'General price list'!$C:$AN,MATCH(O$20,'General price list'!$C$20:$AM$20,0),FALSE)=0,"",VLOOKUP($C349,'General price list'!$C:$AN,MATCH(O$20,'General price list'!$C$20:$AM$20,0),FALSE)),"")</f>
        <v/>
      </c>
      <c r="P349" s="837" t="str">
        <f>IFERROR(IF(VLOOKUP($C349,'General price list'!$C:$AN,MATCH(P$20,'General price list'!$C$20:$AM$20,0),FALSE)=0,"",VLOOKUP($C349,'General price list'!$C:$AN,MATCH(P$20,'General price list'!$C$20:$AM$20,0),FALSE)),"")</f>
        <v/>
      </c>
      <c r="Q349" s="698"/>
      <c r="R349" s="698"/>
      <c r="S349" s="698"/>
      <c r="T349" s="695"/>
      <c r="U349" s="874"/>
      <c r="V349" s="699"/>
      <c r="W349" s="700" t="str">
        <f>IFERROR(VLOOKUP($C349,'General price list'!$C:$AN,MATCH(W$20,'General price list'!$C$20:$AM$20,0),FALSE),"")</f>
        <v/>
      </c>
      <c r="X349" s="891" t="str">
        <f t="shared" si="67"/>
        <v/>
      </c>
      <c r="Y349" s="892"/>
      <c r="Z349" s="700" t="str">
        <f>IFERROR(VLOOKUP($C349,'General price list'!$C:$AN,MATCH(Z$20,'General price list'!$C$20:$AM$20,0),FALSE),"")</f>
        <v/>
      </c>
      <c r="AA349" s="707"/>
      <c r="AB349" s="912" t="str">
        <f>IFERROR(IF(VLOOKUP(C349,[1]List1!$A:$D,2,FALSE)="VYPRODÁNO",$V$9,IF(VLOOKUP(C349,[1]List1!$A:$D,2,FALSE)="DOCHÁZÍ",$V$3,VLOOKUP(C349,[1]List1!$A:$D,2,FALSE))),"OFFLINE!")</f>
        <v>OFFLINE!</v>
      </c>
      <c r="AC349" s="912" t="str">
        <f ca="1">IF(AO349="NE",$V$10,IF(AB349=$V$3,IF(AP349&lt;1,$V$8,$V$2&amp;" "&amp;AP349&amp;" "&amp;$V$1),IF(AB349="SKLADEM",$V$6,IFERROR(IF(OR(AB349-TODAY()&gt;21,VLOOKUP(C349,[1]List1!$A:$E,4,FALSE)=0),AB349,DAY(AB349)&amp;"."&amp;MONTH(AB349)&amp;"."&amp;YEAR(AB349)&amp;" "&amp;$V$4&amp;VLOOKUP(C349,[1]List1!$A:$E,4,FALSE)&amp;" "&amp;$V$1),AB349))))</f>
        <v>OFFLINE!</v>
      </c>
      <c r="AD349" s="701" t="str">
        <f>_xlfn.IFNA(VLOOKUP(C349,'General price list'!C:AM,MATCH($AD$20,'General price list'!$C$20:$AM$20,0),FALSE),"")</f>
        <v/>
      </c>
      <c r="AE349" s="695" t="str">
        <f t="shared" si="68"/>
        <v/>
      </c>
      <c r="AF349" s="695" t="str">
        <f t="shared" si="69"/>
        <v/>
      </c>
      <c r="AG349" s="702" t="str">
        <f t="shared" si="70"/>
        <v/>
      </c>
      <c r="AH349" s="703" t="str">
        <f t="shared" si="71"/>
        <v/>
      </c>
      <c r="AI349" s="702" t="str">
        <f t="shared" si="72"/>
        <v/>
      </c>
      <c r="AJ349" s="704" t="str">
        <f t="shared" si="73"/>
        <v/>
      </c>
      <c r="AK349" s="704" t="str">
        <f t="shared" si="74"/>
        <v/>
      </c>
      <c r="AL349" s="704" t="str">
        <f t="shared" si="75"/>
        <v/>
      </c>
      <c r="AM349" s="705" t="str">
        <f t="shared" si="76"/>
        <v/>
      </c>
      <c r="AN349" s="382"/>
      <c r="AO349" s="314" t="str">
        <f>IF($R$3=1,IF(Y349=AA349,"","NE"),IF(#REF!=$V$10,"NE",""))</f>
        <v/>
      </c>
      <c r="AP349" s="315" t="str">
        <f>IF(AB349=$V$3,IF(VLOOKUP(C349,[1]List1!$A:$E,5,FALSE)=0,1,VLOOKUP(C349,[1]List1!$A:$E,5,FALSE)),"")</f>
        <v/>
      </c>
      <c r="AW349" s="291" t="e">
        <f>VLOOKUP(C349,'General price list'!C:AU,46,FALSE)</f>
        <v>#N/A</v>
      </c>
      <c r="AX349" s="291" t="e">
        <f>VLOOKUP(C349,'General price list'!C:AU,47,FALSE)</f>
        <v>#N/A</v>
      </c>
    </row>
    <row r="350" spans="1:50" ht="15" customHeight="1">
      <c r="A350" s="677" t="str">
        <f>Kat.!C350</f>
        <v xml:space="preserve">                                          </v>
      </c>
      <c r="B350" s="678">
        <v>329</v>
      </c>
      <c r="C350" s="679" t="s">
        <v>1257</v>
      </c>
      <c r="D350" s="679" t="s">
        <v>1258</v>
      </c>
      <c r="E350" s="680" t="s">
        <v>1007</v>
      </c>
      <c r="F350" s="681">
        <f>VLOOKUP(C350,[2]List1!$A:$D,2,FALSE)</f>
        <v>1289</v>
      </c>
      <c r="G350" s="682">
        <f t="shared" si="65"/>
        <v>1289</v>
      </c>
      <c r="H350" s="683">
        <f t="shared" si="66"/>
        <v>52.4</v>
      </c>
      <c r="I350" s="836">
        <v>2</v>
      </c>
      <c r="J350" s="680" t="s">
        <v>130</v>
      </c>
      <c r="K350" s="854"/>
      <c r="L350" s="855" t="s">
        <v>13856</v>
      </c>
      <c r="M350" s="680" t="s">
        <v>131</v>
      </c>
      <c r="N350" s="868">
        <f>IFERROR(VLOOKUP(C350,[3]List1!$A:$D,4,FALSE),"N/A!")</f>
        <v>3.0778500000000004E-2</v>
      </c>
      <c r="O350" s="836">
        <f>IFERROR(VLOOKUP(C350,[3]List1!$A:$D,3,FALSE),"N/A!")</f>
        <v>1996</v>
      </c>
      <c r="P350" s="836">
        <f>IFERROR(VLOOKUP(C350,[3]List1!$A:$D,2,FALSE),"N/A!")</f>
        <v>12500</v>
      </c>
      <c r="Q350" s="680" t="s">
        <v>2571</v>
      </c>
      <c r="R350" s="680" t="s">
        <v>24</v>
      </c>
      <c r="S350" s="680"/>
      <c r="T350" s="681">
        <v>65</v>
      </c>
      <c r="U350" s="873"/>
      <c r="V350" s="684" t="str">
        <f>_xlfn.IFNA(HYPERLINK("https://www.klasekpyrotechnics.cz/c8825g"),"")</f>
        <v>https://www.klasekpyrotechnics.cz/c8825g</v>
      </c>
      <c r="W350" s="685" t="str">
        <f>IFERROR(VLOOKUP($C350,Popisy!A:P,MATCH($W$17,Popisy!$A$7:$P$7,0),FALSE),"---------------")</f>
        <v>11 verschiedenfarbige wechselnde Effekte nach jedem Schuss</v>
      </c>
      <c r="X350" s="889" t="str">
        <f t="shared" si="67"/>
        <v/>
      </c>
      <c r="Y350" s="890"/>
      <c r="Z350" s="685">
        <f>IFERROR(IF(VLOOKUP(C350,[4]List1!$A:$D,4,FALSE)=0,"",VLOOKUP(C350,[4]List1!$A:$D,4,FALSE)),"")</f>
        <v>40</v>
      </c>
      <c r="AA350" s="707"/>
      <c r="AB350" s="911" t="str">
        <f>IFERROR(IF(VLOOKUP(C350,[1]List1!$A:$D,2,FALSE)="VYPRODÁNO",$V$9,IF(VLOOKUP(C350,[1]List1!$A:$D,2,FALSE)="DOCHÁZÍ",$V$3,VLOOKUP(C350,[1]List1!$A:$D,2,FALSE))),"OFFLINE!")</f>
        <v>SKLADEM</v>
      </c>
      <c r="AC350" s="911" t="str">
        <f ca="1">IF(AO350="NE",$V$10,IF(AB350=$V$3,IF(AP350&lt;1,$V$8,$V$2&amp;" "&amp;AP350&amp;" "&amp;$V$1),IF(AB350="SKLADEM",$V$6,IFERROR(IF(OR(AB350-TODAY()&gt;21,VLOOKUP(C350,[1]List1!$A:$E,4,FALSE)=0),AB350,DAY(AB350)&amp;"."&amp;MONTH(AB350)&amp;"."&amp;YEAR(AB350)&amp;" "&amp;$V$4&amp;VLOOKUP(C350,[1]List1!$A:$E,4,FALSE)&amp;" "&amp;$V$1),AB350))))</f>
        <v>AUF LAGER</v>
      </c>
      <c r="AD350" s="686" t="str">
        <f ca="1">_xlfn.IFNA(VLOOKUP(C350,'General price list'!C:AM,MATCH($AD$20,'General price list'!$C$20:$AM$20,0),FALSE),"")</f>
        <v>AUF LAGER</v>
      </c>
      <c r="AE350" s="681">
        <f t="shared" ca="1" si="68"/>
        <v>0</v>
      </c>
      <c r="AF350" s="681">
        <f t="shared" ca="1" si="69"/>
        <v>0</v>
      </c>
      <c r="AG350" s="687">
        <f t="shared" ca="1" si="70"/>
        <v>0</v>
      </c>
      <c r="AH350" s="688">
        <f t="shared" ca="1" si="71"/>
        <v>0</v>
      </c>
      <c r="AI350" s="687">
        <f t="shared" ca="1" si="72"/>
        <v>0</v>
      </c>
      <c r="AJ350" s="689" t="str">
        <f t="shared" ca="1" si="73"/>
        <v/>
      </c>
      <c r="AK350" s="689">
        <f t="shared" ca="1" si="74"/>
        <v>0</v>
      </c>
      <c r="AL350" s="689" t="str">
        <f t="shared" ca="1" si="75"/>
        <v/>
      </c>
      <c r="AM350" s="690" t="str">
        <f t="shared" ca="1" si="76"/>
        <v/>
      </c>
      <c r="AN350" s="382"/>
      <c r="AO350" s="314" t="str">
        <f>IF($R$3=1,IF(Y350=AA350,"","NE"),IF(#REF!=$V$10,"NE",""))</f>
        <v/>
      </c>
      <c r="AP350" s="292" t="str">
        <f>IF(AB350=$V$3,IF(VLOOKUP(C350,[1]List1!$A:$E,5,FALSE)=0,1,VLOOKUP(C350,[1]List1!$A:$E,5,FALSE)),"")</f>
        <v/>
      </c>
      <c r="AW350" s="458">
        <f>IFERROR(FIND(VLOOKUP('General price list'!$AB$7,'General price list'!$AC$1:$AD$12,2,FALSE),Q350,1),0)</f>
        <v>13</v>
      </c>
      <c r="AX350" s="458">
        <f>IFERROR(FIND(VLOOKUP('General price list'!$AB$7,'General price list'!$AC$1:$AD$12,2,FALSE),R350,1),0)</f>
        <v>0</v>
      </c>
    </row>
    <row r="351" spans="1:50" ht="15" customHeight="1">
      <c r="A351" s="672" t="str">
        <f>Kat.!C351</f>
        <v xml:space="preserve">                                          Verbundfeurwerk 25mm - F2 - 1.4G</v>
      </c>
      <c r="B351" s="692">
        <v>330</v>
      </c>
      <c r="C351" s="693"/>
      <c r="D351" s="693"/>
      <c r="E351" s="694"/>
      <c r="F351" s="695" t="str">
        <f>IFERROR(ROUND(VLOOKUP(C351,'General price list'!$C:$AN,4,FALSE),0),"")</f>
        <v/>
      </c>
      <c r="G351" s="696" t="str">
        <f t="shared" si="65"/>
        <v/>
      </c>
      <c r="H351" s="697" t="str">
        <f t="shared" si="66"/>
        <v/>
      </c>
      <c r="I351" s="837"/>
      <c r="J351" s="698"/>
      <c r="K351" s="856"/>
      <c r="L351" s="857"/>
      <c r="M351" s="698"/>
      <c r="N351" s="869" t="str">
        <f>IFERROR(IF(VLOOKUP($C351,'General price list'!$C:$AN,MATCH(N$20,'General price list'!$C$20:$AM$20,0),FALSE)=0,"",VLOOKUP($C351,'General price list'!$C:$AN,MATCH(N$20,'General price list'!$C$20:$AM$20,0),FALSE)),"")</f>
        <v/>
      </c>
      <c r="O351" s="837" t="str">
        <f>IFERROR(IF(VLOOKUP($C351,'General price list'!$C:$AN,MATCH(O$20,'General price list'!$C$20:$AM$20,0),FALSE)=0,"",VLOOKUP($C351,'General price list'!$C:$AN,MATCH(O$20,'General price list'!$C$20:$AM$20,0),FALSE)),"")</f>
        <v/>
      </c>
      <c r="P351" s="837" t="str">
        <f>IFERROR(IF(VLOOKUP($C351,'General price list'!$C:$AN,MATCH(P$20,'General price list'!$C$20:$AM$20,0),FALSE)=0,"",VLOOKUP($C351,'General price list'!$C:$AN,MATCH(P$20,'General price list'!$C$20:$AM$20,0),FALSE)),"")</f>
        <v/>
      </c>
      <c r="Q351" s="698"/>
      <c r="R351" s="698"/>
      <c r="S351" s="698"/>
      <c r="T351" s="695"/>
      <c r="U351" s="874"/>
      <c r="V351" s="699"/>
      <c r="W351" s="700" t="str">
        <f>IFERROR(VLOOKUP($C351,'General price list'!$C:$AN,MATCH(W$20,'General price list'!$C$20:$AM$20,0),FALSE),"")</f>
        <v/>
      </c>
      <c r="X351" s="891" t="str">
        <f t="shared" si="67"/>
        <v/>
      </c>
      <c r="Y351" s="892"/>
      <c r="Z351" s="700" t="str">
        <f>IFERROR(VLOOKUP($C351,'General price list'!$C:$AN,MATCH(Z$20,'General price list'!$C$20:$AM$20,0),FALSE),"")</f>
        <v/>
      </c>
      <c r="AA351" s="707"/>
      <c r="AB351" s="912" t="str">
        <f>IFERROR(IF(VLOOKUP(C351,[1]List1!$A:$D,2,FALSE)="VYPRODÁNO",$V$9,IF(VLOOKUP(C351,[1]List1!$A:$D,2,FALSE)="DOCHÁZÍ",$V$3,VLOOKUP(C351,[1]List1!$A:$D,2,FALSE))),"OFFLINE!")</f>
        <v>OFFLINE!</v>
      </c>
      <c r="AC351" s="912" t="str">
        <f ca="1">IF(AO351="NE",$V$10,IF(AB351=$V$3,IF(AP351&lt;1,$V$8,$V$2&amp;" "&amp;AP351&amp;" "&amp;$V$1),IF(AB351="SKLADEM",$V$6,IFERROR(IF(OR(AB351-TODAY()&gt;21,VLOOKUP(C351,[1]List1!$A:$E,4,FALSE)=0),AB351,DAY(AB351)&amp;"."&amp;MONTH(AB351)&amp;"."&amp;YEAR(AB351)&amp;" "&amp;$V$4&amp;VLOOKUP(C351,[1]List1!$A:$E,4,FALSE)&amp;" "&amp;$V$1),AB351))))</f>
        <v>OFFLINE!</v>
      </c>
      <c r="AD351" s="701" t="str">
        <f>_xlfn.IFNA(VLOOKUP(C351,'General price list'!C:AM,MATCH($AD$20,'General price list'!$C$20:$AM$20,0),FALSE),"")</f>
        <v/>
      </c>
      <c r="AE351" s="695" t="str">
        <f t="shared" si="68"/>
        <v/>
      </c>
      <c r="AF351" s="695" t="str">
        <f t="shared" si="69"/>
        <v/>
      </c>
      <c r="AG351" s="702" t="str">
        <f t="shared" si="70"/>
        <v/>
      </c>
      <c r="AH351" s="703" t="str">
        <f t="shared" si="71"/>
        <v/>
      </c>
      <c r="AI351" s="702" t="str">
        <f t="shared" si="72"/>
        <v/>
      </c>
      <c r="AJ351" s="704" t="str">
        <f t="shared" si="73"/>
        <v/>
      </c>
      <c r="AK351" s="704" t="str">
        <f t="shared" si="74"/>
        <v/>
      </c>
      <c r="AL351" s="704" t="str">
        <f t="shared" si="75"/>
        <v/>
      </c>
      <c r="AM351" s="705" t="str">
        <f t="shared" si="76"/>
        <v/>
      </c>
      <c r="AN351" s="382"/>
      <c r="AO351" s="314" t="str">
        <f>IF($R$3=1,IF(Y351=AA351,"","NE"),IF(#REF!=$V$10,"NE",""))</f>
        <v/>
      </c>
      <c r="AP351" s="315" t="str">
        <f>IF(AB351=$V$3,IF(VLOOKUP(C351,[1]List1!$A:$E,5,FALSE)=0,1,VLOOKUP(C351,[1]List1!$A:$E,5,FALSE)),"")</f>
        <v/>
      </c>
      <c r="AW351" s="291" t="e">
        <f>VLOOKUP(C351,'General price list'!C:AU,46,FALSE)</f>
        <v>#N/A</v>
      </c>
      <c r="AX351" s="291" t="e">
        <f>VLOOKUP(C351,'General price list'!C:AU,47,FALSE)</f>
        <v>#N/A</v>
      </c>
    </row>
    <row r="352" spans="1:50" ht="15" customHeight="1">
      <c r="A352" s="677" t="str">
        <f>Kat.!C352</f>
        <v>×</v>
      </c>
      <c r="B352" s="678">
        <v>331</v>
      </c>
      <c r="C352" s="679" t="s">
        <v>1275</v>
      </c>
      <c r="D352" s="679" t="s">
        <v>12579</v>
      </c>
      <c r="E352" s="680" t="s">
        <v>129</v>
      </c>
      <c r="F352" s="681">
        <f>VLOOKUP(C352,[2]List1!$A:$D,2,FALSE)</f>
        <v>1872</v>
      </c>
      <c r="G352" s="682">
        <f t="shared" si="65"/>
        <v>1872</v>
      </c>
      <c r="H352" s="683">
        <f t="shared" si="66"/>
        <v>76.2</v>
      </c>
      <c r="I352" s="836">
        <v>1</v>
      </c>
      <c r="J352" s="680" t="s">
        <v>45</v>
      </c>
      <c r="K352" s="854"/>
      <c r="L352" s="855" t="s">
        <v>13846</v>
      </c>
      <c r="M352" s="680" t="s">
        <v>25</v>
      </c>
      <c r="N352" s="868">
        <f>IFERROR(VLOOKUP(C352,[3]List1!$A:$D,4,FALSE),"N/A!")</f>
        <v>2.4570000000000002E-2</v>
      </c>
      <c r="O352" s="836">
        <f>IFERROR(VLOOKUP(C352,[3]List1!$A:$D,3,FALSE),"N/A!")</f>
        <v>992</v>
      </c>
      <c r="P352" s="836">
        <f>IFERROR(VLOOKUP(C352,[3]List1!$A:$D,2,FALSE),"N/A!")</f>
        <v>9000</v>
      </c>
      <c r="Q352" s="680" t="s">
        <v>13783</v>
      </c>
      <c r="R352" s="680" t="s">
        <v>24</v>
      </c>
      <c r="S352" s="680"/>
      <c r="T352" s="681">
        <v>80</v>
      </c>
      <c r="U352" s="873"/>
      <c r="V352" s="684" t="str">
        <f>_xlfn.IFNA(HYPERLINK("https://www.klasekpyrotechnics.cz/c9625mf-c14"),"")</f>
        <v>https://www.klasekpyrotechnics.cz/c9625mf-c14</v>
      </c>
      <c r="W352" s="685" t="str">
        <f>IFERROR(VLOOKUP($C352,Popisy!A:P,MATCH($W$17,Popisy!$A$7:$P$7,0),FALSE),"---------------")</f>
        <v>16 verschiedenfarbige Effekte</v>
      </c>
      <c r="X352" s="889" t="str">
        <f t="shared" si="67"/>
        <v/>
      </c>
      <c r="Y352" s="890"/>
      <c r="Z352" s="685" t="str">
        <f>IFERROR(IF(VLOOKUP(C352,[4]List1!$A:$D,4,FALSE)=0,"",VLOOKUP(C352,[4]List1!$A:$D,4,FALSE)),"")</f>
        <v>54</v>
      </c>
      <c r="AA352" s="707"/>
      <c r="AB352" s="911" t="str">
        <f>IFERROR(IF(VLOOKUP(C352,[1]List1!$A:$D,2,FALSE)="VYPRODÁNO",$V$9,IF(VLOOKUP(C352,[1]List1!$A:$D,2,FALSE)="DOCHÁZÍ",$V$3,VLOOKUP(C352,[1]List1!$A:$D,2,FALSE))),"OFFLINE!")</f>
        <v>SKLADEM</v>
      </c>
      <c r="AC352" s="911" t="str">
        <f ca="1">IF(AO352="NE",$V$10,IF(AB352=$V$3,IF(AP352&lt;1,$V$8,$V$2&amp;" "&amp;AP352&amp;" "&amp;$V$1),IF(AB352="SKLADEM",$V$6,IFERROR(IF(OR(AB352-TODAY()&gt;21,VLOOKUP(C352,[1]List1!$A:$E,4,FALSE)=0),AB352,DAY(AB352)&amp;"."&amp;MONTH(AB352)&amp;"."&amp;YEAR(AB352)&amp;" "&amp;$V$4&amp;VLOOKUP(C352,[1]List1!$A:$E,4,FALSE)&amp;" "&amp;$V$1),AB352))))</f>
        <v>AUF LAGER</v>
      </c>
      <c r="AD352" s="686" t="str">
        <f ca="1">_xlfn.IFNA(VLOOKUP(C352,'General price list'!C:AM,MATCH($AD$20,'General price list'!$C$20:$AM$20,0),FALSE),"")</f>
        <v>AUF LAGER</v>
      </c>
      <c r="AE352" s="681">
        <f t="shared" ca="1" si="68"/>
        <v>0</v>
      </c>
      <c r="AF352" s="681">
        <f t="shared" ca="1" si="69"/>
        <v>0</v>
      </c>
      <c r="AG352" s="687">
        <f t="shared" ca="1" si="70"/>
        <v>0</v>
      </c>
      <c r="AH352" s="688">
        <f t="shared" ca="1" si="71"/>
        <v>0</v>
      </c>
      <c r="AI352" s="687">
        <f t="shared" ca="1" si="72"/>
        <v>0</v>
      </c>
      <c r="AJ352" s="689" t="str">
        <f t="shared" ca="1" si="73"/>
        <v/>
      </c>
      <c r="AK352" s="689" t="str">
        <f t="shared" ca="1" si="74"/>
        <v/>
      </c>
      <c r="AL352" s="689">
        <f t="shared" ca="1" si="75"/>
        <v>0</v>
      </c>
      <c r="AM352" s="690" t="str">
        <f t="shared" ca="1" si="76"/>
        <v/>
      </c>
      <c r="AN352" s="382"/>
      <c r="AO352" s="314" t="str">
        <f>IF($R$3=1,IF(Y352=AA352,"","NE"),IF(#REF!=$V$10,"NE",""))</f>
        <v/>
      </c>
      <c r="AP352" s="315" t="str">
        <f>IF(AB352=$V$3,IF(VLOOKUP(C352,[1]List1!$A:$E,5,FALSE)=0,1,VLOOKUP(C352,[1]List1!$A:$E,5,FALSE)),"")</f>
        <v/>
      </c>
      <c r="AW352" s="458">
        <f>IFERROR(FIND(VLOOKUP('General price list'!$AB$7,'General price list'!$AC$1:$AD$12,2,FALSE),Q352,1),0)</f>
        <v>19</v>
      </c>
      <c r="AX352" s="458">
        <f>IFERROR(FIND(VLOOKUP('General price list'!$AB$7,'General price list'!$AC$1:$AD$12,2,FALSE),R352,1),0)</f>
        <v>0</v>
      </c>
    </row>
    <row r="353" spans="1:50" ht="15" customHeight="1">
      <c r="A353" s="691" t="str">
        <f>Kat.!C353</f>
        <v xml:space="preserve">                                          </v>
      </c>
      <c r="B353" s="692">
        <v>332</v>
      </c>
      <c r="C353" s="693" t="s">
        <v>1276</v>
      </c>
      <c r="D353" s="693" t="s">
        <v>1277</v>
      </c>
      <c r="E353" s="694" t="s">
        <v>129</v>
      </c>
      <c r="F353" s="695">
        <f>VLOOKUP(C353,[2]List1!$A:$D,2,FALSE)</f>
        <v>1786</v>
      </c>
      <c r="G353" s="696">
        <f t="shared" si="65"/>
        <v>1786</v>
      </c>
      <c r="H353" s="697">
        <f t="shared" si="66"/>
        <v>72.7</v>
      </c>
      <c r="I353" s="837">
        <v>1</v>
      </c>
      <c r="J353" s="698" t="s">
        <v>45</v>
      </c>
      <c r="K353" s="856"/>
      <c r="L353" s="857" t="s">
        <v>13858</v>
      </c>
      <c r="M353" s="698" t="s">
        <v>25</v>
      </c>
      <c r="N353" s="869">
        <f>IFERROR(VLOOKUP(C353,[3]List1!$A:$D,4,FALSE),"N/A!")</f>
        <v>1.6192000000000002E-2</v>
      </c>
      <c r="O353" s="837">
        <f>IFERROR(VLOOKUP(C353,[3]List1!$A:$D,3,FALSE),"N/A!")</f>
        <v>996</v>
      </c>
      <c r="P353" s="837">
        <f>IFERROR(VLOOKUP(C353,[3]List1!$A:$D,2,FALSE),"N/A!")</f>
        <v>8000</v>
      </c>
      <c r="Q353" s="698" t="s">
        <v>13784</v>
      </c>
      <c r="R353" s="698" t="s">
        <v>24</v>
      </c>
      <c r="S353" s="698"/>
      <c r="T353" s="695">
        <v>85</v>
      </c>
      <c r="U353" s="874"/>
      <c r="V353" s="699" t="str">
        <f>_xlfn.IFNA(HYPERLINK("https://www.klasekpyrotechnics.cz/c9825c-c14"),"")</f>
        <v>https://www.klasekpyrotechnics.cz/c9825c-c14</v>
      </c>
      <c r="W353" s="700" t="str">
        <f>IFERROR(VLOOKUP($C353,Popisy!A:P,MATCH($W$17,Popisy!$A$7:$P$7,0),FALSE),"---------------")</f>
        <v>14 verschiedenfarbige Effekte</v>
      </c>
      <c r="X353" s="891" t="str">
        <f t="shared" si="67"/>
        <v/>
      </c>
      <c r="Y353" s="892"/>
      <c r="Z353" s="700">
        <f>IFERROR(IF(VLOOKUP(C353,[4]List1!$A:$D,4,FALSE)=0,"",VLOOKUP(C353,[4]List1!$A:$D,4,FALSE)),"")</f>
        <v>63</v>
      </c>
      <c r="AA353" s="707"/>
      <c r="AB353" s="912" t="str">
        <f>IFERROR(IF(VLOOKUP(C353,[1]List1!$A:$D,2,FALSE)="VYPRODÁNO",$V$9,IF(VLOOKUP(C353,[1]List1!$A:$D,2,FALSE)="DOCHÁZÍ",$V$3,VLOOKUP(C353,[1]List1!$A:$D,2,FALSE))),"OFFLINE!")</f>
        <v>30.04.2024</v>
      </c>
      <c r="AC353" s="912" t="str">
        <f ca="1">IF(AO353="NE",$V$10,IF(AB353=$V$3,IF(AP353&lt;1,$V$8,$V$2&amp;" "&amp;AP353&amp;" "&amp;$V$1),IF(AB353="SKLADEM",$V$6,IFERROR(IF(OR(AB353-TODAY()&gt;21,VLOOKUP(C353,[1]List1!$A:$E,4,FALSE)=0),AB353,DAY(AB353)&amp;"."&amp;MONTH(AB353)&amp;"."&amp;YEAR(AB353)&amp;" "&amp;$V$4&amp;VLOOKUP(C353,[1]List1!$A:$E,4,FALSE)&amp;" "&amp;$V$1),AB353))))</f>
        <v>30.04.2024</v>
      </c>
      <c r="AD353" s="701" t="str">
        <f ca="1">_xlfn.IFNA(VLOOKUP(C353,'General price list'!C:AM,MATCH($AD$20,'General price list'!$C$20:$AM$20,0),FALSE),"")</f>
        <v>30.04.2024</v>
      </c>
      <c r="AE353" s="695">
        <f t="shared" ca="1" si="68"/>
        <v>0</v>
      </c>
      <c r="AF353" s="695">
        <f t="shared" ca="1" si="69"/>
        <v>0</v>
      </c>
      <c r="AG353" s="702">
        <f t="shared" ca="1" si="70"/>
        <v>0</v>
      </c>
      <c r="AH353" s="703">
        <f t="shared" ca="1" si="71"/>
        <v>0</v>
      </c>
      <c r="AI353" s="702">
        <f t="shared" ca="1" si="72"/>
        <v>0</v>
      </c>
      <c r="AJ353" s="704" t="str">
        <f t="shared" ca="1" si="73"/>
        <v/>
      </c>
      <c r="AK353" s="704" t="str">
        <f t="shared" ca="1" si="74"/>
        <v/>
      </c>
      <c r="AL353" s="704">
        <f t="shared" ca="1" si="75"/>
        <v>0</v>
      </c>
      <c r="AM353" s="705" t="str">
        <f t="shared" ca="1" si="76"/>
        <v/>
      </c>
      <c r="AN353" s="382"/>
      <c r="AO353" s="314" t="str">
        <f>IF($R$3=1,IF(Y353=AA353,"","NE"),IF(#REF!=$V$10,"NE",""))</f>
        <v/>
      </c>
      <c r="AP353" s="315" t="str">
        <f>IF(AB353=$V$3,IF(VLOOKUP(C353,[1]List1!$A:$E,5,FALSE)=0,1,VLOOKUP(C353,[1]List1!$A:$E,5,FALSE)),"")</f>
        <v/>
      </c>
      <c r="AW353" s="458">
        <f>IFERROR(FIND(VLOOKUP('General price list'!$AB$7,'General price list'!$AC$1:$AD$12,2,FALSE),Q353,1),0)</f>
        <v>19</v>
      </c>
      <c r="AX353" s="458">
        <f>IFERROR(FIND(VLOOKUP('General price list'!$AB$7,'General price list'!$AC$1:$AD$12,2,FALSE),R353,1),0)</f>
        <v>0</v>
      </c>
    </row>
    <row r="354" spans="1:50" ht="15" customHeight="1">
      <c r="A354" s="677" t="str">
        <f>Kat.!C354</f>
        <v xml:space="preserve">                                          </v>
      </c>
      <c r="B354" s="678">
        <v>333</v>
      </c>
      <c r="C354" s="679" t="s">
        <v>5055</v>
      </c>
      <c r="D354" s="679" t="s">
        <v>12580</v>
      </c>
      <c r="E354" s="680" t="s">
        <v>129</v>
      </c>
      <c r="F354" s="681">
        <f>VLOOKUP(C354,[2]List1!$A:$D,2,FALSE)</f>
        <v>2098</v>
      </c>
      <c r="G354" s="682">
        <f t="shared" si="65"/>
        <v>2098</v>
      </c>
      <c r="H354" s="683">
        <f t="shared" si="66"/>
        <v>85.4</v>
      </c>
      <c r="I354" s="836">
        <v>1</v>
      </c>
      <c r="J354" s="680" t="s">
        <v>45</v>
      </c>
      <c r="K354" s="854"/>
      <c r="L354" s="855" t="s">
        <v>13858</v>
      </c>
      <c r="M354" s="680" t="s">
        <v>25</v>
      </c>
      <c r="N354" s="868">
        <f>IFERROR(VLOOKUP(C354,[3]List1!$A:$D,4,FALSE),"N/A!")</f>
        <v>1.6192000000000002E-2</v>
      </c>
      <c r="O354" s="836">
        <f>IFERROR(VLOOKUP(C354,[3]List1!$A:$D,3,FALSE),"N/A!")</f>
        <v>1000</v>
      </c>
      <c r="P354" s="836">
        <f>IFERROR(VLOOKUP(C354,[3]List1!$A:$D,2,FALSE),"N/A!")</f>
        <v>8300</v>
      </c>
      <c r="Q354" s="680" t="s">
        <v>13784</v>
      </c>
      <c r="R354" s="680" t="s">
        <v>24</v>
      </c>
      <c r="S354" s="680"/>
      <c r="T354" s="681">
        <v>70</v>
      </c>
      <c r="U354" s="873"/>
      <c r="V354" s="684" t="str">
        <f>_xlfn.IFNA(HYPERLINK("https://www.klasekpyrotechnics.cz/c9825sig-c14"),"")</f>
        <v>https://www.klasekpyrotechnics.cz/c9825sig-c14</v>
      </c>
      <c r="W354" s="685" t="str">
        <f>IFERROR(VLOOKUP($C354,Popisy!A:P,MATCH($W$17,Popisy!$A$7:$P$7,0),FALSE),"---------------")</f>
        <v>7 verschiedenfarbige Effekte</v>
      </c>
      <c r="X354" s="889" t="str">
        <f t="shared" si="67"/>
        <v/>
      </c>
      <c r="Y354" s="890"/>
      <c r="Z354" s="685">
        <f>IFERROR(IF(VLOOKUP(C354,[4]List1!$A:$D,4,FALSE)=0,"",VLOOKUP(C354,[4]List1!$A:$D,4,FALSE)),"")</f>
        <v>55</v>
      </c>
      <c r="AA354" s="707"/>
      <c r="AB354" s="911" t="str">
        <f>IFERROR(IF(VLOOKUP(C354,[1]List1!$A:$D,2,FALSE)="VYPRODÁNO",$V$9,IF(VLOOKUP(C354,[1]List1!$A:$D,2,FALSE)="DOCHÁZÍ",$V$3,VLOOKUP(C354,[1]List1!$A:$D,2,FALSE))),"OFFLINE!")</f>
        <v>15.09.2024</v>
      </c>
      <c r="AC354" s="911" t="str">
        <f ca="1">IF(AO354="NE",$V$10,IF(AB354=$V$3,IF(AP354&lt;1,$V$8,$V$2&amp;" "&amp;AP354&amp;" "&amp;$V$1),IF(AB354="SKLADEM",$V$6,IFERROR(IF(OR(AB354-TODAY()&gt;21,VLOOKUP(C354,[1]List1!$A:$E,4,FALSE)=0),AB354,DAY(AB354)&amp;"."&amp;MONTH(AB354)&amp;"."&amp;YEAR(AB354)&amp;" "&amp;$V$4&amp;VLOOKUP(C354,[1]List1!$A:$E,4,FALSE)&amp;" "&amp;$V$1),AB354))))</f>
        <v>15.09.2024</v>
      </c>
      <c r="AD354" s="686" t="str">
        <f ca="1">_xlfn.IFNA(VLOOKUP(C354,'General price list'!C:AM,MATCH($AD$20,'General price list'!$C$20:$AM$20,0),FALSE),"")</f>
        <v>15.09.2024</v>
      </c>
      <c r="AE354" s="681">
        <f t="shared" ca="1" si="68"/>
        <v>0</v>
      </c>
      <c r="AF354" s="681">
        <f t="shared" ca="1" si="69"/>
        <v>0</v>
      </c>
      <c r="AG354" s="687">
        <f t="shared" ca="1" si="70"/>
        <v>0</v>
      </c>
      <c r="AH354" s="688">
        <f t="shared" ca="1" si="71"/>
        <v>0</v>
      </c>
      <c r="AI354" s="687">
        <f t="shared" ca="1" si="72"/>
        <v>0</v>
      </c>
      <c r="AJ354" s="689" t="str">
        <f t="shared" ca="1" si="73"/>
        <v/>
      </c>
      <c r="AK354" s="689" t="str">
        <f t="shared" ca="1" si="74"/>
        <v/>
      </c>
      <c r="AL354" s="689">
        <f t="shared" ca="1" si="75"/>
        <v>0</v>
      </c>
      <c r="AM354" s="690" t="str">
        <f t="shared" ca="1" si="76"/>
        <v/>
      </c>
      <c r="AN354" s="382"/>
      <c r="AO354" s="314" t="str">
        <f>IF($R$3=1,IF(Y354=AA354,"","NE"),IF(#REF!=$V$10,"NE",""))</f>
        <v/>
      </c>
      <c r="AP354" s="315" t="str">
        <f>IF(AB354=$V$3,IF(VLOOKUP(C354,[1]List1!$A:$E,5,FALSE)=0,1,VLOOKUP(C354,[1]List1!$A:$E,5,FALSE)),"")</f>
        <v/>
      </c>
      <c r="AW354" s="458">
        <f>IFERROR(FIND(VLOOKUP('General price list'!$AB$7,'General price list'!$AC$1:$AD$12,2,FALSE),Q354,1),0)</f>
        <v>19</v>
      </c>
      <c r="AX354" s="458">
        <f>IFERROR(FIND(VLOOKUP('General price list'!$AB$7,'General price list'!$AC$1:$AD$12,2,FALSE),R354,1),0)</f>
        <v>0</v>
      </c>
    </row>
    <row r="355" spans="1:50" ht="15" customHeight="1">
      <c r="A355" s="691" t="str">
        <f>Kat.!C355</f>
        <v xml:space="preserve">                                          </v>
      </c>
      <c r="B355" s="692">
        <v>334</v>
      </c>
      <c r="C355" s="693" t="s">
        <v>2359</v>
      </c>
      <c r="D355" s="693" t="s">
        <v>12581</v>
      </c>
      <c r="E355" s="694" t="s">
        <v>129</v>
      </c>
      <c r="F355" s="695">
        <f>VLOOKUP(C355,[2]List1!$A:$D,2,FALSE)</f>
        <v>1750</v>
      </c>
      <c r="G355" s="696">
        <f t="shared" si="65"/>
        <v>1750</v>
      </c>
      <c r="H355" s="697">
        <f t="shared" si="66"/>
        <v>71.2</v>
      </c>
      <c r="I355" s="837">
        <v>1</v>
      </c>
      <c r="J355" s="698" t="s">
        <v>45</v>
      </c>
      <c r="K355" s="856"/>
      <c r="L355" s="857" t="s">
        <v>13858</v>
      </c>
      <c r="M355" s="698" t="s">
        <v>25</v>
      </c>
      <c r="N355" s="869">
        <f>IFERROR(VLOOKUP(C355,[3]List1!$A:$D,4,FALSE),"N/A!")</f>
        <v>1.6868250000000001E-2</v>
      </c>
      <c r="O355" s="837">
        <f>IFERROR(VLOOKUP(C355,[3]List1!$A:$D,3,FALSE),"N/A!")</f>
        <v>1300</v>
      </c>
      <c r="P355" s="837">
        <f>IFERROR(VLOOKUP(C355,[3]List1!$A:$D,2,FALSE),"N/A!")</f>
        <v>9000</v>
      </c>
      <c r="Q355" s="698" t="s">
        <v>44</v>
      </c>
      <c r="R355" s="698" t="s">
        <v>24</v>
      </c>
      <c r="S355" s="698"/>
      <c r="T355" s="695">
        <v>70</v>
      </c>
      <c r="U355" s="874"/>
      <c r="V355" s="699" t="str">
        <f>_xlfn.IFNA(HYPERLINK("https://www.klasekpyrotechnics.cz/c10025bpw-c14"),"")</f>
        <v>https://www.klasekpyrotechnics.cz/c10025bpw-c14</v>
      </c>
      <c r="W355" s="700" t="str">
        <f>IFERROR(VLOOKUP($C355,Popisy!A:P,MATCH($W$17,Popisy!$A$7:$P$7,0),FALSE),"---------------")</f>
        <v>20 verschiedenfarbige Effekte</v>
      </c>
      <c r="X355" s="891" t="str">
        <f t="shared" si="67"/>
        <v/>
      </c>
      <c r="Y355" s="892"/>
      <c r="Z355" s="700">
        <f>IFERROR(IF(VLOOKUP(C355,[4]List1!$A:$D,4,FALSE)=0,"",VLOOKUP(C355,[4]List1!$A:$D,4,FALSE)),"")</f>
        <v>54</v>
      </c>
      <c r="AA355" s="707"/>
      <c r="AB355" s="912" t="str">
        <f>IFERROR(IF(VLOOKUP(C355,[1]List1!$A:$D,2,FALSE)="VYPRODÁNO",$V$9,IF(VLOOKUP(C355,[1]List1!$A:$D,2,FALSE)="DOCHÁZÍ",$V$3,VLOOKUP(C355,[1]List1!$A:$D,2,FALSE))),"OFFLINE!")</f>
        <v>SKLADEM</v>
      </c>
      <c r="AC355" s="912" t="str">
        <f ca="1">IF(AO355="NE",$V$10,IF(AB355=$V$3,IF(AP355&lt;1,$V$8,$V$2&amp;" "&amp;AP355&amp;" "&amp;$V$1),IF(AB355="SKLADEM",$V$6,IFERROR(IF(OR(AB355-TODAY()&gt;21,VLOOKUP(C355,[1]List1!$A:$E,4,FALSE)=0),AB355,DAY(AB355)&amp;"."&amp;MONTH(AB355)&amp;"."&amp;YEAR(AB355)&amp;" "&amp;$V$4&amp;VLOOKUP(C355,[1]List1!$A:$E,4,FALSE)&amp;" "&amp;$V$1),AB355))))</f>
        <v>AUF LAGER</v>
      </c>
      <c r="AD355" s="701" t="str">
        <f ca="1">_xlfn.IFNA(VLOOKUP(C355,'General price list'!C:AM,MATCH($AD$20,'General price list'!$C$20:$AM$20,0),FALSE),"")</f>
        <v>AUF LAGER</v>
      </c>
      <c r="AE355" s="695">
        <f t="shared" ca="1" si="68"/>
        <v>0</v>
      </c>
      <c r="AF355" s="695">
        <f t="shared" ca="1" si="69"/>
        <v>0</v>
      </c>
      <c r="AG355" s="702">
        <f t="shared" ca="1" si="70"/>
        <v>0</v>
      </c>
      <c r="AH355" s="703">
        <f t="shared" ca="1" si="71"/>
        <v>0</v>
      </c>
      <c r="AI355" s="702">
        <f t="shared" ca="1" si="72"/>
        <v>0</v>
      </c>
      <c r="AJ355" s="704" t="str">
        <f t="shared" ca="1" si="73"/>
        <v/>
      </c>
      <c r="AK355" s="704" t="str">
        <f t="shared" ca="1" si="74"/>
        <v/>
      </c>
      <c r="AL355" s="704">
        <f t="shared" ca="1" si="75"/>
        <v>0</v>
      </c>
      <c r="AM355" s="705" t="str">
        <f t="shared" ca="1" si="76"/>
        <v/>
      </c>
      <c r="AN355" s="382"/>
      <c r="AO355" s="314" t="str">
        <f>IF($R$3=1,IF(Y355=AA355,"","NE"),IF(#REF!=$V$10,"NE",""))</f>
        <v/>
      </c>
      <c r="AP355" s="315" t="str">
        <f>IF(AB355=$V$3,IF(VLOOKUP(C355,[1]List1!$A:$E,5,FALSE)=0,1,VLOOKUP(C355,[1]List1!$A:$E,5,FALSE)),"")</f>
        <v/>
      </c>
      <c r="AW355" s="458">
        <f>IFERROR(FIND(VLOOKUP('General price list'!$AB$7,'General price list'!$AC$1:$AD$12,2,FALSE),Q355,1),0)</f>
        <v>13</v>
      </c>
      <c r="AX355" s="458">
        <f>IFERROR(FIND(VLOOKUP('General price list'!$AB$7,'General price list'!$AC$1:$AD$12,2,FALSE),R355,1),0)</f>
        <v>0</v>
      </c>
    </row>
    <row r="356" spans="1:50" ht="15" customHeight="1">
      <c r="A356" s="677" t="str">
        <f>Kat.!C356</f>
        <v xml:space="preserve">                                          </v>
      </c>
      <c r="B356" s="678">
        <v>335</v>
      </c>
      <c r="C356" s="679" t="s">
        <v>2360</v>
      </c>
      <c r="D356" s="679" t="s">
        <v>12582</v>
      </c>
      <c r="E356" s="680" t="s">
        <v>129</v>
      </c>
      <c r="F356" s="681">
        <f>VLOOKUP(C356,[2]List1!$A:$D,2,FALSE)</f>
        <v>2916</v>
      </c>
      <c r="G356" s="682">
        <f t="shared" si="65"/>
        <v>2916</v>
      </c>
      <c r="H356" s="683">
        <f t="shared" si="66"/>
        <v>118.6</v>
      </c>
      <c r="I356" s="836">
        <v>1</v>
      </c>
      <c r="J356" s="680" t="s">
        <v>45</v>
      </c>
      <c r="K356" s="854"/>
      <c r="L356" s="855" t="s">
        <v>13858</v>
      </c>
      <c r="M356" s="680" t="s">
        <v>25</v>
      </c>
      <c r="N356" s="868">
        <f>IFERROR(VLOOKUP(C356,[3]List1!$A:$D,4,FALSE),"N/A!")</f>
        <v>3.7949999999999998E-2</v>
      </c>
      <c r="O356" s="836">
        <f>IFERROR(VLOOKUP(C356,[3]List1!$A:$D,3,FALSE),"N/A!")</f>
        <v>1820</v>
      </c>
      <c r="P356" s="836">
        <f>IFERROR(VLOOKUP(C356,[3]List1!$A:$D,2,FALSE),"N/A!")</f>
        <v>12800</v>
      </c>
      <c r="Q356" s="680" t="s">
        <v>44</v>
      </c>
      <c r="R356" s="680" t="s">
        <v>24</v>
      </c>
      <c r="S356" s="680"/>
      <c r="T356" s="681">
        <v>90</v>
      </c>
      <c r="U356" s="873"/>
      <c r="V356" s="684" t="str">
        <f>_xlfn.IFNA(HYPERLINK("https://www.klasekpyrotechnics.cz/c14025xfs-c14"),"")</f>
        <v>https://www.klasekpyrotechnics.cz/c14025xfs-c14</v>
      </c>
      <c r="W356" s="685" t="str">
        <f>IFERROR(VLOOKUP($C356,Popisy!A:P,MATCH($W$17,Popisy!$A$7:$P$7,0),FALSE),"---------------")</f>
        <v>20 verschiedenfarbige Effekte</v>
      </c>
      <c r="X356" s="889" t="str">
        <f t="shared" si="67"/>
        <v/>
      </c>
      <c r="Y356" s="890"/>
      <c r="Z356" s="685" t="str">
        <f>IFERROR(IF(VLOOKUP(C356,[4]List1!$A:$D,4,FALSE)=0,"",VLOOKUP(C356,[4]List1!$A:$D,4,FALSE)),"")</f>
        <v>32</v>
      </c>
      <c r="AA356" s="707"/>
      <c r="AB356" s="911" t="str">
        <f>IFERROR(IF(VLOOKUP(C356,[1]List1!$A:$D,2,FALSE)="VYPRODÁNO",$V$9,IF(VLOOKUP(C356,[1]List1!$A:$D,2,FALSE)="DOCHÁZÍ",$V$3,VLOOKUP(C356,[1]List1!$A:$D,2,FALSE))),"OFFLINE!")</f>
        <v>20.06.2024</v>
      </c>
      <c r="AC356" s="911" t="str">
        <f ca="1">IF(AO356="NE",$V$10,IF(AB356=$V$3,IF(AP356&lt;1,$V$8,$V$2&amp;" "&amp;AP356&amp;" "&amp;$V$1),IF(AB356="SKLADEM",$V$6,IFERROR(IF(OR(AB356-TODAY()&gt;21,VLOOKUP(C356,[1]List1!$A:$E,4,FALSE)=0),AB356,DAY(AB356)&amp;"."&amp;MONTH(AB356)&amp;"."&amp;YEAR(AB356)&amp;" "&amp;$V$4&amp;VLOOKUP(C356,[1]List1!$A:$E,4,FALSE)&amp;" "&amp;$V$1),AB356))))</f>
        <v>20.06.2024</v>
      </c>
      <c r="AD356" s="686" t="str">
        <f ca="1">_xlfn.IFNA(VLOOKUP(C356,'General price list'!C:AM,MATCH($AD$20,'General price list'!$C$20:$AM$20,0),FALSE),"")</f>
        <v>20.06.2024</v>
      </c>
      <c r="AE356" s="681">
        <f t="shared" ca="1" si="68"/>
        <v>0</v>
      </c>
      <c r="AF356" s="681">
        <f t="shared" ca="1" si="69"/>
        <v>0</v>
      </c>
      <c r="AG356" s="687">
        <f t="shared" ca="1" si="70"/>
        <v>0</v>
      </c>
      <c r="AH356" s="688">
        <f t="shared" ca="1" si="71"/>
        <v>0</v>
      </c>
      <c r="AI356" s="687">
        <f t="shared" ca="1" si="72"/>
        <v>0</v>
      </c>
      <c r="AJ356" s="689" t="str">
        <f t="shared" ca="1" si="73"/>
        <v/>
      </c>
      <c r="AK356" s="689" t="str">
        <f t="shared" ca="1" si="74"/>
        <v/>
      </c>
      <c r="AL356" s="689">
        <f t="shared" ca="1" si="75"/>
        <v>0</v>
      </c>
      <c r="AM356" s="690" t="str">
        <f t="shared" ca="1" si="76"/>
        <v/>
      </c>
      <c r="AN356" s="381"/>
      <c r="AO356" s="314" t="str">
        <f>IF($R$3=1,IF(Y356=AA356,"","NE"),IF(#REF!=$V$10,"NE",""))</f>
        <v/>
      </c>
      <c r="AP356" s="315" t="str">
        <f>IF(AB356=$V$3,IF(VLOOKUP(C356,[1]List1!$A:$E,5,FALSE)=0,1,VLOOKUP(C356,[1]List1!$A:$E,5,FALSE)),"")</f>
        <v/>
      </c>
      <c r="AW356" s="458">
        <f>IFERROR(FIND(VLOOKUP('General price list'!$AB$7,'General price list'!$AC$1:$AD$12,2,FALSE),Q356,1),0)</f>
        <v>13</v>
      </c>
      <c r="AX356" s="458">
        <f>IFERROR(FIND(VLOOKUP('General price list'!$AB$7,'General price list'!$AC$1:$AD$12,2,FALSE),R356,1),0)</f>
        <v>0</v>
      </c>
    </row>
    <row r="357" spans="1:50" ht="15" customHeight="1">
      <c r="A357" s="691" t="str">
        <f>Kat.!C357</f>
        <v xml:space="preserve">                                          </v>
      </c>
      <c r="B357" s="692">
        <v>336</v>
      </c>
      <c r="C357" s="693" t="s">
        <v>1281</v>
      </c>
      <c r="D357" s="693" t="s">
        <v>12132</v>
      </c>
      <c r="E357" s="694" t="s">
        <v>129</v>
      </c>
      <c r="F357" s="695">
        <f>VLOOKUP(C357,[2]List1!$A:$D,2,FALSE)</f>
        <v>3425</v>
      </c>
      <c r="G357" s="696">
        <f t="shared" si="65"/>
        <v>3425</v>
      </c>
      <c r="H357" s="697">
        <f t="shared" si="66"/>
        <v>139.30000000000001</v>
      </c>
      <c r="I357" s="837">
        <v>1</v>
      </c>
      <c r="J357" s="698" t="s">
        <v>45</v>
      </c>
      <c r="K357" s="856"/>
      <c r="L357" s="857" t="s">
        <v>13846</v>
      </c>
      <c r="M357" s="698" t="s">
        <v>25</v>
      </c>
      <c r="N357" s="869">
        <f>IFERROR(VLOOKUP(C357,[3]List1!$A:$D,4,FALSE),"N/A!")</f>
        <v>4.8234375000000003E-2</v>
      </c>
      <c r="O357" s="837">
        <f>IFERROR(VLOOKUP(C357,[3]List1!$A:$D,3,FALSE),"N/A!")</f>
        <v>1984</v>
      </c>
      <c r="P357" s="837">
        <f>IFERROR(VLOOKUP(C357,[3]List1!$A:$D,2,FALSE),"N/A!")</f>
        <v>18000</v>
      </c>
      <c r="Q357" s="698" t="s">
        <v>13785</v>
      </c>
      <c r="R357" s="698" t="s">
        <v>24</v>
      </c>
      <c r="S357" s="698"/>
      <c r="T357" s="695">
        <v>160</v>
      </c>
      <c r="U357" s="874"/>
      <c r="V357" s="699" t="str">
        <f>_xlfn.IFNA(HYPERLINK("https://www.klasekpyrotechnics.cz/c19225mf-c14"),"")</f>
        <v>https://www.klasekpyrotechnics.cz/c19225mf-c14</v>
      </c>
      <c r="W357" s="700" t="str">
        <f>IFERROR(VLOOKUP($C357,Popisy!A:P,MATCH($W$17,Popisy!$A$7:$P$7,0),FALSE),"---------------")</f>
        <v>32 verschiedenfarbige Effekte</v>
      </c>
      <c r="X357" s="891" t="str">
        <f t="shared" si="67"/>
        <v/>
      </c>
      <c r="Y357" s="892"/>
      <c r="Z357" s="700">
        <f>IFERROR(IF(VLOOKUP(C357,[4]List1!$A:$D,4,FALSE)=0,"",VLOOKUP(C357,[4]List1!$A:$D,4,FALSE)),"")</f>
        <v>20</v>
      </c>
      <c r="AA357" s="707"/>
      <c r="AB357" s="912" t="str">
        <f>IFERROR(IF(VLOOKUP(C357,[1]List1!$A:$D,2,FALSE)="VYPRODÁNO",$V$9,IF(VLOOKUP(C357,[1]List1!$A:$D,2,FALSE)="DOCHÁZÍ",$V$3,VLOOKUP(C357,[1]List1!$A:$D,2,FALSE))),"OFFLINE!")</f>
        <v>SKLADEM</v>
      </c>
      <c r="AC357" s="912" t="str">
        <f ca="1">IF(AO357="NE",$V$10,IF(AB357=$V$3,IF(AP357&lt;1,$V$8,$V$2&amp;" "&amp;AP357&amp;" "&amp;$V$1),IF(AB357="SKLADEM",$V$6,IFERROR(IF(OR(AB357-TODAY()&gt;21,VLOOKUP(C357,[1]List1!$A:$E,4,FALSE)=0),AB357,DAY(AB357)&amp;"."&amp;MONTH(AB357)&amp;"."&amp;YEAR(AB357)&amp;" "&amp;$V$4&amp;VLOOKUP(C357,[1]List1!$A:$E,4,FALSE)&amp;" "&amp;$V$1),AB357))))</f>
        <v>AUF LAGER</v>
      </c>
      <c r="AD357" s="701" t="str">
        <f ca="1">_xlfn.IFNA(VLOOKUP(C357,'General price list'!C:AM,MATCH($AD$20,'General price list'!$C$20:$AM$20,0),FALSE),"")</f>
        <v>AUF LAGER</v>
      </c>
      <c r="AE357" s="695">
        <f t="shared" ca="1" si="68"/>
        <v>0</v>
      </c>
      <c r="AF357" s="695">
        <f t="shared" ca="1" si="69"/>
        <v>0</v>
      </c>
      <c r="AG357" s="702">
        <f t="shared" ca="1" si="70"/>
        <v>0</v>
      </c>
      <c r="AH357" s="703">
        <f t="shared" ca="1" si="71"/>
        <v>0</v>
      </c>
      <c r="AI357" s="702">
        <f t="shared" ca="1" si="72"/>
        <v>0</v>
      </c>
      <c r="AJ357" s="704" t="str">
        <f t="shared" ca="1" si="73"/>
        <v/>
      </c>
      <c r="AK357" s="704" t="str">
        <f t="shared" ca="1" si="74"/>
        <v/>
      </c>
      <c r="AL357" s="704">
        <f t="shared" ca="1" si="75"/>
        <v>0</v>
      </c>
      <c r="AM357" s="705" t="str">
        <f t="shared" ca="1" si="76"/>
        <v/>
      </c>
      <c r="AN357" s="313"/>
      <c r="AO357" s="314" t="str">
        <f>IF($R$3=1,IF(Y357=AA357,"","NE"),IF(#REF!=$V$10,"NE",""))</f>
        <v/>
      </c>
      <c r="AP357" s="315" t="str">
        <f>IF(AB357=$V$3,IF(VLOOKUP(C357,[1]List1!$A:$E,5,FALSE)=0,1,VLOOKUP(C357,[1]List1!$A:$E,5,FALSE)),"")</f>
        <v/>
      </c>
      <c r="AW357" s="458">
        <f>IFERROR(FIND(VLOOKUP('General price list'!$AB$7,'General price list'!$AC$1:$AD$12,2,FALSE),Q357,1),0)</f>
        <v>10</v>
      </c>
      <c r="AX357" s="458">
        <f>IFERROR(FIND(VLOOKUP('General price list'!$AB$7,'General price list'!$AC$1:$AD$12,2,FALSE),R357,1),0)</f>
        <v>0</v>
      </c>
    </row>
    <row r="358" spans="1:50" ht="15" customHeight="1">
      <c r="A358" s="677" t="str">
        <f>Kat.!C358</f>
        <v xml:space="preserve">                                          </v>
      </c>
      <c r="B358" s="678">
        <v>337</v>
      </c>
      <c r="C358" s="679" t="s">
        <v>1283</v>
      </c>
      <c r="D358" s="679" t="s">
        <v>1284</v>
      </c>
      <c r="E358" s="680" t="s">
        <v>129</v>
      </c>
      <c r="F358" s="681">
        <f>VLOOKUP(C358,[2]List1!$A:$D,2,FALSE)</f>
        <v>3255</v>
      </c>
      <c r="G358" s="682">
        <f t="shared" si="65"/>
        <v>3255</v>
      </c>
      <c r="H358" s="683">
        <f t="shared" si="66"/>
        <v>132.4</v>
      </c>
      <c r="I358" s="836">
        <v>1</v>
      </c>
      <c r="J358" s="680" t="s">
        <v>45</v>
      </c>
      <c r="K358" s="854"/>
      <c r="L358" s="855" t="s">
        <v>13846</v>
      </c>
      <c r="M358" s="680" t="s">
        <v>25</v>
      </c>
      <c r="N358" s="868">
        <f>IFERROR(VLOOKUP(C358,[3]List1!$A:$D,4,FALSE),"N/A!")</f>
        <v>3.2912000000000004E-2</v>
      </c>
      <c r="O358" s="836">
        <f>IFERROR(VLOOKUP(C358,[3]List1!$A:$D,3,FALSE),"N/A!")</f>
        <v>1992</v>
      </c>
      <c r="P358" s="836">
        <f>IFERROR(VLOOKUP(C358,[3]List1!$A:$D,2,FALSE),"N/A!")</f>
        <v>17500</v>
      </c>
      <c r="Q358" s="680" t="s">
        <v>13786</v>
      </c>
      <c r="R358" s="680" t="s">
        <v>24</v>
      </c>
      <c r="S358" s="680"/>
      <c r="T358" s="681">
        <v>140</v>
      </c>
      <c r="U358" s="873"/>
      <c r="V358" s="684" t="str">
        <f>_xlfn.IFNA(HYPERLINK("https://www.klasekpyrotechnics.cz/c19625-c14"),"")</f>
        <v>https://www.klasekpyrotechnics.cz/c19625-c14</v>
      </c>
      <c r="W358" s="685" t="str">
        <f>IFERROR(VLOOKUP($C358,Popisy!A:P,MATCH($W$17,Popisy!$A$7:$P$7,0),FALSE),"---------------")</f>
        <v>28 verschiedenfarbige Effekte</v>
      </c>
      <c r="X358" s="889" t="str">
        <f t="shared" si="67"/>
        <v/>
      </c>
      <c r="Y358" s="890"/>
      <c r="Z358" s="685" t="str">
        <f>IFERROR(IF(VLOOKUP(C358,[4]List1!$A:$D,4,FALSE)=0,"",VLOOKUP(C358,[4]List1!$A:$D,4,FALSE)),"")</f>
        <v>18</v>
      </c>
      <c r="AA358" s="707"/>
      <c r="AB358" s="911" t="str">
        <f>IFERROR(IF(VLOOKUP(C358,[1]List1!$A:$D,2,FALSE)="VYPRODÁNO",$V$9,IF(VLOOKUP(C358,[1]List1!$A:$D,2,FALSE)="DOCHÁZÍ",$V$3,VLOOKUP(C358,[1]List1!$A:$D,2,FALSE))),"OFFLINE!")</f>
        <v>SKLADEM</v>
      </c>
      <c r="AC358" s="911" t="str">
        <f ca="1">IF(AO358="NE",$V$10,IF(AB358=$V$3,IF(AP358&lt;1,$V$8,$V$2&amp;" "&amp;AP358&amp;" "&amp;$V$1),IF(AB358="SKLADEM",$V$6,IFERROR(IF(OR(AB358-TODAY()&gt;21,VLOOKUP(C358,[1]List1!$A:$E,4,FALSE)=0),AB358,DAY(AB358)&amp;"."&amp;MONTH(AB358)&amp;"."&amp;YEAR(AB358)&amp;" "&amp;$V$4&amp;VLOOKUP(C358,[1]List1!$A:$E,4,FALSE)&amp;" "&amp;$V$1),AB358))))</f>
        <v>AUF LAGER</v>
      </c>
      <c r="AD358" s="686" t="str">
        <f ca="1">_xlfn.IFNA(VLOOKUP(C358,'General price list'!C:AM,MATCH($AD$20,'General price list'!$C$20:$AM$20,0),FALSE),"")</f>
        <v>AUF LAGER</v>
      </c>
      <c r="AE358" s="681">
        <f t="shared" ca="1" si="68"/>
        <v>0</v>
      </c>
      <c r="AF358" s="681">
        <f t="shared" ca="1" si="69"/>
        <v>0</v>
      </c>
      <c r="AG358" s="687">
        <f t="shared" ca="1" si="70"/>
        <v>0</v>
      </c>
      <c r="AH358" s="688">
        <f t="shared" ca="1" si="71"/>
        <v>0</v>
      </c>
      <c r="AI358" s="687">
        <f t="shared" ca="1" si="72"/>
        <v>0</v>
      </c>
      <c r="AJ358" s="689" t="str">
        <f t="shared" ca="1" si="73"/>
        <v/>
      </c>
      <c r="AK358" s="689" t="str">
        <f t="shared" ca="1" si="74"/>
        <v/>
      </c>
      <c r="AL358" s="689">
        <f t="shared" ca="1" si="75"/>
        <v>0</v>
      </c>
      <c r="AM358" s="690" t="str">
        <f t="shared" ca="1" si="76"/>
        <v/>
      </c>
      <c r="AN358" s="313"/>
      <c r="AO358" s="314" t="str">
        <f>IF($R$3=1,IF(Y358=AA358,"","NE"),IF(#REF!=$V$10,"NE",""))</f>
        <v/>
      </c>
      <c r="AP358" s="315" t="str">
        <f>IF(AB358=$V$3,IF(VLOOKUP(C358,[1]List1!$A:$E,5,FALSE)=0,1,VLOOKUP(C358,[1]List1!$A:$E,5,FALSE)),"")</f>
        <v/>
      </c>
      <c r="AW358" s="458">
        <f>IFERROR(FIND(VLOOKUP('General price list'!$AB$7,'General price list'!$AC$1:$AD$12,2,FALSE),Q358,1),0)</f>
        <v>13</v>
      </c>
      <c r="AX358" s="458">
        <f>IFERROR(FIND(VLOOKUP('General price list'!$AB$7,'General price list'!$AC$1:$AD$12,2,FALSE),R358,1),0)</f>
        <v>0</v>
      </c>
    </row>
    <row r="359" spans="1:50" ht="15" customHeight="1">
      <c r="A359" s="672" t="str">
        <f>Kat.!C359</f>
        <v xml:space="preserve">                                          Batterien 16 schuss, 30mm Mörser-1.3G</v>
      </c>
      <c r="B359" s="692">
        <v>338</v>
      </c>
      <c r="C359" s="693"/>
      <c r="D359" s="693"/>
      <c r="E359" s="694"/>
      <c r="F359" s="695" t="str">
        <f>IFERROR(ROUND(VLOOKUP(C359,'General price list'!$C:$AN,4,FALSE),0),"")</f>
        <v/>
      </c>
      <c r="G359" s="696" t="str">
        <f t="shared" si="65"/>
        <v/>
      </c>
      <c r="H359" s="697" t="str">
        <f t="shared" si="66"/>
        <v/>
      </c>
      <c r="I359" s="837"/>
      <c r="J359" s="698"/>
      <c r="K359" s="856"/>
      <c r="L359" s="857"/>
      <c r="M359" s="698"/>
      <c r="N359" s="869" t="str">
        <f>IFERROR(IF(VLOOKUP($C359,'General price list'!$C:$AN,MATCH(N$20,'General price list'!$C$20:$AM$20,0),FALSE)=0,"",VLOOKUP($C359,'General price list'!$C:$AN,MATCH(N$20,'General price list'!$C$20:$AM$20,0),FALSE)),"")</f>
        <v/>
      </c>
      <c r="O359" s="837" t="str">
        <f>IFERROR(IF(VLOOKUP($C359,'General price list'!$C:$AN,MATCH(O$20,'General price list'!$C$20:$AM$20,0),FALSE)=0,"",VLOOKUP($C359,'General price list'!$C:$AN,MATCH(O$20,'General price list'!$C$20:$AM$20,0),FALSE)),"")</f>
        <v/>
      </c>
      <c r="P359" s="837" t="str">
        <f>IFERROR(IF(VLOOKUP($C359,'General price list'!$C:$AN,MATCH(P$20,'General price list'!$C$20:$AM$20,0),FALSE)=0,"",VLOOKUP($C359,'General price list'!$C:$AN,MATCH(P$20,'General price list'!$C$20:$AM$20,0),FALSE)),"")</f>
        <v/>
      </c>
      <c r="Q359" s="698"/>
      <c r="R359" s="698"/>
      <c r="S359" s="698"/>
      <c r="T359" s="695"/>
      <c r="U359" s="874"/>
      <c r="V359" s="699"/>
      <c r="W359" s="700" t="str">
        <f>IFERROR(VLOOKUP($C359,'General price list'!$C:$AN,MATCH(W$20,'General price list'!$C$20:$AM$20,0),FALSE),"")</f>
        <v/>
      </c>
      <c r="X359" s="891" t="str">
        <f t="shared" si="67"/>
        <v/>
      </c>
      <c r="Y359" s="892"/>
      <c r="Z359" s="700" t="str">
        <f>IFERROR(VLOOKUP($C359,'General price list'!$C:$AN,MATCH(Z$20,'General price list'!$C$20:$AM$20,0),FALSE),"")</f>
        <v/>
      </c>
      <c r="AA359" s="707"/>
      <c r="AB359" s="912" t="str">
        <f>IFERROR(IF(VLOOKUP(C359,[1]List1!$A:$D,2,FALSE)="VYPRODÁNO",$V$9,IF(VLOOKUP(C359,[1]List1!$A:$D,2,FALSE)="DOCHÁZÍ",$V$3,VLOOKUP(C359,[1]List1!$A:$D,2,FALSE))),"OFFLINE!")</f>
        <v>OFFLINE!</v>
      </c>
      <c r="AC359" s="912" t="str">
        <f ca="1">IF(AO359="NE",$V$10,IF(AB359=$V$3,IF(AP359&lt;1,$V$8,$V$2&amp;" "&amp;AP359&amp;" "&amp;$V$1),IF(AB359="SKLADEM",$V$6,IFERROR(IF(OR(AB359-TODAY()&gt;21,VLOOKUP(C359,[1]List1!$A:$E,4,FALSE)=0),AB359,DAY(AB359)&amp;"."&amp;MONTH(AB359)&amp;"."&amp;YEAR(AB359)&amp;" "&amp;$V$4&amp;VLOOKUP(C359,[1]List1!$A:$E,4,FALSE)&amp;" "&amp;$V$1),AB359))))</f>
        <v>OFFLINE!</v>
      </c>
      <c r="AD359" s="701" t="str">
        <f>_xlfn.IFNA(VLOOKUP(C359,'General price list'!C:AM,MATCH($AD$20,'General price list'!$C$20:$AM$20,0),FALSE),"")</f>
        <v/>
      </c>
      <c r="AE359" s="695" t="str">
        <f t="shared" si="68"/>
        <v/>
      </c>
      <c r="AF359" s="695" t="str">
        <f t="shared" si="69"/>
        <v/>
      </c>
      <c r="AG359" s="702" t="str">
        <f t="shared" si="70"/>
        <v/>
      </c>
      <c r="AH359" s="703" t="str">
        <f t="shared" si="71"/>
        <v/>
      </c>
      <c r="AI359" s="702" t="str">
        <f t="shared" si="72"/>
        <v/>
      </c>
      <c r="AJ359" s="704" t="str">
        <f t="shared" si="73"/>
        <v/>
      </c>
      <c r="AK359" s="704" t="str">
        <f t="shared" si="74"/>
        <v/>
      </c>
      <c r="AL359" s="704" t="str">
        <f t="shared" si="75"/>
        <v/>
      </c>
      <c r="AM359" s="705" t="str">
        <f t="shared" si="76"/>
        <v/>
      </c>
      <c r="AN359" s="382"/>
      <c r="AO359" s="314" t="str">
        <f>IF($R$3=1,IF(Y359=AA359,"","NE"),IF(#REF!=$V$10,"NE",""))</f>
        <v/>
      </c>
      <c r="AP359" s="315" t="str">
        <f>IF(AB359=$V$3,IF(VLOOKUP(C359,[1]List1!$A:$E,5,FALSE)=0,1,VLOOKUP(C359,[1]List1!$A:$E,5,FALSE)),"")</f>
        <v/>
      </c>
      <c r="AW359" s="291" t="e">
        <f>VLOOKUP(C359,'General price list'!C:AU,46,FALSE)</f>
        <v>#N/A</v>
      </c>
      <c r="AX359" s="291" t="e">
        <f>VLOOKUP(C359,'General price list'!C:AU,47,FALSE)</f>
        <v>#N/A</v>
      </c>
    </row>
    <row r="360" spans="1:50" ht="15" customHeight="1">
      <c r="A360" s="677" t="str">
        <f>Kat.!C360</f>
        <v xml:space="preserve">                                          </v>
      </c>
      <c r="B360" s="678">
        <v>339</v>
      </c>
      <c r="C360" s="679" t="s">
        <v>1304</v>
      </c>
      <c r="D360" s="679" t="s">
        <v>12583</v>
      </c>
      <c r="E360" s="680" t="s">
        <v>1224</v>
      </c>
      <c r="F360" s="681">
        <f>VLOOKUP(C360,[2]List1!$A:$D,2,FALSE)</f>
        <v>305</v>
      </c>
      <c r="G360" s="682">
        <f t="shared" si="65"/>
        <v>305</v>
      </c>
      <c r="H360" s="683">
        <f t="shared" si="66"/>
        <v>12.4</v>
      </c>
      <c r="I360" s="836">
        <v>10</v>
      </c>
      <c r="J360" s="680" t="s">
        <v>45</v>
      </c>
      <c r="K360" s="854" t="s">
        <v>12593</v>
      </c>
      <c r="L360" s="855" t="s">
        <v>13843</v>
      </c>
      <c r="M360" s="680" t="s">
        <v>131</v>
      </c>
      <c r="N360" s="868">
        <f>IFERROR(VLOOKUP(C360,[3]List1!$A:$D,4,FALSE),"N/A!")</f>
        <v>4.6068749999999999E-2</v>
      </c>
      <c r="O360" s="836">
        <f>IFERROR(VLOOKUP(C360,[3]List1!$A:$D,3,FALSE),"N/A!")</f>
        <v>2800</v>
      </c>
      <c r="P360" s="836">
        <f>IFERROR(VLOOKUP(C360,[3]List1!$A:$D,2,FALSE),"N/A!")</f>
        <v>18500</v>
      </c>
      <c r="Q360" s="680" t="s">
        <v>13747</v>
      </c>
      <c r="R360" s="680" t="s">
        <v>24</v>
      </c>
      <c r="S360" s="680"/>
      <c r="T360" s="681">
        <v>23</v>
      </c>
      <c r="U360" s="873"/>
      <c r="V360" s="684" t="str">
        <f>_xlfn.IFNA(HYPERLINK("https://www.klasekpyrotechnics.cz/c163bp"),"")</f>
        <v>https://www.klasekpyrotechnics.cz/c163bp</v>
      </c>
      <c r="W360" s="685" t="str">
        <f>IFERROR(VLOOKUP($C360,Popisy!A:P,MATCH($W$17,Popisy!$A$7:$P$7,0),FALSE),"---------------")</f>
        <v>4 verschiedenfarbige Effekte</v>
      </c>
      <c r="X360" s="889" t="str">
        <f t="shared" si="67"/>
        <v/>
      </c>
      <c r="Y360" s="890"/>
      <c r="Z360" s="685">
        <f>IFERROR(IF(VLOOKUP(C360,[4]List1!$A:$D,4,FALSE)=0,"",VLOOKUP(C360,[4]List1!$A:$D,4,FALSE)),"")</f>
        <v>32</v>
      </c>
      <c r="AA360" s="707"/>
      <c r="AB360" s="911" t="str">
        <f>IFERROR(IF(VLOOKUP(C360,[1]List1!$A:$D,2,FALSE)="VYPRODÁNO",$V$9,IF(VLOOKUP(C360,[1]List1!$A:$D,2,FALSE)="DOCHÁZÍ",$V$3,VLOOKUP(C360,[1]List1!$A:$D,2,FALSE))),"OFFLINE!")</f>
        <v>SKLADEM</v>
      </c>
      <c r="AC360" s="911" t="str">
        <f ca="1">IF(AO360="NE",$V$10,IF(AB360=$V$3,IF(AP360&lt;1,$V$8,$V$2&amp;" "&amp;AP360&amp;" "&amp;$V$1),IF(AB360="SKLADEM",$V$6,IFERROR(IF(OR(AB360-TODAY()&gt;21,VLOOKUP(C360,[1]List1!$A:$E,4,FALSE)=0),AB360,DAY(AB360)&amp;"."&amp;MONTH(AB360)&amp;"."&amp;YEAR(AB360)&amp;" "&amp;$V$4&amp;VLOOKUP(C360,[1]List1!$A:$E,4,FALSE)&amp;" "&amp;$V$1),AB360))))</f>
        <v>AUF LAGER</v>
      </c>
      <c r="AD360" s="686">
        <f>_xlfn.IFNA(VLOOKUP(C360,'General price list'!C:AM,MATCH($AD$20,'General price list'!$C$20:$AM$20,0),FALSE),"")</f>
        <v>0</v>
      </c>
      <c r="AE360" s="681">
        <f t="shared" si="68"/>
        <v>0</v>
      </c>
      <c r="AF360" s="681">
        <f t="shared" si="69"/>
        <v>0</v>
      </c>
      <c r="AG360" s="687">
        <f t="shared" si="70"/>
        <v>0</v>
      </c>
      <c r="AH360" s="688">
        <f t="shared" si="71"/>
        <v>0</v>
      </c>
      <c r="AI360" s="687">
        <f t="shared" si="72"/>
        <v>0</v>
      </c>
      <c r="AJ360" s="689" t="str">
        <f t="shared" si="73"/>
        <v/>
      </c>
      <c r="AK360" s="689">
        <f t="shared" si="74"/>
        <v>0</v>
      </c>
      <c r="AL360" s="689" t="str">
        <f t="shared" si="75"/>
        <v/>
      </c>
      <c r="AM360" s="690" t="str">
        <f t="shared" si="76"/>
        <v/>
      </c>
      <c r="AN360" s="382"/>
      <c r="AO360" s="314" t="str">
        <f>IF($R$3=1,IF(Y360=AA360,"","NE"),IF(#REF!=$V$10,"NE",""))</f>
        <v/>
      </c>
      <c r="AP360" s="315" t="str">
        <f>IF(AB360=$V$3,IF(VLOOKUP(C360,[1]List1!$A:$E,5,FALSE)=0,1,VLOOKUP(C360,[1]List1!$A:$E,5,FALSE)),"")</f>
        <v/>
      </c>
      <c r="AW360" s="458">
        <f>IFERROR(FIND(VLOOKUP('General price list'!$AB$7,'General price list'!$AC$1:$AD$12,2,FALSE),Q360,1),0)</f>
        <v>13</v>
      </c>
      <c r="AX360" s="458">
        <f>IFERROR(FIND(VLOOKUP('General price list'!$AB$7,'General price list'!$AC$1:$AD$12,2,FALSE),R360,1),0)</f>
        <v>0</v>
      </c>
    </row>
    <row r="361" spans="1:50" ht="15" customHeight="1">
      <c r="A361" s="691" t="str">
        <f>Kat.!C361</f>
        <v xml:space="preserve">                                          </v>
      </c>
      <c r="B361" s="692">
        <v>340</v>
      </c>
      <c r="C361" s="693" t="s">
        <v>1305</v>
      </c>
      <c r="D361" s="693" t="s">
        <v>12584</v>
      </c>
      <c r="E361" s="694" t="s">
        <v>1224</v>
      </c>
      <c r="F361" s="695">
        <f>VLOOKUP(C361,[2]List1!$A:$D,2,FALSE)</f>
        <v>394</v>
      </c>
      <c r="G361" s="696">
        <f t="shared" si="65"/>
        <v>394</v>
      </c>
      <c r="H361" s="697">
        <f t="shared" si="66"/>
        <v>16</v>
      </c>
      <c r="I361" s="837">
        <v>10</v>
      </c>
      <c r="J361" s="698" t="s">
        <v>45</v>
      </c>
      <c r="K361" s="856"/>
      <c r="L361" s="857" t="s">
        <v>13843</v>
      </c>
      <c r="M361" s="698" t="s">
        <v>131</v>
      </c>
      <c r="N361" s="869">
        <f>IFERROR(VLOOKUP(C361,[3]List1!$A:$D,4,FALSE),"N/A!")</f>
        <v>4.6068749999999999E-2</v>
      </c>
      <c r="O361" s="837">
        <f>IFERROR(VLOOKUP(C361,[3]List1!$A:$D,3,FALSE),"N/A!")</f>
        <v>4000</v>
      </c>
      <c r="P361" s="837">
        <f>IFERROR(VLOOKUP(C361,[3]List1!$A:$D,2,FALSE),"N/A!")</f>
        <v>18500</v>
      </c>
      <c r="Q361" s="698" t="s">
        <v>13787</v>
      </c>
      <c r="R361" s="698" t="s">
        <v>24</v>
      </c>
      <c r="S361" s="698"/>
      <c r="T361" s="695">
        <v>23</v>
      </c>
      <c r="U361" s="874"/>
      <c r="V361" s="699" t="str">
        <f>_xlfn.IFNA(HYPERLINK("https://www.klasekpyrotechnics.cz/c163sig"),"")</f>
        <v>https://www.klasekpyrotechnics.cz/c163sig</v>
      </c>
      <c r="W361" s="700" t="str">
        <f>IFERROR(VLOOKUP($C361,Popisy!A:P,MATCH($W$17,Popisy!$A$7:$P$7,0),FALSE),"---------------")</f>
        <v>4 verschiedenfarbige Effekte</v>
      </c>
      <c r="X361" s="891" t="str">
        <f t="shared" si="67"/>
        <v/>
      </c>
      <c r="Y361" s="892"/>
      <c r="Z361" s="700">
        <f>IFERROR(IF(VLOOKUP(C361,[4]List1!$A:$D,4,FALSE)=0,"",VLOOKUP(C361,[4]List1!$A:$D,4,FALSE)),"")</f>
        <v>32</v>
      </c>
      <c r="AA361" s="707"/>
      <c r="AB361" s="912" t="str">
        <f>IFERROR(IF(VLOOKUP(C361,[1]List1!$A:$D,2,FALSE)="VYPRODÁNO",$V$9,IF(VLOOKUP(C361,[1]List1!$A:$D,2,FALSE)="DOCHÁZÍ",$V$3,VLOOKUP(C361,[1]List1!$A:$D,2,FALSE))),"OFFLINE!")</f>
        <v>30.04.2024</v>
      </c>
      <c r="AC361" s="912" t="str">
        <f ca="1">IF(AO361="NE",$V$10,IF(AB361=$V$3,IF(AP361&lt;1,$V$8,$V$2&amp;" "&amp;AP361&amp;" "&amp;$V$1),IF(AB361="SKLADEM",$V$6,IFERROR(IF(OR(AB361-TODAY()&gt;21,VLOOKUP(C361,[1]List1!$A:$E,4,FALSE)=0),AB361,DAY(AB361)&amp;"."&amp;MONTH(AB361)&amp;"."&amp;YEAR(AB361)&amp;" "&amp;$V$4&amp;VLOOKUP(C361,[1]List1!$A:$E,4,FALSE)&amp;" "&amp;$V$1),AB361))))</f>
        <v>30.04.2024</v>
      </c>
      <c r="AD361" s="701" t="str">
        <f ca="1">_xlfn.IFNA(VLOOKUP(C361,'General price list'!C:AM,MATCH($AD$20,'General price list'!$C$20:$AM$20,0),FALSE),"")</f>
        <v>30.04.2024</v>
      </c>
      <c r="AE361" s="695">
        <f t="shared" ca="1" si="68"/>
        <v>0</v>
      </c>
      <c r="AF361" s="695">
        <f t="shared" ca="1" si="69"/>
        <v>0</v>
      </c>
      <c r="AG361" s="702">
        <f t="shared" ca="1" si="70"/>
        <v>0</v>
      </c>
      <c r="AH361" s="703">
        <f t="shared" ca="1" si="71"/>
        <v>0</v>
      </c>
      <c r="AI361" s="702">
        <f t="shared" ca="1" si="72"/>
        <v>0</v>
      </c>
      <c r="AJ361" s="704" t="str">
        <f t="shared" ca="1" si="73"/>
        <v/>
      </c>
      <c r="AK361" s="704">
        <f t="shared" ca="1" si="74"/>
        <v>0</v>
      </c>
      <c r="AL361" s="704" t="str">
        <f t="shared" ca="1" si="75"/>
        <v/>
      </c>
      <c r="AM361" s="705" t="str">
        <f t="shared" ca="1" si="76"/>
        <v/>
      </c>
      <c r="AN361" s="382"/>
      <c r="AO361" s="314" t="str">
        <f>IF($R$3=1,IF(Y361=AA361,"","NE"),IF(#REF!=$V$10,"NE",""))</f>
        <v/>
      </c>
      <c r="AP361" s="315" t="str">
        <f>IF(AB361=$V$3,IF(VLOOKUP(C361,[1]List1!$A:$E,5,FALSE)=0,1,VLOOKUP(C361,[1]List1!$A:$E,5,FALSE)),"")</f>
        <v/>
      </c>
      <c r="AW361" s="458">
        <f>IFERROR(FIND(VLOOKUP('General price list'!$AB$7,'General price list'!$AC$1:$AD$12,2,FALSE),Q361,1),0)</f>
        <v>10</v>
      </c>
      <c r="AX361" s="458">
        <f>IFERROR(FIND(VLOOKUP('General price list'!$AB$7,'General price list'!$AC$1:$AD$12,2,FALSE),R361,1),0)</f>
        <v>0</v>
      </c>
    </row>
    <row r="362" spans="1:50" ht="15" customHeight="1">
      <c r="A362" s="677" t="str">
        <f>Kat.!C362</f>
        <v xml:space="preserve">                                          </v>
      </c>
      <c r="B362" s="678">
        <v>341</v>
      </c>
      <c r="C362" s="679" t="s">
        <v>1306</v>
      </c>
      <c r="D362" s="679" t="s">
        <v>1307</v>
      </c>
      <c r="E362" s="680" t="s">
        <v>1224</v>
      </c>
      <c r="F362" s="681">
        <f>VLOOKUP(C362,[2]List1!$A:$D,2,FALSE)</f>
        <v>340</v>
      </c>
      <c r="G362" s="682">
        <f t="shared" si="65"/>
        <v>340</v>
      </c>
      <c r="H362" s="683">
        <f t="shared" si="66"/>
        <v>13.8</v>
      </c>
      <c r="I362" s="836">
        <v>10</v>
      </c>
      <c r="J362" s="680" t="s">
        <v>45</v>
      </c>
      <c r="K362" s="854">
        <v>5</v>
      </c>
      <c r="L362" s="855" t="s">
        <v>13849</v>
      </c>
      <c r="M362" s="680" t="s">
        <v>131</v>
      </c>
      <c r="N362" s="868">
        <f>IFERROR(VLOOKUP(C362,[3]List1!$A:$D,4,FALSE),"N/A!")</f>
        <v>4.6068749999999999E-2</v>
      </c>
      <c r="O362" s="836">
        <f>IFERROR(VLOOKUP(C362,[3]List1!$A:$D,3,FALSE),"N/A!")</f>
        <v>3040</v>
      </c>
      <c r="P362" s="836">
        <f>IFERROR(VLOOKUP(C362,[3]List1!$A:$D,2,FALSE),"N/A!")</f>
        <v>18500</v>
      </c>
      <c r="Q362" s="680" t="s">
        <v>1049</v>
      </c>
      <c r="R362" s="680" t="s">
        <v>24</v>
      </c>
      <c r="S362" s="680"/>
      <c r="T362" s="681">
        <v>30</v>
      </c>
      <c r="U362" s="873"/>
      <c r="V362" s="684" t="str">
        <f>_xlfn.IFNA(HYPERLINK("https://www.klasekpyrotechnics.cz/c163a"),"")</f>
        <v>https://www.klasekpyrotechnics.cz/c163a</v>
      </c>
      <c r="W362" s="685" t="str">
        <f>IFERROR(VLOOKUP($C362,Popisy!A:P,MATCH($W$17,Popisy!$A$7:$P$7,0),FALSE),"---------------")</f>
        <v>4 verschiedenfarbige Effekte</v>
      </c>
      <c r="X362" s="889" t="str">
        <f t="shared" si="67"/>
        <v/>
      </c>
      <c r="Y362" s="890"/>
      <c r="Z362" s="685">
        <f>IFERROR(IF(VLOOKUP(C362,[4]List1!$A:$D,4,FALSE)=0,"",VLOOKUP(C362,[4]List1!$A:$D,4,FALSE)),"")</f>
        <v>32</v>
      </c>
      <c r="AA362" s="707"/>
      <c r="AB362" s="911" t="str">
        <f>IFERROR(IF(VLOOKUP(C362,[1]List1!$A:$D,2,FALSE)="VYPRODÁNO",$V$9,IF(VLOOKUP(C362,[1]List1!$A:$D,2,FALSE)="DOCHÁZÍ",$V$3,VLOOKUP(C362,[1]List1!$A:$D,2,FALSE))),"OFFLINE!")</f>
        <v>SKLADEM</v>
      </c>
      <c r="AC362" s="911" t="str">
        <f ca="1">IF(AO362="NE",$V$10,IF(AB362=$V$3,IF(AP362&lt;1,$V$8,$V$2&amp;" "&amp;AP362&amp;" "&amp;$V$1),IF(AB362="SKLADEM",$V$6,IFERROR(IF(OR(AB362-TODAY()&gt;21,VLOOKUP(C362,[1]List1!$A:$E,4,FALSE)=0),AB362,DAY(AB362)&amp;"."&amp;MONTH(AB362)&amp;"."&amp;YEAR(AB362)&amp;" "&amp;$V$4&amp;VLOOKUP(C362,[1]List1!$A:$E,4,FALSE)&amp;" "&amp;$V$1),AB362))))</f>
        <v>AUF LAGER</v>
      </c>
      <c r="AD362" s="686" t="str">
        <f ca="1">_xlfn.IFNA(VLOOKUP(C362,'General price list'!C:AM,MATCH($AD$20,'General price list'!$C$20:$AM$20,0),FALSE),"")</f>
        <v>AUF LAGER</v>
      </c>
      <c r="AE362" s="681">
        <f t="shared" ca="1" si="68"/>
        <v>0</v>
      </c>
      <c r="AF362" s="681">
        <f t="shared" ca="1" si="69"/>
        <v>0</v>
      </c>
      <c r="AG362" s="687">
        <f t="shared" ca="1" si="70"/>
        <v>0</v>
      </c>
      <c r="AH362" s="688">
        <f t="shared" ca="1" si="71"/>
        <v>0</v>
      </c>
      <c r="AI362" s="687">
        <f t="shared" ca="1" si="72"/>
        <v>0</v>
      </c>
      <c r="AJ362" s="689" t="str">
        <f t="shared" ca="1" si="73"/>
        <v/>
      </c>
      <c r="AK362" s="689">
        <f t="shared" ca="1" si="74"/>
        <v>0</v>
      </c>
      <c r="AL362" s="689" t="str">
        <f t="shared" ca="1" si="75"/>
        <v/>
      </c>
      <c r="AM362" s="690" t="str">
        <f t="shared" ca="1" si="76"/>
        <v/>
      </c>
      <c r="AN362" s="382"/>
      <c r="AO362" s="314" t="str">
        <f>IF($R$3=1,IF(Y362=AA362,"","NE"),IF(#REF!=$V$10,"NE",""))</f>
        <v/>
      </c>
      <c r="AP362" s="315" t="str">
        <f>IF(AB362=$V$3,IF(VLOOKUP(C362,[1]List1!$A:$E,5,FALSE)=0,1,VLOOKUP(C362,[1]List1!$A:$E,5,FALSE)),"")</f>
        <v/>
      </c>
      <c r="AW362" s="458">
        <f>IFERROR(FIND(VLOOKUP('General price list'!$AB$7,'General price list'!$AC$1:$AD$12,2,FALSE),Q362,1),0)</f>
        <v>10</v>
      </c>
      <c r="AX362" s="458">
        <f>IFERROR(FIND(VLOOKUP('General price list'!$AB$7,'General price list'!$AC$1:$AD$12,2,FALSE),R362,1),0)</f>
        <v>0</v>
      </c>
    </row>
    <row r="363" spans="1:50" ht="15" customHeight="1">
      <c r="A363" s="691" t="str">
        <f>Kat.!C363</f>
        <v xml:space="preserve">                                          </v>
      </c>
      <c r="B363" s="692">
        <v>342</v>
      </c>
      <c r="C363" s="693" t="s">
        <v>1308</v>
      </c>
      <c r="D363" s="693" t="s">
        <v>1309</v>
      </c>
      <c r="E363" s="694" t="s">
        <v>1224</v>
      </c>
      <c r="F363" s="695">
        <f>VLOOKUP(C363,[2]List1!$A:$D,2,FALSE)</f>
        <v>340</v>
      </c>
      <c r="G363" s="696">
        <f t="shared" si="65"/>
        <v>340</v>
      </c>
      <c r="H363" s="697">
        <f t="shared" si="66"/>
        <v>13.8</v>
      </c>
      <c r="I363" s="837">
        <v>10</v>
      </c>
      <c r="J363" s="698" t="s">
        <v>45</v>
      </c>
      <c r="K363" s="856">
        <v>5</v>
      </c>
      <c r="L363" s="857" t="s">
        <v>13849</v>
      </c>
      <c r="M363" s="698" t="s">
        <v>131</v>
      </c>
      <c r="N363" s="869">
        <f>IFERROR(VLOOKUP(C363,[3]List1!$A:$D,4,FALSE),"N/A!")</f>
        <v>4.6068749999999999E-2</v>
      </c>
      <c r="O363" s="837">
        <f>IFERROR(VLOOKUP(C363,[3]List1!$A:$D,3,FALSE),"N/A!")</f>
        <v>3040</v>
      </c>
      <c r="P363" s="837">
        <f>IFERROR(VLOOKUP(C363,[3]List1!$A:$D,2,FALSE),"N/A!")</f>
        <v>18500</v>
      </c>
      <c r="Q363" s="698" t="s">
        <v>1049</v>
      </c>
      <c r="R363" s="698" t="s">
        <v>24</v>
      </c>
      <c r="S363" s="698"/>
      <c r="T363" s="695">
        <v>30</v>
      </c>
      <c r="U363" s="874"/>
      <c r="V363" s="699" t="str">
        <f>_xlfn.IFNA(HYPERLINK("https://www.klasekpyrotechnics.cz/c163b"),"")</f>
        <v>https://www.klasekpyrotechnics.cz/c163b</v>
      </c>
      <c r="W363" s="700" t="str">
        <f>IFERROR(VLOOKUP($C363,Popisy!A:P,MATCH($W$17,Popisy!$A$7:$P$7,0),FALSE),"---------------")</f>
        <v>4 verschiedenfarbige Effekte</v>
      </c>
      <c r="X363" s="891" t="str">
        <f t="shared" si="67"/>
        <v/>
      </c>
      <c r="Y363" s="892"/>
      <c r="Z363" s="700">
        <f>IFERROR(IF(VLOOKUP(C363,[4]List1!$A:$D,4,FALSE)=0,"",VLOOKUP(C363,[4]List1!$A:$D,4,FALSE)),"")</f>
        <v>32</v>
      </c>
      <c r="AA363" s="707"/>
      <c r="AB363" s="912" t="str">
        <f>IFERROR(IF(VLOOKUP(C363,[1]List1!$A:$D,2,FALSE)="VYPRODÁNO",$V$9,IF(VLOOKUP(C363,[1]List1!$A:$D,2,FALSE)="DOCHÁZÍ",$V$3,VLOOKUP(C363,[1]List1!$A:$D,2,FALSE))),"OFFLINE!")</f>
        <v>SKLADEM</v>
      </c>
      <c r="AC363" s="912" t="str">
        <f ca="1">IF(AO363="NE",$V$10,IF(AB363=$V$3,IF(AP363&lt;1,$V$8,$V$2&amp;" "&amp;AP363&amp;" "&amp;$V$1),IF(AB363="SKLADEM",$V$6,IFERROR(IF(OR(AB363-TODAY()&gt;21,VLOOKUP(C363,[1]List1!$A:$E,4,FALSE)=0),AB363,DAY(AB363)&amp;"."&amp;MONTH(AB363)&amp;"."&amp;YEAR(AB363)&amp;" "&amp;$V$4&amp;VLOOKUP(C363,[1]List1!$A:$E,4,FALSE)&amp;" "&amp;$V$1),AB363))))</f>
        <v>AUF LAGER</v>
      </c>
      <c r="AD363" s="701" t="str">
        <f ca="1">_xlfn.IFNA(VLOOKUP(C363,'General price list'!C:AM,MATCH($AD$20,'General price list'!$C$20:$AM$20,0),FALSE),"")</f>
        <v>AUF LAGER</v>
      </c>
      <c r="AE363" s="695">
        <f t="shared" ca="1" si="68"/>
        <v>0</v>
      </c>
      <c r="AF363" s="695">
        <f t="shared" ca="1" si="69"/>
        <v>0</v>
      </c>
      <c r="AG363" s="702">
        <f t="shared" ca="1" si="70"/>
        <v>0</v>
      </c>
      <c r="AH363" s="703">
        <f t="shared" ca="1" si="71"/>
        <v>0</v>
      </c>
      <c r="AI363" s="702">
        <f t="shared" ca="1" si="72"/>
        <v>0</v>
      </c>
      <c r="AJ363" s="704" t="str">
        <f t="shared" ca="1" si="73"/>
        <v/>
      </c>
      <c r="AK363" s="704">
        <f t="shared" ca="1" si="74"/>
        <v>0</v>
      </c>
      <c r="AL363" s="704" t="str">
        <f t="shared" ca="1" si="75"/>
        <v/>
      </c>
      <c r="AM363" s="705" t="str">
        <f t="shared" ca="1" si="76"/>
        <v/>
      </c>
      <c r="AN363" s="313"/>
      <c r="AO363" s="314" t="str">
        <f>IF($R$3=1,IF(Y363=AA363,"","NE"),IF(#REF!=$V$10,"NE",""))</f>
        <v/>
      </c>
      <c r="AP363" s="315" t="str">
        <f>IF(AB363=$V$3,IF(VLOOKUP(C363,[1]List1!$A:$E,5,FALSE)=0,1,VLOOKUP(C363,[1]List1!$A:$E,5,FALSE)),"")</f>
        <v/>
      </c>
      <c r="AW363" s="458">
        <f>IFERROR(FIND(VLOOKUP('General price list'!$AB$7,'General price list'!$AC$1:$AD$12,2,FALSE),Q363,1),0)</f>
        <v>10</v>
      </c>
      <c r="AX363" s="458">
        <f>IFERROR(FIND(VLOOKUP('General price list'!$AB$7,'General price list'!$AC$1:$AD$12,2,FALSE),R363,1),0)</f>
        <v>0</v>
      </c>
    </row>
    <row r="364" spans="1:50" ht="15" customHeight="1">
      <c r="A364" s="677" t="str">
        <f>Kat.!C364</f>
        <v xml:space="preserve">                                          </v>
      </c>
      <c r="B364" s="678">
        <v>343</v>
      </c>
      <c r="C364" s="679" t="s">
        <v>1311</v>
      </c>
      <c r="D364" s="679" t="s">
        <v>1312</v>
      </c>
      <c r="E364" s="680" t="s">
        <v>1224</v>
      </c>
      <c r="F364" s="681">
        <f>VLOOKUP(C364,[2]List1!$A:$D,2,FALSE)</f>
        <v>340</v>
      </c>
      <c r="G364" s="682">
        <f t="shared" si="65"/>
        <v>340</v>
      </c>
      <c r="H364" s="683">
        <f t="shared" si="66"/>
        <v>13.8</v>
      </c>
      <c r="I364" s="836">
        <v>10</v>
      </c>
      <c r="J364" s="680" t="s">
        <v>45</v>
      </c>
      <c r="K364" s="854">
        <v>5</v>
      </c>
      <c r="L364" s="855" t="s">
        <v>13849</v>
      </c>
      <c r="M364" s="680" t="s">
        <v>131</v>
      </c>
      <c r="N364" s="868">
        <f>IFERROR(VLOOKUP(C364,[3]List1!$A:$D,4,FALSE),"N/A!")</f>
        <v>4.6068749999999999E-2</v>
      </c>
      <c r="O364" s="836">
        <f>IFERROR(VLOOKUP(C364,[3]List1!$A:$D,3,FALSE),"N/A!")</f>
        <v>3040</v>
      </c>
      <c r="P364" s="836">
        <f>IFERROR(VLOOKUP(C364,[3]List1!$A:$D,2,FALSE),"N/A!")</f>
        <v>18500</v>
      </c>
      <c r="Q364" s="680" t="s">
        <v>13747</v>
      </c>
      <c r="R364" s="680" t="s">
        <v>24</v>
      </c>
      <c r="S364" s="680"/>
      <c r="T364" s="681">
        <v>30</v>
      </c>
      <c r="U364" s="873"/>
      <c r="V364" s="684" t="str">
        <f>_xlfn.IFNA(HYPERLINK("https://www.klasekpyrotechnics.cz/c163l"),"")</f>
        <v>https://www.klasekpyrotechnics.cz/c163l</v>
      </c>
      <c r="W364" s="685" t="str">
        <f>IFERROR(VLOOKUP($C364,Popisy!A:P,MATCH($W$17,Popisy!$A$7:$P$7,0),FALSE),"---------------")</f>
        <v>4 verschiedenfarbige wechselnde Effekte nach jedem schuss</v>
      </c>
      <c r="X364" s="889" t="str">
        <f t="shared" si="67"/>
        <v/>
      </c>
      <c r="Y364" s="890"/>
      <c r="Z364" s="685">
        <f>IFERROR(IF(VLOOKUP(C364,[4]List1!$A:$D,4,FALSE)=0,"",VLOOKUP(C364,[4]List1!$A:$D,4,FALSE)),"")</f>
        <v>32</v>
      </c>
      <c r="AA364" s="707"/>
      <c r="AB364" s="911" t="str">
        <f>IFERROR(IF(VLOOKUP(C364,[1]List1!$A:$D,2,FALSE)="VYPRODÁNO",$V$9,IF(VLOOKUP(C364,[1]List1!$A:$D,2,FALSE)="DOCHÁZÍ",$V$3,VLOOKUP(C364,[1]List1!$A:$D,2,FALSE))),"OFFLINE!")</f>
        <v>15.09.2024</v>
      </c>
      <c r="AC364" s="911" t="str">
        <f ca="1">IF(AO364="NE",$V$10,IF(AB364=$V$3,IF(AP364&lt;1,$V$8,$V$2&amp;" "&amp;AP364&amp;" "&amp;$V$1),IF(AB364="SKLADEM",$V$6,IFERROR(IF(OR(AB364-TODAY()&gt;21,VLOOKUP(C364,[1]List1!$A:$E,4,FALSE)=0),AB364,DAY(AB364)&amp;"."&amp;MONTH(AB364)&amp;"."&amp;YEAR(AB364)&amp;" "&amp;$V$4&amp;VLOOKUP(C364,[1]List1!$A:$E,4,FALSE)&amp;" "&amp;$V$1),AB364))))</f>
        <v>15.09.2024</v>
      </c>
      <c r="AD364" s="686" t="str">
        <f ca="1">_xlfn.IFNA(VLOOKUP(C364,'General price list'!C:AM,MATCH($AD$20,'General price list'!$C$20:$AM$20,0),FALSE),"")</f>
        <v>15.09.2024</v>
      </c>
      <c r="AE364" s="681">
        <f t="shared" ca="1" si="68"/>
        <v>0</v>
      </c>
      <c r="AF364" s="681">
        <f t="shared" ca="1" si="69"/>
        <v>0</v>
      </c>
      <c r="AG364" s="687">
        <f t="shared" ca="1" si="70"/>
        <v>0</v>
      </c>
      <c r="AH364" s="688">
        <f t="shared" ca="1" si="71"/>
        <v>0</v>
      </c>
      <c r="AI364" s="687">
        <f t="shared" ca="1" si="72"/>
        <v>0</v>
      </c>
      <c r="AJ364" s="689" t="str">
        <f t="shared" ca="1" si="73"/>
        <v/>
      </c>
      <c r="AK364" s="689">
        <f t="shared" ca="1" si="74"/>
        <v>0</v>
      </c>
      <c r="AL364" s="689" t="str">
        <f t="shared" ca="1" si="75"/>
        <v/>
      </c>
      <c r="AM364" s="690" t="str">
        <f t="shared" ca="1" si="76"/>
        <v/>
      </c>
      <c r="AN364" s="313"/>
      <c r="AO364" s="314" t="str">
        <f>IF($R$3=1,IF(Y364=AA364,"","NE"),IF(#REF!=$V$10,"NE",""))</f>
        <v/>
      </c>
      <c r="AP364" s="315" t="str">
        <f>IF(AB364=$V$3,IF(VLOOKUP(C364,[1]List1!$A:$E,5,FALSE)=0,1,VLOOKUP(C364,[1]List1!$A:$E,5,FALSE)),"")</f>
        <v/>
      </c>
      <c r="AW364" s="458">
        <f>IFERROR(FIND(VLOOKUP('General price list'!$AB$7,'General price list'!$AC$1:$AD$12,2,FALSE),Q364,1),0)</f>
        <v>13</v>
      </c>
      <c r="AX364" s="458">
        <f>IFERROR(FIND(VLOOKUP('General price list'!$AB$7,'General price list'!$AC$1:$AD$12,2,FALSE),R364,1),0)</f>
        <v>0</v>
      </c>
    </row>
    <row r="365" spans="1:50" ht="15" customHeight="1">
      <c r="A365" s="691" t="str">
        <f>Kat.!C365</f>
        <v xml:space="preserve">                                          </v>
      </c>
      <c r="B365" s="692">
        <v>344</v>
      </c>
      <c r="C365" s="693" t="s">
        <v>1318</v>
      </c>
      <c r="D365" s="693" t="s">
        <v>1319</v>
      </c>
      <c r="E365" s="694" t="s">
        <v>1224</v>
      </c>
      <c r="F365" s="695">
        <f>VLOOKUP(C365,[2]List1!$A:$D,2,FALSE)</f>
        <v>340</v>
      </c>
      <c r="G365" s="696">
        <f t="shared" si="65"/>
        <v>340</v>
      </c>
      <c r="H365" s="697">
        <f t="shared" si="66"/>
        <v>13.8</v>
      </c>
      <c r="I365" s="837">
        <v>10</v>
      </c>
      <c r="J365" s="698" t="s">
        <v>45</v>
      </c>
      <c r="K365" s="856"/>
      <c r="L365" s="857" t="s">
        <v>13849</v>
      </c>
      <c r="M365" s="698" t="s">
        <v>131</v>
      </c>
      <c r="N365" s="869">
        <f>IFERROR(VLOOKUP(C365,[3]List1!$A:$D,4,FALSE),"N/A!")</f>
        <v>4.6068749999999999E-2</v>
      </c>
      <c r="O365" s="837">
        <f>IFERROR(VLOOKUP(C365,[3]List1!$A:$D,3,FALSE),"N/A!")</f>
        <v>3040</v>
      </c>
      <c r="P365" s="837">
        <f>IFERROR(VLOOKUP(C365,[3]List1!$A:$D,2,FALSE),"N/A!")</f>
        <v>18500</v>
      </c>
      <c r="Q365" s="698" t="s">
        <v>13788</v>
      </c>
      <c r="R365" s="698" t="s">
        <v>24</v>
      </c>
      <c r="S365" s="698"/>
      <c r="T365" s="695">
        <v>25</v>
      </c>
      <c r="U365" s="874"/>
      <c r="V365" s="699" t="str">
        <f>_xlfn.IFNA(HYPERLINK("https://www.klasekpyrotechnics.cz/c163e"),"")</f>
        <v>https://www.klasekpyrotechnics.cz/c163e</v>
      </c>
      <c r="W365" s="700" t="str">
        <f>IFERROR(VLOOKUP($C365,Popisy!A:P,MATCH($W$17,Popisy!$A$7:$P$7,0),FALSE),"---------------")</f>
        <v>Brokatspur + Brokatkrone mit knallenden Sternen</v>
      </c>
      <c r="X365" s="891" t="str">
        <f t="shared" si="67"/>
        <v/>
      </c>
      <c r="Y365" s="892"/>
      <c r="Z365" s="700">
        <f>IFERROR(IF(VLOOKUP(C365,[4]List1!$A:$D,4,FALSE)=0,"",VLOOKUP(C365,[4]List1!$A:$D,4,FALSE)),"")</f>
        <v>32</v>
      </c>
      <c r="AA365" s="707"/>
      <c r="AB365" s="912" t="str">
        <f>IFERROR(IF(VLOOKUP(C365,[1]List1!$A:$D,2,FALSE)="VYPRODÁNO",$V$9,IF(VLOOKUP(C365,[1]List1!$A:$D,2,FALSE)="DOCHÁZÍ",$V$3,VLOOKUP(C365,[1]List1!$A:$D,2,FALSE))),"OFFLINE!")</f>
        <v>15.09.2024</v>
      </c>
      <c r="AC365" s="912" t="str">
        <f ca="1">IF(AO365="NE",$V$10,IF(AB365=$V$3,IF(AP365&lt;1,$V$8,$V$2&amp;" "&amp;AP365&amp;" "&amp;$V$1),IF(AB365="SKLADEM",$V$6,IFERROR(IF(OR(AB365-TODAY()&gt;21,VLOOKUP(C365,[1]List1!$A:$E,4,FALSE)=0),AB365,DAY(AB365)&amp;"."&amp;MONTH(AB365)&amp;"."&amp;YEAR(AB365)&amp;" "&amp;$V$4&amp;VLOOKUP(C365,[1]List1!$A:$E,4,FALSE)&amp;" "&amp;$V$1),AB365))))</f>
        <v>15.09.2024</v>
      </c>
      <c r="AD365" s="701" t="str">
        <f ca="1">_xlfn.IFNA(VLOOKUP(C365,'General price list'!C:AM,MATCH($AD$20,'General price list'!$C$20:$AM$20,0),FALSE),"")</f>
        <v>15.09.2024</v>
      </c>
      <c r="AE365" s="695">
        <f t="shared" ca="1" si="68"/>
        <v>0</v>
      </c>
      <c r="AF365" s="695">
        <f t="shared" ca="1" si="69"/>
        <v>0</v>
      </c>
      <c r="AG365" s="702">
        <f t="shared" ca="1" si="70"/>
        <v>0</v>
      </c>
      <c r="AH365" s="703">
        <f t="shared" ca="1" si="71"/>
        <v>0</v>
      </c>
      <c r="AI365" s="702">
        <f t="shared" ca="1" si="72"/>
        <v>0</v>
      </c>
      <c r="AJ365" s="704" t="str">
        <f t="shared" ca="1" si="73"/>
        <v/>
      </c>
      <c r="AK365" s="704">
        <f t="shared" ca="1" si="74"/>
        <v>0</v>
      </c>
      <c r="AL365" s="704" t="str">
        <f t="shared" ca="1" si="75"/>
        <v/>
      </c>
      <c r="AM365" s="705" t="str">
        <f t="shared" ca="1" si="76"/>
        <v/>
      </c>
      <c r="AN365" s="382"/>
      <c r="AO365" s="314" t="str">
        <f>IF($R$3=1,IF(Y365=AA365,"","NE"),IF(#REF!=$V$10,"NE",""))</f>
        <v/>
      </c>
      <c r="AP365" s="315" t="str">
        <f>IF(AB365=$V$3,IF(VLOOKUP(C365,[1]List1!$A:$E,5,FALSE)=0,1,VLOOKUP(C365,[1]List1!$A:$E,5,FALSE)),"")</f>
        <v/>
      </c>
      <c r="AW365" s="458">
        <f>IFERROR(FIND(VLOOKUP('General price list'!$AB$7,'General price list'!$AC$1:$AD$12,2,FALSE),Q365,1),0)</f>
        <v>10</v>
      </c>
      <c r="AX365" s="458">
        <f>IFERROR(FIND(VLOOKUP('General price list'!$AB$7,'General price list'!$AC$1:$AD$12,2,FALSE),R365,1),0)</f>
        <v>0</v>
      </c>
    </row>
    <row r="366" spans="1:50" ht="15" customHeight="1">
      <c r="A366" s="677" t="str">
        <f>Kat.!C366</f>
        <v xml:space="preserve">                                          </v>
      </c>
      <c r="B366" s="678">
        <v>345</v>
      </c>
      <c r="C366" s="679" t="s">
        <v>1323</v>
      </c>
      <c r="D366" s="679" t="s">
        <v>1324</v>
      </c>
      <c r="E366" s="680" t="s">
        <v>1224</v>
      </c>
      <c r="F366" s="681">
        <f>VLOOKUP(C366,[2]List1!$A:$D,2,FALSE)</f>
        <v>340</v>
      </c>
      <c r="G366" s="682">
        <f t="shared" si="65"/>
        <v>340</v>
      </c>
      <c r="H366" s="683">
        <f t="shared" si="66"/>
        <v>13.8</v>
      </c>
      <c r="I366" s="836">
        <v>10</v>
      </c>
      <c r="J366" s="680" t="s">
        <v>45</v>
      </c>
      <c r="K366" s="854">
        <v>5</v>
      </c>
      <c r="L366" s="855" t="s">
        <v>13849</v>
      </c>
      <c r="M366" s="680" t="s">
        <v>131</v>
      </c>
      <c r="N366" s="868">
        <f>IFERROR(VLOOKUP(C366,[3]List1!$A:$D,4,FALSE),"N/A!")</f>
        <v>4.6068749999999999E-2</v>
      </c>
      <c r="O366" s="836">
        <f>IFERROR(VLOOKUP(C366,[3]List1!$A:$D,3,FALSE),"N/A!")</f>
        <v>3040</v>
      </c>
      <c r="P366" s="836">
        <f>IFERROR(VLOOKUP(C366,[3]List1!$A:$D,2,FALSE),"N/A!")</f>
        <v>18500</v>
      </c>
      <c r="Q366" s="680" t="s">
        <v>13789</v>
      </c>
      <c r="R366" s="680" t="s">
        <v>24</v>
      </c>
      <c r="S366" s="680"/>
      <c r="T366" s="681">
        <v>25</v>
      </c>
      <c r="U366" s="873"/>
      <c r="V366" s="684" t="str">
        <f>_xlfn.IFNA(HYPERLINK("https://www.klasekpyrotechnics.cz/c163k"),"")</f>
        <v>https://www.klasekpyrotechnics.cz/c163k</v>
      </c>
      <c r="W366" s="685" t="str">
        <f>IFERROR(VLOOKUP($C366,Popisy!A:P,MATCH($W$17,Popisy!$A$7:$P$7,0),FALSE),"---------------")</f>
        <v xml:space="preserve">Silberne Mine mit der roten Spur + silberne Chrysantheme </v>
      </c>
      <c r="X366" s="889" t="str">
        <f t="shared" si="67"/>
        <v/>
      </c>
      <c r="Y366" s="890"/>
      <c r="Z366" s="685">
        <f>IFERROR(IF(VLOOKUP(C366,[4]List1!$A:$D,4,FALSE)=0,"",VLOOKUP(C366,[4]List1!$A:$D,4,FALSE)),"")</f>
        <v>32</v>
      </c>
      <c r="AA366" s="707"/>
      <c r="AB366" s="911" t="str">
        <f>IFERROR(IF(VLOOKUP(C366,[1]List1!$A:$D,2,FALSE)="VYPRODÁNO",$V$9,IF(VLOOKUP(C366,[1]List1!$A:$D,2,FALSE)="DOCHÁZÍ",$V$3,VLOOKUP(C366,[1]List1!$A:$D,2,FALSE))),"OFFLINE!")</f>
        <v>15.09.2024</v>
      </c>
      <c r="AC366" s="911" t="str">
        <f ca="1">IF(AO366="NE",$V$10,IF(AB366=$V$3,IF(AP366&lt;1,$V$8,$V$2&amp;" "&amp;AP366&amp;" "&amp;$V$1),IF(AB366="SKLADEM",$V$6,IFERROR(IF(OR(AB366-TODAY()&gt;21,VLOOKUP(C366,[1]List1!$A:$E,4,FALSE)=0),AB366,DAY(AB366)&amp;"."&amp;MONTH(AB366)&amp;"."&amp;YEAR(AB366)&amp;" "&amp;$V$4&amp;VLOOKUP(C366,[1]List1!$A:$E,4,FALSE)&amp;" "&amp;$V$1),AB366))))</f>
        <v>15.09.2024</v>
      </c>
      <c r="AD366" s="686" t="str">
        <f ca="1">_xlfn.IFNA(VLOOKUP(C366,'General price list'!C:AM,MATCH($AD$20,'General price list'!$C$20:$AM$20,0),FALSE),"")</f>
        <v>15.09.2024</v>
      </c>
      <c r="AE366" s="681">
        <f t="shared" ca="1" si="68"/>
        <v>0</v>
      </c>
      <c r="AF366" s="681">
        <f t="shared" ca="1" si="69"/>
        <v>0</v>
      </c>
      <c r="AG366" s="687">
        <f t="shared" ca="1" si="70"/>
        <v>0</v>
      </c>
      <c r="AH366" s="688">
        <f t="shared" ca="1" si="71"/>
        <v>0</v>
      </c>
      <c r="AI366" s="687">
        <f t="shared" ca="1" si="72"/>
        <v>0</v>
      </c>
      <c r="AJ366" s="689" t="str">
        <f t="shared" ca="1" si="73"/>
        <v/>
      </c>
      <c r="AK366" s="689">
        <f t="shared" ca="1" si="74"/>
        <v>0</v>
      </c>
      <c r="AL366" s="689" t="str">
        <f t="shared" ca="1" si="75"/>
        <v/>
      </c>
      <c r="AM366" s="690" t="str">
        <f t="shared" ca="1" si="76"/>
        <v/>
      </c>
      <c r="AN366" s="382"/>
      <c r="AO366" s="314" t="str">
        <f>IF($R$3=1,IF(Y366=AA366,"","NE"),IF(#REF!=$V$10,"NE",""))</f>
        <v/>
      </c>
      <c r="AP366" s="315" t="str">
        <f>IF(AB366=$V$3,IF(VLOOKUP(C366,[1]List1!$A:$E,5,FALSE)=0,1,VLOOKUP(C366,[1]List1!$A:$E,5,FALSE)),"")</f>
        <v/>
      </c>
      <c r="AW366" s="458">
        <f>IFERROR(FIND(VLOOKUP('General price list'!$AB$7,'General price list'!$AC$1:$AD$12,2,FALSE),Q366,1),0)</f>
        <v>13</v>
      </c>
      <c r="AX366" s="458">
        <f>IFERROR(FIND(VLOOKUP('General price list'!$AB$7,'General price list'!$AC$1:$AD$12,2,FALSE),R366,1),0)</f>
        <v>0</v>
      </c>
    </row>
    <row r="367" spans="1:50" ht="15" customHeight="1">
      <c r="A367" s="672" t="str">
        <f>Kat.!C367</f>
        <v xml:space="preserve">                                          Batterien 16 schuss, 30mm Mörser-1.4G</v>
      </c>
      <c r="B367" s="692">
        <v>346</v>
      </c>
      <c r="C367" s="693"/>
      <c r="D367" s="693"/>
      <c r="E367" s="694"/>
      <c r="F367" s="695" t="str">
        <f>IFERROR(ROUND(VLOOKUP(C367,'General price list'!$C:$AN,4,FALSE),0),"")</f>
        <v/>
      </c>
      <c r="G367" s="696" t="str">
        <f t="shared" si="65"/>
        <v/>
      </c>
      <c r="H367" s="697" t="str">
        <f t="shared" si="66"/>
        <v/>
      </c>
      <c r="I367" s="837"/>
      <c r="J367" s="698"/>
      <c r="K367" s="856"/>
      <c r="L367" s="857"/>
      <c r="M367" s="698"/>
      <c r="N367" s="869" t="str">
        <f>IFERROR(IF(VLOOKUP($C367,'General price list'!$C:$AN,MATCH(N$20,'General price list'!$C$20:$AM$20,0),FALSE)=0,"",VLOOKUP($C367,'General price list'!$C:$AN,MATCH(N$20,'General price list'!$C$20:$AM$20,0),FALSE)),"")</f>
        <v/>
      </c>
      <c r="O367" s="837" t="str">
        <f>IFERROR(IF(VLOOKUP($C367,'General price list'!$C:$AN,MATCH(O$20,'General price list'!$C$20:$AM$20,0),FALSE)=0,"",VLOOKUP($C367,'General price list'!$C:$AN,MATCH(O$20,'General price list'!$C$20:$AM$20,0),FALSE)),"")</f>
        <v/>
      </c>
      <c r="P367" s="837" t="str">
        <f>IFERROR(IF(VLOOKUP($C367,'General price list'!$C:$AN,MATCH(P$20,'General price list'!$C$20:$AM$20,0),FALSE)=0,"",VLOOKUP($C367,'General price list'!$C:$AN,MATCH(P$20,'General price list'!$C$20:$AM$20,0),FALSE)),"")</f>
        <v/>
      </c>
      <c r="Q367" s="698"/>
      <c r="R367" s="698"/>
      <c r="S367" s="698"/>
      <c r="T367" s="695"/>
      <c r="U367" s="874"/>
      <c r="V367" s="699"/>
      <c r="W367" s="700" t="str">
        <f>IFERROR(VLOOKUP($C367,'General price list'!$C:$AN,MATCH(W$20,'General price list'!$C$20:$AM$20,0),FALSE),"")</f>
        <v/>
      </c>
      <c r="X367" s="891" t="str">
        <f t="shared" si="67"/>
        <v/>
      </c>
      <c r="Y367" s="892"/>
      <c r="Z367" s="700" t="str">
        <f>IFERROR(VLOOKUP($C367,'General price list'!$C:$AN,MATCH(Z$20,'General price list'!$C$20:$AM$20,0),FALSE),"")</f>
        <v/>
      </c>
      <c r="AA367" s="707"/>
      <c r="AB367" s="912" t="str">
        <f>IFERROR(IF(VLOOKUP(C367,[1]List1!$A:$D,2,FALSE)="VYPRODÁNO",$V$9,IF(VLOOKUP(C367,[1]List1!$A:$D,2,FALSE)="DOCHÁZÍ",$V$3,VLOOKUP(C367,[1]List1!$A:$D,2,FALSE))),"OFFLINE!")</f>
        <v>OFFLINE!</v>
      </c>
      <c r="AC367" s="912" t="str">
        <f ca="1">IF(AO367="NE",$V$10,IF(AB367=$V$3,IF(AP367&lt;1,$V$8,$V$2&amp;" "&amp;AP367&amp;" "&amp;$V$1),IF(AB367="SKLADEM",$V$6,IFERROR(IF(OR(AB367-TODAY()&gt;21,VLOOKUP(C367,[1]List1!$A:$E,4,FALSE)=0),AB367,DAY(AB367)&amp;"."&amp;MONTH(AB367)&amp;"."&amp;YEAR(AB367)&amp;" "&amp;$V$4&amp;VLOOKUP(C367,[1]List1!$A:$E,4,FALSE)&amp;" "&amp;$V$1),AB367))))</f>
        <v>OFFLINE!</v>
      </c>
      <c r="AD367" s="701" t="str">
        <f>_xlfn.IFNA(VLOOKUP(C367,'General price list'!C:AM,MATCH($AD$20,'General price list'!$C$20:$AM$20,0),FALSE),"")</f>
        <v/>
      </c>
      <c r="AE367" s="695" t="str">
        <f t="shared" si="68"/>
        <v/>
      </c>
      <c r="AF367" s="695" t="str">
        <f t="shared" si="69"/>
        <v/>
      </c>
      <c r="AG367" s="702" t="str">
        <f t="shared" si="70"/>
        <v/>
      </c>
      <c r="AH367" s="703" t="str">
        <f t="shared" si="71"/>
        <v/>
      </c>
      <c r="AI367" s="702" t="str">
        <f t="shared" si="72"/>
        <v/>
      </c>
      <c r="AJ367" s="704" t="str">
        <f t="shared" si="73"/>
        <v/>
      </c>
      <c r="AK367" s="704" t="str">
        <f t="shared" si="74"/>
        <v/>
      </c>
      <c r="AL367" s="704" t="str">
        <f t="shared" si="75"/>
        <v/>
      </c>
      <c r="AM367" s="705" t="str">
        <f t="shared" si="76"/>
        <v/>
      </c>
      <c r="AN367" s="382"/>
      <c r="AO367" s="314" t="str">
        <f>IF($R$3=1,IF(Y367=AA367,"","NE"),IF(#REF!=$V$10,"NE",""))</f>
        <v/>
      </c>
      <c r="AP367" s="315" t="str">
        <f>IF(AB367=$V$3,IF(VLOOKUP(C367,[1]List1!$A:$E,5,FALSE)=0,1,VLOOKUP(C367,[1]List1!$A:$E,5,FALSE)),"")</f>
        <v/>
      </c>
      <c r="AW367" s="291" t="e">
        <f>VLOOKUP(C367,'General price list'!C:AU,46,FALSE)</f>
        <v>#N/A</v>
      </c>
      <c r="AX367" s="291" t="e">
        <f>VLOOKUP(C367,'General price list'!C:AU,47,FALSE)</f>
        <v>#N/A</v>
      </c>
    </row>
    <row r="368" spans="1:50" ht="15" customHeight="1">
      <c r="A368" s="677" t="str">
        <f>Kat.!C368</f>
        <v xml:space="preserve">                                          </v>
      </c>
      <c r="B368" s="678">
        <v>347</v>
      </c>
      <c r="C368" s="679" t="s">
        <v>1316</v>
      </c>
      <c r="D368" s="679" t="s">
        <v>1307</v>
      </c>
      <c r="E368" s="680" t="s">
        <v>1224</v>
      </c>
      <c r="F368" s="681">
        <f>VLOOKUP(C368,[2]List1!$A:$D,2,FALSE)</f>
        <v>340</v>
      </c>
      <c r="G368" s="682">
        <f t="shared" si="65"/>
        <v>340</v>
      </c>
      <c r="H368" s="683">
        <f t="shared" si="66"/>
        <v>13.8</v>
      </c>
      <c r="I368" s="836">
        <v>10</v>
      </c>
      <c r="J368" s="680" t="s">
        <v>45</v>
      </c>
      <c r="K368" s="854">
        <v>5</v>
      </c>
      <c r="L368" s="855" t="s">
        <v>13860</v>
      </c>
      <c r="M368" s="680" t="s">
        <v>25</v>
      </c>
      <c r="N368" s="868">
        <f>IFERROR(VLOOKUP(C368,[3]List1!$A:$D,4,FALSE),"N/A!")</f>
        <v>4.6068749999999999E-2</v>
      </c>
      <c r="O368" s="836">
        <f>IFERROR(VLOOKUP(C368,[3]List1!$A:$D,3,FALSE),"N/A!")</f>
        <v>3040</v>
      </c>
      <c r="P368" s="836">
        <f>IFERROR(VLOOKUP(C368,[3]List1!$A:$D,2,FALSE),"N/A!")</f>
        <v>18500</v>
      </c>
      <c r="Q368" s="680" t="s">
        <v>13761</v>
      </c>
      <c r="R368" s="680" t="s">
        <v>24</v>
      </c>
      <c r="S368" s="680"/>
      <c r="T368" s="681">
        <v>30</v>
      </c>
      <c r="U368" s="873"/>
      <c r="V368" s="684" t="str">
        <f>_xlfn.IFNA(HYPERLINK("https://www.klasekpyrotechnics.cz/c163a14"),"")</f>
        <v>https://www.klasekpyrotechnics.cz/c163a14</v>
      </c>
      <c r="W368" s="685" t="str">
        <f>IFERROR(VLOOKUP($C368,Popisy!A:P,MATCH($W$17,Popisy!$A$7:$P$7,0),FALSE),"---------------")</f>
        <v>4 verschiedenfarbige Effekte</v>
      </c>
      <c r="X368" s="889" t="str">
        <f t="shared" si="67"/>
        <v/>
      </c>
      <c r="Y368" s="890"/>
      <c r="Z368" s="685">
        <f>IFERROR(IF(VLOOKUP(C368,[4]List1!$A:$D,4,FALSE)=0,"",VLOOKUP(C368,[4]List1!$A:$D,4,FALSE)),"")</f>
        <v>32</v>
      </c>
      <c r="AA368" s="707"/>
      <c r="AB368" s="911" t="str">
        <f>IFERROR(IF(VLOOKUP(C368,[1]List1!$A:$D,2,FALSE)="VYPRODÁNO",$V$9,IF(VLOOKUP(C368,[1]List1!$A:$D,2,FALSE)="DOCHÁZÍ",$V$3,VLOOKUP(C368,[1]List1!$A:$D,2,FALSE))),"OFFLINE!")</f>
        <v>15.09.2024</v>
      </c>
      <c r="AC368" s="911" t="str">
        <f ca="1">IF(AO368="NE",$V$10,IF(AB368=$V$3,IF(AP368&lt;1,$V$8,$V$2&amp;" "&amp;AP368&amp;" "&amp;$V$1),IF(AB368="SKLADEM",$V$6,IFERROR(IF(OR(AB368-TODAY()&gt;21,VLOOKUP(C368,[1]List1!$A:$E,4,FALSE)=0),AB368,DAY(AB368)&amp;"."&amp;MONTH(AB368)&amp;"."&amp;YEAR(AB368)&amp;" "&amp;$V$4&amp;VLOOKUP(C368,[1]List1!$A:$E,4,FALSE)&amp;" "&amp;$V$1),AB368))))</f>
        <v>15.09.2024</v>
      </c>
      <c r="AD368" s="686" t="str">
        <f ca="1">_xlfn.IFNA(VLOOKUP(C368,'General price list'!C:AM,MATCH($AD$20,'General price list'!$C$20:$AM$20,0),FALSE),"")</f>
        <v>15.09.2024</v>
      </c>
      <c r="AE368" s="681">
        <f t="shared" ca="1" si="68"/>
        <v>0</v>
      </c>
      <c r="AF368" s="681">
        <f t="shared" ca="1" si="69"/>
        <v>0</v>
      </c>
      <c r="AG368" s="687">
        <f t="shared" ca="1" si="70"/>
        <v>0</v>
      </c>
      <c r="AH368" s="688">
        <f t="shared" ca="1" si="71"/>
        <v>0</v>
      </c>
      <c r="AI368" s="687">
        <f t="shared" ca="1" si="72"/>
        <v>0</v>
      </c>
      <c r="AJ368" s="689" t="str">
        <f t="shared" ca="1" si="73"/>
        <v/>
      </c>
      <c r="AK368" s="689" t="str">
        <f t="shared" ca="1" si="74"/>
        <v/>
      </c>
      <c r="AL368" s="689">
        <f t="shared" ca="1" si="75"/>
        <v>0</v>
      </c>
      <c r="AM368" s="690" t="str">
        <f t="shared" ca="1" si="76"/>
        <v/>
      </c>
      <c r="AN368" s="382"/>
      <c r="AO368" s="314" t="str">
        <f>IF($R$3=1,IF(Y368=AA368,"","NE"),IF(#REF!=$V$10,"NE",""))</f>
        <v/>
      </c>
      <c r="AP368" s="315" t="str">
        <f>IF(AB368=$V$3,IF(VLOOKUP(C368,[1]List1!$A:$E,5,FALSE)=0,1,VLOOKUP(C368,[1]List1!$A:$E,5,FALSE)),"")</f>
        <v/>
      </c>
      <c r="AW368" s="458">
        <f>IFERROR(FIND(VLOOKUP('General price list'!$AB$7,'General price list'!$AC$1:$AD$12,2,FALSE),Q368,1),0)</f>
        <v>13</v>
      </c>
      <c r="AX368" s="458">
        <f>IFERROR(FIND(VLOOKUP('General price list'!$AB$7,'General price list'!$AC$1:$AD$12,2,FALSE),R368,1),0)</f>
        <v>0</v>
      </c>
    </row>
    <row r="369" spans="1:50" ht="15" customHeight="1">
      <c r="A369" s="672" t="str">
        <f>Kat.!C369</f>
        <v xml:space="preserve">                                          Batterien 19 schuss, 30mm Mörser-1.3G</v>
      </c>
      <c r="B369" s="692">
        <v>348</v>
      </c>
      <c r="C369" s="693"/>
      <c r="D369" s="693"/>
      <c r="E369" s="694"/>
      <c r="F369" s="695" t="str">
        <f>IFERROR(ROUND(VLOOKUP(C369,'General price list'!$C:$AN,4,FALSE),0),"")</f>
        <v/>
      </c>
      <c r="G369" s="696" t="str">
        <f t="shared" si="65"/>
        <v/>
      </c>
      <c r="H369" s="697" t="str">
        <f t="shared" si="66"/>
        <v/>
      </c>
      <c r="I369" s="837"/>
      <c r="J369" s="698"/>
      <c r="K369" s="856"/>
      <c r="L369" s="857"/>
      <c r="M369" s="698"/>
      <c r="N369" s="869" t="str">
        <f>IFERROR(IF(VLOOKUP($C369,'General price list'!$C:$AN,MATCH(N$20,'General price list'!$C$20:$AM$20,0),FALSE)=0,"",VLOOKUP($C369,'General price list'!$C:$AN,MATCH(N$20,'General price list'!$C$20:$AM$20,0),FALSE)),"")</f>
        <v/>
      </c>
      <c r="O369" s="837" t="str">
        <f>IFERROR(IF(VLOOKUP($C369,'General price list'!$C:$AN,MATCH(O$20,'General price list'!$C$20:$AM$20,0),FALSE)=0,"",VLOOKUP($C369,'General price list'!$C:$AN,MATCH(O$20,'General price list'!$C$20:$AM$20,0),FALSE)),"")</f>
        <v/>
      </c>
      <c r="P369" s="837" t="str">
        <f>IFERROR(IF(VLOOKUP($C369,'General price list'!$C:$AN,MATCH(P$20,'General price list'!$C$20:$AM$20,0),FALSE)=0,"",VLOOKUP($C369,'General price list'!$C:$AN,MATCH(P$20,'General price list'!$C$20:$AM$20,0),FALSE)),"")</f>
        <v/>
      </c>
      <c r="Q369" s="698"/>
      <c r="R369" s="698"/>
      <c r="S369" s="698"/>
      <c r="T369" s="695"/>
      <c r="U369" s="874"/>
      <c r="V369" s="699"/>
      <c r="W369" s="700" t="str">
        <f>IFERROR(VLOOKUP($C369,'General price list'!$C:$AN,MATCH(W$20,'General price list'!$C$20:$AM$20,0),FALSE),"")</f>
        <v/>
      </c>
      <c r="X369" s="891" t="str">
        <f t="shared" si="67"/>
        <v/>
      </c>
      <c r="Y369" s="892"/>
      <c r="Z369" s="700" t="str">
        <f>IFERROR(VLOOKUP($C369,'General price list'!$C:$AN,MATCH(Z$20,'General price list'!$C$20:$AM$20,0),FALSE),"")</f>
        <v/>
      </c>
      <c r="AA369" s="707"/>
      <c r="AB369" s="912" t="str">
        <f>IFERROR(IF(VLOOKUP(C369,[1]List1!$A:$D,2,FALSE)="VYPRODÁNO",$V$9,IF(VLOOKUP(C369,[1]List1!$A:$D,2,FALSE)="DOCHÁZÍ",$V$3,VLOOKUP(C369,[1]List1!$A:$D,2,FALSE))),"OFFLINE!")</f>
        <v>OFFLINE!</v>
      </c>
      <c r="AC369" s="912" t="str">
        <f ca="1">IF(AO369="NE",$V$10,IF(AB369=$V$3,IF(AP369&lt;1,$V$8,$V$2&amp;" "&amp;AP369&amp;" "&amp;$V$1),IF(AB369="SKLADEM",$V$6,IFERROR(IF(OR(AB369-TODAY()&gt;21,VLOOKUP(C369,[1]List1!$A:$E,4,FALSE)=0),AB369,DAY(AB369)&amp;"."&amp;MONTH(AB369)&amp;"."&amp;YEAR(AB369)&amp;" "&amp;$V$4&amp;VLOOKUP(C369,[1]List1!$A:$E,4,FALSE)&amp;" "&amp;$V$1),AB369))))</f>
        <v>OFFLINE!</v>
      </c>
      <c r="AD369" s="701" t="str">
        <f>_xlfn.IFNA(VLOOKUP(C369,'General price list'!C:AM,MATCH($AD$20,'General price list'!$C$20:$AM$20,0),FALSE),"")</f>
        <v/>
      </c>
      <c r="AE369" s="695" t="str">
        <f t="shared" si="68"/>
        <v/>
      </c>
      <c r="AF369" s="695" t="str">
        <f t="shared" si="69"/>
        <v/>
      </c>
      <c r="AG369" s="702" t="str">
        <f t="shared" si="70"/>
        <v/>
      </c>
      <c r="AH369" s="703" t="str">
        <f t="shared" si="71"/>
        <v/>
      </c>
      <c r="AI369" s="702" t="str">
        <f t="shared" si="72"/>
        <v/>
      </c>
      <c r="AJ369" s="704" t="str">
        <f t="shared" si="73"/>
        <v/>
      </c>
      <c r="AK369" s="704" t="str">
        <f t="shared" si="74"/>
        <v/>
      </c>
      <c r="AL369" s="704" t="str">
        <f t="shared" si="75"/>
        <v/>
      </c>
      <c r="AM369" s="705" t="str">
        <f t="shared" si="76"/>
        <v/>
      </c>
      <c r="AN369" s="313"/>
      <c r="AO369" s="314" t="str">
        <f>IF($R$3=1,IF(Y369=AA369,"","NE"),IF(#REF!=$V$10,"NE",""))</f>
        <v/>
      </c>
      <c r="AP369" s="315" t="str">
        <f>IF(AB369=$V$3,IF(VLOOKUP(C369,[1]List1!$A:$E,5,FALSE)=0,1,VLOOKUP(C369,[1]List1!$A:$E,5,FALSE)),"")</f>
        <v/>
      </c>
      <c r="AW369" s="291" t="e">
        <f>VLOOKUP(C369,'General price list'!C:AU,46,FALSE)</f>
        <v>#N/A</v>
      </c>
      <c r="AX369" s="291" t="e">
        <f>VLOOKUP(C369,'General price list'!C:AU,47,FALSE)</f>
        <v>#N/A</v>
      </c>
    </row>
    <row r="370" spans="1:50" ht="15" customHeight="1">
      <c r="A370" s="677" t="str">
        <f>Kat.!C370</f>
        <v>×</v>
      </c>
      <c r="B370" s="678">
        <v>349</v>
      </c>
      <c r="C370" s="679" t="s">
        <v>1329</v>
      </c>
      <c r="D370" s="679" t="s">
        <v>12585</v>
      </c>
      <c r="E370" s="680" t="s">
        <v>423</v>
      </c>
      <c r="F370" s="681">
        <f>VLOOKUP(C370,[2]List1!$A:$D,2,FALSE)</f>
        <v>409</v>
      </c>
      <c r="G370" s="682">
        <f t="shared" si="65"/>
        <v>409</v>
      </c>
      <c r="H370" s="683">
        <f t="shared" si="66"/>
        <v>16.600000000000001</v>
      </c>
      <c r="I370" s="836">
        <v>8</v>
      </c>
      <c r="J370" s="680" t="s">
        <v>45</v>
      </c>
      <c r="K370" s="854"/>
      <c r="L370" s="855" t="s">
        <v>13843</v>
      </c>
      <c r="M370" s="680" t="s">
        <v>131</v>
      </c>
      <c r="N370" s="868">
        <f>IFERROR(VLOOKUP(C370,[3]List1!$A:$D,4,FALSE),"N/A!")</f>
        <v>5.4169499999999995E-2</v>
      </c>
      <c r="O370" s="836">
        <f>IFERROR(VLOOKUP(C370,[3]List1!$A:$D,3,FALSE),"N/A!")</f>
        <v>2584</v>
      </c>
      <c r="P370" s="836">
        <f>IFERROR(VLOOKUP(C370,[3]List1!$A:$D,2,FALSE),"N/A!")</f>
        <v>17600</v>
      </c>
      <c r="Q370" s="680" t="s">
        <v>13790</v>
      </c>
      <c r="R370" s="680" t="s">
        <v>24</v>
      </c>
      <c r="S370" s="680"/>
      <c r="T370" s="681">
        <v>28</v>
      </c>
      <c r="U370" s="873"/>
      <c r="V370" s="684" t="str">
        <f>_xlfn.IFNA(HYPERLINK("https://www.klasekpyrotechnics.cz/c193bp"),"")</f>
        <v>https://www.klasekpyrotechnics.cz/c193bp</v>
      </c>
      <c r="W370" s="685" t="str">
        <f>IFERROR(VLOOKUP($C370,Popisy!A:P,MATCH($W$17,Popisy!$A$7:$P$7,0),FALSE),"---------------")</f>
        <v>4 verschiedenfarbige Effekte</v>
      </c>
      <c r="X370" s="889" t="str">
        <f t="shared" si="67"/>
        <v/>
      </c>
      <c r="Y370" s="890"/>
      <c r="Z370" s="685">
        <f>IFERROR(IF(VLOOKUP(C370,[4]List1!$A:$D,4,FALSE)=0,"",VLOOKUP(C370,[4]List1!$A:$D,4,FALSE)),"")</f>
        <v>24</v>
      </c>
      <c r="AA370" s="707"/>
      <c r="AB370" s="911" t="str">
        <f>IFERROR(IF(VLOOKUP(C370,[1]List1!$A:$D,2,FALSE)="VYPRODÁNO",$V$9,IF(VLOOKUP(C370,[1]List1!$A:$D,2,FALSE)="DOCHÁZÍ",$V$3,VLOOKUP(C370,[1]List1!$A:$D,2,FALSE))),"OFFLINE!")</f>
        <v>SKLADEM</v>
      </c>
      <c r="AC370" s="911" t="str">
        <f ca="1">IF(AO370="NE",$V$10,IF(AB370=$V$3,IF(AP370&lt;1,$V$8,$V$2&amp;" "&amp;AP370&amp;" "&amp;$V$1),IF(AB370="SKLADEM",$V$6,IFERROR(IF(OR(AB370-TODAY()&gt;21,VLOOKUP(C370,[1]List1!$A:$E,4,FALSE)=0),AB370,DAY(AB370)&amp;"."&amp;MONTH(AB370)&amp;"."&amp;YEAR(AB370)&amp;" "&amp;$V$4&amp;VLOOKUP(C370,[1]List1!$A:$E,4,FALSE)&amp;" "&amp;$V$1),AB370))))</f>
        <v>AUF LAGER</v>
      </c>
      <c r="AD370" s="686" t="str">
        <f ca="1">_xlfn.IFNA(VLOOKUP(C370,'General price list'!C:AM,MATCH($AD$20,'General price list'!$C$20:$AM$20,0),FALSE),"")</f>
        <v>AUF LAGER</v>
      </c>
      <c r="AE370" s="681">
        <f t="shared" ca="1" si="68"/>
        <v>0</v>
      </c>
      <c r="AF370" s="681">
        <f t="shared" ca="1" si="69"/>
        <v>0</v>
      </c>
      <c r="AG370" s="687">
        <f t="shared" ca="1" si="70"/>
        <v>0</v>
      </c>
      <c r="AH370" s="688">
        <f t="shared" ca="1" si="71"/>
        <v>0</v>
      </c>
      <c r="AI370" s="687">
        <f t="shared" ca="1" si="72"/>
        <v>0</v>
      </c>
      <c r="AJ370" s="689" t="str">
        <f t="shared" ca="1" si="73"/>
        <v/>
      </c>
      <c r="AK370" s="689">
        <f t="shared" ca="1" si="74"/>
        <v>0</v>
      </c>
      <c r="AL370" s="689" t="str">
        <f t="shared" ca="1" si="75"/>
        <v/>
      </c>
      <c r="AM370" s="690" t="str">
        <f t="shared" ca="1" si="76"/>
        <v/>
      </c>
      <c r="AN370" s="382"/>
      <c r="AO370" s="314" t="str">
        <f>IF($R$3=1,IF(Y370=AA370,"","NE"),IF(#REF!=$V$10,"NE",""))</f>
        <v/>
      </c>
      <c r="AP370" s="315" t="str">
        <f>IF(AB370=$V$3,IF(VLOOKUP(C370,[1]List1!$A:$E,5,FALSE)=0,1,VLOOKUP(C370,[1]List1!$A:$E,5,FALSE)),"")</f>
        <v/>
      </c>
      <c r="AW370" s="458">
        <f>IFERROR(FIND(VLOOKUP('General price list'!$AB$7,'General price list'!$AC$1:$AD$12,2,FALSE),Q370,1),0)</f>
        <v>10</v>
      </c>
      <c r="AX370" s="458">
        <f>IFERROR(FIND(VLOOKUP('General price list'!$AB$7,'General price list'!$AC$1:$AD$12,2,FALSE),R370,1),0)</f>
        <v>0</v>
      </c>
    </row>
    <row r="371" spans="1:50" ht="15" customHeight="1">
      <c r="A371" s="691" t="str">
        <f>Kat.!C371</f>
        <v xml:space="preserve">                                          </v>
      </c>
      <c r="B371" s="692">
        <v>350</v>
      </c>
      <c r="C371" s="693" t="s">
        <v>1330</v>
      </c>
      <c r="D371" s="693" t="s">
        <v>1331</v>
      </c>
      <c r="E371" s="694" t="s">
        <v>423</v>
      </c>
      <c r="F371" s="695">
        <f>VLOOKUP(C371,[2]List1!$A:$D,2,FALSE)</f>
        <v>415</v>
      </c>
      <c r="G371" s="696">
        <f t="shared" si="65"/>
        <v>415</v>
      </c>
      <c r="H371" s="697">
        <f t="shared" si="66"/>
        <v>16.899999999999999</v>
      </c>
      <c r="I371" s="837">
        <v>8</v>
      </c>
      <c r="J371" s="698" t="s">
        <v>45</v>
      </c>
      <c r="K371" s="856"/>
      <c r="L371" s="857" t="s">
        <v>13849</v>
      </c>
      <c r="M371" s="698" t="s">
        <v>131</v>
      </c>
      <c r="N371" s="869">
        <f>IFERROR(VLOOKUP(C371,[3]List1!$A:$D,4,FALSE),"N/A!")</f>
        <v>5.4169499999999995E-2</v>
      </c>
      <c r="O371" s="837">
        <f>IFERROR(VLOOKUP(C371,[3]List1!$A:$D,3,FALSE),"N/A!")</f>
        <v>2888</v>
      </c>
      <c r="P371" s="837">
        <f>IFERROR(VLOOKUP(C371,[3]List1!$A:$D,2,FALSE),"N/A!")</f>
        <v>17600</v>
      </c>
      <c r="Q371" s="698" t="s">
        <v>13790</v>
      </c>
      <c r="R371" s="698" t="s">
        <v>24</v>
      </c>
      <c r="S371" s="698"/>
      <c r="T371" s="695">
        <v>35</v>
      </c>
      <c r="U371" s="874"/>
      <c r="V371" s="699" t="str">
        <f>_xlfn.IFNA(HYPERLINK("https://www.klasekpyrotechnics.cz/c193c"),"")</f>
        <v>https://www.klasekpyrotechnics.cz/c193c</v>
      </c>
      <c r="W371" s="700" t="str">
        <f>IFERROR(VLOOKUP($C371,Popisy!A:P,MATCH($W$17,Popisy!$A$7:$P$7,0),FALSE),"---------------")</f>
        <v>4 verschiedenfarbige Effekte</v>
      </c>
      <c r="X371" s="891" t="str">
        <f t="shared" si="67"/>
        <v/>
      </c>
      <c r="Y371" s="892"/>
      <c r="Z371" s="700">
        <f>IFERROR(IF(VLOOKUP(C371,[4]List1!$A:$D,4,FALSE)=0,"",VLOOKUP(C371,[4]List1!$A:$D,4,FALSE)),"")</f>
        <v>24</v>
      </c>
      <c r="AA371" s="707"/>
      <c r="AB371" s="912" t="str">
        <f>IFERROR(IF(VLOOKUP(C371,[1]List1!$A:$D,2,FALSE)="VYPRODÁNO",$V$9,IF(VLOOKUP(C371,[1]List1!$A:$D,2,FALSE)="DOCHÁZÍ",$V$3,VLOOKUP(C371,[1]List1!$A:$D,2,FALSE))),"OFFLINE!")</f>
        <v>SKLADEM</v>
      </c>
      <c r="AC371" s="912" t="str">
        <f ca="1">IF(AO371="NE",$V$10,IF(AB371=$V$3,IF(AP371&lt;1,$V$8,$V$2&amp;" "&amp;AP371&amp;" "&amp;$V$1),IF(AB371="SKLADEM",$V$6,IFERROR(IF(OR(AB371-TODAY()&gt;21,VLOOKUP(C371,[1]List1!$A:$E,4,FALSE)=0),AB371,DAY(AB371)&amp;"."&amp;MONTH(AB371)&amp;"."&amp;YEAR(AB371)&amp;" "&amp;$V$4&amp;VLOOKUP(C371,[1]List1!$A:$E,4,FALSE)&amp;" "&amp;$V$1),AB371))))</f>
        <v>AUF LAGER</v>
      </c>
      <c r="AD371" s="701" t="str">
        <f ca="1">_xlfn.IFNA(VLOOKUP(C371,'General price list'!C:AM,MATCH($AD$20,'General price list'!$C$20:$AM$20,0),FALSE),"")</f>
        <v>AUF LAGER</v>
      </c>
      <c r="AE371" s="695">
        <f t="shared" ca="1" si="68"/>
        <v>0</v>
      </c>
      <c r="AF371" s="695">
        <f t="shared" ca="1" si="69"/>
        <v>0</v>
      </c>
      <c r="AG371" s="702">
        <f t="shared" ca="1" si="70"/>
        <v>0</v>
      </c>
      <c r="AH371" s="703">
        <f t="shared" ca="1" si="71"/>
        <v>0</v>
      </c>
      <c r="AI371" s="702">
        <f t="shared" ca="1" si="72"/>
        <v>0</v>
      </c>
      <c r="AJ371" s="704" t="str">
        <f t="shared" ca="1" si="73"/>
        <v/>
      </c>
      <c r="AK371" s="704">
        <f t="shared" ca="1" si="74"/>
        <v>0</v>
      </c>
      <c r="AL371" s="704" t="str">
        <f t="shared" ca="1" si="75"/>
        <v/>
      </c>
      <c r="AM371" s="705" t="str">
        <f t="shared" ca="1" si="76"/>
        <v/>
      </c>
      <c r="AN371" s="313"/>
      <c r="AO371" s="314" t="str">
        <f>IF($R$3=1,IF(Y371=AA371,"","NE"),IF(#REF!=$V$10,"NE",""))</f>
        <v/>
      </c>
      <c r="AP371" s="315" t="str">
        <f>IF(AB371=$V$3,IF(VLOOKUP(C371,[1]List1!$A:$E,5,FALSE)=0,1,VLOOKUP(C371,[1]List1!$A:$E,5,FALSE)),"")</f>
        <v/>
      </c>
      <c r="AW371" s="458">
        <f>IFERROR(FIND(VLOOKUP('General price list'!$AB$7,'General price list'!$AC$1:$AD$12,2,FALSE),Q371,1),0)</f>
        <v>10</v>
      </c>
      <c r="AX371" s="458">
        <f>IFERROR(FIND(VLOOKUP('General price list'!$AB$7,'General price list'!$AC$1:$AD$12,2,FALSE),R371,1),0)</f>
        <v>0</v>
      </c>
    </row>
    <row r="372" spans="1:50" ht="15" customHeight="1">
      <c r="A372" s="677" t="str">
        <f>Kat.!C372</f>
        <v xml:space="preserve">                                          </v>
      </c>
      <c r="B372" s="678">
        <v>351</v>
      </c>
      <c r="C372" s="679" t="s">
        <v>1332</v>
      </c>
      <c r="D372" s="679" t="s">
        <v>1333</v>
      </c>
      <c r="E372" s="680" t="s">
        <v>423</v>
      </c>
      <c r="F372" s="681">
        <f>VLOOKUP(C372,[2]List1!$A:$D,2,FALSE)</f>
        <v>415</v>
      </c>
      <c r="G372" s="682">
        <f t="shared" si="65"/>
        <v>415</v>
      </c>
      <c r="H372" s="683">
        <f t="shared" si="66"/>
        <v>16.899999999999999</v>
      </c>
      <c r="I372" s="836">
        <v>8</v>
      </c>
      <c r="J372" s="680" t="s">
        <v>45</v>
      </c>
      <c r="K372" s="854"/>
      <c r="L372" s="855" t="s">
        <v>13849</v>
      </c>
      <c r="M372" s="680" t="s">
        <v>131</v>
      </c>
      <c r="N372" s="868">
        <f>IFERROR(VLOOKUP(C372,[3]List1!$A:$D,4,FALSE),"N/A!")</f>
        <v>5.4169499999999995E-2</v>
      </c>
      <c r="O372" s="836">
        <f>IFERROR(VLOOKUP(C372,[3]List1!$A:$D,3,FALSE),"N/A!")</f>
        <v>2888</v>
      </c>
      <c r="P372" s="836">
        <f>IFERROR(VLOOKUP(C372,[3]List1!$A:$D,2,FALSE),"N/A!")</f>
        <v>17600</v>
      </c>
      <c r="Q372" s="680" t="s">
        <v>13790</v>
      </c>
      <c r="R372" s="680" t="s">
        <v>24</v>
      </c>
      <c r="S372" s="680"/>
      <c r="T372" s="681">
        <v>35</v>
      </c>
      <c r="U372" s="873"/>
      <c r="V372" s="684" t="str">
        <f>_xlfn.IFNA(HYPERLINK("https://www.klasekpyrotechnics.cz/c193d"),"")</f>
        <v>https://www.klasekpyrotechnics.cz/c193d</v>
      </c>
      <c r="W372" s="685" t="str">
        <f>IFERROR(VLOOKUP($C372,Popisy!A:P,MATCH($W$17,Popisy!$A$7:$P$7,0),FALSE),"---------------")</f>
        <v>4 verschiedenfarbige Effekte</v>
      </c>
      <c r="X372" s="889" t="str">
        <f t="shared" si="67"/>
        <v/>
      </c>
      <c r="Y372" s="890"/>
      <c r="Z372" s="685">
        <f>IFERROR(IF(VLOOKUP(C372,[4]List1!$A:$D,4,FALSE)=0,"",VLOOKUP(C372,[4]List1!$A:$D,4,FALSE)),"")</f>
        <v>24</v>
      </c>
      <c r="AA372" s="707"/>
      <c r="AB372" s="911" t="str">
        <f>IFERROR(IF(VLOOKUP(C372,[1]List1!$A:$D,2,FALSE)="VYPRODÁNO",$V$9,IF(VLOOKUP(C372,[1]List1!$A:$D,2,FALSE)="DOCHÁZÍ",$V$3,VLOOKUP(C372,[1]List1!$A:$D,2,FALSE))),"OFFLINE!")</f>
        <v>SKLADEM</v>
      </c>
      <c r="AC372" s="911" t="str">
        <f ca="1">IF(AO372="NE",$V$10,IF(AB372=$V$3,IF(AP372&lt;1,$V$8,$V$2&amp;" "&amp;AP372&amp;" "&amp;$V$1),IF(AB372="SKLADEM",$V$6,IFERROR(IF(OR(AB372-TODAY()&gt;21,VLOOKUP(C372,[1]List1!$A:$E,4,FALSE)=0),AB372,DAY(AB372)&amp;"."&amp;MONTH(AB372)&amp;"."&amp;YEAR(AB372)&amp;" "&amp;$V$4&amp;VLOOKUP(C372,[1]List1!$A:$E,4,FALSE)&amp;" "&amp;$V$1),AB372))))</f>
        <v>AUF LAGER</v>
      </c>
      <c r="AD372" s="686">
        <f>_xlfn.IFNA(VLOOKUP(C372,'General price list'!C:AM,MATCH($AD$20,'General price list'!$C$20:$AM$20,0),FALSE),"")</f>
        <v>0</v>
      </c>
      <c r="AE372" s="681">
        <f t="shared" si="68"/>
        <v>0</v>
      </c>
      <c r="AF372" s="681">
        <f t="shared" si="69"/>
        <v>0</v>
      </c>
      <c r="AG372" s="687">
        <f t="shared" si="70"/>
        <v>0</v>
      </c>
      <c r="AH372" s="688">
        <f t="shared" si="71"/>
        <v>0</v>
      </c>
      <c r="AI372" s="687">
        <f t="shared" si="72"/>
        <v>0</v>
      </c>
      <c r="AJ372" s="689" t="str">
        <f t="shared" si="73"/>
        <v/>
      </c>
      <c r="AK372" s="689">
        <f t="shared" si="74"/>
        <v>0</v>
      </c>
      <c r="AL372" s="689" t="str">
        <f t="shared" si="75"/>
        <v/>
      </c>
      <c r="AM372" s="690" t="str">
        <f t="shared" si="76"/>
        <v/>
      </c>
      <c r="AN372" s="313"/>
      <c r="AO372" s="314" t="str">
        <f>IF($R$3=1,IF(Y372=AA372,"","NE"),IF(#REF!=$V$10,"NE",""))</f>
        <v/>
      </c>
      <c r="AP372" s="315" t="str">
        <f>IF(AB372=$V$3,IF(VLOOKUP(C372,[1]List1!$A:$E,5,FALSE)=0,1,VLOOKUP(C372,[1]List1!$A:$E,5,FALSE)),"")</f>
        <v/>
      </c>
      <c r="AW372" s="458">
        <f>IFERROR(FIND(VLOOKUP('General price list'!$AB$7,'General price list'!$AC$1:$AD$12,2,FALSE),Q372,1),0)</f>
        <v>10</v>
      </c>
      <c r="AX372" s="458">
        <f>IFERROR(FIND(VLOOKUP('General price list'!$AB$7,'General price list'!$AC$1:$AD$12,2,FALSE),R372,1),0)</f>
        <v>0</v>
      </c>
    </row>
    <row r="373" spans="1:50" ht="15" customHeight="1">
      <c r="A373" s="691" t="str">
        <f>Kat.!C373</f>
        <v xml:space="preserve">                                          </v>
      </c>
      <c r="B373" s="692">
        <v>352</v>
      </c>
      <c r="C373" s="693" t="s">
        <v>1334</v>
      </c>
      <c r="D373" s="693" t="s">
        <v>1335</v>
      </c>
      <c r="E373" s="694" t="s">
        <v>423</v>
      </c>
      <c r="F373" s="695">
        <f>VLOOKUP(C373,[2]List1!$A:$D,2,FALSE)</f>
        <v>415</v>
      </c>
      <c r="G373" s="696">
        <f t="shared" si="65"/>
        <v>415</v>
      </c>
      <c r="H373" s="697">
        <f t="shared" si="66"/>
        <v>16.899999999999999</v>
      </c>
      <c r="I373" s="837">
        <v>8</v>
      </c>
      <c r="J373" s="698" t="s">
        <v>45</v>
      </c>
      <c r="K373" s="856"/>
      <c r="L373" s="857" t="s">
        <v>13849</v>
      </c>
      <c r="M373" s="698" t="s">
        <v>131</v>
      </c>
      <c r="N373" s="869">
        <f>IFERROR(VLOOKUP(C373,[3]List1!$A:$D,4,FALSE),"N/A!")</f>
        <v>5.4169499999999995E-2</v>
      </c>
      <c r="O373" s="837">
        <f>IFERROR(VLOOKUP(C373,[3]List1!$A:$D,3,FALSE),"N/A!")</f>
        <v>2888</v>
      </c>
      <c r="P373" s="837">
        <f>IFERROR(VLOOKUP(C373,[3]List1!$A:$D,2,FALSE),"N/A!")</f>
        <v>17600</v>
      </c>
      <c r="Q373" s="698" t="s">
        <v>610</v>
      </c>
      <c r="R373" s="698" t="s">
        <v>24</v>
      </c>
      <c r="S373" s="698"/>
      <c r="T373" s="695">
        <v>35</v>
      </c>
      <c r="U373" s="874"/>
      <c r="V373" s="699" t="str">
        <f>_xlfn.IFNA(HYPERLINK("https://www.klasekpyrotechnics.cz/c193j"),"")</f>
        <v>https://www.klasekpyrotechnics.cz/c193j</v>
      </c>
      <c r="W373" s="700" t="str">
        <f>IFERROR(VLOOKUP($C373,Popisy!A:P,MATCH($W$17,Popisy!$A$7:$P$7,0),FALSE),"---------------")</f>
        <v>4 verschiedenfarbige wechselnde Effekte nach jedem schuss</v>
      </c>
      <c r="X373" s="891" t="str">
        <f t="shared" si="67"/>
        <v/>
      </c>
      <c r="Y373" s="892"/>
      <c r="Z373" s="700">
        <f>IFERROR(IF(VLOOKUP(C373,[4]List1!$A:$D,4,FALSE)=0,"",VLOOKUP(C373,[4]List1!$A:$D,4,FALSE)),"")</f>
        <v>24</v>
      </c>
      <c r="AA373" s="707"/>
      <c r="AB373" s="912" t="str">
        <f>IFERROR(IF(VLOOKUP(C373,[1]List1!$A:$D,2,FALSE)="VYPRODÁNO",$V$9,IF(VLOOKUP(C373,[1]List1!$A:$D,2,FALSE)="DOCHÁZÍ",$V$3,VLOOKUP(C373,[1]List1!$A:$D,2,FALSE))),"OFFLINE!")</f>
        <v>SKLADEM</v>
      </c>
      <c r="AC373" s="912" t="str">
        <f ca="1">IF(AO373="NE",$V$10,IF(AB373=$V$3,IF(AP373&lt;1,$V$8,$V$2&amp;" "&amp;AP373&amp;" "&amp;$V$1),IF(AB373="SKLADEM",$V$6,IFERROR(IF(OR(AB373-TODAY()&gt;21,VLOOKUP(C373,[1]List1!$A:$E,4,FALSE)=0),AB373,DAY(AB373)&amp;"."&amp;MONTH(AB373)&amp;"."&amp;YEAR(AB373)&amp;" "&amp;$V$4&amp;VLOOKUP(C373,[1]List1!$A:$E,4,FALSE)&amp;" "&amp;$V$1),AB373))))</f>
        <v>AUF LAGER</v>
      </c>
      <c r="AD373" s="701" t="str">
        <f ca="1">_xlfn.IFNA(VLOOKUP(C373,'General price list'!C:AM,MATCH($AD$20,'General price list'!$C$20:$AM$20,0),FALSE),"")</f>
        <v>AUF LAGER</v>
      </c>
      <c r="AE373" s="695">
        <f t="shared" ca="1" si="68"/>
        <v>0</v>
      </c>
      <c r="AF373" s="695">
        <f t="shared" ca="1" si="69"/>
        <v>0</v>
      </c>
      <c r="AG373" s="702">
        <f t="shared" ca="1" si="70"/>
        <v>0</v>
      </c>
      <c r="AH373" s="703">
        <f t="shared" ca="1" si="71"/>
        <v>0</v>
      </c>
      <c r="AI373" s="702">
        <f t="shared" ca="1" si="72"/>
        <v>0</v>
      </c>
      <c r="AJ373" s="704" t="str">
        <f t="shared" ca="1" si="73"/>
        <v/>
      </c>
      <c r="AK373" s="704">
        <f t="shared" ca="1" si="74"/>
        <v>0</v>
      </c>
      <c r="AL373" s="704" t="str">
        <f t="shared" ca="1" si="75"/>
        <v/>
      </c>
      <c r="AM373" s="705" t="str">
        <f t="shared" ca="1" si="76"/>
        <v/>
      </c>
      <c r="AN373" s="313"/>
      <c r="AO373" s="314" t="str">
        <f>IF($R$3=1,IF(Y373=AA373,"","NE"),IF(#REF!=$V$10,"NE",""))</f>
        <v/>
      </c>
      <c r="AP373" s="315" t="str">
        <f>IF(AB373=$V$3,IF(VLOOKUP(C373,[1]List1!$A:$E,5,FALSE)=0,1,VLOOKUP(C373,[1]List1!$A:$E,5,FALSE)),"")</f>
        <v/>
      </c>
      <c r="AW373" s="458">
        <f>IFERROR(FIND(VLOOKUP('General price list'!$AB$7,'General price list'!$AC$1:$AD$12,2,FALSE),Q373,1),0)</f>
        <v>0</v>
      </c>
      <c r="AX373" s="458">
        <f>IFERROR(FIND(VLOOKUP('General price list'!$AB$7,'General price list'!$AC$1:$AD$12,2,FALSE),R373,1),0)</f>
        <v>0</v>
      </c>
    </row>
    <row r="374" spans="1:50" ht="15" customHeight="1">
      <c r="A374" s="677" t="str">
        <f>Kat.!C374</f>
        <v xml:space="preserve">                                          </v>
      </c>
      <c r="B374" s="678">
        <v>353</v>
      </c>
      <c r="C374" s="679" t="s">
        <v>1336</v>
      </c>
      <c r="D374" s="679" t="s">
        <v>1337</v>
      </c>
      <c r="E374" s="680" t="s">
        <v>423</v>
      </c>
      <c r="F374" s="681">
        <f>VLOOKUP(C374,[2]List1!$A:$D,2,FALSE)</f>
        <v>415</v>
      </c>
      <c r="G374" s="682">
        <f t="shared" si="65"/>
        <v>415</v>
      </c>
      <c r="H374" s="683">
        <f t="shared" si="66"/>
        <v>16.899999999999999</v>
      </c>
      <c r="I374" s="836">
        <v>8</v>
      </c>
      <c r="J374" s="680" t="s">
        <v>45</v>
      </c>
      <c r="K374" s="854"/>
      <c r="L374" s="855" t="s">
        <v>13849</v>
      </c>
      <c r="M374" s="680" t="s">
        <v>131</v>
      </c>
      <c r="N374" s="868">
        <f>IFERROR(VLOOKUP(C374,[3]List1!$A:$D,4,FALSE),"N/A!")</f>
        <v>5.4169499999999995E-2</v>
      </c>
      <c r="O374" s="836">
        <f>IFERROR(VLOOKUP(C374,[3]List1!$A:$D,3,FALSE),"N/A!")</f>
        <v>2888</v>
      </c>
      <c r="P374" s="836">
        <f>IFERROR(VLOOKUP(C374,[3]List1!$A:$D,2,FALSE),"N/A!")</f>
        <v>17600</v>
      </c>
      <c r="Q374" s="680" t="s">
        <v>610</v>
      </c>
      <c r="R374" s="680" t="s">
        <v>24</v>
      </c>
      <c r="S374" s="680"/>
      <c r="T374" s="681">
        <v>25</v>
      </c>
      <c r="U374" s="873"/>
      <c r="V374" s="684" t="str">
        <f>_xlfn.IFNA(HYPERLINK("https://www.klasekpyrotechnics.cz/c193f"),"")</f>
        <v>https://www.klasekpyrotechnics.cz/c193f</v>
      </c>
      <c r="W374" s="685" t="str">
        <f>IFERROR(VLOOKUP($C374,Popisy!A:P,MATCH($W$17,Popisy!$A$7:$P$7,0),FALSE),"---------------")</f>
        <v>Silberne Spur + silberne Palme mit der violetten Mitte</v>
      </c>
      <c r="X374" s="889" t="str">
        <f t="shared" si="67"/>
        <v/>
      </c>
      <c r="Y374" s="890"/>
      <c r="Z374" s="685">
        <f>IFERROR(IF(VLOOKUP(C374,[4]List1!$A:$D,4,FALSE)=0,"",VLOOKUP(C374,[4]List1!$A:$D,4,FALSE)),"")</f>
        <v>24</v>
      </c>
      <c r="AA374" s="707"/>
      <c r="AB374" s="911" t="str">
        <f>IFERROR(IF(VLOOKUP(C374,[1]List1!$A:$D,2,FALSE)="VYPRODÁNO",$V$9,IF(VLOOKUP(C374,[1]List1!$A:$D,2,FALSE)="DOCHÁZÍ",$V$3,VLOOKUP(C374,[1]List1!$A:$D,2,FALSE))),"OFFLINE!")</f>
        <v>SKLADEM</v>
      </c>
      <c r="AC374" s="911" t="str">
        <f ca="1">IF(AO374="NE",$V$10,IF(AB374=$V$3,IF(AP374&lt;1,$V$8,$V$2&amp;" "&amp;AP374&amp;" "&amp;$V$1),IF(AB374="SKLADEM",$V$6,IFERROR(IF(OR(AB374-TODAY()&gt;21,VLOOKUP(C374,[1]List1!$A:$E,4,FALSE)=0),AB374,DAY(AB374)&amp;"."&amp;MONTH(AB374)&amp;"."&amp;YEAR(AB374)&amp;" "&amp;$V$4&amp;VLOOKUP(C374,[1]List1!$A:$E,4,FALSE)&amp;" "&amp;$V$1),AB374))))</f>
        <v>AUF LAGER</v>
      </c>
      <c r="AD374" s="686" t="str">
        <f ca="1">_xlfn.IFNA(VLOOKUP(C374,'General price list'!C:AM,MATCH($AD$20,'General price list'!$C$20:$AM$20,0),FALSE),"")</f>
        <v>AUF LAGER</v>
      </c>
      <c r="AE374" s="681">
        <f t="shared" ca="1" si="68"/>
        <v>0</v>
      </c>
      <c r="AF374" s="681">
        <f t="shared" ca="1" si="69"/>
        <v>0</v>
      </c>
      <c r="AG374" s="687">
        <f t="shared" ca="1" si="70"/>
        <v>0</v>
      </c>
      <c r="AH374" s="688">
        <f t="shared" ca="1" si="71"/>
        <v>0</v>
      </c>
      <c r="AI374" s="687">
        <f t="shared" ca="1" si="72"/>
        <v>0</v>
      </c>
      <c r="AJ374" s="689" t="str">
        <f t="shared" ca="1" si="73"/>
        <v/>
      </c>
      <c r="AK374" s="689">
        <f t="shared" ca="1" si="74"/>
        <v>0</v>
      </c>
      <c r="AL374" s="689" t="str">
        <f t="shared" ca="1" si="75"/>
        <v/>
      </c>
      <c r="AM374" s="690" t="str">
        <f t="shared" ca="1" si="76"/>
        <v/>
      </c>
      <c r="AN374" s="382"/>
      <c r="AO374" s="314" t="str">
        <f>IF($R$3=1,IF(Y374=AA374,"","NE"),IF(#REF!=$V$10,"NE",""))</f>
        <v/>
      </c>
      <c r="AP374" s="315" t="str">
        <f>IF(AB374=$V$3,IF(VLOOKUP(C374,[1]List1!$A:$E,5,FALSE)=0,1,VLOOKUP(C374,[1]List1!$A:$E,5,FALSE)),"")</f>
        <v/>
      </c>
      <c r="AW374" s="458">
        <f>IFERROR(FIND(VLOOKUP('General price list'!$AB$7,'General price list'!$AC$1:$AD$12,2,FALSE),Q374,1),0)</f>
        <v>0</v>
      </c>
      <c r="AX374" s="458">
        <f>IFERROR(FIND(VLOOKUP('General price list'!$AB$7,'General price list'!$AC$1:$AD$12,2,FALSE),R374,1),0)</f>
        <v>0</v>
      </c>
    </row>
    <row r="375" spans="1:50" ht="15" customHeight="1">
      <c r="A375" s="691" t="str">
        <f>Kat.!C375</f>
        <v xml:space="preserve">                                          </v>
      </c>
      <c r="B375" s="692">
        <v>354</v>
      </c>
      <c r="C375" s="693" t="s">
        <v>1341</v>
      </c>
      <c r="D375" s="693" t="s">
        <v>1342</v>
      </c>
      <c r="E375" s="694" t="s">
        <v>423</v>
      </c>
      <c r="F375" s="695">
        <f>VLOOKUP(C375,[2]List1!$A:$D,2,FALSE)</f>
        <v>415</v>
      </c>
      <c r="G375" s="696">
        <f t="shared" si="65"/>
        <v>415</v>
      </c>
      <c r="H375" s="697">
        <f t="shared" si="66"/>
        <v>16.899999999999999</v>
      </c>
      <c r="I375" s="837">
        <v>8</v>
      </c>
      <c r="J375" s="698" t="s">
        <v>45</v>
      </c>
      <c r="K375" s="856"/>
      <c r="L375" s="857" t="s">
        <v>13849</v>
      </c>
      <c r="M375" s="698" t="s">
        <v>131</v>
      </c>
      <c r="N375" s="869">
        <f>IFERROR(VLOOKUP(C375,[3]List1!$A:$D,4,FALSE),"N/A!")</f>
        <v>5.4169499999999995E-2</v>
      </c>
      <c r="O375" s="837">
        <f>IFERROR(VLOOKUP(C375,[3]List1!$A:$D,3,FALSE),"N/A!")</f>
        <v>2888</v>
      </c>
      <c r="P375" s="837">
        <f>IFERROR(VLOOKUP(C375,[3]List1!$A:$D,2,FALSE),"N/A!")</f>
        <v>17600</v>
      </c>
      <c r="Q375" s="698" t="s">
        <v>13790</v>
      </c>
      <c r="R375" s="698" t="s">
        <v>24</v>
      </c>
      <c r="S375" s="698"/>
      <c r="T375" s="695">
        <v>25</v>
      </c>
      <c r="U375" s="874"/>
      <c r="V375" s="699" t="str">
        <f>_xlfn.IFNA(HYPERLINK("https://www.klasekpyrotechnics.cz/c193i"),"")</f>
        <v>https://www.klasekpyrotechnics.cz/c193i</v>
      </c>
      <c r="W375" s="700" t="str">
        <f>IFERROR(VLOOKUP($C375,Popisy!A:P,MATCH($W$17,Popisy!$A$7:$P$7,0),FALSE),"---------------")</f>
        <v>Vollfarbiger Blumenstrauß mit knallenden Sternen</v>
      </c>
      <c r="X375" s="891" t="str">
        <f t="shared" si="67"/>
        <v/>
      </c>
      <c r="Y375" s="892"/>
      <c r="Z375" s="700">
        <f>IFERROR(IF(VLOOKUP(C375,[4]List1!$A:$D,4,FALSE)=0,"",VLOOKUP(C375,[4]List1!$A:$D,4,FALSE)),"")</f>
        <v>24</v>
      </c>
      <c r="AA375" s="707"/>
      <c r="AB375" s="912" t="str">
        <f>IFERROR(IF(VLOOKUP(C375,[1]List1!$A:$D,2,FALSE)="VYPRODÁNO",$V$9,IF(VLOOKUP(C375,[1]List1!$A:$D,2,FALSE)="DOCHÁZÍ",$V$3,VLOOKUP(C375,[1]List1!$A:$D,2,FALSE))),"OFFLINE!")</f>
        <v>SKLADEM</v>
      </c>
      <c r="AC375" s="912" t="str">
        <f ca="1">IF(AO375="NE",$V$10,IF(AB375=$V$3,IF(AP375&lt;1,$V$8,$V$2&amp;" "&amp;AP375&amp;" "&amp;$V$1),IF(AB375="SKLADEM",$V$6,IFERROR(IF(OR(AB375-TODAY()&gt;21,VLOOKUP(C375,[1]List1!$A:$E,4,FALSE)=0),AB375,DAY(AB375)&amp;"."&amp;MONTH(AB375)&amp;"."&amp;YEAR(AB375)&amp;" "&amp;$V$4&amp;VLOOKUP(C375,[1]List1!$A:$E,4,FALSE)&amp;" "&amp;$V$1),AB375))))</f>
        <v>AUF LAGER</v>
      </c>
      <c r="AD375" s="701" t="str">
        <f ca="1">_xlfn.IFNA(VLOOKUP(C375,'General price list'!C:AM,MATCH($AD$20,'General price list'!$C$20:$AM$20,0),FALSE),"")</f>
        <v>AUF LAGER</v>
      </c>
      <c r="AE375" s="695">
        <f t="shared" ca="1" si="68"/>
        <v>0</v>
      </c>
      <c r="AF375" s="695">
        <f t="shared" ca="1" si="69"/>
        <v>0</v>
      </c>
      <c r="AG375" s="702">
        <f t="shared" ca="1" si="70"/>
        <v>0</v>
      </c>
      <c r="AH375" s="703">
        <f t="shared" ca="1" si="71"/>
        <v>0</v>
      </c>
      <c r="AI375" s="702">
        <f t="shared" ca="1" si="72"/>
        <v>0</v>
      </c>
      <c r="AJ375" s="704" t="str">
        <f t="shared" ca="1" si="73"/>
        <v/>
      </c>
      <c r="AK375" s="704">
        <f t="shared" ca="1" si="74"/>
        <v>0</v>
      </c>
      <c r="AL375" s="704" t="str">
        <f t="shared" ca="1" si="75"/>
        <v/>
      </c>
      <c r="AM375" s="705" t="str">
        <f t="shared" ca="1" si="76"/>
        <v/>
      </c>
      <c r="AN375" s="381"/>
      <c r="AO375" s="314" t="str">
        <f>IF($R$3=1,IF(Y375=AA375,"","NE"),IF(#REF!=$V$10,"NE",""))</f>
        <v/>
      </c>
      <c r="AP375" s="315" t="str">
        <f>IF(AB375=$V$3,IF(VLOOKUP(C375,[1]List1!$A:$E,5,FALSE)=0,1,VLOOKUP(C375,[1]List1!$A:$E,5,FALSE)),"")</f>
        <v/>
      </c>
      <c r="AW375" s="458">
        <f>IFERROR(FIND(VLOOKUP('General price list'!$AB$7,'General price list'!$AC$1:$AD$12,2,FALSE),Q375,1),0)</f>
        <v>10</v>
      </c>
      <c r="AX375" s="458">
        <f>IFERROR(FIND(VLOOKUP('General price list'!$AB$7,'General price list'!$AC$1:$AD$12,2,FALSE),R375,1),0)</f>
        <v>0</v>
      </c>
    </row>
    <row r="376" spans="1:50" ht="15" customHeight="1">
      <c r="A376" s="672" t="str">
        <f>Kat.!C376</f>
        <v xml:space="preserve">                                          Batterien 25 schuss, 30mm Mörser F3 - 1.3G</v>
      </c>
      <c r="B376" s="678">
        <v>355</v>
      </c>
      <c r="C376" s="679"/>
      <c r="D376" s="679"/>
      <c r="E376" s="680"/>
      <c r="F376" s="681" t="str">
        <f>IFERROR(ROUND(VLOOKUP(C376,'General price list'!$C:$AN,4,FALSE),0),"")</f>
        <v/>
      </c>
      <c r="G376" s="682" t="str">
        <f t="shared" si="65"/>
        <v/>
      </c>
      <c r="H376" s="683" t="str">
        <f t="shared" si="66"/>
        <v/>
      </c>
      <c r="I376" s="836"/>
      <c r="J376" s="680"/>
      <c r="K376" s="854"/>
      <c r="L376" s="855"/>
      <c r="M376" s="680"/>
      <c r="N376" s="868" t="str">
        <f>IFERROR(IF(VLOOKUP($C376,'General price list'!$C:$AN,MATCH(N$20,'General price list'!$C$20:$AM$20,0),FALSE)=0,"",VLOOKUP($C376,'General price list'!$C:$AN,MATCH(N$20,'General price list'!$C$20:$AM$20,0),FALSE)),"")</f>
        <v/>
      </c>
      <c r="O376" s="836" t="str">
        <f>IFERROR(IF(VLOOKUP($C376,'General price list'!$C:$AN,MATCH(O$20,'General price list'!$C$20:$AM$20,0),FALSE)=0,"",VLOOKUP($C376,'General price list'!$C:$AN,MATCH(O$20,'General price list'!$C$20:$AM$20,0),FALSE)),"")</f>
        <v/>
      </c>
      <c r="P376" s="836" t="str">
        <f>IFERROR(IF(VLOOKUP($C376,'General price list'!$C:$AN,MATCH(P$20,'General price list'!$C$20:$AM$20,0),FALSE)=0,"",VLOOKUP($C376,'General price list'!$C:$AN,MATCH(P$20,'General price list'!$C$20:$AM$20,0),FALSE)),"")</f>
        <v/>
      </c>
      <c r="Q376" s="680"/>
      <c r="R376" s="680"/>
      <c r="S376" s="680"/>
      <c r="T376" s="681"/>
      <c r="U376" s="873"/>
      <c r="V376" s="684"/>
      <c r="W376" s="685" t="str">
        <f>IFERROR(VLOOKUP($C376,'General price list'!$C:$AN,MATCH(W$20,'General price list'!$C$20:$AM$20,0),FALSE),"")</f>
        <v/>
      </c>
      <c r="X376" s="889" t="str">
        <f t="shared" si="67"/>
        <v/>
      </c>
      <c r="Y376" s="890"/>
      <c r="Z376" s="685" t="str">
        <f>IFERROR(VLOOKUP($C376,'General price list'!$C:$AN,MATCH(Z$20,'General price list'!$C$20:$AM$20,0),FALSE),"")</f>
        <v/>
      </c>
      <c r="AA376" s="707"/>
      <c r="AB376" s="911" t="str">
        <f>IFERROR(IF(VLOOKUP(C376,[1]List1!$A:$D,2,FALSE)="VYPRODÁNO",$V$9,IF(VLOOKUP(C376,[1]List1!$A:$D,2,FALSE)="DOCHÁZÍ",$V$3,VLOOKUP(C376,[1]List1!$A:$D,2,FALSE))),"OFFLINE!")</f>
        <v>OFFLINE!</v>
      </c>
      <c r="AC376" s="911" t="str">
        <f ca="1">IF(AO376="NE",$V$10,IF(AB376=$V$3,IF(AP376&lt;1,$V$8,$V$2&amp;" "&amp;AP376&amp;" "&amp;$V$1),IF(AB376="SKLADEM",$V$6,IFERROR(IF(OR(AB376-TODAY()&gt;21,VLOOKUP(C376,[1]List1!$A:$E,4,FALSE)=0),AB376,DAY(AB376)&amp;"."&amp;MONTH(AB376)&amp;"."&amp;YEAR(AB376)&amp;" "&amp;$V$4&amp;VLOOKUP(C376,[1]List1!$A:$E,4,FALSE)&amp;" "&amp;$V$1),AB376))))</f>
        <v>OFFLINE!</v>
      </c>
      <c r="AD376" s="686" t="str">
        <f>_xlfn.IFNA(VLOOKUP(C376,'General price list'!C:AM,MATCH($AD$20,'General price list'!$C$20:$AM$20,0),FALSE),"")</f>
        <v/>
      </c>
      <c r="AE376" s="681" t="str">
        <f t="shared" si="68"/>
        <v/>
      </c>
      <c r="AF376" s="681" t="str">
        <f t="shared" si="69"/>
        <v/>
      </c>
      <c r="AG376" s="687" t="str">
        <f t="shared" si="70"/>
        <v/>
      </c>
      <c r="AH376" s="688" t="str">
        <f t="shared" si="71"/>
        <v/>
      </c>
      <c r="AI376" s="687" t="str">
        <f t="shared" si="72"/>
        <v/>
      </c>
      <c r="AJ376" s="689" t="str">
        <f t="shared" si="73"/>
        <v/>
      </c>
      <c r="AK376" s="689" t="str">
        <f t="shared" si="74"/>
        <v/>
      </c>
      <c r="AL376" s="689" t="str">
        <f t="shared" si="75"/>
        <v/>
      </c>
      <c r="AM376" s="690" t="str">
        <f t="shared" si="76"/>
        <v/>
      </c>
      <c r="AN376" s="313"/>
      <c r="AO376" s="314" t="str">
        <f>IF($R$3=1,IF(Y376=AA376,"","NE"),IF(#REF!=$V$10,"NE",""))</f>
        <v/>
      </c>
      <c r="AP376" s="315" t="str">
        <f>IF(AB376=$V$3,IF(VLOOKUP(C376,[1]List1!$A:$E,5,FALSE)=0,1,VLOOKUP(C376,[1]List1!$A:$E,5,FALSE)),"")</f>
        <v/>
      </c>
      <c r="AW376" s="291" t="e">
        <f>VLOOKUP(C376,'General price list'!C:AU,46,FALSE)</f>
        <v>#N/A</v>
      </c>
      <c r="AX376" s="291" t="e">
        <f>VLOOKUP(C376,'General price list'!C:AU,47,FALSE)</f>
        <v>#N/A</v>
      </c>
    </row>
    <row r="377" spans="1:50" ht="15" customHeight="1">
      <c r="A377" s="691" t="str">
        <f>Kat.!C377</f>
        <v xml:space="preserve">                                          </v>
      </c>
      <c r="B377" s="692">
        <v>356</v>
      </c>
      <c r="C377" s="693" t="s">
        <v>1348</v>
      </c>
      <c r="D377" s="693" t="s">
        <v>12567</v>
      </c>
      <c r="E377" s="694" t="s">
        <v>1006</v>
      </c>
      <c r="F377" s="695">
        <f>VLOOKUP(C377,[2]List1!$A:$D,2,FALSE)</f>
        <v>637</v>
      </c>
      <c r="G377" s="696">
        <f t="shared" si="65"/>
        <v>637</v>
      </c>
      <c r="H377" s="697">
        <f t="shared" si="66"/>
        <v>25.9</v>
      </c>
      <c r="I377" s="837">
        <v>6</v>
      </c>
      <c r="J377" s="698" t="s">
        <v>130</v>
      </c>
      <c r="K377" s="856"/>
      <c r="L377" s="857" t="s">
        <v>13856</v>
      </c>
      <c r="M377" s="698" t="s">
        <v>131</v>
      </c>
      <c r="N377" s="869">
        <f>IFERROR(VLOOKUP(C377,[3]List1!$A:$D,4,FALSE),"N/A!")</f>
        <v>5.335199999999999E-2</v>
      </c>
      <c r="O377" s="837">
        <f>IFERROR(VLOOKUP(C377,[3]List1!$A:$D,3,FALSE),"N/A!")</f>
        <v>4350</v>
      </c>
      <c r="P377" s="837">
        <f>IFERROR(VLOOKUP(C377,[3]List1!$A:$D,2,FALSE),"N/A!")</f>
        <v>21500</v>
      </c>
      <c r="Q377" s="698" t="s">
        <v>13791</v>
      </c>
      <c r="R377" s="698" t="s">
        <v>24</v>
      </c>
      <c r="S377" s="698"/>
      <c r="T377" s="695">
        <v>30</v>
      </c>
      <c r="U377" s="874"/>
      <c r="V377" s="699" t="str">
        <f>_xlfn.IFNA(HYPERLINK("https://www.klasekpyrotechnics.cz/c253sig"),"")</f>
        <v>https://www.klasekpyrotechnics.cz/c253sig</v>
      </c>
      <c r="W377" s="700" t="str">
        <f>IFERROR(VLOOKUP($C377,Popisy!A:P,MATCH($W$17,Popisy!$A$7:$P$7,0),FALSE),"---------------")</f>
        <v>5 verschiedenfarbige Effekte</v>
      </c>
      <c r="X377" s="891" t="str">
        <f t="shared" si="67"/>
        <v/>
      </c>
      <c r="Y377" s="892"/>
      <c r="Z377" s="700">
        <f>IFERROR(IF(VLOOKUP(C377,[4]List1!$A:$D,4,FALSE)=0,"",VLOOKUP(C377,[4]List1!$A:$D,4,FALSE)),"")</f>
        <v>28</v>
      </c>
      <c r="AA377" s="707"/>
      <c r="AB377" s="912" t="str">
        <f>IFERROR(IF(VLOOKUP(C377,[1]List1!$A:$D,2,FALSE)="VYPRODÁNO",$V$9,IF(VLOOKUP(C377,[1]List1!$A:$D,2,FALSE)="DOCHÁZÍ",$V$3,VLOOKUP(C377,[1]List1!$A:$D,2,FALSE))),"OFFLINE!")</f>
        <v>15.08.2024</v>
      </c>
      <c r="AC377" s="912" t="str">
        <f ca="1">IF(AO377="NE",$V$10,IF(AB377=$V$3,IF(AP377&lt;1,$V$8,$V$2&amp;" "&amp;AP377&amp;" "&amp;$V$1),IF(AB377="SKLADEM",$V$6,IFERROR(IF(OR(AB377-TODAY()&gt;21,VLOOKUP(C377,[1]List1!$A:$E,4,FALSE)=0),AB377,DAY(AB377)&amp;"."&amp;MONTH(AB377)&amp;"."&amp;YEAR(AB377)&amp;" "&amp;$V$4&amp;VLOOKUP(C377,[1]List1!$A:$E,4,FALSE)&amp;" "&amp;$V$1),AB377))))</f>
        <v>15.08.2024</v>
      </c>
      <c r="AD377" s="701">
        <f>_xlfn.IFNA(VLOOKUP(C377,'General price list'!C:AM,MATCH($AD$20,'General price list'!$C$20:$AM$20,0),FALSE),"")</f>
        <v>0</v>
      </c>
      <c r="AE377" s="695">
        <f t="shared" si="68"/>
        <v>0</v>
      </c>
      <c r="AF377" s="695">
        <f t="shared" si="69"/>
        <v>0</v>
      </c>
      <c r="AG377" s="702">
        <f t="shared" si="70"/>
        <v>0</v>
      </c>
      <c r="AH377" s="703">
        <f t="shared" si="71"/>
        <v>0</v>
      </c>
      <c r="AI377" s="702">
        <f t="shared" si="72"/>
        <v>0</v>
      </c>
      <c r="AJ377" s="704" t="str">
        <f t="shared" si="73"/>
        <v/>
      </c>
      <c r="AK377" s="704">
        <f t="shared" si="74"/>
        <v>0</v>
      </c>
      <c r="AL377" s="704" t="str">
        <f t="shared" si="75"/>
        <v/>
      </c>
      <c r="AM377" s="705" t="str">
        <f t="shared" si="76"/>
        <v/>
      </c>
      <c r="AN377" s="382"/>
      <c r="AO377" s="314" t="str">
        <f>IF($R$3=1,IF(Y377=AA377,"","NE"),IF(#REF!=$V$10,"NE",""))</f>
        <v/>
      </c>
      <c r="AP377" s="315" t="str">
        <f>IF(AB377=$V$3,IF(VLOOKUP(C377,[1]List1!$A:$E,5,FALSE)=0,1,VLOOKUP(C377,[1]List1!$A:$E,5,FALSE)),"")</f>
        <v/>
      </c>
      <c r="AW377" s="458">
        <f>IFERROR(FIND(VLOOKUP('General price list'!$AB$7,'General price list'!$AC$1:$AD$12,2,FALSE),Q377,1),0)</f>
        <v>13</v>
      </c>
      <c r="AX377" s="458">
        <f>IFERROR(FIND(VLOOKUP('General price list'!$AB$7,'General price list'!$AC$1:$AD$12,2,FALSE),R377,1),0)</f>
        <v>0</v>
      </c>
    </row>
    <row r="378" spans="1:50" ht="15" customHeight="1">
      <c r="A378" s="677" t="str">
        <f>Kat.!C378</f>
        <v xml:space="preserve">                                          </v>
      </c>
      <c r="B378" s="678">
        <v>357</v>
      </c>
      <c r="C378" s="679" t="s">
        <v>12560</v>
      </c>
      <c r="D378" s="679" t="s">
        <v>12567</v>
      </c>
      <c r="E378" s="680" t="s">
        <v>1006</v>
      </c>
      <c r="F378" s="681">
        <f>VLOOKUP(C378,[2]List1!$A:$D,2,FALSE)</f>
        <v>637</v>
      </c>
      <c r="G378" s="682">
        <f t="shared" si="65"/>
        <v>637</v>
      </c>
      <c r="H378" s="683">
        <f t="shared" si="66"/>
        <v>25.9</v>
      </c>
      <c r="I378" s="836">
        <v>6</v>
      </c>
      <c r="J378" s="680" t="s">
        <v>130</v>
      </c>
      <c r="K378" s="854"/>
      <c r="L378" s="855" t="s">
        <v>13856</v>
      </c>
      <c r="M378" s="680" t="s">
        <v>131</v>
      </c>
      <c r="N378" s="868">
        <f>IFERROR(VLOOKUP(C378,[3]List1!$A:$D,4,FALSE),"N/A!")</f>
        <v>4.7651999999999993E-2</v>
      </c>
      <c r="O378" s="836">
        <f>IFERROR(VLOOKUP(C378,[3]List1!$A:$D,3,FALSE),"N/A!")</f>
        <v>4350</v>
      </c>
      <c r="P378" s="836">
        <f>IFERROR(VLOOKUP(C378,[3]List1!$A:$D,2,FALSE),"N/A!")</f>
        <v>21500</v>
      </c>
      <c r="Q378" s="680" t="s">
        <v>13792</v>
      </c>
      <c r="R378" s="680" t="s">
        <v>24</v>
      </c>
      <c r="S378" s="680"/>
      <c r="T378" s="681">
        <v>40</v>
      </c>
      <c r="U378" s="873"/>
      <c r="V378" s="684" t="str">
        <f>_xlfn.IFNA(HYPERLINK("https://www.klasekpyrotechnics.cz/c253sigb"),"")</f>
        <v>https://www.klasekpyrotechnics.cz/c253sigb</v>
      </c>
      <c r="W378" s="685" t="str">
        <f>IFERROR(VLOOKUP($C378,Popisy!A:P,MATCH($W$17,Popisy!$A$7:$P$7,0),FALSE),"---------------")</f>
        <v>5 verschiedenfarbige Effekte</v>
      </c>
      <c r="X378" s="889" t="str">
        <f t="shared" si="67"/>
        <v/>
      </c>
      <c r="Y378" s="890"/>
      <c r="Z378" s="685">
        <f>IFERROR(IF(VLOOKUP(C378,[4]List1!$A:$D,4,FALSE)=0,"",VLOOKUP(C378,[4]List1!$A:$D,4,FALSE)),"")</f>
        <v>32</v>
      </c>
      <c r="AA378" s="707"/>
      <c r="AB378" s="911" t="str">
        <f>IFERROR(IF(VLOOKUP(C378,[1]List1!$A:$D,2,FALSE)="VYPRODÁNO",$V$9,IF(VLOOKUP(C378,[1]List1!$A:$D,2,FALSE)="DOCHÁZÍ",$V$3,VLOOKUP(C378,[1]List1!$A:$D,2,FALSE))),"OFFLINE!")</f>
        <v>SKLADEM</v>
      </c>
      <c r="AC378" s="911" t="str">
        <f ca="1">IF(AO378="NE",$V$10,IF(AB378=$V$3,IF(AP378&lt;1,$V$8,$V$2&amp;" "&amp;AP378&amp;" "&amp;$V$1),IF(AB378="SKLADEM",$V$6,IFERROR(IF(OR(AB378-TODAY()&gt;21,VLOOKUP(C378,[1]List1!$A:$E,4,FALSE)=0),AB378,DAY(AB378)&amp;"."&amp;MONTH(AB378)&amp;"."&amp;YEAR(AB378)&amp;" "&amp;$V$4&amp;VLOOKUP(C378,[1]List1!$A:$E,4,FALSE)&amp;" "&amp;$V$1),AB378))))</f>
        <v>AUF LAGER</v>
      </c>
      <c r="AD378" s="686" t="str">
        <f ca="1">_xlfn.IFNA(VLOOKUP(C378,'General price list'!C:AM,MATCH($AD$20,'General price list'!$C$20:$AM$20,0),FALSE),"")</f>
        <v>AUF LAGER</v>
      </c>
      <c r="AE378" s="681">
        <f t="shared" ca="1" si="68"/>
        <v>0</v>
      </c>
      <c r="AF378" s="681">
        <f t="shared" ca="1" si="69"/>
        <v>0</v>
      </c>
      <c r="AG378" s="687">
        <f t="shared" ca="1" si="70"/>
        <v>0</v>
      </c>
      <c r="AH378" s="688">
        <f t="shared" ca="1" si="71"/>
        <v>0</v>
      </c>
      <c r="AI378" s="687">
        <f t="shared" ca="1" si="72"/>
        <v>0</v>
      </c>
      <c r="AJ378" s="689" t="str">
        <f t="shared" ca="1" si="73"/>
        <v/>
      </c>
      <c r="AK378" s="689">
        <f t="shared" ca="1" si="74"/>
        <v>0</v>
      </c>
      <c r="AL378" s="689" t="str">
        <f t="shared" ca="1" si="75"/>
        <v/>
      </c>
      <c r="AM378" s="690" t="str">
        <f t="shared" ca="1" si="76"/>
        <v/>
      </c>
      <c r="AN378" s="382"/>
      <c r="AO378" s="314" t="str">
        <f>IF($R$3=1,IF(Y378=AA378,"","NE"),IF(#REF!=$V$10,"NE",""))</f>
        <v/>
      </c>
      <c r="AP378" s="315" t="str">
        <f>IF(AB378=$V$3,IF(VLOOKUP(C378,[1]List1!$A:$E,5,FALSE)=0,1,VLOOKUP(C378,[1]List1!$A:$E,5,FALSE)),"")</f>
        <v/>
      </c>
      <c r="AW378" s="458">
        <f>IFERROR(FIND(VLOOKUP('General price list'!$AB$7,'General price list'!$AC$1:$AD$12,2,FALSE),Q378,1),0)</f>
        <v>13</v>
      </c>
      <c r="AX378" s="458">
        <f>IFERROR(FIND(VLOOKUP('General price list'!$AB$7,'General price list'!$AC$1:$AD$12,2,FALSE),R378,1),0)</f>
        <v>0</v>
      </c>
    </row>
    <row r="379" spans="1:50" ht="15" customHeight="1">
      <c r="A379" s="691" t="str">
        <f>Kat.!C379</f>
        <v xml:space="preserve">                                          </v>
      </c>
      <c r="B379" s="692">
        <v>358</v>
      </c>
      <c r="C379" s="693" t="s">
        <v>1357</v>
      </c>
      <c r="D379" s="693" t="s">
        <v>1349</v>
      </c>
      <c r="E379" s="694" t="s">
        <v>1006</v>
      </c>
      <c r="F379" s="695">
        <f>VLOOKUP(C379,[2]List1!$A:$D,2,FALSE)</f>
        <v>566</v>
      </c>
      <c r="G379" s="696">
        <f t="shared" si="65"/>
        <v>566</v>
      </c>
      <c r="H379" s="697">
        <f t="shared" si="66"/>
        <v>23</v>
      </c>
      <c r="I379" s="837">
        <v>6</v>
      </c>
      <c r="J379" s="698" t="s">
        <v>130</v>
      </c>
      <c r="K379" s="856"/>
      <c r="L379" s="857" t="s">
        <v>13856</v>
      </c>
      <c r="M379" s="698" t="s">
        <v>131</v>
      </c>
      <c r="N379" s="869">
        <f>IFERROR(VLOOKUP(C379,[3]List1!$A:$D,4,FALSE),"N/A!")</f>
        <v>4.7651999999999993E-2</v>
      </c>
      <c r="O379" s="837">
        <f>IFERROR(VLOOKUP(C379,[3]List1!$A:$D,3,FALSE),"N/A!")</f>
        <v>2850</v>
      </c>
      <c r="P379" s="837">
        <f>IFERROR(VLOOKUP(C379,[3]List1!$A:$D,2,FALSE),"N/A!")</f>
        <v>19000</v>
      </c>
      <c r="Q379" s="698" t="s">
        <v>13793</v>
      </c>
      <c r="R379" s="698" t="s">
        <v>24</v>
      </c>
      <c r="S379" s="698"/>
      <c r="T379" s="695">
        <v>35</v>
      </c>
      <c r="U379" s="874"/>
      <c r="V379" s="699" t="str">
        <f>_xlfn.IFNA(HYPERLINK("https://www.klasekpyrotechnics.cz/c253fr"),"")</f>
        <v>https://www.klasekpyrotechnics.cz/c253fr</v>
      </c>
      <c r="W379" s="700" t="str">
        <f>IFERROR(VLOOKUP($C379,Popisy!A:P,MATCH($W$17,Popisy!$A$7:$P$7,0),FALSE),"---------------")</f>
        <v>5 verschiedenfarbige Effekte</v>
      </c>
      <c r="X379" s="891" t="str">
        <f t="shared" si="67"/>
        <v/>
      </c>
      <c r="Y379" s="892"/>
      <c r="Z379" s="700">
        <f>IFERROR(IF(VLOOKUP(C379,[4]List1!$A:$D,4,FALSE)=0,"",VLOOKUP(C379,[4]List1!$A:$D,4,FALSE)),"")</f>
        <v>28</v>
      </c>
      <c r="AA379" s="707"/>
      <c r="AB379" s="912" t="str">
        <f>IFERROR(IF(VLOOKUP(C379,[1]List1!$A:$D,2,FALSE)="VYPRODÁNO",$V$9,IF(VLOOKUP(C379,[1]List1!$A:$D,2,FALSE)="DOCHÁZÍ",$V$3,VLOOKUP(C379,[1]List1!$A:$D,2,FALSE))),"OFFLINE!")</f>
        <v>30.04.2024</v>
      </c>
      <c r="AC379" s="912" t="str">
        <f ca="1">IF(AO379="NE",$V$10,IF(AB379=$V$3,IF(AP379&lt;1,$V$8,$V$2&amp;" "&amp;AP379&amp;" "&amp;$V$1),IF(AB379="SKLADEM",$V$6,IFERROR(IF(OR(AB379-TODAY()&gt;21,VLOOKUP(C379,[1]List1!$A:$E,4,FALSE)=0),AB379,DAY(AB379)&amp;"."&amp;MONTH(AB379)&amp;"."&amp;YEAR(AB379)&amp;" "&amp;$V$4&amp;VLOOKUP(C379,[1]List1!$A:$E,4,FALSE)&amp;" "&amp;$V$1),AB379))))</f>
        <v>30.04.2024</v>
      </c>
      <c r="AD379" s="701" t="str">
        <f ca="1">_xlfn.IFNA(VLOOKUP(C379,'General price list'!C:AM,MATCH($AD$20,'General price list'!$C$20:$AM$20,0),FALSE),"")</f>
        <v>30.04.2024</v>
      </c>
      <c r="AE379" s="695">
        <f t="shared" ca="1" si="68"/>
        <v>0</v>
      </c>
      <c r="AF379" s="695">
        <f t="shared" ca="1" si="69"/>
        <v>0</v>
      </c>
      <c r="AG379" s="702">
        <f t="shared" ca="1" si="70"/>
        <v>0</v>
      </c>
      <c r="AH379" s="703">
        <f t="shared" ca="1" si="71"/>
        <v>0</v>
      </c>
      <c r="AI379" s="702">
        <f t="shared" ca="1" si="72"/>
        <v>0</v>
      </c>
      <c r="AJ379" s="704" t="str">
        <f t="shared" ca="1" si="73"/>
        <v/>
      </c>
      <c r="AK379" s="704">
        <f t="shared" ca="1" si="74"/>
        <v>0</v>
      </c>
      <c r="AL379" s="704" t="str">
        <f t="shared" ca="1" si="75"/>
        <v/>
      </c>
      <c r="AM379" s="705" t="str">
        <f t="shared" ca="1" si="76"/>
        <v/>
      </c>
      <c r="AN379" s="382"/>
      <c r="AO379" s="314" t="str">
        <f>IF($R$3=1,IF(Y379=AA379,"","NE"),IF(#REF!=$V$10,"NE",""))</f>
        <v/>
      </c>
      <c r="AP379" s="315" t="str">
        <f>IF(AB379=$V$3,IF(VLOOKUP(C379,[1]List1!$A:$E,5,FALSE)=0,1,VLOOKUP(C379,[1]List1!$A:$E,5,FALSE)),"")</f>
        <v/>
      </c>
      <c r="AW379" s="458">
        <f>IFERROR(FIND(VLOOKUP('General price list'!$AB$7,'General price list'!$AC$1:$AD$12,2,FALSE),Q379,1),0)</f>
        <v>13</v>
      </c>
      <c r="AX379" s="458">
        <f>IFERROR(FIND(VLOOKUP('General price list'!$AB$7,'General price list'!$AC$1:$AD$12,2,FALSE),R379,1),0)</f>
        <v>0</v>
      </c>
    </row>
    <row r="380" spans="1:50" ht="15" customHeight="1">
      <c r="A380" s="677" t="str">
        <f>Kat.!C380</f>
        <v xml:space="preserve">                                          </v>
      </c>
      <c r="B380" s="678">
        <v>359</v>
      </c>
      <c r="C380" s="679" t="s">
        <v>1358</v>
      </c>
      <c r="D380" s="679" t="s">
        <v>1354</v>
      </c>
      <c r="E380" s="680" t="s">
        <v>1006</v>
      </c>
      <c r="F380" s="681">
        <f>VLOOKUP(C380,[2]List1!$A:$D,2,FALSE)</f>
        <v>566</v>
      </c>
      <c r="G380" s="682">
        <f t="shared" si="65"/>
        <v>566</v>
      </c>
      <c r="H380" s="683">
        <f t="shared" si="66"/>
        <v>23</v>
      </c>
      <c r="I380" s="836">
        <v>6</v>
      </c>
      <c r="J380" s="680" t="s">
        <v>130</v>
      </c>
      <c r="K380" s="854"/>
      <c r="L380" s="855" t="s">
        <v>13856</v>
      </c>
      <c r="M380" s="680" t="s">
        <v>131</v>
      </c>
      <c r="N380" s="868">
        <f>IFERROR(VLOOKUP(C380,[3]List1!$A:$D,4,FALSE),"N/A!")</f>
        <v>4.7651999999999993E-2</v>
      </c>
      <c r="O380" s="836">
        <f>IFERROR(VLOOKUP(C380,[3]List1!$A:$D,3,FALSE),"N/A!")</f>
        <v>2850</v>
      </c>
      <c r="P380" s="836">
        <f>IFERROR(VLOOKUP(C380,[3]List1!$A:$D,2,FALSE),"N/A!")</f>
        <v>20500</v>
      </c>
      <c r="Q380" s="680" t="s">
        <v>13793</v>
      </c>
      <c r="R380" s="680" t="s">
        <v>24</v>
      </c>
      <c r="S380" s="680"/>
      <c r="T380" s="681">
        <v>35</v>
      </c>
      <c r="U380" s="873"/>
      <c r="V380" s="684" t="str">
        <f>_xlfn.IFNA(HYPERLINK("https://www.klasekpyrotechnics.cz/c253my"),"")</f>
        <v>https://www.klasekpyrotechnics.cz/c253my</v>
      </c>
      <c r="W380" s="685" t="str">
        <f>IFERROR(VLOOKUP($C380,Popisy!A:P,MATCH($W$17,Popisy!$A$7:$P$7,0),FALSE),"---------------")</f>
        <v>5 verschiedenfarbige Effekte</v>
      </c>
      <c r="X380" s="889" t="str">
        <f t="shared" si="67"/>
        <v/>
      </c>
      <c r="Y380" s="890"/>
      <c r="Z380" s="685">
        <f>IFERROR(IF(VLOOKUP(C380,[4]List1!$A:$D,4,FALSE)=0,"",VLOOKUP(C380,[4]List1!$A:$D,4,FALSE)),"")</f>
        <v>28</v>
      </c>
      <c r="AA380" s="707"/>
      <c r="AB380" s="911" t="str">
        <f>IFERROR(IF(VLOOKUP(C380,[1]List1!$A:$D,2,FALSE)="VYPRODÁNO",$V$9,IF(VLOOKUP(C380,[1]List1!$A:$D,2,FALSE)="DOCHÁZÍ",$V$3,VLOOKUP(C380,[1]List1!$A:$D,2,FALSE))),"OFFLINE!")</f>
        <v>30.04.2024</v>
      </c>
      <c r="AC380" s="911" t="str">
        <f ca="1">IF(AO380="NE",$V$10,IF(AB380=$V$3,IF(AP380&lt;1,$V$8,$V$2&amp;" "&amp;AP380&amp;" "&amp;$V$1),IF(AB380="SKLADEM",$V$6,IFERROR(IF(OR(AB380-TODAY()&gt;21,VLOOKUP(C380,[1]List1!$A:$E,4,FALSE)=0),AB380,DAY(AB380)&amp;"."&amp;MONTH(AB380)&amp;"."&amp;YEAR(AB380)&amp;" "&amp;$V$4&amp;VLOOKUP(C380,[1]List1!$A:$E,4,FALSE)&amp;" "&amp;$V$1),AB380))))</f>
        <v>30.04.2024</v>
      </c>
      <c r="AD380" s="686" t="str">
        <f ca="1">_xlfn.IFNA(VLOOKUP(C380,'General price list'!C:AM,MATCH($AD$20,'General price list'!$C$20:$AM$20,0),FALSE),"")</f>
        <v>30.04.2024</v>
      </c>
      <c r="AE380" s="681">
        <f t="shared" ca="1" si="68"/>
        <v>0</v>
      </c>
      <c r="AF380" s="681">
        <f t="shared" ca="1" si="69"/>
        <v>0</v>
      </c>
      <c r="AG380" s="687">
        <f t="shared" ca="1" si="70"/>
        <v>0</v>
      </c>
      <c r="AH380" s="688">
        <f t="shared" ca="1" si="71"/>
        <v>0</v>
      </c>
      <c r="AI380" s="687">
        <f t="shared" ca="1" si="72"/>
        <v>0</v>
      </c>
      <c r="AJ380" s="689" t="str">
        <f t="shared" ca="1" si="73"/>
        <v/>
      </c>
      <c r="AK380" s="689">
        <f t="shared" ca="1" si="74"/>
        <v>0</v>
      </c>
      <c r="AL380" s="689" t="str">
        <f t="shared" ca="1" si="75"/>
        <v/>
      </c>
      <c r="AM380" s="690" t="str">
        <f t="shared" ca="1" si="76"/>
        <v/>
      </c>
      <c r="AN380" s="313"/>
      <c r="AO380" s="314" t="str">
        <f>IF($R$3=1,IF(Y380=AA380,"","NE"),IF(#REF!=$V$10,"NE",""))</f>
        <v/>
      </c>
      <c r="AP380" s="315" t="str">
        <f>IF(AB380=$V$3,IF(VLOOKUP(C380,[1]List1!$A:$E,5,FALSE)=0,1,VLOOKUP(C380,[1]List1!$A:$E,5,FALSE)),"")</f>
        <v/>
      </c>
      <c r="AW380" s="458">
        <f>IFERROR(FIND(VLOOKUP('General price list'!$AB$7,'General price list'!$AC$1:$AD$12,2,FALSE),Q380,1),0)</f>
        <v>13</v>
      </c>
      <c r="AX380" s="458">
        <f>IFERROR(FIND(VLOOKUP('General price list'!$AB$7,'General price list'!$AC$1:$AD$12,2,FALSE),R380,1),0)</f>
        <v>0</v>
      </c>
    </row>
    <row r="381" spans="1:50" ht="15" customHeight="1">
      <c r="A381" s="691" t="str">
        <f>Kat.!C381</f>
        <v xml:space="preserve">                                          </v>
      </c>
      <c r="B381" s="692">
        <v>360</v>
      </c>
      <c r="C381" s="693" t="s">
        <v>1369</v>
      </c>
      <c r="D381" s="693" t="s">
        <v>13227</v>
      </c>
      <c r="E381" s="694" t="s">
        <v>1006</v>
      </c>
      <c r="F381" s="695">
        <f>VLOOKUP(C381,[2]List1!$A:$D,2,FALSE)</f>
        <v>566</v>
      </c>
      <c r="G381" s="696">
        <f t="shared" si="65"/>
        <v>566</v>
      </c>
      <c r="H381" s="697">
        <f t="shared" si="66"/>
        <v>23</v>
      </c>
      <c r="I381" s="837">
        <v>6</v>
      </c>
      <c r="J381" s="698" t="s">
        <v>130</v>
      </c>
      <c r="K381" s="856" t="s">
        <v>12593</v>
      </c>
      <c r="L381" s="857" t="s">
        <v>13856</v>
      </c>
      <c r="M381" s="698" t="s">
        <v>131</v>
      </c>
      <c r="N381" s="869">
        <f>IFERROR(VLOOKUP(C381,[3]List1!$A:$D,4,FALSE),"N/A!")</f>
        <v>4.7651999999999993E-2</v>
      </c>
      <c r="O381" s="837">
        <f>IFERROR(VLOOKUP(C381,[3]List1!$A:$D,3,FALSE),"N/A!")</f>
        <v>2412</v>
      </c>
      <c r="P381" s="837">
        <f>IFERROR(VLOOKUP(C381,[3]List1!$A:$D,2,FALSE),"N/A!")</f>
        <v>19500</v>
      </c>
      <c r="Q381" s="698" t="s">
        <v>13793</v>
      </c>
      <c r="R381" s="698" t="s">
        <v>24</v>
      </c>
      <c r="S381" s="698"/>
      <c r="T381" s="695">
        <v>25</v>
      </c>
      <c r="U381" s="874"/>
      <c r="V381" s="699" t="str">
        <f>_xlfn.IFNA(HYPERLINK("https://www.klasekpyrotechnics.cz/c253du"),"")</f>
        <v>https://www.klasekpyrotechnics.cz/c253du</v>
      </c>
      <c r="W381" s="700" t="str">
        <f>IFERROR(VLOOKUP($C381,Popisy!A:P,MATCH($W$17,Popisy!$A$7:$P$7,0),FALSE),"---------------")</f>
        <v>Silberne Minen mit der roten Spur und mit der titanischen Detonation</v>
      </c>
      <c r="X381" s="891" t="str">
        <f t="shared" si="67"/>
        <v/>
      </c>
      <c r="Y381" s="892"/>
      <c r="Z381" s="700">
        <f>IFERROR(IF(VLOOKUP(C381,[4]List1!$A:$D,4,FALSE)=0,"",VLOOKUP(C381,[4]List1!$A:$D,4,FALSE)),"")</f>
        <v>28</v>
      </c>
      <c r="AA381" s="707"/>
      <c r="AB381" s="912" t="str">
        <f>IFERROR(IF(VLOOKUP(C381,[1]List1!$A:$D,2,FALSE)="VYPRODÁNO",$V$9,IF(VLOOKUP(C381,[1]List1!$A:$D,2,FALSE)="DOCHÁZÍ",$V$3,VLOOKUP(C381,[1]List1!$A:$D,2,FALSE))),"OFFLINE!")</f>
        <v>20.06.2024</v>
      </c>
      <c r="AC381" s="912" t="str">
        <f ca="1">IF(AO381="NE",$V$10,IF(AB381=$V$3,IF(AP381&lt;1,$V$8,$V$2&amp;" "&amp;AP381&amp;" "&amp;$V$1),IF(AB381="SKLADEM",$V$6,IFERROR(IF(OR(AB381-TODAY()&gt;21,VLOOKUP(C381,[1]List1!$A:$E,4,FALSE)=0),AB381,DAY(AB381)&amp;"."&amp;MONTH(AB381)&amp;"."&amp;YEAR(AB381)&amp;" "&amp;$V$4&amp;VLOOKUP(C381,[1]List1!$A:$E,4,FALSE)&amp;" "&amp;$V$1),AB381))))</f>
        <v>20.06.2024</v>
      </c>
      <c r="AD381" s="701" t="str">
        <f ca="1">_xlfn.IFNA(VLOOKUP(C381,'General price list'!C:AM,MATCH($AD$20,'General price list'!$C$20:$AM$20,0),FALSE),"")</f>
        <v>20.06.2024</v>
      </c>
      <c r="AE381" s="695">
        <f t="shared" ca="1" si="68"/>
        <v>0</v>
      </c>
      <c r="AF381" s="695">
        <f t="shared" ca="1" si="69"/>
        <v>0</v>
      </c>
      <c r="AG381" s="702">
        <f t="shared" ca="1" si="70"/>
        <v>0</v>
      </c>
      <c r="AH381" s="703">
        <f t="shared" ca="1" si="71"/>
        <v>0</v>
      </c>
      <c r="AI381" s="702">
        <f t="shared" ca="1" si="72"/>
        <v>0</v>
      </c>
      <c r="AJ381" s="704" t="str">
        <f t="shared" ca="1" si="73"/>
        <v/>
      </c>
      <c r="AK381" s="704">
        <f t="shared" ca="1" si="74"/>
        <v>0</v>
      </c>
      <c r="AL381" s="704" t="str">
        <f t="shared" ca="1" si="75"/>
        <v/>
      </c>
      <c r="AM381" s="705" t="str">
        <f t="shared" ca="1" si="76"/>
        <v/>
      </c>
      <c r="AN381" s="313"/>
      <c r="AO381" s="314" t="str">
        <f>IF($R$3=1,IF(Y381=AA381,"","NE"),IF(#REF!=$V$10,"NE",""))</f>
        <v/>
      </c>
      <c r="AP381" s="315" t="str">
        <f>IF(AB381=$V$3,IF(VLOOKUP(C381,[1]List1!$A:$E,5,FALSE)=0,1,VLOOKUP(C381,[1]List1!$A:$E,5,FALSE)),"")</f>
        <v/>
      </c>
      <c r="AW381" s="458">
        <f>IFERROR(FIND(VLOOKUP('General price list'!$AB$7,'General price list'!$AC$1:$AD$12,2,FALSE),Q381,1),0)</f>
        <v>13</v>
      </c>
      <c r="AX381" s="458">
        <f>IFERROR(FIND(VLOOKUP('General price list'!$AB$7,'General price list'!$AC$1:$AD$12,2,FALSE),R381,1),0)</f>
        <v>0</v>
      </c>
    </row>
    <row r="382" spans="1:50" ht="15" customHeight="1">
      <c r="A382" s="672" t="str">
        <f>Kat.!C382</f>
        <v xml:space="preserve">                                          Batterien 25 schuss, 30mm Mörser F2 -1.4G</v>
      </c>
      <c r="B382" s="678">
        <v>361</v>
      </c>
      <c r="C382" s="679"/>
      <c r="D382" s="679"/>
      <c r="E382" s="680"/>
      <c r="F382" s="681" t="str">
        <f>IFERROR(ROUND(VLOOKUP(C382,'General price list'!$C:$AN,4,FALSE),0),"")</f>
        <v/>
      </c>
      <c r="G382" s="682" t="str">
        <f t="shared" si="65"/>
        <v/>
      </c>
      <c r="H382" s="683" t="str">
        <f t="shared" si="66"/>
        <v/>
      </c>
      <c r="I382" s="836"/>
      <c r="J382" s="680"/>
      <c r="K382" s="854"/>
      <c r="L382" s="855"/>
      <c r="M382" s="680"/>
      <c r="N382" s="868" t="str">
        <f>IFERROR(IF(VLOOKUP($C382,'General price list'!$C:$AN,MATCH(N$20,'General price list'!$C$20:$AM$20,0),FALSE)=0,"",VLOOKUP($C382,'General price list'!$C:$AN,MATCH(N$20,'General price list'!$C$20:$AM$20,0),FALSE)),"")</f>
        <v/>
      </c>
      <c r="O382" s="836" t="str">
        <f>IFERROR(IF(VLOOKUP($C382,'General price list'!$C:$AN,MATCH(O$20,'General price list'!$C$20:$AM$20,0),FALSE)=0,"",VLOOKUP($C382,'General price list'!$C:$AN,MATCH(O$20,'General price list'!$C$20:$AM$20,0),FALSE)),"")</f>
        <v/>
      </c>
      <c r="P382" s="836" t="str">
        <f>IFERROR(IF(VLOOKUP($C382,'General price list'!$C:$AN,MATCH(P$20,'General price list'!$C$20:$AM$20,0),FALSE)=0,"",VLOOKUP($C382,'General price list'!$C:$AN,MATCH(P$20,'General price list'!$C$20:$AM$20,0),FALSE)),"")</f>
        <v/>
      </c>
      <c r="Q382" s="680"/>
      <c r="R382" s="680"/>
      <c r="S382" s="680"/>
      <c r="T382" s="681"/>
      <c r="U382" s="873"/>
      <c r="V382" s="684"/>
      <c r="W382" s="685" t="str">
        <f>IFERROR(VLOOKUP($C382,'General price list'!$C:$AN,MATCH(W$20,'General price list'!$C$20:$AM$20,0),FALSE),"")</f>
        <v/>
      </c>
      <c r="X382" s="889" t="str">
        <f t="shared" si="67"/>
        <v/>
      </c>
      <c r="Y382" s="890"/>
      <c r="Z382" s="685" t="str">
        <f>IFERROR(VLOOKUP($C382,'General price list'!$C:$AN,MATCH(Z$20,'General price list'!$C$20:$AM$20,0),FALSE),"")</f>
        <v/>
      </c>
      <c r="AA382" s="707"/>
      <c r="AB382" s="911" t="str">
        <f>IFERROR(IF(VLOOKUP(C382,[1]List1!$A:$D,2,FALSE)="VYPRODÁNO",$V$9,IF(VLOOKUP(C382,[1]List1!$A:$D,2,FALSE)="DOCHÁZÍ",$V$3,VLOOKUP(C382,[1]List1!$A:$D,2,FALSE))),"OFFLINE!")</f>
        <v>OFFLINE!</v>
      </c>
      <c r="AC382" s="911" t="str">
        <f ca="1">IF(AO382="NE",$V$10,IF(AB382=$V$3,IF(AP382&lt;1,$V$8,$V$2&amp;" "&amp;AP382&amp;" "&amp;$V$1),IF(AB382="SKLADEM",$V$6,IFERROR(IF(OR(AB382-TODAY()&gt;21,VLOOKUP(C382,[1]List1!$A:$E,4,FALSE)=0),AB382,DAY(AB382)&amp;"."&amp;MONTH(AB382)&amp;"."&amp;YEAR(AB382)&amp;" "&amp;$V$4&amp;VLOOKUP(C382,[1]List1!$A:$E,4,FALSE)&amp;" "&amp;$V$1),AB382))))</f>
        <v>OFFLINE!</v>
      </c>
      <c r="AD382" s="686" t="str">
        <f>_xlfn.IFNA(VLOOKUP(C382,'General price list'!C:AM,MATCH($AD$20,'General price list'!$C$20:$AM$20,0),FALSE),"")</f>
        <v/>
      </c>
      <c r="AE382" s="681" t="str">
        <f t="shared" si="68"/>
        <v/>
      </c>
      <c r="AF382" s="681" t="str">
        <f t="shared" si="69"/>
        <v/>
      </c>
      <c r="AG382" s="687" t="str">
        <f t="shared" si="70"/>
        <v/>
      </c>
      <c r="AH382" s="688" t="str">
        <f t="shared" si="71"/>
        <v/>
      </c>
      <c r="AI382" s="687" t="str">
        <f t="shared" si="72"/>
        <v/>
      </c>
      <c r="AJ382" s="689" t="str">
        <f t="shared" si="73"/>
        <v/>
      </c>
      <c r="AK382" s="689" t="str">
        <f t="shared" si="74"/>
        <v/>
      </c>
      <c r="AL382" s="689" t="str">
        <f t="shared" si="75"/>
        <v/>
      </c>
      <c r="AM382" s="690" t="str">
        <f t="shared" si="76"/>
        <v/>
      </c>
      <c r="AN382" s="313"/>
      <c r="AO382" s="314" t="str">
        <f>IF($R$3=1,IF(Y382=AA382,"","NE"),IF(#REF!=$V$10,"NE",""))</f>
        <v/>
      </c>
      <c r="AP382" s="315" t="str">
        <f>IF(AB382=$V$3,IF(VLOOKUP(C382,[1]List1!$A:$E,5,FALSE)=0,1,VLOOKUP(C382,[1]List1!$A:$E,5,FALSE)),"")</f>
        <v/>
      </c>
      <c r="AW382" s="291" t="e">
        <f>VLOOKUP(C382,'General price list'!C:AU,46,FALSE)</f>
        <v>#N/A</v>
      </c>
      <c r="AX382" s="291" t="e">
        <f>VLOOKUP(C382,'General price list'!C:AU,47,FALSE)</f>
        <v>#N/A</v>
      </c>
    </row>
    <row r="383" spans="1:50" ht="15" customHeight="1">
      <c r="A383" s="691" t="str">
        <f>Kat.!C383</f>
        <v xml:space="preserve">                                          </v>
      </c>
      <c r="B383" s="692">
        <v>362</v>
      </c>
      <c r="C383" s="693" t="s">
        <v>1359</v>
      </c>
      <c r="D383" s="693" t="s">
        <v>12566</v>
      </c>
      <c r="E383" s="694" t="s">
        <v>1006</v>
      </c>
      <c r="F383" s="695">
        <f>VLOOKUP(C383,[2]List1!$A:$D,2,FALSE)</f>
        <v>530</v>
      </c>
      <c r="G383" s="696">
        <f t="shared" si="65"/>
        <v>530</v>
      </c>
      <c r="H383" s="697">
        <f t="shared" si="66"/>
        <v>21.6</v>
      </c>
      <c r="I383" s="837">
        <v>6</v>
      </c>
      <c r="J383" s="698" t="s">
        <v>45</v>
      </c>
      <c r="K383" s="856" t="s">
        <v>12593</v>
      </c>
      <c r="L383" s="857" t="s">
        <v>13858</v>
      </c>
      <c r="M383" s="698" t="s">
        <v>25</v>
      </c>
      <c r="N383" s="869">
        <f>IFERROR(VLOOKUP(C383,[3]List1!$A:$D,4,FALSE),"N/A!")</f>
        <v>4.7651999999999993E-2</v>
      </c>
      <c r="O383" s="837">
        <f>IFERROR(VLOOKUP(C383,[3]List1!$A:$D,3,FALSE),"N/A!")</f>
        <v>2550</v>
      </c>
      <c r="P383" s="837">
        <f>IFERROR(VLOOKUP(C383,[3]List1!$A:$D,2,FALSE),"N/A!")</f>
        <v>18000</v>
      </c>
      <c r="Q383" s="698" t="s">
        <v>13794</v>
      </c>
      <c r="R383" s="698" t="s">
        <v>24</v>
      </c>
      <c r="S383" s="698"/>
      <c r="T383" s="695">
        <v>30</v>
      </c>
      <c r="U383" s="874"/>
      <c r="V383" s="699" t="str">
        <f>_xlfn.IFNA(HYPERLINK("https://www.klasekpyrotechnics.cz/c253bp14"),"")</f>
        <v>https://www.klasekpyrotechnics.cz/c253bp14</v>
      </c>
      <c r="W383" s="700" t="str">
        <f>IFERROR(VLOOKUP($C383,Popisy!A:P,MATCH($W$17,Popisy!$A$7:$P$7,0),FALSE),"---------------")</f>
        <v>5 verschiedenfarbige Effekte</v>
      </c>
      <c r="X383" s="891" t="str">
        <f t="shared" si="67"/>
        <v/>
      </c>
      <c r="Y383" s="892"/>
      <c r="Z383" s="700">
        <f>IFERROR(IF(VLOOKUP(C383,[4]List1!$A:$D,4,FALSE)=0,"",VLOOKUP(C383,[4]List1!$A:$D,4,FALSE)),"")</f>
        <v>28</v>
      </c>
      <c r="AA383" s="707"/>
      <c r="AB383" s="912" t="str">
        <f>IFERROR(IF(VLOOKUP(C383,[1]List1!$A:$D,2,FALSE)="VYPRODÁNO",$V$9,IF(VLOOKUP(C383,[1]List1!$A:$D,2,FALSE)="DOCHÁZÍ",$V$3,VLOOKUP(C383,[1]List1!$A:$D,2,FALSE))),"OFFLINE!")</f>
        <v>SKLADEM</v>
      </c>
      <c r="AC383" s="912" t="str">
        <f ca="1">IF(AO383="NE",$V$10,IF(AB383=$V$3,IF(AP383&lt;1,$V$8,$V$2&amp;" "&amp;AP383&amp;" "&amp;$V$1),IF(AB383="SKLADEM",$V$6,IFERROR(IF(OR(AB383-TODAY()&gt;21,VLOOKUP(C383,[1]List1!$A:$E,4,FALSE)=0),AB383,DAY(AB383)&amp;"."&amp;MONTH(AB383)&amp;"."&amp;YEAR(AB383)&amp;" "&amp;$V$4&amp;VLOOKUP(C383,[1]List1!$A:$E,4,FALSE)&amp;" "&amp;$V$1),AB383))))</f>
        <v>AUF LAGER</v>
      </c>
      <c r="AD383" s="701" t="str">
        <f ca="1">_xlfn.IFNA(VLOOKUP(C383,'General price list'!C:AM,MATCH($AD$20,'General price list'!$C$20:$AM$20,0),FALSE),"")</f>
        <v>AUF LAGER</v>
      </c>
      <c r="AE383" s="695">
        <f t="shared" ca="1" si="68"/>
        <v>0</v>
      </c>
      <c r="AF383" s="695">
        <f t="shared" ca="1" si="69"/>
        <v>0</v>
      </c>
      <c r="AG383" s="702">
        <f t="shared" ca="1" si="70"/>
        <v>0</v>
      </c>
      <c r="AH383" s="703">
        <f t="shared" ca="1" si="71"/>
        <v>0</v>
      </c>
      <c r="AI383" s="702">
        <f t="shared" ca="1" si="72"/>
        <v>0</v>
      </c>
      <c r="AJ383" s="704" t="str">
        <f t="shared" ca="1" si="73"/>
        <v/>
      </c>
      <c r="AK383" s="704" t="str">
        <f t="shared" ca="1" si="74"/>
        <v/>
      </c>
      <c r="AL383" s="704">
        <f t="shared" ca="1" si="75"/>
        <v>0</v>
      </c>
      <c r="AM383" s="705" t="str">
        <f t="shared" ca="1" si="76"/>
        <v/>
      </c>
      <c r="AN383" s="313"/>
      <c r="AO383" s="314" t="str">
        <f>IF($R$3=1,IF(Y383=AA383,"","NE"),IF(#REF!=$V$10,"NE",""))</f>
        <v/>
      </c>
      <c r="AP383" s="315" t="str">
        <f>IF(AB383=$V$3,IF(VLOOKUP(C383,[1]List1!$A:$E,5,FALSE)=0,1,VLOOKUP(C383,[1]List1!$A:$E,5,FALSE)),"")</f>
        <v/>
      </c>
      <c r="AW383" s="458">
        <f>IFERROR(FIND(VLOOKUP('General price list'!$AB$7,'General price list'!$AC$1:$AD$12,2,FALSE),Q383,1),0)</f>
        <v>13</v>
      </c>
      <c r="AX383" s="458">
        <f>IFERROR(FIND(VLOOKUP('General price list'!$AB$7,'General price list'!$AC$1:$AD$12,2,FALSE),R383,1),0)</f>
        <v>0</v>
      </c>
    </row>
    <row r="384" spans="1:50" ht="15" customHeight="1">
      <c r="A384" s="677" t="str">
        <f>Kat.!C384</f>
        <v xml:space="preserve">                                          </v>
      </c>
      <c r="B384" s="678">
        <v>363</v>
      </c>
      <c r="C384" s="679" t="s">
        <v>1360</v>
      </c>
      <c r="D384" s="679" t="s">
        <v>12586</v>
      </c>
      <c r="E384" s="680" t="s">
        <v>1006</v>
      </c>
      <c r="F384" s="681">
        <f>VLOOKUP(C384,[2]List1!$A:$D,2,FALSE)</f>
        <v>530</v>
      </c>
      <c r="G384" s="682">
        <f t="shared" si="65"/>
        <v>530</v>
      </c>
      <c r="H384" s="683">
        <f t="shared" si="66"/>
        <v>21.6</v>
      </c>
      <c r="I384" s="836">
        <v>6</v>
      </c>
      <c r="J384" s="680" t="s">
        <v>45</v>
      </c>
      <c r="K384" s="854"/>
      <c r="L384" s="855" t="s">
        <v>13858</v>
      </c>
      <c r="M384" s="680" t="s">
        <v>25</v>
      </c>
      <c r="N384" s="868">
        <f>IFERROR(VLOOKUP(C384,[3]List1!$A:$D,4,FALSE),"N/A!")</f>
        <v>4.7651999999999993E-2</v>
      </c>
      <c r="O384" s="836">
        <f>IFERROR(VLOOKUP(C384,[3]List1!$A:$D,3,FALSE),"N/A!")</f>
        <v>2550</v>
      </c>
      <c r="P384" s="836">
        <f>IFERROR(VLOOKUP(C384,[3]List1!$A:$D,2,FALSE),"N/A!")</f>
        <v>18000</v>
      </c>
      <c r="Q384" s="680" t="s">
        <v>13795</v>
      </c>
      <c r="R384" s="680" t="s">
        <v>24</v>
      </c>
      <c r="S384" s="680"/>
      <c r="T384" s="681">
        <v>30</v>
      </c>
      <c r="U384" s="873"/>
      <c r="V384" s="684" t="str">
        <f>_xlfn.IFNA(HYPERLINK("https://www.klasekpyrotechnics.cz/c253bpf14"),"")</f>
        <v>https://www.klasekpyrotechnics.cz/c253bpf14</v>
      </c>
      <c r="W384" s="685" t="str">
        <f>IFERROR(VLOOKUP($C384,Popisy!A:P,MATCH($W$17,Popisy!$A$7:$P$7,0),FALSE),"---------------")</f>
        <v>5 verschiedenfarbige Effekte</v>
      </c>
      <c r="X384" s="889" t="str">
        <f t="shared" si="67"/>
        <v/>
      </c>
      <c r="Y384" s="890"/>
      <c r="Z384" s="685">
        <f>IFERROR(IF(VLOOKUP(C384,[4]List1!$A:$D,4,FALSE)=0,"",VLOOKUP(C384,[4]List1!$A:$D,4,FALSE)),"")</f>
        <v>28</v>
      </c>
      <c r="AA384" s="707"/>
      <c r="AB384" s="911" t="str">
        <f>IFERROR(IF(VLOOKUP(C384,[1]List1!$A:$D,2,FALSE)="VYPRODÁNO",$V$9,IF(VLOOKUP(C384,[1]List1!$A:$D,2,FALSE)="DOCHÁZÍ",$V$3,VLOOKUP(C384,[1]List1!$A:$D,2,FALSE))),"OFFLINE!")</f>
        <v>SKLADEM</v>
      </c>
      <c r="AC384" s="911" t="str">
        <f ca="1">IF(AO384="NE",$V$10,IF(AB384=$V$3,IF(AP384&lt;1,$V$8,$V$2&amp;" "&amp;AP384&amp;" "&amp;$V$1),IF(AB384="SKLADEM",$V$6,IFERROR(IF(OR(AB384-TODAY()&gt;21,VLOOKUP(C384,[1]List1!$A:$E,4,FALSE)=0),AB384,DAY(AB384)&amp;"."&amp;MONTH(AB384)&amp;"."&amp;YEAR(AB384)&amp;" "&amp;$V$4&amp;VLOOKUP(C384,[1]List1!$A:$E,4,FALSE)&amp;" "&amp;$V$1),AB384))))</f>
        <v>AUF LAGER</v>
      </c>
      <c r="AD384" s="686" t="str">
        <f ca="1">_xlfn.IFNA(VLOOKUP(C384,'General price list'!C:AM,MATCH($AD$20,'General price list'!$C$20:$AM$20,0),FALSE),"")</f>
        <v>AUF LAGER</v>
      </c>
      <c r="AE384" s="681">
        <f t="shared" ca="1" si="68"/>
        <v>0</v>
      </c>
      <c r="AF384" s="681">
        <f t="shared" ca="1" si="69"/>
        <v>0</v>
      </c>
      <c r="AG384" s="687">
        <f t="shared" ca="1" si="70"/>
        <v>0</v>
      </c>
      <c r="AH384" s="688">
        <f t="shared" ca="1" si="71"/>
        <v>0</v>
      </c>
      <c r="AI384" s="687">
        <f t="shared" ca="1" si="72"/>
        <v>0</v>
      </c>
      <c r="AJ384" s="689" t="str">
        <f t="shared" ca="1" si="73"/>
        <v/>
      </c>
      <c r="AK384" s="689" t="str">
        <f t="shared" ca="1" si="74"/>
        <v/>
      </c>
      <c r="AL384" s="689">
        <f t="shared" ca="1" si="75"/>
        <v>0</v>
      </c>
      <c r="AM384" s="690" t="str">
        <f t="shared" ca="1" si="76"/>
        <v/>
      </c>
      <c r="AN384" s="313"/>
      <c r="AO384" s="314" t="str">
        <f>IF($R$3=1,IF(Y384=AA384,"","NE"),IF(#REF!=$V$10,"NE",""))</f>
        <v/>
      </c>
      <c r="AP384" s="315" t="str">
        <f>IF(AB384=$V$3,IF(VLOOKUP(C384,[1]List1!$A:$E,5,FALSE)=0,1,VLOOKUP(C384,[1]List1!$A:$E,5,FALSE)),"")</f>
        <v/>
      </c>
      <c r="AW384" s="458">
        <f>IFERROR(FIND(VLOOKUP('General price list'!$AB$7,'General price list'!$AC$1:$AD$12,2,FALSE),Q384,1),0)</f>
        <v>13</v>
      </c>
      <c r="AX384" s="458">
        <f>IFERROR(FIND(VLOOKUP('General price list'!$AB$7,'General price list'!$AC$1:$AD$12,2,FALSE),R384,1),0)</f>
        <v>0</v>
      </c>
    </row>
    <row r="385" spans="1:50" ht="15" customHeight="1">
      <c r="A385" s="691" t="str">
        <f>Kat.!C385</f>
        <v xml:space="preserve">                                          </v>
      </c>
      <c r="B385" s="692">
        <v>364</v>
      </c>
      <c r="C385" s="693" t="s">
        <v>1361</v>
      </c>
      <c r="D385" s="693" t="s">
        <v>1240</v>
      </c>
      <c r="E385" s="694" t="s">
        <v>1006</v>
      </c>
      <c r="F385" s="695">
        <f>VLOOKUP(C385,[2]List1!$A:$D,2,FALSE)</f>
        <v>637</v>
      </c>
      <c r="G385" s="696">
        <f t="shared" si="65"/>
        <v>637</v>
      </c>
      <c r="H385" s="697">
        <f t="shared" si="66"/>
        <v>25.9</v>
      </c>
      <c r="I385" s="837">
        <v>6</v>
      </c>
      <c r="J385" s="698" t="s">
        <v>45</v>
      </c>
      <c r="K385" s="856"/>
      <c r="L385" s="857" t="s">
        <v>13858</v>
      </c>
      <c r="M385" s="698" t="s">
        <v>25</v>
      </c>
      <c r="N385" s="869">
        <f>IFERROR(VLOOKUP(C385,[3]List1!$A:$D,4,FALSE),"N/A!")</f>
        <v>4.7651999999999993E-2</v>
      </c>
      <c r="O385" s="837">
        <f>IFERROR(VLOOKUP(C385,[3]List1!$A:$D,3,FALSE),"N/A!")</f>
        <v>2958</v>
      </c>
      <c r="P385" s="837">
        <f>IFERROR(VLOOKUP(C385,[3]List1!$A:$D,2,FALSE),"N/A!")</f>
        <v>18800</v>
      </c>
      <c r="Q385" s="698" t="s">
        <v>13796</v>
      </c>
      <c r="R385" s="698" t="s">
        <v>24</v>
      </c>
      <c r="S385" s="698"/>
      <c r="T385" s="695">
        <v>30</v>
      </c>
      <c r="U385" s="874"/>
      <c r="V385" s="699" t="str">
        <f>_xlfn.IFNA(HYPERLINK("https://www.klasekpyrotechnics.cz/c253no14"),"")</f>
        <v>https://www.klasekpyrotechnics.cz/c253no14</v>
      </c>
      <c r="W385" s="700" t="str">
        <f>IFERROR(VLOOKUP($C385,Popisy!A:P,MATCH($W$17,Popisy!$A$7:$P$7,0),FALSE),"---------------")</f>
        <v>5 verschiedenfarbige Effekte - ohne Lärm</v>
      </c>
      <c r="X385" s="891" t="str">
        <f t="shared" si="67"/>
        <v/>
      </c>
      <c r="Y385" s="892"/>
      <c r="Z385" s="700">
        <f>IFERROR(IF(VLOOKUP(C385,[4]List1!$A:$D,4,FALSE)=0,"",VLOOKUP(C385,[4]List1!$A:$D,4,FALSE)),"")</f>
        <v>28</v>
      </c>
      <c r="AA385" s="707"/>
      <c r="AB385" s="912" t="str">
        <f>IFERROR(IF(VLOOKUP(C385,[1]List1!$A:$D,2,FALSE)="VYPRODÁNO",$V$9,IF(VLOOKUP(C385,[1]List1!$A:$D,2,FALSE)="DOCHÁZÍ",$V$3,VLOOKUP(C385,[1]List1!$A:$D,2,FALSE))),"OFFLINE!")</f>
        <v>15.09.2024</v>
      </c>
      <c r="AC385" s="912" t="str">
        <f ca="1">IF(AO385="NE",$V$10,IF(AB385=$V$3,IF(AP385&lt;1,$V$8,$V$2&amp;" "&amp;AP385&amp;" "&amp;$V$1),IF(AB385="SKLADEM",$V$6,IFERROR(IF(OR(AB385-TODAY()&gt;21,VLOOKUP(C385,[1]List1!$A:$E,4,FALSE)=0),AB385,DAY(AB385)&amp;"."&amp;MONTH(AB385)&amp;"."&amp;YEAR(AB385)&amp;" "&amp;$V$4&amp;VLOOKUP(C385,[1]List1!$A:$E,4,FALSE)&amp;" "&amp;$V$1),AB385))))</f>
        <v>15.09.2024</v>
      </c>
      <c r="AD385" s="701" t="str">
        <f ca="1">_xlfn.IFNA(VLOOKUP(C385,'General price list'!C:AM,MATCH($AD$20,'General price list'!$C$20:$AM$20,0),FALSE),"")</f>
        <v>15.09.2024</v>
      </c>
      <c r="AE385" s="695">
        <f t="shared" ca="1" si="68"/>
        <v>0</v>
      </c>
      <c r="AF385" s="695">
        <f t="shared" ca="1" si="69"/>
        <v>0</v>
      </c>
      <c r="AG385" s="702">
        <f t="shared" ca="1" si="70"/>
        <v>0</v>
      </c>
      <c r="AH385" s="703">
        <f t="shared" ca="1" si="71"/>
        <v>0</v>
      </c>
      <c r="AI385" s="702">
        <f t="shared" ca="1" si="72"/>
        <v>0</v>
      </c>
      <c r="AJ385" s="704" t="str">
        <f t="shared" ca="1" si="73"/>
        <v/>
      </c>
      <c r="AK385" s="704" t="str">
        <f t="shared" ca="1" si="74"/>
        <v/>
      </c>
      <c r="AL385" s="704">
        <f t="shared" ca="1" si="75"/>
        <v>0</v>
      </c>
      <c r="AM385" s="705" t="str">
        <f t="shared" ca="1" si="76"/>
        <v/>
      </c>
      <c r="AN385" s="313"/>
      <c r="AO385" s="314" t="str">
        <f>IF($R$3=1,IF(Y385=AA385,"","NE"),IF(#REF!=$V$10,"NE",""))</f>
        <v/>
      </c>
      <c r="AP385" s="315" t="str">
        <f>IF(AB385=$V$3,IF(VLOOKUP(C385,[1]List1!$A:$E,5,FALSE)=0,1,VLOOKUP(C385,[1]List1!$A:$E,5,FALSE)),"")</f>
        <v/>
      </c>
      <c r="AW385" s="458">
        <f>IFERROR(FIND(VLOOKUP('General price list'!$AB$7,'General price list'!$AC$1:$AD$12,2,FALSE),Q385,1),0)</f>
        <v>13</v>
      </c>
      <c r="AX385" s="458">
        <f>IFERROR(FIND(VLOOKUP('General price list'!$AB$7,'General price list'!$AC$1:$AD$12,2,FALSE),R385,1),0)</f>
        <v>0</v>
      </c>
    </row>
    <row r="386" spans="1:50" ht="15" customHeight="1">
      <c r="A386" s="677" t="str">
        <f>Kat.!C386</f>
        <v xml:space="preserve">                                          </v>
      </c>
      <c r="B386" s="678">
        <v>365</v>
      </c>
      <c r="C386" s="679" t="s">
        <v>1365</v>
      </c>
      <c r="D386" s="679" t="s">
        <v>1349</v>
      </c>
      <c r="E386" s="680" t="s">
        <v>1006</v>
      </c>
      <c r="F386" s="681">
        <f>VLOOKUP(C386,[2]List1!$A:$D,2,FALSE)</f>
        <v>566</v>
      </c>
      <c r="G386" s="682">
        <f t="shared" si="65"/>
        <v>566</v>
      </c>
      <c r="H386" s="683">
        <f t="shared" si="66"/>
        <v>23</v>
      </c>
      <c r="I386" s="836">
        <v>6</v>
      </c>
      <c r="J386" s="680" t="s">
        <v>45</v>
      </c>
      <c r="K386" s="854"/>
      <c r="L386" s="855" t="s">
        <v>13861</v>
      </c>
      <c r="M386" s="680" t="s">
        <v>25</v>
      </c>
      <c r="N386" s="868">
        <f>IFERROR(VLOOKUP(C386,[3]List1!$A:$D,4,FALSE),"N/A!")</f>
        <v>4.7651999999999993E-2</v>
      </c>
      <c r="O386" s="836">
        <f>IFERROR(VLOOKUP(C386,[3]List1!$A:$D,3,FALSE),"N/A!")</f>
        <v>2850</v>
      </c>
      <c r="P386" s="836">
        <f>IFERROR(VLOOKUP(C386,[3]List1!$A:$D,2,FALSE),"N/A!")</f>
        <v>20000</v>
      </c>
      <c r="Q386" s="680" t="s">
        <v>13796</v>
      </c>
      <c r="R386" s="680" t="s">
        <v>24</v>
      </c>
      <c r="S386" s="680"/>
      <c r="T386" s="681">
        <v>35</v>
      </c>
      <c r="U386" s="873"/>
      <c r="V386" s="684" t="str">
        <f>_xlfn.IFNA(HYPERLINK("https://www.klasekpyrotechnics.cz/c253b14"),"")</f>
        <v>https://www.klasekpyrotechnics.cz/c253b14</v>
      </c>
      <c r="W386" s="685" t="str">
        <f>IFERROR(VLOOKUP($C386,Popisy!A:P,MATCH($W$17,Popisy!$A$7:$P$7,0),FALSE),"---------------")</f>
        <v>5 verschiedenfarbige Effekte</v>
      </c>
      <c r="X386" s="889" t="str">
        <f t="shared" si="67"/>
        <v/>
      </c>
      <c r="Y386" s="890"/>
      <c r="Z386" s="685">
        <f>IFERROR(IF(VLOOKUP(C386,[4]List1!$A:$D,4,FALSE)=0,"",VLOOKUP(C386,[4]List1!$A:$D,4,FALSE)),"")</f>
        <v>28</v>
      </c>
      <c r="AA386" s="707"/>
      <c r="AB386" s="911" t="str">
        <f>IFERROR(IF(VLOOKUP(C386,[1]List1!$A:$D,2,FALSE)="VYPRODÁNO",$V$9,IF(VLOOKUP(C386,[1]List1!$A:$D,2,FALSE)="DOCHÁZÍ",$V$3,VLOOKUP(C386,[1]List1!$A:$D,2,FALSE))),"OFFLINE!")</f>
        <v>SKLADEM</v>
      </c>
      <c r="AC386" s="911" t="str">
        <f ca="1">IF(AO386="NE",$V$10,IF(AB386=$V$3,IF(AP386&lt;1,$V$8,$V$2&amp;" "&amp;AP386&amp;" "&amp;$V$1),IF(AB386="SKLADEM",$V$6,IFERROR(IF(OR(AB386-TODAY()&gt;21,VLOOKUP(C386,[1]List1!$A:$E,4,FALSE)=0),AB386,DAY(AB386)&amp;"."&amp;MONTH(AB386)&amp;"."&amp;YEAR(AB386)&amp;" "&amp;$V$4&amp;VLOOKUP(C386,[1]List1!$A:$E,4,FALSE)&amp;" "&amp;$V$1),AB386))))</f>
        <v>AUF LAGER</v>
      </c>
      <c r="AD386" s="686" t="str">
        <f ca="1">_xlfn.IFNA(VLOOKUP(C386,'General price list'!C:AM,MATCH($AD$20,'General price list'!$C$20:$AM$20,0),FALSE),"")</f>
        <v>AUF LAGER</v>
      </c>
      <c r="AE386" s="681">
        <f t="shared" ca="1" si="68"/>
        <v>0</v>
      </c>
      <c r="AF386" s="681">
        <f t="shared" ca="1" si="69"/>
        <v>0</v>
      </c>
      <c r="AG386" s="687">
        <f t="shared" ca="1" si="70"/>
        <v>0</v>
      </c>
      <c r="AH386" s="688">
        <f t="shared" ca="1" si="71"/>
        <v>0</v>
      </c>
      <c r="AI386" s="687">
        <f t="shared" ca="1" si="72"/>
        <v>0</v>
      </c>
      <c r="AJ386" s="689" t="str">
        <f t="shared" ca="1" si="73"/>
        <v/>
      </c>
      <c r="AK386" s="689" t="str">
        <f t="shared" ca="1" si="74"/>
        <v/>
      </c>
      <c r="AL386" s="689">
        <f t="shared" ca="1" si="75"/>
        <v>0</v>
      </c>
      <c r="AM386" s="690" t="str">
        <f t="shared" ca="1" si="76"/>
        <v/>
      </c>
      <c r="AN386" s="313"/>
      <c r="AO386" s="314" t="str">
        <f>IF($R$3=1,IF(Y386=AA386,"","NE"),IF(#REF!=$V$10,"NE",""))</f>
        <v/>
      </c>
      <c r="AP386" s="315" t="str">
        <f>IF(AB386=$V$3,IF(VLOOKUP(C386,[1]List1!$A:$E,5,FALSE)=0,1,VLOOKUP(C386,[1]List1!$A:$E,5,FALSE)),"")</f>
        <v/>
      </c>
      <c r="AW386" s="458">
        <f>IFERROR(FIND(VLOOKUP('General price list'!$AB$7,'General price list'!$AC$1:$AD$12,2,FALSE),Q386,1),0)</f>
        <v>13</v>
      </c>
      <c r="AX386" s="458">
        <f>IFERROR(FIND(VLOOKUP('General price list'!$AB$7,'General price list'!$AC$1:$AD$12,2,FALSE),R386,1),0)</f>
        <v>0</v>
      </c>
    </row>
    <row r="387" spans="1:50" ht="15" customHeight="1">
      <c r="A387" s="691" t="str">
        <f>Kat.!C387</f>
        <v xml:space="preserve">                                          </v>
      </c>
      <c r="B387" s="692">
        <v>366</v>
      </c>
      <c r="C387" s="693" t="s">
        <v>1366</v>
      </c>
      <c r="D387" s="693" t="s">
        <v>1353</v>
      </c>
      <c r="E387" s="694" t="s">
        <v>1006</v>
      </c>
      <c r="F387" s="695">
        <f>VLOOKUP(C387,[2]List1!$A:$D,2,FALSE)</f>
        <v>566</v>
      </c>
      <c r="G387" s="696">
        <f t="shared" si="65"/>
        <v>566</v>
      </c>
      <c r="H387" s="697">
        <f t="shared" si="66"/>
        <v>23</v>
      </c>
      <c r="I387" s="837">
        <v>6</v>
      </c>
      <c r="J387" s="698" t="s">
        <v>45</v>
      </c>
      <c r="K387" s="856"/>
      <c r="L387" s="857" t="s">
        <v>13832</v>
      </c>
      <c r="M387" s="698" t="s">
        <v>25</v>
      </c>
      <c r="N387" s="869">
        <f>IFERROR(VLOOKUP(C387,[3]List1!$A:$D,4,FALSE),"N/A!")</f>
        <v>4.7651999999999993E-2</v>
      </c>
      <c r="O387" s="837">
        <f>IFERROR(VLOOKUP(C387,[3]List1!$A:$D,3,FALSE),"N/A!")</f>
        <v>2850</v>
      </c>
      <c r="P387" s="837">
        <f>IFERROR(VLOOKUP(C387,[3]List1!$A:$D,2,FALSE),"N/A!")</f>
        <v>20000</v>
      </c>
      <c r="Q387" s="698" t="s">
        <v>13797</v>
      </c>
      <c r="R387" s="698" t="s">
        <v>24</v>
      </c>
      <c r="S387" s="698"/>
      <c r="T387" s="695">
        <v>35</v>
      </c>
      <c r="U387" s="874"/>
      <c r="V387" s="699" t="str">
        <f>_xlfn.IFNA(HYPERLINK("https://www.klasekpyrotechnics.cz/c253th14"),"")</f>
        <v>https://www.klasekpyrotechnics.cz/c253th14</v>
      </c>
      <c r="W387" s="700" t="str">
        <f>IFERROR(VLOOKUP($C387,Popisy!A:P,MATCH($W$17,Popisy!$A$7:$P$7,0),FALSE),"---------------")</f>
        <v>5 verschiedenfarbige wechselnde Effekte nach jedem schuss</v>
      </c>
      <c r="X387" s="891" t="str">
        <f t="shared" si="67"/>
        <v/>
      </c>
      <c r="Y387" s="892"/>
      <c r="Z387" s="700">
        <f>IFERROR(IF(VLOOKUP(C387,[4]List1!$A:$D,4,FALSE)=0,"",VLOOKUP(C387,[4]List1!$A:$D,4,FALSE)),"")</f>
        <v>28</v>
      </c>
      <c r="AA387" s="707"/>
      <c r="AB387" s="912" t="str">
        <f>IFERROR(IF(VLOOKUP(C387,[1]List1!$A:$D,2,FALSE)="VYPRODÁNO",$V$9,IF(VLOOKUP(C387,[1]List1!$A:$D,2,FALSE)="DOCHÁZÍ",$V$3,VLOOKUP(C387,[1]List1!$A:$D,2,FALSE))),"OFFLINE!")</f>
        <v>SKLADEM</v>
      </c>
      <c r="AC387" s="912" t="str">
        <f ca="1">IF(AO387="NE",$V$10,IF(AB387=$V$3,IF(AP387&lt;1,$V$8,$V$2&amp;" "&amp;AP387&amp;" "&amp;$V$1),IF(AB387="SKLADEM",$V$6,IFERROR(IF(OR(AB387-TODAY()&gt;21,VLOOKUP(C387,[1]List1!$A:$E,4,FALSE)=0),AB387,DAY(AB387)&amp;"."&amp;MONTH(AB387)&amp;"."&amp;YEAR(AB387)&amp;" "&amp;$V$4&amp;VLOOKUP(C387,[1]List1!$A:$E,4,FALSE)&amp;" "&amp;$V$1),AB387))))</f>
        <v>AUF LAGER</v>
      </c>
      <c r="AD387" s="701">
        <f>_xlfn.IFNA(VLOOKUP(C387,'General price list'!C:AM,MATCH($AD$20,'General price list'!$C$20:$AM$20,0),FALSE),"")</f>
        <v>0</v>
      </c>
      <c r="AE387" s="695">
        <f t="shared" si="68"/>
        <v>0</v>
      </c>
      <c r="AF387" s="695">
        <f t="shared" si="69"/>
        <v>0</v>
      </c>
      <c r="AG387" s="702">
        <f t="shared" si="70"/>
        <v>0</v>
      </c>
      <c r="AH387" s="703">
        <f t="shared" si="71"/>
        <v>0</v>
      </c>
      <c r="AI387" s="702">
        <f t="shared" si="72"/>
        <v>0</v>
      </c>
      <c r="AJ387" s="704" t="str">
        <f t="shared" si="73"/>
        <v/>
      </c>
      <c r="AK387" s="704" t="str">
        <f t="shared" si="74"/>
        <v/>
      </c>
      <c r="AL387" s="704">
        <f t="shared" si="75"/>
        <v>0</v>
      </c>
      <c r="AM387" s="705" t="str">
        <f t="shared" si="76"/>
        <v/>
      </c>
      <c r="AN387" s="313"/>
      <c r="AO387" s="314" t="str">
        <f>IF($R$3=1,IF(Y387=AA387,"","NE"),IF(#REF!=$V$10,"NE",""))</f>
        <v/>
      </c>
      <c r="AP387" s="315" t="str">
        <f>IF(AB387=$V$3,IF(VLOOKUP(C387,[1]List1!$A:$E,5,FALSE)=0,1,VLOOKUP(C387,[1]List1!$A:$E,5,FALSE)),"")</f>
        <v/>
      </c>
      <c r="AW387" s="458">
        <f>IFERROR(FIND(VLOOKUP('General price list'!$AB$7,'General price list'!$AC$1:$AD$12,2,FALSE),Q387,1),0)</f>
        <v>13</v>
      </c>
      <c r="AX387" s="458">
        <f>IFERROR(FIND(VLOOKUP('General price list'!$AB$7,'General price list'!$AC$1:$AD$12,2,FALSE),R387,1),0)</f>
        <v>0</v>
      </c>
    </row>
    <row r="388" spans="1:50" ht="15" customHeight="1">
      <c r="A388" s="677" t="str">
        <f>Kat.!C388</f>
        <v xml:space="preserve">                                          </v>
      </c>
      <c r="B388" s="678">
        <v>367</v>
      </c>
      <c r="C388" s="679" t="s">
        <v>1367</v>
      </c>
      <c r="D388" s="679" t="s">
        <v>1355</v>
      </c>
      <c r="E388" s="680" t="s">
        <v>1006</v>
      </c>
      <c r="F388" s="681">
        <f>VLOOKUP(C388,[2]List1!$A:$D,2,FALSE)</f>
        <v>566</v>
      </c>
      <c r="G388" s="682">
        <f t="shared" si="65"/>
        <v>566</v>
      </c>
      <c r="H388" s="683">
        <f t="shared" si="66"/>
        <v>23</v>
      </c>
      <c r="I388" s="836">
        <v>6</v>
      </c>
      <c r="J388" s="680" t="s">
        <v>45</v>
      </c>
      <c r="K388" s="854"/>
      <c r="L388" s="855" t="s">
        <v>13861</v>
      </c>
      <c r="M388" s="680" t="s">
        <v>25</v>
      </c>
      <c r="N388" s="868">
        <f>IFERROR(VLOOKUP(C388,[3]List1!$A:$D,4,FALSE),"N/A!")</f>
        <v>4.7651999999999993E-2</v>
      </c>
      <c r="O388" s="836">
        <f>IFERROR(VLOOKUP(C388,[3]List1!$A:$D,3,FALSE),"N/A!")</f>
        <v>2850</v>
      </c>
      <c r="P388" s="836">
        <f>IFERROR(VLOOKUP(C388,[3]List1!$A:$D,2,FALSE),"N/A!")</f>
        <v>19000</v>
      </c>
      <c r="Q388" s="680" t="s">
        <v>13796</v>
      </c>
      <c r="R388" s="680" t="s">
        <v>24</v>
      </c>
      <c r="S388" s="680"/>
      <c r="T388" s="681">
        <v>35</v>
      </c>
      <c r="U388" s="873"/>
      <c r="V388" s="684" t="str">
        <f>_xlfn.IFNA(HYPERLINK("https://www.klasekpyrotechnics.cz/c253e14"),"")</f>
        <v>https://www.klasekpyrotechnics.cz/c253e14</v>
      </c>
      <c r="W388" s="685" t="str">
        <f>IFERROR(VLOOKUP($C388,Popisy!A:P,MATCH($W$17,Popisy!$A$7:$P$7,0),FALSE),"---------------")</f>
        <v>5 verschiedenfarbige Effekte</v>
      </c>
      <c r="X388" s="889" t="str">
        <f t="shared" si="67"/>
        <v/>
      </c>
      <c r="Y388" s="890"/>
      <c r="Z388" s="685">
        <f>IFERROR(IF(VLOOKUP(C388,[4]List1!$A:$D,4,FALSE)=0,"",VLOOKUP(C388,[4]List1!$A:$D,4,FALSE)),"")</f>
        <v>28</v>
      </c>
      <c r="AA388" s="707"/>
      <c r="AB388" s="911" t="str">
        <f>IFERROR(IF(VLOOKUP(C388,[1]List1!$A:$D,2,FALSE)="VYPRODÁNO",$V$9,IF(VLOOKUP(C388,[1]List1!$A:$D,2,FALSE)="DOCHÁZÍ",$V$3,VLOOKUP(C388,[1]List1!$A:$D,2,FALSE))),"OFFLINE!")</f>
        <v>SKLADEM</v>
      </c>
      <c r="AC388" s="911" t="str">
        <f ca="1">IF(AO388="NE",$V$10,IF(AB388=$V$3,IF(AP388&lt;1,$V$8,$V$2&amp;" "&amp;AP388&amp;" "&amp;$V$1),IF(AB388="SKLADEM",$V$6,IFERROR(IF(OR(AB388-TODAY()&gt;21,VLOOKUP(C388,[1]List1!$A:$E,4,FALSE)=0),AB388,DAY(AB388)&amp;"."&amp;MONTH(AB388)&amp;"."&amp;YEAR(AB388)&amp;" "&amp;$V$4&amp;VLOOKUP(C388,[1]List1!$A:$E,4,FALSE)&amp;" "&amp;$V$1),AB388))))</f>
        <v>AUF LAGER</v>
      </c>
      <c r="AD388" s="686" t="str">
        <f ca="1">_xlfn.IFNA(VLOOKUP(C388,'General price list'!C:AM,MATCH($AD$20,'General price list'!$C$20:$AM$20,0),FALSE),"")</f>
        <v>AUF LAGER</v>
      </c>
      <c r="AE388" s="681">
        <f t="shared" ca="1" si="68"/>
        <v>0</v>
      </c>
      <c r="AF388" s="681">
        <f t="shared" ca="1" si="69"/>
        <v>0</v>
      </c>
      <c r="AG388" s="687">
        <f t="shared" ca="1" si="70"/>
        <v>0</v>
      </c>
      <c r="AH388" s="688">
        <f t="shared" ca="1" si="71"/>
        <v>0</v>
      </c>
      <c r="AI388" s="687">
        <f t="shared" ca="1" si="72"/>
        <v>0</v>
      </c>
      <c r="AJ388" s="689" t="str">
        <f t="shared" ca="1" si="73"/>
        <v/>
      </c>
      <c r="AK388" s="689" t="str">
        <f t="shared" ca="1" si="74"/>
        <v/>
      </c>
      <c r="AL388" s="689">
        <f t="shared" ca="1" si="75"/>
        <v>0</v>
      </c>
      <c r="AM388" s="690" t="str">
        <f t="shared" ca="1" si="76"/>
        <v/>
      </c>
      <c r="AN388" s="313"/>
      <c r="AO388" s="314" t="str">
        <f>IF($R$3=1,IF(Y388=AA388,"","NE"),IF(#REF!=$V$10,"NE",""))</f>
        <v/>
      </c>
      <c r="AP388" s="315" t="str">
        <f>IF(AB388=$V$3,IF(VLOOKUP(C388,[1]List1!$A:$E,5,FALSE)=0,1,VLOOKUP(C388,[1]List1!$A:$E,5,FALSE)),"")</f>
        <v/>
      </c>
      <c r="AW388" s="458">
        <f>IFERROR(FIND(VLOOKUP('General price list'!$AB$7,'General price list'!$AC$1:$AD$12,2,FALSE),Q388,1),0)</f>
        <v>13</v>
      </c>
      <c r="AX388" s="458">
        <f>IFERROR(FIND(VLOOKUP('General price list'!$AB$7,'General price list'!$AC$1:$AD$12,2,FALSE),R388,1),0)</f>
        <v>0</v>
      </c>
    </row>
    <row r="389" spans="1:50" ht="15" customHeight="1">
      <c r="A389" s="672" t="str">
        <f>Kat.!C389</f>
        <v xml:space="preserve">                                          Batterien 25 schuss, 30mm Mörser-1.4G</v>
      </c>
      <c r="B389" s="692">
        <v>368</v>
      </c>
      <c r="C389" s="693"/>
      <c r="D389" s="693"/>
      <c r="E389" s="694"/>
      <c r="F389" s="695" t="str">
        <f>IFERROR(ROUND(VLOOKUP(C389,'General price list'!$C:$AN,4,FALSE),0),"")</f>
        <v/>
      </c>
      <c r="G389" s="696" t="str">
        <f t="shared" si="65"/>
        <v/>
      </c>
      <c r="H389" s="697" t="str">
        <f t="shared" si="66"/>
        <v/>
      </c>
      <c r="I389" s="837"/>
      <c r="J389" s="698"/>
      <c r="K389" s="856"/>
      <c r="L389" s="857"/>
      <c r="M389" s="698"/>
      <c r="N389" s="869" t="str">
        <f>IFERROR(IF(VLOOKUP($C389,'General price list'!$C:$AN,MATCH(N$20,'General price list'!$C$20:$AM$20,0),FALSE)=0,"",VLOOKUP($C389,'General price list'!$C:$AN,MATCH(N$20,'General price list'!$C$20:$AM$20,0),FALSE)),"")</f>
        <v/>
      </c>
      <c r="O389" s="837" t="str">
        <f>IFERROR(IF(VLOOKUP($C389,'General price list'!$C:$AN,MATCH(O$20,'General price list'!$C$20:$AM$20,0),FALSE)=0,"",VLOOKUP($C389,'General price list'!$C:$AN,MATCH(O$20,'General price list'!$C$20:$AM$20,0),FALSE)),"")</f>
        <v/>
      </c>
      <c r="P389" s="837" t="str">
        <f>IFERROR(IF(VLOOKUP($C389,'General price list'!$C:$AN,MATCH(P$20,'General price list'!$C$20:$AM$20,0),FALSE)=0,"",VLOOKUP($C389,'General price list'!$C:$AN,MATCH(P$20,'General price list'!$C$20:$AM$20,0),FALSE)),"")</f>
        <v/>
      </c>
      <c r="Q389" s="698"/>
      <c r="R389" s="698"/>
      <c r="S389" s="698"/>
      <c r="T389" s="695"/>
      <c r="U389" s="874"/>
      <c r="V389" s="699"/>
      <c r="W389" s="700" t="str">
        <f>IFERROR(VLOOKUP($C389,'General price list'!$C:$AN,MATCH(W$20,'General price list'!$C$20:$AM$20,0),FALSE),"")</f>
        <v/>
      </c>
      <c r="X389" s="891" t="str">
        <f t="shared" si="67"/>
        <v/>
      </c>
      <c r="Y389" s="892"/>
      <c r="Z389" s="700" t="str">
        <f>IFERROR(VLOOKUP($C389,'General price list'!$C:$AN,MATCH(Z$20,'General price list'!$C$20:$AM$20,0),FALSE),"")</f>
        <v/>
      </c>
      <c r="AA389" s="707"/>
      <c r="AB389" s="912" t="str">
        <f>IFERROR(IF(VLOOKUP(C389,[1]List1!$A:$D,2,FALSE)="VYPRODÁNO",$V$9,IF(VLOOKUP(C389,[1]List1!$A:$D,2,FALSE)="DOCHÁZÍ",$V$3,VLOOKUP(C389,[1]List1!$A:$D,2,FALSE))),"OFFLINE!")</f>
        <v>OFFLINE!</v>
      </c>
      <c r="AC389" s="912" t="str">
        <f ca="1">IF(AO389="NE",$V$10,IF(AB389=$V$3,IF(AP389&lt;1,$V$8,$V$2&amp;" "&amp;AP389&amp;" "&amp;$V$1),IF(AB389="SKLADEM",$V$6,IFERROR(IF(OR(AB389-TODAY()&gt;21,VLOOKUP(C389,[1]List1!$A:$E,4,FALSE)=0),AB389,DAY(AB389)&amp;"."&amp;MONTH(AB389)&amp;"."&amp;YEAR(AB389)&amp;" "&amp;$V$4&amp;VLOOKUP(C389,[1]List1!$A:$E,4,FALSE)&amp;" "&amp;$V$1),AB389))))</f>
        <v>OFFLINE!</v>
      </c>
      <c r="AD389" s="701" t="str">
        <f>_xlfn.IFNA(VLOOKUP(C389,'General price list'!C:AM,MATCH($AD$20,'General price list'!$C$20:$AM$20,0),FALSE),"")</f>
        <v/>
      </c>
      <c r="AE389" s="695" t="str">
        <f t="shared" si="68"/>
        <v/>
      </c>
      <c r="AF389" s="695" t="str">
        <f t="shared" si="69"/>
        <v/>
      </c>
      <c r="AG389" s="702" t="str">
        <f t="shared" si="70"/>
        <v/>
      </c>
      <c r="AH389" s="703" t="str">
        <f t="shared" si="71"/>
        <v/>
      </c>
      <c r="AI389" s="702" t="str">
        <f t="shared" si="72"/>
        <v/>
      </c>
      <c r="AJ389" s="704" t="str">
        <f t="shared" si="73"/>
        <v/>
      </c>
      <c r="AK389" s="704" t="str">
        <f t="shared" si="74"/>
        <v/>
      </c>
      <c r="AL389" s="704" t="str">
        <f t="shared" si="75"/>
        <v/>
      </c>
      <c r="AM389" s="705" t="str">
        <f t="shared" si="76"/>
        <v/>
      </c>
      <c r="AN389" s="381"/>
      <c r="AO389" s="314" t="str">
        <f>IF($R$3=1,IF(Y389=AA389,"","NE"),IF(#REF!=$V$10,"NE",""))</f>
        <v/>
      </c>
      <c r="AP389" s="315" t="str">
        <f>IF(AB389=$V$3,IF(VLOOKUP(C389,[1]List1!$A:$E,5,FALSE)=0,1,VLOOKUP(C389,[1]List1!$A:$E,5,FALSE)),"")</f>
        <v/>
      </c>
      <c r="AW389" s="291" t="e">
        <f>VLOOKUP(C389,'General price list'!C:AU,46,FALSE)</f>
        <v>#N/A</v>
      </c>
      <c r="AX389" s="291" t="e">
        <f>VLOOKUP(C389,'General price list'!C:AU,47,FALSE)</f>
        <v>#N/A</v>
      </c>
    </row>
    <row r="390" spans="1:50" ht="15" customHeight="1">
      <c r="A390" s="677" t="str">
        <f>Kat.!C390</f>
        <v xml:space="preserve">                                          </v>
      </c>
      <c r="B390" s="678">
        <v>369</v>
      </c>
      <c r="C390" s="679" t="s">
        <v>1378</v>
      </c>
      <c r="D390" s="679" t="s">
        <v>1373</v>
      </c>
      <c r="E390" s="680" t="s">
        <v>1006</v>
      </c>
      <c r="F390" s="681">
        <f>VLOOKUP(C390,[2]List1!$A:$D,2,FALSE)</f>
        <v>566</v>
      </c>
      <c r="G390" s="682">
        <f t="shared" si="65"/>
        <v>566</v>
      </c>
      <c r="H390" s="683">
        <f t="shared" si="66"/>
        <v>23</v>
      </c>
      <c r="I390" s="836">
        <v>6</v>
      </c>
      <c r="J390" s="680" t="s">
        <v>45</v>
      </c>
      <c r="K390" s="854"/>
      <c r="L390" s="855" t="s">
        <v>13861</v>
      </c>
      <c r="M390" s="680" t="s">
        <v>25</v>
      </c>
      <c r="N390" s="868">
        <f>IFERROR(VLOOKUP(C390,[3]List1!$A:$D,4,FALSE),"N/A!")</f>
        <v>4.7651999999999993E-2</v>
      </c>
      <c r="O390" s="836">
        <f>IFERROR(VLOOKUP(C390,[3]List1!$A:$D,3,FALSE),"N/A!")</f>
        <v>2850</v>
      </c>
      <c r="P390" s="836">
        <f>IFERROR(VLOOKUP(C390,[3]List1!$A:$D,2,FALSE),"N/A!")</f>
        <v>17500</v>
      </c>
      <c r="Q390" s="680" t="s">
        <v>13797</v>
      </c>
      <c r="R390" s="680" t="s">
        <v>24</v>
      </c>
      <c r="S390" s="680"/>
      <c r="T390" s="681">
        <v>35</v>
      </c>
      <c r="U390" s="873"/>
      <c r="V390" s="684" t="str">
        <f>_xlfn.IFNA(HYPERLINK("https://www.klasekpyrotechnics.cz/c253f14"),"")</f>
        <v>https://www.klasekpyrotechnics.cz/c253f14</v>
      </c>
      <c r="W390" s="685" t="str">
        <f>IFERROR(VLOOKUP($C390,Popisy!A:P,MATCH($W$17,Popisy!$A$7:$P$7,0),FALSE),"---------------")</f>
        <v>Brokatkrone mit violetten enden</v>
      </c>
      <c r="X390" s="889" t="str">
        <f t="shared" si="67"/>
        <v/>
      </c>
      <c r="Y390" s="890"/>
      <c r="Z390" s="685">
        <f>IFERROR(IF(VLOOKUP(C390,[4]List1!$A:$D,4,FALSE)=0,"",VLOOKUP(C390,[4]List1!$A:$D,4,FALSE)),"")</f>
        <v>28</v>
      </c>
      <c r="AA390" s="707"/>
      <c r="AB390" s="911" t="str">
        <f>IFERROR(IF(VLOOKUP(C390,[1]List1!$A:$D,2,FALSE)="VYPRODÁNO",$V$9,IF(VLOOKUP(C390,[1]List1!$A:$D,2,FALSE)="DOCHÁZÍ",$V$3,VLOOKUP(C390,[1]List1!$A:$D,2,FALSE))),"OFFLINE!")</f>
        <v>LETZTE STÜCKE</v>
      </c>
      <c r="AC390" s="911" t="str">
        <f ca="1">IF(AO390="NE",$V$10,IF(AB390=$V$3,IF(AP390&lt;1,$V$8,$V$2&amp;" "&amp;AP390&amp;" "&amp;$V$1),IF(AB390="SKLADEM",$V$6,IFERROR(IF(OR(AB390-TODAY()&gt;21,VLOOKUP(C390,[1]List1!$A:$E,4,FALSE)=0),AB390,DAY(AB390)&amp;"."&amp;MONTH(AB390)&amp;"."&amp;YEAR(AB390)&amp;" "&amp;$V$4&amp;VLOOKUP(C390,[1]List1!$A:$E,4,FALSE)&amp;" "&amp;$V$1),AB390))))</f>
        <v>LETZTE 2 KTN</v>
      </c>
      <c r="AD390" s="686" t="str">
        <f ca="1">_xlfn.IFNA(VLOOKUP(C390,'General price list'!C:AM,MATCH($AD$20,'General price list'!$C$20:$AM$20,0),FALSE),"")</f>
        <v>LETZTE 2 KTN</v>
      </c>
      <c r="AE390" s="681">
        <f t="shared" ca="1" si="68"/>
        <v>0</v>
      </c>
      <c r="AF390" s="681">
        <f t="shared" ca="1" si="69"/>
        <v>0</v>
      </c>
      <c r="AG390" s="687">
        <f t="shared" ca="1" si="70"/>
        <v>0</v>
      </c>
      <c r="AH390" s="688">
        <f t="shared" ca="1" si="71"/>
        <v>0</v>
      </c>
      <c r="AI390" s="687">
        <f t="shared" ca="1" si="72"/>
        <v>0</v>
      </c>
      <c r="AJ390" s="689" t="str">
        <f t="shared" ca="1" si="73"/>
        <v/>
      </c>
      <c r="AK390" s="689" t="str">
        <f t="shared" ca="1" si="74"/>
        <v/>
      </c>
      <c r="AL390" s="689">
        <f t="shared" ca="1" si="75"/>
        <v>0</v>
      </c>
      <c r="AM390" s="690" t="str">
        <f t="shared" ca="1" si="76"/>
        <v/>
      </c>
      <c r="AN390" s="313"/>
      <c r="AO390" s="314" t="str">
        <f>IF($R$3=1,IF(Y390=AA390,"","NE"),IF(#REF!=$V$10,"NE",""))</f>
        <v/>
      </c>
      <c r="AP390" s="315">
        <f>IF(AB390=$V$3,IF(VLOOKUP(C390,[1]List1!$A:$E,5,FALSE)=0,1,VLOOKUP(C390,[1]List1!$A:$E,5,FALSE)),"")</f>
        <v>2</v>
      </c>
      <c r="AW390" s="458">
        <f>IFERROR(FIND(VLOOKUP('General price list'!$AB$7,'General price list'!$AC$1:$AD$12,2,FALSE),Q390,1),0)</f>
        <v>13</v>
      </c>
      <c r="AX390" s="458">
        <f>IFERROR(FIND(VLOOKUP('General price list'!$AB$7,'General price list'!$AC$1:$AD$12,2,FALSE),R390,1),0)</f>
        <v>0</v>
      </c>
    </row>
    <row r="391" spans="1:50" ht="15" customHeight="1">
      <c r="A391" s="672" t="str">
        <f>Kat.!C391</f>
        <v xml:space="preserve">                                          Batterien 25 schuss, 30mm schräg Mörser-1.4G</v>
      </c>
      <c r="B391" s="692">
        <v>370</v>
      </c>
      <c r="C391" s="693"/>
      <c r="D391" s="693"/>
      <c r="E391" s="694"/>
      <c r="F391" s="695" t="str">
        <f>IFERROR(ROUND(VLOOKUP(C391,'General price list'!$C:$AN,4,FALSE),0),"")</f>
        <v/>
      </c>
      <c r="G391" s="696" t="str">
        <f t="shared" si="65"/>
        <v/>
      </c>
      <c r="H391" s="697" t="str">
        <f t="shared" si="66"/>
        <v/>
      </c>
      <c r="I391" s="837"/>
      <c r="J391" s="698"/>
      <c r="K391" s="856"/>
      <c r="L391" s="857"/>
      <c r="M391" s="698"/>
      <c r="N391" s="869" t="str">
        <f>IFERROR(IF(VLOOKUP($C391,'General price list'!$C:$AN,MATCH(N$20,'General price list'!$C$20:$AM$20,0),FALSE)=0,"",VLOOKUP($C391,'General price list'!$C:$AN,MATCH(N$20,'General price list'!$C$20:$AM$20,0),FALSE)),"")</f>
        <v/>
      </c>
      <c r="O391" s="837" t="str">
        <f>IFERROR(IF(VLOOKUP($C391,'General price list'!$C:$AN,MATCH(O$20,'General price list'!$C$20:$AM$20,0),FALSE)=0,"",VLOOKUP($C391,'General price list'!$C:$AN,MATCH(O$20,'General price list'!$C$20:$AM$20,0),FALSE)),"")</f>
        <v/>
      </c>
      <c r="P391" s="837" t="str">
        <f>IFERROR(IF(VLOOKUP($C391,'General price list'!$C:$AN,MATCH(P$20,'General price list'!$C$20:$AM$20,0),FALSE)=0,"",VLOOKUP($C391,'General price list'!$C:$AN,MATCH(P$20,'General price list'!$C$20:$AM$20,0),FALSE)),"")</f>
        <v/>
      </c>
      <c r="Q391" s="698"/>
      <c r="R391" s="698"/>
      <c r="S391" s="698"/>
      <c r="T391" s="695"/>
      <c r="U391" s="874"/>
      <c r="V391" s="699"/>
      <c r="W391" s="700" t="str">
        <f>IFERROR(VLOOKUP($C391,'General price list'!$C:$AN,MATCH(W$20,'General price list'!$C$20:$AM$20,0),FALSE),"")</f>
        <v/>
      </c>
      <c r="X391" s="891" t="str">
        <f t="shared" si="67"/>
        <v/>
      </c>
      <c r="Y391" s="892"/>
      <c r="Z391" s="700" t="str">
        <f>IFERROR(VLOOKUP($C391,'General price list'!$C:$AN,MATCH(Z$20,'General price list'!$C$20:$AM$20,0),FALSE),"")</f>
        <v/>
      </c>
      <c r="AA391" s="707"/>
      <c r="AB391" s="912" t="str">
        <f>IFERROR(IF(VLOOKUP(C391,[1]List1!$A:$D,2,FALSE)="VYPRODÁNO",$V$9,IF(VLOOKUP(C391,[1]List1!$A:$D,2,FALSE)="DOCHÁZÍ",$V$3,VLOOKUP(C391,[1]List1!$A:$D,2,FALSE))),"OFFLINE!")</f>
        <v>OFFLINE!</v>
      </c>
      <c r="AC391" s="912" t="str">
        <f ca="1">IF(AO391="NE",$V$10,IF(AB391=$V$3,IF(AP391&lt;1,$V$8,$V$2&amp;" "&amp;AP391&amp;" "&amp;$V$1),IF(AB391="SKLADEM",$V$6,IFERROR(IF(OR(AB391-TODAY()&gt;21,VLOOKUP(C391,[1]List1!$A:$E,4,FALSE)=0),AB391,DAY(AB391)&amp;"."&amp;MONTH(AB391)&amp;"."&amp;YEAR(AB391)&amp;" "&amp;$V$4&amp;VLOOKUP(C391,[1]List1!$A:$E,4,FALSE)&amp;" "&amp;$V$1),AB391))))</f>
        <v>OFFLINE!</v>
      </c>
      <c r="AD391" s="701" t="str">
        <f>_xlfn.IFNA(VLOOKUP(C391,'General price list'!C:AM,MATCH($AD$20,'General price list'!$C$20:$AM$20,0),FALSE),"")</f>
        <v/>
      </c>
      <c r="AE391" s="695" t="str">
        <f t="shared" si="68"/>
        <v/>
      </c>
      <c r="AF391" s="695" t="str">
        <f t="shared" si="69"/>
        <v/>
      </c>
      <c r="AG391" s="702" t="str">
        <f t="shared" si="70"/>
        <v/>
      </c>
      <c r="AH391" s="703" t="str">
        <f t="shared" si="71"/>
        <v/>
      </c>
      <c r="AI391" s="702" t="str">
        <f t="shared" si="72"/>
        <v/>
      </c>
      <c r="AJ391" s="704" t="str">
        <f t="shared" si="73"/>
        <v/>
      </c>
      <c r="AK391" s="704" t="str">
        <f t="shared" si="74"/>
        <v/>
      </c>
      <c r="AL391" s="704" t="str">
        <f t="shared" si="75"/>
        <v/>
      </c>
      <c r="AM391" s="705" t="str">
        <f t="shared" si="76"/>
        <v/>
      </c>
      <c r="AN391" s="313"/>
      <c r="AO391" s="314" t="str">
        <f>IF($R$3=1,IF(Y391=AA391,"","NE"),IF(#REF!=$V$10,"NE",""))</f>
        <v/>
      </c>
      <c r="AP391" s="315" t="str">
        <f>IF(AB391=$V$3,IF(VLOOKUP(C391,[1]List1!$A:$E,5,FALSE)=0,1,VLOOKUP(C391,[1]List1!$A:$E,5,FALSE)),"")</f>
        <v/>
      </c>
      <c r="AW391" s="291" t="e">
        <f>VLOOKUP(C391,'General price list'!C:AU,46,FALSE)</f>
        <v>#N/A</v>
      </c>
      <c r="AX391" s="291" t="e">
        <f>VLOOKUP(C391,'General price list'!C:AU,47,FALSE)</f>
        <v>#N/A</v>
      </c>
    </row>
    <row r="392" spans="1:50" ht="15" customHeight="1">
      <c r="A392" s="677" t="str">
        <f>Kat.!C392</f>
        <v xml:space="preserve">                                          </v>
      </c>
      <c r="B392" s="678">
        <v>371</v>
      </c>
      <c r="C392" s="679" t="s">
        <v>1383</v>
      </c>
      <c r="D392" s="679" t="s">
        <v>1380</v>
      </c>
      <c r="E392" s="680" t="s">
        <v>1006</v>
      </c>
      <c r="F392" s="681">
        <f>VLOOKUP(C392,[2]List1!$A:$D,2,FALSE)</f>
        <v>655</v>
      </c>
      <c r="G392" s="682">
        <f t="shared" si="65"/>
        <v>655</v>
      </c>
      <c r="H392" s="683">
        <f t="shared" si="66"/>
        <v>26.6</v>
      </c>
      <c r="I392" s="836">
        <v>6</v>
      </c>
      <c r="J392" s="680" t="s">
        <v>45</v>
      </c>
      <c r="K392" s="854"/>
      <c r="L392" s="855" t="s">
        <v>13862</v>
      </c>
      <c r="M392" s="680" t="s">
        <v>25</v>
      </c>
      <c r="N392" s="868">
        <f>IFERROR(VLOOKUP(C392,[3]List1!$A:$D,4,FALSE),"N/A!")</f>
        <v>8.3072000000000007E-2</v>
      </c>
      <c r="O392" s="836">
        <f>IFERROR(VLOOKUP(C392,[3]List1!$A:$D,3,FALSE),"N/A!")</f>
        <v>2850</v>
      </c>
      <c r="P392" s="836">
        <f>IFERROR(VLOOKUP(C392,[3]List1!$A:$D,2,FALSE),"N/A!")</f>
        <v>20000</v>
      </c>
      <c r="Q392" s="680" t="s">
        <v>13798</v>
      </c>
      <c r="R392" s="680" t="s">
        <v>24</v>
      </c>
      <c r="S392" s="680"/>
      <c r="T392" s="681">
        <v>35</v>
      </c>
      <c r="U392" s="873"/>
      <c r="V392" s="684" t="str">
        <f>_xlfn.IFNA(HYPERLINK("https://www.klasekpyrotechnics.cz/cf253r14"),"")</f>
        <v>https://www.klasekpyrotechnics.cz/cf253r14</v>
      </c>
      <c r="W392" s="685" t="str">
        <f>IFERROR(VLOOKUP($C392,Popisy!A:P,MATCH($W$17,Popisy!$A$7:$P$7,0),FALSE),"---------------")</f>
        <v>5 verschiedenfarbige Effekte</v>
      </c>
      <c r="X392" s="889" t="str">
        <f t="shared" si="67"/>
        <v/>
      </c>
      <c r="Y392" s="890"/>
      <c r="Z392" s="685">
        <f>IFERROR(IF(VLOOKUP(C392,[4]List1!$A:$D,4,FALSE)=0,"",VLOOKUP(C392,[4]List1!$A:$D,4,FALSE)),"")</f>
        <v>16</v>
      </c>
      <c r="AA392" s="707"/>
      <c r="AB392" s="911" t="str">
        <f>IFERROR(IF(VLOOKUP(C392,[1]List1!$A:$D,2,FALSE)="VYPRODÁNO",$V$9,IF(VLOOKUP(C392,[1]List1!$A:$D,2,FALSE)="DOCHÁZÍ",$V$3,VLOOKUP(C392,[1]List1!$A:$D,2,FALSE))),"OFFLINE!")</f>
        <v>15.05.2024</v>
      </c>
      <c r="AC392" s="911" t="str">
        <f ca="1">IF(AO392="NE",$V$10,IF(AB392=$V$3,IF(AP392&lt;1,$V$8,$V$2&amp;" "&amp;AP392&amp;" "&amp;$V$1),IF(AB392="SKLADEM",$V$6,IFERROR(IF(OR(AB392-TODAY()&gt;21,VLOOKUP(C392,[1]List1!$A:$E,4,FALSE)=0),AB392,DAY(AB392)&amp;"."&amp;MONTH(AB392)&amp;"."&amp;YEAR(AB392)&amp;" "&amp;$V$4&amp;VLOOKUP(C392,[1]List1!$A:$E,4,FALSE)&amp;" "&amp;$V$1),AB392))))</f>
        <v>15.05.2024</v>
      </c>
      <c r="AD392" s="686" t="str">
        <f ca="1">_xlfn.IFNA(VLOOKUP(C392,'General price list'!C:AM,MATCH($AD$20,'General price list'!$C$20:$AM$20,0),FALSE),"")</f>
        <v>15.05.2024</v>
      </c>
      <c r="AE392" s="681">
        <f t="shared" ca="1" si="68"/>
        <v>0</v>
      </c>
      <c r="AF392" s="681">
        <f t="shared" ca="1" si="69"/>
        <v>0</v>
      </c>
      <c r="AG392" s="687">
        <f t="shared" ca="1" si="70"/>
        <v>0</v>
      </c>
      <c r="AH392" s="688">
        <f t="shared" ca="1" si="71"/>
        <v>0</v>
      </c>
      <c r="AI392" s="687">
        <f t="shared" ca="1" si="72"/>
        <v>0</v>
      </c>
      <c r="AJ392" s="689" t="str">
        <f t="shared" ca="1" si="73"/>
        <v/>
      </c>
      <c r="AK392" s="689" t="str">
        <f t="shared" ca="1" si="74"/>
        <v/>
      </c>
      <c r="AL392" s="689">
        <f t="shared" ca="1" si="75"/>
        <v>0</v>
      </c>
      <c r="AM392" s="690" t="str">
        <f t="shared" ca="1" si="76"/>
        <v/>
      </c>
      <c r="AN392" s="313"/>
      <c r="AO392" s="314" t="str">
        <f>IF($R$3=1,IF(Y392=AA392,"","NE"),IF(#REF!=$V$10,"NE",""))</f>
        <v/>
      </c>
      <c r="AP392" s="315" t="str">
        <f>IF(AB392=$V$3,IF(VLOOKUP(C392,[1]List1!$A:$E,5,FALSE)=0,1,VLOOKUP(C392,[1]List1!$A:$E,5,FALSE)),"")</f>
        <v/>
      </c>
      <c r="AW392" s="458">
        <f>IFERROR(FIND(VLOOKUP('General price list'!$AB$7,'General price list'!$AC$1:$AD$12,2,FALSE),Q392,1),0)</f>
        <v>13</v>
      </c>
      <c r="AX392" s="458">
        <f>IFERROR(FIND(VLOOKUP('General price list'!$AB$7,'General price list'!$AC$1:$AD$12,2,FALSE),R392,1),0)</f>
        <v>0</v>
      </c>
    </row>
    <row r="393" spans="1:50" ht="15" customHeight="1">
      <c r="A393" s="691" t="str">
        <f>Kat.!C393</f>
        <v xml:space="preserve">                                          </v>
      </c>
      <c r="B393" s="692">
        <v>372</v>
      </c>
      <c r="C393" s="693" t="s">
        <v>1384</v>
      </c>
      <c r="D393" s="693" t="s">
        <v>1381</v>
      </c>
      <c r="E393" s="694" t="s">
        <v>1006</v>
      </c>
      <c r="F393" s="695">
        <f>VLOOKUP(C393,[2]List1!$A:$D,2,FALSE)</f>
        <v>655</v>
      </c>
      <c r="G393" s="696">
        <f t="shared" si="65"/>
        <v>655</v>
      </c>
      <c r="H393" s="697">
        <f t="shared" si="66"/>
        <v>26.6</v>
      </c>
      <c r="I393" s="837">
        <v>6</v>
      </c>
      <c r="J393" s="698" t="s">
        <v>45</v>
      </c>
      <c r="K393" s="856"/>
      <c r="L393" s="857" t="s">
        <v>13832</v>
      </c>
      <c r="M393" s="698" t="s">
        <v>25</v>
      </c>
      <c r="N393" s="869">
        <f>IFERROR(VLOOKUP(C393,[3]List1!$A:$D,4,FALSE),"N/A!")</f>
        <v>8.3072000000000007E-2</v>
      </c>
      <c r="O393" s="837">
        <f>IFERROR(VLOOKUP(C393,[3]List1!$A:$D,3,FALSE),"N/A!")</f>
        <v>2850</v>
      </c>
      <c r="P393" s="837">
        <f>IFERROR(VLOOKUP(C393,[3]List1!$A:$D,2,FALSE),"N/A!")</f>
        <v>20000</v>
      </c>
      <c r="Q393" s="698" t="s">
        <v>13798</v>
      </c>
      <c r="R393" s="698" t="s">
        <v>24</v>
      </c>
      <c r="S393" s="698"/>
      <c r="T393" s="695">
        <v>35</v>
      </c>
      <c r="U393" s="874"/>
      <c r="V393" s="699" t="str">
        <f>_xlfn.IFNA(HYPERLINK("https://www.klasekpyrotechnics.cz/cf253d14"),"")</f>
        <v>https://www.klasekpyrotechnics.cz/cf253d14</v>
      </c>
      <c r="W393" s="700" t="str">
        <f>IFERROR(VLOOKUP($C393,Popisy!A:P,MATCH($W$17,Popisy!$A$7:$P$7,0),FALSE),"---------------")</f>
        <v>5 verschiedenfarbige wechselnde Effekte nach jedem schuss</v>
      </c>
      <c r="X393" s="891" t="str">
        <f t="shared" si="67"/>
        <v/>
      </c>
      <c r="Y393" s="892"/>
      <c r="Z393" s="700">
        <f>IFERROR(IF(VLOOKUP(C393,[4]List1!$A:$D,4,FALSE)=0,"",VLOOKUP(C393,[4]List1!$A:$D,4,FALSE)),"")</f>
        <v>16</v>
      </c>
      <c r="AA393" s="707"/>
      <c r="AB393" s="912" t="str">
        <f>IFERROR(IF(VLOOKUP(C393,[1]List1!$A:$D,2,FALSE)="VYPRODÁNO",$V$9,IF(VLOOKUP(C393,[1]List1!$A:$D,2,FALSE)="DOCHÁZÍ",$V$3,VLOOKUP(C393,[1]List1!$A:$D,2,FALSE))),"OFFLINE!")</f>
        <v>15.05.2024</v>
      </c>
      <c r="AC393" s="912" t="str">
        <f ca="1">IF(AO393="NE",$V$10,IF(AB393=$V$3,IF(AP393&lt;1,$V$8,$V$2&amp;" "&amp;AP393&amp;" "&amp;$V$1),IF(AB393="SKLADEM",$V$6,IFERROR(IF(OR(AB393-TODAY()&gt;21,VLOOKUP(C393,[1]List1!$A:$E,4,FALSE)=0),AB393,DAY(AB393)&amp;"."&amp;MONTH(AB393)&amp;"."&amp;YEAR(AB393)&amp;" "&amp;$V$4&amp;VLOOKUP(C393,[1]List1!$A:$E,4,FALSE)&amp;" "&amp;$V$1),AB393))))</f>
        <v>15.05.2024</v>
      </c>
      <c r="AD393" s="701" t="str">
        <f ca="1">_xlfn.IFNA(VLOOKUP(C393,'General price list'!C:AM,MATCH($AD$20,'General price list'!$C$20:$AM$20,0),FALSE),"")</f>
        <v>15.05.2024</v>
      </c>
      <c r="AE393" s="695">
        <f t="shared" ca="1" si="68"/>
        <v>0</v>
      </c>
      <c r="AF393" s="695">
        <f t="shared" ca="1" si="69"/>
        <v>0</v>
      </c>
      <c r="AG393" s="702">
        <f t="shared" ca="1" si="70"/>
        <v>0</v>
      </c>
      <c r="AH393" s="703">
        <f t="shared" ca="1" si="71"/>
        <v>0</v>
      </c>
      <c r="AI393" s="702">
        <f t="shared" ca="1" si="72"/>
        <v>0</v>
      </c>
      <c r="AJ393" s="704" t="str">
        <f t="shared" ca="1" si="73"/>
        <v/>
      </c>
      <c r="AK393" s="704" t="str">
        <f t="shared" ca="1" si="74"/>
        <v/>
      </c>
      <c r="AL393" s="704">
        <f t="shared" ca="1" si="75"/>
        <v>0</v>
      </c>
      <c r="AM393" s="705" t="str">
        <f t="shared" ca="1" si="76"/>
        <v/>
      </c>
      <c r="AN393" s="382"/>
      <c r="AO393" s="314" t="str">
        <f>IF($R$3=1,IF(Y393=AA393,"","NE"),IF(#REF!=$V$10,"NE",""))</f>
        <v/>
      </c>
      <c r="AP393" s="315" t="str">
        <f>IF(AB393=$V$3,IF(VLOOKUP(C393,[1]List1!$A:$E,5,FALSE)=0,1,VLOOKUP(C393,[1]List1!$A:$E,5,FALSE)),"")</f>
        <v/>
      </c>
      <c r="AW393" s="458">
        <f>IFERROR(FIND(VLOOKUP('General price list'!$AB$7,'General price list'!$AC$1:$AD$12,2,FALSE),Q393,1),0)</f>
        <v>13</v>
      </c>
      <c r="AX393" s="458">
        <f>IFERROR(FIND(VLOOKUP('General price list'!$AB$7,'General price list'!$AC$1:$AD$12,2,FALSE),R393,1),0)</f>
        <v>0</v>
      </c>
    </row>
    <row r="394" spans="1:50" ht="15" customHeight="1">
      <c r="A394" s="677" t="str">
        <f>Kat.!C394</f>
        <v xml:space="preserve">                                          </v>
      </c>
      <c r="B394" s="678">
        <v>373</v>
      </c>
      <c r="C394" s="679" t="s">
        <v>1385</v>
      </c>
      <c r="D394" s="679" t="s">
        <v>1382</v>
      </c>
      <c r="E394" s="680" t="s">
        <v>1006</v>
      </c>
      <c r="F394" s="681">
        <f>VLOOKUP(C394,[2]List1!$A:$D,2,FALSE)</f>
        <v>655</v>
      </c>
      <c r="G394" s="682">
        <f t="shared" si="65"/>
        <v>655</v>
      </c>
      <c r="H394" s="683">
        <f t="shared" si="66"/>
        <v>26.6</v>
      </c>
      <c r="I394" s="836">
        <v>6</v>
      </c>
      <c r="J394" s="680" t="s">
        <v>45</v>
      </c>
      <c r="K394" s="854"/>
      <c r="L394" s="855" t="s">
        <v>13862</v>
      </c>
      <c r="M394" s="680" t="s">
        <v>25</v>
      </c>
      <c r="N394" s="868">
        <f>IFERROR(VLOOKUP(C394,[3]List1!$A:$D,4,FALSE),"N/A!")</f>
        <v>8.3072000000000007E-2</v>
      </c>
      <c r="O394" s="836">
        <f>IFERROR(VLOOKUP(C394,[3]List1!$A:$D,3,FALSE),"N/A!")</f>
        <v>2850</v>
      </c>
      <c r="P394" s="836">
        <f>IFERROR(VLOOKUP(C394,[3]List1!$A:$D,2,FALSE),"N/A!")</f>
        <v>20000</v>
      </c>
      <c r="Q394" s="680" t="s">
        <v>13798</v>
      </c>
      <c r="R394" s="680" t="s">
        <v>24</v>
      </c>
      <c r="S394" s="680"/>
      <c r="T394" s="681">
        <v>35</v>
      </c>
      <c r="U394" s="873"/>
      <c r="V394" s="684" t="str">
        <f>_xlfn.IFNA(HYPERLINK("https://www.klasekpyrotechnics.cz/cf253k14"),"")</f>
        <v>https://www.klasekpyrotechnics.cz/cf253k14</v>
      </c>
      <c r="W394" s="685" t="str">
        <f>IFERROR(VLOOKUP($C394,Popisy!A:P,MATCH($W$17,Popisy!$A$7:$P$7,0),FALSE),"---------------")</f>
        <v>5 verschiedenfarbige Effekte</v>
      </c>
      <c r="X394" s="889" t="str">
        <f t="shared" si="67"/>
        <v/>
      </c>
      <c r="Y394" s="890"/>
      <c r="Z394" s="685">
        <f>IFERROR(IF(VLOOKUP(C394,[4]List1!$A:$D,4,FALSE)=0,"",VLOOKUP(C394,[4]List1!$A:$D,4,FALSE)),"")</f>
        <v>16</v>
      </c>
      <c r="AA394" s="707"/>
      <c r="AB394" s="911" t="str">
        <f>IFERROR(IF(VLOOKUP(C394,[1]List1!$A:$D,2,FALSE)="VYPRODÁNO",$V$9,IF(VLOOKUP(C394,[1]List1!$A:$D,2,FALSE)="DOCHÁZÍ",$V$3,VLOOKUP(C394,[1]List1!$A:$D,2,FALSE))),"OFFLINE!")</f>
        <v>15.05.2024</v>
      </c>
      <c r="AC394" s="911" t="str">
        <f ca="1">IF(AO394="NE",$V$10,IF(AB394=$V$3,IF(AP394&lt;1,$V$8,$V$2&amp;" "&amp;AP394&amp;" "&amp;$V$1),IF(AB394="SKLADEM",$V$6,IFERROR(IF(OR(AB394-TODAY()&gt;21,VLOOKUP(C394,[1]List1!$A:$E,4,FALSE)=0),AB394,DAY(AB394)&amp;"."&amp;MONTH(AB394)&amp;"."&amp;YEAR(AB394)&amp;" "&amp;$V$4&amp;VLOOKUP(C394,[1]List1!$A:$E,4,FALSE)&amp;" "&amp;$V$1),AB394))))</f>
        <v>15.05.2024</v>
      </c>
      <c r="AD394" s="686" t="str">
        <f ca="1">_xlfn.IFNA(VLOOKUP(C394,'General price list'!C:AM,MATCH($AD$20,'General price list'!$C$20:$AM$20,0),FALSE),"")</f>
        <v>15.05.2024</v>
      </c>
      <c r="AE394" s="681">
        <f t="shared" ca="1" si="68"/>
        <v>0</v>
      </c>
      <c r="AF394" s="681">
        <f t="shared" ca="1" si="69"/>
        <v>0</v>
      </c>
      <c r="AG394" s="687">
        <f t="shared" ca="1" si="70"/>
        <v>0</v>
      </c>
      <c r="AH394" s="688">
        <f t="shared" ca="1" si="71"/>
        <v>0</v>
      </c>
      <c r="AI394" s="687">
        <f t="shared" ca="1" si="72"/>
        <v>0</v>
      </c>
      <c r="AJ394" s="689" t="str">
        <f t="shared" ca="1" si="73"/>
        <v/>
      </c>
      <c r="AK394" s="689" t="str">
        <f t="shared" ca="1" si="74"/>
        <v/>
      </c>
      <c r="AL394" s="689">
        <f t="shared" ca="1" si="75"/>
        <v>0</v>
      </c>
      <c r="AM394" s="690" t="str">
        <f t="shared" ca="1" si="76"/>
        <v/>
      </c>
      <c r="AN394" s="313"/>
      <c r="AO394" s="314" t="str">
        <f>IF($R$3=1,IF(Y394=AA394,"","NE"),IF(#REF!=$V$10,"NE",""))</f>
        <v/>
      </c>
      <c r="AP394" s="315" t="str">
        <f>IF(AB394=$V$3,IF(VLOOKUP(C394,[1]List1!$A:$E,5,FALSE)=0,1,VLOOKUP(C394,[1]List1!$A:$E,5,FALSE)),"")</f>
        <v/>
      </c>
      <c r="AW394" s="458">
        <f>IFERROR(FIND(VLOOKUP('General price list'!$AB$7,'General price list'!$AC$1:$AD$12,2,FALSE),Q394,1),0)</f>
        <v>13</v>
      </c>
      <c r="AX394" s="458">
        <f>IFERROR(FIND(VLOOKUP('General price list'!$AB$7,'General price list'!$AC$1:$AD$12,2,FALSE),R394,1),0)</f>
        <v>0</v>
      </c>
    </row>
    <row r="395" spans="1:50" ht="15" customHeight="1">
      <c r="A395" s="672" t="str">
        <f>Kat.!C395</f>
        <v xml:space="preserve">                                          Batterien 36 schuss, 30mm Mörser-1.3G</v>
      </c>
      <c r="B395" s="692">
        <v>374</v>
      </c>
      <c r="C395" s="693"/>
      <c r="D395" s="693"/>
      <c r="E395" s="694"/>
      <c r="F395" s="695" t="str">
        <f>IFERROR(ROUND(VLOOKUP(C395,'General price list'!$C:$AN,4,FALSE),0),"")</f>
        <v/>
      </c>
      <c r="G395" s="696" t="str">
        <f t="shared" si="65"/>
        <v/>
      </c>
      <c r="H395" s="697" t="str">
        <f t="shared" si="66"/>
        <v/>
      </c>
      <c r="I395" s="837"/>
      <c r="J395" s="698"/>
      <c r="K395" s="856"/>
      <c r="L395" s="857"/>
      <c r="M395" s="698"/>
      <c r="N395" s="869" t="str">
        <f>IFERROR(IF(VLOOKUP($C395,'General price list'!$C:$AN,MATCH(N$20,'General price list'!$C$20:$AM$20,0),FALSE)=0,"",VLOOKUP($C395,'General price list'!$C:$AN,MATCH(N$20,'General price list'!$C$20:$AM$20,0),FALSE)),"")</f>
        <v/>
      </c>
      <c r="O395" s="837" t="str">
        <f>IFERROR(IF(VLOOKUP($C395,'General price list'!$C:$AN,MATCH(O$20,'General price list'!$C$20:$AM$20,0),FALSE)=0,"",VLOOKUP($C395,'General price list'!$C:$AN,MATCH(O$20,'General price list'!$C$20:$AM$20,0),FALSE)),"")</f>
        <v/>
      </c>
      <c r="P395" s="837" t="str">
        <f>IFERROR(IF(VLOOKUP($C395,'General price list'!$C:$AN,MATCH(P$20,'General price list'!$C$20:$AM$20,0),FALSE)=0,"",VLOOKUP($C395,'General price list'!$C:$AN,MATCH(P$20,'General price list'!$C$20:$AM$20,0),FALSE)),"")</f>
        <v/>
      </c>
      <c r="Q395" s="698"/>
      <c r="R395" s="698"/>
      <c r="S395" s="698"/>
      <c r="T395" s="695"/>
      <c r="U395" s="874"/>
      <c r="V395" s="699"/>
      <c r="W395" s="700" t="str">
        <f>IFERROR(VLOOKUP($C395,'General price list'!$C:$AN,MATCH(W$20,'General price list'!$C$20:$AM$20,0),FALSE),"")</f>
        <v/>
      </c>
      <c r="X395" s="891" t="str">
        <f t="shared" si="67"/>
        <v/>
      </c>
      <c r="Y395" s="892"/>
      <c r="Z395" s="700" t="str">
        <f>IFERROR(VLOOKUP($C395,'General price list'!$C:$AN,MATCH(Z$20,'General price list'!$C$20:$AM$20,0),FALSE),"")</f>
        <v/>
      </c>
      <c r="AA395" s="707"/>
      <c r="AB395" s="912" t="str">
        <f>IFERROR(IF(VLOOKUP(C395,[1]List1!$A:$D,2,FALSE)="VYPRODÁNO",$V$9,IF(VLOOKUP(C395,[1]List1!$A:$D,2,FALSE)="DOCHÁZÍ",$V$3,VLOOKUP(C395,[1]List1!$A:$D,2,FALSE))),"OFFLINE!")</f>
        <v>OFFLINE!</v>
      </c>
      <c r="AC395" s="912" t="str">
        <f ca="1">IF(AO395="NE",$V$10,IF(AB395=$V$3,IF(AP395&lt;1,$V$8,$V$2&amp;" "&amp;AP395&amp;" "&amp;$V$1),IF(AB395="SKLADEM",$V$6,IFERROR(IF(OR(AB395-TODAY()&gt;21,VLOOKUP(C395,[1]List1!$A:$E,4,FALSE)=0),AB395,DAY(AB395)&amp;"."&amp;MONTH(AB395)&amp;"."&amp;YEAR(AB395)&amp;" "&amp;$V$4&amp;VLOOKUP(C395,[1]List1!$A:$E,4,FALSE)&amp;" "&amp;$V$1),AB395))))</f>
        <v>OFFLINE!</v>
      </c>
      <c r="AD395" s="701" t="str">
        <f>_xlfn.IFNA(VLOOKUP(C395,'General price list'!C:AM,MATCH($AD$20,'General price list'!$C$20:$AM$20,0),FALSE),"")</f>
        <v/>
      </c>
      <c r="AE395" s="695" t="str">
        <f t="shared" si="68"/>
        <v/>
      </c>
      <c r="AF395" s="695" t="str">
        <f t="shared" si="69"/>
        <v/>
      </c>
      <c r="AG395" s="702" t="str">
        <f t="shared" si="70"/>
        <v/>
      </c>
      <c r="AH395" s="703" t="str">
        <f t="shared" si="71"/>
        <v/>
      </c>
      <c r="AI395" s="702" t="str">
        <f t="shared" si="72"/>
        <v/>
      </c>
      <c r="AJ395" s="704" t="str">
        <f t="shared" si="73"/>
        <v/>
      </c>
      <c r="AK395" s="704" t="str">
        <f t="shared" si="74"/>
        <v/>
      </c>
      <c r="AL395" s="704" t="str">
        <f t="shared" si="75"/>
        <v/>
      </c>
      <c r="AM395" s="705" t="str">
        <f t="shared" si="76"/>
        <v/>
      </c>
      <c r="AN395" s="313"/>
      <c r="AO395" s="314" t="str">
        <f>IF($R$3=1,IF(Y395=AA395,"","NE"),IF(#REF!=$V$10,"NE",""))</f>
        <v/>
      </c>
      <c r="AP395" s="315" t="str">
        <f>IF(AB395=$V$3,IF(VLOOKUP(C395,[1]List1!$A:$E,5,FALSE)=0,1,VLOOKUP(C395,[1]List1!$A:$E,5,FALSE)),"")</f>
        <v/>
      </c>
      <c r="AW395" s="291" t="e">
        <f>VLOOKUP(C395,'General price list'!C:AU,46,FALSE)</f>
        <v>#N/A</v>
      </c>
      <c r="AX395" s="291" t="e">
        <f>VLOOKUP(C395,'General price list'!C:AU,47,FALSE)</f>
        <v>#N/A</v>
      </c>
    </row>
    <row r="396" spans="1:50" ht="15" customHeight="1">
      <c r="A396" s="677" t="str">
        <f>Kat.!C396</f>
        <v xml:space="preserve">                                          </v>
      </c>
      <c r="B396" s="678">
        <v>375</v>
      </c>
      <c r="C396" s="679" t="s">
        <v>1392</v>
      </c>
      <c r="D396" s="679" t="s">
        <v>1387</v>
      </c>
      <c r="E396" s="680" t="s">
        <v>1003</v>
      </c>
      <c r="F396" s="681">
        <f>VLOOKUP(C396,[2]List1!$A:$D,2,FALSE)</f>
        <v>797</v>
      </c>
      <c r="G396" s="682">
        <f t="shared" si="65"/>
        <v>797</v>
      </c>
      <c r="H396" s="683">
        <f t="shared" si="66"/>
        <v>32.4</v>
      </c>
      <c r="I396" s="836">
        <v>4</v>
      </c>
      <c r="J396" s="680" t="s">
        <v>130</v>
      </c>
      <c r="K396" s="854"/>
      <c r="L396" s="855" t="s">
        <v>13856</v>
      </c>
      <c r="M396" s="680" t="s">
        <v>131</v>
      </c>
      <c r="N396" s="868">
        <f>IFERROR(VLOOKUP(C396,[3]List1!$A:$D,4,FALSE),"N/A!")</f>
        <v>5.0721125000000006E-2</v>
      </c>
      <c r="O396" s="836">
        <f>IFERROR(VLOOKUP(C396,[3]List1!$A:$D,3,FALSE),"N/A!")</f>
        <v>2736</v>
      </c>
      <c r="P396" s="836">
        <f>IFERROR(VLOOKUP(C396,[3]List1!$A:$D,2,FALSE),"N/A!")</f>
        <v>18000</v>
      </c>
      <c r="Q396" s="680" t="s">
        <v>13799</v>
      </c>
      <c r="R396" s="680" t="s">
        <v>24</v>
      </c>
      <c r="S396" s="680"/>
      <c r="T396" s="681">
        <v>40</v>
      </c>
      <c r="U396" s="873"/>
      <c r="V396" s="684" t="str">
        <f>_xlfn.IFNA(HYPERLINK("https://www.klasekpyrotechnics.cz/c363pl"),"")</f>
        <v>https://www.klasekpyrotechnics.cz/c363pl</v>
      </c>
      <c r="W396" s="685" t="str">
        <f>IFERROR(VLOOKUP($C396,Popisy!A:P,MATCH($W$17,Popisy!$A$7:$P$7,0),FALSE),"---------------")</f>
        <v>6 verschiedenfarbige wechselnde Effekte nach jedem schuss</v>
      </c>
      <c r="X396" s="889" t="str">
        <f t="shared" si="67"/>
        <v/>
      </c>
      <c r="Y396" s="890"/>
      <c r="Z396" s="685">
        <f>IFERROR(IF(VLOOKUP(C396,[4]List1!$A:$D,4,FALSE)=0,"",VLOOKUP(C396,[4]List1!$A:$D,4,FALSE)),"")</f>
        <v>14</v>
      </c>
      <c r="AA396" s="707"/>
      <c r="AB396" s="911" t="str">
        <f>IFERROR(IF(VLOOKUP(C396,[1]List1!$A:$D,2,FALSE)="VYPRODÁNO",$V$9,IF(VLOOKUP(C396,[1]List1!$A:$D,2,FALSE)="DOCHÁZÍ",$V$3,VLOOKUP(C396,[1]List1!$A:$D,2,FALSE))),"OFFLINE!")</f>
        <v>SKLADEM</v>
      </c>
      <c r="AC396" s="911" t="str">
        <f ca="1">IF(AO396="NE",$V$10,IF(AB396=$V$3,IF(AP396&lt;1,$V$8,$V$2&amp;" "&amp;AP396&amp;" "&amp;$V$1),IF(AB396="SKLADEM",$V$6,IFERROR(IF(OR(AB396-TODAY()&gt;21,VLOOKUP(C396,[1]List1!$A:$E,4,FALSE)=0),AB396,DAY(AB396)&amp;"."&amp;MONTH(AB396)&amp;"."&amp;YEAR(AB396)&amp;" "&amp;$V$4&amp;VLOOKUP(C396,[1]List1!$A:$E,4,FALSE)&amp;" "&amp;$V$1),AB396))))</f>
        <v>AUF LAGER</v>
      </c>
      <c r="AD396" s="686" t="str">
        <f ca="1">_xlfn.IFNA(VLOOKUP(C396,'General price list'!C:AM,MATCH($AD$20,'General price list'!$C$20:$AM$20,0),FALSE),"")</f>
        <v>AUF LAGER</v>
      </c>
      <c r="AE396" s="681">
        <f t="shared" ca="1" si="68"/>
        <v>0</v>
      </c>
      <c r="AF396" s="681">
        <f t="shared" ca="1" si="69"/>
        <v>0</v>
      </c>
      <c r="AG396" s="687">
        <f t="shared" ca="1" si="70"/>
        <v>0</v>
      </c>
      <c r="AH396" s="688">
        <f t="shared" ca="1" si="71"/>
        <v>0</v>
      </c>
      <c r="AI396" s="687">
        <f t="shared" ca="1" si="72"/>
        <v>0</v>
      </c>
      <c r="AJ396" s="689" t="str">
        <f t="shared" ca="1" si="73"/>
        <v/>
      </c>
      <c r="AK396" s="689">
        <f t="shared" ca="1" si="74"/>
        <v>0</v>
      </c>
      <c r="AL396" s="689" t="str">
        <f t="shared" ca="1" si="75"/>
        <v/>
      </c>
      <c r="AM396" s="690" t="str">
        <f t="shared" ca="1" si="76"/>
        <v/>
      </c>
      <c r="AN396" s="313"/>
      <c r="AO396" s="314" t="str">
        <f>IF($R$3=1,IF(Y396=AA396,"","NE"),IF(#REF!=$V$10,"NE",""))</f>
        <v/>
      </c>
      <c r="AP396" s="315" t="str">
        <f>IF(AB396=$V$3,IF(VLOOKUP(C396,[1]List1!$A:$E,5,FALSE)=0,1,VLOOKUP(C396,[1]List1!$A:$E,5,FALSE)),"")</f>
        <v/>
      </c>
      <c r="AW396" s="458">
        <f>IFERROR(FIND(VLOOKUP('General price list'!$AB$7,'General price list'!$AC$1:$AD$12,2,FALSE),Q396,1),0)</f>
        <v>16</v>
      </c>
      <c r="AX396" s="458">
        <f>IFERROR(FIND(VLOOKUP('General price list'!$AB$7,'General price list'!$AC$1:$AD$12,2,FALSE),R396,1),0)</f>
        <v>0</v>
      </c>
    </row>
    <row r="397" spans="1:50" ht="15" customHeight="1">
      <c r="A397" s="672" t="str">
        <f>Kat.!C397</f>
        <v xml:space="preserve">                                          Batterien 50 schuss, 30mm Mörser-1.3G</v>
      </c>
      <c r="B397" s="692">
        <v>376</v>
      </c>
      <c r="C397" s="693"/>
      <c r="D397" s="693"/>
      <c r="E397" s="694"/>
      <c r="F397" s="695" t="str">
        <f>IFERROR(ROUND(VLOOKUP(C397,'General price list'!$C:$AN,4,FALSE),0),"")</f>
        <v/>
      </c>
      <c r="G397" s="696" t="str">
        <f t="shared" si="65"/>
        <v/>
      </c>
      <c r="H397" s="697" t="str">
        <f t="shared" si="66"/>
        <v/>
      </c>
      <c r="I397" s="837"/>
      <c r="J397" s="698"/>
      <c r="K397" s="856"/>
      <c r="L397" s="857"/>
      <c r="M397" s="698"/>
      <c r="N397" s="869" t="str">
        <f>IFERROR(IF(VLOOKUP($C397,'General price list'!$C:$AN,MATCH(N$20,'General price list'!$C$20:$AM$20,0),FALSE)=0,"",VLOOKUP($C397,'General price list'!$C:$AN,MATCH(N$20,'General price list'!$C$20:$AM$20,0),FALSE)),"")</f>
        <v/>
      </c>
      <c r="O397" s="837" t="str">
        <f>IFERROR(IF(VLOOKUP($C397,'General price list'!$C:$AN,MATCH(O$20,'General price list'!$C$20:$AM$20,0),FALSE)=0,"",VLOOKUP($C397,'General price list'!$C:$AN,MATCH(O$20,'General price list'!$C$20:$AM$20,0),FALSE)),"")</f>
        <v/>
      </c>
      <c r="P397" s="837" t="str">
        <f>IFERROR(IF(VLOOKUP($C397,'General price list'!$C:$AN,MATCH(P$20,'General price list'!$C$20:$AM$20,0),FALSE)=0,"",VLOOKUP($C397,'General price list'!$C:$AN,MATCH(P$20,'General price list'!$C$20:$AM$20,0),FALSE)),"")</f>
        <v/>
      </c>
      <c r="Q397" s="698"/>
      <c r="R397" s="698"/>
      <c r="S397" s="698"/>
      <c r="T397" s="695"/>
      <c r="U397" s="874"/>
      <c r="V397" s="699"/>
      <c r="W397" s="700" t="str">
        <f>IFERROR(VLOOKUP($C397,'General price list'!$C:$AN,MATCH(W$20,'General price list'!$C$20:$AM$20,0),FALSE),"")</f>
        <v/>
      </c>
      <c r="X397" s="891" t="str">
        <f t="shared" si="67"/>
        <v/>
      </c>
      <c r="Y397" s="892"/>
      <c r="Z397" s="700" t="str">
        <f>IFERROR(VLOOKUP($C397,'General price list'!$C:$AN,MATCH(Z$20,'General price list'!$C$20:$AM$20,0),FALSE),"")</f>
        <v/>
      </c>
      <c r="AA397" s="707"/>
      <c r="AB397" s="912" t="str">
        <f>IFERROR(IF(VLOOKUP(C397,[1]List1!$A:$D,2,FALSE)="VYPRODÁNO",$V$9,IF(VLOOKUP(C397,[1]List1!$A:$D,2,FALSE)="DOCHÁZÍ",$V$3,VLOOKUP(C397,[1]List1!$A:$D,2,FALSE))),"OFFLINE!")</f>
        <v>OFFLINE!</v>
      </c>
      <c r="AC397" s="912" t="str">
        <f ca="1">IF(AO397="NE",$V$10,IF(AB397=$V$3,IF(AP397&lt;1,$V$8,$V$2&amp;" "&amp;AP397&amp;" "&amp;$V$1),IF(AB397="SKLADEM",$V$6,IFERROR(IF(OR(AB397-TODAY()&gt;21,VLOOKUP(C397,[1]List1!$A:$E,4,FALSE)=0),AB397,DAY(AB397)&amp;"."&amp;MONTH(AB397)&amp;"."&amp;YEAR(AB397)&amp;" "&amp;$V$4&amp;VLOOKUP(C397,[1]List1!$A:$E,4,FALSE)&amp;" "&amp;$V$1),AB397))))</f>
        <v>OFFLINE!</v>
      </c>
      <c r="AD397" s="701" t="str">
        <f>_xlfn.IFNA(VLOOKUP(C397,'General price list'!C:AM,MATCH($AD$20,'General price list'!$C$20:$AM$20,0),FALSE),"")</f>
        <v/>
      </c>
      <c r="AE397" s="695" t="str">
        <f t="shared" si="68"/>
        <v/>
      </c>
      <c r="AF397" s="695" t="str">
        <f t="shared" si="69"/>
        <v/>
      </c>
      <c r="AG397" s="702" t="str">
        <f t="shared" si="70"/>
        <v/>
      </c>
      <c r="AH397" s="703" t="str">
        <f t="shared" si="71"/>
        <v/>
      </c>
      <c r="AI397" s="702" t="str">
        <f t="shared" si="72"/>
        <v/>
      </c>
      <c r="AJ397" s="704" t="str">
        <f t="shared" si="73"/>
        <v/>
      </c>
      <c r="AK397" s="704" t="str">
        <f t="shared" si="74"/>
        <v/>
      </c>
      <c r="AL397" s="704" t="str">
        <f t="shared" si="75"/>
        <v/>
      </c>
      <c r="AM397" s="705" t="str">
        <f t="shared" si="76"/>
        <v/>
      </c>
      <c r="AN397" s="313"/>
      <c r="AO397" s="314" t="str">
        <f>IF($R$3=1,IF(Y397=AA397,"","NE"),IF(#REF!=$V$10,"NE",""))</f>
        <v/>
      </c>
      <c r="AP397" s="315" t="str">
        <f>IF(AB397=$V$3,IF(VLOOKUP(C397,[1]List1!$A:$E,5,FALSE)=0,1,VLOOKUP(C397,[1]List1!$A:$E,5,FALSE)),"")</f>
        <v/>
      </c>
      <c r="AW397" s="291" t="e">
        <f>VLOOKUP(C397,'General price list'!C:AU,46,FALSE)</f>
        <v>#N/A</v>
      </c>
      <c r="AX397" s="291" t="e">
        <f>VLOOKUP(C397,'General price list'!C:AU,47,FALSE)</f>
        <v>#N/A</v>
      </c>
    </row>
    <row r="398" spans="1:50" ht="15" customHeight="1">
      <c r="A398" s="677" t="str">
        <f>Kat.!C398</f>
        <v xml:space="preserve">                                          </v>
      </c>
      <c r="B398" s="678">
        <v>377</v>
      </c>
      <c r="C398" s="679" t="s">
        <v>1426</v>
      </c>
      <c r="D398" s="679" t="s">
        <v>1427</v>
      </c>
      <c r="E398" s="680" t="s">
        <v>1007</v>
      </c>
      <c r="F398" s="681">
        <f>VLOOKUP(C398,[2]List1!$A:$D,2,FALSE)</f>
        <v>1139</v>
      </c>
      <c r="G398" s="682">
        <f t="shared" si="65"/>
        <v>1139</v>
      </c>
      <c r="H398" s="683">
        <f t="shared" si="66"/>
        <v>46.3</v>
      </c>
      <c r="I398" s="836">
        <v>2</v>
      </c>
      <c r="J398" s="680" t="s">
        <v>130</v>
      </c>
      <c r="K398" s="854"/>
      <c r="L398" s="855" t="s">
        <v>13856</v>
      </c>
      <c r="M398" s="680" t="s">
        <v>131</v>
      </c>
      <c r="N398" s="868">
        <f>IFERROR(VLOOKUP(C398,[3]List1!$A:$D,4,FALSE),"N/A!")</f>
        <v>3.1307874999999999E-2</v>
      </c>
      <c r="O398" s="836">
        <f>IFERROR(VLOOKUP(C398,[3]List1!$A:$D,3,FALSE),"N/A!")</f>
        <v>1900</v>
      </c>
      <c r="P398" s="836">
        <f>IFERROR(VLOOKUP(C398,[3]List1!$A:$D,2,FALSE),"N/A!")</f>
        <v>12500</v>
      </c>
      <c r="Q398" s="680" t="s">
        <v>13800</v>
      </c>
      <c r="R398" s="680" t="s">
        <v>24</v>
      </c>
      <c r="S398" s="680"/>
      <c r="T398" s="681">
        <v>50</v>
      </c>
      <c r="U398" s="873"/>
      <c r="V398" s="684" t="str">
        <f>_xlfn.IFNA(HYPERLINK("https://www.klasekpyrotechnics.cz/c503wi"),"")</f>
        <v>https://www.klasekpyrotechnics.cz/c503wi</v>
      </c>
      <c r="W398" s="685" t="str">
        <f>IFERROR(VLOOKUP($C398,Popisy!A:P,MATCH($W$17,Popisy!$A$7:$P$7,0),FALSE),"---------------")</f>
        <v>5 verschiedenfarbige Effekte</v>
      </c>
      <c r="X398" s="889" t="str">
        <f t="shared" si="67"/>
        <v/>
      </c>
      <c r="Y398" s="890"/>
      <c r="Z398" s="685">
        <f>IFERROR(IF(VLOOKUP(C398,[4]List1!$A:$D,4,FALSE)=0,"",VLOOKUP(C398,[4]List1!$A:$D,4,FALSE)),"")</f>
        <v>36</v>
      </c>
      <c r="AA398" s="707"/>
      <c r="AB398" s="911" t="str">
        <f>IFERROR(IF(VLOOKUP(C398,[1]List1!$A:$D,2,FALSE)="VYPRODÁNO",$V$9,IF(VLOOKUP(C398,[1]List1!$A:$D,2,FALSE)="DOCHÁZÍ",$V$3,VLOOKUP(C398,[1]List1!$A:$D,2,FALSE))),"OFFLINE!")</f>
        <v>SKLADEM</v>
      </c>
      <c r="AC398" s="911" t="str">
        <f ca="1">IF(AO398="NE",$V$10,IF(AB398=$V$3,IF(AP398&lt;1,$V$8,$V$2&amp;" "&amp;AP398&amp;" "&amp;$V$1),IF(AB398="SKLADEM",$V$6,IFERROR(IF(OR(AB398-TODAY()&gt;21,VLOOKUP(C398,[1]List1!$A:$E,4,FALSE)=0),AB398,DAY(AB398)&amp;"."&amp;MONTH(AB398)&amp;"."&amp;YEAR(AB398)&amp;" "&amp;$V$4&amp;VLOOKUP(C398,[1]List1!$A:$E,4,FALSE)&amp;" "&amp;$V$1),AB398))))</f>
        <v>AUF LAGER</v>
      </c>
      <c r="AD398" s="686" t="str">
        <f ca="1">_xlfn.IFNA(VLOOKUP(C398,'General price list'!C:AM,MATCH($AD$20,'General price list'!$C$20:$AM$20,0),FALSE),"")</f>
        <v>AUF LAGER</v>
      </c>
      <c r="AE398" s="681">
        <f t="shared" ca="1" si="68"/>
        <v>0</v>
      </c>
      <c r="AF398" s="681">
        <f t="shared" ca="1" si="69"/>
        <v>0</v>
      </c>
      <c r="AG398" s="687">
        <f t="shared" ca="1" si="70"/>
        <v>0</v>
      </c>
      <c r="AH398" s="688">
        <f t="shared" ca="1" si="71"/>
        <v>0</v>
      </c>
      <c r="AI398" s="687">
        <f t="shared" ca="1" si="72"/>
        <v>0</v>
      </c>
      <c r="AJ398" s="689" t="str">
        <f t="shared" ca="1" si="73"/>
        <v/>
      </c>
      <c r="AK398" s="689">
        <f t="shared" ca="1" si="74"/>
        <v>0</v>
      </c>
      <c r="AL398" s="689" t="str">
        <f t="shared" ca="1" si="75"/>
        <v/>
      </c>
      <c r="AM398" s="690" t="str">
        <f t="shared" ca="1" si="76"/>
        <v/>
      </c>
      <c r="AN398" s="313"/>
      <c r="AO398" s="314" t="str">
        <f>IF($R$3=1,IF(Y398=AA398,"","NE"),IF(#REF!=$V$10,"NE",""))</f>
        <v/>
      </c>
      <c r="AP398" s="315" t="str">
        <f>IF(AB398=$V$3,IF(VLOOKUP(C398,[1]List1!$A:$E,5,FALSE)=0,1,VLOOKUP(C398,[1]List1!$A:$E,5,FALSE)),"")</f>
        <v/>
      </c>
      <c r="AW398" s="458">
        <f>IFERROR(FIND(VLOOKUP('General price list'!$AB$7,'General price list'!$AC$1:$AD$12,2,FALSE),Q398,1),0)</f>
        <v>13</v>
      </c>
      <c r="AX398" s="458">
        <f>IFERROR(FIND(VLOOKUP('General price list'!$AB$7,'General price list'!$AC$1:$AD$12,2,FALSE),R398,1),0)</f>
        <v>0</v>
      </c>
    </row>
    <row r="399" spans="1:50" ht="15" customHeight="1">
      <c r="A399" s="691" t="str">
        <f>Kat.!C399</f>
        <v xml:space="preserve">                                          </v>
      </c>
      <c r="B399" s="692">
        <v>378</v>
      </c>
      <c r="C399" s="693" t="s">
        <v>1428</v>
      </c>
      <c r="D399" s="693" t="s">
        <v>1429</v>
      </c>
      <c r="E399" s="694" t="s">
        <v>1007</v>
      </c>
      <c r="F399" s="695">
        <f>VLOOKUP(C399,[2]List1!$A:$D,2,FALSE)</f>
        <v>1139</v>
      </c>
      <c r="G399" s="696">
        <f t="shared" si="65"/>
        <v>1139</v>
      </c>
      <c r="H399" s="697">
        <f t="shared" si="66"/>
        <v>46.3</v>
      </c>
      <c r="I399" s="837">
        <v>2</v>
      </c>
      <c r="J399" s="698" t="s">
        <v>130</v>
      </c>
      <c r="K399" s="856"/>
      <c r="L399" s="857" t="s">
        <v>13856</v>
      </c>
      <c r="M399" s="698" t="s">
        <v>131</v>
      </c>
      <c r="N399" s="869">
        <f>IFERROR(VLOOKUP(C399,[3]List1!$A:$D,4,FALSE),"N/A!")</f>
        <v>3.1307874999999999E-2</v>
      </c>
      <c r="O399" s="837">
        <f>IFERROR(VLOOKUP(C399,[3]List1!$A:$D,3,FALSE),"N/A!")</f>
        <v>1900</v>
      </c>
      <c r="P399" s="837">
        <f>IFERROR(VLOOKUP(C399,[3]List1!$A:$D,2,FALSE),"N/A!")</f>
        <v>12500</v>
      </c>
      <c r="Q399" s="698" t="s">
        <v>1424</v>
      </c>
      <c r="R399" s="698" t="s">
        <v>24</v>
      </c>
      <c r="S399" s="698"/>
      <c r="T399" s="695">
        <v>50</v>
      </c>
      <c r="U399" s="874"/>
      <c r="V399" s="699" t="str">
        <f>_xlfn.IFNA(HYPERLINK("https://www.klasekpyrotechnics.cz/c503bi"),"")</f>
        <v>https://www.klasekpyrotechnics.cz/c503bi</v>
      </c>
      <c r="W399" s="700" t="str">
        <f>IFERROR(VLOOKUP($C399,Popisy!A:P,MATCH($W$17,Popisy!$A$7:$P$7,0),FALSE),"---------------")</f>
        <v>5 verschiedenfarbige Effekte</v>
      </c>
      <c r="X399" s="891" t="str">
        <f t="shared" si="67"/>
        <v/>
      </c>
      <c r="Y399" s="892"/>
      <c r="Z399" s="700">
        <f>IFERROR(IF(VLOOKUP(C399,[4]List1!$A:$D,4,FALSE)=0,"",VLOOKUP(C399,[4]List1!$A:$D,4,FALSE)),"")</f>
        <v>36</v>
      </c>
      <c r="AA399" s="707"/>
      <c r="AB399" s="912" t="str">
        <f>IFERROR(IF(VLOOKUP(C399,[1]List1!$A:$D,2,FALSE)="VYPRODÁNO",$V$9,IF(VLOOKUP(C399,[1]List1!$A:$D,2,FALSE)="DOCHÁZÍ",$V$3,VLOOKUP(C399,[1]List1!$A:$D,2,FALSE))),"OFFLINE!")</f>
        <v>30.09.2024</v>
      </c>
      <c r="AC399" s="912" t="str">
        <f ca="1">IF(AO399="NE",$V$10,IF(AB399=$V$3,IF(AP399&lt;1,$V$8,$V$2&amp;" "&amp;AP399&amp;" "&amp;$V$1),IF(AB399="SKLADEM",$V$6,IFERROR(IF(OR(AB399-TODAY()&gt;21,VLOOKUP(C399,[1]List1!$A:$E,4,FALSE)=0),AB399,DAY(AB399)&amp;"."&amp;MONTH(AB399)&amp;"."&amp;YEAR(AB399)&amp;" "&amp;$V$4&amp;VLOOKUP(C399,[1]List1!$A:$E,4,FALSE)&amp;" "&amp;$V$1),AB399))))</f>
        <v>30.09.2024</v>
      </c>
      <c r="AD399" s="701" t="str">
        <f ca="1">_xlfn.IFNA(VLOOKUP(C399,'General price list'!C:AM,MATCH($AD$20,'General price list'!$C$20:$AM$20,0),FALSE),"")</f>
        <v>30.09.2024</v>
      </c>
      <c r="AE399" s="695">
        <f t="shared" ca="1" si="68"/>
        <v>0</v>
      </c>
      <c r="AF399" s="695">
        <f t="shared" ca="1" si="69"/>
        <v>0</v>
      </c>
      <c r="AG399" s="702">
        <f t="shared" ca="1" si="70"/>
        <v>0</v>
      </c>
      <c r="AH399" s="703">
        <f t="shared" ca="1" si="71"/>
        <v>0</v>
      </c>
      <c r="AI399" s="702">
        <f t="shared" ca="1" si="72"/>
        <v>0</v>
      </c>
      <c r="AJ399" s="704" t="str">
        <f t="shared" ca="1" si="73"/>
        <v/>
      </c>
      <c r="AK399" s="704">
        <f t="shared" ca="1" si="74"/>
        <v>0</v>
      </c>
      <c r="AL399" s="704" t="str">
        <f t="shared" ca="1" si="75"/>
        <v/>
      </c>
      <c r="AM399" s="705" t="str">
        <f t="shared" ca="1" si="76"/>
        <v/>
      </c>
      <c r="AN399" s="313"/>
      <c r="AO399" s="314" t="str">
        <f>IF($R$3=1,IF(Y399=AA399,"","NE"),IF(#REF!=$V$10,"NE",""))</f>
        <v/>
      </c>
      <c r="AP399" s="315" t="str">
        <f>IF(AB399=$V$3,IF(VLOOKUP(C399,[1]List1!$A:$E,5,FALSE)=0,1,VLOOKUP(C399,[1]List1!$A:$E,5,FALSE)),"")</f>
        <v/>
      </c>
      <c r="AW399" s="458">
        <f>IFERROR(FIND(VLOOKUP('General price list'!$AB$7,'General price list'!$AC$1:$AD$12,2,FALSE),Q399,1),0)</f>
        <v>13</v>
      </c>
      <c r="AX399" s="458">
        <f>IFERROR(FIND(VLOOKUP('General price list'!$AB$7,'General price list'!$AC$1:$AD$12,2,FALSE),R399,1),0)</f>
        <v>0</v>
      </c>
    </row>
    <row r="400" spans="1:50" ht="15" customHeight="1">
      <c r="A400" s="677" t="str">
        <f>Kat.!C400</f>
        <v>×</v>
      </c>
      <c r="B400" s="678">
        <v>379</v>
      </c>
      <c r="C400" s="679" t="s">
        <v>1430</v>
      </c>
      <c r="D400" s="679" t="s">
        <v>1431</v>
      </c>
      <c r="E400" s="680" t="s">
        <v>1007</v>
      </c>
      <c r="F400" s="681">
        <f>VLOOKUP(C400,[2]List1!$A:$D,2,FALSE)</f>
        <v>1139</v>
      </c>
      <c r="G400" s="682">
        <f t="shared" si="65"/>
        <v>1139</v>
      </c>
      <c r="H400" s="683">
        <f t="shared" si="66"/>
        <v>46.3</v>
      </c>
      <c r="I400" s="836">
        <v>2</v>
      </c>
      <c r="J400" s="680" t="s">
        <v>130</v>
      </c>
      <c r="K400" s="854"/>
      <c r="L400" s="855" t="s">
        <v>13856</v>
      </c>
      <c r="M400" s="680" t="s">
        <v>131</v>
      </c>
      <c r="N400" s="868">
        <f>IFERROR(VLOOKUP(C400,[3]List1!$A:$D,4,FALSE),"N/A!")</f>
        <v>3.1307874999999999E-2</v>
      </c>
      <c r="O400" s="836">
        <f>IFERROR(VLOOKUP(C400,[3]List1!$A:$D,3,FALSE),"N/A!")</f>
        <v>1900</v>
      </c>
      <c r="P400" s="836">
        <f>IFERROR(VLOOKUP(C400,[3]List1!$A:$D,2,FALSE),"N/A!")</f>
        <v>12500</v>
      </c>
      <c r="Q400" s="680" t="s">
        <v>1424</v>
      </c>
      <c r="R400" s="680" t="s">
        <v>24</v>
      </c>
      <c r="S400" s="680"/>
      <c r="T400" s="681">
        <v>50</v>
      </c>
      <c r="U400" s="873"/>
      <c r="V400" s="684" t="str">
        <f>_xlfn.IFNA(HYPERLINK("https://www.klasekpyrotechnics.cz/c503me"),"")</f>
        <v>https://www.klasekpyrotechnics.cz/c503me</v>
      </c>
      <c r="W400" s="685" t="str">
        <f>IFERROR(VLOOKUP($C400,Popisy!A:P,MATCH($W$17,Popisy!$A$7:$P$7,0),FALSE),"---------------")</f>
        <v>5 verschiedenfarbige Effekte</v>
      </c>
      <c r="X400" s="889" t="str">
        <f t="shared" si="67"/>
        <v/>
      </c>
      <c r="Y400" s="890"/>
      <c r="Z400" s="685">
        <f>IFERROR(IF(VLOOKUP(C400,[4]List1!$A:$D,4,FALSE)=0,"",VLOOKUP(C400,[4]List1!$A:$D,4,FALSE)),"")</f>
        <v>36</v>
      </c>
      <c r="AA400" s="707"/>
      <c r="AB400" s="911" t="str">
        <f>IFERROR(IF(VLOOKUP(C400,[1]List1!$A:$D,2,FALSE)="VYPRODÁNO",$V$9,IF(VLOOKUP(C400,[1]List1!$A:$D,2,FALSE)="DOCHÁZÍ",$V$3,VLOOKUP(C400,[1]List1!$A:$D,2,FALSE))),"OFFLINE!")</f>
        <v>SKLADEM</v>
      </c>
      <c r="AC400" s="911" t="str">
        <f ca="1">IF(AO400="NE",$V$10,IF(AB400=$V$3,IF(AP400&lt;1,$V$8,$V$2&amp;" "&amp;AP400&amp;" "&amp;$V$1),IF(AB400="SKLADEM",$V$6,IFERROR(IF(OR(AB400-TODAY()&gt;21,VLOOKUP(C400,[1]List1!$A:$E,4,FALSE)=0),AB400,DAY(AB400)&amp;"."&amp;MONTH(AB400)&amp;"."&amp;YEAR(AB400)&amp;" "&amp;$V$4&amp;VLOOKUP(C400,[1]List1!$A:$E,4,FALSE)&amp;" "&amp;$V$1),AB400))))</f>
        <v>AUF LAGER</v>
      </c>
      <c r="AD400" s="686">
        <f>_xlfn.IFNA(VLOOKUP(C400,'General price list'!C:AM,MATCH($AD$20,'General price list'!$C$20:$AM$20,0),FALSE),"")</f>
        <v>0</v>
      </c>
      <c r="AE400" s="681">
        <f t="shared" si="68"/>
        <v>0</v>
      </c>
      <c r="AF400" s="681">
        <f t="shared" si="69"/>
        <v>0</v>
      </c>
      <c r="AG400" s="687">
        <f t="shared" si="70"/>
        <v>0</v>
      </c>
      <c r="AH400" s="688">
        <f t="shared" si="71"/>
        <v>0</v>
      </c>
      <c r="AI400" s="687">
        <f t="shared" si="72"/>
        <v>0</v>
      </c>
      <c r="AJ400" s="689" t="str">
        <f t="shared" si="73"/>
        <v/>
      </c>
      <c r="AK400" s="689">
        <f t="shared" si="74"/>
        <v>0</v>
      </c>
      <c r="AL400" s="689" t="str">
        <f t="shared" si="75"/>
        <v/>
      </c>
      <c r="AM400" s="690" t="str">
        <f t="shared" si="76"/>
        <v/>
      </c>
      <c r="AN400" s="313"/>
      <c r="AO400" s="314" t="str">
        <f>IF($R$3=1,IF(Y400=AA400,"","NE"),IF(#REF!=$V$10,"NE",""))</f>
        <v/>
      </c>
      <c r="AP400" s="315" t="str">
        <f>IF(AB400=$V$3,IF(VLOOKUP(C400,[1]List1!$A:$E,5,FALSE)=0,1,VLOOKUP(C400,[1]List1!$A:$E,5,FALSE)),"")</f>
        <v/>
      </c>
      <c r="AW400" s="458">
        <f>IFERROR(FIND(VLOOKUP('General price list'!$AB$7,'General price list'!$AC$1:$AD$12,2,FALSE),Q400,1),0)</f>
        <v>13</v>
      </c>
      <c r="AX400" s="458">
        <f>IFERROR(FIND(VLOOKUP('General price list'!$AB$7,'General price list'!$AC$1:$AD$12,2,FALSE),R400,1),0)</f>
        <v>0</v>
      </c>
    </row>
    <row r="401" spans="1:50" ht="15" customHeight="1">
      <c r="A401" s="672" t="str">
        <f>Kat.!C401</f>
        <v xml:space="preserve">                                          Batterien 64 schuss, 30mm Mörser-1.3G</v>
      </c>
      <c r="B401" s="692">
        <v>380</v>
      </c>
      <c r="C401" s="693"/>
      <c r="D401" s="693"/>
      <c r="E401" s="694"/>
      <c r="F401" s="695" t="str">
        <f>IFERROR(ROUND(VLOOKUP(C401,'General price list'!$C:$AN,4,FALSE),0),"")</f>
        <v/>
      </c>
      <c r="G401" s="696" t="str">
        <f t="shared" si="65"/>
        <v/>
      </c>
      <c r="H401" s="697" t="str">
        <f t="shared" si="66"/>
        <v/>
      </c>
      <c r="I401" s="837"/>
      <c r="J401" s="698"/>
      <c r="K401" s="856"/>
      <c r="L401" s="857"/>
      <c r="M401" s="698"/>
      <c r="N401" s="869" t="str">
        <f>IFERROR(IF(VLOOKUP($C401,'General price list'!$C:$AN,MATCH(N$20,'General price list'!$C$20:$AM$20,0),FALSE)=0,"",VLOOKUP($C401,'General price list'!$C:$AN,MATCH(N$20,'General price list'!$C$20:$AM$20,0),FALSE)),"")</f>
        <v/>
      </c>
      <c r="O401" s="837" t="str">
        <f>IFERROR(IF(VLOOKUP($C401,'General price list'!$C:$AN,MATCH(O$20,'General price list'!$C$20:$AM$20,0),FALSE)=0,"",VLOOKUP($C401,'General price list'!$C:$AN,MATCH(O$20,'General price list'!$C$20:$AM$20,0),FALSE)),"")</f>
        <v/>
      </c>
      <c r="P401" s="837" t="str">
        <f>IFERROR(IF(VLOOKUP($C401,'General price list'!$C:$AN,MATCH(P$20,'General price list'!$C$20:$AM$20,0),FALSE)=0,"",VLOOKUP($C401,'General price list'!$C:$AN,MATCH(P$20,'General price list'!$C$20:$AM$20,0),FALSE)),"")</f>
        <v/>
      </c>
      <c r="Q401" s="698"/>
      <c r="R401" s="698"/>
      <c r="S401" s="698"/>
      <c r="T401" s="695"/>
      <c r="U401" s="874"/>
      <c r="V401" s="699"/>
      <c r="W401" s="700" t="str">
        <f>IFERROR(VLOOKUP($C401,'General price list'!$C:$AN,MATCH(W$20,'General price list'!$C$20:$AM$20,0),FALSE),"")</f>
        <v/>
      </c>
      <c r="X401" s="891" t="str">
        <f t="shared" si="67"/>
        <v/>
      </c>
      <c r="Y401" s="892"/>
      <c r="Z401" s="700" t="str">
        <f>IFERROR(VLOOKUP($C401,'General price list'!$C:$AN,MATCH(Z$20,'General price list'!$C$20:$AM$20,0),FALSE),"")</f>
        <v/>
      </c>
      <c r="AA401" s="707"/>
      <c r="AB401" s="912" t="str">
        <f>IFERROR(IF(VLOOKUP(C401,[1]List1!$A:$D,2,FALSE)="VYPRODÁNO",$V$9,IF(VLOOKUP(C401,[1]List1!$A:$D,2,FALSE)="DOCHÁZÍ",$V$3,VLOOKUP(C401,[1]List1!$A:$D,2,FALSE))),"OFFLINE!")</f>
        <v>OFFLINE!</v>
      </c>
      <c r="AC401" s="912" t="str">
        <f ca="1">IF(AO401="NE",$V$10,IF(AB401=$V$3,IF(AP401&lt;1,$V$8,$V$2&amp;" "&amp;AP401&amp;" "&amp;$V$1),IF(AB401="SKLADEM",$V$6,IFERROR(IF(OR(AB401-TODAY()&gt;21,VLOOKUP(C401,[1]List1!$A:$E,4,FALSE)=0),AB401,DAY(AB401)&amp;"."&amp;MONTH(AB401)&amp;"."&amp;YEAR(AB401)&amp;" "&amp;$V$4&amp;VLOOKUP(C401,[1]List1!$A:$E,4,FALSE)&amp;" "&amp;$V$1),AB401))))</f>
        <v>OFFLINE!</v>
      </c>
      <c r="AD401" s="701" t="str">
        <f>_xlfn.IFNA(VLOOKUP(C401,'General price list'!C:AM,MATCH($AD$20,'General price list'!$C$20:$AM$20,0),FALSE),"")</f>
        <v/>
      </c>
      <c r="AE401" s="695" t="str">
        <f t="shared" si="68"/>
        <v/>
      </c>
      <c r="AF401" s="695" t="str">
        <f t="shared" si="69"/>
        <v/>
      </c>
      <c r="AG401" s="702" t="str">
        <f t="shared" si="70"/>
        <v/>
      </c>
      <c r="AH401" s="703" t="str">
        <f t="shared" si="71"/>
        <v/>
      </c>
      <c r="AI401" s="702" t="str">
        <f t="shared" si="72"/>
        <v/>
      </c>
      <c r="AJ401" s="704" t="str">
        <f t="shared" si="73"/>
        <v/>
      </c>
      <c r="AK401" s="704" t="str">
        <f t="shared" si="74"/>
        <v/>
      </c>
      <c r="AL401" s="704" t="str">
        <f t="shared" si="75"/>
        <v/>
      </c>
      <c r="AM401" s="705" t="str">
        <f t="shared" si="76"/>
        <v/>
      </c>
      <c r="AN401" s="313"/>
      <c r="AO401" s="314" t="str">
        <f>IF($R$3=1,IF(Y401=AA401,"","NE"),IF(#REF!=$V$10,"NE",""))</f>
        <v/>
      </c>
      <c r="AP401" s="315" t="str">
        <f>IF(AB401=$V$3,IF(VLOOKUP(C401,[1]List1!$A:$E,5,FALSE)=0,1,VLOOKUP(C401,[1]List1!$A:$E,5,FALSE)),"")</f>
        <v/>
      </c>
      <c r="AW401" s="291" t="e">
        <f>VLOOKUP(C401,'General price list'!C:AU,46,FALSE)</f>
        <v>#N/A</v>
      </c>
      <c r="AX401" s="291" t="e">
        <f>VLOOKUP(C401,'General price list'!C:AU,47,FALSE)</f>
        <v>#N/A</v>
      </c>
    </row>
    <row r="402" spans="1:50" ht="15" customHeight="1">
      <c r="A402" s="677" t="str">
        <f>Kat.!C402</f>
        <v xml:space="preserve">                                          </v>
      </c>
      <c r="B402" s="678">
        <v>381</v>
      </c>
      <c r="C402" s="679" t="s">
        <v>1433</v>
      </c>
      <c r="D402" s="679" t="s">
        <v>681</v>
      </c>
      <c r="E402" s="680" t="s">
        <v>1007</v>
      </c>
      <c r="F402" s="681">
        <f>VLOOKUP(C402,[2]List1!$A:$D,2,FALSE)</f>
        <v>1402</v>
      </c>
      <c r="G402" s="682">
        <f t="shared" si="65"/>
        <v>1402</v>
      </c>
      <c r="H402" s="683">
        <f t="shared" si="66"/>
        <v>57</v>
      </c>
      <c r="I402" s="836">
        <v>2</v>
      </c>
      <c r="J402" s="680" t="s">
        <v>130</v>
      </c>
      <c r="K402" s="854"/>
      <c r="L402" s="855" t="s">
        <v>13856</v>
      </c>
      <c r="M402" s="680" t="s">
        <v>131</v>
      </c>
      <c r="N402" s="868">
        <f>IFERROR(VLOOKUP(C402,[3]List1!$A:$D,4,FALSE),"N/A!")</f>
        <v>4.4835E-2</v>
      </c>
      <c r="O402" s="836">
        <f>IFERROR(VLOOKUP(C402,[3]List1!$A:$D,3,FALSE),"N/A!")</f>
        <v>1996</v>
      </c>
      <c r="P402" s="836">
        <f>IFERROR(VLOOKUP(C402,[3]List1!$A:$D,2,FALSE),"N/A!")</f>
        <v>17500</v>
      </c>
      <c r="Q402" s="680" t="s">
        <v>13801</v>
      </c>
      <c r="R402" s="680" t="s">
        <v>24</v>
      </c>
      <c r="S402" s="680"/>
      <c r="T402" s="681">
        <v>75</v>
      </c>
      <c r="U402" s="873"/>
      <c r="V402" s="684" t="str">
        <f>_xlfn.IFNA(HYPERLINK("https://www.klasekpyrotechnics.cz/c643bi"),"")</f>
        <v>https://www.klasekpyrotechnics.cz/c643bi</v>
      </c>
      <c r="W402" s="685" t="str">
        <f>IFERROR(VLOOKUP($C402,Popisy!A:P,MATCH($W$17,Popisy!$A$7:$P$7,0),FALSE),"---------------")</f>
        <v>8 verschiedenfarbige Effekte</v>
      </c>
      <c r="X402" s="889" t="str">
        <f t="shared" si="67"/>
        <v/>
      </c>
      <c r="Y402" s="890"/>
      <c r="Z402" s="685">
        <f>IFERROR(IF(VLOOKUP(C402,[4]List1!$A:$D,4,FALSE)=0,"",VLOOKUP(C402,[4]List1!$A:$D,4,FALSE)),"")</f>
        <v>24</v>
      </c>
      <c r="AA402" s="707"/>
      <c r="AB402" s="911" t="str">
        <f>IFERROR(IF(VLOOKUP(C402,[1]List1!$A:$D,2,FALSE)="VYPRODÁNO",$V$9,IF(VLOOKUP(C402,[1]List1!$A:$D,2,FALSE)="DOCHÁZÍ",$V$3,VLOOKUP(C402,[1]List1!$A:$D,2,FALSE))),"OFFLINE!")</f>
        <v>SKLADEM</v>
      </c>
      <c r="AC402" s="911" t="str">
        <f ca="1">IF(AO402="NE",$V$10,IF(AB402=$V$3,IF(AP402&lt;1,$V$8,$V$2&amp;" "&amp;AP402&amp;" "&amp;$V$1),IF(AB402="SKLADEM",$V$6,IFERROR(IF(OR(AB402-TODAY()&gt;21,VLOOKUP(C402,[1]List1!$A:$E,4,FALSE)=0),AB402,DAY(AB402)&amp;"."&amp;MONTH(AB402)&amp;"."&amp;YEAR(AB402)&amp;" "&amp;$V$4&amp;VLOOKUP(C402,[1]List1!$A:$E,4,FALSE)&amp;" "&amp;$V$1),AB402))))</f>
        <v>AUF LAGER</v>
      </c>
      <c r="AD402" s="686" t="str">
        <f ca="1">_xlfn.IFNA(VLOOKUP(C402,'General price list'!C:AM,MATCH($AD$20,'General price list'!$C$20:$AM$20,0),FALSE),"")</f>
        <v>AUF LAGER</v>
      </c>
      <c r="AE402" s="681">
        <f t="shared" ca="1" si="68"/>
        <v>0</v>
      </c>
      <c r="AF402" s="681">
        <f t="shared" ca="1" si="69"/>
        <v>0</v>
      </c>
      <c r="AG402" s="687">
        <f t="shared" ca="1" si="70"/>
        <v>0</v>
      </c>
      <c r="AH402" s="688">
        <f t="shared" ca="1" si="71"/>
        <v>0</v>
      </c>
      <c r="AI402" s="687">
        <f t="shared" ca="1" si="72"/>
        <v>0</v>
      </c>
      <c r="AJ402" s="689" t="str">
        <f t="shared" ca="1" si="73"/>
        <v/>
      </c>
      <c r="AK402" s="689">
        <f t="shared" ca="1" si="74"/>
        <v>0</v>
      </c>
      <c r="AL402" s="689" t="str">
        <f t="shared" ca="1" si="75"/>
        <v/>
      </c>
      <c r="AM402" s="690" t="str">
        <f t="shared" ca="1" si="76"/>
        <v/>
      </c>
      <c r="AN402" s="313"/>
      <c r="AO402" s="314" t="str">
        <f>IF($R$3=1,IF(Y402=AA402,"","NE"),IF(#REF!=$V$10,"NE",""))</f>
        <v/>
      </c>
      <c r="AP402" s="315" t="str">
        <f>IF(AB402=$V$3,IF(VLOOKUP(C402,[1]List1!$A:$E,5,FALSE)=0,1,VLOOKUP(C402,[1]List1!$A:$E,5,FALSE)),"")</f>
        <v/>
      </c>
      <c r="AW402" s="458">
        <f>IFERROR(FIND(VLOOKUP('General price list'!$AB$7,'General price list'!$AC$1:$AD$12,2,FALSE),Q402,1),0)</f>
        <v>22</v>
      </c>
      <c r="AX402" s="458">
        <f>IFERROR(FIND(VLOOKUP('General price list'!$AB$7,'General price list'!$AC$1:$AD$12,2,FALSE),R402,1),0)</f>
        <v>0</v>
      </c>
    </row>
    <row r="403" spans="1:50" ht="15" customHeight="1">
      <c r="A403" s="691" t="str">
        <f>Kat.!C403</f>
        <v xml:space="preserve">                                          </v>
      </c>
      <c r="B403" s="692">
        <v>382</v>
      </c>
      <c r="C403" s="693" t="s">
        <v>1439</v>
      </c>
      <c r="D403" s="693" t="s">
        <v>1434</v>
      </c>
      <c r="E403" s="694" t="s">
        <v>1007</v>
      </c>
      <c r="F403" s="695">
        <f>VLOOKUP(C403,[2]List1!$A:$D,2,FALSE)</f>
        <v>1402</v>
      </c>
      <c r="G403" s="696">
        <f t="shared" si="65"/>
        <v>1402</v>
      </c>
      <c r="H403" s="697">
        <f t="shared" si="66"/>
        <v>57</v>
      </c>
      <c r="I403" s="837">
        <v>2</v>
      </c>
      <c r="J403" s="698" t="s">
        <v>130</v>
      </c>
      <c r="K403" s="856"/>
      <c r="L403" s="857" t="s">
        <v>13856</v>
      </c>
      <c r="M403" s="698" t="s">
        <v>131</v>
      </c>
      <c r="N403" s="869">
        <f>IFERROR(VLOOKUP(C403,[3]List1!$A:$D,4,FALSE),"N/A!")</f>
        <v>4.4835E-2</v>
      </c>
      <c r="O403" s="837">
        <f>IFERROR(VLOOKUP(C403,[3]List1!$A:$D,3,FALSE),"N/A!")</f>
        <v>1996</v>
      </c>
      <c r="P403" s="837">
        <f>IFERROR(VLOOKUP(C403,[3]List1!$A:$D,2,FALSE),"N/A!")</f>
        <v>17500</v>
      </c>
      <c r="Q403" s="698" t="s">
        <v>13801</v>
      </c>
      <c r="R403" s="698" t="s">
        <v>24</v>
      </c>
      <c r="S403" s="698"/>
      <c r="T403" s="695">
        <v>75</v>
      </c>
      <c r="U403" s="874"/>
      <c r="V403" s="699" t="str">
        <f>_xlfn.IFNA(HYPERLINK("https://www.klasekpyrotechnics.cz/c643h"),"")</f>
        <v>https://www.klasekpyrotechnics.cz/c643h</v>
      </c>
      <c r="W403" s="700" t="str">
        <f>IFERROR(VLOOKUP($C403,Popisy!A:P,MATCH($W$17,Popisy!$A$7:$P$7,0),FALSE),"---------------")</f>
        <v>8 verschiedenfarbige Effekte</v>
      </c>
      <c r="X403" s="891" t="str">
        <f t="shared" si="67"/>
        <v/>
      </c>
      <c r="Y403" s="892"/>
      <c r="Z403" s="700">
        <f>IFERROR(IF(VLOOKUP(C403,[4]List1!$A:$D,4,FALSE)=0,"",VLOOKUP(C403,[4]List1!$A:$D,4,FALSE)),"")</f>
        <v>24</v>
      </c>
      <c r="AA403" s="707"/>
      <c r="AB403" s="912" t="str">
        <f>IFERROR(IF(VLOOKUP(C403,[1]List1!$A:$D,2,FALSE)="VYPRODÁNO",$V$9,IF(VLOOKUP(C403,[1]List1!$A:$D,2,FALSE)="DOCHÁZÍ",$V$3,VLOOKUP(C403,[1]List1!$A:$D,2,FALSE))),"OFFLINE!")</f>
        <v>SKLADEM</v>
      </c>
      <c r="AC403" s="912" t="str">
        <f ca="1">IF(AO403="NE",$V$10,IF(AB403=$V$3,IF(AP403&lt;1,$V$8,$V$2&amp;" "&amp;AP403&amp;" "&amp;$V$1),IF(AB403="SKLADEM",$V$6,IFERROR(IF(OR(AB403-TODAY()&gt;21,VLOOKUP(C403,[1]List1!$A:$E,4,FALSE)=0),AB403,DAY(AB403)&amp;"."&amp;MONTH(AB403)&amp;"."&amp;YEAR(AB403)&amp;" "&amp;$V$4&amp;VLOOKUP(C403,[1]List1!$A:$E,4,FALSE)&amp;" "&amp;$V$1),AB403))))</f>
        <v>AUF LAGER</v>
      </c>
      <c r="AD403" s="701" t="str">
        <f ca="1">_xlfn.IFNA(VLOOKUP(C403,'General price list'!C:AM,MATCH($AD$20,'General price list'!$C$20:$AM$20,0),FALSE),"")</f>
        <v>AUF LAGER</v>
      </c>
      <c r="AE403" s="695">
        <f t="shared" ca="1" si="68"/>
        <v>0</v>
      </c>
      <c r="AF403" s="695">
        <f t="shared" ca="1" si="69"/>
        <v>0</v>
      </c>
      <c r="AG403" s="702">
        <f t="shared" ca="1" si="70"/>
        <v>0</v>
      </c>
      <c r="AH403" s="703">
        <f t="shared" ca="1" si="71"/>
        <v>0</v>
      </c>
      <c r="AI403" s="702">
        <f t="shared" ca="1" si="72"/>
        <v>0</v>
      </c>
      <c r="AJ403" s="704" t="str">
        <f t="shared" ca="1" si="73"/>
        <v/>
      </c>
      <c r="AK403" s="704">
        <f t="shared" ca="1" si="74"/>
        <v>0</v>
      </c>
      <c r="AL403" s="704" t="str">
        <f t="shared" ca="1" si="75"/>
        <v/>
      </c>
      <c r="AM403" s="705" t="str">
        <f t="shared" ca="1" si="76"/>
        <v/>
      </c>
      <c r="AN403" s="313"/>
      <c r="AO403" s="314" t="str">
        <f>IF($R$3=1,IF(Y403=AA403,"","NE"),IF(#REF!=$V$10,"NE",""))</f>
        <v/>
      </c>
      <c r="AP403" s="315" t="str">
        <f>IF(AB403=$V$3,IF(VLOOKUP(C403,[1]List1!$A:$E,5,FALSE)=0,1,VLOOKUP(C403,[1]List1!$A:$E,5,FALSE)),"")</f>
        <v/>
      </c>
      <c r="AW403" s="458">
        <f>IFERROR(FIND(VLOOKUP('General price list'!$AB$7,'General price list'!$AC$1:$AD$12,2,FALSE),Q403,1),0)</f>
        <v>22</v>
      </c>
      <c r="AX403" s="458">
        <f>IFERROR(FIND(VLOOKUP('General price list'!$AB$7,'General price list'!$AC$1:$AD$12,2,FALSE),R403,1),0)</f>
        <v>0</v>
      </c>
    </row>
    <row r="404" spans="1:50" ht="15" customHeight="1">
      <c r="A404" s="677" t="str">
        <f>Kat.!C404</f>
        <v xml:space="preserve">                                          </v>
      </c>
      <c r="B404" s="678">
        <v>383</v>
      </c>
      <c r="C404" s="679" t="s">
        <v>1440</v>
      </c>
      <c r="D404" s="679" t="s">
        <v>1435</v>
      </c>
      <c r="E404" s="680" t="s">
        <v>1007</v>
      </c>
      <c r="F404" s="681">
        <f>VLOOKUP(C404,[2]List1!$A:$D,2,FALSE)</f>
        <v>1402</v>
      </c>
      <c r="G404" s="682">
        <f t="shared" si="65"/>
        <v>1402</v>
      </c>
      <c r="H404" s="683">
        <f t="shared" si="66"/>
        <v>57</v>
      </c>
      <c r="I404" s="836">
        <v>2</v>
      </c>
      <c r="J404" s="680" t="s">
        <v>130</v>
      </c>
      <c r="K404" s="854"/>
      <c r="L404" s="855" t="s">
        <v>13856</v>
      </c>
      <c r="M404" s="680" t="s">
        <v>131</v>
      </c>
      <c r="N404" s="868">
        <f>IFERROR(VLOOKUP(C404,[3]List1!$A:$D,4,FALSE),"N/A!")</f>
        <v>4.4835E-2</v>
      </c>
      <c r="O404" s="836">
        <f>IFERROR(VLOOKUP(C404,[3]List1!$A:$D,3,FALSE),"N/A!")</f>
        <v>1996</v>
      </c>
      <c r="P404" s="836">
        <f>IFERROR(VLOOKUP(C404,[3]List1!$A:$D,2,FALSE),"N/A!")</f>
        <v>17500</v>
      </c>
      <c r="Q404" s="680" t="s">
        <v>13801</v>
      </c>
      <c r="R404" s="680" t="s">
        <v>24</v>
      </c>
      <c r="S404" s="680"/>
      <c r="T404" s="681">
        <v>75</v>
      </c>
      <c r="U404" s="873"/>
      <c r="V404" s="684" t="str">
        <f>_xlfn.IFNA(HYPERLINK("https://www.klasekpyrotechnics.cz/c643m"),"")</f>
        <v>https://www.klasekpyrotechnics.cz/c643m</v>
      </c>
      <c r="W404" s="685" t="str">
        <f>IFERROR(VLOOKUP($C404,Popisy!A:P,MATCH($W$17,Popisy!$A$7:$P$7,0),FALSE),"---------------")</f>
        <v>8 verschiedenfarbige wechselnde Effekte nach jedem schuss</v>
      </c>
      <c r="X404" s="889" t="str">
        <f t="shared" si="67"/>
        <v/>
      </c>
      <c r="Y404" s="890"/>
      <c r="Z404" s="685">
        <f>IFERROR(IF(VLOOKUP(C404,[4]List1!$A:$D,4,FALSE)=0,"",VLOOKUP(C404,[4]List1!$A:$D,4,FALSE)),"")</f>
        <v>24</v>
      </c>
      <c r="AA404" s="707"/>
      <c r="AB404" s="911" t="str">
        <f>IFERROR(IF(VLOOKUP(C404,[1]List1!$A:$D,2,FALSE)="VYPRODÁNO",$V$9,IF(VLOOKUP(C404,[1]List1!$A:$D,2,FALSE)="DOCHÁZÍ",$V$3,VLOOKUP(C404,[1]List1!$A:$D,2,FALSE))),"OFFLINE!")</f>
        <v>SKLADEM</v>
      </c>
      <c r="AC404" s="911" t="str">
        <f ca="1">IF(AO404="NE",$V$10,IF(AB404=$V$3,IF(AP404&lt;1,$V$8,$V$2&amp;" "&amp;AP404&amp;" "&amp;$V$1),IF(AB404="SKLADEM",$V$6,IFERROR(IF(OR(AB404-TODAY()&gt;21,VLOOKUP(C404,[1]List1!$A:$E,4,FALSE)=0),AB404,DAY(AB404)&amp;"."&amp;MONTH(AB404)&amp;"."&amp;YEAR(AB404)&amp;" "&amp;$V$4&amp;VLOOKUP(C404,[1]List1!$A:$E,4,FALSE)&amp;" "&amp;$V$1),AB404))))</f>
        <v>AUF LAGER</v>
      </c>
      <c r="AD404" s="686" t="str">
        <f ca="1">_xlfn.IFNA(VLOOKUP(C404,'General price list'!C:AM,MATCH($AD$20,'General price list'!$C$20:$AM$20,0),FALSE),"")</f>
        <v>AUF LAGER</v>
      </c>
      <c r="AE404" s="681">
        <f t="shared" ca="1" si="68"/>
        <v>0</v>
      </c>
      <c r="AF404" s="681">
        <f t="shared" ca="1" si="69"/>
        <v>0</v>
      </c>
      <c r="AG404" s="687">
        <f t="shared" ca="1" si="70"/>
        <v>0</v>
      </c>
      <c r="AH404" s="688">
        <f t="shared" ca="1" si="71"/>
        <v>0</v>
      </c>
      <c r="AI404" s="687">
        <f t="shared" ca="1" si="72"/>
        <v>0</v>
      </c>
      <c r="AJ404" s="689" t="str">
        <f t="shared" ca="1" si="73"/>
        <v/>
      </c>
      <c r="AK404" s="689">
        <f t="shared" ca="1" si="74"/>
        <v>0</v>
      </c>
      <c r="AL404" s="689" t="str">
        <f t="shared" ca="1" si="75"/>
        <v/>
      </c>
      <c r="AM404" s="690" t="str">
        <f t="shared" ca="1" si="76"/>
        <v/>
      </c>
      <c r="AN404" s="382"/>
      <c r="AO404" s="314" t="str">
        <f>IF($R$3=1,IF(Y404=AA404,"","NE"),IF(#REF!=$V$10,"NE",""))</f>
        <v/>
      </c>
      <c r="AP404" s="315" t="str">
        <f>IF(AB404=$V$3,IF(VLOOKUP(C404,[1]List1!$A:$E,5,FALSE)=0,1,VLOOKUP(C404,[1]List1!$A:$E,5,FALSE)),"")</f>
        <v/>
      </c>
      <c r="AW404" s="458">
        <f>IFERROR(FIND(VLOOKUP('General price list'!$AB$7,'General price list'!$AC$1:$AD$12,2,FALSE),Q404,1),0)</f>
        <v>22</v>
      </c>
      <c r="AX404" s="458">
        <f>IFERROR(FIND(VLOOKUP('General price list'!$AB$7,'General price list'!$AC$1:$AD$12,2,FALSE),R404,1),0)</f>
        <v>0</v>
      </c>
    </row>
    <row r="405" spans="1:50" ht="15" customHeight="1">
      <c r="A405" s="672" t="str">
        <f>Kat.!C405</f>
        <v xml:space="preserve">                                          Verbundfeurwerk 30mm - F2 - 1.4G</v>
      </c>
      <c r="B405" s="692">
        <v>384</v>
      </c>
      <c r="C405" s="693"/>
      <c r="D405" s="693"/>
      <c r="E405" s="694"/>
      <c r="F405" s="695" t="str">
        <f>IFERROR(ROUND(VLOOKUP(C405,'General price list'!$C:$AN,4,FALSE),0),"")</f>
        <v/>
      </c>
      <c r="G405" s="696" t="str">
        <f t="shared" si="65"/>
        <v/>
      </c>
      <c r="H405" s="697" t="str">
        <f t="shared" si="66"/>
        <v/>
      </c>
      <c r="I405" s="837"/>
      <c r="J405" s="698"/>
      <c r="K405" s="856"/>
      <c r="L405" s="857"/>
      <c r="M405" s="698"/>
      <c r="N405" s="869" t="str">
        <f>IFERROR(IF(VLOOKUP($C405,'General price list'!$C:$AN,MATCH(N$20,'General price list'!$C$20:$AM$20,0),FALSE)=0,"",VLOOKUP($C405,'General price list'!$C:$AN,MATCH(N$20,'General price list'!$C$20:$AM$20,0),FALSE)),"")</f>
        <v/>
      </c>
      <c r="O405" s="837" t="str">
        <f>IFERROR(IF(VLOOKUP($C405,'General price list'!$C:$AN,MATCH(O$20,'General price list'!$C$20:$AM$20,0),FALSE)=0,"",VLOOKUP($C405,'General price list'!$C:$AN,MATCH(O$20,'General price list'!$C$20:$AM$20,0),FALSE)),"")</f>
        <v/>
      </c>
      <c r="P405" s="837" t="str">
        <f>IFERROR(IF(VLOOKUP($C405,'General price list'!$C:$AN,MATCH(P$20,'General price list'!$C$20:$AM$20,0),FALSE)=0,"",VLOOKUP($C405,'General price list'!$C:$AN,MATCH(P$20,'General price list'!$C$20:$AM$20,0),FALSE)),"")</f>
        <v/>
      </c>
      <c r="Q405" s="698"/>
      <c r="R405" s="698"/>
      <c r="S405" s="698"/>
      <c r="T405" s="695"/>
      <c r="U405" s="874"/>
      <c r="V405" s="699"/>
      <c r="W405" s="700" t="str">
        <f>IFERROR(VLOOKUP($C405,'General price list'!$C:$AN,MATCH(W$20,'General price list'!$C$20:$AM$20,0),FALSE),"")</f>
        <v/>
      </c>
      <c r="X405" s="891" t="str">
        <f t="shared" si="67"/>
        <v/>
      </c>
      <c r="Y405" s="892"/>
      <c r="Z405" s="700" t="str">
        <f>IFERROR(VLOOKUP($C405,'General price list'!$C:$AN,MATCH(Z$20,'General price list'!$C$20:$AM$20,0),FALSE),"")</f>
        <v/>
      </c>
      <c r="AA405" s="707"/>
      <c r="AB405" s="912" t="str">
        <f>IFERROR(IF(VLOOKUP(C405,[1]List1!$A:$D,2,FALSE)="VYPRODÁNO",$V$9,IF(VLOOKUP(C405,[1]List1!$A:$D,2,FALSE)="DOCHÁZÍ",$V$3,VLOOKUP(C405,[1]List1!$A:$D,2,FALSE))),"OFFLINE!")</f>
        <v>OFFLINE!</v>
      </c>
      <c r="AC405" s="912" t="str">
        <f ca="1">IF(AO405="NE",$V$10,IF(AB405=$V$3,IF(AP405&lt;1,$V$8,$V$2&amp;" "&amp;AP405&amp;" "&amp;$V$1),IF(AB405="SKLADEM",$V$6,IFERROR(IF(OR(AB405-TODAY()&gt;21,VLOOKUP(C405,[1]List1!$A:$E,4,FALSE)=0),AB405,DAY(AB405)&amp;"."&amp;MONTH(AB405)&amp;"."&amp;YEAR(AB405)&amp;" "&amp;$V$4&amp;VLOOKUP(C405,[1]List1!$A:$E,4,FALSE)&amp;" "&amp;$V$1),AB405))))</f>
        <v>OFFLINE!</v>
      </c>
      <c r="AD405" s="701" t="str">
        <f>_xlfn.IFNA(VLOOKUP(C405,'General price list'!C:AM,MATCH($AD$20,'General price list'!$C$20:$AM$20,0),FALSE),"")</f>
        <v/>
      </c>
      <c r="AE405" s="695" t="str">
        <f t="shared" si="68"/>
        <v/>
      </c>
      <c r="AF405" s="695" t="str">
        <f t="shared" si="69"/>
        <v/>
      </c>
      <c r="AG405" s="702" t="str">
        <f t="shared" si="70"/>
        <v/>
      </c>
      <c r="AH405" s="703" t="str">
        <f t="shared" si="71"/>
        <v/>
      </c>
      <c r="AI405" s="702" t="str">
        <f t="shared" si="72"/>
        <v/>
      </c>
      <c r="AJ405" s="704" t="str">
        <f t="shared" si="73"/>
        <v/>
      </c>
      <c r="AK405" s="704" t="str">
        <f t="shared" si="74"/>
        <v/>
      </c>
      <c r="AL405" s="704" t="str">
        <f t="shared" si="75"/>
        <v/>
      </c>
      <c r="AM405" s="705" t="str">
        <f t="shared" si="76"/>
        <v/>
      </c>
      <c r="AN405" s="313"/>
      <c r="AO405" s="314" t="str">
        <f>IF($R$3=1,IF(Y405=AA405,"","NE"),IF(#REF!=$V$10,"NE",""))</f>
        <v/>
      </c>
      <c r="AP405" s="315" t="str">
        <f>IF(AB405=$V$3,IF(VLOOKUP(C405,[1]List1!$A:$E,5,FALSE)=0,1,VLOOKUP(C405,[1]List1!$A:$E,5,FALSE)),"")</f>
        <v/>
      </c>
      <c r="AW405" s="291" t="e">
        <f>VLOOKUP(C405,'General price list'!C:AU,46,FALSE)</f>
        <v>#N/A</v>
      </c>
      <c r="AX405" s="291" t="e">
        <f>VLOOKUP(C405,'General price list'!C:AU,47,FALSE)</f>
        <v>#N/A</v>
      </c>
    </row>
    <row r="406" spans="1:50" ht="15" customHeight="1">
      <c r="A406" s="677" t="str">
        <f>Kat.!C406</f>
        <v xml:space="preserve">                                          </v>
      </c>
      <c r="B406" s="678">
        <v>385</v>
      </c>
      <c r="C406" s="679" t="s">
        <v>2366</v>
      </c>
      <c r="D406" s="679" t="s">
        <v>2367</v>
      </c>
      <c r="E406" s="680" t="s">
        <v>129</v>
      </c>
      <c r="F406" s="681">
        <f>VLOOKUP(C406,[2]List1!$A:$D,2,FALSE)</f>
        <v>1187</v>
      </c>
      <c r="G406" s="682">
        <f t="shared" si="65"/>
        <v>1187</v>
      </c>
      <c r="H406" s="683">
        <f t="shared" si="66"/>
        <v>48.3</v>
      </c>
      <c r="I406" s="836">
        <v>1</v>
      </c>
      <c r="J406" s="680" t="s">
        <v>45</v>
      </c>
      <c r="K406" s="854"/>
      <c r="L406" s="855" t="s">
        <v>13858</v>
      </c>
      <c r="M406" s="680" t="s">
        <v>25</v>
      </c>
      <c r="N406" s="868">
        <f>IFERROR(VLOOKUP(C406,[3]List1!$A:$D,4,FALSE),"N/A!")</f>
        <v>1.6453125000000002E-2</v>
      </c>
      <c r="O406" s="836">
        <f>IFERROR(VLOOKUP(C406,[3]List1!$A:$D,3,FALSE),"N/A!")</f>
        <v>950</v>
      </c>
      <c r="P406" s="836">
        <f>IFERROR(VLOOKUP(C406,[3]List1!$A:$D,2,FALSE),"N/A!")</f>
        <v>6600</v>
      </c>
      <c r="Q406" s="680" t="s">
        <v>13802</v>
      </c>
      <c r="R406" s="680" t="s">
        <v>24</v>
      </c>
      <c r="S406" s="680"/>
      <c r="T406" s="681">
        <v>40</v>
      </c>
      <c r="U406" s="873"/>
      <c r="V406" s="684" t="str">
        <f>_xlfn.IFNA(HYPERLINK("https://www.klasekpyrotechnics.cz/c503bw-c14"),"")</f>
        <v>https://www.klasekpyrotechnics.cz/c503bw-c14</v>
      </c>
      <c r="W406" s="685" t="str">
        <f>IFERROR(VLOOKUP($C406,Popisy!A:P,MATCH($W$17,Popisy!$A$7:$P$7,0),FALSE),"---------------")</f>
        <v>goldene funkelnde Weide</v>
      </c>
      <c r="X406" s="889" t="str">
        <f t="shared" si="67"/>
        <v/>
      </c>
      <c r="Y406" s="890"/>
      <c r="Z406" s="685" t="str">
        <f>IFERROR(IF(VLOOKUP(C406,[4]List1!$A:$D,4,FALSE)=0,"",VLOOKUP(C406,[4]List1!$A:$D,4,FALSE)),"")</f>
        <v>84</v>
      </c>
      <c r="AA406" s="707"/>
      <c r="AB406" s="911" t="str">
        <f>IFERROR(IF(VLOOKUP(C406,[1]List1!$A:$D,2,FALSE)="VYPRODÁNO",$V$9,IF(VLOOKUP(C406,[1]List1!$A:$D,2,FALSE)="DOCHÁZÍ",$V$3,VLOOKUP(C406,[1]List1!$A:$D,2,FALSE))),"OFFLINE!")</f>
        <v>SKLADEM</v>
      </c>
      <c r="AC406" s="911" t="str">
        <f ca="1">IF(AO406="NE",$V$10,IF(AB406=$V$3,IF(AP406&lt;1,$V$8,$V$2&amp;" "&amp;AP406&amp;" "&amp;$V$1),IF(AB406="SKLADEM",$V$6,IFERROR(IF(OR(AB406-TODAY()&gt;21,VLOOKUP(C406,[1]List1!$A:$E,4,FALSE)=0),AB406,DAY(AB406)&amp;"."&amp;MONTH(AB406)&amp;"."&amp;YEAR(AB406)&amp;" "&amp;$V$4&amp;VLOOKUP(C406,[1]List1!$A:$E,4,FALSE)&amp;" "&amp;$V$1),AB406))))</f>
        <v>AUF LAGER</v>
      </c>
      <c r="AD406" s="686" t="str">
        <f ca="1">_xlfn.IFNA(VLOOKUP(C406,'General price list'!C:AM,MATCH($AD$20,'General price list'!$C$20:$AM$20,0),FALSE),"")</f>
        <v>AUF LAGER</v>
      </c>
      <c r="AE406" s="681">
        <f t="shared" ca="1" si="68"/>
        <v>0</v>
      </c>
      <c r="AF406" s="681">
        <f t="shared" ca="1" si="69"/>
        <v>0</v>
      </c>
      <c r="AG406" s="687">
        <f t="shared" ca="1" si="70"/>
        <v>0</v>
      </c>
      <c r="AH406" s="688">
        <f t="shared" ca="1" si="71"/>
        <v>0</v>
      </c>
      <c r="AI406" s="687">
        <f t="shared" ca="1" si="72"/>
        <v>0</v>
      </c>
      <c r="AJ406" s="689" t="str">
        <f t="shared" ca="1" si="73"/>
        <v/>
      </c>
      <c r="AK406" s="689" t="str">
        <f t="shared" ca="1" si="74"/>
        <v/>
      </c>
      <c r="AL406" s="689">
        <f t="shared" ca="1" si="75"/>
        <v>0</v>
      </c>
      <c r="AM406" s="690" t="str">
        <f t="shared" ca="1" si="76"/>
        <v/>
      </c>
      <c r="AN406" s="382"/>
      <c r="AO406" s="314" t="str">
        <f>IF($R$3=1,IF(Y406=AA406,"","NE"),IF(#REF!=$V$10,"NE",""))</f>
        <v/>
      </c>
      <c r="AP406" s="315" t="str">
        <f>IF(AB406=$V$3,IF(VLOOKUP(C406,[1]List1!$A:$E,5,FALSE)=0,1,VLOOKUP(C406,[1]List1!$A:$E,5,FALSE)),"")</f>
        <v/>
      </c>
      <c r="AW406" s="458">
        <f>IFERROR(FIND(VLOOKUP('General price list'!$AB$7,'General price list'!$AC$1:$AD$12,2,FALSE),Q406,1),0)</f>
        <v>16</v>
      </c>
      <c r="AX406" s="458">
        <f>IFERROR(FIND(VLOOKUP('General price list'!$AB$7,'General price list'!$AC$1:$AD$12,2,FALSE),R406,1),0)</f>
        <v>0</v>
      </c>
    </row>
    <row r="407" spans="1:50" ht="15" customHeight="1">
      <c r="A407" s="691" t="str">
        <f>Kat.!C407</f>
        <v xml:space="preserve">                                          </v>
      </c>
      <c r="B407" s="692">
        <v>386</v>
      </c>
      <c r="C407" s="693" t="s">
        <v>5190</v>
      </c>
      <c r="D407" s="693" t="s">
        <v>5191</v>
      </c>
      <c r="E407" s="694" t="s">
        <v>129</v>
      </c>
      <c r="F407" s="695">
        <f>VLOOKUP(C407,[2]List1!$A:$D,2,FALSE)</f>
        <v>1187</v>
      </c>
      <c r="G407" s="696">
        <f t="shared" ref="G407:G470" si="77">IFERROR((F407)*$B$19,"")</f>
        <v>1187</v>
      </c>
      <c r="H407" s="697">
        <f t="shared" ref="H407:H470" si="78">IFERROR(ROUND(G407/$F$19,1),"")</f>
        <v>48.3</v>
      </c>
      <c r="I407" s="837">
        <v>1</v>
      </c>
      <c r="J407" s="698" t="s">
        <v>45</v>
      </c>
      <c r="K407" s="856"/>
      <c r="L407" s="857" t="s">
        <v>13858</v>
      </c>
      <c r="M407" s="698" t="s">
        <v>25</v>
      </c>
      <c r="N407" s="869">
        <f>IFERROR(VLOOKUP(C407,[3]List1!$A:$D,4,FALSE),"N/A!")</f>
        <v>1.6453125000000002E-2</v>
      </c>
      <c r="O407" s="837">
        <f>IFERROR(VLOOKUP(C407,[3]List1!$A:$D,3,FALSE),"N/A!")</f>
        <v>950</v>
      </c>
      <c r="P407" s="837">
        <f>IFERROR(VLOOKUP(C407,[3]List1!$A:$D,2,FALSE),"N/A!")</f>
        <v>6600</v>
      </c>
      <c r="Q407" s="698" t="s">
        <v>13802</v>
      </c>
      <c r="R407" s="698" t="s">
        <v>24</v>
      </c>
      <c r="S407" s="698"/>
      <c r="T407" s="695">
        <v>25</v>
      </c>
      <c r="U407" s="874"/>
      <c r="V407" s="699" t="str">
        <f>_xlfn.IFNA(HYPERLINK("https://www.klasekpyrotechnics.cz/c503ts-c14"),"")</f>
        <v>https://www.klasekpyrotechnics.cz/c503ts-c14</v>
      </c>
      <c r="W407" s="700" t="str">
        <f>IFERROR(VLOOKUP($C407,Popisy!A:P,MATCH($W$17,Popisy!$A$7:$P$7,0),FALSE),"---------------")</f>
        <v>10 verschiedenfarbige Effekte</v>
      </c>
      <c r="X407" s="891" t="str">
        <f t="shared" ref="X407:X470" si="79">IF(AA407&lt;0.0001,"",AA407)</f>
        <v/>
      </c>
      <c r="Y407" s="892"/>
      <c r="Z407" s="700" t="str">
        <f>IFERROR(IF(VLOOKUP(C407,[4]List1!$A:$D,4,FALSE)=0,"",VLOOKUP(C407,[4]List1!$A:$D,4,FALSE)),"")</f>
        <v>84</v>
      </c>
      <c r="AA407" s="707"/>
      <c r="AB407" s="912" t="str">
        <f>IFERROR(IF(VLOOKUP(C407,[1]List1!$A:$D,2,FALSE)="VYPRODÁNO",$V$9,IF(VLOOKUP(C407,[1]List1!$A:$D,2,FALSE)="DOCHÁZÍ",$V$3,VLOOKUP(C407,[1]List1!$A:$D,2,FALSE))),"OFFLINE!")</f>
        <v>SKLADEM</v>
      </c>
      <c r="AC407" s="912" t="str">
        <f ca="1">IF(AO407="NE",$V$10,IF(AB407=$V$3,IF(AP407&lt;1,$V$8,$V$2&amp;" "&amp;AP407&amp;" "&amp;$V$1),IF(AB407="SKLADEM",$V$6,IFERROR(IF(OR(AB407-TODAY()&gt;21,VLOOKUP(C407,[1]List1!$A:$E,4,FALSE)=0),AB407,DAY(AB407)&amp;"."&amp;MONTH(AB407)&amp;"."&amp;YEAR(AB407)&amp;" "&amp;$V$4&amp;VLOOKUP(C407,[1]List1!$A:$E,4,FALSE)&amp;" "&amp;$V$1),AB407))))</f>
        <v>AUF LAGER</v>
      </c>
      <c r="AD407" s="701" t="str">
        <f ca="1">_xlfn.IFNA(VLOOKUP(C407,'General price list'!C:AM,MATCH($AD$20,'General price list'!$C$20:$AM$20,0),FALSE),"")</f>
        <v>AUF LAGER</v>
      </c>
      <c r="AE407" s="695">
        <f t="shared" ref="AE407:AE470" ca="1" si="80">IFERROR(IF(AD407=$V$10,0,G407*I407*AA407),"")</f>
        <v>0</v>
      </c>
      <c r="AF407" s="695">
        <f t="shared" ref="AF407:AF470" ca="1" si="81">IFERROR(IF($W$17=$AB$8,AG407*1.23,AE407*1.21),"")</f>
        <v>0</v>
      </c>
      <c r="AG407" s="702">
        <f t="shared" ref="AG407:AG470" ca="1" si="82">IFERROR(IF($V$10=AD407,0,H407*I407*AA407),"")</f>
        <v>0</v>
      </c>
      <c r="AH407" s="703">
        <f t="shared" ref="AH407:AH470" ca="1" si="83">IFERROR(IF($V$10=AD407,0,(P407*AA407)/1000),"")</f>
        <v>0</v>
      </c>
      <c r="AI407" s="702">
        <f t="shared" ref="AI407:AI470" ca="1" si="84">IFERROR(IF($V$10=AD407,0,N407*AA407),"")</f>
        <v>0</v>
      </c>
      <c r="AJ407" s="704" t="str">
        <f t="shared" ref="AJ407:AJ470" ca="1" si="85">IFERROR(IF($V$10=AD407,"",IF(M407="1.1G",(O407/1000)*AA407,"")),0)</f>
        <v/>
      </c>
      <c r="AK407" s="704" t="str">
        <f t="shared" ref="AK407:AK470" ca="1" si="86">IFERROR(IF($V$10=AD407,"",IF(M407="1.3G",(O407/1000)*AA407,"")),0)</f>
        <v/>
      </c>
      <c r="AL407" s="704">
        <f t="shared" ref="AL407:AL470" ca="1" si="87">IFERROR(IF($V$10=AD407,"",IF(M407="1.4G",(O407/1000)*AA407,"")),0)</f>
        <v>0</v>
      </c>
      <c r="AM407" s="705" t="str">
        <f t="shared" ref="AM407:AM470" ca="1" si="88">IFERROR(IF(SUM(AJ407:AL407)=0,"",SUM(AJ407:AL407)),"")</f>
        <v/>
      </c>
      <c r="AN407" s="381"/>
      <c r="AO407" s="314" t="str">
        <f>IF($R$3=1,IF(Y407=AA407,"","NE"),IF(#REF!=$V$10,"NE",""))</f>
        <v/>
      </c>
      <c r="AP407" s="315" t="str">
        <f>IF(AB407=$V$3,IF(VLOOKUP(C407,[1]List1!$A:$E,5,FALSE)=0,1,VLOOKUP(C407,[1]List1!$A:$E,5,FALSE)),"")</f>
        <v/>
      </c>
      <c r="AW407" s="458">
        <f>IFERROR(FIND(VLOOKUP('General price list'!$AB$7,'General price list'!$AC$1:$AD$12,2,FALSE),Q407,1),0)</f>
        <v>16</v>
      </c>
      <c r="AX407" s="458">
        <f>IFERROR(FIND(VLOOKUP('General price list'!$AB$7,'General price list'!$AC$1:$AD$12,2,FALSE),R407,1),0)</f>
        <v>0</v>
      </c>
    </row>
    <row r="408" spans="1:50" ht="15" customHeight="1">
      <c r="A408" s="677" t="str">
        <f>Kat.!C408</f>
        <v xml:space="preserve">                                          </v>
      </c>
      <c r="B408" s="678">
        <v>387</v>
      </c>
      <c r="C408" s="679" t="s">
        <v>1448</v>
      </c>
      <c r="D408" s="679" t="s">
        <v>1449</v>
      </c>
      <c r="E408" s="680" t="s">
        <v>129</v>
      </c>
      <c r="F408" s="681">
        <f>VLOOKUP(C408,[2]List1!$A:$D,2,FALSE)</f>
        <v>1187</v>
      </c>
      <c r="G408" s="682">
        <f t="shared" si="77"/>
        <v>1187</v>
      </c>
      <c r="H408" s="683">
        <f t="shared" si="78"/>
        <v>48.3</v>
      </c>
      <c r="I408" s="836">
        <v>1</v>
      </c>
      <c r="J408" s="680" t="s">
        <v>45</v>
      </c>
      <c r="K408" s="854"/>
      <c r="L408" s="855" t="s">
        <v>13858</v>
      </c>
      <c r="M408" s="680" t="s">
        <v>25</v>
      </c>
      <c r="N408" s="868">
        <f>IFERROR(VLOOKUP(C408,[3]List1!$A:$D,4,FALSE),"N/A!")</f>
        <v>1.6453125000000002E-2</v>
      </c>
      <c r="O408" s="836">
        <f>IFERROR(VLOOKUP(C408,[3]List1!$A:$D,3,FALSE),"N/A!")</f>
        <v>950</v>
      </c>
      <c r="P408" s="836">
        <f>IFERROR(VLOOKUP(C408,[3]List1!$A:$D,2,FALSE),"N/A!")</f>
        <v>6600</v>
      </c>
      <c r="Q408" s="680" t="s">
        <v>13802</v>
      </c>
      <c r="R408" s="680" t="s">
        <v>24</v>
      </c>
      <c r="S408" s="680"/>
      <c r="T408" s="681">
        <v>60</v>
      </c>
      <c r="U408" s="873"/>
      <c r="V408" s="684" t="str">
        <f>_xlfn.IFNA(HYPERLINK("https://www.klasekpyrotechnics.cz/c503ro-c14"),"")</f>
        <v>https://www.klasekpyrotechnics.cz/c503ro-c14</v>
      </c>
      <c r="W408" s="685" t="str">
        <f>IFERROR(VLOOKUP($C408,Popisy!A:P,MATCH($W$17,Popisy!$A$7:$P$7,0),FALSE),"---------------")</f>
        <v>10 verschiedenfarbige Effekte</v>
      </c>
      <c r="X408" s="889" t="str">
        <f t="shared" si="79"/>
        <v/>
      </c>
      <c r="Y408" s="890"/>
      <c r="Z408" s="685" t="str">
        <f>IFERROR(IF(VLOOKUP(C408,[4]List1!$A:$D,4,FALSE)=0,"",VLOOKUP(C408,[4]List1!$A:$D,4,FALSE)),"")</f>
        <v>84</v>
      </c>
      <c r="AA408" s="707"/>
      <c r="AB408" s="911" t="str">
        <f>IFERROR(IF(VLOOKUP(C408,[1]List1!$A:$D,2,FALSE)="VYPRODÁNO",$V$9,IF(VLOOKUP(C408,[1]List1!$A:$D,2,FALSE)="DOCHÁZÍ",$V$3,VLOOKUP(C408,[1]List1!$A:$D,2,FALSE))),"OFFLINE!")</f>
        <v>15.05.2024</v>
      </c>
      <c r="AC408" s="911" t="str">
        <f ca="1">IF(AO408="NE",$V$10,IF(AB408=$V$3,IF(AP408&lt;1,$V$8,$V$2&amp;" "&amp;AP408&amp;" "&amp;$V$1),IF(AB408="SKLADEM",$V$6,IFERROR(IF(OR(AB408-TODAY()&gt;21,VLOOKUP(C408,[1]List1!$A:$E,4,FALSE)=0),AB408,DAY(AB408)&amp;"."&amp;MONTH(AB408)&amp;"."&amp;YEAR(AB408)&amp;" "&amp;$V$4&amp;VLOOKUP(C408,[1]List1!$A:$E,4,FALSE)&amp;" "&amp;$V$1),AB408))))</f>
        <v>15.05.2024</v>
      </c>
      <c r="AD408" s="686" t="str">
        <f ca="1">_xlfn.IFNA(VLOOKUP(C408,'General price list'!C:AM,MATCH($AD$20,'General price list'!$C$20:$AM$20,0),FALSE),"")</f>
        <v>15.05.2024</v>
      </c>
      <c r="AE408" s="681">
        <f t="shared" ca="1" si="80"/>
        <v>0</v>
      </c>
      <c r="AF408" s="681">
        <f t="shared" ca="1" si="81"/>
        <v>0</v>
      </c>
      <c r="AG408" s="687">
        <f t="shared" ca="1" si="82"/>
        <v>0</v>
      </c>
      <c r="AH408" s="688">
        <f t="shared" ca="1" si="83"/>
        <v>0</v>
      </c>
      <c r="AI408" s="687">
        <f t="shared" ca="1" si="84"/>
        <v>0</v>
      </c>
      <c r="AJ408" s="689" t="str">
        <f t="shared" ca="1" si="85"/>
        <v/>
      </c>
      <c r="AK408" s="689" t="str">
        <f t="shared" ca="1" si="86"/>
        <v/>
      </c>
      <c r="AL408" s="689">
        <f t="shared" ca="1" si="87"/>
        <v>0</v>
      </c>
      <c r="AM408" s="690" t="str">
        <f t="shared" ca="1" si="88"/>
        <v/>
      </c>
      <c r="AN408" s="382"/>
      <c r="AO408" s="314" t="str">
        <f>IF($R$3=1,IF(Y408=AA408,"","NE"),IF(#REF!=$V$10,"NE",""))</f>
        <v/>
      </c>
      <c r="AP408" s="315" t="str">
        <f>IF(AB408=$V$3,IF(VLOOKUP(C408,[1]List1!$A:$E,5,FALSE)=0,1,VLOOKUP(C408,[1]List1!$A:$E,5,FALSE)),"")</f>
        <v/>
      </c>
      <c r="AW408" s="458">
        <f>IFERROR(FIND(VLOOKUP('General price list'!$AB$7,'General price list'!$AC$1:$AD$12,2,FALSE),Q408,1),0)</f>
        <v>16</v>
      </c>
      <c r="AX408" s="458">
        <f>IFERROR(FIND(VLOOKUP('General price list'!$AB$7,'General price list'!$AC$1:$AD$12,2,FALSE),R408,1),0)</f>
        <v>0</v>
      </c>
    </row>
    <row r="409" spans="1:50" ht="15" customHeight="1">
      <c r="A409" s="691" t="str">
        <f>Kat.!C409</f>
        <v xml:space="preserve">                                          </v>
      </c>
      <c r="B409" s="692">
        <v>388</v>
      </c>
      <c r="C409" s="693" t="s">
        <v>1450</v>
      </c>
      <c r="D409" s="693" t="s">
        <v>1451</v>
      </c>
      <c r="E409" s="694" t="s">
        <v>129</v>
      </c>
      <c r="F409" s="695">
        <f>VLOOKUP(C409,[2]List1!$A:$D,2,FALSE)</f>
        <v>1187</v>
      </c>
      <c r="G409" s="696">
        <f t="shared" si="77"/>
        <v>1187</v>
      </c>
      <c r="H409" s="697">
        <f t="shared" si="78"/>
        <v>48.3</v>
      </c>
      <c r="I409" s="837">
        <v>1</v>
      </c>
      <c r="J409" s="698" t="s">
        <v>45</v>
      </c>
      <c r="K409" s="856" t="s">
        <v>12593</v>
      </c>
      <c r="L409" s="857" t="s">
        <v>13832</v>
      </c>
      <c r="M409" s="698" t="s">
        <v>25</v>
      </c>
      <c r="N409" s="869">
        <f>IFERROR(VLOOKUP(C409,[3]List1!$A:$D,4,FALSE),"N/A!")</f>
        <v>1.6453125000000002E-2</v>
      </c>
      <c r="O409" s="837">
        <f>IFERROR(VLOOKUP(C409,[3]List1!$A:$D,3,FALSE),"N/A!")</f>
        <v>950</v>
      </c>
      <c r="P409" s="837">
        <f>IFERROR(VLOOKUP(C409,[3]List1!$A:$D,2,FALSE),"N/A!")</f>
        <v>7000</v>
      </c>
      <c r="Q409" s="698" t="s">
        <v>13802</v>
      </c>
      <c r="R409" s="698" t="s">
        <v>24</v>
      </c>
      <c r="S409" s="698"/>
      <c r="T409" s="695">
        <v>60</v>
      </c>
      <c r="U409" s="874"/>
      <c r="V409" s="699" t="str">
        <f>_xlfn.IFNA(HYPERLINK("https://www.klasekpyrotechnics.cz/c503f-c14"),"")</f>
        <v>https://www.klasekpyrotechnics.cz/c503f-c14</v>
      </c>
      <c r="W409" s="700" t="str">
        <f>IFERROR(VLOOKUP($C409,Popisy!A:P,MATCH($W$17,Popisy!$A$7:$P$7,0),FALSE),"---------------")</f>
        <v>10 verschiedenfarbige Effekte</v>
      </c>
      <c r="X409" s="891" t="str">
        <f t="shared" si="79"/>
        <v/>
      </c>
      <c r="Y409" s="892"/>
      <c r="Z409" s="700" t="str">
        <f>IFERROR(IF(VLOOKUP(C409,[4]List1!$A:$D,4,FALSE)=0,"",VLOOKUP(C409,[4]List1!$A:$D,4,FALSE)),"")</f>
        <v>84</v>
      </c>
      <c r="AA409" s="707"/>
      <c r="AB409" s="912" t="str">
        <f>IFERROR(IF(VLOOKUP(C409,[1]List1!$A:$D,2,FALSE)="VYPRODÁNO",$V$9,IF(VLOOKUP(C409,[1]List1!$A:$D,2,FALSE)="DOCHÁZÍ",$V$3,VLOOKUP(C409,[1]List1!$A:$D,2,FALSE))),"OFFLINE!")</f>
        <v>SKLADEM</v>
      </c>
      <c r="AC409" s="912" t="str">
        <f ca="1">IF(AO409="NE",$V$10,IF(AB409=$V$3,IF(AP409&lt;1,$V$8,$V$2&amp;" "&amp;AP409&amp;" "&amp;$V$1),IF(AB409="SKLADEM",$V$6,IFERROR(IF(OR(AB409-TODAY()&gt;21,VLOOKUP(C409,[1]List1!$A:$E,4,FALSE)=0),AB409,DAY(AB409)&amp;"."&amp;MONTH(AB409)&amp;"."&amp;YEAR(AB409)&amp;" "&amp;$V$4&amp;VLOOKUP(C409,[1]List1!$A:$E,4,FALSE)&amp;" "&amp;$V$1),AB409))))</f>
        <v>AUF LAGER</v>
      </c>
      <c r="AD409" s="701" t="str">
        <f ca="1">_xlfn.IFNA(VLOOKUP(C409,'General price list'!C:AM,MATCH($AD$20,'General price list'!$C$20:$AM$20,0),FALSE),"")</f>
        <v>AUF LAGER</v>
      </c>
      <c r="AE409" s="695">
        <f t="shared" ca="1" si="80"/>
        <v>0</v>
      </c>
      <c r="AF409" s="695">
        <f t="shared" ca="1" si="81"/>
        <v>0</v>
      </c>
      <c r="AG409" s="702">
        <f t="shared" ca="1" si="82"/>
        <v>0</v>
      </c>
      <c r="AH409" s="703">
        <f t="shared" ca="1" si="83"/>
        <v>0</v>
      </c>
      <c r="AI409" s="702">
        <f t="shared" ca="1" si="84"/>
        <v>0</v>
      </c>
      <c r="AJ409" s="704" t="str">
        <f t="shared" ca="1" si="85"/>
        <v/>
      </c>
      <c r="AK409" s="704" t="str">
        <f t="shared" ca="1" si="86"/>
        <v/>
      </c>
      <c r="AL409" s="704">
        <f t="shared" ca="1" si="87"/>
        <v>0</v>
      </c>
      <c r="AM409" s="705" t="str">
        <f t="shared" ca="1" si="88"/>
        <v/>
      </c>
      <c r="AN409" s="382"/>
      <c r="AO409" s="314" t="str">
        <f>IF($R$3=1,IF(Y409=AA409,"","NE"),IF(#REF!=$V$10,"NE",""))</f>
        <v/>
      </c>
      <c r="AP409" s="315" t="str">
        <f>IF(AB409=$V$3,IF(VLOOKUP(C409,[1]List1!$A:$E,5,FALSE)=0,1,VLOOKUP(C409,[1]List1!$A:$E,5,FALSE)),"")</f>
        <v/>
      </c>
      <c r="AW409" s="458">
        <f>IFERROR(FIND(VLOOKUP('General price list'!$AB$7,'General price list'!$AC$1:$AD$12,2,FALSE),Q409,1),0)</f>
        <v>16</v>
      </c>
      <c r="AX409" s="458">
        <f>IFERROR(FIND(VLOOKUP('General price list'!$AB$7,'General price list'!$AC$1:$AD$12,2,FALSE),R409,1),0)</f>
        <v>0</v>
      </c>
    </row>
    <row r="410" spans="1:50" ht="15" customHeight="1">
      <c r="A410" s="677" t="str">
        <f>Kat.!C410</f>
        <v>×</v>
      </c>
      <c r="B410" s="678">
        <v>389</v>
      </c>
      <c r="C410" s="679" t="s">
        <v>1453</v>
      </c>
      <c r="D410" s="679" t="s">
        <v>12587</v>
      </c>
      <c r="E410" s="680" t="s">
        <v>129</v>
      </c>
      <c r="F410" s="681">
        <f>VLOOKUP(C410,[2]List1!$A:$D,2,FALSE)</f>
        <v>1187</v>
      </c>
      <c r="G410" s="682">
        <f t="shared" si="77"/>
        <v>1187</v>
      </c>
      <c r="H410" s="683">
        <f t="shared" si="78"/>
        <v>48.3</v>
      </c>
      <c r="I410" s="836">
        <v>1</v>
      </c>
      <c r="J410" s="680" t="s">
        <v>45</v>
      </c>
      <c r="K410" s="854"/>
      <c r="L410" s="855" t="s">
        <v>13841</v>
      </c>
      <c r="M410" s="680" t="s">
        <v>25</v>
      </c>
      <c r="N410" s="868">
        <f>IFERROR(VLOOKUP(C410,[3]List1!$A:$D,4,FALSE),"N/A!")</f>
        <v>1.6453125000000002E-2</v>
      </c>
      <c r="O410" s="836">
        <f>IFERROR(VLOOKUP(C410,[3]List1!$A:$D,3,FALSE),"N/A!")</f>
        <v>950</v>
      </c>
      <c r="P410" s="836">
        <f>IFERROR(VLOOKUP(C410,[3]List1!$A:$D,2,FALSE),"N/A!")</f>
        <v>7000</v>
      </c>
      <c r="Q410" s="680" t="s">
        <v>13803</v>
      </c>
      <c r="R410" s="680" t="s">
        <v>24</v>
      </c>
      <c r="S410" s="680"/>
      <c r="T410" s="681">
        <v>45</v>
      </c>
      <c r="U410" s="873"/>
      <c r="V410" s="684" t="str">
        <f>_xlfn.IFNA(HYPERLINK("https://www.klasekpyrotechnics.cz/c503nid-c14"),"")</f>
        <v>https://www.klasekpyrotechnics.cz/c503nid-c14</v>
      </c>
      <c r="W410" s="685" t="str">
        <f>IFERROR(VLOOKUP($C410,Popisy!A:P,MATCH($W$17,Popisy!$A$7:$P$7,0),FALSE),"---------------")</f>
        <v>10 verschiedenfarbige Effekte</v>
      </c>
      <c r="X410" s="889" t="str">
        <f t="shared" si="79"/>
        <v/>
      </c>
      <c r="Y410" s="890"/>
      <c r="Z410" s="685" t="str">
        <f>IFERROR(IF(VLOOKUP(C410,[4]List1!$A:$D,4,FALSE)=0,"",VLOOKUP(C410,[4]List1!$A:$D,4,FALSE)),"")</f>
        <v>84</v>
      </c>
      <c r="AA410" s="707"/>
      <c r="AB410" s="911" t="str">
        <f>IFERROR(IF(VLOOKUP(C410,[1]List1!$A:$D,2,FALSE)="VYPRODÁNO",$V$9,IF(VLOOKUP(C410,[1]List1!$A:$D,2,FALSE)="DOCHÁZÍ",$V$3,VLOOKUP(C410,[1]List1!$A:$D,2,FALSE))),"OFFLINE!")</f>
        <v>LETZTE STÜCKE</v>
      </c>
      <c r="AC410" s="911" t="str">
        <f ca="1">IF(AO410="NE",$V$10,IF(AB410=$V$3,IF(AP410&lt;1,$V$8,$V$2&amp;" "&amp;AP410&amp;" "&amp;$V$1),IF(AB410="SKLADEM",$V$6,IFERROR(IF(OR(AB410-TODAY()&gt;21,VLOOKUP(C410,[1]List1!$A:$E,4,FALSE)=0),AB410,DAY(AB410)&amp;"."&amp;MONTH(AB410)&amp;"."&amp;YEAR(AB410)&amp;" "&amp;$V$4&amp;VLOOKUP(C410,[1]List1!$A:$E,4,FALSE)&amp;" "&amp;$V$1),AB410))))</f>
        <v>LETZTE 30 KTN</v>
      </c>
      <c r="AD410" s="686" t="str">
        <f ca="1">_xlfn.IFNA(VLOOKUP(C410,'General price list'!C:AM,MATCH($AD$20,'General price list'!$C$20:$AM$20,0),FALSE),"")</f>
        <v>LETZTE 30 KTN</v>
      </c>
      <c r="AE410" s="681">
        <f t="shared" ca="1" si="80"/>
        <v>0</v>
      </c>
      <c r="AF410" s="681">
        <f t="shared" ca="1" si="81"/>
        <v>0</v>
      </c>
      <c r="AG410" s="687">
        <f t="shared" ca="1" si="82"/>
        <v>0</v>
      </c>
      <c r="AH410" s="688">
        <f t="shared" ca="1" si="83"/>
        <v>0</v>
      </c>
      <c r="AI410" s="687">
        <f t="shared" ca="1" si="84"/>
        <v>0</v>
      </c>
      <c r="AJ410" s="689" t="str">
        <f t="shared" ca="1" si="85"/>
        <v/>
      </c>
      <c r="AK410" s="689" t="str">
        <f t="shared" ca="1" si="86"/>
        <v/>
      </c>
      <c r="AL410" s="689">
        <f t="shared" ca="1" si="87"/>
        <v>0</v>
      </c>
      <c r="AM410" s="690" t="str">
        <f t="shared" ca="1" si="88"/>
        <v/>
      </c>
      <c r="AN410" s="313"/>
      <c r="AO410" s="314" t="str">
        <f>IF($R$3=1,IF(Y410=AA410,"","NE"),IF(#REF!=$V$10,"NE",""))</f>
        <v/>
      </c>
      <c r="AP410" s="315">
        <f>IF(AB410=$V$3,IF(VLOOKUP(C410,[1]List1!$A:$E,5,FALSE)=0,1,VLOOKUP(C410,[1]List1!$A:$E,5,FALSE)),"")</f>
        <v>30</v>
      </c>
      <c r="AW410" s="458">
        <f>IFERROR(FIND(VLOOKUP('General price list'!$AB$7,'General price list'!$AC$1:$AD$12,2,FALSE),Q410,1),0)</f>
        <v>10</v>
      </c>
      <c r="AX410" s="458">
        <f>IFERROR(FIND(VLOOKUP('General price list'!$AB$7,'General price list'!$AC$1:$AD$12,2,FALSE),R410,1),0)</f>
        <v>0</v>
      </c>
    </row>
    <row r="411" spans="1:50" ht="15" customHeight="1">
      <c r="A411" s="691" t="str">
        <f>Kat.!C411</f>
        <v xml:space="preserve">                                          </v>
      </c>
      <c r="B411" s="692">
        <v>390</v>
      </c>
      <c r="C411" s="693" t="s">
        <v>1452</v>
      </c>
      <c r="D411" s="693" t="s">
        <v>12588</v>
      </c>
      <c r="E411" s="694" t="s">
        <v>129</v>
      </c>
      <c r="F411" s="695">
        <f>VLOOKUP(C411,[2]List1!$A:$D,2,FALSE)</f>
        <v>1513</v>
      </c>
      <c r="G411" s="696">
        <f t="shared" si="77"/>
        <v>1513</v>
      </c>
      <c r="H411" s="697">
        <f t="shared" si="78"/>
        <v>61.6</v>
      </c>
      <c r="I411" s="837">
        <v>1</v>
      </c>
      <c r="J411" s="698" t="s">
        <v>45</v>
      </c>
      <c r="K411" s="856"/>
      <c r="L411" s="857" t="s">
        <v>13841</v>
      </c>
      <c r="M411" s="698" t="s">
        <v>25</v>
      </c>
      <c r="N411" s="869">
        <f>IFERROR(VLOOKUP(C411,[3]List1!$A:$D,4,FALSE),"N/A!")</f>
        <v>1.6453125000000002E-2</v>
      </c>
      <c r="O411" s="837">
        <f>IFERROR(VLOOKUP(C411,[3]List1!$A:$D,3,FALSE),"N/A!")</f>
        <v>1000</v>
      </c>
      <c r="P411" s="837">
        <f>IFERROR(VLOOKUP(C411,[3]List1!$A:$D,2,FALSE),"N/A!")</f>
        <v>7000</v>
      </c>
      <c r="Q411" s="698" t="s">
        <v>13804</v>
      </c>
      <c r="R411" s="698" t="s">
        <v>24</v>
      </c>
      <c r="S411" s="698"/>
      <c r="T411" s="695">
        <v>50</v>
      </c>
      <c r="U411" s="874"/>
      <c r="V411" s="699" t="str">
        <f>_xlfn.IFNA(HYPERLINK("https://www.klasekpyrotechnics.cz/c503sig-c14"),"")</f>
        <v>https://www.klasekpyrotechnics.cz/c503sig-c14</v>
      </c>
      <c r="W411" s="700" t="str">
        <f>IFERROR(VLOOKUP($C411,Popisy!A:P,MATCH($W$17,Popisy!$A$7:$P$7,0),FALSE),"---------------")</f>
        <v>10 verschiedenfarbige Effekte</v>
      </c>
      <c r="X411" s="891" t="str">
        <f t="shared" si="79"/>
        <v/>
      </c>
      <c r="Y411" s="892"/>
      <c r="Z411" s="700" t="str">
        <f>IFERROR(IF(VLOOKUP(C411,[4]List1!$A:$D,4,FALSE)=0,"",VLOOKUP(C411,[4]List1!$A:$D,4,FALSE)),"")</f>
        <v>84</v>
      </c>
      <c r="AA411" s="707"/>
      <c r="AB411" s="912" t="str">
        <f>IFERROR(IF(VLOOKUP(C411,[1]List1!$A:$D,2,FALSE)="VYPRODÁNO",$V$9,IF(VLOOKUP(C411,[1]List1!$A:$D,2,FALSE)="DOCHÁZÍ",$V$3,VLOOKUP(C411,[1]List1!$A:$D,2,FALSE))),"OFFLINE!")</f>
        <v>SKLADEM</v>
      </c>
      <c r="AC411" s="912" t="str">
        <f ca="1">IF(AO411="NE",$V$10,IF(AB411=$V$3,IF(AP411&lt;1,$V$8,$V$2&amp;" "&amp;AP411&amp;" "&amp;$V$1),IF(AB411="SKLADEM",$V$6,IFERROR(IF(OR(AB411-TODAY()&gt;21,VLOOKUP(C411,[1]List1!$A:$E,4,FALSE)=0),AB411,DAY(AB411)&amp;"."&amp;MONTH(AB411)&amp;"."&amp;YEAR(AB411)&amp;" "&amp;$V$4&amp;VLOOKUP(C411,[1]List1!$A:$E,4,FALSE)&amp;" "&amp;$V$1),AB411))))</f>
        <v>AUF LAGER</v>
      </c>
      <c r="AD411" s="701" t="str">
        <f ca="1">_xlfn.IFNA(VLOOKUP(C411,'General price list'!C:AM,MATCH($AD$20,'General price list'!$C$20:$AM$20,0),FALSE),"")</f>
        <v>AUF LAGER</v>
      </c>
      <c r="AE411" s="695">
        <f t="shared" ca="1" si="80"/>
        <v>0</v>
      </c>
      <c r="AF411" s="695">
        <f t="shared" ca="1" si="81"/>
        <v>0</v>
      </c>
      <c r="AG411" s="702">
        <f t="shared" ca="1" si="82"/>
        <v>0</v>
      </c>
      <c r="AH411" s="703">
        <f t="shared" ca="1" si="83"/>
        <v>0</v>
      </c>
      <c r="AI411" s="702">
        <f t="shared" ca="1" si="84"/>
        <v>0</v>
      </c>
      <c r="AJ411" s="704" t="str">
        <f t="shared" ca="1" si="85"/>
        <v/>
      </c>
      <c r="AK411" s="704" t="str">
        <f t="shared" ca="1" si="86"/>
        <v/>
      </c>
      <c r="AL411" s="704">
        <f t="shared" ca="1" si="87"/>
        <v>0</v>
      </c>
      <c r="AM411" s="705" t="str">
        <f t="shared" ca="1" si="88"/>
        <v/>
      </c>
      <c r="AN411" s="382"/>
      <c r="AO411" s="314" t="str">
        <f>IF($R$3=1,IF(Y411=AA411,"","NE"),IF(#REF!=$V$10,"NE",""))</f>
        <v/>
      </c>
      <c r="AP411" s="315" t="str">
        <f>IF(AB411=$V$3,IF(VLOOKUP(C411,[1]List1!$A:$E,5,FALSE)=0,1,VLOOKUP(C411,[1]List1!$A:$E,5,FALSE)),"")</f>
        <v/>
      </c>
      <c r="AW411" s="458">
        <f>IFERROR(FIND(VLOOKUP('General price list'!$AB$7,'General price list'!$AC$1:$AD$12,2,FALSE),Q411,1),0)</f>
        <v>10</v>
      </c>
      <c r="AX411" s="458">
        <f>IFERROR(FIND(VLOOKUP('General price list'!$AB$7,'General price list'!$AC$1:$AD$12,2,FALSE),R411,1),0)</f>
        <v>0</v>
      </c>
    </row>
    <row r="412" spans="1:50" ht="15" customHeight="1">
      <c r="A412" s="677" t="str">
        <f>Kat.!C412</f>
        <v xml:space="preserve">                                          </v>
      </c>
      <c r="B412" s="678">
        <v>391</v>
      </c>
      <c r="C412" s="679" t="s">
        <v>1455</v>
      </c>
      <c r="D412" s="679" t="s">
        <v>12589</v>
      </c>
      <c r="E412" s="680" t="s">
        <v>129</v>
      </c>
      <c r="F412" s="681">
        <f>VLOOKUP(C412,[2]List1!$A:$D,2,FALSE)</f>
        <v>2398</v>
      </c>
      <c r="G412" s="682">
        <f t="shared" si="77"/>
        <v>2398</v>
      </c>
      <c r="H412" s="683">
        <f t="shared" si="78"/>
        <v>97.6</v>
      </c>
      <c r="I412" s="836">
        <v>1</v>
      </c>
      <c r="J412" s="680" t="s">
        <v>45</v>
      </c>
      <c r="K412" s="854"/>
      <c r="L412" s="855" t="s">
        <v>13832</v>
      </c>
      <c r="M412" s="680" t="s">
        <v>25</v>
      </c>
      <c r="N412" s="868">
        <f>IFERROR(VLOOKUP(C412,[3]List1!$A:$D,4,FALSE),"N/A!")</f>
        <v>3.1640625000000006E-2</v>
      </c>
      <c r="O412" s="836">
        <f>IFERROR(VLOOKUP(C412,[3]List1!$A:$D,3,FALSE),"N/A!")</f>
        <v>1900</v>
      </c>
      <c r="P412" s="836">
        <f>IFERROR(VLOOKUP(C412,[3]List1!$A:$D,2,FALSE),"N/A!")</f>
        <v>13200</v>
      </c>
      <c r="Q412" s="680" t="s">
        <v>1049</v>
      </c>
      <c r="R412" s="680" t="s">
        <v>24</v>
      </c>
      <c r="S412" s="680"/>
      <c r="T412" s="681">
        <v>90</v>
      </c>
      <c r="U412" s="873"/>
      <c r="V412" s="684" t="str">
        <f>_xlfn.IFNA(HYPERLINK("https://www.klasekpyrotechnics.cz/c1003b-c14"),"")</f>
        <v>https://www.klasekpyrotechnics.cz/c1003b-c14</v>
      </c>
      <c r="W412" s="685" t="str">
        <f>IFERROR(VLOOKUP($C412,Popisy!A:P,MATCH($W$17,Popisy!$A$7:$P$7,0),FALSE),"---------------")</f>
        <v>20 verschiedenfarbige Effekte</v>
      </c>
      <c r="X412" s="889" t="str">
        <f t="shared" si="79"/>
        <v/>
      </c>
      <c r="Y412" s="890"/>
      <c r="Z412" s="685">
        <f>IFERROR(IF(VLOOKUP(C412,[4]List1!$A:$D,4,FALSE)=0,"",VLOOKUP(C412,[4]List1!$A:$D,4,FALSE)),"")</f>
        <v>42</v>
      </c>
      <c r="AA412" s="707"/>
      <c r="AB412" s="911" t="str">
        <f>IFERROR(IF(VLOOKUP(C412,[1]List1!$A:$D,2,FALSE)="VYPRODÁNO",$V$9,IF(VLOOKUP(C412,[1]List1!$A:$D,2,FALSE)="DOCHÁZÍ",$V$3,VLOOKUP(C412,[1]List1!$A:$D,2,FALSE))),"OFFLINE!")</f>
        <v>15.05.2024</v>
      </c>
      <c r="AC412" s="911" t="str">
        <f ca="1">IF(AO412="NE",$V$10,IF(AB412=$V$3,IF(AP412&lt;1,$V$8,$V$2&amp;" "&amp;AP412&amp;" "&amp;$V$1),IF(AB412="SKLADEM",$V$6,IFERROR(IF(OR(AB412-TODAY()&gt;21,VLOOKUP(C412,[1]List1!$A:$E,4,FALSE)=0),AB412,DAY(AB412)&amp;"."&amp;MONTH(AB412)&amp;"."&amp;YEAR(AB412)&amp;" "&amp;$V$4&amp;VLOOKUP(C412,[1]List1!$A:$E,4,FALSE)&amp;" "&amp;$V$1),AB412))))</f>
        <v>15.05.2024</v>
      </c>
      <c r="AD412" s="686" t="str">
        <f ca="1">_xlfn.IFNA(VLOOKUP(C412,'General price list'!C:AM,MATCH($AD$20,'General price list'!$C$20:$AM$20,0),FALSE),"")</f>
        <v>15.05.2024</v>
      </c>
      <c r="AE412" s="681">
        <f t="shared" ca="1" si="80"/>
        <v>0</v>
      </c>
      <c r="AF412" s="681">
        <f t="shared" ca="1" si="81"/>
        <v>0</v>
      </c>
      <c r="AG412" s="687">
        <f t="shared" ca="1" si="82"/>
        <v>0</v>
      </c>
      <c r="AH412" s="688">
        <f t="shared" ca="1" si="83"/>
        <v>0</v>
      </c>
      <c r="AI412" s="687">
        <f t="shared" ca="1" si="84"/>
        <v>0</v>
      </c>
      <c r="AJ412" s="689" t="str">
        <f t="shared" ca="1" si="85"/>
        <v/>
      </c>
      <c r="AK412" s="689" t="str">
        <f t="shared" ca="1" si="86"/>
        <v/>
      </c>
      <c r="AL412" s="689">
        <f t="shared" ca="1" si="87"/>
        <v>0</v>
      </c>
      <c r="AM412" s="690" t="str">
        <f t="shared" ca="1" si="88"/>
        <v/>
      </c>
      <c r="AN412" s="382"/>
      <c r="AO412" s="314" t="str">
        <f>IF($R$3=1,IF(Y412=AA412,"","NE"),IF(#REF!=$V$10,"NE",""))</f>
        <v/>
      </c>
      <c r="AP412" s="315" t="str">
        <f>IF(AB412=$V$3,IF(VLOOKUP(C412,[1]List1!$A:$E,5,FALSE)=0,1,VLOOKUP(C412,[1]List1!$A:$E,5,FALSE)),"")</f>
        <v/>
      </c>
      <c r="AW412" s="458">
        <f>IFERROR(FIND(VLOOKUP('General price list'!$AB$7,'General price list'!$AC$1:$AD$12,2,FALSE),Q412,1),0)</f>
        <v>10</v>
      </c>
      <c r="AX412" s="458">
        <f>IFERROR(FIND(VLOOKUP('General price list'!$AB$7,'General price list'!$AC$1:$AD$12,2,FALSE),R412,1),0)</f>
        <v>0</v>
      </c>
    </row>
    <row r="413" spans="1:50" ht="15" customHeight="1">
      <c r="A413" s="691" t="str">
        <f>Kat.!C413</f>
        <v xml:space="preserve">                                          </v>
      </c>
      <c r="B413" s="692">
        <v>392</v>
      </c>
      <c r="C413" s="693" t="s">
        <v>2368</v>
      </c>
      <c r="D413" s="693" t="s">
        <v>2370</v>
      </c>
      <c r="E413" s="694" t="s">
        <v>129</v>
      </c>
      <c r="F413" s="695">
        <f>VLOOKUP(C413,[2]List1!$A:$D,2,FALSE)</f>
        <v>2398</v>
      </c>
      <c r="G413" s="696">
        <f t="shared" si="77"/>
        <v>2398</v>
      </c>
      <c r="H413" s="697">
        <f t="shared" si="78"/>
        <v>97.6</v>
      </c>
      <c r="I413" s="837">
        <v>1</v>
      </c>
      <c r="J413" s="698" t="s">
        <v>45</v>
      </c>
      <c r="K413" s="856"/>
      <c r="L413" s="857" t="s">
        <v>13832</v>
      </c>
      <c r="M413" s="698" t="s">
        <v>25</v>
      </c>
      <c r="N413" s="869">
        <f>IFERROR(VLOOKUP(C413,[3]List1!$A:$D,4,FALSE),"N/A!")</f>
        <v>3.1640625000000006E-2</v>
      </c>
      <c r="O413" s="837">
        <f>IFERROR(VLOOKUP(C413,[3]List1!$A:$D,3,FALSE),"N/A!")</f>
        <v>1900</v>
      </c>
      <c r="P413" s="837">
        <f>IFERROR(VLOOKUP(C413,[3]List1!$A:$D,2,FALSE),"N/A!")</f>
        <v>13400</v>
      </c>
      <c r="Q413" s="698" t="s">
        <v>13747</v>
      </c>
      <c r="R413" s="698" t="s">
        <v>24</v>
      </c>
      <c r="S413" s="698"/>
      <c r="T413" s="695">
        <v>110</v>
      </c>
      <c r="U413" s="874"/>
      <c r="V413" s="699" t="str">
        <f>_xlfn.IFNA(HYPERLINK("https://www.klasekpyrotechnics.cz/c1003f-c14"),"")</f>
        <v>https://www.klasekpyrotechnics.cz/c1003f-c14</v>
      </c>
      <c r="W413" s="700" t="str">
        <f>IFERROR(VLOOKUP($C413,Popisy!A:P,MATCH($W$17,Popisy!$A$7:$P$7,0),FALSE),"---------------")</f>
        <v>20 verschiedenfarbige Effekte</v>
      </c>
      <c r="X413" s="891" t="str">
        <f t="shared" si="79"/>
        <v/>
      </c>
      <c r="Y413" s="892"/>
      <c r="Z413" s="700">
        <f>IFERROR(IF(VLOOKUP(C413,[4]List1!$A:$D,4,FALSE)=0,"",VLOOKUP(C413,[4]List1!$A:$D,4,FALSE)),"")</f>
        <v>42</v>
      </c>
      <c r="AA413" s="707"/>
      <c r="AB413" s="912" t="str">
        <f>IFERROR(IF(VLOOKUP(C413,[1]List1!$A:$D,2,FALSE)="VYPRODÁNO",$V$9,IF(VLOOKUP(C413,[1]List1!$A:$D,2,FALSE)="DOCHÁZÍ",$V$3,VLOOKUP(C413,[1]List1!$A:$D,2,FALSE))),"OFFLINE!")</f>
        <v>LETZTE STÜCKE</v>
      </c>
      <c r="AC413" s="912" t="str">
        <f ca="1">IF(AO413="NE",$V$10,IF(AB413=$V$3,IF(AP413&lt;1,$V$8,$V$2&amp;" "&amp;AP413&amp;" "&amp;$V$1),IF(AB413="SKLADEM",$V$6,IFERROR(IF(OR(AB413-TODAY()&gt;21,VLOOKUP(C413,[1]List1!$A:$E,4,FALSE)=0),AB413,DAY(AB413)&amp;"."&amp;MONTH(AB413)&amp;"."&amp;YEAR(AB413)&amp;" "&amp;$V$4&amp;VLOOKUP(C413,[1]List1!$A:$E,4,FALSE)&amp;" "&amp;$V$1),AB413))))</f>
        <v>LETZTE 23 KTN</v>
      </c>
      <c r="AD413" s="701" t="str">
        <f ca="1">_xlfn.IFNA(VLOOKUP(C413,'General price list'!C:AM,MATCH($AD$20,'General price list'!$C$20:$AM$20,0),FALSE),"")</f>
        <v>LETZTE 23 KTN</v>
      </c>
      <c r="AE413" s="695">
        <f t="shared" ca="1" si="80"/>
        <v>0</v>
      </c>
      <c r="AF413" s="695">
        <f t="shared" ca="1" si="81"/>
        <v>0</v>
      </c>
      <c r="AG413" s="702">
        <f t="shared" ca="1" si="82"/>
        <v>0</v>
      </c>
      <c r="AH413" s="703">
        <f t="shared" ca="1" si="83"/>
        <v>0</v>
      </c>
      <c r="AI413" s="702">
        <f t="shared" ca="1" si="84"/>
        <v>0</v>
      </c>
      <c r="AJ413" s="704" t="str">
        <f t="shared" ca="1" si="85"/>
        <v/>
      </c>
      <c r="AK413" s="704" t="str">
        <f t="shared" ca="1" si="86"/>
        <v/>
      </c>
      <c r="AL413" s="704">
        <f t="shared" ca="1" si="87"/>
        <v>0</v>
      </c>
      <c r="AM413" s="705" t="str">
        <f t="shared" ca="1" si="88"/>
        <v/>
      </c>
      <c r="AN413" s="382"/>
      <c r="AO413" s="314" t="str">
        <f>IF($R$3=1,IF(Y413=AA413,"","NE"),IF(#REF!=$V$10,"NE",""))</f>
        <v/>
      </c>
      <c r="AP413" s="315">
        <f>IF(AB413=$V$3,IF(VLOOKUP(C413,[1]List1!$A:$E,5,FALSE)=0,1,VLOOKUP(C413,[1]List1!$A:$E,5,FALSE)),"")</f>
        <v>23</v>
      </c>
      <c r="AW413" s="458">
        <f>IFERROR(FIND(VLOOKUP('General price list'!$AB$7,'General price list'!$AC$1:$AD$12,2,FALSE),Q413,1),0)</f>
        <v>13</v>
      </c>
      <c r="AX413" s="458">
        <f>IFERROR(FIND(VLOOKUP('General price list'!$AB$7,'General price list'!$AC$1:$AD$12,2,FALSE),R413,1),0)</f>
        <v>0</v>
      </c>
    </row>
    <row r="414" spans="1:50" ht="15" customHeight="1">
      <c r="A414" s="677" t="str">
        <f>Kat.!C414</f>
        <v xml:space="preserve">                                          </v>
      </c>
      <c r="B414" s="678">
        <v>393</v>
      </c>
      <c r="C414" s="679" t="s">
        <v>2369</v>
      </c>
      <c r="D414" s="679" t="s">
        <v>2370</v>
      </c>
      <c r="E414" s="680" t="s">
        <v>129</v>
      </c>
      <c r="F414" s="681">
        <f>VLOOKUP(C414,[2]List1!$A:$D,2,FALSE)</f>
        <v>2848</v>
      </c>
      <c r="G414" s="682">
        <f t="shared" si="77"/>
        <v>2848</v>
      </c>
      <c r="H414" s="683">
        <f t="shared" si="78"/>
        <v>115.9</v>
      </c>
      <c r="I414" s="836">
        <v>1</v>
      </c>
      <c r="J414" s="680" t="s">
        <v>45</v>
      </c>
      <c r="K414" s="854"/>
      <c r="L414" s="855" t="s">
        <v>13841</v>
      </c>
      <c r="M414" s="680" t="s">
        <v>25</v>
      </c>
      <c r="N414" s="868">
        <f>IFERROR(VLOOKUP(C414,[3]List1!$A:$D,4,FALSE),"N/A!")</f>
        <v>4.6396875000000004E-2</v>
      </c>
      <c r="O414" s="836">
        <f>IFERROR(VLOOKUP(C414,[3]List1!$A:$D,3,FALSE),"N/A!")</f>
        <v>2000</v>
      </c>
      <c r="P414" s="836">
        <f>IFERROR(VLOOKUP(C414,[3]List1!$A:$D,2,FALSE),"N/A!")</f>
        <v>12200</v>
      </c>
      <c r="Q414" s="680" t="s">
        <v>13805</v>
      </c>
      <c r="R414" s="680" t="s">
        <v>24</v>
      </c>
      <c r="S414" s="680"/>
      <c r="T414" s="681">
        <v>70</v>
      </c>
      <c r="U414" s="873"/>
      <c r="V414" s="684" t="str">
        <f>_xlfn.IFNA(HYPERLINK("https://www.klasekpyrotechnics.cz/c10030xf-c14"),"")</f>
        <v>https://www.klasekpyrotechnics.cz/c10030xf-c14</v>
      </c>
      <c r="W414" s="685" t="str">
        <f>IFERROR(VLOOKUP($C414,Popisy!A:P,MATCH($W$17,Popisy!$A$7:$P$7,0),FALSE),"---------------")</f>
        <v>20 verschiedenfarbige Effekte</v>
      </c>
      <c r="X414" s="889" t="str">
        <f t="shared" si="79"/>
        <v/>
      </c>
      <c r="Y414" s="890"/>
      <c r="Z414" s="685">
        <f>IFERROR(IF(VLOOKUP(C414,[4]List1!$A:$D,4,FALSE)=0,"",VLOOKUP(C414,[4]List1!$A:$D,4,FALSE)),"")</f>
        <v>24</v>
      </c>
      <c r="AA414" s="707"/>
      <c r="AB414" s="911" t="str">
        <f>IFERROR(IF(VLOOKUP(C414,[1]List1!$A:$D,2,FALSE)="VYPRODÁNO",$V$9,IF(VLOOKUP(C414,[1]List1!$A:$D,2,FALSE)="DOCHÁZÍ",$V$3,VLOOKUP(C414,[1]List1!$A:$D,2,FALSE))),"OFFLINE!")</f>
        <v>SKLADEM</v>
      </c>
      <c r="AC414" s="911" t="str">
        <f ca="1">IF(AO414="NE",$V$10,IF(AB414=$V$3,IF(AP414&lt;1,$V$8,$V$2&amp;" "&amp;AP414&amp;" "&amp;$V$1),IF(AB414="SKLADEM",$V$6,IFERROR(IF(OR(AB414-TODAY()&gt;21,VLOOKUP(C414,[1]List1!$A:$E,4,FALSE)=0),AB414,DAY(AB414)&amp;"."&amp;MONTH(AB414)&amp;"."&amp;YEAR(AB414)&amp;" "&amp;$V$4&amp;VLOOKUP(C414,[1]List1!$A:$E,4,FALSE)&amp;" "&amp;$V$1),AB414))))</f>
        <v>AUF LAGER</v>
      </c>
      <c r="AD414" s="686" t="str">
        <f ca="1">_xlfn.IFNA(VLOOKUP(C414,'General price list'!C:AM,MATCH($AD$20,'General price list'!$C$20:$AM$20,0),FALSE),"")</f>
        <v>AUF LAGER</v>
      </c>
      <c r="AE414" s="681">
        <f t="shared" ca="1" si="80"/>
        <v>0</v>
      </c>
      <c r="AF414" s="681">
        <f t="shared" ca="1" si="81"/>
        <v>0</v>
      </c>
      <c r="AG414" s="687">
        <f t="shared" ca="1" si="82"/>
        <v>0</v>
      </c>
      <c r="AH414" s="688">
        <f t="shared" ca="1" si="83"/>
        <v>0</v>
      </c>
      <c r="AI414" s="687">
        <f t="shared" ca="1" si="84"/>
        <v>0</v>
      </c>
      <c r="AJ414" s="689" t="str">
        <f t="shared" ca="1" si="85"/>
        <v/>
      </c>
      <c r="AK414" s="689" t="str">
        <f t="shared" ca="1" si="86"/>
        <v/>
      </c>
      <c r="AL414" s="689">
        <f t="shared" ca="1" si="87"/>
        <v>0</v>
      </c>
      <c r="AM414" s="690" t="str">
        <f t="shared" ca="1" si="88"/>
        <v/>
      </c>
      <c r="AN414" s="382"/>
      <c r="AO414" s="314" t="str">
        <f>IF($R$3=1,IF(Y414=AA414,"","NE"),IF(#REF!=$V$10,"NE",""))</f>
        <v/>
      </c>
      <c r="AP414" s="315" t="str">
        <f>IF(AB414=$V$3,IF(VLOOKUP(C414,[1]List1!$A:$E,5,FALSE)=0,1,VLOOKUP(C414,[1]List1!$A:$E,5,FALSE)),"")</f>
        <v/>
      </c>
      <c r="AW414" s="458">
        <f>IFERROR(FIND(VLOOKUP('General price list'!$AB$7,'General price list'!$AC$1:$AD$12,2,FALSE),Q414,1),0)</f>
        <v>13</v>
      </c>
      <c r="AX414" s="458">
        <f>IFERROR(FIND(VLOOKUP('General price list'!$AB$7,'General price list'!$AC$1:$AD$12,2,FALSE),R414,1),0)</f>
        <v>0</v>
      </c>
    </row>
    <row r="415" spans="1:50" ht="15" customHeight="1">
      <c r="A415" s="691" t="str">
        <f>Kat.!C415</f>
        <v xml:space="preserve">                                          </v>
      </c>
      <c r="B415" s="692">
        <v>394</v>
      </c>
      <c r="C415" s="693" t="s">
        <v>1457</v>
      </c>
      <c r="D415" s="693" t="s">
        <v>1458</v>
      </c>
      <c r="E415" s="694" t="s">
        <v>129</v>
      </c>
      <c r="F415" s="695">
        <f>VLOOKUP(C415,[2]List1!$A:$D,2,FALSE)</f>
        <v>4069</v>
      </c>
      <c r="G415" s="696">
        <f t="shared" si="77"/>
        <v>4069</v>
      </c>
      <c r="H415" s="697">
        <f t="shared" si="78"/>
        <v>165.5</v>
      </c>
      <c r="I415" s="837">
        <v>1</v>
      </c>
      <c r="J415" s="698" t="s">
        <v>45</v>
      </c>
      <c r="K415" s="856"/>
      <c r="L415" s="857" t="s">
        <v>13841</v>
      </c>
      <c r="M415" s="698" t="s">
        <v>25</v>
      </c>
      <c r="N415" s="869">
        <f>IFERROR(VLOOKUP(C415,[3]List1!$A:$D,4,FALSE),"N/A!")</f>
        <v>0.102384</v>
      </c>
      <c r="O415" s="837">
        <f>IFERROR(VLOOKUP(C415,[3]List1!$A:$D,3,FALSE),"N/A!")</f>
        <v>1992</v>
      </c>
      <c r="P415" s="837">
        <f>IFERROR(VLOOKUP(C415,[3]List1!$A:$D,2,FALSE),"N/A!")</f>
        <v>19500</v>
      </c>
      <c r="Q415" s="698" t="s">
        <v>11090</v>
      </c>
      <c r="R415" s="698" t="s">
        <v>24</v>
      </c>
      <c r="S415" s="698"/>
      <c r="T415" s="695">
        <v>100</v>
      </c>
      <c r="U415" s="874"/>
      <c r="V415" s="699" t="str">
        <f>_xlfn.IFNA(HYPERLINK("https://www.klasekpyrotechnics.cz/c1163mb-c14"),"")</f>
        <v>https://www.klasekpyrotechnics.cz/c1163mb-c14</v>
      </c>
      <c r="W415" s="700" t="str">
        <f>IFERROR(VLOOKUP($C415,Popisy!A:P,MATCH($W$17,Popisy!$A$7:$P$7,0),FALSE),"---------------")</f>
        <v>14 verschiedenfarbige Effekte</v>
      </c>
      <c r="X415" s="891" t="str">
        <f t="shared" si="79"/>
        <v/>
      </c>
      <c r="Y415" s="892"/>
      <c r="Z415" s="700">
        <f>IFERROR(IF(VLOOKUP(C415,[4]List1!$A:$D,4,FALSE)=0,"",VLOOKUP(C415,[4]List1!$A:$D,4,FALSE)),"")</f>
        <v>14</v>
      </c>
      <c r="AA415" s="707"/>
      <c r="AB415" s="912" t="str">
        <f>IFERROR(IF(VLOOKUP(C415,[1]List1!$A:$D,2,FALSE)="VYPRODÁNO",$V$9,IF(VLOOKUP(C415,[1]List1!$A:$D,2,FALSE)="DOCHÁZÍ",$V$3,VLOOKUP(C415,[1]List1!$A:$D,2,FALSE))),"OFFLINE!")</f>
        <v>SKLADEM</v>
      </c>
      <c r="AC415" s="912" t="str">
        <f ca="1">IF(AO415="NE",$V$10,IF(AB415=$V$3,IF(AP415&lt;1,$V$8,$V$2&amp;" "&amp;AP415&amp;" "&amp;$V$1),IF(AB415="SKLADEM",$V$6,IFERROR(IF(OR(AB415-TODAY()&gt;21,VLOOKUP(C415,[1]List1!$A:$E,4,FALSE)=0),AB415,DAY(AB415)&amp;"."&amp;MONTH(AB415)&amp;"."&amp;YEAR(AB415)&amp;" "&amp;$V$4&amp;VLOOKUP(C415,[1]List1!$A:$E,4,FALSE)&amp;" "&amp;$V$1),AB415))))</f>
        <v>AUF LAGER</v>
      </c>
      <c r="AD415" s="701" t="str">
        <f ca="1">_xlfn.IFNA(VLOOKUP(C415,'General price list'!C:AM,MATCH($AD$20,'General price list'!$C$20:$AM$20,0),FALSE),"")</f>
        <v>AUF LAGER</v>
      </c>
      <c r="AE415" s="695">
        <f t="shared" ca="1" si="80"/>
        <v>0</v>
      </c>
      <c r="AF415" s="695">
        <f t="shared" ca="1" si="81"/>
        <v>0</v>
      </c>
      <c r="AG415" s="702">
        <f t="shared" ca="1" si="82"/>
        <v>0</v>
      </c>
      <c r="AH415" s="703">
        <f t="shared" ca="1" si="83"/>
        <v>0</v>
      </c>
      <c r="AI415" s="702">
        <f t="shared" ca="1" si="84"/>
        <v>0</v>
      </c>
      <c r="AJ415" s="704" t="str">
        <f t="shared" ca="1" si="85"/>
        <v/>
      </c>
      <c r="AK415" s="704" t="str">
        <f t="shared" ca="1" si="86"/>
        <v/>
      </c>
      <c r="AL415" s="704">
        <f t="shared" ca="1" si="87"/>
        <v>0</v>
      </c>
      <c r="AM415" s="705" t="str">
        <f t="shared" ca="1" si="88"/>
        <v/>
      </c>
      <c r="AN415" s="382"/>
      <c r="AO415" s="314" t="str">
        <f>IF($R$3=1,IF(Y415=AA415,"","NE"),IF(#REF!=$V$10,"NE",""))</f>
        <v/>
      </c>
      <c r="AP415" s="315" t="str">
        <f>IF(AB415=$V$3,IF(VLOOKUP(C415,[1]List1!$A:$E,5,FALSE)=0,1,VLOOKUP(C415,[1]List1!$A:$E,5,FALSE)),"")</f>
        <v/>
      </c>
      <c r="AW415" s="458">
        <f>IFERROR(FIND(VLOOKUP('General price list'!$AB$7,'General price list'!$AC$1:$AD$12,2,FALSE),Q415,1),0)</f>
        <v>22</v>
      </c>
      <c r="AX415" s="458">
        <f>IFERROR(FIND(VLOOKUP('General price list'!$AB$7,'General price list'!$AC$1:$AD$12,2,FALSE),R415,1),0)</f>
        <v>0</v>
      </c>
    </row>
    <row r="416" spans="1:50" ht="15" customHeight="1">
      <c r="A416" s="677" t="str">
        <f>Kat.!C416</f>
        <v xml:space="preserve">                                          </v>
      </c>
      <c r="B416" s="678">
        <v>395</v>
      </c>
      <c r="C416" s="679" t="s">
        <v>2371</v>
      </c>
      <c r="D416" s="679" t="s">
        <v>2372</v>
      </c>
      <c r="E416" s="680" t="s">
        <v>129</v>
      </c>
      <c r="F416" s="681">
        <f>VLOOKUP(C416,[2]List1!$A:$D,2,FALSE)</f>
        <v>3539</v>
      </c>
      <c r="G416" s="682">
        <f t="shared" si="77"/>
        <v>3539</v>
      </c>
      <c r="H416" s="683">
        <f t="shared" si="78"/>
        <v>144</v>
      </c>
      <c r="I416" s="836">
        <v>1</v>
      </c>
      <c r="J416" s="680" t="s">
        <v>45</v>
      </c>
      <c r="K416" s="854"/>
      <c r="L416" s="855" t="s">
        <v>13841</v>
      </c>
      <c r="M416" s="680" t="s">
        <v>25</v>
      </c>
      <c r="N416" s="868">
        <f>IFERROR(VLOOKUP(C416,[3]List1!$A:$D,4,FALSE),"N/A!")</f>
        <v>4.9687500000000002E-2</v>
      </c>
      <c r="O416" s="836">
        <f>IFERROR(VLOOKUP(C416,[3]List1!$A:$D,3,FALSE),"N/A!")</f>
        <v>1998</v>
      </c>
      <c r="P416" s="836">
        <f>IFERROR(VLOOKUP(C416,[3]List1!$A:$D,2,FALSE),"N/A!")</f>
        <v>18500</v>
      </c>
      <c r="Q416" s="680" t="s">
        <v>13806</v>
      </c>
      <c r="R416" s="680" t="s">
        <v>24</v>
      </c>
      <c r="S416" s="680"/>
      <c r="T416" s="681">
        <v>90</v>
      </c>
      <c r="U416" s="873"/>
      <c r="V416" s="684" t="str">
        <f>_xlfn.IFNA(HYPERLINK("https://www.klasekpyrotechnics.cz/c12230xpt-c14"),"")</f>
        <v>https://www.klasekpyrotechnics.cz/c12230xpt-c14</v>
      </c>
      <c r="W416" s="685" t="str">
        <f>IFERROR(VLOOKUP($C416,Popisy!A:P,MATCH($W$17,Popisy!$A$7:$P$7,0),FALSE),"---------------")</f>
        <v>15 verschiedenfarbige Effekte</v>
      </c>
      <c r="X416" s="889" t="str">
        <f t="shared" si="79"/>
        <v/>
      </c>
      <c r="Y416" s="890"/>
      <c r="Z416" s="685">
        <f>IFERROR(IF(VLOOKUP(C416,[4]List1!$A:$D,4,FALSE)=0,"",VLOOKUP(C416,[4]List1!$A:$D,4,FALSE)),"")</f>
        <v>24</v>
      </c>
      <c r="AA416" s="707"/>
      <c r="AB416" s="911" t="str">
        <f>IFERROR(IF(VLOOKUP(C416,[1]List1!$A:$D,2,FALSE)="VYPRODÁNO",$V$9,IF(VLOOKUP(C416,[1]List1!$A:$D,2,FALSE)="DOCHÁZÍ",$V$3,VLOOKUP(C416,[1]List1!$A:$D,2,FALSE))),"OFFLINE!")</f>
        <v>SKLADEM</v>
      </c>
      <c r="AC416" s="911" t="str">
        <f ca="1">IF(AO416="NE",$V$10,IF(AB416=$V$3,IF(AP416&lt;1,$V$8,$V$2&amp;" "&amp;AP416&amp;" "&amp;$V$1),IF(AB416="SKLADEM",$V$6,IFERROR(IF(OR(AB416-TODAY()&gt;21,VLOOKUP(C416,[1]List1!$A:$E,4,FALSE)=0),AB416,DAY(AB416)&amp;"."&amp;MONTH(AB416)&amp;"."&amp;YEAR(AB416)&amp;" "&amp;$V$4&amp;VLOOKUP(C416,[1]List1!$A:$E,4,FALSE)&amp;" "&amp;$V$1),AB416))))</f>
        <v>AUF LAGER</v>
      </c>
      <c r="AD416" s="686" t="str">
        <f ca="1">_xlfn.IFNA(VLOOKUP(C416,'General price list'!C:AM,MATCH($AD$20,'General price list'!$C$20:$AM$20,0),FALSE),"")</f>
        <v>AUF LAGER</v>
      </c>
      <c r="AE416" s="681">
        <f t="shared" ca="1" si="80"/>
        <v>0</v>
      </c>
      <c r="AF416" s="681">
        <f t="shared" ca="1" si="81"/>
        <v>0</v>
      </c>
      <c r="AG416" s="687">
        <f t="shared" ca="1" si="82"/>
        <v>0</v>
      </c>
      <c r="AH416" s="688">
        <f t="shared" ca="1" si="83"/>
        <v>0</v>
      </c>
      <c r="AI416" s="687">
        <f t="shared" ca="1" si="84"/>
        <v>0</v>
      </c>
      <c r="AJ416" s="689" t="str">
        <f t="shared" ca="1" si="85"/>
        <v/>
      </c>
      <c r="AK416" s="689" t="str">
        <f t="shared" ca="1" si="86"/>
        <v/>
      </c>
      <c r="AL416" s="689">
        <f t="shared" ca="1" si="87"/>
        <v>0</v>
      </c>
      <c r="AM416" s="690" t="str">
        <f t="shared" ca="1" si="88"/>
        <v/>
      </c>
      <c r="AN416" s="382"/>
      <c r="AO416" s="314" t="str">
        <f>IF($R$3=1,IF(Y416=AA416,"","NE"),IF(#REF!=$V$10,"NE",""))</f>
        <v/>
      </c>
      <c r="AP416" s="315" t="str">
        <f>IF(AB416=$V$3,IF(VLOOKUP(C416,[1]List1!$A:$E,5,FALSE)=0,1,VLOOKUP(C416,[1]List1!$A:$E,5,FALSE)),"")</f>
        <v/>
      </c>
      <c r="AW416" s="458">
        <f>IFERROR(FIND(VLOOKUP('General price list'!$AB$7,'General price list'!$AC$1:$AD$12,2,FALSE),Q416,1),0)</f>
        <v>19</v>
      </c>
      <c r="AX416" s="458">
        <f>IFERROR(FIND(VLOOKUP('General price list'!$AB$7,'General price list'!$AC$1:$AD$12,2,FALSE),R416,1),0)</f>
        <v>0</v>
      </c>
    </row>
    <row r="417" spans="1:50" ht="15" customHeight="1">
      <c r="A417" s="672" t="str">
        <f>Kat.!C417</f>
        <v xml:space="preserve">                                          Batterien 39 schuss, 20+25+30mm schräg+V+W Mörser-1.4G</v>
      </c>
      <c r="B417" s="692">
        <v>396</v>
      </c>
      <c r="C417" s="693"/>
      <c r="D417" s="693"/>
      <c r="E417" s="694"/>
      <c r="F417" s="695" t="str">
        <f>IFERROR(ROUND(VLOOKUP(C417,'General price list'!$C:$AN,4,FALSE),0),"")</f>
        <v/>
      </c>
      <c r="G417" s="696" t="str">
        <f t="shared" si="77"/>
        <v/>
      </c>
      <c r="H417" s="697" t="str">
        <f t="shared" si="78"/>
        <v/>
      </c>
      <c r="I417" s="837"/>
      <c r="J417" s="698"/>
      <c r="K417" s="856"/>
      <c r="L417" s="857"/>
      <c r="M417" s="698"/>
      <c r="N417" s="869" t="str">
        <f>IFERROR(IF(VLOOKUP($C417,'General price list'!$C:$AN,MATCH(N$20,'General price list'!$C$20:$AM$20,0),FALSE)=0,"",VLOOKUP($C417,'General price list'!$C:$AN,MATCH(N$20,'General price list'!$C$20:$AM$20,0),FALSE)),"")</f>
        <v/>
      </c>
      <c r="O417" s="837" t="str">
        <f>IFERROR(IF(VLOOKUP($C417,'General price list'!$C:$AN,MATCH(O$20,'General price list'!$C$20:$AM$20,0),FALSE)=0,"",VLOOKUP($C417,'General price list'!$C:$AN,MATCH(O$20,'General price list'!$C$20:$AM$20,0),FALSE)),"")</f>
        <v/>
      </c>
      <c r="P417" s="837" t="str">
        <f>IFERROR(IF(VLOOKUP($C417,'General price list'!$C:$AN,MATCH(P$20,'General price list'!$C$20:$AM$20,0),FALSE)=0,"",VLOOKUP($C417,'General price list'!$C:$AN,MATCH(P$20,'General price list'!$C$20:$AM$20,0),FALSE)),"")</f>
        <v/>
      </c>
      <c r="Q417" s="698"/>
      <c r="R417" s="698"/>
      <c r="S417" s="698"/>
      <c r="T417" s="695"/>
      <c r="U417" s="874"/>
      <c r="V417" s="699"/>
      <c r="W417" s="700" t="str">
        <f>IFERROR(VLOOKUP($C417,'General price list'!$C:$AN,MATCH(W$20,'General price list'!$C$20:$AM$20,0),FALSE),"")</f>
        <v/>
      </c>
      <c r="X417" s="891" t="str">
        <f t="shared" si="79"/>
        <v/>
      </c>
      <c r="Y417" s="892"/>
      <c r="Z417" s="700" t="str">
        <f>IFERROR(VLOOKUP($C417,'General price list'!$C:$AN,MATCH(Z$20,'General price list'!$C$20:$AM$20,0),FALSE),"")</f>
        <v/>
      </c>
      <c r="AA417" s="707"/>
      <c r="AB417" s="912" t="str">
        <f>IFERROR(IF(VLOOKUP(C417,[1]List1!$A:$D,2,FALSE)="VYPRODÁNO",$V$9,IF(VLOOKUP(C417,[1]List1!$A:$D,2,FALSE)="DOCHÁZÍ",$V$3,VLOOKUP(C417,[1]List1!$A:$D,2,FALSE))),"OFFLINE!")</f>
        <v>OFFLINE!</v>
      </c>
      <c r="AC417" s="912" t="str">
        <f ca="1">IF(AO417="NE",$V$10,IF(AB417=$V$3,IF(AP417&lt;1,$V$8,$V$2&amp;" "&amp;AP417&amp;" "&amp;$V$1),IF(AB417="SKLADEM",$V$6,IFERROR(IF(OR(AB417-TODAY()&gt;21,VLOOKUP(C417,[1]List1!$A:$E,4,FALSE)=0),AB417,DAY(AB417)&amp;"."&amp;MONTH(AB417)&amp;"."&amp;YEAR(AB417)&amp;" "&amp;$V$4&amp;VLOOKUP(C417,[1]List1!$A:$E,4,FALSE)&amp;" "&amp;$V$1),AB417))))</f>
        <v>OFFLINE!</v>
      </c>
      <c r="AD417" s="701" t="str">
        <f>_xlfn.IFNA(VLOOKUP(C417,'General price list'!C:AM,MATCH($AD$20,'General price list'!$C$20:$AM$20,0),FALSE),"")</f>
        <v/>
      </c>
      <c r="AE417" s="695" t="str">
        <f t="shared" si="80"/>
        <v/>
      </c>
      <c r="AF417" s="695" t="str">
        <f t="shared" si="81"/>
        <v/>
      </c>
      <c r="AG417" s="702" t="str">
        <f t="shared" si="82"/>
        <v/>
      </c>
      <c r="AH417" s="703" t="str">
        <f t="shared" si="83"/>
        <v/>
      </c>
      <c r="AI417" s="702" t="str">
        <f t="shared" si="84"/>
        <v/>
      </c>
      <c r="AJ417" s="704" t="str">
        <f t="shared" si="85"/>
        <v/>
      </c>
      <c r="AK417" s="704" t="str">
        <f t="shared" si="86"/>
        <v/>
      </c>
      <c r="AL417" s="704" t="str">
        <f t="shared" si="87"/>
        <v/>
      </c>
      <c r="AM417" s="705" t="str">
        <f t="shared" si="88"/>
        <v/>
      </c>
      <c r="AN417" s="382"/>
      <c r="AO417" s="314" t="str">
        <f>IF($R$3=1,IF(Y417=AA417,"","NE"),IF(#REF!=$V$10,"NE",""))</f>
        <v/>
      </c>
      <c r="AP417" s="315" t="str">
        <f>IF(AB417=$V$3,IF(VLOOKUP(C417,[1]List1!$A:$E,5,FALSE)=0,1,VLOOKUP(C417,[1]List1!$A:$E,5,FALSE)),"")</f>
        <v/>
      </c>
      <c r="AW417" s="291" t="e">
        <f>VLOOKUP(C417,'General price list'!C:AU,46,FALSE)</f>
        <v>#N/A</v>
      </c>
      <c r="AX417" s="291" t="e">
        <f>VLOOKUP(C417,'General price list'!C:AU,47,FALSE)</f>
        <v>#N/A</v>
      </c>
    </row>
    <row r="418" spans="1:50" ht="15" customHeight="1">
      <c r="A418" s="677" t="str">
        <f>Kat.!C418</f>
        <v>×</v>
      </c>
      <c r="B418" s="678">
        <v>397</v>
      </c>
      <c r="C418" s="679" t="s">
        <v>2384</v>
      </c>
      <c r="D418" s="679" t="s">
        <v>12590</v>
      </c>
      <c r="E418" s="680" t="s">
        <v>423</v>
      </c>
      <c r="F418" s="681">
        <f>VLOOKUP(C418,[2]List1!$A:$D,2,FALSE)</f>
        <v>671</v>
      </c>
      <c r="G418" s="682">
        <f t="shared" si="77"/>
        <v>671</v>
      </c>
      <c r="H418" s="683">
        <f t="shared" si="78"/>
        <v>27.3</v>
      </c>
      <c r="I418" s="836">
        <v>8</v>
      </c>
      <c r="J418" s="680" t="s">
        <v>45</v>
      </c>
      <c r="K418" s="854"/>
      <c r="L418" s="855" t="s">
        <v>13841</v>
      </c>
      <c r="M418" s="680" t="s">
        <v>25</v>
      </c>
      <c r="N418" s="868">
        <f>IFERROR(VLOOKUP(C418,[3]List1!$A:$D,4,FALSE),"N/A!")</f>
        <v>0.103092</v>
      </c>
      <c r="O418" s="836">
        <f>IFERROR(VLOOKUP(C418,[3]List1!$A:$D,3,FALSE),"N/A!")</f>
        <v>3920</v>
      </c>
      <c r="P418" s="836">
        <f>IFERROR(VLOOKUP(C418,[3]List1!$A:$D,2,FALSE),"N/A!")</f>
        <v>20200</v>
      </c>
      <c r="Q418" s="680" t="s">
        <v>13807</v>
      </c>
      <c r="R418" s="680" t="s">
        <v>24</v>
      </c>
      <c r="S418" s="680"/>
      <c r="T418" s="681">
        <v>30</v>
      </c>
      <c r="U418" s="873"/>
      <c r="V418" s="684" t="str">
        <f>_xlfn.IFNA(HYPERLINK("https://www.klasekpyrotechnics.cz/c39mpt14"),"")</f>
        <v>https://www.klasekpyrotechnics.cz/c39mpt14</v>
      </c>
      <c r="W418" s="685" t="str">
        <f>IFERROR(VLOOKUP($C418,Popisy!A:P,MATCH($W$17,Popisy!$A$7:$P$7,0),FALSE),"---------------")</f>
        <v>6 verschiedenfarbige Effekte</v>
      </c>
      <c r="X418" s="889" t="str">
        <f t="shared" si="79"/>
        <v/>
      </c>
      <c r="Y418" s="890"/>
      <c r="Z418" s="685">
        <f>IFERROR(IF(VLOOKUP(C418,[4]List1!$A:$D,4,FALSE)=0,"",VLOOKUP(C418,[4]List1!$A:$D,4,FALSE)),"")</f>
        <v>8</v>
      </c>
      <c r="AA418" s="707"/>
      <c r="AB418" s="911" t="str">
        <f>IFERROR(IF(VLOOKUP(C418,[1]List1!$A:$D,2,FALSE)="VYPRODÁNO",$V$9,IF(VLOOKUP(C418,[1]List1!$A:$D,2,FALSE)="DOCHÁZÍ",$V$3,VLOOKUP(C418,[1]List1!$A:$D,2,FALSE))),"OFFLINE!")</f>
        <v>SKLADEM</v>
      </c>
      <c r="AC418" s="911" t="str">
        <f ca="1">IF(AO418="NE",$V$10,IF(AB418=$V$3,IF(AP418&lt;1,$V$8,$V$2&amp;" "&amp;AP418&amp;" "&amp;$V$1),IF(AB418="SKLADEM",$V$6,IFERROR(IF(OR(AB418-TODAY()&gt;21,VLOOKUP(C418,[1]List1!$A:$E,4,FALSE)=0),AB418,DAY(AB418)&amp;"."&amp;MONTH(AB418)&amp;"."&amp;YEAR(AB418)&amp;" "&amp;$V$4&amp;VLOOKUP(C418,[1]List1!$A:$E,4,FALSE)&amp;" "&amp;$V$1),AB418))))</f>
        <v>AUF LAGER</v>
      </c>
      <c r="AD418" s="686" t="str">
        <f ca="1">_xlfn.IFNA(VLOOKUP(C418,'General price list'!C:AM,MATCH($AD$20,'General price list'!$C$20:$AM$20,0),FALSE),"")</f>
        <v>AUF LAGER</v>
      </c>
      <c r="AE418" s="681">
        <f t="shared" ca="1" si="80"/>
        <v>0</v>
      </c>
      <c r="AF418" s="681">
        <f t="shared" ca="1" si="81"/>
        <v>0</v>
      </c>
      <c r="AG418" s="687">
        <f t="shared" ca="1" si="82"/>
        <v>0</v>
      </c>
      <c r="AH418" s="688">
        <f t="shared" ca="1" si="83"/>
        <v>0</v>
      </c>
      <c r="AI418" s="687">
        <f t="shared" ca="1" si="84"/>
        <v>0</v>
      </c>
      <c r="AJ418" s="689" t="str">
        <f t="shared" ca="1" si="85"/>
        <v/>
      </c>
      <c r="AK418" s="689" t="str">
        <f t="shared" ca="1" si="86"/>
        <v/>
      </c>
      <c r="AL418" s="689">
        <f t="shared" ca="1" si="87"/>
        <v>0</v>
      </c>
      <c r="AM418" s="690" t="str">
        <f t="shared" ca="1" si="88"/>
        <v/>
      </c>
      <c r="AN418" s="382"/>
      <c r="AO418" s="314" t="str">
        <f>IF($R$3=1,IF(Y418=AA418,"","NE"),IF(#REF!=$V$10,"NE",""))</f>
        <v/>
      </c>
      <c r="AP418" s="315" t="str">
        <f>IF(AB418=$V$3,IF(VLOOKUP(C418,[1]List1!$A:$E,5,FALSE)=0,1,VLOOKUP(C418,[1]List1!$A:$E,5,FALSE)),"")</f>
        <v/>
      </c>
      <c r="AW418" s="458">
        <f>IFERROR(FIND(VLOOKUP('General price list'!$AB$7,'General price list'!$AC$1:$AD$12,2,FALSE),Q418,1),0)</f>
        <v>16</v>
      </c>
      <c r="AX418" s="458">
        <f>IFERROR(FIND(VLOOKUP('General price list'!$AB$7,'General price list'!$AC$1:$AD$12,2,FALSE),R418,1),0)</f>
        <v>0</v>
      </c>
    </row>
    <row r="419" spans="1:50" ht="15" customHeight="1">
      <c r="A419" s="672" t="str">
        <f>Kat.!C419</f>
        <v xml:space="preserve">                                          Batterien 50 schuss, 20+25+30mm gerader+schräg+S Mörser-1.4G</v>
      </c>
      <c r="B419" s="692">
        <v>398</v>
      </c>
      <c r="C419" s="693"/>
      <c r="D419" s="693"/>
      <c r="E419" s="694"/>
      <c r="F419" s="695" t="str">
        <f>IFERROR(ROUND(VLOOKUP(C419,'General price list'!$C:$AN,4,FALSE),0),"")</f>
        <v/>
      </c>
      <c r="G419" s="696" t="str">
        <f t="shared" si="77"/>
        <v/>
      </c>
      <c r="H419" s="697" t="str">
        <f t="shared" si="78"/>
        <v/>
      </c>
      <c r="I419" s="837"/>
      <c r="J419" s="698"/>
      <c r="K419" s="856"/>
      <c r="L419" s="857"/>
      <c r="M419" s="698"/>
      <c r="N419" s="869" t="str">
        <f>IFERROR(IF(VLOOKUP($C419,'General price list'!$C:$AN,MATCH(N$20,'General price list'!$C$20:$AM$20,0),FALSE)=0,"",VLOOKUP($C419,'General price list'!$C:$AN,MATCH(N$20,'General price list'!$C$20:$AM$20,0),FALSE)),"")</f>
        <v/>
      </c>
      <c r="O419" s="837" t="str">
        <f>IFERROR(IF(VLOOKUP($C419,'General price list'!$C:$AN,MATCH(O$20,'General price list'!$C$20:$AM$20,0),FALSE)=0,"",VLOOKUP($C419,'General price list'!$C:$AN,MATCH(O$20,'General price list'!$C$20:$AM$20,0),FALSE)),"")</f>
        <v/>
      </c>
      <c r="P419" s="837" t="str">
        <f>IFERROR(IF(VLOOKUP($C419,'General price list'!$C:$AN,MATCH(P$20,'General price list'!$C$20:$AM$20,0),FALSE)=0,"",VLOOKUP($C419,'General price list'!$C:$AN,MATCH(P$20,'General price list'!$C$20:$AM$20,0),FALSE)),"")</f>
        <v/>
      </c>
      <c r="Q419" s="698"/>
      <c r="R419" s="698"/>
      <c r="S419" s="698"/>
      <c r="T419" s="695"/>
      <c r="U419" s="874"/>
      <c r="V419" s="699"/>
      <c r="W419" s="700" t="str">
        <f>IFERROR(VLOOKUP($C419,'General price list'!$C:$AN,MATCH(W$20,'General price list'!$C$20:$AM$20,0),FALSE),"")</f>
        <v/>
      </c>
      <c r="X419" s="891" t="str">
        <f t="shared" si="79"/>
        <v/>
      </c>
      <c r="Y419" s="892"/>
      <c r="Z419" s="700" t="str">
        <f>IFERROR(VLOOKUP($C419,'General price list'!$C:$AN,MATCH(Z$20,'General price list'!$C$20:$AM$20,0),FALSE),"")</f>
        <v/>
      </c>
      <c r="AA419" s="707"/>
      <c r="AB419" s="912" t="str">
        <f>IFERROR(IF(VLOOKUP(C419,[1]List1!$A:$D,2,FALSE)="VYPRODÁNO",$V$9,IF(VLOOKUP(C419,[1]List1!$A:$D,2,FALSE)="DOCHÁZÍ",$V$3,VLOOKUP(C419,[1]List1!$A:$D,2,FALSE))),"OFFLINE!")</f>
        <v>OFFLINE!</v>
      </c>
      <c r="AC419" s="912" t="str">
        <f ca="1">IF(AO419="NE",$V$10,IF(AB419=$V$3,IF(AP419&lt;1,$V$8,$V$2&amp;" "&amp;AP419&amp;" "&amp;$V$1),IF(AB419="SKLADEM",$V$6,IFERROR(IF(OR(AB419-TODAY()&gt;21,VLOOKUP(C419,[1]List1!$A:$E,4,FALSE)=0),AB419,DAY(AB419)&amp;"."&amp;MONTH(AB419)&amp;"."&amp;YEAR(AB419)&amp;" "&amp;$V$4&amp;VLOOKUP(C419,[1]List1!$A:$E,4,FALSE)&amp;" "&amp;$V$1),AB419))))</f>
        <v>OFFLINE!</v>
      </c>
      <c r="AD419" s="701" t="str">
        <f>_xlfn.IFNA(VLOOKUP(C419,'General price list'!C:AM,MATCH($AD$20,'General price list'!$C$20:$AM$20,0),FALSE),"")</f>
        <v/>
      </c>
      <c r="AE419" s="695" t="str">
        <f t="shared" si="80"/>
        <v/>
      </c>
      <c r="AF419" s="695" t="str">
        <f t="shared" si="81"/>
        <v/>
      </c>
      <c r="AG419" s="702" t="str">
        <f t="shared" si="82"/>
        <v/>
      </c>
      <c r="AH419" s="703" t="str">
        <f t="shared" si="83"/>
        <v/>
      </c>
      <c r="AI419" s="702" t="str">
        <f t="shared" si="84"/>
        <v/>
      </c>
      <c r="AJ419" s="704" t="str">
        <f t="shared" si="85"/>
        <v/>
      </c>
      <c r="AK419" s="704" t="str">
        <f t="shared" si="86"/>
        <v/>
      </c>
      <c r="AL419" s="704" t="str">
        <f t="shared" si="87"/>
        <v/>
      </c>
      <c r="AM419" s="705" t="str">
        <f t="shared" si="88"/>
        <v/>
      </c>
      <c r="AN419" s="382"/>
      <c r="AO419" s="314" t="str">
        <f>IF($R$3=1,IF(Y419=AA419,"","NE"),IF(#REF!=$V$10,"NE",""))</f>
        <v/>
      </c>
      <c r="AP419" s="315" t="str">
        <f>IF(AB419=$V$3,IF(VLOOKUP(C419,[1]List1!$A:$E,5,FALSE)=0,1,VLOOKUP(C419,[1]List1!$A:$E,5,FALSE)),"")</f>
        <v/>
      </c>
      <c r="AW419" s="291" t="e">
        <f>VLOOKUP(C419,'General price list'!C:AU,46,FALSE)</f>
        <v>#N/A</v>
      </c>
      <c r="AX419" s="291" t="e">
        <f>VLOOKUP(C419,'General price list'!C:AU,47,FALSE)</f>
        <v>#N/A</v>
      </c>
    </row>
    <row r="420" spans="1:50" ht="15" customHeight="1">
      <c r="A420" s="677" t="str">
        <f>Kat.!C420</f>
        <v>×</v>
      </c>
      <c r="B420" s="678">
        <v>399</v>
      </c>
      <c r="C420" s="679" t="s">
        <v>1519</v>
      </c>
      <c r="D420" s="679" t="s">
        <v>1517</v>
      </c>
      <c r="E420" s="680" t="s">
        <v>1006</v>
      </c>
      <c r="F420" s="681">
        <f>VLOOKUP(C420,[2]List1!$A:$D,2,FALSE)</f>
        <v>795</v>
      </c>
      <c r="G420" s="682">
        <f t="shared" si="77"/>
        <v>795</v>
      </c>
      <c r="H420" s="683">
        <f t="shared" si="78"/>
        <v>32.299999999999997</v>
      </c>
      <c r="I420" s="836">
        <v>6</v>
      </c>
      <c r="J420" s="680" t="s">
        <v>45</v>
      </c>
      <c r="K420" s="854"/>
      <c r="L420" s="855" t="s">
        <v>13841</v>
      </c>
      <c r="M420" s="680" t="s">
        <v>25</v>
      </c>
      <c r="N420" s="868">
        <f>IFERROR(VLOOKUP(C420,[3]List1!$A:$D,4,FALSE),"N/A!")</f>
        <v>6.9599999999999995E-2</v>
      </c>
      <c r="O420" s="836">
        <f>IFERROR(VLOOKUP(C420,[3]List1!$A:$D,3,FALSE),"N/A!")</f>
        <v>2970</v>
      </c>
      <c r="P420" s="836">
        <f>IFERROR(VLOOKUP(C420,[3]List1!$A:$D,2,FALSE),"N/A!")</f>
        <v>23500</v>
      </c>
      <c r="Q420" s="680" t="s">
        <v>13808</v>
      </c>
      <c r="R420" s="680" t="s">
        <v>24</v>
      </c>
      <c r="S420" s="680"/>
      <c r="T420" s="681">
        <v>40</v>
      </c>
      <c r="U420" s="873"/>
      <c r="V420" s="684" t="str">
        <f>_xlfn.IFNA(HYPERLINK("https://www.klasekpyrotechnics.cz/c50mo14"),"")</f>
        <v>https://www.klasekpyrotechnics.cz/c50mo14</v>
      </c>
      <c r="W420" s="685" t="str">
        <f>IFERROR(VLOOKUP($C420,Popisy!A:P,MATCH($W$17,Popisy!$A$7:$P$7,0),FALSE),"---------------")</f>
        <v>7 verschiedenfarbige Effekte</v>
      </c>
      <c r="X420" s="889" t="str">
        <f t="shared" si="79"/>
        <v/>
      </c>
      <c r="Y420" s="890"/>
      <c r="Z420" s="685">
        <f>IFERROR(IF(VLOOKUP(C420,[4]List1!$A:$D,4,FALSE)=0,"",VLOOKUP(C420,[4]List1!$A:$D,4,FALSE)),"")</f>
        <v>16</v>
      </c>
      <c r="AA420" s="707"/>
      <c r="AB420" s="911" t="str">
        <f>IFERROR(IF(VLOOKUP(C420,[1]List1!$A:$D,2,FALSE)="VYPRODÁNO",$V$9,IF(VLOOKUP(C420,[1]List1!$A:$D,2,FALSE)="DOCHÁZÍ",$V$3,VLOOKUP(C420,[1]List1!$A:$D,2,FALSE))),"OFFLINE!")</f>
        <v>SKLADEM</v>
      </c>
      <c r="AC420" s="911" t="str">
        <f ca="1">IF(AO420="NE",$V$10,IF(AB420=$V$3,IF(AP420&lt;1,$V$8,$V$2&amp;" "&amp;AP420&amp;" "&amp;$V$1),IF(AB420="SKLADEM",$V$6,IFERROR(IF(OR(AB420-TODAY()&gt;21,VLOOKUP(C420,[1]List1!$A:$E,4,FALSE)=0),AB420,DAY(AB420)&amp;"."&amp;MONTH(AB420)&amp;"."&amp;YEAR(AB420)&amp;" "&amp;$V$4&amp;VLOOKUP(C420,[1]List1!$A:$E,4,FALSE)&amp;" "&amp;$V$1),AB420))))</f>
        <v>AUF LAGER</v>
      </c>
      <c r="AD420" s="686" t="str">
        <f ca="1">_xlfn.IFNA(VLOOKUP(C420,'General price list'!C:AM,MATCH($AD$20,'General price list'!$C$20:$AM$20,0),FALSE),"")</f>
        <v>AUF LAGER</v>
      </c>
      <c r="AE420" s="681">
        <f t="shared" ca="1" si="80"/>
        <v>0</v>
      </c>
      <c r="AF420" s="681">
        <f t="shared" ca="1" si="81"/>
        <v>0</v>
      </c>
      <c r="AG420" s="687">
        <f t="shared" ca="1" si="82"/>
        <v>0</v>
      </c>
      <c r="AH420" s="688">
        <f t="shared" ca="1" si="83"/>
        <v>0</v>
      </c>
      <c r="AI420" s="687">
        <f t="shared" ca="1" si="84"/>
        <v>0</v>
      </c>
      <c r="AJ420" s="689" t="str">
        <f t="shared" ca="1" si="85"/>
        <v/>
      </c>
      <c r="AK420" s="689" t="str">
        <f t="shared" ca="1" si="86"/>
        <v/>
      </c>
      <c r="AL420" s="689">
        <f t="shared" ca="1" si="87"/>
        <v>0</v>
      </c>
      <c r="AM420" s="690" t="str">
        <f t="shared" ca="1" si="88"/>
        <v/>
      </c>
      <c r="AN420" s="382"/>
      <c r="AO420" s="314" t="str">
        <f>IF($R$3=1,IF(Y420=AA420,"","NE"),IF(#REF!=$V$10,"NE",""))</f>
        <v/>
      </c>
      <c r="AP420" s="315" t="str">
        <f>IF(AB420=$V$3,IF(VLOOKUP(C420,[1]List1!$A:$E,5,FALSE)=0,1,VLOOKUP(C420,[1]List1!$A:$E,5,FALSE)),"")</f>
        <v/>
      </c>
      <c r="AW420" s="458">
        <f>IFERROR(FIND(VLOOKUP('General price list'!$AB$7,'General price list'!$AC$1:$AD$12,2,FALSE),Q420,1),0)</f>
        <v>16</v>
      </c>
      <c r="AX420" s="458">
        <f>IFERROR(FIND(VLOOKUP('General price list'!$AB$7,'General price list'!$AC$1:$AD$12,2,FALSE),R420,1),0)</f>
        <v>0</v>
      </c>
    </row>
    <row r="421" spans="1:50" ht="15" customHeight="1">
      <c r="A421" s="672" t="str">
        <f>Kat.!C421</f>
        <v xml:space="preserve">                                          Batterien 64 schuss, 20+25mm Mörser-1.4G</v>
      </c>
      <c r="B421" s="692">
        <v>400</v>
      </c>
      <c r="C421" s="693"/>
      <c r="D421" s="693"/>
      <c r="E421" s="694"/>
      <c r="F421" s="695" t="str">
        <f>IFERROR(ROUND(VLOOKUP(C421,'General price list'!$C:$AN,4,FALSE),0),"")</f>
        <v/>
      </c>
      <c r="G421" s="696" t="str">
        <f t="shared" si="77"/>
        <v/>
      </c>
      <c r="H421" s="697" t="str">
        <f t="shared" si="78"/>
        <v/>
      </c>
      <c r="I421" s="837"/>
      <c r="J421" s="698"/>
      <c r="K421" s="856"/>
      <c r="L421" s="857"/>
      <c r="M421" s="698"/>
      <c r="N421" s="869" t="str">
        <f>IFERROR(IF(VLOOKUP($C421,'General price list'!$C:$AN,MATCH(N$20,'General price list'!$C$20:$AM$20,0),FALSE)=0,"",VLOOKUP($C421,'General price list'!$C:$AN,MATCH(N$20,'General price list'!$C$20:$AM$20,0),FALSE)),"")</f>
        <v/>
      </c>
      <c r="O421" s="837" t="str">
        <f>IFERROR(IF(VLOOKUP($C421,'General price list'!$C:$AN,MATCH(O$20,'General price list'!$C$20:$AM$20,0),FALSE)=0,"",VLOOKUP($C421,'General price list'!$C:$AN,MATCH(O$20,'General price list'!$C$20:$AM$20,0),FALSE)),"")</f>
        <v/>
      </c>
      <c r="P421" s="837" t="str">
        <f>IFERROR(IF(VLOOKUP($C421,'General price list'!$C:$AN,MATCH(P$20,'General price list'!$C$20:$AM$20,0),FALSE)=0,"",VLOOKUP($C421,'General price list'!$C:$AN,MATCH(P$20,'General price list'!$C$20:$AM$20,0),FALSE)),"")</f>
        <v/>
      </c>
      <c r="Q421" s="698"/>
      <c r="R421" s="698"/>
      <c r="S421" s="698"/>
      <c r="T421" s="695"/>
      <c r="U421" s="874"/>
      <c r="V421" s="699"/>
      <c r="W421" s="700" t="str">
        <f>IFERROR(VLOOKUP($C421,'General price list'!$C:$AN,MATCH(W$20,'General price list'!$C$20:$AM$20,0),FALSE),"")</f>
        <v/>
      </c>
      <c r="X421" s="891" t="str">
        <f t="shared" si="79"/>
        <v/>
      </c>
      <c r="Y421" s="892"/>
      <c r="Z421" s="700" t="str">
        <f>IFERROR(VLOOKUP($C421,'General price list'!$C:$AN,MATCH(Z$20,'General price list'!$C$20:$AM$20,0),FALSE),"")</f>
        <v/>
      </c>
      <c r="AA421" s="707"/>
      <c r="AB421" s="912" t="str">
        <f>IFERROR(IF(VLOOKUP(C421,[1]List1!$A:$D,2,FALSE)="VYPRODÁNO",$V$9,IF(VLOOKUP(C421,[1]List1!$A:$D,2,FALSE)="DOCHÁZÍ",$V$3,VLOOKUP(C421,[1]List1!$A:$D,2,FALSE))),"OFFLINE!")</f>
        <v>OFFLINE!</v>
      </c>
      <c r="AC421" s="912" t="str">
        <f ca="1">IF(AO421="NE",$V$10,IF(AB421=$V$3,IF(AP421&lt;1,$V$8,$V$2&amp;" "&amp;AP421&amp;" "&amp;$V$1),IF(AB421="SKLADEM",$V$6,IFERROR(IF(OR(AB421-TODAY()&gt;21,VLOOKUP(C421,[1]List1!$A:$E,4,FALSE)=0),AB421,DAY(AB421)&amp;"."&amp;MONTH(AB421)&amp;"."&amp;YEAR(AB421)&amp;" "&amp;$V$4&amp;VLOOKUP(C421,[1]List1!$A:$E,4,FALSE)&amp;" "&amp;$V$1),AB421))))</f>
        <v>OFFLINE!</v>
      </c>
      <c r="AD421" s="701" t="str">
        <f>_xlfn.IFNA(VLOOKUP(C421,'General price list'!C:AM,MATCH($AD$20,'General price list'!$C$20:$AM$20,0),FALSE),"")</f>
        <v/>
      </c>
      <c r="AE421" s="695" t="str">
        <f t="shared" si="80"/>
        <v/>
      </c>
      <c r="AF421" s="695" t="str">
        <f t="shared" si="81"/>
        <v/>
      </c>
      <c r="AG421" s="702" t="str">
        <f t="shared" si="82"/>
        <v/>
      </c>
      <c r="AH421" s="703" t="str">
        <f t="shared" si="83"/>
        <v/>
      </c>
      <c r="AI421" s="702" t="str">
        <f t="shared" si="84"/>
        <v/>
      </c>
      <c r="AJ421" s="704" t="str">
        <f t="shared" si="85"/>
        <v/>
      </c>
      <c r="AK421" s="704" t="str">
        <f t="shared" si="86"/>
        <v/>
      </c>
      <c r="AL421" s="704" t="str">
        <f t="shared" si="87"/>
        <v/>
      </c>
      <c r="AM421" s="705" t="str">
        <f t="shared" si="88"/>
        <v/>
      </c>
      <c r="AN421" s="382"/>
      <c r="AO421" s="314" t="str">
        <f>IF($R$3=1,IF(Y421=AA421,"","NE"),IF(#REF!=$V$10,"NE",""))</f>
        <v/>
      </c>
      <c r="AP421" s="315" t="str">
        <f>IF(AB421=$V$3,IF(VLOOKUP(C421,[1]List1!$A:$E,5,FALSE)=0,1,VLOOKUP(C421,[1]List1!$A:$E,5,FALSE)),"")</f>
        <v/>
      </c>
      <c r="AW421" s="291" t="e">
        <f>VLOOKUP(C421,'General price list'!C:AU,46,FALSE)</f>
        <v>#N/A</v>
      </c>
      <c r="AX421" s="291" t="e">
        <f>VLOOKUP(C421,'General price list'!C:AU,47,FALSE)</f>
        <v>#N/A</v>
      </c>
    </row>
    <row r="422" spans="1:50" ht="15" customHeight="1">
      <c r="A422" s="677" t="str">
        <f>Kat.!C422</f>
        <v>×</v>
      </c>
      <c r="B422" s="678">
        <v>401</v>
      </c>
      <c r="C422" s="679" t="s">
        <v>1525</v>
      </c>
      <c r="D422" s="679" t="s">
        <v>1522</v>
      </c>
      <c r="E422" s="680" t="s">
        <v>1003</v>
      </c>
      <c r="F422" s="681">
        <f>VLOOKUP(C422,[2]List1!$A:$D,2,FALSE)</f>
        <v>753</v>
      </c>
      <c r="G422" s="682">
        <f t="shared" si="77"/>
        <v>753</v>
      </c>
      <c r="H422" s="683">
        <f t="shared" si="78"/>
        <v>30.6</v>
      </c>
      <c r="I422" s="836">
        <v>4</v>
      </c>
      <c r="J422" s="680" t="s">
        <v>45</v>
      </c>
      <c r="K422" s="854"/>
      <c r="L422" s="855" t="s">
        <v>13841</v>
      </c>
      <c r="M422" s="680" t="s">
        <v>25</v>
      </c>
      <c r="N422" s="868">
        <f>IFERROR(VLOOKUP(C422,[3]List1!$A:$D,4,FALSE),"N/A!")</f>
        <v>3.2400000000000005E-2</v>
      </c>
      <c r="O422" s="836">
        <f>IFERROR(VLOOKUP(C422,[3]List1!$A:$D,3,FALSE),"N/A!")</f>
        <v>1980</v>
      </c>
      <c r="P422" s="836">
        <f>IFERROR(VLOOKUP(C422,[3]List1!$A:$D,2,FALSE),"N/A!")</f>
        <v>15000</v>
      </c>
      <c r="Q422" s="680" t="s">
        <v>13809</v>
      </c>
      <c r="R422" s="680" t="s">
        <v>24</v>
      </c>
      <c r="S422" s="680"/>
      <c r="T422" s="681">
        <v>60</v>
      </c>
      <c r="U422" s="873"/>
      <c r="V422" s="684" t="str">
        <f>_xlfn.IFNA(HYPERLINK("https://www.klasekpyrotechnics.cz/c64mt14"),"")</f>
        <v>https://www.klasekpyrotechnics.cz/c64mt14</v>
      </c>
      <c r="W422" s="685" t="str">
        <f>IFERROR(VLOOKUP($C422,Popisy!A:P,MATCH($W$17,Popisy!$A$7:$P$7,0),FALSE),"---------------")</f>
        <v>9 verschiedenfarbige Effekte</v>
      </c>
      <c r="X422" s="889" t="str">
        <f t="shared" si="79"/>
        <v/>
      </c>
      <c r="Y422" s="890"/>
      <c r="Z422" s="685">
        <f>IFERROR(IF(VLOOKUP(C422,[4]List1!$A:$D,4,FALSE)=0,"",VLOOKUP(C422,[4]List1!$A:$D,4,FALSE)),"")</f>
        <v>36</v>
      </c>
      <c r="AA422" s="707"/>
      <c r="AB422" s="911" t="str">
        <f>IFERROR(IF(VLOOKUP(C422,[1]List1!$A:$D,2,FALSE)="VYPRODÁNO",$V$9,IF(VLOOKUP(C422,[1]List1!$A:$D,2,FALSE)="DOCHÁZÍ",$V$3,VLOOKUP(C422,[1]List1!$A:$D,2,FALSE))),"OFFLINE!")</f>
        <v>SKLADEM</v>
      </c>
      <c r="AC422" s="911" t="str">
        <f ca="1">IF(AO422="NE",$V$10,IF(AB422=$V$3,IF(AP422&lt;1,$V$8,$V$2&amp;" "&amp;AP422&amp;" "&amp;$V$1),IF(AB422="SKLADEM",$V$6,IFERROR(IF(OR(AB422-TODAY()&gt;21,VLOOKUP(C422,[1]List1!$A:$E,4,FALSE)=0),AB422,DAY(AB422)&amp;"."&amp;MONTH(AB422)&amp;"."&amp;YEAR(AB422)&amp;" "&amp;$V$4&amp;VLOOKUP(C422,[1]List1!$A:$E,4,FALSE)&amp;" "&amp;$V$1),AB422))))</f>
        <v>AUF LAGER</v>
      </c>
      <c r="AD422" s="686">
        <f>_xlfn.IFNA(VLOOKUP(C422,'General price list'!C:AM,MATCH($AD$20,'General price list'!$C$20:$AM$20,0),FALSE),"")</f>
        <v>0</v>
      </c>
      <c r="AE422" s="681">
        <f t="shared" si="80"/>
        <v>0</v>
      </c>
      <c r="AF422" s="681">
        <f t="shared" si="81"/>
        <v>0</v>
      </c>
      <c r="AG422" s="687">
        <f t="shared" si="82"/>
        <v>0</v>
      </c>
      <c r="AH422" s="688">
        <f t="shared" si="83"/>
        <v>0</v>
      </c>
      <c r="AI422" s="687">
        <f t="shared" si="84"/>
        <v>0</v>
      </c>
      <c r="AJ422" s="689" t="str">
        <f t="shared" si="85"/>
        <v/>
      </c>
      <c r="AK422" s="689" t="str">
        <f t="shared" si="86"/>
        <v/>
      </c>
      <c r="AL422" s="689">
        <f t="shared" si="87"/>
        <v>0</v>
      </c>
      <c r="AM422" s="690" t="str">
        <f t="shared" si="88"/>
        <v/>
      </c>
      <c r="AN422" s="382"/>
      <c r="AO422" s="314" t="str">
        <f>IF($R$3=1,IF(Y422=AA422,"","NE"),IF(#REF!=$V$10,"NE",""))</f>
        <v/>
      </c>
      <c r="AP422" s="315" t="str">
        <f>IF(AB422=$V$3,IF(VLOOKUP(C422,[1]List1!$A:$E,5,FALSE)=0,1,VLOOKUP(C422,[1]List1!$A:$E,5,FALSE)),"")</f>
        <v/>
      </c>
      <c r="AW422" s="458">
        <f>IFERROR(FIND(VLOOKUP('General price list'!$AB$7,'General price list'!$AC$1:$AD$12,2,FALSE),Q422,1),0)</f>
        <v>10</v>
      </c>
      <c r="AX422" s="458">
        <f>IFERROR(FIND(VLOOKUP('General price list'!$AB$7,'General price list'!$AC$1:$AD$12,2,FALSE),R422,1),0)</f>
        <v>0</v>
      </c>
    </row>
    <row r="423" spans="1:50" ht="15" customHeight="1">
      <c r="A423" s="672" t="str">
        <f>Kat.!C423</f>
        <v xml:space="preserve">                                          Batterien 68 schuss, 20+25+30mm Mörser(alle Richtungen)-1.4G</v>
      </c>
      <c r="B423" s="692">
        <v>402</v>
      </c>
      <c r="C423" s="693"/>
      <c r="D423" s="693"/>
      <c r="E423" s="694"/>
      <c r="F423" s="695" t="str">
        <f>IFERROR(ROUND(VLOOKUP(C423,'General price list'!$C:$AN,4,FALSE),0),"")</f>
        <v/>
      </c>
      <c r="G423" s="696" t="str">
        <f t="shared" si="77"/>
        <v/>
      </c>
      <c r="H423" s="697" t="str">
        <f t="shared" si="78"/>
        <v/>
      </c>
      <c r="I423" s="837"/>
      <c r="J423" s="698"/>
      <c r="K423" s="856"/>
      <c r="L423" s="857"/>
      <c r="M423" s="698"/>
      <c r="N423" s="869" t="str">
        <f>IFERROR(IF(VLOOKUP($C423,'General price list'!$C:$AN,MATCH(N$20,'General price list'!$C$20:$AM$20,0),FALSE)=0,"",VLOOKUP($C423,'General price list'!$C:$AN,MATCH(N$20,'General price list'!$C$20:$AM$20,0),FALSE)),"")</f>
        <v/>
      </c>
      <c r="O423" s="837" t="str">
        <f>IFERROR(IF(VLOOKUP($C423,'General price list'!$C:$AN,MATCH(O$20,'General price list'!$C$20:$AM$20,0),FALSE)=0,"",VLOOKUP($C423,'General price list'!$C:$AN,MATCH(O$20,'General price list'!$C$20:$AM$20,0),FALSE)),"")</f>
        <v/>
      </c>
      <c r="P423" s="837" t="str">
        <f>IFERROR(IF(VLOOKUP($C423,'General price list'!$C:$AN,MATCH(P$20,'General price list'!$C$20:$AM$20,0),FALSE)=0,"",VLOOKUP($C423,'General price list'!$C:$AN,MATCH(P$20,'General price list'!$C$20:$AM$20,0),FALSE)),"")</f>
        <v/>
      </c>
      <c r="Q423" s="698"/>
      <c r="R423" s="698"/>
      <c r="S423" s="698"/>
      <c r="T423" s="695"/>
      <c r="U423" s="874"/>
      <c r="V423" s="699"/>
      <c r="W423" s="700" t="str">
        <f>IFERROR(VLOOKUP($C423,'General price list'!$C:$AN,MATCH(W$20,'General price list'!$C$20:$AM$20,0),FALSE),"")</f>
        <v/>
      </c>
      <c r="X423" s="891" t="str">
        <f t="shared" si="79"/>
        <v/>
      </c>
      <c r="Y423" s="892"/>
      <c r="Z423" s="700" t="str">
        <f>IFERROR(VLOOKUP($C423,'General price list'!$C:$AN,MATCH(Z$20,'General price list'!$C$20:$AM$20,0),FALSE),"")</f>
        <v/>
      </c>
      <c r="AA423" s="707"/>
      <c r="AB423" s="912" t="str">
        <f>IFERROR(IF(VLOOKUP(C423,[1]List1!$A:$D,2,FALSE)="VYPRODÁNO",$V$9,IF(VLOOKUP(C423,[1]List1!$A:$D,2,FALSE)="DOCHÁZÍ",$V$3,VLOOKUP(C423,[1]List1!$A:$D,2,FALSE))),"OFFLINE!")</f>
        <v>OFFLINE!</v>
      </c>
      <c r="AC423" s="912" t="str">
        <f ca="1">IF(AO423="NE",$V$10,IF(AB423=$V$3,IF(AP423&lt;1,$V$8,$V$2&amp;" "&amp;AP423&amp;" "&amp;$V$1),IF(AB423="SKLADEM",$V$6,IFERROR(IF(OR(AB423-TODAY()&gt;21,VLOOKUP(C423,[1]List1!$A:$E,4,FALSE)=0),AB423,DAY(AB423)&amp;"."&amp;MONTH(AB423)&amp;"."&amp;YEAR(AB423)&amp;" "&amp;$V$4&amp;VLOOKUP(C423,[1]List1!$A:$E,4,FALSE)&amp;" "&amp;$V$1),AB423))))</f>
        <v>OFFLINE!</v>
      </c>
      <c r="AD423" s="701" t="str">
        <f>_xlfn.IFNA(VLOOKUP(C423,'General price list'!C:AM,MATCH($AD$20,'General price list'!$C$20:$AM$20,0),FALSE),"")</f>
        <v/>
      </c>
      <c r="AE423" s="695" t="str">
        <f t="shared" si="80"/>
        <v/>
      </c>
      <c r="AF423" s="695" t="str">
        <f t="shared" si="81"/>
        <v/>
      </c>
      <c r="AG423" s="702" t="str">
        <f t="shared" si="82"/>
        <v/>
      </c>
      <c r="AH423" s="703" t="str">
        <f t="shared" si="83"/>
        <v/>
      </c>
      <c r="AI423" s="702" t="str">
        <f t="shared" si="84"/>
        <v/>
      </c>
      <c r="AJ423" s="704" t="str">
        <f t="shared" si="85"/>
        <v/>
      </c>
      <c r="AK423" s="704" t="str">
        <f t="shared" si="86"/>
        <v/>
      </c>
      <c r="AL423" s="704" t="str">
        <f t="shared" si="87"/>
        <v/>
      </c>
      <c r="AM423" s="705" t="str">
        <f t="shared" si="88"/>
        <v/>
      </c>
      <c r="AN423" s="382"/>
      <c r="AO423" s="314" t="str">
        <f>IF($R$3=1,IF(Y423=AA423,"","NE"),IF(#REF!=$V$10,"NE",""))</f>
        <v/>
      </c>
      <c r="AP423" s="315" t="str">
        <f>IF(AB423=$V$3,IF(VLOOKUP(C423,[1]List1!$A:$E,5,FALSE)=0,1,VLOOKUP(C423,[1]List1!$A:$E,5,FALSE)),"")</f>
        <v/>
      </c>
      <c r="AW423" s="291" t="e">
        <f>VLOOKUP(C423,'General price list'!C:AU,46,FALSE)</f>
        <v>#N/A</v>
      </c>
      <c r="AX423" s="291" t="e">
        <f>VLOOKUP(C423,'General price list'!C:AU,47,FALSE)</f>
        <v>#N/A</v>
      </c>
    </row>
    <row r="424" spans="1:50" ht="15" customHeight="1">
      <c r="A424" s="677" t="str">
        <f>Kat.!C424</f>
        <v xml:space="preserve">                                          </v>
      </c>
      <c r="B424" s="678">
        <v>403</v>
      </c>
      <c r="C424" s="679" t="s">
        <v>2388</v>
      </c>
      <c r="D424" s="679" t="s">
        <v>12591</v>
      </c>
      <c r="E424" s="680" t="s">
        <v>1006</v>
      </c>
      <c r="F424" s="681">
        <f>VLOOKUP(C424,[2]List1!$A:$D,2,FALSE)</f>
        <v>961</v>
      </c>
      <c r="G424" s="682">
        <f t="shared" si="77"/>
        <v>961</v>
      </c>
      <c r="H424" s="683">
        <f t="shared" si="78"/>
        <v>39.1</v>
      </c>
      <c r="I424" s="836">
        <v>6</v>
      </c>
      <c r="J424" s="680" t="s">
        <v>45</v>
      </c>
      <c r="K424" s="854"/>
      <c r="L424" s="855" t="s">
        <v>13841</v>
      </c>
      <c r="M424" s="680" t="s">
        <v>25</v>
      </c>
      <c r="N424" s="868">
        <f>IFERROR(VLOOKUP(C424,[3]List1!$A:$D,4,FALSE),"N/A!")</f>
        <v>8.6526000000000006E-2</v>
      </c>
      <c r="O424" s="836">
        <f>IFERROR(VLOOKUP(C424,[3]List1!$A:$D,3,FALSE),"N/A!")</f>
        <v>3000</v>
      </c>
      <c r="P424" s="836">
        <f>IFERROR(VLOOKUP(C424,[3]List1!$A:$D,2,FALSE),"N/A!")</f>
        <v>28000</v>
      </c>
      <c r="Q424" s="680" t="s">
        <v>13810</v>
      </c>
      <c r="R424" s="680" t="s">
        <v>24</v>
      </c>
      <c r="S424" s="680"/>
      <c r="T424" s="681">
        <v>45</v>
      </c>
      <c r="U424" s="873"/>
      <c r="V424" s="684" t="str">
        <f>_xlfn.IFNA(HYPERLINK("https://www.klasekpyrotechnics.cz/c68xmpt14"),"")</f>
        <v>https://www.klasekpyrotechnics.cz/c68xmpt14</v>
      </c>
      <c r="W424" s="685" t="str">
        <f>IFERROR(VLOOKUP($C424,Popisy!A:P,MATCH($W$17,Popisy!$A$7:$P$7,0),FALSE),"---------------")</f>
        <v>14 verschiedenfarbige Effekte</v>
      </c>
      <c r="X424" s="889" t="str">
        <f t="shared" si="79"/>
        <v/>
      </c>
      <c r="Y424" s="890"/>
      <c r="Z424" s="685">
        <f>IFERROR(IF(VLOOKUP(C424,[4]List1!$A:$D,4,FALSE)=0,"",VLOOKUP(C424,[4]List1!$A:$D,4,FALSE)),"")</f>
        <v>15</v>
      </c>
      <c r="AA424" s="707"/>
      <c r="AB424" s="911" t="str">
        <f>IFERROR(IF(VLOOKUP(C424,[1]List1!$A:$D,2,FALSE)="VYPRODÁNO",$V$9,IF(VLOOKUP(C424,[1]List1!$A:$D,2,FALSE)="DOCHÁZÍ",$V$3,VLOOKUP(C424,[1]List1!$A:$D,2,FALSE))),"OFFLINE!")</f>
        <v>LETZTE STÜCKE</v>
      </c>
      <c r="AC424" s="911" t="str">
        <f ca="1">IF(AO424="NE",$V$10,IF(AB424=$V$3,IF(AP424&lt;1,$V$8,$V$2&amp;" "&amp;AP424&amp;" "&amp;$V$1),IF(AB424="SKLADEM",$V$6,IFERROR(IF(OR(AB424-TODAY()&gt;21,VLOOKUP(C424,[1]List1!$A:$E,4,FALSE)=0),AB424,DAY(AB424)&amp;"."&amp;MONTH(AB424)&amp;"."&amp;YEAR(AB424)&amp;" "&amp;$V$4&amp;VLOOKUP(C424,[1]List1!$A:$E,4,FALSE)&amp;" "&amp;$V$1),AB424))))</f>
        <v>LETZTE 4 KTN</v>
      </c>
      <c r="AD424" s="686" t="str">
        <f ca="1">_xlfn.IFNA(VLOOKUP(C424,'General price list'!C:AM,MATCH($AD$20,'General price list'!$C$20:$AM$20,0),FALSE),"")</f>
        <v>LETZTE 4 KTN</v>
      </c>
      <c r="AE424" s="681">
        <f t="shared" ca="1" si="80"/>
        <v>0</v>
      </c>
      <c r="AF424" s="681">
        <f t="shared" ca="1" si="81"/>
        <v>0</v>
      </c>
      <c r="AG424" s="687">
        <f t="shared" ca="1" si="82"/>
        <v>0</v>
      </c>
      <c r="AH424" s="688">
        <f t="shared" ca="1" si="83"/>
        <v>0</v>
      </c>
      <c r="AI424" s="687">
        <f t="shared" ca="1" si="84"/>
        <v>0</v>
      </c>
      <c r="AJ424" s="689" t="str">
        <f t="shared" ca="1" si="85"/>
        <v/>
      </c>
      <c r="AK424" s="689" t="str">
        <f t="shared" ca="1" si="86"/>
        <v/>
      </c>
      <c r="AL424" s="689">
        <f t="shared" ca="1" si="87"/>
        <v>0</v>
      </c>
      <c r="AM424" s="690" t="str">
        <f t="shared" ca="1" si="88"/>
        <v/>
      </c>
      <c r="AN424" s="382"/>
      <c r="AO424" s="314" t="str">
        <f>IF($R$3=1,IF(Y424=AA424,"","NE"),IF(#REF!=$V$10,"NE",""))</f>
        <v/>
      </c>
      <c r="AP424" s="315">
        <f>IF(AB424=$V$3,IF(VLOOKUP(C424,[1]List1!$A:$E,5,FALSE)=0,1,VLOOKUP(C424,[1]List1!$A:$E,5,FALSE)),"")</f>
        <v>4</v>
      </c>
      <c r="AW424" s="458">
        <f>IFERROR(FIND(VLOOKUP('General price list'!$AB$7,'General price list'!$AC$1:$AD$12,2,FALSE),Q424,1),0)</f>
        <v>13</v>
      </c>
      <c r="AX424" s="458">
        <f>IFERROR(FIND(VLOOKUP('General price list'!$AB$7,'General price list'!$AC$1:$AD$12,2,FALSE),R424,1),0)</f>
        <v>0</v>
      </c>
    </row>
    <row r="425" spans="1:50" ht="15" customHeight="1">
      <c r="A425" s="691" t="str">
        <f>Kat.!C425</f>
        <v>×</v>
      </c>
      <c r="B425" s="692">
        <v>404</v>
      </c>
      <c r="C425" s="693" t="s">
        <v>2389</v>
      </c>
      <c r="D425" s="693" t="s">
        <v>2387</v>
      </c>
      <c r="E425" s="694" t="s">
        <v>1006</v>
      </c>
      <c r="F425" s="695">
        <f>VLOOKUP(C425,[2]List1!$A:$D,2,FALSE)</f>
        <v>961</v>
      </c>
      <c r="G425" s="696">
        <f t="shared" si="77"/>
        <v>961</v>
      </c>
      <c r="H425" s="697">
        <f t="shared" si="78"/>
        <v>39.1</v>
      </c>
      <c r="I425" s="837">
        <v>6</v>
      </c>
      <c r="J425" s="698" t="s">
        <v>45</v>
      </c>
      <c r="K425" s="856"/>
      <c r="L425" s="857" t="s">
        <v>13841</v>
      </c>
      <c r="M425" s="698" t="s">
        <v>25</v>
      </c>
      <c r="N425" s="869">
        <f>IFERROR(VLOOKUP(C425,[3]List1!$A:$D,4,FALSE),"N/A!")</f>
        <v>8.6526000000000006E-2</v>
      </c>
      <c r="O425" s="837">
        <f>IFERROR(VLOOKUP(C425,[3]List1!$A:$D,3,FALSE),"N/A!")</f>
        <v>3000</v>
      </c>
      <c r="P425" s="837">
        <f>IFERROR(VLOOKUP(C425,[3]List1!$A:$D,2,FALSE),"N/A!")</f>
        <v>28000</v>
      </c>
      <c r="Q425" s="698" t="s">
        <v>13810</v>
      </c>
      <c r="R425" s="698" t="s">
        <v>24</v>
      </c>
      <c r="S425" s="698"/>
      <c r="T425" s="695">
        <v>45</v>
      </c>
      <c r="U425" s="874"/>
      <c r="V425" s="699" t="str">
        <f>_xlfn.IFNA(HYPERLINK("https://www.klasekpyrotechnics.cz/c68xmcs14"),"")</f>
        <v>https://www.klasekpyrotechnics.cz/c68xmcs14</v>
      </c>
      <c r="W425" s="700" t="str">
        <f>IFERROR(VLOOKUP($C425,Popisy!A:P,MATCH($W$17,Popisy!$A$7:$P$7,0),FALSE),"---------------")</f>
        <v>14 verschiedenfarbige Effekte</v>
      </c>
      <c r="X425" s="891" t="str">
        <f t="shared" si="79"/>
        <v/>
      </c>
      <c r="Y425" s="892"/>
      <c r="Z425" s="700">
        <f>IFERROR(IF(VLOOKUP(C425,[4]List1!$A:$D,4,FALSE)=0,"",VLOOKUP(C425,[4]List1!$A:$D,4,FALSE)),"")</f>
        <v>15</v>
      </c>
      <c r="AA425" s="707"/>
      <c r="AB425" s="912" t="str">
        <f>IFERROR(IF(VLOOKUP(C425,[1]List1!$A:$D,2,FALSE)="VYPRODÁNO",$V$9,IF(VLOOKUP(C425,[1]List1!$A:$D,2,FALSE)="DOCHÁZÍ",$V$3,VLOOKUP(C425,[1]List1!$A:$D,2,FALSE))),"OFFLINE!")</f>
        <v>SKLADEM</v>
      </c>
      <c r="AC425" s="912" t="str">
        <f ca="1">IF(AO425="NE",$V$10,IF(AB425=$V$3,IF(AP425&lt;1,$V$8,$V$2&amp;" "&amp;AP425&amp;" "&amp;$V$1),IF(AB425="SKLADEM",$V$6,IFERROR(IF(OR(AB425-TODAY()&gt;21,VLOOKUP(C425,[1]List1!$A:$E,4,FALSE)=0),AB425,DAY(AB425)&amp;"."&amp;MONTH(AB425)&amp;"."&amp;YEAR(AB425)&amp;" "&amp;$V$4&amp;VLOOKUP(C425,[1]List1!$A:$E,4,FALSE)&amp;" "&amp;$V$1),AB425))))</f>
        <v>AUF LAGER</v>
      </c>
      <c r="AD425" s="701" t="str">
        <f ca="1">_xlfn.IFNA(VLOOKUP(C425,'General price list'!C:AM,MATCH($AD$20,'General price list'!$C$20:$AM$20,0),FALSE),"")</f>
        <v>AUF LAGER</v>
      </c>
      <c r="AE425" s="695">
        <f t="shared" ca="1" si="80"/>
        <v>0</v>
      </c>
      <c r="AF425" s="695">
        <f t="shared" ca="1" si="81"/>
        <v>0</v>
      </c>
      <c r="AG425" s="702">
        <f t="shared" ca="1" si="82"/>
        <v>0</v>
      </c>
      <c r="AH425" s="703">
        <f t="shared" ca="1" si="83"/>
        <v>0</v>
      </c>
      <c r="AI425" s="702">
        <f t="shared" ca="1" si="84"/>
        <v>0</v>
      </c>
      <c r="AJ425" s="704" t="str">
        <f t="shared" ca="1" si="85"/>
        <v/>
      </c>
      <c r="AK425" s="704" t="str">
        <f t="shared" ca="1" si="86"/>
        <v/>
      </c>
      <c r="AL425" s="704">
        <f t="shared" ca="1" si="87"/>
        <v>0</v>
      </c>
      <c r="AM425" s="705" t="str">
        <f t="shared" ca="1" si="88"/>
        <v/>
      </c>
      <c r="AN425" s="382"/>
      <c r="AO425" s="314" t="str">
        <f>IF($R$3=1,IF(Y425=AA425,"","NE"),IF(#REF!=$V$10,"NE",""))</f>
        <v/>
      </c>
      <c r="AP425" s="315" t="str">
        <f>IF(AB425=$V$3,IF(VLOOKUP(C425,[1]List1!$A:$E,5,FALSE)=0,1,VLOOKUP(C425,[1]List1!$A:$E,5,FALSE)),"")</f>
        <v/>
      </c>
      <c r="AW425" s="458">
        <f>IFERROR(FIND(VLOOKUP('General price list'!$AB$7,'General price list'!$AC$1:$AD$12,2,FALSE),Q425,1),0)</f>
        <v>13</v>
      </c>
      <c r="AX425" s="458">
        <f>IFERROR(FIND(VLOOKUP('General price list'!$AB$7,'General price list'!$AC$1:$AD$12,2,FALSE),R425,1),0)</f>
        <v>0</v>
      </c>
    </row>
    <row r="426" spans="1:50" ht="15" customHeight="1">
      <c r="A426" s="672" t="str">
        <f>Kat.!C426</f>
        <v xml:space="preserve">                                          Verbundfeurwerk, multikaliber F2 - 1.4G</v>
      </c>
      <c r="B426" s="678">
        <v>405</v>
      </c>
      <c r="C426" s="679"/>
      <c r="D426" s="679"/>
      <c r="E426" s="680"/>
      <c r="F426" s="681" t="str">
        <f>IFERROR(ROUND(VLOOKUP(C426,'General price list'!$C:$AN,4,FALSE),0),"")</f>
        <v/>
      </c>
      <c r="G426" s="682" t="str">
        <f t="shared" si="77"/>
        <v/>
      </c>
      <c r="H426" s="683" t="str">
        <f t="shared" si="78"/>
        <v/>
      </c>
      <c r="I426" s="836"/>
      <c r="J426" s="680"/>
      <c r="K426" s="854"/>
      <c r="L426" s="855"/>
      <c r="M426" s="680"/>
      <c r="N426" s="868" t="str">
        <f>IFERROR(IF(VLOOKUP($C426,'General price list'!$C:$AN,MATCH(N$20,'General price list'!$C$20:$AM$20,0),FALSE)=0,"",VLOOKUP($C426,'General price list'!$C:$AN,MATCH(N$20,'General price list'!$C$20:$AM$20,0),FALSE)),"")</f>
        <v/>
      </c>
      <c r="O426" s="836" t="str">
        <f>IFERROR(IF(VLOOKUP($C426,'General price list'!$C:$AN,MATCH(O$20,'General price list'!$C$20:$AM$20,0),FALSE)=0,"",VLOOKUP($C426,'General price list'!$C:$AN,MATCH(O$20,'General price list'!$C$20:$AM$20,0),FALSE)),"")</f>
        <v/>
      </c>
      <c r="P426" s="836" t="str">
        <f>IFERROR(IF(VLOOKUP($C426,'General price list'!$C:$AN,MATCH(P$20,'General price list'!$C$20:$AM$20,0),FALSE)=0,"",VLOOKUP($C426,'General price list'!$C:$AN,MATCH(P$20,'General price list'!$C$20:$AM$20,0),FALSE)),"")</f>
        <v/>
      </c>
      <c r="Q426" s="680"/>
      <c r="R426" s="680"/>
      <c r="S426" s="680"/>
      <c r="T426" s="681"/>
      <c r="U426" s="873"/>
      <c r="V426" s="684"/>
      <c r="W426" s="685" t="str">
        <f>IFERROR(VLOOKUP($C426,'General price list'!$C:$AN,MATCH(W$20,'General price list'!$C$20:$AM$20,0),FALSE),"")</f>
        <v/>
      </c>
      <c r="X426" s="889" t="str">
        <f t="shared" si="79"/>
        <v/>
      </c>
      <c r="Y426" s="890"/>
      <c r="Z426" s="685" t="str">
        <f>IFERROR(VLOOKUP($C426,'General price list'!$C:$AN,MATCH(Z$20,'General price list'!$C$20:$AM$20,0),FALSE),"")</f>
        <v/>
      </c>
      <c r="AA426" s="707"/>
      <c r="AB426" s="911" t="str">
        <f>IFERROR(IF(VLOOKUP(C426,[1]List1!$A:$D,2,FALSE)="VYPRODÁNO",$V$9,IF(VLOOKUP(C426,[1]List1!$A:$D,2,FALSE)="DOCHÁZÍ",$V$3,VLOOKUP(C426,[1]List1!$A:$D,2,FALSE))),"OFFLINE!")</f>
        <v>OFFLINE!</v>
      </c>
      <c r="AC426" s="911" t="str">
        <f ca="1">IF(AO426="NE",$V$10,IF(AB426=$V$3,IF(AP426&lt;1,$V$8,$V$2&amp;" "&amp;AP426&amp;" "&amp;$V$1),IF(AB426="SKLADEM",$V$6,IFERROR(IF(OR(AB426-TODAY()&gt;21,VLOOKUP(C426,[1]List1!$A:$E,4,FALSE)=0),AB426,DAY(AB426)&amp;"."&amp;MONTH(AB426)&amp;"."&amp;YEAR(AB426)&amp;" "&amp;$V$4&amp;VLOOKUP(C426,[1]List1!$A:$E,4,FALSE)&amp;" "&amp;$V$1),AB426))))</f>
        <v>OFFLINE!</v>
      </c>
      <c r="AD426" s="686" t="str">
        <f>_xlfn.IFNA(VLOOKUP(C426,'General price list'!C:AM,MATCH($AD$20,'General price list'!$C$20:$AM$20,0),FALSE),"")</f>
        <v/>
      </c>
      <c r="AE426" s="681" t="str">
        <f t="shared" si="80"/>
        <v/>
      </c>
      <c r="AF426" s="681" t="str">
        <f t="shared" si="81"/>
        <v/>
      </c>
      <c r="AG426" s="687" t="str">
        <f t="shared" si="82"/>
        <v/>
      </c>
      <c r="AH426" s="688" t="str">
        <f t="shared" si="83"/>
        <v/>
      </c>
      <c r="AI426" s="687" t="str">
        <f t="shared" si="84"/>
        <v/>
      </c>
      <c r="AJ426" s="689" t="str">
        <f t="shared" si="85"/>
        <v/>
      </c>
      <c r="AK426" s="689" t="str">
        <f t="shared" si="86"/>
        <v/>
      </c>
      <c r="AL426" s="689" t="str">
        <f t="shared" si="87"/>
        <v/>
      </c>
      <c r="AM426" s="690" t="str">
        <f t="shared" si="88"/>
        <v/>
      </c>
      <c r="AN426" s="382"/>
      <c r="AO426" s="314" t="str">
        <f>IF($R$3=1,IF(Y426=AA426,"","NE"),IF(#REF!=$V$10,"NE",""))</f>
        <v/>
      </c>
      <c r="AP426" s="315" t="str">
        <f>IF(AB426=$V$3,IF(VLOOKUP(C426,[1]List1!$A:$E,5,FALSE)=0,1,VLOOKUP(C426,[1]List1!$A:$E,5,FALSE)),"")</f>
        <v/>
      </c>
      <c r="AW426" s="291" t="e">
        <f>VLOOKUP(C426,'General price list'!C:AU,46,FALSE)</f>
        <v>#N/A</v>
      </c>
      <c r="AX426" s="291" t="e">
        <f>VLOOKUP(C426,'General price list'!C:AU,47,FALSE)</f>
        <v>#N/A</v>
      </c>
    </row>
    <row r="427" spans="1:50" ht="15" customHeight="1">
      <c r="A427" s="691" t="str">
        <f>Kat.!C427</f>
        <v xml:space="preserve">                                          </v>
      </c>
      <c r="B427" s="692">
        <v>406</v>
      </c>
      <c r="C427" s="693" t="s">
        <v>5248</v>
      </c>
      <c r="D427" s="693" t="s">
        <v>5249</v>
      </c>
      <c r="E427" s="694" t="s">
        <v>129</v>
      </c>
      <c r="F427" s="695">
        <f>VLOOKUP(C427,[2]List1!$A:$D,2,FALSE)</f>
        <v>1854</v>
      </c>
      <c r="G427" s="696">
        <f t="shared" si="77"/>
        <v>1854</v>
      </c>
      <c r="H427" s="697">
        <f t="shared" si="78"/>
        <v>75.400000000000006</v>
      </c>
      <c r="I427" s="837">
        <v>1</v>
      </c>
      <c r="J427" s="698" t="s">
        <v>45</v>
      </c>
      <c r="K427" s="856"/>
      <c r="L427" s="857" t="s">
        <v>13841</v>
      </c>
      <c r="M427" s="698" t="s">
        <v>25</v>
      </c>
      <c r="N427" s="869">
        <f>IFERROR(VLOOKUP(C427,[3]List1!$A:$D,4,FALSE),"N/A!")</f>
        <v>2.3039999999999998E-2</v>
      </c>
      <c r="O427" s="837">
        <f>IFERROR(VLOOKUP(C427,[3]List1!$A:$D,3,FALSE),"N/A!")</f>
        <v>1000</v>
      </c>
      <c r="P427" s="837">
        <f>IFERROR(VLOOKUP(C427,[3]List1!$A:$D,2,FALSE),"N/A!")</f>
        <v>7700</v>
      </c>
      <c r="Q427" s="698" t="s">
        <v>610</v>
      </c>
      <c r="R427" s="698" t="s">
        <v>24</v>
      </c>
      <c r="S427" s="698"/>
      <c r="T427" s="695">
        <v>55</v>
      </c>
      <c r="U427" s="874"/>
      <c r="V427" s="699" t="str">
        <f>_xlfn.IFNA(HYPERLINK("https://www.klasekpyrotechnics.cz/c100mts-c14"),"")</f>
        <v>https://www.klasekpyrotechnics.cz/c100mts-c14</v>
      </c>
      <c r="W427" s="700" t="str">
        <f>IFERROR(VLOOKUP($C427,Popisy!A:P,MATCH($W$17,Popisy!$A$7:$P$7,0),FALSE),"---------------")</f>
        <v>14 verschiedenfarbige Effekte</v>
      </c>
      <c r="X427" s="891" t="str">
        <f t="shared" si="79"/>
        <v/>
      </c>
      <c r="Y427" s="892"/>
      <c r="Z427" s="700">
        <f>IFERROR(IF(VLOOKUP(C427,[4]List1!$A:$D,4,FALSE)=0,"",VLOOKUP(C427,[4]List1!$A:$D,4,FALSE)),"")</f>
        <v>60</v>
      </c>
      <c r="AA427" s="707"/>
      <c r="AB427" s="912" t="str">
        <f>IFERROR(IF(VLOOKUP(C427,[1]List1!$A:$D,2,FALSE)="VYPRODÁNO",$V$9,IF(VLOOKUP(C427,[1]List1!$A:$D,2,FALSE)="DOCHÁZÍ",$V$3,VLOOKUP(C427,[1]List1!$A:$D,2,FALSE))),"OFFLINE!")</f>
        <v>SKLADEM</v>
      </c>
      <c r="AC427" s="912" t="str">
        <f ca="1">IF(AO427="NE",$V$10,IF(AB427=$V$3,IF(AP427&lt;1,$V$8,$V$2&amp;" "&amp;AP427&amp;" "&amp;$V$1),IF(AB427="SKLADEM",$V$6,IFERROR(IF(OR(AB427-TODAY()&gt;21,VLOOKUP(C427,[1]List1!$A:$E,4,FALSE)=0),AB427,DAY(AB427)&amp;"."&amp;MONTH(AB427)&amp;"."&amp;YEAR(AB427)&amp;" "&amp;$V$4&amp;VLOOKUP(C427,[1]List1!$A:$E,4,FALSE)&amp;" "&amp;$V$1),AB427))))</f>
        <v>AUF LAGER</v>
      </c>
      <c r="AD427" s="701">
        <f>_xlfn.IFNA(VLOOKUP(C427,'General price list'!C:AM,MATCH($AD$20,'General price list'!$C$20:$AM$20,0),FALSE),"")</f>
        <v>0</v>
      </c>
      <c r="AE427" s="695">
        <f t="shared" si="80"/>
        <v>0</v>
      </c>
      <c r="AF427" s="695">
        <f t="shared" si="81"/>
        <v>0</v>
      </c>
      <c r="AG427" s="702">
        <f t="shared" si="82"/>
        <v>0</v>
      </c>
      <c r="AH427" s="703">
        <f t="shared" si="83"/>
        <v>0</v>
      </c>
      <c r="AI427" s="702">
        <f t="shared" si="84"/>
        <v>0</v>
      </c>
      <c r="AJ427" s="704" t="str">
        <f t="shared" si="85"/>
        <v/>
      </c>
      <c r="AK427" s="704" t="str">
        <f t="shared" si="86"/>
        <v/>
      </c>
      <c r="AL427" s="704">
        <f t="shared" si="87"/>
        <v>0</v>
      </c>
      <c r="AM427" s="705" t="str">
        <f t="shared" si="88"/>
        <v/>
      </c>
      <c r="AN427" s="382"/>
      <c r="AO427" s="314" t="str">
        <f>IF($R$3=1,IF(Y427=AA427,"","NE"),IF(#REF!=$V$10,"NE",""))</f>
        <v/>
      </c>
      <c r="AP427" s="315" t="str">
        <f>IF(AB427=$V$3,IF(VLOOKUP(C427,[1]List1!$A:$E,5,FALSE)=0,1,VLOOKUP(C427,[1]List1!$A:$E,5,FALSE)),"")</f>
        <v/>
      </c>
      <c r="AW427" s="458">
        <f>IFERROR(FIND(VLOOKUP('General price list'!$AB$7,'General price list'!$AC$1:$AD$12,2,FALSE),Q427,1),0)</f>
        <v>0</v>
      </c>
      <c r="AX427" s="458">
        <f>IFERROR(FIND(VLOOKUP('General price list'!$AB$7,'General price list'!$AC$1:$AD$12,2,FALSE),R427,1),0)</f>
        <v>0</v>
      </c>
    </row>
    <row r="428" spans="1:50" ht="15" customHeight="1">
      <c r="A428" s="677" t="str">
        <f>Kat.!C428</f>
        <v xml:space="preserve">                                          </v>
      </c>
      <c r="B428" s="678">
        <v>407</v>
      </c>
      <c r="C428" s="679" t="s">
        <v>5250</v>
      </c>
      <c r="D428" s="679" t="s">
        <v>12592</v>
      </c>
      <c r="E428" s="680" t="s">
        <v>129</v>
      </c>
      <c r="F428" s="681">
        <f>VLOOKUP(C428,[2]List1!$A:$D,2,FALSE)</f>
        <v>1854</v>
      </c>
      <c r="G428" s="682">
        <f t="shared" si="77"/>
        <v>1854</v>
      </c>
      <c r="H428" s="683">
        <f t="shared" si="78"/>
        <v>75.400000000000006</v>
      </c>
      <c r="I428" s="836">
        <v>1</v>
      </c>
      <c r="J428" s="680" t="s">
        <v>45</v>
      </c>
      <c r="K428" s="854"/>
      <c r="L428" s="855" t="s">
        <v>13841</v>
      </c>
      <c r="M428" s="680" t="s">
        <v>25</v>
      </c>
      <c r="N428" s="868">
        <f>IFERROR(VLOOKUP(C428,[3]List1!$A:$D,4,FALSE),"N/A!")</f>
        <v>2.3039999999999998E-2</v>
      </c>
      <c r="O428" s="836">
        <f>IFERROR(VLOOKUP(C428,[3]List1!$A:$D,3,FALSE),"N/A!")</f>
        <v>1000</v>
      </c>
      <c r="P428" s="836">
        <f>IFERROR(VLOOKUP(C428,[3]List1!$A:$D,2,FALSE),"N/A!")</f>
        <v>7700</v>
      </c>
      <c r="Q428" s="680" t="s">
        <v>610</v>
      </c>
      <c r="R428" s="680" t="s">
        <v>24</v>
      </c>
      <c r="S428" s="680"/>
      <c r="T428" s="681">
        <v>65</v>
      </c>
      <c r="U428" s="873"/>
      <c r="V428" s="684" t="str">
        <f>_xlfn.IFNA(HYPERLINK("https://www.klasekpyrotechnics.cz/c100mpt-c14"),"")</f>
        <v>https://www.klasekpyrotechnics.cz/c100mpt-c14</v>
      </c>
      <c r="W428" s="685" t="str">
        <f>IFERROR(VLOOKUP($C428,Popisy!A:P,MATCH($W$17,Popisy!$A$7:$P$7,0),FALSE),"---------------")</f>
        <v>14 verschiedenfarbige Effekte</v>
      </c>
      <c r="X428" s="889" t="str">
        <f t="shared" si="79"/>
        <v/>
      </c>
      <c r="Y428" s="890"/>
      <c r="Z428" s="685">
        <f>IFERROR(IF(VLOOKUP(C428,[4]List1!$A:$D,4,FALSE)=0,"",VLOOKUP(C428,[4]List1!$A:$D,4,FALSE)),"")</f>
        <v>60</v>
      </c>
      <c r="AA428" s="707"/>
      <c r="AB428" s="911" t="str">
        <f>IFERROR(IF(VLOOKUP(C428,[1]List1!$A:$D,2,FALSE)="VYPRODÁNO",$V$9,IF(VLOOKUP(C428,[1]List1!$A:$D,2,FALSE)="DOCHÁZÍ",$V$3,VLOOKUP(C428,[1]List1!$A:$D,2,FALSE))),"OFFLINE!")</f>
        <v>SKLADEM</v>
      </c>
      <c r="AC428" s="911" t="str">
        <f ca="1">IF(AO428="NE",$V$10,IF(AB428=$V$3,IF(AP428&lt;1,$V$8,$V$2&amp;" "&amp;AP428&amp;" "&amp;$V$1),IF(AB428="SKLADEM",$V$6,IFERROR(IF(OR(AB428-TODAY()&gt;21,VLOOKUP(C428,[1]List1!$A:$E,4,FALSE)=0),AB428,DAY(AB428)&amp;"."&amp;MONTH(AB428)&amp;"."&amp;YEAR(AB428)&amp;" "&amp;$V$4&amp;VLOOKUP(C428,[1]List1!$A:$E,4,FALSE)&amp;" "&amp;$V$1),AB428))))</f>
        <v>AUF LAGER</v>
      </c>
      <c r="AD428" s="686" t="str">
        <f ca="1">_xlfn.IFNA(VLOOKUP(C428,'General price list'!C:AM,MATCH($AD$20,'General price list'!$C$20:$AM$20,0),FALSE),"")</f>
        <v>AUF LAGER</v>
      </c>
      <c r="AE428" s="681">
        <f t="shared" ca="1" si="80"/>
        <v>0</v>
      </c>
      <c r="AF428" s="681">
        <f t="shared" ca="1" si="81"/>
        <v>0</v>
      </c>
      <c r="AG428" s="687">
        <f t="shared" ca="1" si="82"/>
        <v>0</v>
      </c>
      <c r="AH428" s="688">
        <f t="shared" ca="1" si="83"/>
        <v>0</v>
      </c>
      <c r="AI428" s="687">
        <f t="shared" ca="1" si="84"/>
        <v>0</v>
      </c>
      <c r="AJ428" s="689" t="str">
        <f t="shared" ca="1" si="85"/>
        <v/>
      </c>
      <c r="AK428" s="689" t="str">
        <f t="shared" ca="1" si="86"/>
        <v/>
      </c>
      <c r="AL428" s="689">
        <f t="shared" ca="1" si="87"/>
        <v>0</v>
      </c>
      <c r="AM428" s="690" t="str">
        <f t="shared" ca="1" si="88"/>
        <v/>
      </c>
      <c r="AN428" s="382"/>
      <c r="AO428" s="314" t="str">
        <f>IF($R$3=1,IF(Y428=AA428,"","NE"),IF(#REF!=$V$10,"NE",""))</f>
        <v/>
      </c>
      <c r="AP428" s="315" t="str">
        <f>IF(AB428=$V$3,IF(VLOOKUP(C428,[1]List1!$A:$E,5,FALSE)=0,1,VLOOKUP(C428,[1]List1!$A:$E,5,FALSE)),"")</f>
        <v/>
      </c>
      <c r="AW428" s="458">
        <f>IFERROR(FIND(VLOOKUP('General price list'!$AB$7,'General price list'!$AC$1:$AD$12,2,FALSE),Q428,1),0)</f>
        <v>0</v>
      </c>
      <c r="AX428" s="458">
        <f>IFERROR(FIND(VLOOKUP('General price list'!$AB$7,'General price list'!$AC$1:$AD$12,2,FALSE),R428,1),0)</f>
        <v>0</v>
      </c>
    </row>
    <row r="429" spans="1:50" ht="15" customHeight="1">
      <c r="A429" s="691" t="str">
        <f>Kat.!C429</f>
        <v xml:space="preserve">                                          </v>
      </c>
      <c r="B429" s="692">
        <v>408</v>
      </c>
      <c r="C429" s="693" t="s">
        <v>1537</v>
      </c>
      <c r="D429" s="693" t="s">
        <v>1538</v>
      </c>
      <c r="E429" s="694" t="s">
        <v>129</v>
      </c>
      <c r="F429" s="695">
        <f>VLOOKUP(C429,[2]List1!$A:$D,2,FALSE)</f>
        <v>1912</v>
      </c>
      <c r="G429" s="696">
        <f t="shared" si="77"/>
        <v>1912</v>
      </c>
      <c r="H429" s="697">
        <f t="shared" si="78"/>
        <v>77.8</v>
      </c>
      <c r="I429" s="837">
        <v>1</v>
      </c>
      <c r="J429" s="698" t="s">
        <v>45</v>
      </c>
      <c r="K429" s="856"/>
      <c r="L429" s="857" t="s">
        <v>13841</v>
      </c>
      <c r="M429" s="698" t="s">
        <v>25</v>
      </c>
      <c r="N429" s="869">
        <f>IFERROR(VLOOKUP(C429,[3]List1!$A:$D,4,FALSE),"N/A!")</f>
        <v>1.8926249999999999E-2</v>
      </c>
      <c r="O429" s="837">
        <f>IFERROR(VLOOKUP(C429,[3]List1!$A:$D,3,FALSE),"N/A!")</f>
        <v>990</v>
      </c>
      <c r="P429" s="837">
        <f>IFERROR(VLOOKUP(C429,[3]List1!$A:$D,2,FALSE),"N/A!")</f>
        <v>8000</v>
      </c>
      <c r="Q429" s="698" t="s">
        <v>13811</v>
      </c>
      <c r="R429" s="698" t="s">
        <v>24</v>
      </c>
      <c r="S429" s="698"/>
      <c r="T429" s="695">
        <v>100</v>
      </c>
      <c r="U429" s="874"/>
      <c r="V429" s="699" t="str">
        <f>_xlfn.IFNA(HYPERLINK("https://www.klasekpyrotechnics.cz/c128ms-c14"),"")</f>
        <v>https://www.klasekpyrotechnics.cz/c128ms-c14</v>
      </c>
      <c r="W429" s="700" t="str">
        <f>IFERROR(VLOOKUP($C429,Popisy!A:P,MATCH($W$17,Popisy!$A$7:$P$7,0),FALSE),"---------------")</f>
        <v>18 verschiedenfarbige Effekte</v>
      </c>
      <c r="X429" s="891" t="str">
        <f t="shared" si="79"/>
        <v/>
      </c>
      <c r="Y429" s="892"/>
      <c r="Z429" s="700">
        <f>IFERROR(IF(VLOOKUP(C429,[4]List1!$A:$D,4,FALSE)=0,"",VLOOKUP(C429,[4]List1!$A:$D,4,FALSE)),"")</f>
        <v>63</v>
      </c>
      <c r="AA429" s="707"/>
      <c r="AB429" s="912" t="str">
        <f>IFERROR(IF(VLOOKUP(C429,[1]List1!$A:$D,2,FALSE)="VYPRODÁNO",$V$9,IF(VLOOKUP(C429,[1]List1!$A:$D,2,FALSE)="DOCHÁZÍ",$V$3,VLOOKUP(C429,[1]List1!$A:$D,2,FALSE))),"OFFLINE!")</f>
        <v>SKLADEM</v>
      </c>
      <c r="AC429" s="912" t="str">
        <f ca="1">IF(AO429="NE",$V$10,IF(AB429=$V$3,IF(AP429&lt;1,$V$8,$V$2&amp;" "&amp;AP429&amp;" "&amp;$V$1),IF(AB429="SKLADEM",$V$6,IFERROR(IF(OR(AB429-TODAY()&gt;21,VLOOKUP(C429,[1]List1!$A:$E,4,FALSE)=0),AB429,DAY(AB429)&amp;"."&amp;MONTH(AB429)&amp;"."&amp;YEAR(AB429)&amp;" "&amp;$V$4&amp;VLOOKUP(C429,[1]List1!$A:$E,4,FALSE)&amp;" "&amp;$V$1),AB429))))</f>
        <v>AUF LAGER</v>
      </c>
      <c r="AD429" s="701">
        <f>_xlfn.IFNA(VLOOKUP(C429,'General price list'!C:AM,MATCH($AD$20,'General price list'!$C$20:$AM$20,0),FALSE),"")</f>
        <v>0</v>
      </c>
      <c r="AE429" s="695">
        <f t="shared" si="80"/>
        <v>0</v>
      </c>
      <c r="AF429" s="695">
        <f t="shared" si="81"/>
        <v>0</v>
      </c>
      <c r="AG429" s="702">
        <f t="shared" si="82"/>
        <v>0</v>
      </c>
      <c r="AH429" s="703">
        <f t="shared" si="83"/>
        <v>0</v>
      </c>
      <c r="AI429" s="702">
        <f t="shared" si="84"/>
        <v>0</v>
      </c>
      <c r="AJ429" s="704" t="str">
        <f t="shared" si="85"/>
        <v/>
      </c>
      <c r="AK429" s="704" t="str">
        <f t="shared" si="86"/>
        <v/>
      </c>
      <c r="AL429" s="704">
        <f t="shared" si="87"/>
        <v>0</v>
      </c>
      <c r="AM429" s="705" t="str">
        <f t="shared" si="88"/>
        <v/>
      </c>
      <c r="AN429" s="382"/>
      <c r="AO429" s="314" t="str">
        <f>IF($R$3=1,IF(Y429=AA429,"","NE"),IF(#REF!=$V$10,"NE",""))</f>
        <v/>
      </c>
      <c r="AP429" s="315" t="str">
        <f>IF(AB429=$V$3,IF(VLOOKUP(C429,[1]List1!$A:$E,5,FALSE)=0,1,VLOOKUP(C429,[1]List1!$A:$E,5,FALSE)),"")</f>
        <v/>
      </c>
      <c r="AW429" s="458">
        <f>IFERROR(FIND(VLOOKUP('General price list'!$AB$7,'General price list'!$AC$1:$AD$12,2,FALSE),Q429,1),0)</f>
        <v>22</v>
      </c>
      <c r="AX429" s="458">
        <f>IFERROR(FIND(VLOOKUP('General price list'!$AB$7,'General price list'!$AC$1:$AD$12,2,FALSE),R429,1),0)</f>
        <v>0</v>
      </c>
    </row>
    <row r="430" spans="1:50" ht="15" customHeight="1">
      <c r="A430" s="677" t="str">
        <f>Kat.!C430</f>
        <v xml:space="preserve">                                          </v>
      </c>
      <c r="B430" s="678">
        <v>409</v>
      </c>
      <c r="C430" s="679" t="s">
        <v>2391</v>
      </c>
      <c r="D430" s="679" t="s">
        <v>2392</v>
      </c>
      <c r="E430" s="680" t="s">
        <v>129</v>
      </c>
      <c r="F430" s="681">
        <f>VLOOKUP(C430,[2]List1!$A:$D,2,FALSE)</f>
        <v>2830</v>
      </c>
      <c r="G430" s="682">
        <f t="shared" si="77"/>
        <v>2830</v>
      </c>
      <c r="H430" s="683">
        <f t="shared" si="78"/>
        <v>115.1</v>
      </c>
      <c r="I430" s="836">
        <v>1</v>
      </c>
      <c r="J430" s="680" t="s">
        <v>45</v>
      </c>
      <c r="K430" s="854"/>
      <c r="L430" s="855" t="s">
        <v>13841</v>
      </c>
      <c r="M430" s="680" t="s">
        <v>25</v>
      </c>
      <c r="N430" s="868">
        <f>IFERROR(VLOOKUP(C430,[3]List1!$A:$D,4,FALSE),"N/A!")</f>
        <v>3.9199999999999999E-2</v>
      </c>
      <c r="O430" s="836">
        <f>IFERROR(VLOOKUP(C430,[3]List1!$A:$D,3,FALSE),"N/A!")</f>
        <v>2000</v>
      </c>
      <c r="P430" s="836">
        <f>IFERROR(VLOOKUP(C430,[3]List1!$A:$D,2,FALSE),"N/A!")</f>
        <v>13500</v>
      </c>
      <c r="Q430" s="680" t="s">
        <v>13812</v>
      </c>
      <c r="R430" s="680" t="s">
        <v>24</v>
      </c>
      <c r="S430" s="680"/>
      <c r="T430" s="681">
        <v>105</v>
      </c>
      <c r="U430" s="873"/>
      <c r="V430" s="684" t="str">
        <f>_xlfn.IFNA(HYPERLINK("https://www.klasekpyrotechnics.cz/c132xmpt-c14"),"")</f>
        <v>https://www.klasekpyrotechnics.cz/c132xmpt-c14</v>
      </c>
      <c r="W430" s="685" t="str">
        <f>IFERROR(VLOOKUP($C430,Popisy!A:P,MATCH($W$17,Popisy!$A$7:$P$7,0),FALSE),"---------------")</f>
        <v>24 verschiedenfarbige Effekte</v>
      </c>
      <c r="X430" s="889" t="str">
        <f t="shared" si="79"/>
        <v/>
      </c>
      <c r="Y430" s="890"/>
      <c r="Z430" s="685">
        <f>IFERROR(IF(VLOOKUP(C430,[4]List1!$A:$D,4,FALSE)=0,"",VLOOKUP(C430,[4]List1!$A:$D,4,FALSE)),"")</f>
        <v>32</v>
      </c>
      <c r="AA430" s="707"/>
      <c r="AB430" s="911" t="str">
        <f>IFERROR(IF(VLOOKUP(C430,[1]List1!$A:$D,2,FALSE)="VYPRODÁNO",$V$9,IF(VLOOKUP(C430,[1]List1!$A:$D,2,FALSE)="DOCHÁZÍ",$V$3,VLOOKUP(C430,[1]List1!$A:$D,2,FALSE))),"OFFLINE!")</f>
        <v>SKLADEM</v>
      </c>
      <c r="AC430" s="911" t="str">
        <f ca="1">IF(AO430="NE",$V$10,IF(AB430=$V$3,IF(AP430&lt;1,$V$8,$V$2&amp;" "&amp;AP430&amp;" "&amp;$V$1),IF(AB430="SKLADEM",$V$6,IFERROR(IF(OR(AB430-TODAY()&gt;21,VLOOKUP(C430,[1]List1!$A:$E,4,FALSE)=0),AB430,DAY(AB430)&amp;"."&amp;MONTH(AB430)&amp;"."&amp;YEAR(AB430)&amp;" "&amp;$V$4&amp;VLOOKUP(C430,[1]List1!$A:$E,4,FALSE)&amp;" "&amp;$V$1),AB430))))</f>
        <v>AUF LAGER</v>
      </c>
      <c r="AD430" s="686" t="str">
        <f ca="1">_xlfn.IFNA(VLOOKUP(C430,'General price list'!C:AM,MATCH($AD$20,'General price list'!$C$20:$AM$20,0),FALSE),"")</f>
        <v>AUF LAGER</v>
      </c>
      <c r="AE430" s="681">
        <f t="shared" ca="1" si="80"/>
        <v>0</v>
      </c>
      <c r="AF430" s="681">
        <f t="shared" ca="1" si="81"/>
        <v>0</v>
      </c>
      <c r="AG430" s="687">
        <f t="shared" ca="1" si="82"/>
        <v>0</v>
      </c>
      <c r="AH430" s="688">
        <f t="shared" ca="1" si="83"/>
        <v>0</v>
      </c>
      <c r="AI430" s="687">
        <f t="shared" ca="1" si="84"/>
        <v>0</v>
      </c>
      <c r="AJ430" s="689" t="str">
        <f t="shared" ca="1" si="85"/>
        <v/>
      </c>
      <c r="AK430" s="689" t="str">
        <f t="shared" ca="1" si="86"/>
        <v/>
      </c>
      <c r="AL430" s="689">
        <f t="shared" ca="1" si="87"/>
        <v>0</v>
      </c>
      <c r="AM430" s="690" t="str">
        <f t="shared" ca="1" si="88"/>
        <v/>
      </c>
      <c r="AN430" s="381"/>
      <c r="AO430" s="314" t="str">
        <f>IF($R$3=1,IF(Y430=AA430,"","NE"),IF(#REF!=$V$10,"NE",""))</f>
        <v/>
      </c>
      <c r="AP430" s="315" t="str">
        <f>IF(AB430=$V$3,IF(VLOOKUP(C430,[1]List1!$A:$E,5,FALSE)=0,1,VLOOKUP(C430,[1]List1!$A:$E,5,FALSE)),"")</f>
        <v/>
      </c>
      <c r="AW430" s="458">
        <f>IFERROR(FIND(VLOOKUP('General price list'!$AB$7,'General price list'!$AC$1:$AD$12,2,FALSE),Q430,1),0)</f>
        <v>19</v>
      </c>
      <c r="AX430" s="458">
        <f>IFERROR(FIND(VLOOKUP('General price list'!$AB$7,'General price list'!$AC$1:$AD$12,2,FALSE),R430,1),0)</f>
        <v>0</v>
      </c>
    </row>
    <row r="431" spans="1:50" ht="15" customHeight="1">
      <c r="A431" s="691" t="str">
        <f>Kat.!C431</f>
        <v xml:space="preserve">                                          </v>
      </c>
      <c r="B431" s="692">
        <v>410</v>
      </c>
      <c r="C431" s="693" t="s">
        <v>5251</v>
      </c>
      <c r="D431" s="693" t="s">
        <v>5252</v>
      </c>
      <c r="E431" s="694" t="s">
        <v>129</v>
      </c>
      <c r="F431" s="695">
        <f>VLOOKUP(C431,[2]List1!$A:$D,2,FALSE)</f>
        <v>2255</v>
      </c>
      <c r="G431" s="696">
        <f t="shared" si="77"/>
        <v>2255</v>
      </c>
      <c r="H431" s="697">
        <f t="shared" si="78"/>
        <v>91.7</v>
      </c>
      <c r="I431" s="837">
        <v>1</v>
      </c>
      <c r="J431" s="698" t="s">
        <v>45</v>
      </c>
      <c r="K431" s="856" t="s">
        <v>12593</v>
      </c>
      <c r="L431" s="857" t="s">
        <v>13841</v>
      </c>
      <c r="M431" s="698" t="s">
        <v>25</v>
      </c>
      <c r="N431" s="869">
        <f>IFERROR(VLOOKUP(C431,[3]List1!$A:$D,4,FALSE),"N/A!")</f>
        <v>3.2543999999999997E-2</v>
      </c>
      <c r="O431" s="837">
        <f>IFERROR(VLOOKUP(C431,[3]List1!$A:$D,3,FALSE),"N/A!")</f>
        <v>1000</v>
      </c>
      <c r="P431" s="837">
        <f>IFERROR(VLOOKUP(C431,[3]List1!$A:$D,2,FALSE),"N/A!")</f>
        <v>9500</v>
      </c>
      <c r="Q431" s="698" t="s">
        <v>13729</v>
      </c>
      <c r="R431" s="698" t="s">
        <v>24</v>
      </c>
      <c r="S431" s="698"/>
      <c r="T431" s="695">
        <v>70</v>
      </c>
      <c r="U431" s="874"/>
      <c r="V431" s="699" t="str">
        <f>_xlfn.IFNA(HYPERLINK("https://www.klasekpyrotechnics.cz/c136xmts-c14"),"")</f>
        <v>https://www.klasekpyrotechnics.cz/c136xmts-c14</v>
      </c>
      <c r="W431" s="700" t="str">
        <f>IFERROR(VLOOKUP($C431,Popisy!A:P,MATCH($W$17,Popisy!$A$7:$P$7,0),FALSE),"---------------")</f>
        <v>28 verschiedenfarbige Effekte</v>
      </c>
      <c r="X431" s="891" t="str">
        <f t="shared" si="79"/>
        <v/>
      </c>
      <c r="Y431" s="892"/>
      <c r="Z431" s="700">
        <f>IFERROR(IF(VLOOKUP(C431,[4]List1!$A:$D,4,FALSE)=0,"",VLOOKUP(C431,[4]List1!$A:$D,4,FALSE)),"")</f>
        <v>32</v>
      </c>
      <c r="AA431" s="707"/>
      <c r="AB431" s="912" t="str">
        <f>IFERROR(IF(VLOOKUP(C431,[1]List1!$A:$D,2,FALSE)="VYPRODÁNO",$V$9,IF(VLOOKUP(C431,[1]List1!$A:$D,2,FALSE)="DOCHÁZÍ",$V$3,VLOOKUP(C431,[1]List1!$A:$D,2,FALSE))),"OFFLINE!")</f>
        <v>SKLADEM</v>
      </c>
      <c r="AC431" s="912" t="str">
        <f ca="1">IF(AO431="NE",$V$10,IF(AB431=$V$3,IF(AP431&lt;1,$V$8,$V$2&amp;" "&amp;AP431&amp;" "&amp;$V$1),IF(AB431="SKLADEM",$V$6,IFERROR(IF(OR(AB431-TODAY()&gt;21,VLOOKUP(C431,[1]List1!$A:$E,4,FALSE)=0),AB431,DAY(AB431)&amp;"."&amp;MONTH(AB431)&amp;"."&amp;YEAR(AB431)&amp;" "&amp;$V$4&amp;VLOOKUP(C431,[1]List1!$A:$E,4,FALSE)&amp;" "&amp;$V$1),AB431))))</f>
        <v>AUF LAGER</v>
      </c>
      <c r="AD431" s="701">
        <f>_xlfn.IFNA(VLOOKUP(C431,'General price list'!C:AM,MATCH($AD$20,'General price list'!$C$20:$AM$20,0),FALSE),"")</f>
        <v>0</v>
      </c>
      <c r="AE431" s="695">
        <f t="shared" si="80"/>
        <v>0</v>
      </c>
      <c r="AF431" s="695">
        <f t="shared" si="81"/>
        <v>0</v>
      </c>
      <c r="AG431" s="702">
        <f t="shared" si="82"/>
        <v>0</v>
      </c>
      <c r="AH431" s="703">
        <f t="shared" si="83"/>
        <v>0</v>
      </c>
      <c r="AI431" s="702">
        <f t="shared" si="84"/>
        <v>0</v>
      </c>
      <c r="AJ431" s="704" t="str">
        <f t="shared" si="85"/>
        <v/>
      </c>
      <c r="AK431" s="704" t="str">
        <f t="shared" si="86"/>
        <v/>
      </c>
      <c r="AL431" s="704">
        <f t="shared" si="87"/>
        <v>0</v>
      </c>
      <c r="AM431" s="705" t="str">
        <f t="shared" si="88"/>
        <v/>
      </c>
      <c r="AN431" s="382"/>
      <c r="AO431" s="314" t="str">
        <f>IF($R$3=1,IF(Y431=AA431,"","NE"),IF(#REF!=$V$10,"NE",""))</f>
        <v/>
      </c>
      <c r="AP431" s="315" t="str">
        <f>IF(AB431=$V$3,IF(VLOOKUP(C431,[1]List1!$A:$E,5,FALSE)=0,1,VLOOKUP(C431,[1]List1!$A:$E,5,FALSE)),"")</f>
        <v/>
      </c>
      <c r="AW431" s="458">
        <f>IFERROR(FIND(VLOOKUP('General price list'!$AB$7,'General price list'!$AC$1:$AD$12,2,FALSE),Q431,1),0)</f>
        <v>13</v>
      </c>
      <c r="AX431" s="458">
        <f>IFERROR(FIND(VLOOKUP('General price list'!$AB$7,'General price list'!$AC$1:$AD$12,2,FALSE),R431,1),0)</f>
        <v>0</v>
      </c>
    </row>
    <row r="432" spans="1:50" ht="15" customHeight="1">
      <c r="A432" s="677" t="str">
        <f>Kat.!C432</f>
        <v xml:space="preserve">                                          </v>
      </c>
      <c r="B432" s="678">
        <v>411</v>
      </c>
      <c r="C432" s="679" t="s">
        <v>5253</v>
      </c>
      <c r="D432" s="679" t="s">
        <v>5254</v>
      </c>
      <c r="E432" s="680" t="s">
        <v>129</v>
      </c>
      <c r="F432" s="681">
        <f>VLOOKUP(C432,[2]List1!$A:$D,2,FALSE)</f>
        <v>2255</v>
      </c>
      <c r="G432" s="682">
        <f t="shared" si="77"/>
        <v>2255</v>
      </c>
      <c r="H432" s="683">
        <f t="shared" si="78"/>
        <v>91.7</v>
      </c>
      <c r="I432" s="836">
        <v>1</v>
      </c>
      <c r="J432" s="680" t="s">
        <v>45</v>
      </c>
      <c r="K432" s="854" t="s">
        <v>12593</v>
      </c>
      <c r="L432" s="855" t="s">
        <v>13841</v>
      </c>
      <c r="M432" s="680" t="s">
        <v>25</v>
      </c>
      <c r="N432" s="868">
        <f>IFERROR(VLOOKUP(C432,[3]List1!$A:$D,4,FALSE),"N/A!")</f>
        <v>3.2543999999999997E-2</v>
      </c>
      <c r="O432" s="836">
        <f>IFERROR(VLOOKUP(C432,[3]List1!$A:$D,3,FALSE),"N/A!")</f>
        <v>1000</v>
      </c>
      <c r="P432" s="836">
        <f>IFERROR(VLOOKUP(C432,[3]List1!$A:$D,2,FALSE),"N/A!")</f>
        <v>9500</v>
      </c>
      <c r="Q432" s="680" t="s">
        <v>13813</v>
      </c>
      <c r="R432" s="680" t="s">
        <v>24</v>
      </c>
      <c r="S432" s="680"/>
      <c r="T432" s="681">
        <v>90</v>
      </c>
      <c r="U432" s="873"/>
      <c r="V432" s="684" t="str">
        <f>_xlfn.IFNA(HYPERLINK("https://www.klasekpyrotechnics.cz/c136xmk-c14"),"")</f>
        <v>https://www.klasekpyrotechnics.cz/c136xmk-c14</v>
      </c>
      <c r="W432" s="685" t="str">
        <f>IFERROR(VLOOKUP($C432,Popisy!A:P,MATCH($W$17,Popisy!$A$7:$P$7,0),FALSE),"---------------")</f>
        <v>28 verschiedenfarbige Effekte</v>
      </c>
      <c r="X432" s="889" t="str">
        <f t="shared" si="79"/>
        <v/>
      </c>
      <c r="Y432" s="890"/>
      <c r="Z432" s="685">
        <f>IFERROR(IF(VLOOKUP(C432,[4]List1!$A:$D,4,FALSE)=0,"",VLOOKUP(C432,[4]List1!$A:$D,4,FALSE)),"")</f>
        <v>32</v>
      </c>
      <c r="AA432" s="707"/>
      <c r="AB432" s="911" t="str">
        <f>IFERROR(IF(VLOOKUP(C432,[1]List1!$A:$D,2,FALSE)="VYPRODÁNO",$V$9,IF(VLOOKUP(C432,[1]List1!$A:$D,2,FALSE)="DOCHÁZÍ",$V$3,VLOOKUP(C432,[1]List1!$A:$D,2,FALSE))),"OFFLINE!")</f>
        <v>SKLADEM</v>
      </c>
      <c r="AC432" s="911" t="str">
        <f ca="1">IF(AO432="NE",$V$10,IF(AB432=$V$3,IF(AP432&lt;1,$V$8,$V$2&amp;" "&amp;AP432&amp;" "&amp;$V$1),IF(AB432="SKLADEM",$V$6,IFERROR(IF(OR(AB432-TODAY()&gt;21,VLOOKUP(C432,[1]List1!$A:$E,4,FALSE)=0),AB432,DAY(AB432)&amp;"."&amp;MONTH(AB432)&amp;"."&amp;YEAR(AB432)&amp;" "&amp;$V$4&amp;VLOOKUP(C432,[1]List1!$A:$E,4,FALSE)&amp;" "&amp;$V$1),AB432))))</f>
        <v>AUF LAGER</v>
      </c>
      <c r="AD432" s="686" t="str">
        <f ca="1">_xlfn.IFNA(VLOOKUP(C432,'General price list'!C:AM,MATCH($AD$20,'General price list'!$C$20:$AM$20,0),FALSE),"")</f>
        <v>AUF LAGER</v>
      </c>
      <c r="AE432" s="681">
        <f t="shared" ca="1" si="80"/>
        <v>0</v>
      </c>
      <c r="AF432" s="681">
        <f t="shared" ca="1" si="81"/>
        <v>0</v>
      </c>
      <c r="AG432" s="687">
        <f t="shared" ca="1" si="82"/>
        <v>0</v>
      </c>
      <c r="AH432" s="688">
        <f t="shared" ca="1" si="83"/>
        <v>0</v>
      </c>
      <c r="AI432" s="687">
        <f t="shared" ca="1" si="84"/>
        <v>0</v>
      </c>
      <c r="AJ432" s="689" t="str">
        <f t="shared" ca="1" si="85"/>
        <v/>
      </c>
      <c r="AK432" s="689" t="str">
        <f t="shared" ca="1" si="86"/>
        <v/>
      </c>
      <c r="AL432" s="689">
        <f t="shared" ca="1" si="87"/>
        <v>0</v>
      </c>
      <c r="AM432" s="690" t="str">
        <f t="shared" ca="1" si="88"/>
        <v/>
      </c>
      <c r="AN432" s="382"/>
      <c r="AO432" s="314" t="str">
        <f>IF($R$3=1,IF(Y432=AA432,"","NE"),IF(#REF!=$V$10,"NE",""))</f>
        <v/>
      </c>
      <c r="AP432" s="315" t="str">
        <f>IF(AB432=$V$3,IF(VLOOKUP(C432,[1]List1!$A:$E,5,FALSE)=0,1,VLOOKUP(C432,[1]List1!$A:$E,5,FALSE)),"")</f>
        <v/>
      </c>
      <c r="AW432" s="458">
        <f>IFERROR(FIND(VLOOKUP('General price list'!$AB$7,'General price list'!$AC$1:$AD$12,2,FALSE),Q432,1),0)</f>
        <v>13</v>
      </c>
      <c r="AX432" s="458">
        <f>IFERROR(FIND(VLOOKUP('General price list'!$AB$7,'General price list'!$AC$1:$AD$12,2,FALSE),R432,1),0)</f>
        <v>0</v>
      </c>
    </row>
    <row r="433" spans="1:50" ht="15" customHeight="1">
      <c r="A433" s="691" t="str">
        <f>Kat.!C433</f>
        <v xml:space="preserve">                                          </v>
      </c>
      <c r="B433" s="692">
        <v>412</v>
      </c>
      <c r="C433" s="693" t="s">
        <v>1539</v>
      </c>
      <c r="D433" s="693" t="s">
        <v>12133</v>
      </c>
      <c r="E433" s="694" t="s">
        <v>129</v>
      </c>
      <c r="F433" s="695">
        <f>VLOOKUP(C433,[2]List1!$A:$D,2,FALSE)</f>
        <v>2957</v>
      </c>
      <c r="G433" s="696">
        <f t="shared" si="77"/>
        <v>2957</v>
      </c>
      <c r="H433" s="697">
        <f t="shared" si="78"/>
        <v>120.3</v>
      </c>
      <c r="I433" s="837">
        <v>1</v>
      </c>
      <c r="J433" s="698" t="s">
        <v>45</v>
      </c>
      <c r="K433" s="856"/>
      <c r="L433" s="857" t="s">
        <v>13841</v>
      </c>
      <c r="M433" s="698" t="s">
        <v>25</v>
      </c>
      <c r="N433" s="869">
        <f>IFERROR(VLOOKUP(C433,[3]List1!$A:$D,4,FALSE),"N/A!")</f>
        <v>3.5751999999999999E-2</v>
      </c>
      <c r="O433" s="837">
        <f>IFERROR(VLOOKUP(C433,[3]List1!$A:$D,3,FALSE),"N/A!")</f>
        <v>1485</v>
      </c>
      <c r="P433" s="837">
        <f>IFERROR(VLOOKUP(C433,[3]List1!$A:$D,2,FALSE),"N/A!")</f>
        <v>11500</v>
      </c>
      <c r="Q433" s="698" t="s">
        <v>12597</v>
      </c>
      <c r="R433" s="698" t="s">
        <v>24</v>
      </c>
      <c r="S433" s="698"/>
      <c r="T433" s="695">
        <v>100</v>
      </c>
      <c r="U433" s="874"/>
      <c r="V433" s="699" t="str">
        <f>_xlfn.IFNA(HYPERLINK("https://www.klasekpyrotechnics.cz/c150mf-c14"),"")</f>
        <v>https://www.klasekpyrotechnics.cz/c150mf-c14</v>
      </c>
      <c r="W433" s="700" t="str">
        <f>IFERROR(VLOOKUP($C433,Popisy!A:P,MATCH($W$17,Popisy!$A$7:$P$7,0),FALSE),"---------------")</f>
        <v>21 verschiedenfarbige Effekte</v>
      </c>
      <c r="X433" s="891" t="str">
        <f t="shared" si="79"/>
        <v/>
      </c>
      <c r="Y433" s="892"/>
      <c r="Z433" s="700">
        <f>IFERROR(IF(VLOOKUP(C433,[4]List1!$A:$D,4,FALSE)=0,"",VLOOKUP(C433,[4]List1!$A:$D,4,FALSE)),"")</f>
        <v>32</v>
      </c>
      <c r="AA433" s="707"/>
      <c r="AB433" s="912" t="str">
        <f>IFERROR(IF(VLOOKUP(C433,[1]List1!$A:$D,2,FALSE)="VYPRODÁNO",$V$9,IF(VLOOKUP(C433,[1]List1!$A:$D,2,FALSE)="DOCHÁZÍ",$V$3,VLOOKUP(C433,[1]List1!$A:$D,2,FALSE))),"OFFLINE!")</f>
        <v>SKLADEM</v>
      </c>
      <c r="AC433" s="912" t="str">
        <f ca="1">IF(AO433="NE",$V$10,IF(AB433=$V$3,IF(AP433&lt;1,$V$8,$V$2&amp;" "&amp;AP433&amp;" "&amp;$V$1),IF(AB433="SKLADEM",$V$6,IFERROR(IF(OR(AB433-TODAY()&gt;21,VLOOKUP(C433,[1]List1!$A:$E,4,FALSE)=0),AB433,DAY(AB433)&amp;"."&amp;MONTH(AB433)&amp;"."&amp;YEAR(AB433)&amp;" "&amp;$V$4&amp;VLOOKUP(C433,[1]List1!$A:$E,4,FALSE)&amp;" "&amp;$V$1),AB433))))</f>
        <v>AUF LAGER</v>
      </c>
      <c r="AD433" s="701">
        <f>_xlfn.IFNA(VLOOKUP(C433,'General price list'!C:AM,MATCH($AD$20,'General price list'!$C$20:$AM$20,0),FALSE),"")</f>
        <v>0</v>
      </c>
      <c r="AE433" s="695">
        <f t="shared" si="80"/>
        <v>0</v>
      </c>
      <c r="AF433" s="695">
        <f t="shared" si="81"/>
        <v>0</v>
      </c>
      <c r="AG433" s="702">
        <f t="shared" si="82"/>
        <v>0</v>
      </c>
      <c r="AH433" s="703">
        <f t="shared" si="83"/>
        <v>0</v>
      </c>
      <c r="AI433" s="702">
        <f t="shared" si="84"/>
        <v>0</v>
      </c>
      <c r="AJ433" s="704" t="str">
        <f t="shared" si="85"/>
        <v/>
      </c>
      <c r="AK433" s="704" t="str">
        <f t="shared" si="86"/>
        <v/>
      </c>
      <c r="AL433" s="704">
        <f t="shared" si="87"/>
        <v>0</v>
      </c>
      <c r="AM433" s="705" t="str">
        <f t="shared" si="88"/>
        <v/>
      </c>
      <c r="AN433" s="313"/>
      <c r="AO433" s="314" t="str">
        <f>IF($R$3=1,IF(Y433=AA433,"","NE"),IF(#REF!=$V$10,"NE",""))</f>
        <v/>
      </c>
      <c r="AP433" s="315" t="str">
        <f>IF(AB433=$V$3,IF(VLOOKUP(C433,[1]List1!$A:$E,5,FALSE)=0,1,VLOOKUP(C433,[1]List1!$A:$E,5,FALSE)),"")</f>
        <v/>
      </c>
      <c r="AW433" s="458">
        <f>IFERROR(FIND(VLOOKUP('General price list'!$AB$7,'General price list'!$AC$1:$AD$12,2,FALSE),Q433,1),0)</f>
        <v>7</v>
      </c>
      <c r="AX433" s="458">
        <f>IFERROR(FIND(VLOOKUP('General price list'!$AB$7,'General price list'!$AC$1:$AD$12,2,FALSE),R433,1),0)</f>
        <v>0</v>
      </c>
    </row>
    <row r="434" spans="1:50" ht="15" customHeight="1">
      <c r="A434" s="677" t="str">
        <f>Kat.!C434</f>
        <v xml:space="preserve">                                          </v>
      </c>
      <c r="B434" s="678">
        <v>413</v>
      </c>
      <c r="C434" s="679" t="s">
        <v>1543</v>
      </c>
      <c r="D434" s="679" t="s">
        <v>12134</v>
      </c>
      <c r="E434" s="680" t="s">
        <v>129</v>
      </c>
      <c r="F434" s="681">
        <f>VLOOKUP(C434,[2]List1!$A:$D,2,FALSE)</f>
        <v>3885</v>
      </c>
      <c r="G434" s="682">
        <f t="shared" si="77"/>
        <v>3885</v>
      </c>
      <c r="H434" s="683">
        <f t="shared" si="78"/>
        <v>158.1</v>
      </c>
      <c r="I434" s="836">
        <v>1</v>
      </c>
      <c r="J434" s="680" t="s">
        <v>45</v>
      </c>
      <c r="K434" s="854"/>
      <c r="L434" s="855" t="s">
        <v>13841</v>
      </c>
      <c r="M434" s="680" t="s">
        <v>25</v>
      </c>
      <c r="N434" s="868">
        <f>IFERROR(VLOOKUP(C434,[3]List1!$A:$D,4,FALSE),"N/A!")</f>
        <v>4.7887999999999993E-2</v>
      </c>
      <c r="O434" s="836">
        <f>IFERROR(VLOOKUP(C434,[3]List1!$A:$D,3,FALSE),"N/A!")</f>
        <v>1980</v>
      </c>
      <c r="P434" s="836">
        <f>IFERROR(VLOOKUP(C434,[3]List1!$A:$D,2,FALSE),"N/A!")</f>
        <v>15800</v>
      </c>
      <c r="Q434" s="680" t="s">
        <v>12597</v>
      </c>
      <c r="R434" s="680" t="s">
        <v>24</v>
      </c>
      <c r="S434" s="680"/>
      <c r="T434" s="681">
        <v>150</v>
      </c>
      <c r="U434" s="873"/>
      <c r="V434" s="684" t="str">
        <f>_xlfn.IFNA(HYPERLINK("https://www.klasekpyrotechnics.cz/c200mf-c14"),"")</f>
        <v>https://www.klasekpyrotechnics.cz/c200mf-c14</v>
      </c>
      <c r="W434" s="685" t="str">
        <f>IFERROR(VLOOKUP($C434,Popisy!A:P,MATCH($W$17,Popisy!$A$7:$P$7,0),FALSE),"---------------")</f>
        <v>14 verschiedenfarbige Effekte</v>
      </c>
      <c r="X434" s="889" t="str">
        <f t="shared" si="79"/>
        <v/>
      </c>
      <c r="Y434" s="890"/>
      <c r="Z434" s="685">
        <f>IFERROR(IF(VLOOKUP(C434,[4]List1!$A:$D,4,FALSE)=0,"",VLOOKUP(C434,[4]List1!$A:$D,4,FALSE)),"")</f>
        <v>24</v>
      </c>
      <c r="AA434" s="707"/>
      <c r="AB434" s="911" t="str">
        <f>IFERROR(IF(VLOOKUP(C434,[1]List1!$A:$D,2,FALSE)="VYPRODÁNO",$V$9,IF(VLOOKUP(C434,[1]List1!$A:$D,2,FALSE)="DOCHÁZÍ",$V$3,VLOOKUP(C434,[1]List1!$A:$D,2,FALSE))),"OFFLINE!")</f>
        <v>30.09.2024</v>
      </c>
      <c r="AC434" s="911" t="str">
        <f ca="1">IF(AO434="NE",$V$10,IF(AB434=$V$3,IF(AP434&lt;1,$V$8,$V$2&amp;" "&amp;AP434&amp;" "&amp;$V$1),IF(AB434="SKLADEM",$V$6,IFERROR(IF(OR(AB434-TODAY()&gt;21,VLOOKUP(C434,[1]List1!$A:$E,4,FALSE)=0),AB434,DAY(AB434)&amp;"."&amp;MONTH(AB434)&amp;"."&amp;YEAR(AB434)&amp;" "&amp;$V$4&amp;VLOOKUP(C434,[1]List1!$A:$E,4,FALSE)&amp;" "&amp;$V$1),AB434))))</f>
        <v>30.09.2024</v>
      </c>
      <c r="AD434" s="686" t="str">
        <f ca="1">_xlfn.IFNA(VLOOKUP(C434,'General price list'!C:AM,MATCH($AD$20,'General price list'!$C$20:$AM$20,0),FALSE),"")</f>
        <v>30.09.2024</v>
      </c>
      <c r="AE434" s="681">
        <f t="shared" ca="1" si="80"/>
        <v>0</v>
      </c>
      <c r="AF434" s="681">
        <f t="shared" ca="1" si="81"/>
        <v>0</v>
      </c>
      <c r="AG434" s="687">
        <f t="shared" ca="1" si="82"/>
        <v>0</v>
      </c>
      <c r="AH434" s="688">
        <f t="shared" ca="1" si="83"/>
        <v>0</v>
      </c>
      <c r="AI434" s="687">
        <f t="shared" ca="1" si="84"/>
        <v>0</v>
      </c>
      <c r="AJ434" s="689" t="str">
        <f t="shared" ca="1" si="85"/>
        <v/>
      </c>
      <c r="AK434" s="689" t="str">
        <f t="shared" ca="1" si="86"/>
        <v/>
      </c>
      <c r="AL434" s="689">
        <f t="shared" ca="1" si="87"/>
        <v>0</v>
      </c>
      <c r="AM434" s="690" t="str">
        <f t="shared" ca="1" si="88"/>
        <v/>
      </c>
      <c r="AN434" s="313"/>
      <c r="AO434" s="314" t="str">
        <f>IF($R$3=1,IF(Y434=AA434,"","NE"),IF(#REF!=$V$10,"NE",""))</f>
        <v/>
      </c>
      <c r="AP434" s="315" t="str">
        <f>IF(AB434=$V$3,IF(VLOOKUP(C434,[1]List1!$A:$E,5,FALSE)=0,1,VLOOKUP(C434,[1]List1!$A:$E,5,FALSE)),"")</f>
        <v/>
      </c>
      <c r="AW434" s="458">
        <f>IFERROR(FIND(VLOOKUP('General price list'!$AB$7,'General price list'!$AC$1:$AD$12,2,FALSE),Q434,1),0)</f>
        <v>7</v>
      </c>
      <c r="AX434" s="458">
        <f>IFERROR(FIND(VLOOKUP('General price list'!$AB$7,'General price list'!$AC$1:$AD$12,2,FALSE),R434,1),0)</f>
        <v>0</v>
      </c>
    </row>
    <row r="435" spans="1:50" ht="15" customHeight="1">
      <c r="A435" s="691" t="str">
        <f>Kat.!C435</f>
        <v xml:space="preserve">                                          </v>
      </c>
      <c r="B435" s="692">
        <v>414</v>
      </c>
      <c r="C435" s="693" t="s">
        <v>2393</v>
      </c>
      <c r="D435" s="693" t="s">
        <v>2394</v>
      </c>
      <c r="E435" s="694" t="s">
        <v>129</v>
      </c>
      <c r="F435" s="695">
        <f>VLOOKUP(C435,[2]List1!$A:$D,2,FALSE)</f>
        <v>3459</v>
      </c>
      <c r="G435" s="696">
        <f t="shared" si="77"/>
        <v>3459</v>
      </c>
      <c r="H435" s="697">
        <f t="shared" si="78"/>
        <v>140.69999999999999</v>
      </c>
      <c r="I435" s="837">
        <v>1</v>
      </c>
      <c r="J435" s="698" t="s">
        <v>45</v>
      </c>
      <c r="K435" s="856">
        <v>5</v>
      </c>
      <c r="L435" s="857" t="s">
        <v>13841</v>
      </c>
      <c r="M435" s="698" t="s">
        <v>25</v>
      </c>
      <c r="N435" s="869">
        <f>IFERROR(VLOOKUP(C435,[3]List1!$A:$D,4,FALSE),"N/A!")</f>
        <v>4.9148749999999998E-2</v>
      </c>
      <c r="O435" s="837">
        <f>IFERROR(VLOOKUP(C435,[3]List1!$A:$D,3,FALSE),"N/A!")</f>
        <v>1500</v>
      </c>
      <c r="P435" s="837">
        <f>IFERROR(VLOOKUP(C435,[3]List1!$A:$D,2,FALSE),"N/A!")</f>
        <v>17000</v>
      </c>
      <c r="Q435" s="698" t="s">
        <v>13813</v>
      </c>
      <c r="R435" s="698" t="s">
        <v>24</v>
      </c>
      <c r="S435" s="698"/>
      <c r="T435" s="695">
        <v>100</v>
      </c>
      <c r="U435" s="874"/>
      <c r="V435" s="699" t="str">
        <f>_xlfn.IFNA(HYPERLINK("https://www.klasekpyrotechnics.cz/c204xmpt-c14"),"")</f>
        <v>https://www.klasekpyrotechnics.cz/c204xmpt-c14</v>
      </c>
      <c r="W435" s="700" t="str">
        <f>IFERROR(VLOOKUP($C435,Popisy!A:P,MATCH($W$17,Popisy!$A$7:$P$7,0),FALSE),"---------------")</f>
        <v>42 verschiedenfarbige Effekte</v>
      </c>
      <c r="X435" s="891" t="str">
        <f t="shared" si="79"/>
        <v/>
      </c>
      <c r="Y435" s="892"/>
      <c r="Z435" s="700">
        <f>IFERROR(IF(VLOOKUP(C435,[4]List1!$A:$D,4,FALSE)=0,"",VLOOKUP(C435,[4]List1!$A:$D,4,FALSE)),"")</f>
        <v>21</v>
      </c>
      <c r="AA435" s="707"/>
      <c r="AB435" s="912" t="str">
        <f>IFERROR(IF(VLOOKUP(C435,[1]List1!$A:$D,2,FALSE)="VYPRODÁNO",$V$9,IF(VLOOKUP(C435,[1]List1!$A:$D,2,FALSE)="DOCHÁZÍ",$V$3,VLOOKUP(C435,[1]List1!$A:$D,2,FALSE))),"OFFLINE!")</f>
        <v>15.09.2024</v>
      </c>
      <c r="AC435" s="912" t="str">
        <f ca="1">IF(AO435="NE",$V$10,IF(AB435=$V$3,IF(AP435&lt;1,$V$8,$V$2&amp;" "&amp;AP435&amp;" "&amp;$V$1),IF(AB435="SKLADEM",$V$6,IFERROR(IF(OR(AB435-TODAY()&gt;21,VLOOKUP(C435,[1]List1!$A:$E,4,FALSE)=0),AB435,DAY(AB435)&amp;"."&amp;MONTH(AB435)&amp;"."&amp;YEAR(AB435)&amp;" "&amp;$V$4&amp;VLOOKUP(C435,[1]List1!$A:$E,4,FALSE)&amp;" "&amp;$V$1),AB435))))</f>
        <v>15.09.2024</v>
      </c>
      <c r="AD435" s="701">
        <f>_xlfn.IFNA(VLOOKUP(C435,'General price list'!C:AM,MATCH($AD$20,'General price list'!$C$20:$AM$20,0),FALSE),"")</f>
        <v>0</v>
      </c>
      <c r="AE435" s="695">
        <f t="shared" si="80"/>
        <v>0</v>
      </c>
      <c r="AF435" s="695">
        <f t="shared" si="81"/>
        <v>0</v>
      </c>
      <c r="AG435" s="702">
        <f t="shared" si="82"/>
        <v>0</v>
      </c>
      <c r="AH435" s="703">
        <f t="shared" si="83"/>
        <v>0</v>
      </c>
      <c r="AI435" s="702">
        <f t="shared" si="84"/>
        <v>0</v>
      </c>
      <c r="AJ435" s="704" t="str">
        <f t="shared" si="85"/>
        <v/>
      </c>
      <c r="AK435" s="704" t="str">
        <f t="shared" si="86"/>
        <v/>
      </c>
      <c r="AL435" s="704">
        <f t="shared" si="87"/>
        <v>0</v>
      </c>
      <c r="AM435" s="705" t="str">
        <f t="shared" si="88"/>
        <v/>
      </c>
      <c r="AN435" s="382"/>
      <c r="AO435" s="314" t="str">
        <f>IF($R$3=1,IF(Y435=AA435,"","NE"),IF(#REF!=$V$10,"NE",""))</f>
        <v/>
      </c>
      <c r="AP435" s="315" t="str">
        <f>IF(AB435=$V$3,IF(VLOOKUP(C435,[1]List1!$A:$E,5,FALSE)=0,1,VLOOKUP(C435,[1]List1!$A:$E,5,FALSE)),"")</f>
        <v/>
      </c>
      <c r="AW435" s="458">
        <f>IFERROR(FIND(VLOOKUP('General price list'!$AB$7,'General price list'!$AC$1:$AD$12,2,FALSE),Q435,1),0)</f>
        <v>13</v>
      </c>
      <c r="AX435" s="458">
        <f>IFERROR(FIND(VLOOKUP('General price list'!$AB$7,'General price list'!$AC$1:$AD$12,2,FALSE),R435,1),0)</f>
        <v>0</v>
      </c>
    </row>
    <row r="436" spans="1:50" ht="15" customHeight="1">
      <c r="A436" s="677" t="str">
        <f>Kat.!C436</f>
        <v xml:space="preserve">                                          </v>
      </c>
      <c r="B436" s="678">
        <v>415</v>
      </c>
      <c r="C436" s="679" t="s">
        <v>2396</v>
      </c>
      <c r="D436" s="679" t="s">
        <v>2397</v>
      </c>
      <c r="E436" s="680" t="s">
        <v>129</v>
      </c>
      <c r="F436" s="681">
        <f>VLOOKUP(C436,[2]List1!$A:$D,2,FALSE)</f>
        <v>4381</v>
      </c>
      <c r="G436" s="682">
        <f t="shared" si="77"/>
        <v>4381</v>
      </c>
      <c r="H436" s="683">
        <f t="shared" si="78"/>
        <v>178.2</v>
      </c>
      <c r="I436" s="836">
        <v>1</v>
      </c>
      <c r="J436" s="680" t="s">
        <v>45</v>
      </c>
      <c r="K436" s="854"/>
      <c r="L436" s="855" t="s">
        <v>13841</v>
      </c>
      <c r="M436" s="680" t="s">
        <v>25</v>
      </c>
      <c r="N436" s="868">
        <f>IFERROR(VLOOKUP(C436,[3]List1!$A:$D,4,FALSE),"N/A!")</f>
        <v>5.2136000000000009E-2</v>
      </c>
      <c r="O436" s="836">
        <f>IFERROR(VLOOKUP(C436,[3]List1!$A:$D,3,FALSE),"N/A!")</f>
        <v>2000</v>
      </c>
      <c r="P436" s="836">
        <f>IFERROR(VLOOKUP(C436,[3]List1!$A:$D,2,FALSE),"N/A!")</f>
        <v>17000</v>
      </c>
      <c r="Q436" s="680" t="s">
        <v>13779</v>
      </c>
      <c r="R436" s="680" t="s">
        <v>24</v>
      </c>
      <c r="S436" s="680"/>
      <c r="T436" s="681">
        <v>130</v>
      </c>
      <c r="U436" s="873"/>
      <c r="V436" s="684" t="str">
        <f>_xlfn.IFNA(HYPERLINK("https://www.klasekpyrotechnics.cz/c223xmk-c14"),"")</f>
        <v>https://www.klasekpyrotechnics.cz/c223xmk-c14</v>
      </c>
      <c r="W436" s="685" t="str">
        <f>IFERROR(VLOOKUP($C436,Popisy!A:P,MATCH($W$17,Popisy!$A$7:$P$7,0),FALSE),"---------------")</f>
        <v>34 verschiedenfarbige Effekte</v>
      </c>
      <c r="X436" s="889" t="str">
        <f t="shared" si="79"/>
        <v/>
      </c>
      <c r="Y436" s="890"/>
      <c r="Z436" s="685">
        <f>IFERROR(IF(VLOOKUP(C436,[4]List1!$A:$D,4,FALSE)=0,"",VLOOKUP(C436,[4]List1!$A:$D,4,FALSE)),"")</f>
        <v>18</v>
      </c>
      <c r="AA436" s="707"/>
      <c r="AB436" s="911" t="str">
        <f>IFERROR(IF(VLOOKUP(C436,[1]List1!$A:$D,2,FALSE)="VYPRODÁNO",$V$9,IF(VLOOKUP(C436,[1]List1!$A:$D,2,FALSE)="DOCHÁZÍ",$V$3,VLOOKUP(C436,[1]List1!$A:$D,2,FALSE))),"OFFLINE!")</f>
        <v>SKLADEM</v>
      </c>
      <c r="AC436" s="911" t="str">
        <f ca="1">IF(AO436="NE",$V$10,IF(AB436=$V$3,IF(AP436&lt;1,$V$8,$V$2&amp;" "&amp;AP436&amp;" "&amp;$V$1),IF(AB436="SKLADEM",$V$6,IFERROR(IF(OR(AB436-TODAY()&gt;21,VLOOKUP(C436,[1]List1!$A:$E,4,FALSE)=0),AB436,DAY(AB436)&amp;"."&amp;MONTH(AB436)&amp;"."&amp;YEAR(AB436)&amp;" "&amp;$V$4&amp;VLOOKUP(C436,[1]List1!$A:$E,4,FALSE)&amp;" "&amp;$V$1),AB436))))</f>
        <v>AUF LAGER</v>
      </c>
      <c r="AD436" s="686" t="str">
        <f ca="1">_xlfn.IFNA(VLOOKUP(C436,'General price list'!C:AM,MATCH($AD$20,'General price list'!$C$20:$AM$20,0),FALSE),"")</f>
        <v>AUF LAGER</v>
      </c>
      <c r="AE436" s="681">
        <f t="shared" ca="1" si="80"/>
        <v>0</v>
      </c>
      <c r="AF436" s="681">
        <f t="shared" ca="1" si="81"/>
        <v>0</v>
      </c>
      <c r="AG436" s="687">
        <f t="shared" ca="1" si="82"/>
        <v>0</v>
      </c>
      <c r="AH436" s="688">
        <f t="shared" ca="1" si="83"/>
        <v>0</v>
      </c>
      <c r="AI436" s="687">
        <f t="shared" ca="1" si="84"/>
        <v>0</v>
      </c>
      <c r="AJ436" s="689" t="str">
        <f t="shared" ca="1" si="85"/>
        <v/>
      </c>
      <c r="AK436" s="689" t="str">
        <f t="shared" ca="1" si="86"/>
        <v/>
      </c>
      <c r="AL436" s="689">
        <f t="shared" ca="1" si="87"/>
        <v>0</v>
      </c>
      <c r="AM436" s="690" t="str">
        <f t="shared" ca="1" si="88"/>
        <v/>
      </c>
      <c r="AN436" s="382"/>
      <c r="AO436" s="314" t="str">
        <f>IF($R$3=1,IF(Y436=AA436,"","NE"),IF(#REF!=$V$10,"NE",""))</f>
        <v/>
      </c>
      <c r="AP436" s="315" t="str">
        <f>IF(AB436=$V$3,IF(VLOOKUP(C436,[1]List1!$A:$E,5,FALSE)=0,1,VLOOKUP(C436,[1]List1!$A:$E,5,FALSE)),"")</f>
        <v/>
      </c>
      <c r="AW436" s="458">
        <f>IFERROR(FIND(VLOOKUP('General price list'!$AB$7,'General price list'!$AC$1:$AD$12,2,FALSE),Q436,1),0)</f>
        <v>13</v>
      </c>
      <c r="AX436" s="458">
        <f>IFERROR(FIND(VLOOKUP('General price list'!$AB$7,'General price list'!$AC$1:$AD$12,2,FALSE),R436,1),0)</f>
        <v>0</v>
      </c>
    </row>
    <row r="437" spans="1:50" ht="15" customHeight="1">
      <c r="A437" s="672" t="str">
        <f>Kat.!C437</f>
        <v xml:space="preserve">                                          Kugelbomben 50mm</v>
      </c>
      <c r="B437" s="692">
        <v>416</v>
      </c>
      <c r="C437" s="693"/>
      <c r="D437" s="693"/>
      <c r="E437" s="694"/>
      <c r="F437" s="695" t="str">
        <f>IFERROR(ROUND(VLOOKUP(C437,'General price list'!$C:$AN,4,FALSE),0),"")</f>
        <v/>
      </c>
      <c r="G437" s="696" t="str">
        <f t="shared" si="77"/>
        <v/>
      </c>
      <c r="H437" s="697" t="str">
        <f t="shared" si="78"/>
        <v/>
      </c>
      <c r="I437" s="837"/>
      <c r="J437" s="698"/>
      <c r="K437" s="856"/>
      <c r="L437" s="857"/>
      <c r="M437" s="698"/>
      <c r="N437" s="869" t="str">
        <f>IFERROR(IF(VLOOKUP($C437,'General price list'!$C:$AN,MATCH(N$20,'General price list'!$C$20:$AM$20,0),FALSE)=0,"",VLOOKUP($C437,'General price list'!$C:$AN,MATCH(N$20,'General price list'!$C$20:$AM$20,0),FALSE)),"")</f>
        <v/>
      </c>
      <c r="O437" s="837" t="str">
        <f>IFERROR(IF(VLOOKUP($C437,'General price list'!$C:$AN,MATCH(O$20,'General price list'!$C$20:$AM$20,0),FALSE)=0,"",VLOOKUP($C437,'General price list'!$C:$AN,MATCH(O$20,'General price list'!$C$20:$AM$20,0),FALSE)),"")</f>
        <v/>
      </c>
      <c r="P437" s="837" t="str">
        <f>IFERROR(IF(VLOOKUP($C437,'General price list'!$C:$AN,MATCH(P$20,'General price list'!$C$20:$AM$20,0),FALSE)=0,"",VLOOKUP($C437,'General price list'!$C:$AN,MATCH(P$20,'General price list'!$C$20:$AM$20,0),FALSE)),"")</f>
        <v/>
      </c>
      <c r="Q437" s="698"/>
      <c r="R437" s="698"/>
      <c r="S437" s="698"/>
      <c r="T437" s="695"/>
      <c r="U437" s="874"/>
      <c r="V437" s="699"/>
      <c r="W437" s="700" t="str">
        <f>IFERROR(VLOOKUP($C437,'General price list'!$C:$AN,MATCH(W$20,'General price list'!$C$20:$AM$20,0),FALSE),"")</f>
        <v/>
      </c>
      <c r="X437" s="891" t="str">
        <f t="shared" si="79"/>
        <v/>
      </c>
      <c r="Y437" s="892"/>
      <c r="Z437" s="700" t="str">
        <f>IFERROR(VLOOKUP($C437,'General price list'!$C:$AN,MATCH(Z$20,'General price list'!$C$20:$AM$20,0),FALSE),"")</f>
        <v/>
      </c>
      <c r="AA437" s="707"/>
      <c r="AB437" s="912" t="str">
        <f>IFERROR(IF(VLOOKUP(C437,[1]List1!$A:$D,2,FALSE)="VYPRODÁNO",$V$9,IF(VLOOKUP(C437,[1]List1!$A:$D,2,FALSE)="DOCHÁZÍ",$V$3,VLOOKUP(C437,[1]List1!$A:$D,2,FALSE))),"OFFLINE!")</f>
        <v>OFFLINE!</v>
      </c>
      <c r="AC437" s="912" t="str">
        <f ca="1">IF(AO437="NE",$V$10,IF(AB437=$V$3,IF(AP437&lt;1,$V$8,$V$2&amp;" "&amp;AP437&amp;" "&amp;$V$1),IF(AB437="SKLADEM",$V$6,IFERROR(IF(OR(AB437-TODAY()&gt;21,VLOOKUP(C437,[1]List1!$A:$E,4,FALSE)=0),AB437,DAY(AB437)&amp;"."&amp;MONTH(AB437)&amp;"."&amp;YEAR(AB437)&amp;" "&amp;$V$4&amp;VLOOKUP(C437,[1]List1!$A:$E,4,FALSE)&amp;" "&amp;$V$1),AB437))))</f>
        <v>OFFLINE!</v>
      </c>
      <c r="AD437" s="701" t="str">
        <f>_xlfn.IFNA(VLOOKUP(C437,'General price list'!C:AM,MATCH($AD$20,'General price list'!$C$20:$AM$20,0),FALSE),"")</f>
        <v/>
      </c>
      <c r="AE437" s="695" t="str">
        <f t="shared" si="80"/>
        <v/>
      </c>
      <c r="AF437" s="695" t="str">
        <f t="shared" si="81"/>
        <v/>
      </c>
      <c r="AG437" s="702" t="str">
        <f t="shared" si="82"/>
        <v/>
      </c>
      <c r="AH437" s="703" t="str">
        <f t="shared" si="83"/>
        <v/>
      </c>
      <c r="AI437" s="702" t="str">
        <f t="shared" si="84"/>
        <v/>
      </c>
      <c r="AJ437" s="704" t="str">
        <f t="shared" si="85"/>
        <v/>
      </c>
      <c r="AK437" s="704" t="str">
        <f t="shared" si="86"/>
        <v/>
      </c>
      <c r="AL437" s="704" t="str">
        <f t="shared" si="87"/>
        <v/>
      </c>
      <c r="AM437" s="705" t="str">
        <f t="shared" si="88"/>
        <v/>
      </c>
      <c r="AN437" s="313"/>
      <c r="AO437" s="314" t="str">
        <f>IF($R$3=1,IF(Y437=AA437,"","NE"),IF(#REF!=$V$10,"NE",""))</f>
        <v/>
      </c>
      <c r="AP437" s="315" t="str">
        <f>IF(AB437=$V$3,IF(VLOOKUP(C437,[1]List1!$A:$E,5,FALSE)=0,1,VLOOKUP(C437,[1]List1!$A:$E,5,FALSE)),"")</f>
        <v/>
      </c>
      <c r="AW437" s="291" t="e">
        <f>VLOOKUP(C437,'General price list'!C:AU,46,FALSE)</f>
        <v>#N/A</v>
      </c>
      <c r="AX437" s="291" t="e">
        <f>VLOOKUP(C437,'General price list'!C:AU,47,FALSE)</f>
        <v>#N/A</v>
      </c>
    </row>
    <row r="438" spans="1:50" ht="15" customHeight="1">
      <c r="A438" s="677" t="str">
        <f>Kat.!C438</f>
        <v xml:space="preserve">                                          </v>
      </c>
      <c r="B438" s="678">
        <v>417</v>
      </c>
      <c r="C438" s="679" t="s">
        <v>1846</v>
      </c>
      <c r="D438" s="679" t="s">
        <v>1847</v>
      </c>
      <c r="E438" s="680" t="s">
        <v>616</v>
      </c>
      <c r="F438" s="681">
        <f>VLOOKUP(C438,[2]List1!$A:$D,2,FALSE)</f>
        <v>1049</v>
      </c>
      <c r="G438" s="682">
        <f t="shared" si="77"/>
        <v>1049</v>
      </c>
      <c r="H438" s="683">
        <f t="shared" si="78"/>
        <v>42.7</v>
      </c>
      <c r="I438" s="836">
        <v>12</v>
      </c>
      <c r="J438" s="680" t="s">
        <v>678</v>
      </c>
      <c r="K438" s="854"/>
      <c r="L438" s="855" t="s">
        <v>13863</v>
      </c>
      <c r="M438" s="680" t="s">
        <v>131</v>
      </c>
      <c r="N438" s="868">
        <f>IFERROR(VLOOKUP(C438,[3]List1!$A:$D,4,FALSE),"N/A!")</f>
        <v>4.0500000000000008E-2</v>
      </c>
      <c r="O438" s="836">
        <f>IFERROR(VLOOKUP(C438,[3]List1!$A:$D,3,FALSE),"N/A!")</f>
        <v>7200</v>
      </c>
      <c r="P438" s="836">
        <f>IFERROR(VLOOKUP(C438,[3]List1!$A:$D,2,FALSE),"N/A!")</f>
        <v>12000</v>
      </c>
      <c r="Q438" s="680" t="s">
        <v>150</v>
      </c>
      <c r="R438" s="680" t="s">
        <v>18</v>
      </c>
      <c r="S438" s="680"/>
      <c r="T438" s="681"/>
      <c r="U438" s="873"/>
      <c r="V438" s="684" t="str">
        <f>_xlfn.IFNA(HYPERLINK("https://www.klasekpyrotechnics.cz/s2m"),"")</f>
        <v>https://www.klasekpyrotechnics.cz/s2m</v>
      </c>
      <c r="W438" s="685" t="str">
        <f>IFERROR(VLOOKUP($C438,Popisy!A:P,MATCH($W$17,Popisy!$A$7:$P$7,0),FALSE),"---------------")</f>
        <v>Mixed carton contains 1pack of S2A,B,D,E,F,G,H,CH,J,L,N,O</v>
      </c>
      <c r="X438" s="889" t="str">
        <f t="shared" si="79"/>
        <v/>
      </c>
      <c r="Y438" s="890"/>
      <c r="Z438" s="685" t="str">
        <f>IFERROR(IF(VLOOKUP(C438,[4]List1!$A:$D,4,FALSE)=0,"",VLOOKUP(C438,[4]List1!$A:$D,4,FALSE)),"")</f>
        <v>23</v>
      </c>
      <c r="AA438" s="707"/>
      <c r="AB438" s="911" t="str">
        <f>IFERROR(IF(VLOOKUP(C438,[1]List1!$A:$D,2,FALSE)="VYPRODÁNO",$V$9,IF(VLOOKUP(C438,[1]List1!$A:$D,2,FALSE)="DOCHÁZÍ",$V$3,VLOOKUP(C438,[1]List1!$A:$D,2,FALSE))),"OFFLINE!")</f>
        <v>15.09.2024</v>
      </c>
      <c r="AC438" s="911" t="str">
        <f ca="1">IF(AO438="NE",$V$10,IF(AB438=$V$3,IF(AP438&lt;1,$V$8,$V$2&amp;" "&amp;AP438&amp;" "&amp;$V$1),IF(AB438="SKLADEM",$V$6,IFERROR(IF(OR(AB438-TODAY()&gt;21,VLOOKUP(C438,[1]List1!$A:$E,4,FALSE)=0),AB438,DAY(AB438)&amp;"."&amp;MONTH(AB438)&amp;"."&amp;YEAR(AB438)&amp;" "&amp;$V$4&amp;VLOOKUP(C438,[1]List1!$A:$E,4,FALSE)&amp;" "&amp;$V$1),AB438))))</f>
        <v>15.09.2024</v>
      </c>
      <c r="AD438" s="686">
        <f>_xlfn.IFNA(VLOOKUP(C438,'General price list'!C:AM,MATCH($AD$20,'General price list'!$C$20:$AM$20,0),FALSE),"")</f>
        <v>0</v>
      </c>
      <c r="AE438" s="681">
        <f t="shared" si="80"/>
        <v>0</v>
      </c>
      <c r="AF438" s="681">
        <f t="shared" si="81"/>
        <v>0</v>
      </c>
      <c r="AG438" s="687">
        <f t="shared" si="82"/>
        <v>0</v>
      </c>
      <c r="AH438" s="688">
        <f t="shared" si="83"/>
        <v>0</v>
      </c>
      <c r="AI438" s="687">
        <f t="shared" si="84"/>
        <v>0</v>
      </c>
      <c r="AJ438" s="689" t="str">
        <f t="shared" si="85"/>
        <v/>
      </c>
      <c r="AK438" s="689">
        <f t="shared" si="86"/>
        <v>0</v>
      </c>
      <c r="AL438" s="689" t="str">
        <f t="shared" si="87"/>
        <v/>
      </c>
      <c r="AM438" s="690" t="str">
        <f t="shared" si="88"/>
        <v/>
      </c>
      <c r="AN438" s="382"/>
      <c r="AO438" s="314" t="str">
        <f>IF($R$3=1,IF(Y438=AA438,"","NE"),IF(#REF!=$V$10,"NE",""))</f>
        <v/>
      </c>
      <c r="AP438" s="315" t="str">
        <f>IF(AB438=$V$3,IF(VLOOKUP(C438,[1]List1!$A:$E,5,FALSE)=0,1,VLOOKUP(C438,[1]List1!$A:$E,5,FALSE)),"")</f>
        <v/>
      </c>
      <c r="AW438" s="458">
        <f>IFERROR(FIND(VLOOKUP('General price list'!$AB$7,'General price list'!$AC$1:$AD$12,2,FALSE),Q438,1),0)</f>
        <v>10</v>
      </c>
      <c r="AX438" s="458">
        <f>IFERROR(FIND(VLOOKUP('General price list'!$AB$7,'General price list'!$AC$1:$AD$12,2,FALSE),R438,1),0)</f>
        <v>0</v>
      </c>
    </row>
    <row r="439" spans="1:50" ht="15" customHeight="1">
      <c r="A439" s="672" t="str">
        <f>Kat.!C439</f>
        <v xml:space="preserve">                                          Kugelbomben 75 mm, Prämienqualität</v>
      </c>
      <c r="B439" s="692">
        <v>418</v>
      </c>
      <c r="C439" s="693"/>
      <c r="D439" s="693"/>
      <c r="E439" s="694"/>
      <c r="F439" s="695" t="str">
        <f>IFERROR(ROUND(VLOOKUP(C439,'General price list'!$C:$AN,4,FALSE),0),"")</f>
        <v/>
      </c>
      <c r="G439" s="696" t="str">
        <f t="shared" si="77"/>
        <v/>
      </c>
      <c r="H439" s="697" t="str">
        <f t="shared" si="78"/>
        <v/>
      </c>
      <c r="I439" s="837"/>
      <c r="J439" s="698"/>
      <c r="K439" s="856"/>
      <c r="L439" s="857"/>
      <c r="M439" s="698"/>
      <c r="N439" s="869" t="str">
        <f>IFERROR(IF(VLOOKUP($C439,'General price list'!$C:$AN,MATCH(N$20,'General price list'!$C$20:$AM$20,0),FALSE)=0,"",VLOOKUP($C439,'General price list'!$C:$AN,MATCH(N$20,'General price list'!$C$20:$AM$20,0),FALSE)),"")</f>
        <v/>
      </c>
      <c r="O439" s="837" t="str">
        <f>IFERROR(IF(VLOOKUP($C439,'General price list'!$C:$AN,MATCH(O$20,'General price list'!$C$20:$AM$20,0),FALSE)=0,"",VLOOKUP($C439,'General price list'!$C:$AN,MATCH(O$20,'General price list'!$C$20:$AM$20,0),FALSE)),"")</f>
        <v/>
      </c>
      <c r="P439" s="837" t="str">
        <f>IFERROR(IF(VLOOKUP($C439,'General price list'!$C:$AN,MATCH(P$20,'General price list'!$C$20:$AM$20,0),FALSE)=0,"",VLOOKUP($C439,'General price list'!$C:$AN,MATCH(P$20,'General price list'!$C$20:$AM$20,0),FALSE)),"")</f>
        <v/>
      </c>
      <c r="Q439" s="698"/>
      <c r="R439" s="698"/>
      <c r="S439" s="698"/>
      <c r="T439" s="695"/>
      <c r="U439" s="874"/>
      <c r="V439" s="699"/>
      <c r="W439" s="700" t="str">
        <f>IFERROR(VLOOKUP($C439,'General price list'!$C:$AN,MATCH(W$20,'General price list'!$C$20:$AM$20,0),FALSE),"")</f>
        <v/>
      </c>
      <c r="X439" s="891" t="str">
        <f t="shared" si="79"/>
        <v/>
      </c>
      <c r="Y439" s="892"/>
      <c r="Z439" s="700" t="str">
        <f>IFERROR(VLOOKUP($C439,'General price list'!$C:$AN,MATCH(Z$20,'General price list'!$C$20:$AM$20,0),FALSE),"")</f>
        <v/>
      </c>
      <c r="AA439" s="707"/>
      <c r="AB439" s="912" t="str">
        <f>IFERROR(IF(VLOOKUP(C439,[1]List1!$A:$D,2,FALSE)="VYPRODÁNO",$V$9,IF(VLOOKUP(C439,[1]List1!$A:$D,2,FALSE)="DOCHÁZÍ",$V$3,VLOOKUP(C439,[1]List1!$A:$D,2,FALSE))),"OFFLINE!")</f>
        <v>OFFLINE!</v>
      </c>
      <c r="AC439" s="912" t="str">
        <f ca="1">IF(AO439="NE",$V$10,IF(AB439=$V$3,IF(AP439&lt;1,$V$8,$V$2&amp;" "&amp;AP439&amp;" "&amp;$V$1),IF(AB439="SKLADEM",$V$6,IFERROR(IF(OR(AB439-TODAY()&gt;21,VLOOKUP(C439,[1]List1!$A:$E,4,FALSE)=0),AB439,DAY(AB439)&amp;"."&amp;MONTH(AB439)&amp;"."&amp;YEAR(AB439)&amp;" "&amp;$V$4&amp;VLOOKUP(C439,[1]List1!$A:$E,4,FALSE)&amp;" "&amp;$V$1),AB439))))</f>
        <v>OFFLINE!</v>
      </c>
      <c r="AD439" s="701" t="str">
        <f>_xlfn.IFNA(VLOOKUP(C439,'General price list'!C:AM,MATCH($AD$20,'General price list'!$C$20:$AM$20,0),FALSE),"")</f>
        <v/>
      </c>
      <c r="AE439" s="695" t="str">
        <f t="shared" si="80"/>
        <v/>
      </c>
      <c r="AF439" s="695" t="str">
        <f t="shared" si="81"/>
        <v/>
      </c>
      <c r="AG439" s="702" t="str">
        <f t="shared" si="82"/>
        <v/>
      </c>
      <c r="AH439" s="703" t="str">
        <f t="shared" si="83"/>
        <v/>
      </c>
      <c r="AI439" s="702" t="str">
        <f t="shared" si="84"/>
        <v/>
      </c>
      <c r="AJ439" s="704" t="str">
        <f t="shared" si="85"/>
        <v/>
      </c>
      <c r="AK439" s="704" t="str">
        <f t="shared" si="86"/>
        <v/>
      </c>
      <c r="AL439" s="704" t="str">
        <f t="shared" si="87"/>
        <v/>
      </c>
      <c r="AM439" s="705" t="str">
        <f t="shared" si="88"/>
        <v/>
      </c>
      <c r="AN439" s="382"/>
      <c r="AO439" s="314" t="str">
        <f>IF($R$3=1,IF(Y439=AA439,"","NE"),IF(#REF!=$V$10,"NE",""))</f>
        <v/>
      </c>
      <c r="AP439" s="315" t="str">
        <f>IF(AB439=$V$3,IF(VLOOKUP(C439,[1]List1!$A:$E,5,FALSE)=0,1,VLOOKUP(C439,[1]List1!$A:$E,5,FALSE)),"")</f>
        <v/>
      </c>
      <c r="AW439" s="291" t="e">
        <f>VLOOKUP(C439,'General price list'!C:AU,46,FALSE)</f>
        <v>#N/A</v>
      </c>
      <c r="AX439" s="291" t="e">
        <f>VLOOKUP(C439,'General price list'!C:AU,47,FALSE)</f>
        <v>#N/A</v>
      </c>
    </row>
    <row r="440" spans="1:50" ht="15" customHeight="1">
      <c r="A440" s="677" t="str">
        <f>Kat.!C440</f>
        <v xml:space="preserve">                                          </v>
      </c>
      <c r="B440" s="678">
        <v>419</v>
      </c>
      <c r="C440" s="679" t="s">
        <v>1876</v>
      </c>
      <c r="D440" s="679" t="s">
        <v>1851</v>
      </c>
      <c r="E440" s="680" t="s">
        <v>677</v>
      </c>
      <c r="F440" s="681">
        <f>VLOOKUP(C440,[2]List1!$A:$D,2,FALSE)</f>
        <v>1006</v>
      </c>
      <c r="G440" s="682">
        <f t="shared" si="77"/>
        <v>1006</v>
      </c>
      <c r="H440" s="683">
        <f t="shared" si="78"/>
        <v>40.9</v>
      </c>
      <c r="I440" s="836">
        <v>12</v>
      </c>
      <c r="J440" s="680" t="s">
        <v>678</v>
      </c>
      <c r="K440" s="854"/>
      <c r="L440" s="855" t="s">
        <v>13863</v>
      </c>
      <c r="M440" s="680" t="s">
        <v>131</v>
      </c>
      <c r="N440" s="868">
        <f>IFERROR(VLOOKUP(C440,[3]List1!$A:$D,4,FALSE),"N/A!")</f>
        <v>5.0625000000000003E-2</v>
      </c>
      <c r="O440" s="836">
        <f>IFERROR(VLOOKUP(C440,[3]List1!$A:$D,3,FALSE),"N/A!")</f>
        <v>10800</v>
      </c>
      <c r="P440" s="836">
        <f>IFERROR(VLOOKUP(C440,[3]List1!$A:$D,2,FALSE),"N/A!")</f>
        <v>15500</v>
      </c>
      <c r="Q440" s="680" t="s">
        <v>150</v>
      </c>
      <c r="R440" s="680" t="s">
        <v>18</v>
      </c>
      <c r="S440" s="680"/>
      <c r="T440" s="681"/>
      <c r="U440" s="873"/>
      <c r="V440" s="684" t="str">
        <f>_xlfn.IFNA(HYPERLINK("https://www.klasekpyrotechnics.cz/s3f-p"),"")</f>
        <v>https://www.klasekpyrotechnics.cz/s3f-p</v>
      </c>
      <c r="W440" s="685" t="str">
        <f>IFERROR(VLOOKUP($C440,Popisy!A:P,MATCH($W$17,Popisy!$A$7:$P$7,0),FALSE),"---------------")</f>
        <v>delay cracker willow</v>
      </c>
      <c r="X440" s="889" t="str">
        <f t="shared" si="79"/>
        <v/>
      </c>
      <c r="Y440" s="890"/>
      <c r="Z440" s="685" t="str">
        <f>IFERROR(IF(VLOOKUP(C440,[4]List1!$A:$D,4,FALSE)=0,"",VLOOKUP(C440,[4]List1!$A:$D,4,FALSE)),"")</f>
        <v>21</v>
      </c>
      <c r="AA440" s="707"/>
      <c r="AB440" s="911" t="str">
        <f>IFERROR(IF(VLOOKUP(C440,[1]List1!$A:$D,2,FALSE)="VYPRODÁNO",$V$9,IF(VLOOKUP(C440,[1]List1!$A:$D,2,FALSE)="DOCHÁZÍ",$V$3,VLOOKUP(C440,[1]List1!$A:$D,2,FALSE))),"OFFLINE!")</f>
        <v>15.08.2024</v>
      </c>
      <c r="AC440" s="911" t="str">
        <f ca="1">IF(AO440="NE",$V$10,IF(AB440=$V$3,IF(AP440&lt;1,$V$8,$V$2&amp;" "&amp;AP440&amp;" "&amp;$V$1),IF(AB440="SKLADEM",$V$6,IFERROR(IF(OR(AB440-TODAY()&gt;21,VLOOKUP(C440,[1]List1!$A:$E,4,FALSE)=0),AB440,DAY(AB440)&amp;"."&amp;MONTH(AB440)&amp;"."&amp;YEAR(AB440)&amp;" "&amp;$V$4&amp;VLOOKUP(C440,[1]List1!$A:$E,4,FALSE)&amp;" "&amp;$V$1),AB440))))</f>
        <v>15.08.2024</v>
      </c>
      <c r="AD440" s="686" t="str">
        <f ca="1">_xlfn.IFNA(VLOOKUP(C440,'General price list'!C:AM,MATCH($AD$20,'General price list'!$C$20:$AM$20,0),FALSE),"")</f>
        <v>15.08.2024</v>
      </c>
      <c r="AE440" s="681">
        <f t="shared" ca="1" si="80"/>
        <v>0</v>
      </c>
      <c r="AF440" s="681">
        <f t="shared" ca="1" si="81"/>
        <v>0</v>
      </c>
      <c r="AG440" s="687">
        <f t="shared" ca="1" si="82"/>
        <v>0</v>
      </c>
      <c r="AH440" s="688">
        <f t="shared" ca="1" si="83"/>
        <v>0</v>
      </c>
      <c r="AI440" s="687">
        <f t="shared" ca="1" si="84"/>
        <v>0</v>
      </c>
      <c r="AJ440" s="689" t="str">
        <f t="shared" ca="1" si="85"/>
        <v/>
      </c>
      <c r="AK440" s="689">
        <f t="shared" ca="1" si="86"/>
        <v>0</v>
      </c>
      <c r="AL440" s="689" t="str">
        <f t="shared" ca="1" si="87"/>
        <v/>
      </c>
      <c r="AM440" s="690" t="str">
        <f t="shared" ca="1" si="88"/>
        <v/>
      </c>
      <c r="AN440" s="382"/>
      <c r="AO440" s="314" t="str">
        <f>IF($R$3=1,IF(Y440=AA440,"","NE"),IF(#REF!=$V$10,"NE",""))</f>
        <v/>
      </c>
      <c r="AP440" s="315" t="str">
        <f>IF(AB440=$V$3,IF(VLOOKUP(C440,[1]List1!$A:$E,5,FALSE)=0,1,VLOOKUP(C440,[1]List1!$A:$E,5,FALSE)),"")</f>
        <v/>
      </c>
      <c r="AW440" s="458">
        <f>IFERROR(FIND(VLOOKUP('General price list'!$AB$7,'General price list'!$AC$1:$AD$12,2,FALSE),Q440,1),0)</f>
        <v>10</v>
      </c>
      <c r="AX440" s="458">
        <f>IFERROR(FIND(VLOOKUP('General price list'!$AB$7,'General price list'!$AC$1:$AD$12,2,FALSE),R440,1),0)</f>
        <v>0</v>
      </c>
    </row>
    <row r="441" spans="1:50" ht="15" customHeight="1">
      <c r="A441" s="691" t="str">
        <f>Kat.!C441</f>
        <v xml:space="preserve">                                          </v>
      </c>
      <c r="B441" s="692">
        <v>420</v>
      </c>
      <c r="C441" s="693" t="s">
        <v>1879</v>
      </c>
      <c r="D441" s="693" t="s">
        <v>1854</v>
      </c>
      <c r="E441" s="694" t="s">
        <v>677</v>
      </c>
      <c r="F441" s="695">
        <f>VLOOKUP(C441,[2]List1!$A:$D,2,FALSE)</f>
        <v>1029</v>
      </c>
      <c r="G441" s="696">
        <f t="shared" si="77"/>
        <v>1029</v>
      </c>
      <c r="H441" s="697">
        <f t="shared" si="78"/>
        <v>41.9</v>
      </c>
      <c r="I441" s="837">
        <v>12</v>
      </c>
      <c r="J441" s="698" t="s">
        <v>678</v>
      </c>
      <c r="K441" s="856"/>
      <c r="L441" s="857" t="s">
        <v>13863</v>
      </c>
      <c r="M441" s="698" t="s">
        <v>131</v>
      </c>
      <c r="N441" s="869">
        <f>IFERROR(VLOOKUP(C441,[3]List1!$A:$D,4,FALSE),"N/A!")</f>
        <v>5.0625000000000003E-2</v>
      </c>
      <c r="O441" s="837">
        <f>IFERROR(VLOOKUP(C441,[3]List1!$A:$D,3,FALSE),"N/A!")</f>
        <v>10800</v>
      </c>
      <c r="P441" s="837">
        <f>IFERROR(VLOOKUP(C441,[3]List1!$A:$D,2,FALSE),"N/A!")</f>
        <v>15100</v>
      </c>
      <c r="Q441" s="698" t="s">
        <v>150</v>
      </c>
      <c r="R441" s="698" t="s">
        <v>18</v>
      </c>
      <c r="S441" s="698"/>
      <c r="T441" s="695"/>
      <c r="U441" s="874"/>
      <c r="V441" s="699" t="str">
        <f>_xlfn.IFNA(HYPERLINK("https://www.klasekpyrotechnics.cz/s3ia-p"),"")</f>
        <v>https://www.klasekpyrotechnics.cz/s3ia-p</v>
      </c>
      <c r="W441" s="700" t="str">
        <f>IFERROR(VLOOKUP($C441,Popisy!A:P,MATCH($W$17,Popisy!$A$7:$P$7,0),FALSE),"---------------")</f>
        <v>golden Ti-willow</v>
      </c>
      <c r="X441" s="891" t="str">
        <f t="shared" si="79"/>
        <v/>
      </c>
      <c r="Y441" s="892"/>
      <c r="Z441" s="700" t="str">
        <f>IFERROR(IF(VLOOKUP(C441,[4]List1!$A:$D,4,FALSE)=0,"",VLOOKUP(C441,[4]List1!$A:$D,4,FALSE)),"")</f>
        <v>21</v>
      </c>
      <c r="AA441" s="707"/>
      <c r="AB441" s="912" t="str">
        <f>IFERROR(IF(VLOOKUP(C441,[1]List1!$A:$D,2,FALSE)="VYPRODÁNO",$V$9,IF(VLOOKUP(C441,[1]List1!$A:$D,2,FALSE)="DOCHÁZÍ",$V$3,VLOOKUP(C441,[1]List1!$A:$D,2,FALSE))),"OFFLINE!")</f>
        <v>SKLADEM</v>
      </c>
      <c r="AC441" s="912" t="str">
        <f ca="1">IF(AO441="NE",$V$10,IF(AB441=$V$3,IF(AP441&lt;1,$V$8,$V$2&amp;" "&amp;AP441&amp;" "&amp;$V$1),IF(AB441="SKLADEM",$V$6,IFERROR(IF(OR(AB441-TODAY()&gt;21,VLOOKUP(C441,[1]List1!$A:$E,4,FALSE)=0),AB441,DAY(AB441)&amp;"."&amp;MONTH(AB441)&amp;"."&amp;YEAR(AB441)&amp;" "&amp;$V$4&amp;VLOOKUP(C441,[1]List1!$A:$E,4,FALSE)&amp;" "&amp;$V$1),AB441))))</f>
        <v>AUF LAGER</v>
      </c>
      <c r="AD441" s="701" t="str">
        <f ca="1">_xlfn.IFNA(VLOOKUP(C441,'General price list'!C:AM,MATCH($AD$20,'General price list'!$C$20:$AM$20,0),FALSE),"")</f>
        <v>AUF LAGER</v>
      </c>
      <c r="AE441" s="695">
        <f t="shared" ca="1" si="80"/>
        <v>0</v>
      </c>
      <c r="AF441" s="695">
        <f t="shared" ca="1" si="81"/>
        <v>0</v>
      </c>
      <c r="AG441" s="702">
        <f t="shared" ca="1" si="82"/>
        <v>0</v>
      </c>
      <c r="AH441" s="703">
        <f t="shared" ca="1" si="83"/>
        <v>0</v>
      </c>
      <c r="AI441" s="702">
        <f t="shared" ca="1" si="84"/>
        <v>0</v>
      </c>
      <c r="AJ441" s="704" t="str">
        <f t="shared" ca="1" si="85"/>
        <v/>
      </c>
      <c r="AK441" s="704">
        <f t="shared" ca="1" si="86"/>
        <v>0</v>
      </c>
      <c r="AL441" s="704" t="str">
        <f t="shared" ca="1" si="87"/>
        <v/>
      </c>
      <c r="AM441" s="705" t="str">
        <f t="shared" ca="1" si="88"/>
        <v/>
      </c>
      <c r="AN441" s="382"/>
      <c r="AO441" s="314" t="str">
        <f>IF($R$3=1,IF(Y441=AA441,"","NE"),IF(#REF!=$V$10,"NE",""))</f>
        <v/>
      </c>
      <c r="AP441" s="315" t="str">
        <f>IF(AB441=$V$3,IF(VLOOKUP(C441,[1]List1!$A:$E,5,FALSE)=0,1,VLOOKUP(C441,[1]List1!$A:$E,5,FALSE)),"")</f>
        <v/>
      </c>
      <c r="AW441" s="458">
        <f>IFERROR(FIND(VLOOKUP('General price list'!$AB$7,'General price list'!$AC$1:$AD$12,2,FALSE),Q441,1),0)</f>
        <v>10</v>
      </c>
      <c r="AX441" s="458">
        <f>IFERROR(FIND(VLOOKUP('General price list'!$AB$7,'General price list'!$AC$1:$AD$12,2,FALSE),R441,1),0)</f>
        <v>0</v>
      </c>
    </row>
    <row r="442" spans="1:50" ht="15" customHeight="1">
      <c r="A442" s="677" t="str">
        <f>Kat.!C442</f>
        <v xml:space="preserve">                                          </v>
      </c>
      <c r="B442" s="678">
        <v>421</v>
      </c>
      <c r="C442" s="679" t="s">
        <v>1880</v>
      </c>
      <c r="D442" s="679" t="s">
        <v>1855</v>
      </c>
      <c r="E442" s="680" t="s">
        <v>677</v>
      </c>
      <c r="F442" s="681">
        <f>VLOOKUP(C442,[2]List1!$A:$D,2,FALSE)</f>
        <v>1075</v>
      </c>
      <c r="G442" s="682">
        <f t="shared" si="77"/>
        <v>1075</v>
      </c>
      <c r="H442" s="683">
        <f t="shared" si="78"/>
        <v>43.7</v>
      </c>
      <c r="I442" s="836">
        <v>12</v>
      </c>
      <c r="J442" s="680" t="s">
        <v>678</v>
      </c>
      <c r="K442" s="854"/>
      <c r="L442" s="855" t="s">
        <v>13863</v>
      </c>
      <c r="M442" s="680" t="s">
        <v>131</v>
      </c>
      <c r="N442" s="868">
        <f>IFERROR(VLOOKUP(C442,[3]List1!$A:$D,4,FALSE),"N/A!")</f>
        <v>5.0625000000000003E-2</v>
      </c>
      <c r="O442" s="836">
        <f>IFERROR(VLOOKUP(C442,[3]List1!$A:$D,3,FALSE),"N/A!")</f>
        <v>10800</v>
      </c>
      <c r="P442" s="836">
        <f>IFERROR(VLOOKUP(C442,[3]List1!$A:$D,2,FALSE),"N/A!")</f>
        <v>15000</v>
      </c>
      <c r="Q442" s="680" t="s">
        <v>150</v>
      </c>
      <c r="R442" s="680" t="s">
        <v>18</v>
      </c>
      <c r="S442" s="680"/>
      <c r="T442" s="681"/>
      <c r="U442" s="873"/>
      <c r="V442" s="684" t="str">
        <f>_xlfn.IFNA(HYPERLINK("https://www.klasekpyrotechnics.cz/s3j-p"),"")</f>
        <v>https://www.klasekpyrotechnics.cz/s3j-p</v>
      </c>
      <c r="W442" s="685" t="str">
        <f>IFERROR(VLOOKUP($C442,Popisy!A:P,MATCH($W$17,Popisy!$A$7:$P$7,0),FALSE),"---------------")</f>
        <v>brocade crown crossette</v>
      </c>
      <c r="X442" s="889" t="str">
        <f t="shared" si="79"/>
        <v/>
      </c>
      <c r="Y442" s="890"/>
      <c r="Z442" s="685" t="str">
        <f>IFERROR(IF(VLOOKUP(C442,[4]List1!$A:$D,4,FALSE)=0,"",VLOOKUP(C442,[4]List1!$A:$D,4,FALSE)),"")</f>
        <v>21</v>
      </c>
      <c r="AA442" s="707"/>
      <c r="AB442" s="911" t="str">
        <f>IFERROR(IF(VLOOKUP(C442,[1]List1!$A:$D,2,FALSE)="VYPRODÁNO",$V$9,IF(VLOOKUP(C442,[1]List1!$A:$D,2,FALSE)="DOCHÁZÍ",$V$3,VLOOKUP(C442,[1]List1!$A:$D,2,FALSE))),"OFFLINE!")</f>
        <v>20.06.2024</v>
      </c>
      <c r="AC442" s="911" t="str">
        <f ca="1">IF(AO442="NE",$V$10,IF(AB442=$V$3,IF(AP442&lt;1,$V$8,$V$2&amp;" "&amp;AP442&amp;" "&amp;$V$1),IF(AB442="SKLADEM",$V$6,IFERROR(IF(OR(AB442-TODAY()&gt;21,VLOOKUP(C442,[1]List1!$A:$E,4,FALSE)=0),AB442,DAY(AB442)&amp;"."&amp;MONTH(AB442)&amp;"."&amp;YEAR(AB442)&amp;" "&amp;$V$4&amp;VLOOKUP(C442,[1]List1!$A:$E,4,FALSE)&amp;" "&amp;$V$1),AB442))))</f>
        <v>20.06.2024</v>
      </c>
      <c r="AD442" s="686" t="str">
        <f ca="1">_xlfn.IFNA(VLOOKUP(C442,'General price list'!C:AM,MATCH($AD$20,'General price list'!$C$20:$AM$20,0),FALSE),"")</f>
        <v>20.06.2024</v>
      </c>
      <c r="AE442" s="681">
        <f t="shared" ca="1" si="80"/>
        <v>0</v>
      </c>
      <c r="AF442" s="681">
        <f t="shared" ca="1" si="81"/>
        <v>0</v>
      </c>
      <c r="AG442" s="687">
        <f t="shared" ca="1" si="82"/>
        <v>0</v>
      </c>
      <c r="AH442" s="688">
        <f t="shared" ca="1" si="83"/>
        <v>0</v>
      </c>
      <c r="AI442" s="687">
        <f t="shared" ca="1" si="84"/>
        <v>0</v>
      </c>
      <c r="AJ442" s="689" t="str">
        <f t="shared" ca="1" si="85"/>
        <v/>
      </c>
      <c r="AK442" s="689">
        <f t="shared" ca="1" si="86"/>
        <v>0</v>
      </c>
      <c r="AL442" s="689" t="str">
        <f t="shared" ca="1" si="87"/>
        <v/>
      </c>
      <c r="AM442" s="690" t="str">
        <f t="shared" ca="1" si="88"/>
        <v/>
      </c>
      <c r="AN442" s="382"/>
      <c r="AO442" s="314" t="str">
        <f>IF($R$3=1,IF(Y442=AA442,"","NE"),IF(#REF!=$V$10,"NE",""))</f>
        <v/>
      </c>
      <c r="AP442" s="315" t="str">
        <f>IF(AB442=$V$3,IF(VLOOKUP(C442,[1]List1!$A:$E,5,FALSE)=0,1,VLOOKUP(C442,[1]List1!$A:$E,5,FALSE)),"")</f>
        <v/>
      </c>
      <c r="AW442" s="458">
        <f>IFERROR(FIND(VLOOKUP('General price list'!$AB$7,'General price list'!$AC$1:$AD$12,2,FALSE),Q442,1),0)</f>
        <v>10</v>
      </c>
      <c r="AX442" s="458">
        <f>IFERROR(FIND(VLOOKUP('General price list'!$AB$7,'General price list'!$AC$1:$AD$12,2,FALSE),R442,1),0)</f>
        <v>0</v>
      </c>
    </row>
    <row r="443" spans="1:50" ht="15" customHeight="1">
      <c r="A443" s="691" t="str">
        <f>Kat.!C443</f>
        <v xml:space="preserve">                                          </v>
      </c>
      <c r="B443" s="692">
        <v>422</v>
      </c>
      <c r="C443" s="693" t="s">
        <v>1886</v>
      </c>
      <c r="D443" s="693" t="s">
        <v>1862</v>
      </c>
      <c r="E443" s="694" t="s">
        <v>677</v>
      </c>
      <c r="F443" s="695">
        <f>VLOOKUP(C443,[2]List1!$A:$D,2,FALSE)</f>
        <v>967</v>
      </c>
      <c r="G443" s="696">
        <f t="shared" si="77"/>
        <v>967</v>
      </c>
      <c r="H443" s="697">
        <f t="shared" si="78"/>
        <v>39.299999999999997</v>
      </c>
      <c r="I443" s="837">
        <v>12</v>
      </c>
      <c r="J443" s="698" t="s">
        <v>678</v>
      </c>
      <c r="K443" s="856"/>
      <c r="L443" s="857" t="s">
        <v>13863</v>
      </c>
      <c r="M443" s="698" t="s">
        <v>131</v>
      </c>
      <c r="N443" s="869">
        <f>IFERROR(VLOOKUP(C443,[3]List1!$A:$D,4,FALSE),"N/A!")</f>
        <v>5.0625000000000003E-2</v>
      </c>
      <c r="O443" s="837">
        <f>IFERROR(VLOOKUP(C443,[3]List1!$A:$D,3,FALSE),"N/A!")</f>
        <v>10800</v>
      </c>
      <c r="P443" s="837">
        <f>IFERROR(VLOOKUP(C443,[3]List1!$A:$D,2,FALSE),"N/A!")</f>
        <v>16000</v>
      </c>
      <c r="Q443" s="698" t="s">
        <v>150</v>
      </c>
      <c r="R443" s="698" t="s">
        <v>18</v>
      </c>
      <c r="S443" s="698"/>
      <c r="T443" s="695"/>
      <c r="U443" s="874"/>
      <c r="V443" s="699" t="str">
        <f>_xlfn.IFNA(HYPERLINK("https://www.klasekpyrotechnics.cz/s3s-p"),"")</f>
        <v>https://www.klasekpyrotechnics.cz/s3s-p</v>
      </c>
      <c r="W443" s="700" t="str">
        <f>IFERROR(VLOOKUP($C443,Popisy!A:P,MATCH($W$17,Popisy!$A$7:$P$7,0),FALSE),"---------------")</f>
        <v>blood red + silver strobe</v>
      </c>
      <c r="X443" s="891" t="str">
        <f t="shared" si="79"/>
        <v/>
      </c>
      <c r="Y443" s="892"/>
      <c r="Z443" s="700" t="str">
        <f>IFERROR(IF(VLOOKUP(C443,[4]List1!$A:$D,4,FALSE)=0,"",VLOOKUP(C443,[4]List1!$A:$D,4,FALSE)),"")</f>
        <v>21</v>
      </c>
      <c r="AA443" s="707"/>
      <c r="AB443" s="912" t="str">
        <f>IFERROR(IF(VLOOKUP(C443,[1]List1!$A:$D,2,FALSE)="VYPRODÁNO",$V$9,IF(VLOOKUP(C443,[1]List1!$A:$D,2,FALSE)="DOCHÁZÍ",$V$3,VLOOKUP(C443,[1]List1!$A:$D,2,FALSE))),"OFFLINE!")</f>
        <v>15.08.2024</v>
      </c>
      <c r="AC443" s="912" t="str">
        <f ca="1">IF(AO443="NE",$V$10,IF(AB443=$V$3,IF(AP443&lt;1,$V$8,$V$2&amp;" "&amp;AP443&amp;" "&amp;$V$1),IF(AB443="SKLADEM",$V$6,IFERROR(IF(OR(AB443-TODAY()&gt;21,VLOOKUP(C443,[1]List1!$A:$E,4,FALSE)=0),AB443,DAY(AB443)&amp;"."&amp;MONTH(AB443)&amp;"."&amp;YEAR(AB443)&amp;" "&amp;$V$4&amp;VLOOKUP(C443,[1]List1!$A:$E,4,FALSE)&amp;" "&amp;$V$1),AB443))))</f>
        <v>15.08.2024</v>
      </c>
      <c r="AD443" s="701" t="str">
        <f ca="1">_xlfn.IFNA(VLOOKUP(C443,'General price list'!C:AM,MATCH($AD$20,'General price list'!$C$20:$AM$20,0),FALSE),"")</f>
        <v>15.08.2024</v>
      </c>
      <c r="AE443" s="695">
        <f t="shared" ca="1" si="80"/>
        <v>0</v>
      </c>
      <c r="AF443" s="695">
        <f t="shared" ca="1" si="81"/>
        <v>0</v>
      </c>
      <c r="AG443" s="702">
        <f t="shared" ca="1" si="82"/>
        <v>0</v>
      </c>
      <c r="AH443" s="703">
        <f t="shared" ca="1" si="83"/>
        <v>0</v>
      </c>
      <c r="AI443" s="702">
        <f t="shared" ca="1" si="84"/>
        <v>0</v>
      </c>
      <c r="AJ443" s="704" t="str">
        <f t="shared" ca="1" si="85"/>
        <v/>
      </c>
      <c r="AK443" s="704">
        <f t="shared" ca="1" si="86"/>
        <v>0</v>
      </c>
      <c r="AL443" s="704" t="str">
        <f t="shared" ca="1" si="87"/>
        <v/>
      </c>
      <c r="AM443" s="705" t="str">
        <f t="shared" ca="1" si="88"/>
        <v/>
      </c>
      <c r="AN443" s="382"/>
      <c r="AO443" s="314" t="str">
        <f>IF($R$3=1,IF(Y443=AA443,"","NE"),IF(#REF!=$V$10,"NE",""))</f>
        <v/>
      </c>
      <c r="AP443" s="315" t="str">
        <f>IF(AB443=$V$3,IF(VLOOKUP(C443,[1]List1!$A:$E,5,FALSE)=0,1,VLOOKUP(C443,[1]List1!$A:$E,5,FALSE)),"")</f>
        <v/>
      </c>
      <c r="AW443" s="458">
        <f>IFERROR(FIND(VLOOKUP('General price list'!$AB$7,'General price list'!$AC$1:$AD$12,2,FALSE),Q443,1),0)</f>
        <v>10</v>
      </c>
      <c r="AX443" s="458">
        <f>IFERROR(FIND(VLOOKUP('General price list'!$AB$7,'General price list'!$AC$1:$AD$12,2,FALSE),R443,1),0)</f>
        <v>0</v>
      </c>
    </row>
    <row r="444" spans="1:50" ht="15" customHeight="1">
      <c r="A444" s="677" t="str">
        <f>Kat.!C444</f>
        <v xml:space="preserve">                                          </v>
      </c>
      <c r="B444" s="678">
        <v>423</v>
      </c>
      <c r="C444" s="679" t="s">
        <v>1891</v>
      </c>
      <c r="D444" s="679" t="s">
        <v>1892</v>
      </c>
      <c r="E444" s="680" t="s">
        <v>677</v>
      </c>
      <c r="F444" s="681">
        <f>VLOOKUP(C444,[2]List1!$A:$D,2,FALSE)</f>
        <v>965</v>
      </c>
      <c r="G444" s="682">
        <f t="shared" si="77"/>
        <v>965</v>
      </c>
      <c r="H444" s="683">
        <f t="shared" si="78"/>
        <v>39.299999999999997</v>
      </c>
      <c r="I444" s="836">
        <v>12</v>
      </c>
      <c r="J444" s="680" t="s">
        <v>678</v>
      </c>
      <c r="K444" s="854"/>
      <c r="L444" s="855" t="s">
        <v>13863</v>
      </c>
      <c r="M444" s="680" t="s">
        <v>131</v>
      </c>
      <c r="N444" s="868">
        <f>IFERROR(VLOOKUP(C444,[3]List1!$A:$D,4,FALSE),"N/A!")</f>
        <v>5.0625000000000003E-2</v>
      </c>
      <c r="O444" s="836">
        <f>IFERROR(VLOOKUP(C444,[3]List1!$A:$D,3,FALSE),"N/A!")</f>
        <v>10800</v>
      </c>
      <c r="P444" s="836">
        <f>IFERROR(VLOOKUP(C444,[3]List1!$A:$D,2,FALSE),"N/A!")</f>
        <v>15600</v>
      </c>
      <c r="Q444" s="680" t="s">
        <v>150</v>
      </c>
      <c r="R444" s="680" t="s">
        <v>18</v>
      </c>
      <c r="S444" s="680"/>
      <c r="T444" s="681"/>
      <c r="U444" s="873"/>
      <c r="V444" s="684" t="str">
        <f>_xlfn.IFNA(HYPERLINK("https://www.klasekpyrotechnics.cz/s3m-p"),"")</f>
        <v>https://www.klasekpyrotechnics.cz/s3m-p</v>
      </c>
      <c r="W444" s="685" t="str">
        <f>IFERROR(VLOOKUP($C444,Popisy!A:P,MATCH($W$17,Popisy!$A$7:$P$7,0),FALSE),"---------------")</f>
        <v>Mixed carton contains-premiun quality(each box including: silver tail to red wave w.crackling, flower crown chrysant.to blue, silver tail to silver strobe, delay cracker willow, golden ti willow, silver tail to silver palm tree)</v>
      </c>
      <c r="X444" s="889" t="str">
        <f t="shared" si="79"/>
        <v/>
      </c>
      <c r="Y444" s="890"/>
      <c r="Z444" s="685" t="str">
        <f>IFERROR(IF(VLOOKUP(C444,[4]List1!$A:$D,4,FALSE)=0,"",VLOOKUP(C444,[4]List1!$A:$D,4,FALSE)),"")</f>
        <v>21</v>
      </c>
      <c r="AA444" s="707"/>
      <c r="AB444" s="911" t="str">
        <f>IFERROR(IF(VLOOKUP(C444,[1]List1!$A:$D,2,FALSE)="VYPRODÁNO",$V$9,IF(VLOOKUP(C444,[1]List1!$A:$D,2,FALSE)="DOCHÁZÍ",$V$3,VLOOKUP(C444,[1]List1!$A:$D,2,FALSE))),"OFFLINE!")</f>
        <v>SKLADEM</v>
      </c>
      <c r="AC444" s="911" t="str">
        <f ca="1">IF(AO444="NE",$V$10,IF(AB444=$V$3,IF(AP444&lt;1,$V$8,$V$2&amp;" "&amp;AP444&amp;" "&amp;$V$1),IF(AB444="SKLADEM",$V$6,IFERROR(IF(OR(AB444-TODAY()&gt;21,VLOOKUP(C444,[1]List1!$A:$E,4,FALSE)=0),AB444,DAY(AB444)&amp;"."&amp;MONTH(AB444)&amp;"."&amp;YEAR(AB444)&amp;" "&amp;$V$4&amp;VLOOKUP(C444,[1]List1!$A:$E,4,FALSE)&amp;" "&amp;$V$1),AB444))))</f>
        <v>AUF LAGER</v>
      </c>
      <c r="AD444" s="686" t="str">
        <f ca="1">_xlfn.IFNA(VLOOKUP(C444,'General price list'!C:AM,MATCH($AD$20,'General price list'!$C$20:$AM$20,0),FALSE),"")</f>
        <v>AUF LAGER</v>
      </c>
      <c r="AE444" s="681">
        <f t="shared" ca="1" si="80"/>
        <v>0</v>
      </c>
      <c r="AF444" s="681">
        <f t="shared" ca="1" si="81"/>
        <v>0</v>
      </c>
      <c r="AG444" s="687">
        <f t="shared" ca="1" si="82"/>
        <v>0</v>
      </c>
      <c r="AH444" s="688">
        <f t="shared" ca="1" si="83"/>
        <v>0</v>
      </c>
      <c r="AI444" s="687">
        <f t="shared" ca="1" si="84"/>
        <v>0</v>
      </c>
      <c r="AJ444" s="689" t="str">
        <f t="shared" ca="1" si="85"/>
        <v/>
      </c>
      <c r="AK444" s="689">
        <f t="shared" ca="1" si="86"/>
        <v>0</v>
      </c>
      <c r="AL444" s="689" t="str">
        <f t="shared" ca="1" si="87"/>
        <v/>
      </c>
      <c r="AM444" s="690" t="str">
        <f t="shared" ca="1" si="88"/>
        <v/>
      </c>
      <c r="AN444" s="382"/>
      <c r="AO444" s="314" t="str">
        <f>IF($R$3=1,IF(Y444=AA444,"","NE"),IF(#REF!=$V$10,"NE",""))</f>
        <v/>
      </c>
      <c r="AP444" s="315" t="str">
        <f>IF(AB444=$V$3,IF(VLOOKUP(C444,[1]List1!$A:$E,5,FALSE)=0,1,VLOOKUP(C444,[1]List1!$A:$E,5,FALSE)),"")</f>
        <v/>
      </c>
      <c r="AW444" s="458">
        <f>IFERROR(FIND(VLOOKUP('General price list'!$AB$7,'General price list'!$AC$1:$AD$12,2,FALSE),Q444,1),0)</f>
        <v>10</v>
      </c>
      <c r="AX444" s="458">
        <f>IFERROR(FIND(VLOOKUP('General price list'!$AB$7,'General price list'!$AC$1:$AD$12,2,FALSE),R444,1),0)</f>
        <v>0</v>
      </c>
    </row>
    <row r="445" spans="1:50" ht="15" customHeight="1">
      <c r="A445" s="672" t="str">
        <f>Kat.!C445</f>
        <v xml:space="preserve">                                          Kugelbomben 100mm</v>
      </c>
      <c r="B445" s="692">
        <v>424</v>
      </c>
      <c r="C445" s="693"/>
      <c r="D445" s="693"/>
      <c r="E445" s="694"/>
      <c r="F445" s="695" t="str">
        <f>IFERROR(ROUND(VLOOKUP(C445,'General price list'!$C:$AN,4,FALSE),0),"")</f>
        <v/>
      </c>
      <c r="G445" s="696" t="str">
        <f t="shared" si="77"/>
        <v/>
      </c>
      <c r="H445" s="697" t="str">
        <f t="shared" si="78"/>
        <v/>
      </c>
      <c r="I445" s="837"/>
      <c r="J445" s="698"/>
      <c r="K445" s="856"/>
      <c r="L445" s="857"/>
      <c r="M445" s="698"/>
      <c r="N445" s="869" t="str">
        <f>IFERROR(IF(VLOOKUP($C445,'General price list'!$C:$AN,MATCH(N$20,'General price list'!$C$20:$AM$20,0),FALSE)=0,"",VLOOKUP($C445,'General price list'!$C:$AN,MATCH(N$20,'General price list'!$C$20:$AM$20,0),FALSE)),"")</f>
        <v/>
      </c>
      <c r="O445" s="837" t="str">
        <f>IFERROR(IF(VLOOKUP($C445,'General price list'!$C:$AN,MATCH(O$20,'General price list'!$C$20:$AM$20,0),FALSE)=0,"",VLOOKUP($C445,'General price list'!$C:$AN,MATCH(O$20,'General price list'!$C$20:$AM$20,0),FALSE)),"")</f>
        <v/>
      </c>
      <c r="P445" s="837" t="str">
        <f>IFERROR(IF(VLOOKUP($C445,'General price list'!$C:$AN,MATCH(P$20,'General price list'!$C$20:$AM$20,0),FALSE)=0,"",VLOOKUP($C445,'General price list'!$C:$AN,MATCH(P$20,'General price list'!$C$20:$AM$20,0),FALSE)),"")</f>
        <v/>
      </c>
      <c r="Q445" s="698"/>
      <c r="R445" s="698"/>
      <c r="S445" s="698"/>
      <c r="T445" s="695"/>
      <c r="U445" s="874"/>
      <c r="V445" s="699"/>
      <c r="W445" s="700" t="str">
        <f>IFERROR(VLOOKUP($C445,'General price list'!$C:$AN,MATCH(W$20,'General price list'!$C$20:$AM$20,0),FALSE),"")</f>
        <v/>
      </c>
      <c r="X445" s="891" t="str">
        <f t="shared" si="79"/>
        <v/>
      </c>
      <c r="Y445" s="892"/>
      <c r="Z445" s="700" t="str">
        <f>IFERROR(VLOOKUP($C445,'General price list'!$C:$AN,MATCH(Z$20,'General price list'!$C$20:$AM$20,0),FALSE),"")</f>
        <v/>
      </c>
      <c r="AA445" s="707"/>
      <c r="AB445" s="912" t="str">
        <f>IFERROR(IF(VLOOKUP(C445,[1]List1!$A:$D,2,FALSE)="VYPRODÁNO",$V$9,IF(VLOOKUP(C445,[1]List1!$A:$D,2,FALSE)="DOCHÁZÍ",$V$3,VLOOKUP(C445,[1]List1!$A:$D,2,FALSE))),"OFFLINE!")</f>
        <v>OFFLINE!</v>
      </c>
      <c r="AC445" s="912" t="str">
        <f ca="1">IF(AO445="NE",$V$10,IF(AB445=$V$3,IF(AP445&lt;1,$V$8,$V$2&amp;" "&amp;AP445&amp;" "&amp;$V$1),IF(AB445="SKLADEM",$V$6,IFERROR(IF(OR(AB445-TODAY()&gt;21,VLOOKUP(C445,[1]List1!$A:$E,4,FALSE)=0),AB445,DAY(AB445)&amp;"."&amp;MONTH(AB445)&amp;"."&amp;YEAR(AB445)&amp;" "&amp;$V$4&amp;VLOOKUP(C445,[1]List1!$A:$E,4,FALSE)&amp;" "&amp;$V$1),AB445))))</f>
        <v>OFFLINE!</v>
      </c>
      <c r="AD445" s="701" t="str">
        <f>_xlfn.IFNA(VLOOKUP(C445,'General price list'!C:AM,MATCH($AD$20,'General price list'!$C$20:$AM$20,0),FALSE),"")</f>
        <v/>
      </c>
      <c r="AE445" s="695" t="str">
        <f t="shared" si="80"/>
        <v/>
      </c>
      <c r="AF445" s="695" t="str">
        <f t="shared" si="81"/>
        <v/>
      </c>
      <c r="AG445" s="702" t="str">
        <f t="shared" si="82"/>
        <v/>
      </c>
      <c r="AH445" s="703" t="str">
        <f t="shared" si="83"/>
        <v/>
      </c>
      <c r="AI445" s="702" t="str">
        <f t="shared" si="84"/>
        <v/>
      </c>
      <c r="AJ445" s="704" t="str">
        <f t="shared" si="85"/>
        <v/>
      </c>
      <c r="AK445" s="704" t="str">
        <f t="shared" si="86"/>
        <v/>
      </c>
      <c r="AL445" s="704" t="str">
        <f t="shared" si="87"/>
        <v/>
      </c>
      <c r="AM445" s="705" t="str">
        <f t="shared" si="88"/>
        <v/>
      </c>
      <c r="AN445" s="382"/>
      <c r="AO445" s="314" t="str">
        <f>IF($R$3=1,IF(Y445=AA445,"","NE"),IF(#REF!=$V$10,"NE",""))</f>
        <v/>
      </c>
      <c r="AP445" s="315" t="str">
        <f>IF(AB445=$V$3,IF(VLOOKUP(C445,[1]List1!$A:$E,5,FALSE)=0,1,VLOOKUP(C445,[1]List1!$A:$E,5,FALSE)),"")</f>
        <v/>
      </c>
      <c r="AW445" s="291" t="e">
        <f>VLOOKUP(C445,'General price list'!C:AU,46,FALSE)</f>
        <v>#N/A</v>
      </c>
      <c r="AX445" s="291" t="e">
        <f>VLOOKUP(C445,'General price list'!C:AU,47,FALSE)</f>
        <v>#N/A</v>
      </c>
    </row>
    <row r="446" spans="1:50" ht="15" customHeight="1">
      <c r="A446" s="677" t="str">
        <f>Kat.!C446</f>
        <v xml:space="preserve">                                          </v>
      </c>
      <c r="B446" s="678">
        <v>425</v>
      </c>
      <c r="C446" s="679" t="s">
        <v>1932</v>
      </c>
      <c r="D446" s="679" t="s">
        <v>1933</v>
      </c>
      <c r="E446" s="680" t="s">
        <v>403</v>
      </c>
      <c r="F446" s="681">
        <f>VLOOKUP(C446,[2]List1!$A:$D,2,FALSE)</f>
        <v>1430</v>
      </c>
      <c r="G446" s="682">
        <f t="shared" si="77"/>
        <v>1430</v>
      </c>
      <c r="H446" s="683">
        <f t="shared" si="78"/>
        <v>58.2</v>
      </c>
      <c r="I446" s="836">
        <v>9</v>
      </c>
      <c r="J446" s="680" t="s">
        <v>678</v>
      </c>
      <c r="K446" s="854"/>
      <c r="L446" s="855" t="s">
        <v>13863</v>
      </c>
      <c r="M446" s="680" t="s">
        <v>131</v>
      </c>
      <c r="N446" s="868">
        <f>IFERROR(VLOOKUP(C446,[3]List1!$A:$D,4,FALSE),"N/A!")</f>
        <v>5.0592000000000005E-2</v>
      </c>
      <c r="O446" s="836">
        <f>IFERROR(VLOOKUP(C446,[3]List1!$A:$D,3,FALSE),"N/A!")</f>
        <v>10800</v>
      </c>
      <c r="P446" s="836">
        <f>IFERROR(VLOOKUP(C446,[3]List1!$A:$D,2,FALSE),"N/A!")</f>
        <v>13600</v>
      </c>
      <c r="Q446" s="680" t="s">
        <v>150</v>
      </c>
      <c r="R446" s="680" t="s">
        <v>18</v>
      </c>
      <c r="S446" s="680"/>
      <c r="T446" s="681"/>
      <c r="U446" s="873"/>
      <c r="V446" s="684" t="str">
        <f>_xlfn.IFNA(HYPERLINK("https://www.klasekpyrotechnics.cz/s4t"),"")</f>
        <v>https://www.klasekpyrotechnics.cz/s4t</v>
      </c>
      <c r="W446" s="685" t="str">
        <f>IFERROR(VLOOKUP($C446,Popisy!A:P,MATCH($W$17,Popisy!$A$7:$P$7,0),FALSE),"---------------")</f>
        <v>silver tail to titanium salute</v>
      </c>
      <c r="X446" s="889" t="str">
        <f t="shared" si="79"/>
        <v/>
      </c>
      <c r="Y446" s="890"/>
      <c r="Z446" s="685" t="str">
        <f>IFERROR(IF(VLOOKUP(C446,[4]List1!$A:$D,4,FALSE)=0,"",VLOOKUP(C446,[4]List1!$A:$D,4,FALSE)),"")</f>
        <v>24</v>
      </c>
      <c r="AA446" s="707"/>
      <c r="AB446" s="911" t="str">
        <f>IFERROR(IF(VLOOKUP(C446,[1]List1!$A:$D,2,FALSE)="VYPRODÁNO",$V$9,IF(VLOOKUP(C446,[1]List1!$A:$D,2,FALSE)="DOCHÁZÍ",$V$3,VLOOKUP(C446,[1]List1!$A:$D,2,FALSE))),"OFFLINE!")</f>
        <v>15.06.2024</v>
      </c>
      <c r="AC446" s="911" t="str">
        <f ca="1">IF(AO446="NE",$V$10,IF(AB446=$V$3,IF(AP446&lt;1,$V$8,$V$2&amp;" "&amp;AP446&amp;" "&amp;$V$1),IF(AB446="SKLADEM",$V$6,IFERROR(IF(OR(AB446-TODAY()&gt;21,VLOOKUP(C446,[1]List1!$A:$E,4,FALSE)=0),AB446,DAY(AB446)&amp;"."&amp;MONTH(AB446)&amp;"."&amp;YEAR(AB446)&amp;" "&amp;$V$4&amp;VLOOKUP(C446,[1]List1!$A:$E,4,FALSE)&amp;" "&amp;$V$1),AB446))))</f>
        <v>15.06.2024</v>
      </c>
      <c r="AD446" s="686" t="str">
        <f ca="1">_xlfn.IFNA(VLOOKUP(C446,'General price list'!C:AM,MATCH($AD$20,'General price list'!$C$20:$AM$20,0),FALSE),"")</f>
        <v>15.06.2024</v>
      </c>
      <c r="AE446" s="681">
        <f t="shared" ca="1" si="80"/>
        <v>0</v>
      </c>
      <c r="AF446" s="681">
        <f t="shared" ca="1" si="81"/>
        <v>0</v>
      </c>
      <c r="AG446" s="687">
        <f t="shared" ca="1" si="82"/>
        <v>0</v>
      </c>
      <c r="AH446" s="688">
        <f t="shared" ca="1" si="83"/>
        <v>0</v>
      </c>
      <c r="AI446" s="687">
        <f t="shared" ca="1" si="84"/>
        <v>0</v>
      </c>
      <c r="AJ446" s="689" t="str">
        <f t="shared" ca="1" si="85"/>
        <v/>
      </c>
      <c r="AK446" s="689">
        <f t="shared" ca="1" si="86"/>
        <v>0</v>
      </c>
      <c r="AL446" s="689" t="str">
        <f t="shared" ca="1" si="87"/>
        <v/>
      </c>
      <c r="AM446" s="690" t="str">
        <f t="shared" ca="1" si="88"/>
        <v/>
      </c>
      <c r="AN446" s="382"/>
      <c r="AO446" s="314" t="str">
        <f>IF($R$3=1,IF(Y446=AA446,"","NE"),IF(#REF!=$V$10,"NE",""))</f>
        <v/>
      </c>
      <c r="AP446" s="315" t="str">
        <f>IF(AB446=$V$3,IF(VLOOKUP(C446,[1]List1!$A:$E,5,FALSE)=0,1,VLOOKUP(C446,[1]List1!$A:$E,5,FALSE)),"")</f>
        <v/>
      </c>
      <c r="AW446" s="458">
        <f>IFERROR(FIND(VLOOKUP('General price list'!$AB$7,'General price list'!$AC$1:$AD$12,2,FALSE),Q446,1),0)</f>
        <v>10</v>
      </c>
      <c r="AX446" s="458">
        <f>IFERROR(FIND(VLOOKUP('General price list'!$AB$7,'General price list'!$AC$1:$AD$12,2,FALSE),R446,1),0)</f>
        <v>0</v>
      </c>
    </row>
    <row r="447" spans="1:50" ht="15" customHeight="1">
      <c r="A447" s="672" t="str">
        <f>Kat.!C447</f>
        <v xml:space="preserve">                                          Kugelbomben 100mm, Prämienqualität</v>
      </c>
      <c r="B447" s="692">
        <v>426</v>
      </c>
      <c r="C447" s="693"/>
      <c r="D447" s="693"/>
      <c r="E447" s="694"/>
      <c r="F447" s="695" t="str">
        <f>IFERROR(ROUND(VLOOKUP(C447,'General price list'!$C:$AN,4,FALSE),0),"")</f>
        <v/>
      </c>
      <c r="G447" s="696" t="str">
        <f t="shared" si="77"/>
        <v/>
      </c>
      <c r="H447" s="697" t="str">
        <f t="shared" si="78"/>
        <v/>
      </c>
      <c r="I447" s="837"/>
      <c r="J447" s="698"/>
      <c r="K447" s="856"/>
      <c r="L447" s="857"/>
      <c r="M447" s="698"/>
      <c r="N447" s="869" t="str">
        <f>IFERROR(IF(VLOOKUP($C447,'General price list'!$C:$AN,MATCH(N$20,'General price list'!$C$20:$AM$20,0),FALSE)=0,"",VLOOKUP($C447,'General price list'!$C:$AN,MATCH(N$20,'General price list'!$C$20:$AM$20,0),FALSE)),"")</f>
        <v/>
      </c>
      <c r="O447" s="837" t="str">
        <f>IFERROR(IF(VLOOKUP($C447,'General price list'!$C:$AN,MATCH(O$20,'General price list'!$C$20:$AM$20,0),FALSE)=0,"",VLOOKUP($C447,'General price list'!$C:$AN,MATCH(O$20,'General price list'!$C$20:$AM$20,0),FALSE)),"")</f>
        <v/>
      </c>
      <c r="P447" s="837" t="str">
        <f>IFERROR(IF(VLOOKUP($C447,'General price list'!$C:$AN,MATCH(P$20,'General price list'!$C$20:$AM$20,0),FALSE)=0,"",VLOOKUP($C447,'General price list'!$C:$AN,MATCH(P$20,'General price list'!$C$20:$AM$20,0),FALSE)),"")</f>
        <v/>
      </c>
      <c r="Q447" s="698"/>
      <c r="R447" s="698"/>
      <c r="S447" s="698"/>
      <c r="T447" s="695"/>
      <c r="U447" s="874"/>
      <c r="V447" s="699"/>
      <c r="W447" s="700" t="str">
        <f>IFERROR(VLOOKUP($C447,'General price list'!$C:$AN,MATCH(W$20,'General price list'!$C$20:$AM$20,0),FALSE),"")</f>
        <v/>
      </c>
      <c r="X447" s="891" t="str">
        <f t="shared" si="79"/>
        <v/>
      </c>
      <c r="Y447" s="892"/>
      <c r="Z447" s="700" t="str">
        <f>IFERROR(VLOOKUP($C447,'General price list'!$C:$AN,MATCH(Z$20,'General price list'!$C$20:$AM$20,0),FALSE),"")</f>
        <v/>
      </c>
      <c r="AA447" s="707"/>
      <c r="AB447" s="912" t="str">
        <f>IFERROR(IF(VLOOKUP(C447,[1]List1!$A:$D,2,FALSE)="VYPRODÁNO",$V$9,IF(VLOOKUP(C447,[1]List1!$A:$D,2,FALSE)="DOCHÁZÍ",$V$3,VLOOKUP(C447,[1]List1!$A:$D,2,FALSE))),"OFFLINE!")</f>
        <v>OFFLINE!</v>
      </c>
      <c r="AC447" s="912" t="str">
        <f ca="1">IF(AO447="NE",$V$10,IF(AB447=$V$3,IF(AP447&lt;1,$V$8,$V$2&amp;" "&amp;AP447&amp;" "&amp;$V$1),IF(AB447="SKLADEM",$V$6,IFERROR(IF(OR(AB447-TODAY()&gt;21,VLOOKUP(C447,[1]List1!$A:$E,4,FALSE)=0),AB447,DAY(AB447)&amp;"."&amp;MONTH(AB447)&amp;"."&amp;YEAR(AB447)&amp;" "&amp;$V$4&amp;VLOOKUP(C447,[1]List1!$A:$E,4,FALSE)&amp;" "&amp;$V$1),AB447))))</f>
        <v>OFFLINE!</v>
      </c>
      <c r="AD447" s="701" t="str">
        <f>_xlfn.IFNA(VLOOKUP(C447,'General price list'!C:AM,MATCH($AD$20,'General price list'!$C$20:$AM$20,0),FALSE),"")</f>
        <v/>
      </c>
      <c r="AE447" s="695" t="str">
        <f t="shared" si="80"/>
        <v/>
      </c>
      <c r="AF447" s="695" t="str">
        <f t="shared" si="81"/>
        <v/>
      </c>
      <c r="AG447" s="702" t="str">
        <f t="shared" si="82"/>
        <v/>
      </c>
      <c r="AH447" s="703" t="str">
        <f t="shared" si="83"/>
        <v/>
      </c>
      <c r="AI447" s="702" t="str">
        <f t="shared" si="84"/>
        <v/>
      </c>
      <c r="AJ447" s="704" t="str">
        <f t="shared" si="85"/>
        <v/>
      </c>
      <c r="AK447" s="704" t="str">
        <f t="shared" si="86"/>
        <v/>
      </c>
      <c r="AL447" s="704" t="str">
        <f t="shared" si="87"/>
        <v/>
      </c>
      <c r="AM447" s="705" t="str">
        <f t="shared" si="88"/>
        <v/>
      </c>
      <c r="AN447" s="382"/>
      <c r="AO447" s="314" t="str">
        <f>IF($R$3=1,IF(Y447=AA447,"","NE"),IF(#REF!=$V$10,"NE",""))</f>
        <v/>
      </c>
      <c r="AP447" s="315" t="str">
        <f>IF(AB447=$V$3,IF(VLOOKUP(C447,[1]List1!$A:$E,5,FALSE)=0,1,VLOOKUP(C447,[1]List1!$A:$E,5,FALSE)),"")</f>
        <v/>
      </c>
      <c r="AW447" s="291" t="e">
        <f>VLOOKUP(C447,'General price list'!C:AU,46,FALSE)</f>
        <v>#N/A</v>
      </c>
      <c r="AX447" s="291" t="e">
        <f>VLOOKUP(C447,'General price list'!C:AU,47,FALSE)</f>
        <v>#N/A</v>
      </c>
    </row>
    <row r="448" spans="1:50" ht="15" customHeight="1">
      <c r="A448" s="677" t="str">
        <f>Kat.!C448</f>
        <v xml:space="preserve">                                          </v>
      </c>
      <c r="B448" s="678">
        <v>427</v>
      </c>
      <c r="C448" s="679" t="s">
        <v>1938</v>
      </c>
      <c r="D448" s="679" t="s">
        <v>1896</v>
      </c>
      <c r="E448" s="680" t="s">
        <v>403</v>
      </c>
      <c r="F448" s="681">
        <f>VLOOKUP(C448,[2]List1!$A:$D,2,FALSE)</f>
        <v>1200</v>
      </c>
      <c r="G448" s="682">
        <f t="shared" si="77"/>
        <v>1200</v>
      </c>
      <c r="H448" s="683">
        <f t="shared" si="78"/>
        <v>48.8</v>
      </c>
      <c r="I448" s="836">
        <v>9</v>
      </c>
      <c r="J448" s="680" t="s">
        <v>678</v>
      </c>
      <c r="K448" s="854"/>
      <c r="L448" s="855" t="s">
        <v>13863</v>
      </c>
      <c r="M448" s="680" t="s">
        <v>131</v>
      </c>
      <c r="N448" s="868">
        <f>IFERROR(VLOOKUP(C448,[3]List1!$A:$D,4,FALSE),"N/A!")</f>
        <v>5.0592000000000005E-2</v>
      </c>
      <c r="O448" s="836">
        <f>IFERROR(VLOOKUP(C448,[3]List1!$A:$D,3,FALSE),"N/A!")</f>
        <v>10800</v>
      </c>
      <c r="P448" s="836">
        <f>IFERROR(VLOOKUP(C448,[3]List1!$A:$D,2,FALSE),"N/A!")</f>
        <v>15700</v>
      </c>
      <c r="Q448" s="680" t="s">
        <v>44</v>
      </c>
      <c r="R448" s="680" t="s">
        <v>18</v>
      </c>
      <c r="S448" s="680"/>
      <c r="T448" s="681"/>
      <c r="U448" s="873"/>
      <c r="V448" s="684" t="str">
        <f>_xlfn.IFNA(HYPERLINK("https://www.klasekpyrotechnics.cz/s4c-p"),"")</f>
        <v>https://www.klasekpyrotechnics.cz/s4c-p</v>
      </c>
      <c r="W448" s="685" t="str">
        <f>IFERROR(VLOOKUP($C448,Popisy!A:P,MATCH($W$17,Popisy!$A$7:$P$7,0),FALSE),"---------------")</f>
        <v>glitter.palm tree</v>
      </c>
      <c r="X448" s="889" t="str">
        <f t="shared" si="79"/>
        <v/>
      </c>
      <c r="Y448" s="890"/>
      <c r="Z448" s="685" t="str">
        <f>IFERROR(IF(VLOOKUP(C448,[4]List1!$A:$D,4,FALSE)=0,"",VLOOKUP(C448,[4]List1!$A:$D,4,FALSE)),"")</f>
        <v>24</v>
      </c>
      <c r="AA448" s="707"/>
      <c r="AB448" s="911" t="str">
        <f>IFERROR(IF(VLOOKUP(C448,[1]List1!$A:$D,2,FALSE)="VYPRODÁNO",$V$9,IF(VLOOKUP(C448,[1]List1!$A:$D,2,FALSE)="DOCHÁZÍ",$V$3,VLOOKUP(C448,[1]List1!$A:$D,2,FALSE))),"OFFLINE!")</f>
        <v>SKLADEM</v>
      </c>
      <c r="AC448" s="911" t="str">
        <f ca="1">IF(AO448="NE",$V$10,IF(AB448=$V$3,IF(AP448&lt;1,$V$8,$V$2&amp;" "&amp;AP448&amp;" "&amp;$V$1),IF(AB448="SKLADEM",$V$6,IFERROR(IF(OR(AB448-TODAY()&gt;21,VLOOKUP(C448,[1]List1!$A:$E,4,FALSE)=0),AB448,DAY(AB448)&amp;"."&amp;MONTH(AB448)&amp;"."&amp;YEAR(AB448)&amp;" "&amp;$V$4&amp;VLOOKUP(C448,[1]List1!$A:$E,4,FALSE)&amp;" "&amp;$V$1),AB448))))</f>
        <v>AUF LAGER</v>
      </c>
      <c r="AD448" s="686" t="str">
        <f ca="1">_xlfn.IFNA(VLOOKUP(C448,'General price list'!C:AM,MATCH($AD$20,'General price list'!$C$20:$AM$20,0),FALSE),"")</f>
        <v>AUF LAGER</v>
      </c>
      <c r="AE448" s="681">
        <f t="shared" ca="1" si="80"/>
        <v>0</v>
      </c>
      <c r="AF448" s="681">
        <f t="shared" ca="1" si="81"/>
        <v>0</v>
      </c>
      <c r="AG448" s="687">
        <f t="shared" ca="1" si="82"/>
        <v>0</v>
      </c>
      <c r="AH448" s="688">
        <f t="shared" ca="1" si="83"/>
        <v>0</v>
      </c>
      <c r="AI448" s="687">
        <f t="shared" ca="1" si="84"/>
        <v>0</v>
      </c>
      <c r="AJ448" s="689" t="str">
        <f t="shared" ca="1" si="85"/>
        <v/>
      </c>
      <c r="AK448" s="689">
        <f t="shared" ca="1" si="86"/>
        <v>0</v>
      </c>
      <c r="AL448" s="689" t="str">
        <f t="shared" ca="1" si="87"/>
        <v/>
      </c>
      <c r="AM448" s="690" t="str">
        <f t="shared" ca="1" si="88"/>
        <v/>
      </c>
      <c r="AN448" s="382"/>
      <c r="AO448" s="314" t="str">
        <f>IF($R$3=1,IF(Y448=AA448,"","NE"),IF(#REF!=$V$10,"NE",""))</f>
        <v/>
      </c>
      <c r="AP448" s="315" t="str">
        <f>IF(AB448=$V$3,IF(VLOOKUP(C448,[1]List1!$A:$E,5,FALSE)=0,1,VLOOKUP(C448,[1]List1!$A:$E,5,FALSE)),"")</f>
        <v/>
      </c>
      <c r="AW448" s="458">
        <f>IFERROR(FIND(VLOOKUP('General price list'!$AB$7,'General price list'!$AC$1:$AD$12,2,FALSE),Q448,1),0)</f>
        <v>13</v>
      </c>
      <c r="AX448" s="458">
        <f>IFERROR(FIND(VLOOKUP('General price list'!$AB$7,'General price list'!$AC$1:$AD$12,2,FALSE),R448,1),0)</f>
        <v>0</v>
      </c>
    </row>
    <row r="449" spans="1:50" ht="15" customHeight="1">
      <c r="A449" s="691" t="str">
        <f>Kat.!C449</f>
        <v xml:space="preserve">                                          </v>
      </c>
      <c r="B449" s="692">
        <v>428</v>
      </c>
      <c r="C449" s="693" t="s">
        <v>1945</v>
      </c>
      <c r="D449" s="693" t="s">
        <v>1902</v>
      </c>
      <c r="E449" s="694" t="s">
        <v>403</v>
      </c>
      <c r="F449" s="695">
        <f>VLOOKUP(C449,[2]List1!$A:$D,2,FALSE)</f>
        <v>1200</v>
      </c>
      <c r="G449" s="696">
        <f t="shared" si="77"/>
        <v>1200</v>
      </c>
      <c r="H449" s="697">
        <f t="shared" si="78"/>
        <v>48.8</v>
      </c>
      <c r="I449" s="837">
        <v>9</v>
      </c>
      <c r="J449" s="698" t="s">
        <v>678</v>
      </c>
      <c r="K449" s="856"/>
      <c r="L449" s="857" t="s">
        <v>13863</v>
      </c>
      <c r="M449" s="698" t="s">
        <v>131</v>
      </c>
      <c r="N449" s="869">
        <f>IFERROR(VLOOKUP(C449,[3]List1!$A:$D,4,FALSE),"N/A!")</f>
        <v>5.0592000000000005E-2</v>
      </c>
      <c r="O449" s="837">
        <f>IFERROR(VLOOKUP(C449,[3]List1!$A:$D,3,FALSE),"N/A!")</f>
        <v>10800</v>
      </c>
      <c r="P449" s="837">
        <f>IFERROR(VLOOKUP(C449,[3]List1!$A:$D,2,FALSE),"N/A!")</f>
        <v>16500</v>
      </c>
      <c r="Q449" s="698" t="s">
        <v>150</v>
      </c>
      <c r="R449" s="698" t="s">
        <v>18</v>
      </c>
      <c r="S449" s="698"/>
      <c r="T449" s="695"/>
      <c r="U449" s="874"/>
      <c r="V449" s="699" t="str">
        <f>_xlfn.IFNA(HYPERLINK("https://www.klasekpyrotechnics.cz/s4j-p"),"")</f>
        <v>https://www.klasekpyrotechnics.cz/s4j-p</v>
      </c>
      <c r="W449" s="700" t="str">
        <f>IFERROR(VLOOKUP($C449,Popisy!A:P,MATCH($W$17,Popisy!$A$7:$P$7,0),FALSE),"---------------")</f>
        <v>crackling nishiki kamuro</v>
      </c>
      <c r="X449" s="891" t="str">
        <f t="shared" si="79"/>
        <v/>
      </c>
      <c r="Y449" s="892"/>
      <c r="Z449" s="700" t="str">
        <f>IFERROR(IF(VLOOKUP(C449,[4]List1!$A:$D,4,FALSE)=0,"",VLOOKUP(C449,[4]List1!$A:$D,4,FALSE)),"")</f>
        <v>24</v>
      </c>
      <c r="AA449" s="707"/>
      <c r="AB449" s="912" t="str">
        <f>IFERROR(IF(VLOOKUP(C449,[1]List1!$A:$D,2,FALSE)="VYPRODÁNO",$V$9,IF(VLOOKUP(C449,[1]List1!$A:$D,2,FALSE)="DOCHÁZÍ",$V$3,VLOOKUP(C449,[1]List1!$A:$D,2,FALSE))),"OFFLINE!")</f>
        <v>15.06.2024</v>
      </c>
      <c r="AC449" s="912" t="str">
        <f ca="1">IF(AO449="NE",$V$10,IF(AB449=$V$3,IF(AP449&lt;1,$V$8,$V$2&amp;" "&amp;AP449&amp;" "&amp;$V$1),IF(AB449="SKLADEM",$V$6,IFERROR(IF(OR(AB449-TODAY()&gt;21,VLOOKUP(C449,[1]List1!$A:$E,4,FALSE)=0),AB449,DAY(AB449)&amp;"."&amp;MONTH(AB449)&amp;"."&amp;YEAR(AB449)&amp;" "&amp;$V$4&amp;VLOOKUP(C449,[1]List1!$A:$E,4,FALSE)&amp;" "&amp;$V$1),AB449))))</f>
        <v>15.06.2024</v>
      </c>
      <c r="AD449" s="701" t="str">
        <f ca="1">_xlfn.IFNA(VLOOKUP(C449,'General price list'!C:AM,MATCH($AD$20,'General price list'!$C$20:$AM$20,0),FALSE),"")</f>
        <v>15.06.2024</v>
      </c>
      <c r="AE449" s="695">
        <f t="shared" ca="1" si="80"/>
        <v>0</v>
      </c>
      <c r="AF449" s="695">
        <f t="shared" ca="1" si="81"/>
        <v>0</v>
      </c>
      <c r="AG449" s="702">
        <f t="shared" ca="1" si="82"/>
        <v>0</v>
      </c>
      <c r="AH449" s="703">
        <f t="shared" ca="1" si="83"/>
        <v>0</v>
      </c>
      <c r="AI449" s="702">
        <f t="shared" ca="1" si="84"/>
        <v>0</v>
      </c>
      <c r="AJ449" s="704" t="str">
        <f t="shared" ca="1" si="85"/>
        <v/>
      </c>
      <c r="AK449" s="704">
        <f t="shared" ca="1" si="86"/>
        <v>0</v>
      </c>
      <c r="AL449" s="704" t="str">
        <f t="shared" ca="1" si="87"/>
        <v/>
      </c>
      <c r="AM449" s="705" t="str">
        <f t="shared" ca="1" si="88"/>
        <v/>
      </c>
      <c r="AN449" s="382"/>
      <c r="AO449" s="314" t="str">
        <f>IF($R$3=1,IF(Y449=AA449,"","NE"),IF(#REF!=$V$10,"NE",""))</f>
        <v/>
      </c>
      <c r="AP449" s="315" t="str">
        <f>IF(AB449=$V$3,IF(VLOOKUP(C449,[1]List1!$A:$E,5,FALSE)=0,1,VLOOKUP(C449,[1]List1!$A:$E,5,FALSE)),"")</f>
        <v/>
      </c>
      <c r="AW449" s="458">
        <f>IFERROR(FIND(VLOOKUP('General price list'!$AB$7,'General price list'!$AC$1:$AD$12,2,FALSE),Q449,1),0)</f>
        <v>10</v>
      </c>
      <c r="AX449" s="458">
        <f>IFERROR(FIND(VLOOKUP('General price list'!$AB$7,'General price list'!$AC$1:$AD$12,2,FALSE),R449,1),0)</f>
        <v>0</v>
      </c>
    </row>
    <row r="450" spans="1:50" ht="15" customHeight="1">
      <c r="A450" s="677" t="str">
        <f>Kat.!C450</f>
        <v xml:space="preserve">                                          </v>
      </c>
      <c r="B450" s="678">
        <v>429</v>
      </c>
      <c r="C450" s="679" t="s">
        <v>1946</v>
      </c>
      <c r="D450" s="679" t="s">
        <v>1904</v>
      </c>
      <c r="E450" s="680" t="s">
        <v>403</v>
      </c>
      <c r="F450" s="681">
        <f>VLOOKUP(C450,[2]List1!$A:$D,2,FALSE)</f>
        <v>1200</v>
      </c>
      <c r="G450" s="682">
        <f t="shared" si="77"/>
        <v>1200</v>
      </c>
      <c r="H450" s="683">
        <f t="shared" si="78"/>
        <v>48.8</v>
      </c>
      <c r="I450" s="836">
        <v>9</v>
      </c>
      <c r="J450" s="680" t="s">
        <v>678</v>
      </c>
      <c r="K450" s="854"/>
      <c r="L450" s="855" t="s">
        <v>13863</v>
      </c>
      <c r="M450" s="680" t="s">
        <v>131</v>
      </c>
      <c r="N450" s="868">
        <f>IFERROR(VLOOKUP(C450,[3]List1!$A:$D,4,FALSE),"N/A!")</f>
        <v>5.0592000000000005E-2</v>
      </c>
      <c r="O450" s="836">
        <f>IFERROR(VLOOKUP(C450,[3]List1!$A:$D,3,FALSE),"N/A!")</f>
        <v>10800</v>
      </c>
      <c r="P450" s="836">
        <f>IFERROR(VLOOKUP(C450,[3]List1!$A:$D,2,FALSE),"N/A!")</f>
        <v>17600</v>
      </c>
      <c r="Q450" s="680" t="s">
        <v>44</v>
      </c>
      <c r="R450" s="680" t="s">
        <v>18</v>
      </c>
      <c r="S450" s="680"/>
      <c r="T450" s="681"/>
      <c r="U450" s="873"/>
      <c r="V450" s="684" t="str">
        <f>_xlfn.IFNA(HYPERLINK("https://www.klasekpyrotechnics.cz/s4k-p"),"")</f>
        <v>https://www.klasekpyrotechnics.cz/s4k-p</v>
      </c>
      <c r="W450" s="685" t="str">
        <f>IFERROR(VLOOKUP($C450,Popisy!A:P,MATCH($W$17,Popisy!$A$7:$P$7,0),FALSE),"---------------")</f>
        <v>silver crown w.red pistil</v>
      </c>
      <c r="X450" s="889" t="str">
        <f t="shared" si="79"/>
        <v/>
      </c>
      <c r="Y450" s="890"/>
      <c r="Z450" s="685" t="str">
        <f>IFERROR(IF(VLOOKUP(C450,[4]List1!$A:$D,4,FALSE)=0,"",VLOOKUP(C450,[4]List1!$A:$D,4,FALSE)),"")</f>
        <v>24</v>
      </c>
      <c r="AA450" s="707"/>
      <c r="AB450" s="911" t="str">
        <f>IFERROR(IF(VLOOKUP(C450,[1]List1!$A:$D,2,FALSE)="VYPRODÁNO",$V$9,IF(VLOOKUP(C450,[1]List1!$A:$D,2,FALSE)="DOCHÁZÍ",$V$3,VLOOKUP(C450,[1]List1!$A:$D,2,FALSE))),"OFFLINE!")</f>
        <v>SKLADEM</v>
      </c>
      <c r="AC450" s="911" t="str">
        <f ca="1">IF(AO450="NE",$V$10,IF(AB450=$V$3,IF(AP450&lt;1,$V$8,$V$2&amp;" "&amp;AP450&amp;" "&amp;$V$1),IF(AB450="SKLADEM",$V$6,IFERROR(IF(OR(AB450-TODAY()&gt;21,VLOOKUP(C450,[1]List1!$A:$E,4,FALSE)=0),AB450,DAY(AB450)&amp;"."&amp;MONTH(AB450)&amp;"."&amp;YEAR(AB450)&amp;" "&amp;$V$4&amp;VLOOKUP(C450,[1]List1!$A:$E,4,FALSE)&amp;" "&amp;$V$1),AB450))))</f>
        <v>AUF LAGER</v>
      </c>
      <c r="AD450" s="686" t="str">
        <f ca="1">_xlfn.IFNA(VLOOKUP(C450,'General price list'!C:AM,MATCH($AD$20,'General price list'!$C$20:$AM$20,0),FALSE),"")</f>
        <v>AUF LAGER</v>
      </c>
      <c r="AE450" s="681">
        <f t="shared" ca="1" si="80"/>
        <v>0</v>
      </c>
      <c r="AF450" s="681">
        <f t="shared" ca="1" si="81"/>
        <v>0</v>
      </c>
      <c r="AG450" s="687">
        <f t="shared" ca="1" si="82"/>
        <v>0</v>
      </c>
      <c r="AH450" s="688">
        <f t="shared" ca="1" si="83"/>
        <v>0</v>
      </c>
      <c r="AI450" s="687">
        <f t="shared" ca="1" si="84"/>
        <v>0</v>
      </c>
      <c r="AJ450" s="689" t="str">
        <f t="shared" ca="1" si="85"/>
        <v/>
      </c>
      <c r="AK450" s="689">
        <f t="shared" ca="1" si="86"/>
        <v>0</v>
      </c>
      <c r="AL450" s="689" t="str">
        <f t="shared" ca="1" si="87"/>
        <v/>
      </c>
      <c r="AM450" s="690" t="str">
        <f t="shared" ca="1" si="88"/>
        <v/>
      </c>
      <c r="AN450" s="382"/>
      <c r="AO450" s="314" t="str">
        <f>IF($R$3=1,IF(Y450=AA450,"","NE"),IF(#REF!=$V$10,"NE",""))</f>
        <v/>
      </c>
      <c r="AP450" s="315" t="str">
        <f>IF(AB450=$V$3,IF(VLOOKUP(C450,[1]List1!$A:$E,5,FALSE)=0,1,VLOOKUP(C450,[1]List1!$A:$E,5,FALSE)),"")</f>
        <v/>
      </c>
      <c r="AW450" s="458">
        <f>IFERROR(FIND(VLOOKUP('General price list'!$AB$7,'General price list'!$AC$1:$AD$12,2,FALSE),Q450,1),0)</f>
        <v>13</v>
      </c>
      <c r="AX450" s="458">
        <f>IFERROR(FIND(VLOOKUP('General price list'!$AB$7,'General price list'!$AC$1:$AD$12,2,FALSE),R450,1),0)</f>
        <v>0</v>
      </c>
    </row>
    <row r="451" spans="1:50" ht="15" customHeight="1">
      <c r="A451" s="691" t="str">
        <f>Kat.!C451</f>
        <v xml:space="preserve">                                          </v>
      </c>
      <c r="B451" s="692">
        <v>430</v>
      </c>
      <c r="C451" s="693" t="s">
        <v>1947</v>
      </c>
      <c r="D451" s="693" t="s">
        <v>1906</v>
      </c>
      <c r="E451" s="694" t="s">
        <v>403</v>
      </c>
      <c r="F451" s="695">
        <f>VLOOKUP(C451,[2]List1!$A:$D,2,FALSE)</f>
        <v>1200</v>
      </c>
      <c r="G451" s="696">
        <f t="shared" si="77"/>
        <v>1200</v>
      </c>
      <c r="H451" s="697">
        <f t="shared" si="78"/>
        <v>48.8</v>
      </c>
      <c r="I451" s="837">
        <v>9</v>
      </c>
      <c r="J451" s="698" t="s">
        <v>678</v>
      </c>
      <c r="K451" s="856"/>
      <c r="L451" s="857" t="s">
        <v>13863</v>
      </c>
      <c r="M451" s="698" t="s">
        <v>131</v>
      </c>
      <c r="N451" s="869">
        <f>IFERROR(VLOOKUP(C451,[3]List1!$A:$D,4,FALSE),"N/A!")</f>
        <v>5.0592000000000005E-2</v>
      </c>
      <c r="O451" s="837">
        <f>IFERROR(VLOOKUP(C451,[3]List1!$A:$D,3,FALSE),"N/A!")</f>
        <v>10800</v>
      </c>
      <c r="P451" s="837">
        <f>IFERROR(VLOOKUP(C451,[3]List1!$A:$D,2,FALSE),"N/A!")</f>
        <v>17300</v>
      </c>
      <c r="Q451" s="698" t="s">
        <v>44</v>
      </c>
      <c r="R451" s="698" t="s">
        <v>18</v>
      </c>
      <c r="S451" s="698"/>
      <c r="T451" s="695"/>
      <c r="U451" s="874"/>
      <c r="V451" s="699" t="str">
        <f>_xlfn.IFNA(HYPERLINK("https://www.klasekpyrotechnics.cz/s4l-p"),"")</f>
        <v>https://www.klasekpyrotechnics.cz/s4l-p</v>
      </c>
      <c r="W451" s="700" t="str">
        <f>IFERROR(VLOOKUP($C451,Popisy!A:P,MATCH($W$17,Popisy!$A$7:$P$7,0),FALSE),"---------------")</f>
        <v>blood red+silver strobe</v>
      </c>
      <c r="X451" s="891" t="str">
        <f t="shared" si="79"/>
        <v/>
      </c>
      <c r="Y451" s="892"/>
      <c r="Z451" s="700" t="str">
        <f>IFERROR(IF(VLOOKUP(C451,[4]List1!$A:$D,4,FALSE)=0,"",VLOOKUP(C451,[4]List1!$A:$D,4,FALSE)),"")</f>
        <v>24</v>
      </c>
      <c r="AA451" s="707"/>
      <c r="AB451" s="912" t="str">
        <f>IFERROR(IF(VLOOKUP(C451,[1]List1!$A:$D,2,FALSE)="VYPRODÁNO",$V$9,IF(VLOOKUP(C451,[1]List1!$A:$D,2,FALSE)="DOCHÁZÍ",$V$3,VLOOKUP(C451,[1]List1!$A:$D,2,FALSE))),"OFFLINE!")</f>
        <v>30.09.2024</v>
      </c>
      <c r="AC451" s="912" t="str">
        <f ca="1">IF(AO451="NE",$V$10,IF(AB451=$V$3,IF(AP451&lt;1,$V$8,$V$2&amp;" "&amp;AP451&amp;" "&amp;$V$1),IF(AB451="SKLADEM",$V$6,IFERROR(IF(OR(AB451-TODAY()&gt;21,VLOOKUP(C451,[1]List1!$A:$E,4,FALSE)=0),AB451,DAY(AB451)&amp;"."&amp;MONTH(AB451)&amp;"."&amp;YEAR(AB451)&amp;" "&amp;$V$4&amp;VLOOKUP(C451,[1]List1!$A:$E,4,FALSE)&amp;" "&amp;$V$1),AB451))))</f>
        <v>30.09.2024</v>
      </c>
      <c r="AD451" s="701" t="str">
        <f ca="1">_xlfn.IFNA(VLOOKUP(C451,'General price list'!C:AM,MATCH($AD$20,'General price list'!$C$20:$AM$20,0),FALSE),"")</f>
        <v>30.09.2024</v>
      </c>
      <c r="AE451" s="695">
        <f t="shared" ca="1" si="80"/>
        <v>0</v>
      </c>
      <c r="AF451" s="695">
        <f t="shared" ca="1" si="81"/>
        <v>0</v>
      </c>
      <c r="AG451" s="702">
        <f t="shared" ca="1" si="82"/>
        <v>0</v>
      </c>
      <c r="AH451" s="703">
        <f t="shared" ca="1" si="83"/>
        <v>0</v>
      </c>
      <c r="AI451" s="702">
        <f t="shared" ca="1" si="84"/>
        <v>0</v>
      </c>
      <c r="AJ451" s="704" t="str">
        <f t="shared" ca="1" si="85"/>
        <v/>
      </c>
      <c r="AK451" s="704">
        <f t="shared" ca="1" si="86"/>
        <v>0</v>
      </c>
      <c r="AL451" s="704" t="str">
        <f t="shared" ca="1" si="87"/>
        <v/>
      </c>
      <c r="AM451" s="705" t="str">
        <f t="shared" ca="1" si="88"/>
        <v/>
      </c>
      <c r="AN451" s="382"/>
      <c r="AO451" s="314" t="str">
        <f>IF($R$3=1,IF(Y451=AA451,"","NE"),IF(#REF!=$V$10,"NE",""))</f>
        <v/>
      </c>
      <c r="AP451" s="315" t="str">
        <f>IF(AB451=$V$3,IF(VLOOKUP(C451,[1]List1!$A:$E,5,FALSE)=0,1,VLOOKUP(C451,[1]List1!$A:$E,5,FALSE)),"")</f>
        <v/>
      </c>
      <c r="AW451" s="458">
        <f>IFERROR(FIND(VLOOKUP('General price list'!$AB$7,'General price list'!$AC$1:$AD$12,2,FALSE),Q451,1),0)</f>
        <v>13</v>
      </c>
      <c r="AX451" s="458">
        <f>IFERROR(FIND(VLOOKUP('General price list'!$AB$7,'General price list'!$AC$1:$AD$12,2,FALSE),R451,1),0)</f>
        <v>0</v>
      </c>
    </row>
    <row r="452" spans="1:50" ht="15" customHeight="1">
      <c r="A452" s="677" t="str">
        <f>Kat.!C452</f>
        <v xml:space="preserve">                                          </v>
      </c>
      <c r="B452" s="678">
        <v>431</v>
      </c>
      <c r="C452" s="679" t="s">
        <v>1948</v>
      </c>
      <c r="D452" s="679" t="s">
        <v>1907</v>
      </c>
      <c r="E452" s="680" t="s">
        <v>403</v>
      </c>
      <c r="F452" s="681">
        <f>VLOOKUP(C452,[2]List1!$A:$D,2,FALSE)</f>
        <v>1246</v>
      </c>
      <c r="G452" s="682">
        <f t="shared" si="77"/>
        <v>1246</v>
      </c>
      <c r="H452" s="683">
        <f t="shared" si="78"/>
        <v>50.7</v>
      </c>
      <c r="I452" s="836">
        <v>9</v>
      </c>
      <c r="J452" s="680" t="s">
        <v>678</v>
      </c>
      <c r="K452" s="854"/>
      <c r="L452" s="855" t="s">
        <v>13863</v>
      </c>
      <c r="M452" s="680" t="s">
        <v>131</v>
      </c>
      <c r="N452" s="868">
        <f>IFERROR(VLOOKUP(C452,[3]List1!$A:$D,4,FALSE),"N/A!")</f>
        <v>5.0592000000000005E-2</v>
      </c>
      <c r="O452" s="836">
        <f>IFERROR(VLOOKUP(C452,[3]List1!$A:$D,3,FALSE),"N/A!")</f>
        <v>10800</v>
      </c>
      <c r="P452" s="836">
        <f>IFERROR(VLOOKUP(C452,[3]List1!$A:$D,2,FALSE),"N/A!")</f>
        <v>15200</v>
      </c>
      <c r="Q452" s="680" t="s">
        <v>150</v>
      </c>
      <c r="R452" s="680" t="s">
        <v>18</v>
      </c>
      <c r="S452" s="680"/>
      <c r="T452" s="681"/>
      <c r="U452" s="873"/>
      <c r="V452" s="684" t="str">
        <f>_xlfn.IFNA(HYPERLINK("https://www.klasekpyrotechnics.cz/s4na-p"),"")</f>
        <v>https://www.klasekpyrotechnics.cz/s4na-p</v>
      </c>
      <c r="W452" s="685" t="str">
        <f>IFERROR(VLOOKUP($C452,Popisy!A:P,MATCH($W$17,Popisy!$A$7:$P$7,0),FALSE),"---------------")</f>
        <v>golden Ti-willow</v>
      </c>
      <c r="X452" s="889" t="str">
        <f t="shared" si="79"/>
        <v/>
      </c>
      <c r="Y452" s="890"/>
      <c r="Z452" s="685" t="str">
        <f>IFERROR(IF(VLOOKUP(C452,[4]List1!$A:$D,4,FALSE)=0,"",VLOOKUP(C452,[4]List1!$A:$D,4,FALSE)),"")</f>
        <v>24</v>
      </c>
      <c r="AA452" s="707"/>
      <c r="AB452" s="911" t="str">
        <f>IFERROR(IF(VLOOKUP(C452,[1]List1!$A:$D,2,FALSE)="VYPRODÁNO",$V$9,IF(VLOOKUP(C452,[1]List1!$A:$D,2,FALSE)="DOCHÁZÍ",$V$3,VLOOKUP(C452,[1]List1!$A:$D,2,FALSE))),"OFFLINE!")</f>
        <v>15.06.2024</v>
      </c>
      <c r="AC452" s="911" t="str">
        <f ca="1">IF(AO452="NE",$V$10,IF(AB452=$V$3,IF(AP452&lt;1,$V$8,$V$2&amp;" "&amp;AP452&amp;" "&amp;$V$1),IF(AB452="SKLADEM",$V$6,IFERROR(IF(OR(AB452-TODAY()&gt;21,VLOOKUP(C452,[1]List1!$A:$E,4,FALSE)=0),AB452,DAY(AB452)&amp;"."&amp;MONTH(AB452)&amp;"."&amp;YEAR(AB452)&amp;" "&amp;$V$4&amp;VLOOKUP(C452,[1]List1!$A:$E,4,FALSE)&amp;" "&amp;$V$1),AB452))))</f>
        <v>15.06.2024</v>
      </c>
      <c r="AD452" s="686" t="str">
        <f ca="1">_xlfn.IFNA(VLOOKUP(C452,'General price list'!C:AM,MATCH($AD$20,'General price list'!$C$20:$AM$20,0),FALSE),"")</f>
        <v>15.06.2024</v>
      </c>
      <c r="AE452" s="681">
        <f t="shared" ca="1" si="80"/>
        <v>0</v>
      </c>
      <c r="AF452" s="681">
        <f t="shared" ca="1" si="81"/>
        <v>0</v>
      </c>
      <c r="AG452" s="687">
        <f t="shared" ca="1" si="82"/>
        <v>0</v>
      </c>
      <c r="AH452" s="688">
        <f t="shared" ca="1" si="83"/>
        <v>0</v>
      </c>
      <c r="AI452" s="687">
        <f t="shared" ca="1" si="84"/>
        <v>0</v>
      </c>
      <c r="AJ452" s="689" t="str">
        <f t="shared" ca="1" si="85"/>
        <v/>
      </c>
      <c r="AK452" s="689">
        <f t="shared" ca="1" si="86"/>
        <v>0</v>
      </c>
      <c r="AL452" s="689" t="str">
        <f t="shared" ca="1" si="87"/>
        <v/>
      </c>
      <c r="AM452" s="690" t="str">
        <f t="shared" ca="1" si="88"/>
        <v/>
      </c>
      <c r="AN452" s="382"/>
      <c r="AO452" s="314" t="str">
        <f>IF($R$3=1,IF(Y452=AA452,"","NE"),IF(#REF!=$V$10,"NE",""))</f>
        <v/>
      </c>
      <c r="AP452" s="315" t="str">
        <f>IF(AB452=$V$3,IF(VLOOKUP(C452,[1]List1!$A:$E,5,FALSE)=0,1,VLOOKUP(C452,[1]List1!$A:$E,5,FALSE)),"")</f>
        <v/>
      </c>
      <c r="AW452" s="458">
        <f>IFERROR(FIND(VLOOKUP('General price list'!$AB$7,'General price list'!$AC$1:$AD$12,2,FALSE),Q452,1),0)</f>
        <v>10</v>
      </c>
      <c r="AX452" s="458">
        <f>IFERROR(FIND(VLOOKUP('General price list'!$AB$7,'General price list'!$AC$1:$AD$12,2,FALSE),R452,1),0)</f>
        <v>0</v>
      </c>
    </row>
    <row r="453" spans="1:50" ht="15" customHeight="1">
      <c r="A453" s="691" t="str">
        <f>Kat.!C453</f>
        <v xml:space="preserve">                                          </v>
      </c>
      <c r="B453" s="692">
        <v>432</v>
      </c>
      <c r="C453" s="693" t="s">
        <v>1949</v>
      </c>
      <c r="D453" s="693" t="s">
        <v>1908</v>
      </c>
      <c r="E453" s="694" t="s">
        <v>403</v>
      </c>
      <c r="F453" s="695">
        <f>VLOOKUP(C453,[2]List1!$A:$D,2,FALSE)</f>
        <v>1200</v>
      </c>
      <c r="G453" s="696">
        <f t="shared" si="77"/>
        <v>1200</v>
      </c>
      <c r="H453" s="697">
        <f t="shared" si="78"/>
        <v>48.8</v>
      </c>
      <c r="I453" s="837">
        <v>9</v>
      </c>
      <c r="J453" s="698" t="s">
        <v>678</v>
      </c>
      <c r="K453" s="856"/>
      <c r="L453" s="857" t="s">
        <v>13863</v>
      </c>
      <c r="M453" s="698" t="s">
        <v>131</v>
      </c>
      <c r="N453" s="869">
        <f>IFERROR(VLOOKUP(C453,[3]List1!$A:$D,4,FALSE),"N/A!")</f>
        <v>5.0592000000000005E-2</v>
      </c>
      <c r="O453" s="837">
        <f>IFERROR(VLOOKUP(C453,[3]List1!$A:$D,3,FALSE),"N/A!")</f>
        <v>10800</v>
      </c>
      <c r="P453" s="837">
        <f>IFERROR(VLOOKUP(C453,[3]List1!$A:$D,2,FALSE),"N/A!")</f>
        <v>16500</v>
      </c>
      <c r="Q453" s="698" t="s">
        <v>44</v>
      </c>
      <c r="R453" s="698" t="s">
        <v>18</v>
      </c>
      <c r="S453" s="698"/>
      <c r="T453" s="695"/>
      <c r="U453" s="874"/>
      <c r="V453" s="699" t="str">
        <f>_xlfn.IFNA(HYPERLINK("https://www.klasekpyrotechnics.cz/s4o-p"),"")</f>
        <v>https://www.klasekpyrotechnics.cz/s4o-p</v>
      </c>
      <c r="W453" s="700" t="str">
        <f>IFERROR(VLOOKUP($C453,Popisy!A:P,MATCH($W$17,Popisy!$A$7:$P$7,0),FALSE),"---------------")</f>
        <v>silver strobe</v>
      </c>
      <c r="X453" s="891" t="str">
        <f t="shared" si="79"/>
        <v/>
      </c>
      <c r="Y453" s="892"/>
      <c r="Z453" s="700" t="str">
        <f>IFERROR(IF(VLOOKUP(C453,[4]List1!$A:$D,4,FALSE)=0,"",VLOOKUP(C453,[4]List1!$A:$D,4,FALSE)),"")</f>
        <v>24</v>
      </c>
      <c r="AA453" s="707"/>
      <c r="AB453" s="912" t="str">
        <f>IFERROR(IF(VLOOKUP(C453,[1]List1!$A:$D,2,FALSE)="VYPRODÁNO",$V$9,IF(VLOOKUP(C453,[1]List1!$A:$D,2,FALSE)="DOCHÁZÍ",$V$3,VLOOKUP(C453,[1]List1!$A:$D,2,FALSE))),"OFFLINE!")</f>
        <v>SKLADEM</v>
      </c>
      <c r="AC453" s="912" t="str">
        <f ca="1">IF(AO453="NE",$V$10,IF(AB453=$V$3,IF(AP453&lt;1,$V$8,$V$2&amp;" "&amp;AP453&amp;" "&amp;$V$1),IF(AB453="SKLADEM",$V$6,IFERROR(IF(OR(AB453-TODAY()&gt;21,VLOOKUP(C453,[1]List1!$A:$E,4,FALSE)=0),AB453,DAY(AB453)&amp;"."&amp;MONTH(AB453)&amp;"."&amp;YEAR(AB453)&amp;" "&amp;$V$4&amp;VLOOKUP(C453,[1]List1!$A:$E,4,FALSE)&amp;" "&amp;$V$1),AB453))))</f>
        <v>AUF LAGER</v>
      </c>
      <c r="AD453" s="701" t="str">
        <f ca="1">_xlfn.IFNA(VLOOKUP(C453,'General price list'!C:AM,MATCH($AD$20,'General price list'!$C$20:$AM$20,0),FALSE),"")</f>
        <v>AUF LAGER</v>
      </c>
      <c r="AE453" s="695">
        <f t="shared" ca="1" si="80"/>
        <v>0</v>
      </c>
      <c r="AF453" s="695">
        <f t="shared" ca="1" si="81"/>
        <v>0</v>
      </c>
      <c r="AG453" s="702">
        <f t="shared" ca="1" si="82"/>
        <v>0</v>
      </c>
      <c r="AH453" s="703">
        <f t="shared" ca="1" si="83"/>
        <v>0</v>
      </c>
      <c r="AI453" s="702">
        <f t="shared" ca="1" si="84"/>
        <v>0</v>
      </c>
      <c r="AJ453" s="704" t="str">
        <f t="shared" ca="1" si="85"/>
        <v/>
      </c>
      <c r="AK453" s="704">
        <f t="shared" ca="1" si="86"/>
        <v>0</v>
      </c>
      <c r="AL453" s="704" t="str">
        <f t="shared" ca="1" si="87"/>
        <v/>
      </c>
      <c r="AM453" s="705" t="str">
        <f t="shared" ca="1" si="88"/>
        <v/>
      </c>
      <c r="AN453" s="381"/>
      <c r="AO453" s="314" t="str">
        <f>IF($R$3=1,IF(Y453=AA453,"","NE"),IF(#REF!=$V$10,"NE",""))</f>
        <v/>
      </c>
      <c r="AP453" s="315" t="str">
        <f>IF(AB453=$V$3,IF(VLOOKUP(C453,[1]List1!$A:$E,5,FALSE)=0,1,VLOOKUP(C453,[1]List1!$A:$E,5,FALSE)),"")</f>
        <v/>
      </c>
      <c r="AW453" s="458">
        <f>IFERROR(FIND(VLOOKUP('General price list'!$AB$7,'General price list'!$AC$1:$AD$12,2,FALSE),Q453,1),0)</f>
        <v>13</v>
      </c>
      <c r="AX453" s="458">
        <f>IFERROR(FIND(VLOOKUP('General price list'!$AB$7,'General price list'!$AC$1:$AD$12,2,FALSE),R453,1),0)</f>
        <v>0</v>
      </c>
    </row>
    <row r="454" spans="1:50" ht="15" customHeight="1">
      <c r="A454" s="677" t="str">
        <f>Kat.!C454</f>
        <v xml:space="preserve">                                          </v>
      </c>
      <c r="B454" s="678">
        <v>433</v>
      </c>
      <c r="C454" s="679" t="s">
        <v>1950</v>
      </c>
      <c r="D454" s="679" t="s">
        <v>1910</v>
      </c>
      <c r="E454" s="680" t="s">
        <v>403</v>
      </c>
      <c r="F454" s="681">
        <f>VLOOKUP(C454,[2]List1!$A:$D,2,FALSE)</f>
        <v>1200</v>
      </c>
      <c r="G454" s="682">
        <f t="shared" si="77"/>
        <v>1200</v>
      </c>
      <c r="H454" s="683">
        <f t="shared" si="78"/>
        <v>48.8</v>
      </c>
      <c r="I454" s="836">
        <v>9</v>
      </c>
      <c r="J454" s="680" t="s">
        <v>678</v>
      </c>
      <c r="K454" s="854"/>
      <c r="L454" s="855" t="s">
        <v>13863</v>
      </c>
      <c r="M454" s="680" t="s">
        <v>131</v>
      </c>
      <c r="N454" s="868">
        <f>IFERROR(VLOOKUP(C454,[3]List1!$A:$D,4,FALSE),"N/A!")</f>
        <v>5.0592000000000005E-2</v>
      </c>
      <c r="O454" s="836">
        <f>IFERROR(VLOOKUP(C454,[3]List1!$A:$D,3,FALSE),"N/A!")</f>
        <v>10800</v>
      </c>
      <c r="P454" s="836">
        <f>IFERROR(VLOOKUP(C454,[3]List1!$A:$D,2,FALSE),"N/A!")</f>
        <v>16700</v>
      </c>
      <c r="Q454" s="680" t="s">
        <v>44</v>
      </c>
      <c r="R454" s="680" t="s">
        <v>18</v>
      </c>
      <c r="S454" s="680"/>
      <c r="T454" s="681"/>
      <c r="U454" s="873"/>
      <c r="V454" s="684" t="str">
        <f>_xlfn.IFNA(HYPERLINK("https://www.klasekpyrotechnics.cz/s4p-p"),"")</f>
        <v>https://www.klasekpyrotechnics.cz/s4p-p</v>
      </c>
      <c r="W454" s="685" t="str">
        <f>IFERROR(VLOOKUP($C454,Popisy!A:P,MATCH($W$17,Popisy!$A$7:$P$7,0),FALSE),"---------------")</f>
        <v>silver tail to silver palm tree</v>
      </c>
      <c r="X454" s="889" t="str">
        <f t="shared" si="79"/>
        <v/>
      </c>
      <c r="Y454" s="890"/>
      <c r="Z454" s="685" t="str">
        <f>IFERROR(IF(VLOOKUP(C454,[4]List1!$A:$D,4,FALSE)=0,"",VLOOKUP(C454,[4]List1!$A:$D,4,FALSE)),"")</f>
        <v>24</v>
      </c>
      <c r="AA454" s="707"/>
      <c r="AB454" s="911" t="str">
        <f>IFERROR(IF(VLOOKUP(C454,[1]List1!$A:$D,2,FALSE)="VYPRODÁNO",$V$9,IF(VLOOKUP(C454,[1]List1!$A:$D,2,FALSE)="DOCHÁZÍ",$V$3,VLOOKUP(C454,[1]List1!$A:$D,2,FALSE))),"OFFLINE!")</f>
        <v>SKLADEM</v>
      </c>
      <c r="AC454" s="911" t="str">
        <f ca="1">IF(AO454="NE",$V$10,IF(AB454=$V$3,IF(AP454&lt;1,$V$8,$V$2&amp;" "&amp;AP454&amp;" "&amp;$V$1),IF(AB454="SKLADEM",$V$6,IFERROR(IF(OR(AB454-TODAY()&gt;21,VLOOKUP(C454,[1]List1!$A:$E,4,FALSE)=0),AB454,DAY(AB454)&amp;"."&amp;MONTH(AB454)&amp;"."&amp;YEAR(AB454)&amp;" "&amp;$V$4&amp;VLOOKUP(C454,[1]List1!$A:$E,4,FALSE)&amp;" "&amp;$V$1),AB454))))</f>
        <v>AUF LAGER</v>
      </c>
      <c r="AD454" s="686" t="str">
        <f ca="1">_xlfn.IFNA(VLOOKUP(C454,'General price list'!C:AM,MATCH($AD$20,'General price list'!$C$20:$AM$20,0),FALSE),"")</f>
        <v>AUF LAGER</v>
      </c>
      <c r="AE454" s="681">
        <f t="shared" ca="1" si="80"/>
        <v>0</v>
      </c>
      <c r="AF454" s="681">
        <f t="shared" ca="1" si="81"/>
        <v>0</v>
      </c>
      <c r="AG454" s="687">
        <f t="shared" ca="1" si="82"/>
        <v>0</v>
      </c>
      <c r="AH454" s="688">
        <f t="shared" ca="1" si="83"/>
        <v>0</v>
      </c>
      <c r="AI454" s="687">
        <f t="shared" ca="1" si="84"/>
        <v>0</v>
      </c>
      <c r="AJ454" s="689" t="str">
        <f t="shared" ca="1" si="85"/>
        <v/>
      </c>
      <c r="AK454" s="689">
        <f t="shared" ca="1" si="86"/>
        <v>0</v>
      </c>
      <c r="AL454" s="689" t="str">
        <f t="shared" ca="1" si="87"/>
        <v/>
      </c>
      <c r="AM454" s="690" t="str">
        <f t="shared" ca="1" si="88"/>
        <v/>
      </c>
      <c r="AN454" s="382"/>
      <c r="AO454" s="314" t="str">
        <f>IF($R$3=1,IF(Y454=AA454,"","NE"),IF(#REF!=$V$10,"NE",""))</f>
        <v/>
      </c>
      <c r="AP454" s="315" t="str">
        <f>IF(AB454=$V$3,IF(VLOOKUP(C454,[1]List1!$A:$E,5,FALSE)=0,1,VLOOKUP(C454,[1]List1!$A:$E,5,FALSE)),"")</f>
        <v/>
      </c>
      <c r="AW454" s="458">
        <f>IFERROR(FIND(VLOOKUP('General price list'!$AB$7,'General price list'!$AC$1:$AD$12,2,FALSE),Q454,1),0)</f>
        <v>13</v>
      </c>
      <c r="AX454" s="458">
        <f>IFERROR(FIND(VLOOKUP('General price list'!$AB$7,'General price list'!$AC$1:$AD$12,2,FALSE),R454,1),0)</f>
        <v>0</v>
      </c>
    </row>
    <row r="455" spans="1:50" ht="15" customHeight="1">
      <c r="A455" s="691" t="str">
        <f>Kat.!C455</f>
        <v xml:space="preserve">                                          </v>
      </c>
      <c r="B455" s="692">
        <v>434</v>
      </c>
      <c r="C455" s="693" t="s">
        <v>1951</v>
      </c>
      <c r="D455" s="693" t="s">
        <v>1911</v>
      </c>
      <c r="E455" s="694" t="s">
        <v>403</v>
      </c>
      <c r="F455" s="695">
        <f>VLOOKUP(C455,[2]List1!$A:$D,2,FALSE)</f>
        <v>1200</v>
      </c>
      <c r="G455" s="696">
        <f t="shared" si="77"/>
        <v>1200</v>
      </c>
      <c r="H455" s="697">
        <f t="shared" si="78"/>
        <v>48.8</v>
      </c>
      <c r="I455" s="837">
        <v>9</v>
      </c>
      <c r="J455" s="698" t="s">
        <v>678</v>
      </c>
      <c r="K455" s="856"/>
      <c r="L455" s="857" t="s">
        <v>13863</v>
      </c>
      <c r="M455" s="698" t="s">
        <v>131</v>
      </c>
      <c r="N455" s="869">
        <f>IFERROR(VLOOKUP(C455,[3]List1!$A:$D,4,FALSE),"N/A!")</f>
        <v>5.0592000000000005E-2</v>
      </c>
      <c r="O455" s="837">
        <f>IFERROR(VLOOKUP(C455,[3]List1!$A:$D,3,FALSE),"N/A!")</f>
        <v>10800</v>
      </c>
      <c r="P455" s="837">
        <f>IFERROR(VLOOKUP(C455,[3]List1!$A:$D,2,FALSE),"N/A!")</f>
        <v>15000</v>
      </c>
      <c r="Q455" s="698" t="s">
        <v>150</v>
      </c>
      <c r="R455" s="698" t="s">
        <v>18</v>
      </c>
      <c r="S455" s="698"/>
      <c r="T455" s="695"/>
      <c r="U455" s="874"/>
      <c r="V455" s="699" t="str">
        <f>_xlfn.IFNA(HYPERLINK("https://www.klasekpyrotechnics.cz/s4q-p"),"")</f>
        <v>https://www.klasekpyrotechnics.cz/s4q-p</v>
      </c>
      <c r="W455" s="700" t="str">
        <f>IFERROR(VLOOKUP($C455,Popisy!A:P,MATCH($W$17,Popisy!$A$7:$P$7,0),FALSE),"---------------")</f>
        <v>special strobe red</v>
      </c>
      <c r="X455" s="891" t="str">
        <f t="shared" si="79"/>
        <v/>
      </c>
      <c r="Y455" s="892"/>
      <c r="Z455" s="700" t="str">
        <f>IFERROR(IF(VLOOKUP(C455,[4]List1!$A:$D,4,FALSE)=0,"",VLOOKUP(C455,[4]List1!$A:$D,4,FALSE)),"")</f>
        <v>24</v>
      </c>
      <c r="AA455" s="707"/>
      <c r="AB455" s="912" t="str">
        <f>IFERROR(IF(VLOOKUP(C455,[1]List1!$A:$D,2,FALSE)="VYPRODÁNO",$V$9,IF(VLOOKUP(C455,[1]List1!$A:$D,2,FALSE)="DOCHÁZÍ",$V$3,VLOOKUP(C455,[1]List1!$A:$D,2,FALSE))),"OFFLINE!")</f>
        <v>SKLADEM</v>
      </c>
      <c r="AC455" s="912" t="str">
        <f ca="1">IF(AO455="NE",$V$10,IF(AB455=$V$3,IF(AP455&lt;1,$V$8,$V$2&amp;" "&amp;AP455&amp;" "&amp;$V$1),IF(AB455="SKLADEM",$V$6,IFERROR(IF(OR(AB455-TODAY()&gt;21,VLOOKUP(C455,[1]List1!$A:$E,4,FALSE)=0),AB455,DAY(AB455)&amp;"."&amp;MONTH(AB455)&amp;"."&amp;YEAR(AB455)&amp;" "&amp;$V$4&amp;VLOOKUP(C455,[1]List1!$A:$E,4,FALSE)&amp;" "&amp;$V$1),AB455))))</f>
        <v>AUF LAGER</v>
      </c>
      <c r="AD455" s="701">
        <f>_xlfn.IFNA(VLOOKUP(C455,'General price list'!C:AM,MATCH($AD$20,'General price list'!$C$20:$AM$20,0),FALSE),"")</f>
        <v>0</v>
      </c>
      <c r="AE455" s="695">
        <f t="shared" si="80"/>
        <v>0</v>
      </c>
      <c r="AF455" s="695">
        <f t="shared" si="81"/>
        <v>0</v>
      </c>
      <c r="AG455" s="702">
        <f t="shared" si="82"/>
        <v>0</v>
      </c>
      <c r="AH455" s="703">
        <f t="shared" si="83"/>
        <v>0</v>
      </c>
      <c r="AI455" s="702">
        <f t="shared" si="84"/>
        <v>0</v>
      </c>
      <c r="AJ455" s="704" t="str">
        <f t="shared" si="85"/>
        <v/>
      </c>
      <c r="AK455" s="704">
        <f t="shared" si="86"/>
        <v>0</v>
      </c>
      <c r="AL455" s="704" t="str">
        <f t="shared" si="87"/>
        <v/>
      </c>
      <c r="AM455" s="705" t="str">
        <f t="shared" si="88"/>
        <v/>
      </c>
      <c r="AN455" s="382"/>
      <c r="AO455" s="314" t="str">
        <f>IF($R$3=1,IF(Y455=AA455,"","NE"),IF(#REF!=$V$10,"NE",""))</f>
        <v/>
      </c>
      <c r="AP455" s="315" t="str">
        <f>IF(AB455=$V$3,IF(VLOOKUP(C455,[1]List1!$A:$E,5,FALSE)=0,1,VLOOKUP(C455,[1]List1!$A:$E,5,FALSE)),"")</f>
        <v/>
      </c>
      <c r="AW455" s="458">
        <f>IFERROR(FIND(VLOOKUP('General price list'!$AB$7,'General price list'!$AC$1:$AD$12,2,FALSE),Q455,1),0)</f>
        <v>10</v>
      </c>
      <c r="AX455" s="458">
        <f>IFERROR(FIND(VLOOKUP('General price list'!$AB$7,'General price list'!$AC$1:$AD$12,2,FALSE),R455,1),0)</f>
        <v>0</v>
      </c>
    </row>
    <row r="456" spans="1:50" ht="15" customHeight="1">
      <c r="A456" s="677" t="str">
        <f>Kat.!C456</f>
        <v xml:space="preserve">                                          </v>
      </c>
      <c r="B456" s="678">
        <v>435</v>
      </c>
      <c r="C456" s="679" t="s">
        <v>1953</v>
      </c>
      <c r="D456" s="679" t="s">
        <v>1914</v>
      </c>
      <c r="E456" s="680" t="s">
        <v>403</v>
      </c>
      <c r="F456" s="681">
        <f>VLOOKUP(C456,[2]List1!$A:$D,2,FALSE)</f>
        <v>1200</v>
      </c>
      <c r="G456" s="682">
        <f t="shared" si="77"/>
        <v>1200</v>
      </c>
      <c r="H456" s="683">
        <f t="shared" si="78"/>
        <v>48.8</v>
      </c>
      <c r="I456" s="836">
        <v>9</v>
      </c>
      <c r="J456" s="680" t="s">
        <v>678</v>
      </c>
      <c r="K456" s="854"/>
      <c r="L456" s="855" t="s">
        <v>13863</v>
      </c>
      <c r="M456" s="680" t="s">
        <v>131</v>
      </c>
      <c r="N456" s="868">
        <f>IFERROR(VLOOKUP(C456,[3]List1!$A:$D,4,FALSE),"N/A!")</f>
        <v>5.0592000000000005E-2</v>
      </c>
      <c r="O456" s="836">
        <f>IFERROR(VLOOKUP(C456,[3]List1!$A:$D,3,FALSE),"N/A!")</f>
        <v>10800</v>
      </c>
      <c r="P456" s="836">
        <f>IFERROR(VLOOKUP(C456,[3]List1!$A:$D,2,FALSE),"N/A!")</f>
        <v>18400</v>
      </c>
      <c r="Q456" s="680" t="s">
        <v>150</v>
      </c>
      <c r="R456" s="680" t="s">
        <v>18</v>
      </c>
      <c r="S456" s="680"/>
      <c r="T456" s="681"/>
      <c r="U456" s="873"/>
      <c r="V456" s="684" t="str">
        <f>_xlfn.IFNA(HYPERLINK("https://www.klasekpyrotechnics.cz/s4s-p"),"")</f>
        <v>https://www.klasekpyrotechnics.cz/s4s-p</v>
      </c>
      <c r="W456" s="685" t="str">
        <f>IFERROR(VLOOKUP($C456,Popisy!A:P,MATCH($W$17,Popisy!$A$7:$P$7,0),FALSE),"---------------")</f>
        <v>silver wave to blue w.crackling</v>
      </c>
      <c r="X456" s="889" t="str">
        <f t="shared" si="79"/>
        <v/>
      </c>
      <c r="Y456" s="890"/>
      <c r="Z456" s="685" t="str">
        <f>IFERROR(IF(VLOOKUP(C456,[4]List1!$A:$D,4,FALSE)=0,"",VLOOKUP(C456,[4]List1!$A:$D,4,FALSE)),"")</f>
        <v>24</v>
      </c>
      <c r="AA456" s="707"/>
      <c r="AB456" s="911" t="str">
        <f>IFERROR(IF(VLOOKUP(C456,[1]List1!$A:$D,2,FALSE)="VYPRODÁNO",$V$9,IF(VLOOKUP(C456,[1]List1!$A:$D,2,FALSE)="DOCHÁZÍ",$V$3,VLOOKUP(C456,[1]List1!$A:$D,2,FALSE))),"OFFLINE!")</f>
        <v>SKLADEM</v>
      </c>
      <c r="AC456" s="911" t="str">
        <f ca="1">IF(AO456="NE",$V$10,IF(AB456=$V$3,IF(AP456&lt;1,$V$8,$V$2&amp;" "&amp;AP456&amp;" "&amp;$V$1),IF(AB456="SKLADEM",$V$6,IFERROR(IF(OR(AB456-TODAY()&gt;21,VLOOKUP(C456,[1]List1!$A:$E,4,FALSE)=0),AB456,DAY(AB456)&amp;"."&amp;MONTH(AB456)&amp;"."&amp;YEAR(AB456)&amp;" "&amp;$V$4&amp;VLOOKUP(C456,[1]List1!$A:$E,4,FALSE)&amp;" "&amp;$V$1),AB456))))</f>
        <v>AUF LAGER</v>
      </c>
      <c r="AD456" s="686" t="str">
        <f ca="1">_xlfn.IFNA(VLOOKUP(C456,'General price list'!C:AM,MATCH($AD$20,'General price list'!$C$20:$AM$20,0),FALSE),"")</f>
        <v>AUF LAGER</v>
      </c>
      <c r="AE456" s="681">
        <f t="shared" ca="1" si="80"/>
        <v>0</v>
      </c>
      <c r="AF456" s="681">
        <f t="shared" ca="1" si="81"/>
        <v>0</v>
      </c>
      <c r="AG456" s="687">
        <f t="shared" ca="1" si="82"/>
        <v>0</v>
      </c>
      <c r="AH456" s="688">
        <f t="shared" ca="1" si="83"/>
        <v>0</v>
      </c>
      <c r="AI456" s="687">
        <f t="shared" ca="1" si="84"/>
        <v>0</v>
      </c>
      <c r="AJ456" s="689" t="str">
        <f t="shared" ca="1" si="85"/>
        <v/>
      </c>
      <c r="AK456" s="689">
        <f t="shared" ca="1" si="86"/>
        <v>0</v>
      </c>
      <c r="AL456" s="689" t="str">
        <f t="shared" ca="1" si="87"/>
        <v/>
      </c>
      <c r="AM456" s="690" t="str">
        <f t="shared" ca="1" si="88"/>
        <v/>
      </c>
      <c r="AN456" s="381"/>
      <c r="AO456" s="314" t="str">
        <f>IF($R$3=1,IF(Y456=AA456,"","NE"),IF(#REF!=$V$10,"NE",""))</f>
        <v/>
      </c>
      <c r="AP456" s="315" t="str">
        <f>IF(AB456=$V$3,IF(VLOOKUP(C456,[1]List1!$A:$E,5,FALSE)=0,1,VLOOKUP(C456,[1]List1!$A:$E,5,FALSE)),"")</f>
        <v/>
      </c>
      <c r="AW456" s="458">
        <f>IFERROR(FIND(VLOOKUP('General price list'!$AB$7,'General price list'!$AC$1:$AD$12,2,FALSE),Q456,1),0)</f>
        <v>10</v>
      </c>
      <c r="AX456" s="458">
        <f>IFERROR(FIND(VLOOKUP('General price list'!$AB$7,'General price list'!$AC$1:$AD$12,2,FALSE),R456,1),0)</f>
        <v>0</v>
      </c>
    </row>
    <row r="457" spans="1:50" ht="15" customHeight="1">
      <c r="A457" s="691" t="str">
        <f>Kat.!C457</f>
        <v xml:space="preserve">                                          </v>
      </c>
      <c r="B457" s="692">
        <v>436</v>
      </c>
      <c r="C457" s="693" t="s">
        <v>1956</v>
      </c>
      <c r="D457" s="693" t="s">
        <v>1917</v>
      </c>
      <c r="E457" s="694" t="s">
        <v>403</v>
      </c>
      <c r="F457" s="695">
        <f>VLOOKUP(C457,[2]List1!$A:$D,2,FALSE)</f>
        <v>1200</v>
      </c>
      <c r="G457" s="696">
        <f t="shared" si="77"/>
        <v>1200</v>
      </c>
      <c r="H457" s="697">
        <f t="shared" si="78"/>
        <v>48.8</v>
      </c>
      <c r="I457" s="837">
        <v>9</v>
      </c>
      <c r="J457" s="698" t="s">
        <v>678</v>
      </c>
      <c r="K457" s="856"/>
      <c r="L457" s="857" t="s">
        <v>13863</v>
      </c>
      <c r="M457" s="698" t="s">
        <v>131</v>
      </c>
      <c r="N457" s="869">
        <f>IFERROR(VLOOKUP(C457,[3]List1!$A:$D,4,FALSE),"N/A!")</f>
        <v>5.0592000000000005E-2</v>
      </c>
      <c r="O457" s="837">
        <f>IFERROR(VLOOKUP(C457,[3]List1!$A:$D,3,FALSE),"N/A!")</f>
        <v>10800</v>
      </c>
      <c r="P457" s="837">
        <f>IFERROR(VLOOKUP(C457,[3]List1!$A:$D,2,FALSE),"N/A!")</f>
        <v>16500</v>
      </c>
      <c r="Q457" s="698" t="s">
        <v>150</v>
      </c>
      <c r="R457" s="698" t="s">
        <v>18</v>
      </c>
      <c r="S457" s="698"/>
      <c r="T457" s="695"/>
      <c r="U457" s="874"/>
      <c r="V457" s="699" t="str">
        <f>_xlfn.IFNA(HYPERLINK("https://www.klasekpyrotechnics.cz/s4w-p"),"")</f>
        <v>https://www.klasekpyrotechnics.cz/s4w-p</v>
      </c>
      <c r="W457" s="700" t="str">
        <f>IFERROR(VLOOKUP($C457,Popisy!A:P,MATCH($W$17,Popisy!$A$7:$P$7,0),FALSE),"---------------")</f>
        <v>golden wave to red</v>
      </c>
      <c r="X457" s="891" t="str">
        <f t="shared" si="79"/>
        <v/>
      </c>
      <c r="Y457" s="892"/>
      <c r="Z457" s="700" t="str">
        <f>IFERROR(IF(VLOOKUP(C457,[4]List1!$A:$D,4,FALSE)=0,"",VLOOKUP(C457,[4]List1!$A:$D,4,FALSE)),"")</f>
        <v>24</v>
      </c>
      <c r="AA457" s="707"/>
      <c r="AB457" s="912" t="str">
        <f>IFERROR(IF(VLOOKUP(C457,[1]List1!$A:$D,2,FALSE)="VYPRODÁNO",$V$9,IF(VLOOKUP(C457,[1]List1!$A:$D,2,FALSE)="DOCHÁZÍ",$V$3,VLOOKUP(C457,[1]List1!$A:$D,2,FALSE))),"OFFLINE!")</f>
        <v>LETZTE STÜCKE</v>
      </c>
      <c r="AC457" s="912" t="str">
        <f ca="1">IF(AO457="NE",$V$10,IF(AB457=$V$3,IF(AP457&lt;1,$V$8,$V$2&amp;" "&amp;AP457&amp;" "&amp;$V$1),IF(AB457="SKLADEM",$V$6,IFERROR(IF(OR(AB457-TODAY()&gt;21,VLOOKUP(C457,[1]List1!$A:$E,4,FALSE)=0),AB457,DAY(AB457)&amp;"."&amp;MONTH(AB457)&amp;"."&amp;YEAR(AB457)&amp;" "&amp;$V$4&amp;VLOOKUP(C457,[1]List1!$A:$E,4,FALSE)&amp;" "&amp;$V$1),AB457))))</f>
        <v>LETZTE 2 KTN</v>
      </c>
      <c r="AD457" s="701" t="str">
        <f ca="1">_xlfn.IFNA(VLOOKUP(C457,'General price list'!C:AM,MATCH($AD$20,'General price list'!$C$20:$AM$20,0),FALSE),"")</f>
        <v>LETZTE 2 KTN</v>
      </c>
      <c r="AE457" s="695">
        <f t="shared" ca="1" si="80"/>
        <v>0</v>
      </c>
      <c r="AF457" s="695">
        <f t="shared" ca="1" si="81"/>
        <v>0</v>
      </c>
      <c r="AG457" s="702">
        <f t="shared" ca="1" si="82"/>
        <v>0</v>
      </c>
      <c r="AH457" s="703">
        <f t="shared" ca="1" si="83"/>
        <v>0</v>
      </c>
      <c r="AI457" s="702">
        <f t="shared" ca="1" si="84"/>
        <v>0</v>
      </c>
      <c r="AJ457" s="704" t="str">
        <f t="shared" ca="1" si="85"/>
        <v/>
      </c>
      <c r="AK457" s="704">
        <f t="shared" ca="1" si="86"/>
        <v>0</v>
      </c>
      <c r="AL457" s="704" t="str">
        <f t="shared" ca="1" si="87"/>
        <v/>
      </c>
      <c r="AM457" s="705" t="str">
        <f t="shared" ca="1" si="88"/>
        <v/>
      </c>
      <c r="AN457" s="382"/>
      <c r="AO457" s="314" t="str">
        <f>IF($R$3=1,IF(Y457=AA457,"","NE"),IF(#REF!=$V$10,"NE",""))</f>
        <v/>
      </c>
      <c r="AP457" s="315">
        <f>IF(AB457=$V$3,IF(VLOOKUP(C457,[1]List1!$A:$E,5,FALSE)=0,1,VLOOKUP(C457,[1]List1!$A:$E,5,FALSE)),"")</f>
        <v>2</v>
      </c>
      <c r="AW457" s="458">
        <f>IFERROR(FIND(VLOOKUP('General price list'!$AB$7,'General price list'!$AC$1:$AD$12,2,FALSE),Q457,1),0)</f>
        <v>10</v>
      </c>
      <c r="AX457" s="458">
        <f>IFERROR(FIND(VLOOKUP('General price list'!$AB$7,'General price list'!$AC$1:$AD$12,2,FALSE),R457,1),0)</f>
        <v>0</v>
      </c>
    </row>
    <row r="458" spans="1:50" ht="15" customHeight="1">
      <c r="A458" s="677" t="str">
        <f>Kat.!C458</f>
        <v xml:space="preserve">                                          </v>
      </c>
      <c r="B458" s="678">
        <v>437</v>
      </c>
      <c r="C458" s="679" t="s">
        <v>1964</v>
      </c>
      <c r="D458" s="679" t="s">
        <v>1925</v>
      </c>
      <c r="E458" s="680" t="s">
        <v>403</v>
      </c>
      <c r="F458" s="681">
        <f>VLOOKUP(C458,[2]List1!$A:$D,2,FALSE)</f>
        <v>1200</v>
      </c>
      <c r="G458" s="682">
        <f t="shared" si="77"/>
        <v>1200</v>
      </c>
      <c r="H458" s="683">
        <f t="shared" si="78"/>
        <v>48.8</v>
      </c>
      <c r="I458" s="836">
        <v>9</v>
      </c>
      <c r="J458" s="680" t="s">
        <v>678</v>
      </c>
      <c r="K458" s="854"/>
      <c r="L458" s="855" t="s">
        <v>13863</v>
      </c>
      <c r="M458" s="680" t="s">
        <v>131</v>
      </c>
      <c r="N458" s="868">
        <f>IFERROR(VLOOKUP(C458,[3]List1!$A:$D,4,FALSE),"N/A!")</f>
        <v>5.0592000000000005E-2</v>
      </c>
      <c r="O458" s="836">
        <f>IFERROR(VLOOKUP(C458,[3]List1!$A:$D,3,FALSE),"N/A!")</f>
        <v>10800</v>
      </c>
      <c r="P458" s="836">
        <f>IFERROR(VLOOKUP(C458,[3]List1!$A:$D,2,FALSE),"N/A!")</f>
        <v>15000</v>
      </c>
      <c r="Q458" s="680" t="s">
        <v>150</v>
      </c>
      <c r="R458" s="680" t="s">
        <v>18</v>
      </c>
      <c r="S458" s="680"/>
      <c r="T458" s="681"/>
      <c r="U458" s="873"/>
      <c r="V458" s="684" t="str">
        <f>_xlfn.IFNA(HYPERLINK("https://www.klasekpyrotechnics.cz/s4z5-p"),"")</f>
        <v>https://www.klasekpyrotechnics.cz/s4z5-p</v>
      </c>
      <c r="W458" s="685" t="str">
        <f>IFERROR(VLOOKUP($C458,Popisy!A:P,MATCH($W$17,Popisy!$A$7:$P$7,0),FALSE),"---------------")</f>
        <v>red strobe willow</v>
      </c>
      <c r="X458" s="889" t="str">
        <f t="shared" si="79"/>
        <v/>
      </c>
      <c r="Y458" s="890"/>
      <c r="Z458" s="685" t="str">
        <f>IFERROR(IF(VLOOKUP(C458,[4]List1!$A:$D,4,FALSE)=0,"",VLOOKUP(C458,[4]List1!$A:$D,4,FALSE)),"")</f>
        <v>24</v>
      </c>
      <c r="AA458" s="707"/>
      <c r="AB458" s="911" t="str">
        <f>IFERROR(IF(VLOOKUP(C458,[1]List1!$A:$D,2,FALSE)="VYPRODÁNO",$V$9,IF(VLOOKUP(C458,[1]List1!$A:$D,2,FALSE)="DOCHÁZÍ",$V$3,VLOOKUP(C458,[1]List1!$A:$D,2,FALSE))),"OFFLINE!")</f>
        <v>20.06.2024</v>
      </c>
      <c r="AC458" s="911" t="str">
        <f ca="1">IF(AO458="NE",$V$10,IF(AB458=$V$3,IF(AP458&lt;1,$V$8,$V$2&amp;" "&amp;AP458&amp;" "&amp;$V$1),IF(AB458="SKLADEM",$V$6,IFERROR(IF(OR(AB458-TODAY()&gt;21,VLOOKUP(C458,[1]List1!$A:$E,4,FALSE)=0),AB458,DAY(AB458)&amp;"."&amp;MONTH(AB458)&amp;"."&amp;YEAR(AB458)&amp;" "&amp;$V$4&amp;VLOOKUP(C458,[1]List1!$A:$E,4,FALSE)&amp;" "&amp;$V$1),AB458))))</f>
        <v>20.06.2024</v>
      </c>
      <c r="AD458" s="686" t="str">
        <f ca="1">_xlfn.IFNA(VLOOKUP(C458,'General price list'!C:AM,MATCH($AD$20,'General price list'!$C$20:$AM$20,0),FALSE),"")</f>
        <v>20.06.2024</v>
      </c>
      <c r="AE458" s="681">
        <f t="shared" ca="1" si="80"/>
        <v>0</v>
      </c>
      <c r="AF458" s="681">
        <f t="shared" ca="1" si="81"/>
        <v>0</v>
      </c>
      <c r="AG458" s="687">
        <f t="shared" ca="1" si="82"/>
        <v>0</v>
      </c>
      <c r="AH458" s="688">
        <f t="shared" ca="1" si="83"/>
        <v>0</v>
      </c>
      <c r="AI458" s="687">
        <f t="shared" ca="1" si="84"/>
        <v>0</v>
      </c>
      <c r="AJ458" s="689" t="str">
        <f t="shared" ca="1" si="85"/>
        <v/>
      </c>
      <c r="AK458" s="689">
        <f t="shared" ca="1" si="86"/>
        <v>0</v>
      </c>
      <c r="AL458" s="689" t="str">
        <f t="shared" ca="1" si="87"/>
        <v/>
      </c>
      <c r="AM458" s="690" t="str">
        <f t="shared" ca="1" si="88"/>
        <v/>
      </c>
      <c r="AN458" s="381"/>
      <c r="AO458" s="314" t="str">
        <f>IF($R$3=1,IF(Y458=AA458,"","NE"),IF(#REF!=$V$10,"NE",""))</f>
        <v/>
      </c>
      <c r="AP458" s="315" t="str">
        <f>IF(AB458=$V$3,IF(VLOOKUP(C458,[1]List1!$A:$E,5,FALSE)=0,1,VLOOKUP(C458,[1]List1!$A:$E,5,FALSE)),"")</f>
        <v/>
      </c>
      <c r="AW458" s="458">
        <f>IFERROR(FIND(VLOOKUP('General price list'!$AB$7,'General price list'!$AC$1:$AD$12,2,FALSE),Q458,1),0)</f>
        <v>10</v>
      </c>
      <c r="AX458" s="458">
        <f>IFERROR(FIND(VLOOKUP('General price list'!$AB$7,'General price list'!$AC$1:$AD$12,2,FALSE),R458,1),0)</f>
        <v>0</v>
      </c>
    </row>
    <row r="459" spans="1:50" ht="15" customHeight="1">
      <c r="A459" s="691" t="str">
        <f>Kat.!C459</f>
        <v xml:space="preserve">                                          </v>
      </c>
      <c r="B459" s="692">
        <v>438</v>
      </c>
      <c r="C459" s="693" t="s">
        <v>1965</v>
      </c>
      <c r="D459" s="693" t="s">
        <v>1927</v>
      </c>
      <c r="E459" s="694" t="s">
        <v>403</v>
      </c>
      <c r="F459" s="695">
        <f>VLOOKUP(C459,[2]List1!$A:$D,2,FALSE)</f>
        <v>1200</v>
      </c>
      <c r="G459" s="696">
        <f t="shared" si="77"/>
        <v>1200</v>
      </c>
      <c r="H459" s="697">
        <f t="shared" si="78"/>
        <v>48.8</v>
      </c>
      <c r="I459" s="837">
        <v>9</v>
      </c>
      <c r="J459" s="698" t="s">
        <v>678</v>
      </c>
      <c r="K459" s="856"/>
      <c r="L459" s="857" t="s">
        <v>13863</v>
      </c>
      <c r="M459" s="698" t="s">
        <v>131</v>
      </c>
      <c r="N459" s="869">
        <f>IFERROR(VLOOKUP(C459,[3]List1!$A:$D,4,FALSE),"N/A!")</f>
        <v>5.0592000000000005E-2</v>
      </c>
      <c r="O459" s="837">
        <f>IFERROR(VLOOKUP(C459,[3]List1!$A:$D,3,FALSE),"N/A!")</f>
        <v>10800</v>
      </c>
      <c r="P459" s="837">
        <f>IFERROR(VLOOKUP(C459,[3]List1!$A:$D,2,FALSE),"N/A!")</f>
        <v>15000</v>
      </c>
      <c r="Q459" s="698" t="s">
        <v>150</v>
      </c>
      <c r="R459" s="698" t="s">
        <v>18</v>
      </c>
      <c r="S459" s="698"/>
      <c r="T459" s="695"/>
      <c r="U459" s="874"/>
      <c r="V459" s="699" t="str">
        <f>_xlfn.IFNA(HYPERLINK("https://www.klasekpyrotechnics.cz/s4z6-p"),"")</f>
        <v>https://www.klasekpyrotechnics.cz/s4z6-p</v>
      </c>
      <c r="W459" s="700" t="str">
        <f>IFERROR(VLOOKUP($C459,Popisy!A:P,MATCH($W$17,Popisy!$A$7:$P$7,0),FALSE),"---------------")</f>
        <v>red three swords man</v>
      </c>
      <c r="X459" s="891" t="str">
        <f t="shared" si="79"/>
        <v/>
      </c>
      <c r="Y459" s="892"/>
      <c r="Z459" s="700" t="str">
        <f>IFERROR(IF(VLOOKUP(C459,[4]List1!$A:$D,4,FALSE)=0,"",VLOOKUP(C459,[4]List1!$A:$D,4,FALSE)),"")</f>
        <v>24</v>
      </c>
      <c r="AA459" s="707"/>
      <c r="AB459" s="912" t="str">
        <f>IFERROR(IF(VLOOKUP(C459,[1]List1!$A:$D,2,FALSE)="VYPRODÁNO",$V$9,IF(VLOOKUP(C459,[1]List1!$A:$D,2,FALSE)="DOCHÁZÍ",$V$3,VLOOKUP(C459,[1]List1!$A:$D,2,FALSE))),"OFFLINE!")</f>
        <v>30.09.2024</v>
      </c>
      <c r="AC459" s="912" t="str">
        <f ca="1">IF(AO459="NE",$V$10,IF(AB459=$V$3,IF(AP459&lt;1,$V$8,$V$2&amp;" "&amp;AP459&amp;" "&amp;$V$1),IF(AB459="SKLADEM",$V$6,IFERROR(IF(OR(AB459-TODAY()&gt;21,VLOOKUP(C459,[1]List1!$A:$E,4,FALSE)=0),AB459,DAY(AB459)&amp;"."&amp;MONTH(AB459)&amp;"."&amp;YEAR(AB459)&amp;" "&amp;$V$4&amp;VLOOKUP(C459,[1]List1!$A:$E,4,FALSE)&amp;" "&amp;$V$1),AB459))))</f>
        <v>30.09.2024</v>
      </c>
      <c r="AD459" s="701" t="str">
        <f ca="1">_xlfn.IFNA(VLOOKUP(C459,'General price list'!C:AM,MATCH($AD$20,'General price list'!$C$20:$AM$20,0),FALSE),"")</f>
        <v>30.09.2024</v>
      </c>
      <c r="AE459" s="695">
        <f t="shared" ca="1" si="80"/>
        <v>0</v>
      </c>
      <c r="AF459" s="695">
        <f t="shared" ca="1" si="81"/>
        <v>0</v>
      </c>
      <c r="AG459" s="702">
        <f t="shared" ca="1" si="82"/>
        <v>0</v>
      </c>
      <c r="AH459" s="703">
        <f t="shared" ca="1" si="83"/>
        <v>0</v>
      </c>
      <c r="AI459" s="702">
        <f t="shared" ca="1" si="84"/>
        <v>0</v>
      </c>
      <c r="AJ459" s="704" t="str">
        <f t="shared" ca="1" si="85"/>
        <v/>
      </c>
      <c r="AK459" s="704">
        <f t="shared" ca="1" si="86"/>
        <v>0</v>
      </c>
      <c r="AL459" s="704" t="str">
        <f t="shared" ca="1" si="87"/>
        <v/>
      </c>
      <c r="AM459" s="705" t="str">
        <f t="shared" ca="1" si="88"/>
        <v/>
      </c>
      <c r="AN459" s="382"/>
      <c r="AO459" s="314" t="str">
        <f>IF($R$3=1,IF(Y459=AA459,"","NE"),IF(#REF!=$V$10,"NE",""))</f>
        <v/>
      </c>
      <c r="AP459" s="315" t="str">
        <f>IF(AB459=$V$3,IF(VLOOKUP(C459,[1]List1!$A:$E,5,FALSE)=0,1,VLOOKUP(C459,[1]List1!$A:$E,5,FALSE)),"")</f>
        <v/>
      </c>
      <c r="AW459" s="458">
        <f>IFERROR(FIND(VLOOKUP('General price list'!$AB$7,'General price list'!$AC$1:$AD$12,2,FALSE),Q459,1),0)</f>
        <v>10</v>
      </c>
      <c r="AX459" s="458">
        <f>IFERROR(FIND(VLOOKUP('General price list'!$AB$7,'General price list'!$AC$1:$AD$12,2,FALSE),R459,1),0)</f>
        <v>0</v>
      </c>
    </row>
    <row r="460" spans="1:50" ht="15" customHeight="1">
      <c r="A460" s="677" t="str">
        <f>Kat.!C460</f>
        <v xml:space="preserve">                                          </v>
      </c>
      <c r="B460" s="678">
        <v>439</v>
      </c>
      <c r="C460" s="679" t="s">
        <v>1967</v>
      </c>
      <c r="D460" s="679" t="s">
        <v>1930</v>
      </c>
      <c r="E460" s="680" t="s">
        <v>403</v>
      </c>
      <c r="F460" s="681">
        <f>VLOOKUP(C460,[2]List1!$A:$D,2,FALSE)</f>
        <v>1338</v>
      </c>
      <c r="G460" s="682">
        <f t="shared" si="77"/>
        <v>1338</v>
      </c>
      <c r="H460" s="683">
        <f t="shared" si="78"/>
        <v>54.4</v>
      </c>
      <c r="I460" s="836">
        <v>9</v>
      </c>
      <c r="J460" s="680" t="s">
        <v>678</v>
      </c>
      <c r="K460" s="854"/>
      <c r="L460" s="855" t="s">
        <v>13863</v>
      </c>
      <c r="M460" s="680" t="s">
        <v>131</v>
      </c>
      <c r="N460" s="868">
        <f>IFERROR(VLOOKUP(C460,[3]List1!$A:$D,4,FALSE),"N/A!")</f>
        <v>5.0592000000000005E-2</v>
      </c>
      <c r="O460" s="836">
        <f>IFERROR(VLOOKUP(C460,[3]List1!$A:$D,3,FALSE),"N/A!")</f>
        <v>10800</v>
      </c>
      <c r="P460" s="836">
        <f>IFERROR(VLOOKUP(C460,[3]List1!$A:$D,2,FALSE),"N/A!")</f>
        <v>17000</v>
      </c>
      <c r="Q460" s="680" t="s">
        <v>150</v>
      </c>
      <c r="R460" s="680" t="s">
        <v>18</v>
      </c>
      <c r="S460" s="680"/>
      <c r="T460" s="681"/>
      <c r="U460" s="873"/>
      <c r="V460" s="684" t="str">
        <f>_xlfn.IFNA(HYPERLINK("https://www.klasekpyrotechnics.cz/s4z8-p"),"")</f>
        <v>https://www.klasekpyrotechnics.cz/s4z8-p</v>
      </c>
      <c r="W460" s="685" t="str">
        <f>IFERROR(VLOOKUP($C460,Popisy!A:P,MATCH($W$17,Popisy!$A$7:$P$7,0),FALSE),"---------------")</f>
        <v>brocade crown to color</v>
      </c>
      <c r="X460" s="889" t="str">
        <f t="shared" si="79"/>
        <v/>
      </c>
      <c r="Y460" s="890"/>
      <c r="Z460" s="685" t="str">
        <f>IFERROR(IF(VLOOKUP(C460,[4]List1!$A:$D,4,FALSE)=0,"",VLOOKUP(C460,[4]List1!$A:$D,4,FALSE)),"")</f>
        <v>24</v>
      </c>
      <c r="AA460" s="707"/>
      <c r="AB460" s="911" t="str">
        <f>IFERROR(IF(VLOOKUP(C460,[1]List1!$A:$D,2,FALSE)="VYPRODÁNO",$V$9,IF(VLOOKUP(C460,[1]List1!$A:$D,2,FALSE)="DOCHÁZÍ",$V$3,VLOOKUP(C460,[1]List1!$A:$D,2,FALSE))),"OFFLINE!")</f>
        <v>30.09.2024</v>
      </c>
      <c r="AC460" s="911" t="str">
        <f ca="1">IF(AO460="NE",$V$10,IF(AB460=$V$3,IF(AP460&lt;1,$V$8,$V$2&amp;" "&amp;AP460&amp;" "&amp;$V$1),IF(AB460="SKLADEM",$V$6,IFERROR(IF(OR(AB460-TODAY()&gt;21,VLOOKUP(C460,[1]List1!$A:$E,4,FALSE)=0),AB460,DAY(AB460)&amp;"."&amp;MONTH(AB460)&amp;"."&amp;YEAR(AB460)&amp;" "&amp;$V$4&amp;VLOOKUP(C460,[1]List1!$A:$E,4,FALSE)&amp;" "&amp;$V$1),AB460))))</f>
        <v>30.09.2024</v>
      </c>
      <c r="AD460" s="686" t="str">
        <f ca="1">_xlfn.IFNA(VLOOKUP(C460,'General price list'!C:AM,MATCH($AD$20,'General price list'!$C$20:$AM$20,0),FALSE),"")</f>
        <v>30.09.2024</v>
      </c>
      <c r="AE460" s="681">
        <f t="shared" ca="1" si="80"/>
        <v>0</v>
      </c>
      <c r="AF460" s="681">
        <f t="shared" ca="1" si="81"/>
        <v>0</v>
      </c>
      <c r="AG460" s="687">
        <f t="shared" ca="1" si="82"/>
        <v>0</v>
      </c>
      <c r="AH460" s="688">
        <f t="shared" ca="1" si="83"/>
        <v>0</v>
      </c>
      <c r="AI460" s="687">
        <f t="shared" ca="1" si="84"/>
        <v>0</v>
      </c>
      <c r="AJ460" s="689" t="str">
        <f t="shared" ca="1" si="85"/>
        <v/>
      </c>
      <c r="AK460" s="689">
        <f t="shared" ca="1" si="86"/>
        <v>0</v>
      </c>
      <c r="AL460" s="689" t="str">
        <f t="shared" ca="1" si="87"/>
        <v/>
      </c>
      <c r="AM460" s="690" t="str">
        <f t="shared" ca="1" si="88"/>
        <v/>
      </c>
      <c r="AN460" s="381"/>
      <c r="AO460" s="314" t="str">
        <f>IF($R$3=1,IF(Y460=AA460,"","NE"),IF(#REF!=$V$10,"NE",""))</f>
        <v/>
      </c>
      <c r="AP460" s="315" t="str">
        <f>IF(AB460=$V$3,IF(VLOOKUP(C460,[1]List1!$A:$E,5,FALSE)=0,1,VLOOKUP(C460,[1]List1!$A:$E,5,FALSE)),"")</f>
        <v/>
      </c>
      <c r="AW460" s="458">
        <f>IFERROR(FIND(VLOOKUP('General price list'!$AB$7,'General price list'!$AC$1:$AD$12,2,FALSE),Q460,1),0)</f>
        <v>10</v>
      </c>
      <c r="AX460" s="458">
        <f>IFERROR(FIND(VLOOKUP('General price list'!$AB$7,'General price list'!$AC$1:$AD$12,2,FALSE),R460,1),0)</f>
        <v>0</v>
      </c>
    </row>
    <row r="461" spans="1:50" ht="15" customHeight="1">
      <c r="A461" s="691" t="str">
        <f>Kat.!C461</f>
        <v xml:space="preserve">                                          </v>
      </c>
      <c r="B461" s="692">
        <v>440</v>
      </c>
      <c r="C461" s="693" t="s">
        <v>1968</v>
      </c>
      <c r="D461" s="693" t="s">
        <v>1969</v>
      </c>
      <c r="E461" s="694" t="s">
        <v>403</v>
      </c>
      <c r="F461" s="695">
        <f>VLOOKUP(C461,[2]List1!$A:$D,2,FALSE)</f>
        <v>1272</v>
      </c>
      <c r="G461" s="696">
        <f t="shared" si="77"/>
        <v>1272</v>
      </c>
      <c r="H461" s="697">
        <f t="shared" si="78"/>
        <v>51.8</v>
      </c>
      <c r="I461" s="837">
        <v>9</v>
      </c>
      <c r="J461" s="698" t="s">
        <v>678</v>
      </c>
      <c r="K461" s="856"/>
      <c r="L461" s="857" t="s">
        <v>13863</v>
      </c>
      <c r="M461" s="698" t="s">
        <v>131</v>
      </c>
      <c r="N461" s="869">
        <f>IFERROR(VLOOKUP(C461,[3]List1!$A:$D,4,FALSE),"N/A!")</f>
        <v>5.0592000000000005E-2</v>
      </c>
      <c r="O461" s="837">
        <f>IFERROR(VLOOKUP(C461,[3]List1!$A:$D,3,FALSE),"N/A!")</f>
        <v>10800</v>
      </c>
      <c r="P461" s="837">
        <f>IFERROR(VLOOKUP(C461,[3]List1!$A:$D,2,FALSE),"N/A!")</f>
        <v>17500</v>
      </c>
      <c r="Q461" s="698" t="s">
        <v>150</v>
      </c>
      <c r="R461" s="698" t="s">
        <v>18</v>
      </c>
      <c r="S461" s="698"/>
      <c r="T461" s="695"/>
      <c r="U461" s="874"/>
      <c r="V461" s="699" t="str">
        <f>_xlfn.IFNA(HYPERLINK("https://www.klasekpyrotechnics.cz/s4m-p"),"")</f>
        <v>https://www.klasekpyrotechnics.cz/s4m-p</v>
      </c>
      <c r="W461" s="700" t="str">
        <f>IFERROR(VLOOKUP($C461,Popisy!A:P,MATCH($W$17,Popisy!$A$7:$P$7,0),FALSE),"---------------")</f>
        <v>Mixed carton contains-premium quality-each box including: S4L blood red+silver strobe, S4CH flower crown with red glitter pistil, S4Z/8 brocade crown to color, S4Z/7 orange wave to green</v>
      </c>
      <c r="X461" s="891" t="str">
        <f t="shared" si="79"/>
        <v/>
      </c>
      <c r="Y461" s="892"/>
      <c r="Z461" s="700" t="str">
        <f>IFERROR(IF(VLOOKUP(C461,[4]List1!$A:$D,4,FALSE)=0,"",VLOOKUP(C461,[4]List1!$A:$D,4,FALSE)),"")</f>
        <v>24</v>
      </c>
      <c r="AA461" s="707"/>
      <c r="AB461" s="912" t="str">
        <f>IFERROR(IF(VLOOKUP(C461,[1]List1!$A:$D,2,FALSE)="VYPRODÁNO",$V$9,IF(VLOOKUP(C461,[1]List1!$A:$D,2,FALSE)="DOCHÁZÍ",$V$3,VLOOKUP(C461,[1]List1!$A:$D,2,FALSE))),"OFFLINE!")</f>
        <v>30.09.2024</v>
      </c>
      <c r="AC461" s="912" t="str">
        <f ca="1">IF(AO461="NE",$V$10,IF(AB461=$V$3,IF(AP461&lt;1,$V$8,$V$2&amp;" "&amp;AP461&amp;" "&amp;$V$1),IF(AB461="SKLADEM",$V$6,IFERROR(IF(OR(AB461-TODAY()&gt;21,VLOOKUP(C461,[1]List1!$A:$E,4,FALSE)=0),AB461,DAY(AB461)&amp;"."&amp;MONTH(AB461)&amp;"."&amp;YEAR(AB461)&amp;" "&amp;$V$4&amp;VLOOKUP(C461,[1]List1!$A:$E,4,FALSE)&amp;" "&amp;$V$1),AB461))))</f>
        <v>30.09.2024</v>
      </c>
      <c r="AD461" s="701" t="str">
        <f ca="1">_xlfn.IFNA(VLOOKUP(C461,'General price list'!C:AM,MATCH($AD$20,'General price list'!$C$20:$AM$20,0),FALSE),"")</f>
        <v>30.09.2024</v>
      </c>
      <c r="AE461" s="695">
        <f t="shared" ca="1" si="80"/>
        <v>0</v>
      </c>
      <c r="AF461" s="695">
        <f t="shared" ca="1" si="81"/>
        <v>0</v>
      </c>
      <c r="AG461" s="702">
        <f t="shared" ca="1" si="82"/>
        <v>0</v>
      </c>
      <c r="AH461" s="703">
        <f t="shared" ca="1" si="83"/>
        <v>0</v>
      </c>
      <c r="AI461" s="702">
        <f t="shared" ca="1" si="84"/>
        <v>0</v>
      </c>
      <c r="AJ461" s="704" t="str">
        <f t="shared" ca="1" si="85"/>
        <v/>
      </c>
      <c r="AK461" s="704">
        <f t="shared" ca="1" si="86"/>
        <v>0</v>
      </c>
      <c r="AL461" s="704" t="str">
        <f t="shared" ca="1" si="87"/>
        <v/>
      </c>
      <c r="AM461" s="705" t="str">
        <f t="shared" ca="1" si="88"/>
        <v/>
      </c>
      <c r="AN461" s="382"/>
      <c r="AO461" s="314" t="str">
        <f>IF($R$3=1,IF(Y461=AA461,"","NE"),IF(#REF!=$V$10,"NE",""))</f>
        <v/>
      </c>
      <c r="AP461" s="315" t="str">
        <f>IF(AB461=$V$3,IF(VLOOKUP(C461,[1]List1!$A:$E,5,FALSE)=0,1,VLOOKUP(C461,[1]List1!$A:$E,5,FALSE)),"")</f>
        <v/>
      </c>
      <c r="AW461" s="458">
        <f>IFERROR(FIND(VLOOKUP('General price list'!$AB$7,'General price list'!$AC$1:$AD$12,2,FALSE),Q461,1),0)</f>
        <v>10</v>
      </c>
      <c r="AX461" s="458">
        <f>IFERROR(FIND(VLOOKUP('General price list'!$AB$7,'General price list'!$AC$1:$AD$12,2,FALSE),R461,1),0)</f>
        <v>0</v>
      </c>
    </row>
    <row r="462" spans="1:50" ht="15" customHeight="1">
      <c r="A462" s="672" t="str">
        <f>Kat.!C462</f>
        <v xml:space="preserve">                                          Kugelbomben 125mm, Prämienqualität</v>
      </c>
      <c r="B462" s="678">
        <v>441</v>
      </c>
      <c r="C462" s="679"/>
      <c r="D462" s="679"/>
      <c r="E462" s="680"/>
      <c r="F462" s="681" t="str">
        <f>IFERROR(ROUND(VLOOKUP(C462,'General price list'!$C:$AN,4,FALSE),0),"")</f>
        <v/>
      </c>
      <c r="G462" s="682" t="str">
        <f t="shared" si="77"/>
        <v/>
      </c>
      <c r="H462" s="683" t="str">
        <f t="shared" si="78"/>
        <v/>
      </c>
      <c r="I462" s="836"/>
      <c r="J462" s="680"/>
      <c r="K462" s="854"/>
      <c r="L462" s="855"/>
      <c r="M462" s="680"/>
      <c r="N462" s="868" t="str">
        <f>IFERROR(IF(VLOOKUP($C462,'General price list'!$C:$AN,MATCH(N$20,'General price list'!$C$20:$AM$20,0),FALSE)=0,"",VLOOKUP($C462,'General price list'!$C:$AN,MATCH(N$20,'General price list'!$C$20:$AM$20,0),FALSE)),"")</f>
        <v/>
      </c>
      <c r="O462" s="836" t="str">
        <f>IFERROR(IF(VLOOKUP($C462,'General price list'!$C:$AN,MATCH(O$20,'General price list'!$C$20:$AM$20,0),FALSE)=0,"",VLOOKUP($C462,'General price list'!$C:$AN,MATCH(O$20,'General price list'!$C$20:$AM$20,0),FALSE)),"")</f>
        <v/>
      </c>
      <c r="P462" s="836" t="str">
        <f>IFERROR(IF(VLOOKUP($C462,'General price list'!$C:$AN,MATCH(P$20,'General price list'!$C$20:$AM$20,0),FALSE)=0,"",VLOOKUP($C462,'General price list'!$C:$AN,MATCH(P$20,'General price list'!$C$20:$AM$20,0),FALSE)),"")</f>
        <v/>
      </c>
      <c r="Q462" s="680"/>
      <c r="R462" s="680"/>
      <c r="S462" s="680"/>
      <c r="T462" s="681"/>
      <c r="U462" s="873"/>
      <c r="V462" s="684"/>
      <c r="W462" s="685" t="str">
        <f>IFERROR(VLOOKUP($C462,'General price list'!$C:$AN,MATCH(W$20,'General price list'!$C$20:$AM$20,0),FALSE),"")</f>
        <v/>
      </c>
      <c r="X462" s="889" t="str">
        <f t="shared" si="79"/>
        <v/>
      </c>
      <c r="Y462" s="890"/>
      <c r="Z462" s="685" t="str">
        <f>IFERROR(VLOOKUP($C462,'General price list'!$C:$AN,MATCH(Z$20,'General price list'!$C$20:$AM$20,0),FALSE),"")</f>
        <v/>
      </c>
      <c r="AA462" s="707"/>
      <c r="AB462" s="911" t="str">
        <f>IFERROR(IF(VLOOKUP(C462,[1]List1!$A:$D,2,FALSE)="VYPRODÁNO",$V$9,IF(VLOOKUP(C462,[1]List1!$A:$D,2,FALSE)="DOCHÁZÍ",$V$3,VLOOKUP(C462,[1]List1!$A:$D,2,FALSE))),"OFFLINE!")</f>
        <v>OFFLINE!</v>
      </c>
      <c r="AC462" s="911" t="str">
        <f ca="1">IF(AO462="NE",$V$10,IF(AB462=$V$3,IF(AP462&lt;1,$V$8,$V$2&amp;" "&amp;AP462&amp;" "&amp;$V$1),IF(AB462="SKLADEM",$V$6,IFERROR(IF(OR(AB462-TODAY()&gt;21,VLOOKUP(C462,[1]List1!$A:$E,4,FALSE)=0),AB462,DAY(AB462)&amp;"."&amp;MONTH(AB462)&amp;"."&amp;YEAR(AB462)&amp;" "&amp;$V$4&amp;VLOOKUP(C462,[1]List1!$A:$E,4,FALSE)&amp;" "&amp;$V$1),AB462))))</f>
        <v>OFFLINE!</v>
      </c>
      <c r="AD462" s="686" t="str">
        <f>_xlfn.IFNA(VLOOKUP(C462,'General price list'!C:AM,MATCH($AD$20,'General price list'!$C$20:$AM$20,0),FALSE),"")</f>
        <v/>
      </c>
      <c r="AE462" s="681" t="str">
        <f t="shared" si="80"/>
        <v/>
      </c>
      <c r="AF462" s="681" t="str">
        <f t="shared" si="81"/>
        <v/>
      </c>
      <c r="AG462" s="687" t="str">
        <f t="shared" si="82"/>
        <v/>
      </c>
      <c r="AH462" s="688" t="str">
        <f t="shared" si="83"/>
        <v/>
      </c>
      <c r="AI462" s="687" t="str">
        <f t="shared" si="84"/>
        <v/>
      </c>
      <c r="AJ462" s="689" t="str">
        <f t="shared" si="85"/>
        <v/>
      </c>
      <c r="AK462" s="689" t="str">
        <f t="shared" si="86"/>
        <v/>
      </c>
      <c r="AL462" s="689" t="str">
        <f t="shared" si="87"/>
        <v/>
      </c>
      <c r="AM462" s="690" t="str">
        <f t="shared" si="88"/>
        <v/>
      </c>
      <c r="AN462" s="381"/>
      <c r="AO462" s="314" t="str">
        <f>IF($R$3=1,IF(Y462=AA462,"","NE"),IF(#REF!=$V$10,"NE",""))</f>
        <v/>
      </c>
      <c r="AP462" s="315" t="str">
        <f>IF(AB462=$V$3,IF(VLOOKUP(C462,[1]List1!$A:$E,5,FALSE)=0,1,VLOOKUP(C462,[1]List1!$A:$E,5,FALSE)),"")</f>
        <v/>
      </c>
      <c r="AW462" s="291" t="e">
        <f>VLOOKUP(C462,'General price list'!C:AU,46,FALSE)</f>
        <v>#N/A</v>
      </c>
      <c r="AX462" s="291" t="e">
        <f>VLOOKUP(C462,'General price list'!C:AU,47,FALSE)</f>
        <v>#N/A</v>
      </c>
    </row>
    <row r="463" spans="1:50" ht="15" customHeight="1">
      <c r="A463" s="691" t="str">
        <f>Kat.!C463</f>
        <v xml:space="preserve">                                          </v>
      </c>
      <c r="B463" s="692">
        <v>442</v>
      </c>
      <c r="C463" s="693" t="s">
        <v>1982</v>
      </c>
      <c r="D463" s="693" t="s">
        <v>1983</v>
      </c>
      <c r="E463" s="694" t="s">
        <v>758</v>
      </c>
      <c r="F463" s="695">
        <f>VLOOKUP(C463,[2]List1!$A:$D,2,FALSE)</f>
        <v>580</v>
      </c>
      <c r="G463" s="696">
        <f t="shared" si="77"/>
        <v>580</v>
      </c>
      <c r="H463" s="697">
        <f t="shared" si="78"/>
        <v>23.6</v>
      </c>
      <c r="I463" s="837">
        <v>16</v>
      </c>
      <c r="J463" s="698" t="s">
        <v>678</v>
      </c>
      <c r="K463" s="856"/>
      <c r="L463" s="857" t="s">
        <v>13863</v>
      </c>
      <c r="M463" s="698" t="s">
        <v>131</v>
      </c>
      <c r="N463" s="869">
        <f>IFERROR(VLOOKUP(C463,[3]List1!$A:$D,4,FALSE),"N/A!")</f>
        <v>3.7128000000000001E-2</v>
      </c>
      <c r="O463" s="837">
        <f>IFERROR(VLOOKUP(C463,[3]List1!$A:$D,3,FALSE),"N/A!")</f>
        <v>9600</v>
      </c>
      <c r="P463" s="837">
        <f>IFERROR(VLOOKUP(C463,[3]List1!$A:$D,2,FALSE),"N/A!")</f>
        <v>12600</v>
      </c>
      <c r="Q463" s="698" t="s">
        <v>150</v>
      </c>
      <c r="R463" s="698" t="s">
        <v>18</v>
      </c>
      <c r="S463" s="698"/>
      <c r="T463" s="695"/>
      <c r="U463" s="874"/>
      <c r="V463" s="699" t="str">
        <f>_xlfn.IFNA(HYPERLINK("https://www.klasekpyrotechnics.cz/s5e-p"),"")</f>
        <v>https://www.klasekpyrotechnics.cz/s5e-p</v>
      </c>
      <c r="W463" s="700" t="str">
        <f>IFERROR(VLOOKUP($C463,Popisy!A:P,MATCH($W$17,Popisy!$A$7:$P$7,0),FALSE),"---------------")</f>
        <v xml:space="preserve">silver glittering red coco crossette </v>
      </c>
      <c r="X463" s="891" t="str">
        <f t="shared" si="79"/>
        <v/>
      </c>
      <c r="Y463" s="892"/>
      <c r="Z463" s="700">
        <f>IFERROR(IF(VLOOKUP(C463,[4]List1!$A:$D,4,FALSE)=0,"",VLOOKUP(C463,[4]List1!$A:$D,4,FALSE)),"")</f>
        <v>24</v>
      </c>
      <c r="AA463" s="707"/>
      <c r="AB463" s="912" t="str">
        <f>IFERROR(IF(VLOOKUP(C463,[1]List1!$A:$D,2,FALSE)="VYPRODÁNO",$V$9,IF(VLOOKUP(C463,[1]List1!$A:$D,2,FALSE)="DOCHÁZÍ",$V$3,VLOOKUP(C463,[1]List1!$A:$D,2,FALSE))),"OFFLINE!")</f>
        <v>15.06.2024</v>
      </c>
      <c r="AC463" s="912" t="str">
        <f ca="1">IF(AO463="NE",$V$10,IF(AB463=$V$3,IF(AP463&lt;1,$V$8,$V$2&amp;" "&amp;AP463&amp;" "&amp;$V$1),IF(AB463="SKLADEM",$V$6,IFERROR(IF(OR(AB463-TODAY()&gt;21,VLOOKUP(C463,[1]List1!$A:$E,4,FALSE)=0),AB463,DAY(AB463)&amp;"."&amp;MONTH(AB463)&amp;"."&amp;YEAR(AB463)&amp;" "&amp;$V$4&amp;VLOOKUP(C463,[1]List1!$A:$E,4,FALSE)&amp;" "&amp;$V$1),AB463))))</f>
        <v>15.06.2024</v>
      </c>
      <c r="AD463" s="701" t="str">
        <f ca="1">_xlfn.IFNA(VLOOKUP(C463,'General price list'!C:AM,MATCH($AD$20,'General price list'!$C$20:$AM$20,0),FALSE),"")</f>
        <v>15.06.2024</v>
      </c>
      <c r="AE463" s="695">
        <f t="shared" ca="1" si="80"/>
        <v>0</v>
      </c>
      <c r="AF463" s="695">
        <f t="shared" ca="1" si="81"/>
        <v>0</v>
      </c>
      <c r="AG463" s="702">
        <f t="shared" ca="1" si="82"/>
        <v>0</v>
      </c>
      <c r="AH463" s="703">
        <f t="shared" ca="1" si="83"/>
        <v>0</v>
      </c>
      <c r="AI463" s="702">
        <f t="shared" ca="1" si="84"/>
        <v>0</v>
      </c>
      <c r="AJ463" s="704" t="str">
        <f t="shared" ca="1" si="85"/>
        <v/>
      </c>
      <c r="AK463" s="704">
        <f t="shared" ca="1" si="86"/>
        <v>0</v>
      </c>
      <c r="AL463" s="704" t="str">
        <f t="shared" ca="1" si="87"/>
        <v/>
      </c>
      <c r="AM463" s="705" t="str">
        <f t="shared" ca="1" si="88"/>
        <v/>
      </c>
      <c r="AN463" s="382"/>
      <c r="AO463" s="314" t="str">
        <f>IF($R$3=1,IF(Y463=AA463,"","NE"),IF(#REF!=$V$10,"NE",""))</f>
        <v/>
      </c>
      <c r="AP463" s="315" t="str">
        <f>IF(AB463=$V$3,IF(VLOOKUP(C463,[1]List1!$A:$E,5,FALSE)=0,1,VLOOKUP(C463,[1]List1!$A:$E,5,FALSE)),"")</f>
        <v/>
      </c>
      <c r="AW463" s="458">
        <f>IFERROR(FIND(VLOOKUP('General price list'!$AB$7,'General price list'!$AC$1:$AD$12,2,FALSE),Q463,1),0)</f>
        <v>10</v>
      </c>
      <c r="AX463" s="458">
        <f>IFERROR(FIND(VLOOKUP('General price list'!$AB$7,'General price list'!$AC$1:$AD$12,2,FALSE),R463,1),0)</f>
        <v>0</v>
      </c>
    </row>
    <row r="464" spans="1:50" ht="15" customHeight="1">
      <c r="A464" s="677" t="str">
        <f>Kat.!C464</f>
        <v xml:space="preserve">                                          </v>
      </c>
      <c r="B464" s="678">
        <v>443</v>
      </c>
      <c r="C464" s="679" t="s">
        <v>1985</v>
      </c>
      <c r="D464" s="679" t="s">
        <v>1972</v>
      </c>
      <c r="E464" s="680" t="s">
        <v>758</v>
      </c>
      <c r="F464" s="681">
        <f>VLOOKUP(C464,[2]List1!$A:$D,2,FALSE)</f>
        <v>580</v>
      </c>
      <c r="G464" s="682">
        <f t="shared" si="77"/>
        <v>580</v>
      </c>
      <c r="H464" s="683">
        <f t="shared" si="78"/>
        <v>23.6</v>
      </c>
      <c r="I464" s="836">
        <v>16</v>
      </c>
      <c r="J464" s="680" t="s">
        <v>678</v>
      </c>
      <c r="K464" s="854"/>
      <c r="L464" s="855" t="s">
        <v>13863</v>
      </c>
      <c r="M464" s="680" t="s">
        <v>131</v>
      </c>
      <c r="N464" s="868">
        <f>IFERROR(VLOOKUP(C464,[3]List1!$A:$D,4,FALSE),"N/A!")</f>
        <v>3.7128000000000001E-2</v>
      </c>
      <c r="O464" s="836">
        <f>IFERROR(VLOOKUP(C464,[3]List1!$A:$D,3,FALSE),"N/A!")</f>
        <v>9600</v>
      </c>
      <c r="P464" s="836">
        <f>IFERROR(VLOOKUP(C464,[3]List1!$A:$D,2,FALSE),"N/A!")</f>
        <v>13500</v>
      </c>
      <c r="Q464" s="680" t="s">
        <v>150</v>
      </c>
      <c r="R464" s="680" t="s">
        <v>18</v>
      </c>
      <c r="S464" s="680"/>
      <c r="T464" s="681"/>
      <c r="U464" s="873"/>
      <c r="V464" s="684" t="str">
        <f>_xlfn.IFNA(HYPERLINK("https://www.klasekpyrotechnics.cz/s5f-p"),"")</f>
        <v>https://www.klasekpyrotechnics.cz/s5f-p</v>
      </c>
      <c r="W464" s="685" t="str">
        <f>IFERROR(VLOOKUP($C464,Popisy!A:P,MATCH($W$17,Popisy!$A$7:$P$7,0),FALSE),"---------------")</f>
        <v xml:space="preserve">golden Ti-willow </v>
      </c>
      <c r="X464" s="889" t="str">
        <f t="shared" si="79"/>
        <v/>
      </c>
      <c r="Y464" s="890"/>
      <c r="Z464" s="685">
        <f>IFERROR(IF(VLOOKUP(C464,[4]List1!$A:$D,4,FALSE)=0,"",VLOOKUP(C464,[4]List1!$A:$D,4,FALSE)),"")</f>
        <v>24</v>
      </c>
      <c r="AA464" s="707"/>
      <c r="AB464" s="911" t="str">
        <f>IFERROR(IF(VLOOKUP(C464,[1]List1!$A:$D,2,FALSE)="VYPRODÁNO",$V$9,IF(VLOOKUP(C464,[1]List1!$A:$D,2,FALSE)="DOCHÁZÍ",$V$3,VLOOKUP(C464,[1]List1!$A:$D,2,FALSE))),"OFFLINE!")</f>
        <v>30.09.2024</v>
      </c>
      <c r="AC464" s="911" t="str">
        <f ca="1">IF(AO464="NE",$V$10,IF(AB464=$V$3,IF(AP464&lt;1,$V$8,$V$2&amp;" "&amp;AP464&amp;" "&amp;$V$1),IF(AB464="SKLADEM",$V$6,IFERROR(IF(OR(AB464-TODAY()&gt;21,VLOOKUP(C464,[1]List1!$A:$E,4,FALSE)=0),AB464,DAY(AB464)&amp;"."&amp;MONTH(AB464)&amp;"."&amp;YEAR(AB464)&amp;" "&amp;$V$4&amp;VLOOKUP(C464,[1]List1!$A:$E,4,FALSE)&amp;" "&amp;$V$1),AB464))))</f>
        <v>30.09.2024</v>
      </c>
      <c r="AD464" s="686" t="str">
        <f ca="1">_xlfn.IFNA(VLOOKUP(C464,'General price list'!C:AM,MATCH($AD$20,'General price list'!$C$20:$AM$20,0),FALSE),"")</f>
        <v>30.09.2024</v>
      </c>
      <c r="AE464" s="681">
        <f t="shared" ca="1" si="80"/>
        <v>0</v>
      </c>
      <c r="AF464" s="681">
        <f t="shared" ca="1" si="81"/>
        <v>0</v>
      </c>
      <c r="AG464" s="687">
        <f t="shared" ca="1" si="82"/>
        <v>0</v>
      </c>
      <c r="AH464" s="688">
        <f t="shared" ca="1" si="83"/>
        <v>0</v>
      </c>
      <c r="AI464" s="687">
        <f t="shared" ca="1" si="84"/>
        <v>0</v>
      </c>
      <c r="AJ464" s="689" t="str">
        <f t="shared" ca="1" si="85"/>
        <v/>
      </c>
      <c r="AK464" s="689">
        <f t="shared" ca="1" si="86"/>
        <v>0</v>
      </c>
      <c r="AL464" s="689" t="str">
        <f t="shared" ca="1" si="87"/>
        <v/>
      </c>
      <c r="AM464" s="690" t="str">
        <f t="shared" ca="1" si="88"/>
        <v/>
      </c>
      <c r="AN464" s="381"/>
      <c r="AO464" s="314" t="str">
        <f>IF($R$3=1,IF(Y464=AA464,"","NE"),IF(#REF!=$V$10,"NE",""))</f>
        <v/>
      </c>
      <c r="AP464" s="315" t="str">
        <f>IF(AB464=$V$3,IF(VLOOKUP(C464,[1]List1!$A:$E,5,FALSE)=0,1,VLOOKUP(C464,[1]List1!$A:$E,5,FALSE)),"")</f>
        <v/>
      </c>
      <c r="AW464" s="458">
        <f>IFERROR(FIND(VLOOKUP('General price list'!$AB$7,'General price list'!$AC$1:$AD$12,2,FALSE),Q464,1),0)</f>
        <v>10</v>
      </c>
      <c r="AX464" s="458">
        <f>IFERROR(FIND(VLOOKUP('General price list'!$AB$7,'General price list'!$AC$1:$AD$12,2,FALSE),R464,1),0)</f>
        <v>0</v>
      </c>
    </row>
    <row r="465" spans="1:50" ht="15" customHeight="1">
      <c r="A465" s="691" t="str">
        <f>Kat.!C465</f>
        <v xml:space="preserve">                                          </v>
      </c>
      <c r="B465" s="692">
        <v>444</v>
      </c>
      <c r="C465" s="693" t="s">
        <v>1988</v>
      </c>
      <c r="D465" s="693" t="s">
        <v>1975</v>
      </c>
      <c r="E465" s="694" t="s">
        <v>758</v>
      </c>
      <c r="F465" s="695">
        <f>VLOOKUP(C465,[2]List1!$A:$D,2,FALSE)</f>
        <v>580</v>
      </c>
      <c r="G465" s="696">
        <f t="shared" si="77"/>
        <v>580</v>
      </c>
      <c r="H465" s="697">
        <f t="shared" si="78"/>
        <v>23.6</v>
      </c>
      <c r="I465" s="837">
        <v>16</v>
      </c>
      <c r="J465" s="698" t="s">
        <v>678</v>
      </c>
      <c r="K465" s="856"/>
      <c r="L465" s="857" t="s">
        <v>13863</v>
      </c>
      <c r="M465" s="698" t="s">
        <v>131</v>
      </c>
      <c r="N465" s="869">
        <f>IFERROR(VLOOKUP(C465,[3]List1!$A:$D,4,FALSE),"N/A!")</f>
        <v>3.7128000000000001E-2</v>
      </c>
      <c r="O465" s="837">
        <f>IFERROR(VLOOKUP(C465,[3]List1!$A:$D,3,FALSE),"N/A!")</f>
        <v>9600</v>
      </c>
      <c r="P465" s="837">
        <f>IFERROR(VLOOKUP(C465,[3]List1!$A:$D,2,FALSE),"N/A!")</f>
        <v>14800</v>
      </c>
      <c r="Q465" s="698" t="s">
        <v>150</v>
      </c>
      <c r="R465" s="698" t="s">
        <v>18</v>
      </c>
      <c r="S465" s="698"/>
      <c r="T465" s="695"/>
      <c r="U465" s="874"/>
      <c r="V465" s="699" t="str">
        <f>_xlfn.IFNA(HYPERLINK("https://www.klasekpyrotechnics.cz/s5k-p"),"")</f>
        <v>https://www.klasekpyrotechnics.cz/s5k-p</v>
      </c>
      <c r="W465" s="700" t="str">
        <f>IFERROR(VLOOKUP($C465,Popisy!A:P,MATCH($W$17,Popisy!$A$7:$P$7,0),FALSE),"---------------")</f>
        <v>brocade crown</v>
      </c>
      <c r="X465" s="891" t="str">
        <f t="shared" si="79"/>
        <v/>
      </c>
      <c r="Y465" s="892"/>
      <c r="Z465" s="700">
        <f>IFERROR(IF(VLOOKUP(C465,[4]List1!$A:$D,4,FALSE)=0,"",VLOOKUP(C465,[4]List1!$A:$D,4,FALSE)),"")</f>
        <v>24</v>
      </c>
      <c r="AA465" s="707"/>
      <c r="AB465" s="912" t="str">
        <f>IFERROR(IF(VLOOKUP(C465,[1]List1!$A:$D,2,FALSE)="VYPRODÁNO",$V$9,IF(VLOOKUP(C465,[1]List1!$A:$D,2,FALSE)="DOCHÁZÍ",$V$3,VLOOKUP(C465,[1]List1!$A:$D,2,FALSE))),"OFFLINE!")</f>
        <v>30.09.2024</v>
      </c>
      <c r="AC465" s="912" t="str">
        <f ca="1">IF(AO465="NE",$V$10,IF(AB465=$V$3,IF(AP465&lt;1,$V$8,$V$2&amp;" "&amp;AP465&amp;" "&amp;$V$1),IF(AB465="SKLADEM",$V$6,IFERROR(IF(OR(AB465-TODAY()&gt;21,VLOOKUP(C465,[1]List1!$A:$E,4,FALSE)=0),AB465,DAY(AB465)&amp;"."&amp;MONTH(AB465)&amp;"."&amp;YEAR(AB465)&amp;" "&amp;$V$4&amp;VLOOKUP(C465,[1]List1!$A:$E,4,FALSE)&amp;" "&amp;$V$1),AB465))))</f>
        <v>30.09.2024</v>
      </c>
      <c r="AD465" s="701" t="str">
        <f ca="1">_xlfn.IFNA(VLOOKUP(C465,'General price list'!C:AM,MATCH($AD$20,'General price list'!$C$20:$AM$20,0),FALSE),"")</f>
        <v>30.09.2024</v>
      </c>
      <c r="AE465" s="695">
        <f t="shared" ca="1" si="80"/>
        <v>0</v>
      </c>
      <c r="AF465" s="695">
        <f t="shared" ca="1" si="81"/>
        <v>0</v>
      </c>
      <c r="AG465" s="702">
        <f t="shared" ca="1" si="82"/>
        <v>0</v>
      </c>
      <c r="AH465" s="703">
        <f t="shared" ca="1" si="83"/>
        <v>0</v>
      </c>
      <c r="AI465" s="702">
        <f t="shared" ca="1" si="84"/>
        <v>0</v>
      </c>
      <c r="AJ465" s="704" t="str">
        <f t="shared" ca="1" si="85"/>
        <v/>
      </c>
      <c r="AK465" s="704">
        <f t="shared" ca="1" si="86"/>
        <v>0</v>
      </c>
      <c r="AL465" s="704" t="str">
        <f t="shared" ca="1" si="87"/>
        <v/>
      </c>
      <c r="AM465" s="705" t="str">
        <f t="shared" ca="1" si="88"/>
        <v/>
      </c>
      <c r="AN465" s="382"/>
      <c r="AO465" s="314" t="str">
        <f>IF($R$3=1,IF(Y465=AA465,"","NE"),IF(#REF!=$V$10,"NE",""))</f>
        <v/>
      </c>
      <c r="AP465" s="315" t="str">
        <f>IF(AB465=$V$3,IF(VLOOKUP(C465,[1]List1!$A:$E,5,FALSE)=0,1,VLOOKUP(C465,[1]List1!$A:$E,5,FALSE)),"")</f>
        <v/>
      </c>
      <c r="AW465" s="458">
        <f>IFERROR(FIND(VLOOKUP('General price list'!$AB$7,'General price list'!$AC$1:$AD$12,2,FALSE),Q465,1),0)</f>
        <v>10</v>
      </c>
      <c r="AX465" s="458">
        <f>IFERROR(FIND(VLOOKUP('General price list'!$AB$7,'General price list'!$AC$1:$AD$12,2,FALSE),R465,1),0)</f>
        <v>0</v>
      </c>
    </row>
    <row r="466" spans="1:50" ht="15" customHeight="1">
      <c r="A466" s="677" t="str">
        <f>Kat.!C466</f>
        <v xml:space="preserve">                                          </v>
      </c>
      <c r="B466" s="678">
        <v>445</v>
      </c>
      <c r="C466" s="679" t="s">
        <v>1991</v>
      </c>
      <c r="D466" s="679" t="s">
        <v>1992</v>
      </c>
      <c r="E466" s="680" t="s">
        <v>758</v>
      </c>
      <c r="F466" s="681">
        <f>VLOOKUP(C466,[2]List1!$A:$D,2,FALSE)</f>
        <v>580</v>
      </c>
      <c r="G466" s="682">
        <f t="shared" si="77"/>
        <v>580</v>
      </c>
      <c r="H466" s="683">
        <f t="shared" si="78"/>
        <v>23.6</v>
      </c>
      <c r="I466" s="836">
        <v>16</v>
      </c>
      <c r="J466" s="680" t="s">
        <v>678</v>
      </c>
      <c r="K466" s="854"/>
      <c r="L466" s="855" t="s">
        <v>13863</v>
      </c>
      <c r="M466" s="680" t="s">
        <v>131</v>
      </c>
      <c r="N466" s="868">
        <f>IFERROR(VLOOKUP(C466,[3]List1!$A:$D,4,FALSE),"N/A!")</f>
        <v>3.7128000000000001E-2</v>
      </c>
      <c r="O466" s="836">
        <f>IFERROR(VLOOKUP(C466,[3]List1!$A:$D,3,FALSE),"N/A!")</f>
        <v>9600</v>
      </c>
      <c r="P466" s="836">
        <f>IFERROR(VLOOKUP(C466,[3]List1!$A:$D,2,FALSE),"N/A!")</f>
        <v>14000</v>
      </c>
      <c r="Q466" s="680" t="s">
        <v>150</v>
      </c>
      <c r="R466" s="680" t="s">
        <v>18</v>
      </c>
      <c r="S466" s="680"/>
      <c r="T466" s="681"/>
      <c r="U466" s="873"/>
      <c r="V466" s="684" t="str">
        <f>_xlfn.IFNA(HYPERLINK("https://www.klasekpyrotechnics.cz/s5m-p"),"")</f>
        <v>https://www.klasekpyrotechnics.cz/s5m-p</v>
      </c>
      <c r="W466" s="685">
        <f>IFERROR(VLOOKUP($C466,Popisy!A:P,MATCH($W$17,Popisy!$A$7:$P$7,0),FALSE),"---------------")</f>
        <v>0</v>
      </c>
      <c r="X466" s="889" t="str">
        <f t="shared" si="79"/>
        <v/>
      </c>
      <c r="Y466" s="890"/>
      <c r="Z466" s="685">
        <f>IFERROR(IF(VLOOKUP(C466,[4]List1!$A:$D,4,FALSE)=0,"",VLOOKUP(C466,[4]List1!$A:$D,4,FALSE)),"")</f>
        <v>24</v>
      </c>
      <c r="AA466" s="707"/>
      <c r="AB466" s="911" t="str">
        <f>IFERROR(IF(VLOOKUP(C466,[1]List1!$A:$D,2,FALSE)="VYPRODÁNO",$V$9,IF(VLOOKUP(C466,[1]List1!$A:$D,2,FALSE)="DOCHÁZÍ",$V$3,VLOOKUP(C466,[1]List1!$A:$D,2,FALSE))),"OFFLINE!")</f>
        <v>20.06.2024</v>
      </c>
      <c r="AC466" s="911" t="str">
        <f ca="1">IF(AO466="NE",$V$10,IF(AB466=$V$3,IF(AP466&lt;1,$V$8,$V$2&amp;" "&amp;AP466&amp;" "&amp;$V$1),IF(AB466="SKLADEM",$V$6,IFERROR(IF(OR(AB466-TODAY()&gt;21,VLOOKUP(C466,[1]List1!$A:$E,4,FALSE)=0),AB466,DAY(AB466)&amp;"."&amp;MONTH(AB466)&amp;"."&amp;YEAR(AB466)&amp;" "&amp;$V$4&amp;VLOOKUP(C466,[1]List1!$A:$E,4,FALSE)&amp;" "&amp;$V$1),AB466))))</f>
        <v>20.06.2024</v>
      </c>
      <c r="AD466" s="686" t="str">
        <f ca="1">_xlfn.IFNA(VLOOKUP(C466,'General price list'!C:AM,MATCH($AD$20,'General price list'!$C$20:$AM$20,0),FALSE),"")</f>
        <v>20.06.2024</v>
      </c>
      <c r="AE466" s="681">
        <f t="shared" ca="1" si="80"/>
        <v>0</v>
      </c>
      <c r="AF466" s="681">
        <f t="shared" ca="1" si="81"/>
        <v>0</v>
      </c>
      <c r="AG466" s="687">
        <f t="shared" ca="1" si="82"/>
        <v>0</v>
      </c>
      <c r="AH466" s="688">
        <f t="shared" ca="1" si="83"/>
        <v>0</v>
      </c>
      <c r="AI466" s="687">
        <f t="shared" ca="1" si="84"/>
        <v>0</v>
      </c>
      <c r="AJ466" s="689" t="str">
        <f t="shared" ca="1" si="85"/>
        <v/>
      </c>
      <c r="AK466" s="689">
        <f t="shared" ca="1" si="86"/>
        <v>0</v>
      </c>
      <c r="AL466" s="689" t="str">
        <f t="shared" ca="1" si="87"/>
        <v/>
      </c>
      <c r="AM466" s="690" t="str">
        <f t="shared" ca="1" si="88"/>
        <v/>
      </c>
      <c r="AN466" s="381"/>
      <c r="AO466" s="314" t="str">
        <f>IF($R$3=1,IF(Y466=AA466,"","NE"),IF(#REF!=$V$10,"NE",""))</f>
        <v/>
      </c>
      <c r="AP466" s="315" t="str">
        <f>IF(AB466=$V$3,IF(VLOOKUP(C466,[1]List1!$A:$E,5,FALSE)=0,1,VLOOKUP(C466,[1]List1!$A:$E,5,FALSE)),"")</f>
        <v/>
      </c>
      <c r="AW466" s="458">
        <f>IFERROR(FIND(VLOOKUP('General price list'!$AB$7,'General price list'!$AC$1:$AD$12,2,FALSE),Q466,1),0)</f>
        <v>10</v>
      </c>
      <c r="AX466" s="458">
        <f>IFERROR(FIND(VLOOKUP('General price list'!$AB$7,'General price list'!$AC$1:$AD$12,2,FALSE),R466,1),0)</f>
        <v>0</v>
      </c>
    </row>
    <row r="467" spans="1:50" ht="15" customHeight="1">
      <c r="A467" s="672" t="str">
        <f>Kat.!C467</f>
        <v xml:space="preserve">                                          Kugelbomben 150mm</v>
      </c>
      <c r="B467" s="692">
        <v>446</v>
      </c>
      <c r="C467" s="693"/>
      <c r="D467" s="693"/>
      <c r="E467" s="694"/>
      <c r="F467" s="695" t="str">
        <f>IFERROR(ROUND(VLOOKUP(C467,'General price list'!$C:$AN,4,FALSE),0),"")</f>
        <v/>
      </c>
      <c r="G467" s="696" t="str">
        <f t="shared" si="77"/>
        <v/>
      </c>
      <c r="H467" s="697" t="str">
        <f t="shared" si="78"/>
        <v/>
      </c>
      <c r="I467" s="837"/>
      <c r="J467" s="698"/>
      <c r="K467" s="856"/>
      <c r="L467" s="857"/>
      <c r="M467" s="698"/>
      <c r="N467" s="869" t="str">
        <f>IFERROR(IF(VLOOKUP($C467,'General price list'!$C:$AN,MATCH(N$20,'General price list'!$C$20:$AM$20,0),FALSE)=0,"",VLOOKUP($C467,'General price list'!$C:$AN,MATCH(N$20,'General price list'!$C$20:$AM$20,0),FALSE)),"")</f>
        <v/>
      </c>
      <c r="O467" s="837" t="str">
        <f>IFERROR(IF(VLOOKUP($C467,'General price list'!$C:$AN,MATCH(O$20,'General price list'!$C$20:$AM$20,0),FALSE)=0,"",VLOOKUP($C467,'General price list'!$C:$AN,MATCH(O$20,'General price list'!$C$20:$AM$20,0),FALSE)),"")</f>
        <v/>
      </c>
      <c r="P467" s="837" t="str">
        <f>IFERROR(IF(VLOOKUP($C467,'General price list'!$C:$AN,MATCH(P$20,'General price list'!$C$20:$AM$20,0),FALSE)=0,"",VLOOKUP($C467,'General price list'!$C:$AN,MATCH(P$20,'General price list'!$C$20:$AM$20,0),FALSE)),"")</f>
        <v/>
      </c>
      <c r="Q467" s="698"/>
      <c r="R467" s="698"/>
      <c r="S467" s="698"/>
      <c r="T467" s="695"/>
      <c r="U467" s="874"/>
      <c r="V467" s="699"/>
      <c r="W467" s="700" t="str">
        <f>IFERROR(VLOOKUP($C467,'General price list'!$C:$AN,MATCH(W$20,'General price list'!$C$20:$AM$20,0),FALSE),"")</f>
        <v/>
      </c>
      <c r="X467" s="891" t="str">
        <f t="shared" si="79"/>
        <v/>
      </c>
      <c r="Y467" s="892"/>
      <c r="Z467" s="700" t="str">
        <f>IFERROR(VLOOKUP($C467,'General price list'!$C:$AN,MATCH(Z$20,'General price list'!$C$20:$AM$20,0),FALSE),"")</f>
        <v/>
      </c>
      <c r="AA467" s="707"/>
      <c r="AB467" s="912" t="str">
        <f>IFERROR(IF(VLOOKUP(C467,[1]List1!$A:$D,2,FALSE)="VYPRODÁNO",$V$9,IF(VLOOKUP(C467,[1]List1!$A:$D,2,FALSE)="DOCHÁZÍ",$V$3,VLOOKUP(C467,[1]List1!$A:$D,2,FALSE))),"OFFLINE!")</f>
        <v>OFFLINE!</v>
      </c>
      <c r="AC467" s="912" t="str">
        <f ca="1">IF(AO467="NE",$V$10,IF(AB467=$V$3,IF(AP467&lt;1,$V$8,$V$2&amp;" "&amp;AP467&amp;" "&amp;$V$1),IF(AB467="SKLADEM",$V$6,IFERROR(IF(OR(AB467-TODAY()&gt;21,VLOOKUP(C467,[1]List1!$A:$E,4,FALSE)=0),AB467,DAY(AB467)&amp;"."&amp;MONTH(AB467)&amp;"."&amp;YEAR(AB467)&amp;" "&amp;$V$4&amp;VLOOKUP(C467,[1]List1!$A:$E,4,FALSE)&amp;" "&amp;$V$1),AB467))))</f>
        <v>OFFLINE!</v>
      </c>
      <c r="AD467" s="701" t="str">
        <f>_xlfn.IFNA(VLOOKUP(C467,'General price list'!C:AM,MATCH($AD$20,'General price list'!$C$20:$AM$20,0),FALSE),"")</f>
        <v/>
      </c>
      <c r="AE467" s="695" t="str">
        <f t="shared" si="80"/>
        <v/>
      </c>
      <c r="AF467" s="695" t="str">
        <f t="shared" si="81"/>
        <v/>
      </c>
      <c r="AG467" s="702" t="str">
        <f t="shared" si="82"/>
        <v/>
      </c>
      <c r="AH467" s="703" t="str">
        <f t="shared" si="83"/>
        <v/>
      </c>
      <c r="AI467" s="702" t="str">
        <f t="shared" si="84"/>
        <v/>
      </c>
      <c r="AJ467" s="704" t="str">
        <f t="shared" si="85"/>
        <v/>
      </c>
      <c r="AK467" s="704" t="str">
        <f t="shared" si="86"/>
        <v/>
      </c>
      <c r="AL467" s="704" t="str">
        <f t="shared" si="87"/>
        <v/>
      </c>
      <c r="AM467" s="705" t="str">
        <f t="shared" si="88"/>
        <v/>
      </c>
      <c r="AN467" s="382"/>
      <c r="AO467" s="314" t="str">
        <f>IF($R$3=1,IF(Y467=AA467,"","NE"),IF(#REF!=$V$10,"NE",""))</f>
        <v/>
      </c>
      <c r="AP467" s="315" t="str">
        <f>IF(AB467=$V$3,IF(VLOOKUP(C467,[1]List1!$A:$E,5,FALSE)=0,1,VLOOKUP(C467,[1]List1!$A:$E,5,FALSE)),"")</f>
        <v/>
      </c>
      <c r="AW467" s="291" t="e">
        <f>VLOOKUP(C467,'General price list'!C:AU,46,FALSE)</f>
        <v>#N/A</v>
      </c>
      <c r="AX467" s="291" t="e">
        <f>VLOOKUP(C467,'General price list'!C:AU,47,FALSE)</f>
        <v>#N/A</v>
      </c>
    </row>
    <row r="468" spans="1:50" ht="15" customHeight="1">
      <c r="A468" s="677" t="str">
        <f>Kat.!C468</f>
        <v xml:space="preserve">                                          </v>
      </c>
      <c r="B468" s="678">
        <v>447</v>
      </c>
      <c r="C468" s="679" t="s">
        <v>2423</v>
      </c>
      <c r="D468" s="679" t="s">
        <v>2008</v>
      </c>
      <c r="E468" s="680" t="s">
        <v>2019</v>
      </c>
      <c r="F468" s="681">
        <f>VLOOKUP(C468,[2]List1!$A:$D,2,FALSE)</f>
        <v>837</v>
      </c>
      <c r="G468" s="682">
        <f t="shared" si="77"/>
        <v>837</v>
      </c>
      <c r="H468" s="683">
        <f t="shared" si="78"/>
        <v>34.1</v>
      </c>
      <c r="I468" s="836">
        <v>9</v>
      </c>
      <c r="J468" s="680" t="s">
        <v>678</v>
      </c>
      <c r="K468" s="854"/>
      <c r="L468" s="855" t="s">
        <v>13863</v>
      </c>
      <c r="M468" s="680" t="s">
        <v>131</v>
      </c>
      <c r="N468" s="868">
        <f>IFERROR(VLOOKUP(C468,[3]List1!$A:$D,4,FALSE),"N/A!")</f>
        <v>4.6575000000000005E-2</v>
      </c>
      <c r="O468" s="836">
        <f>IFERROR(VLOOKUP(C468,[3]List1!$A:$D,3,FALSE),"N/A!")</f>
        <v>9000</v>
      </c>
      <c r="P468" s="836">
        <f>IFERROR(VLOOKUP(C468,[3]List1!$A:$D,2,FALSE),"N/A!")</f>
        <v>13700</v>
      </c>
      <c r="Q468" s="680" t="s">
        <v>150</v>
      </c>
      <c r="R468" s="680" t="s">
        <v>18</v>
      </c>
      <c r="S468" s="680"/>
      <c r="T468" s="681"/>
      <c r="U468" s="873"/>
      <c r="V468" s="684" t="str">
        <f>_xlfn.IFNA(HYPERLINK("https://www.klasekpyrotechnics.cz/s6m"),"")</f>
        <v>https://www.klasekpyrotechnics.cz/s6m</v>
      </c>
      <c r="W468" s="685" t="str">
        <f>IFERROR(VLOOKUP($C468,Popisy!A:P,MATCH($W$17,Popisy!$A$7:$P$7,0),FALSE),"---------------")</f>
        <v>Mixed carton contains: S6CH gold wave w.purple peony double rings to special orange strobing pistil(2pc), S6H color chrysanthemum(2pc), S6S silver tail to silver palm(2pc), S6O colorfull dahlia(1pc), S6K red glitter w.brocade crown(2pc)</v>
      </c>
      <c r="X468" s="889" t="str">
        <f t="shared" si="79"/>
        <v/>
      </c>
      <c r="Y468" s="890"/>
      <c r="Z468" s="685" t="str">
        <f>IFERROR(IF(VLOOKUP(C468,[4]List1!$A:$D,4,FALSE)=0,"",VLOOKUP(C468,[4]List1!$A:$D,4,FALSE)),"")</f>
        <v>24</v>
      </c>
      <c r="AA468" s="707"/>
      <c r="AB468" s="911" t="str">
        <f>IFERROR(IF(VLOOKUP(C468,[1]List1!$A:$D,2,FALSE)="VYPRODÁNO",$V$9,IF(VLOOKUP(C468,[1]List1!$A:$D,2,FALSE)="DOCHÁZÍ",$V$3,VLOOKUP(C468,[1]List1!$A:$D,2,FALSE))),"OFFLINE!")</f>
        <v>SKLADEM</v>
      </c>
      <c r="AC468" s="911" t="str">
        <f ca="1">IF(AO468="NE",$V$10,IF(AB468=$V$3,IF(AP468&lt;1,$V$8,$V$2&amp;" "&amp;AP468&amp;" "&amp;$V$1),IF(AB468="SKLADEM",$V$6,IFERROR(IF(OR(AB468-TODAY()&gt;21,VLOOKUP(C468,[1]List1!$A:$E,4,FALSE)=0),AB468,DAY(AB468)&amp;"."&amp;MONTH(AB468)&amp;"."&amp;YEAR(AB468)&amp;" "&amp;$V$4&amp;VLOOKUP(C468,[1]List1!$A:$E,4,FALSE)&amp;" "&amp;$V$1),AB468))))</f>
        <v>AUF LAGER</v>
      </c>
      <c r="AD468" s="686" t="str">
        <f ca="1">_xlfn.IFNA(VLOOKUP(C468,'General price list'!C:AM,MATCH($AD$20,'General price list'!$C$20:$AM$20,0),FALSE),"")</f>
        <v>AUF LAGER</v>
      </c>
      <c r="AE468" s="681">
        <f t="shared" ca="1" si="80"/>
        <v>0</v>
      </c>
      <c r="AF468" s="681">
        <f t="shared" ca="1" si="81"/>
        <v>0</v>
      </c>
      <c r="AG468" s="687">
        <f t="shared" ca="1" si="82"/>
        <v>0</v>
      </c>
      <c r="AH468" s="688">
        <f t="shared" ca="1" si="83"/>
        <v>0</v>
      </c>
      <c r="AI468" s="687">
        <f t="shared" ca="1" si="84"/>
        <v>0</v>
      </c>
      <c r="AJ468" s="689" t="str">
        <f t="shared" ca="1" si="85"/>
        <v/>
      </c>
      <c r="AK468" s="689">
        <f t="shared" ca="1" si="86"/>
        <v>0</v>
      </c>
      <c r="AL468" s="689" t="str">
        <f t="shared" ca="1" si="87"/>
        <v/>
      </c>
      <c r="AM468" s="690" t="str">
        <f t="shared" ca="1" si="88"/>
        <v/>
      </c>
      <c r="AN468" s="381"/>
      <c r="AO468" s="314" t="str">
        <f>IF($R$3=1,IF(Y468=AA468,"","NE"),IF(#REF!=$V$10,"NE",""))</f>
        <v/>
      </c>
      <c r="AP468" s="292" t="str">
        <f>IF(AB468=$V$3,IF(VLOOKUP(C468,[1]List1!$A:$E,5,FALSE)=0,1,VLOOKUP(C468,[1]List1!$A:$E,5,FALSE)),"")</f>
        <v/>
      </c>
      <c r="AW468" s="458">
        <f>IFERROR(FIND(VLOOKUP('General price list'!$AB$7,'General price list'!$AC$1:$AD$12,2,FALSE),Q468,1),0)</f>
        <v>10</v>
      </c>
      <c r="AX468" s="458">
        <f>IFERROR(FIND(VLOOKUP('General price list'!$AB$7,'General price list'!$AC$1:$AD$12,2,FALSE),R468,1),0)</f>
        <v>0</v>
      </c>
    </row>
    <row r="469" spans="1:50" ht="15" customHeight="1">
      <c r="A469" s="672" t="str">
        <f>Kat.!C469</f>
        <v xml:space="preserve">                                          Kugelbomben 150mm, Prämienqualität</v>
      </c>
      <c r="B469" s="692">
        <v>448</v>
      </c>
      <c r="C469" s="693"/>
      <c r="D469" s="693"/>
      <c r="E469" s="694"/>
      <c r="F469" s="695" t="str">
        <f>IFERROR(ROUND(VLOOKUP(C469,'General price list'!$C:$AN,4,FALSE),0),"")</f>
        <v/>
      </c>
      <c r="G469" s="696" t="str">
        <f t="shared" si="77"/>
        <v/>
      </c>
      <c r="H469" s="697" t="str">
        <f t="shared" si="78"/>
        <v/>
      </c>
      <c r="I469" s="837"/>
      <c r="J469" s="698"/>
      <c r="K469" s="856"/>
      <c r="L469" s="857"/>
      <c r="M469" s="698"/>
      <c r="N469" s="869" t="str">
        <f>IFERROR(IF(VLOOKUP($C469,'General price list'!$C:$AN,MATCH(N$20,'General price list'!$C$20:$AM$20,0),FALSE)=0,"",VLOOKUP($C469,'General price list'!$C:$AN,MATCH(N$20,'General price list'!$C$20:$AM$20,0),FALSE)),"")</f>
        <v/>
      </c>
      <c r="O469" s="837" t="str">
        <f>IFERROR(IF(VLOOKUP($C469,'General price list'!$C:$AN,MATCH(O$20,'General price list'!$C$20:$AM$20,0),FALSE)=0,"",VLOOKUP($C469,'General price list'!$C:$AN,MATCH(O$20,'General price list'!$C$20:$AM$20,0),FALSE)),"")</f>
        <v/>
      </c>
      <c r="P469" s="837" t="str">
        <f>IFERROR(IF(VLOOKUP($C469,'General price list'!$C:$AN,MATCH(P$20,'General price list'!$C$20:$AM$20,0),FALSE)=0,"",VLOOKUP($C469,'General price list'!$C:$AN,MATCH(P$20,'General price list'!$C$20:$AM$20,0),FALSE)),"")</f>
        <v/>
      </c>
      <c r="Q469" s="698"/>
      <c r="R469" s="698"/>
      <c r="S469" s="698"/>
      <c r="T469" s="695"/>
      <c r="U469" s="874"/>
      <c r="V469" s="699"/>
      <c r="W469" s="700" t="str">
        <f>IFERROR(VLOOKUP($C469,'General price list'!$C:$AN,MATCH(W$20,'General price list'!$C$20:$AM$20,0),FALSE),"")</f>
        <v/>
      </c>
      <c r="X469" s="891" t="str">
        <f t="shared" si="79"/>
        <v/>
      </c>
      <c r="Y469" s="892"/>
      <c r="Z469" s="700" t="str">
        <f>IFERROR(VLOOKUP($C469,'General price list'!$C:$AN,MATCH(Z$20,'General price list'!$C$20:$AM$20,0),FALSE),"")</f>
        <v/>
      </c>
      <c r="AA469" s="707"/>
      <c r="AB469" s="912" t="str">
        <f>IFERROR(IF(VLOOKUP(C469,[1]List1!$A:$D,2,FALSE)="VYPRODÁNO",$V$9,IF(VLOOKUP(C469,[1]List1!$A:$D,2,FALSE)="DOCHÁZÍ",$V$3,VLOOKUP(C469,[1]List1!$A:$D,2,FALSE))),"OFFLINE!")</f>
        <v>OFFLINE!</v>
      </c>
      <c r="AC469" s="912" t="str">
        <f ca="1">IF(AO469="NE",$V$10,IF(AB469=$V$3,IF(AP469&lt;1,$V$8,$V$2&amp;" "&amp;AP469&amp;" "&amp;$V$1),IF(AB469="SKLADEM",$V$6,IFERROR(IF(OR(AB469-TODAY()&gt;21,VLOOKUP(C469,[1]List1!$A:$E,4,FALSE)=0),AB469,DAY(AB469)&amp;"."&amp;MONTH(AB469)&amp;"."&amp;YEAR(AB469)&amp;" "&amp;$V$4&amp;VLOOKUP(C469,[1]List1!$A:$E,4,FALSE)&amp;" "&amp;$V$1),AB469))))</f>
        <v>OFFLINE!</v>
      </c>
      <c r="AD469" s="701" t="str">
        <f>_xlfn.IFNA(VLOOKUP(C469,'General price list'!C:AM,MATCH($AD$20,'General price list'!$C$20:$AM$20,0),FALSE),"")</f>
        <v/>
      </c>
      <c r="AE469" s="695" t="str">
        <f t="shared" si="80"/>
        <v/>
      </c>
      <c r="AF469" s="695" t="str">
        <f t="shared" si="81"/>
        <v/>
      </c>
      <c r="AG469" s="702" t="str">
        <f t="shared" si="82"/>
        <v/>
      </c>
      <c r="AH469" s="703" t="str">
        <f t="shared" si="83"/>
        <v/>
      </c>
      <c r="AI469" s="702" t="str">
        <f t="shared" si="84"/>
        <v/>
      </c>
      <c r="AJ469" s="704" t="str">
        <f t="shared" si="85"/>
        <v/>
      </c>
      <c r="AK469" s="704" t="str">
        <f t="shared" si="86"/>
        <v/>
      </c>
      <c r="AL469" s="704" t="str">
        <f t="shared" si="87"/>
        <v/>
      </c>
      <c r="AM469" s="705" t="str">
        <f t="shared" si="88"/>
        <v/>
      </c>
      <c r="AN469" s="313"/>
      <c r="AO469" s="314" t="str">
        <f>IF($R$3=1,IF(Y469=AA469,"","NE"),IF(#REF!=$V$10,"NE",""))</f>
        <v/>
      </c>
      <c r="AP469" s="315" t="str">
        <f>IF(AB469=$V$3,IF(VLOOKUP(C469,[1]List1!$A:$E,5,FALSE)=0,1,VLOOKUP(C469,[1]List1!$A:$E,5,FALSE)),"")</f>
        <v/>
      </c>
      <c r="AW469" s="291" t="e">
        <f>VLOOKUP(C469,'General price list'!C:AU,46,FALSE)</f>
        <v>#N/A</v>
      </c>
      <c r="AX469" s="291" t="e">
        <f>VLOOKUP(C469,'General price list'!C:AU,47,FALSE)</f>
        <v>#N/A</v>
      </c>
    </row>
    <row r="470" spans="1:50" ht="15" customHeight="1">
      <c r="A470" s="677" t="str">
        <f>Kat.!C470</f>
        <v xml:space="preserve">                                          </v>
      </c>
      <c r="B470" s="678">
        <v>449</v>
      </c>
      <c r="C470" s="679" t="s">
        <v>2425</v>
      </c>
      <c r="D470" s="679" t="s">
        <v>1998</v>
      </c>
      <c r="E470" s="680" t="s">
        <v>2019</v>
      </c>
      <c r="F470" s="681">
        <f>VLOOKUP(C470,[2]List1!$A:$D,2,FALSE)</f>
        <v>886</v>
      </c>
      <c r="G470" s="682">
        <f t="shared" si="77"/>
        <v>886</v>
      </c>
      <c r="H470" s="683">
        <f t="shared" si="78"/>
        <v>36</v>
      </c>
      <c r="I470" s="836">
        <v>9</v>
      </c>
      <c r="J470" s="680" t="s">
        <v>678</v>
      </c>
      <c r="K470" s="854"/>
      <c r="L470" s="855" t="s">
        <v>13863</v>
      </c>
      <c r="M470" s="680" t="s">
        <v>131</v>
      </c>
      <c r="N470" s="868">
        <f>IFERROR(VLOOKUP(C470,[3]List1!$A:$D,4,FALSE),"N/A!")</f>
        <v>4.6575000000000005E-2</v>
      </c>
      <c r="O470" s="836">
        <f>IFERROR(VLOOKUP(C470,[3]List1!$A:$D,3,FALSE),"N/A!")</f>
        <v>9000</v>
      </c>
      <c r="P470" s="836">
        <f>IFERROR(VLOOKUP(C470,[3]List1!$A:$D,2,FALSE),"N/A!")</f>
        <v>12000</v>
      </c>
      <c r="Q470" s="680" t="s">
        <v>150</v>
      </c>
      <c r="R470" s="680" t="s">
        <v>18</v>
      </c>
      <c r="S470" s="680"/>
      <c r="T470" s="681"/>
      <c r="U470" s="873"/>
      <c r="V470" s="684" t="str">
        <f>_xlfn.IFNA(HYPERLINK("https://www.klasekpyrotechnics.cz/s6f-p_9"),"")</f>
        <v>https://www.klasekpyrotechnics.cz/s6f-p_9</v>
      </c>
      <c r="W470" s="685" t="str">
        <f>IFERROR(VLOOKUP($C470,Popisy!A:P,MATCH($W$17,Popisy!$A$7:$P$7,0),FALSE),"---------------")</f>
        <v>ghost silver to red</v>
      </c>
      <c r="X470" s="889" t="str">
        <f t="shared" si="79"/>
        <v/>
      </c>
      <c r="Y470" s="890"/>
      <c r="Z470" s="685" t="str">
        <f>IFERROR(IF(VLOOKUP(C470,[4]List1!$A:$D,4,FALSE)=0,"",VLOOKUP(C470,[4]List1!$A:$D,4,FALSE)),"")</f>
        <v>24</v>
      </c>
      <c r="AA470" s="707"/>
      <c r="AB470" s="911" t="str">
        <f>IFERROR(IF(VLOOKUP(C470,[1]List1!$A:$D,2,FALSE)="VYPRODÁNO",$V$9,IF(VLOOKUP(C470,[1]List1!$A:$D,2,FALSE)="DOCHÁZÍ",$V$3,VLOOKUP(C470,[1]List1!$A:$D,2,FALSE))),"OFFLINE!")</f>
        <v>30.09.2024</v>
      </c>
      <c r="AC470" s="911" t="str">
        <f ca="1">IF(AO470="NE",$V$10,IF(AB470=$V$3,IF(AP470&lt;1,$V$8,$V$2&amp;" "&amp;AP470&amp;" "&amp;$V$1),IF(AB470="SKLADEM",$V$6,IFERROR(IF(OR(AB470-TODAY()&gt;21,VLOOKUP(C470,[1]List1!$A:$E,4,FALSE)=0),AB470,DAY(AB470)&amp;"."&amp;MONTH(AB470)&amp;"."&amp;YEAR(AB470)&amp;" "&amp;$V$4&amp;VLOOKUP(C470,[1]List1!$A:$E,4,FALSE)&amp;" "&amp;$V$1),AB470))))</f>
        <v>30.09.2024</v>
      </c>
      <c r="AD470" s="686" t="str">
        <f ca="1">_xlfn.IFNA(VLOOKUP(C470,'General price list'!C:AM,MATCH($AD$20,'General price list'!$C$20:$AM$20,0),FALSE),"")</f>
        <v>30.09.2024</v>
      </c>
      <c r="AE470" s="681">
        <f t="shared" ca="1" si="80"/>
        <v>0</v>
      </c>
      <c r="AF470" s="681">
        <f t="shared" ca="1" si="81"/>
        <v>0</v>
      </c>
      <c r="AG470" s="687">
        <f t="shared" ca="1" si="82"/>
        <v>0</v>
      </c>
      <c r="AH470" s="688">
        <f t="shared" ca="1" si="83"/>
        <v>0</v>
      </c>
      <c r="AI470" s="687">
        <f t="shared" ca="1" si="84"/>
        <v>0</v>
      </c>
      <c r="AJ470" s="689" t="str">
        <f t="shared" ca="1" si="85"/>
        <v/>
      </c>
      <c r="AK470" s="689">
        <f t="shared" ca="1" si="86"/>
        <v>0</v>
      </c>
      <c r="AL470" s="689" t="str">
        <f t="shared" ca="1" si="87"/>
        <v/>
      </c>
      <c r="AM470" s="690" t="str">
        <f t="shared" ca="1" si="88"/>
        <v/>
      </c>
      <c r="AN470" s="381"/>
      <c r="AO470" s="314" t="str">
        <f>IF($R$3=1,IF(Y470=AA470,"","NE"),IF(#REF!=$V$10,"NE",""))</f>
        <v/>
      </c>
      <c r="AP470" s="315" t="str">
        <f>IF(AB470=$V$3,IF(VLOOKUP(C470,[1]List1!$A:$E,5,FALSE)=0,1,VLOOKUP(C470,[1]List1!$A:$E,5,FALSE)),"")</f>
        <v/>
      </c>
      <c r="AW470" s="458">
        <f>IFERROR(FIND(VLOOKUP('General price list'!$AB$7,'General price list'!$AC$1:$AD$12,2,FALSE),Q470,1),0)</f>
        <v>10</v>
      </c>
      <c r="AX470" s="458">
        <f>IFERROR(FIND(VLOOKUP('General price list'!$AB$7,'General price list'!$AC$1:$AD$12,2,FALSE),R470,1),0)</f>
        <v>0</v>
      </c>
    </row>
    <row r="471" spans="1:50" ht="15" customHeight="1">
      <c r="A471" s="691" t="str">
        <f>Kat.!C471</f>
        <v xml:space="preserve">                                          </v>
      </c>
      <c r="B471" s="692">
        <v>450</v>
      </c>
      <c r="C471" s="693" t="s">
        <v>2022</v>
      </c>
      <c r="D471" s="693" t="s">
        <v>2001</v>
      </c>
      <c r="E471" s="694" t="s">
        <v>2019</v>
      </c>
      <c r="F471" s="695">
        <f>VLOOKUP(C471,[2]List1!$A:$D,2,FALSE)</f>
        <v>971</v>
      </c>
      <c r="G471" s="696">
        <f t="shared" ref="G471:G534" si="89">IFERROR((F471)*$B$19,"")</f>
        <v>971</v>
      </c>
      <c r="H471" s="697">
        <f t="shared" ref="H471:H534" si="90">IFERROR(ROUND(G471/$F$19,1),"")</f>
        <v>39.5</v>
      </c>
      <c r="I471" s="837">
        <v>9</v>
      </c>
      <c r="J471" s="698" t="s">
        <v>678</v>
      </c>
      <c r="K471" s="856"/>
      <c r="L471" s="857" t="s">
        <v>13863</v>
      </c>
      <c r="M471" s="698" t="s">
        <v>131</v>
      </c>
      <c r="N471" s="869">
        <f>IFERROR(VLOOKUP(C471,[3]List1!$A:$D,4,FALSE),"N/A!")</f>
        <v>4.6575000000000005E-2</v>
      </c>
      <c r="O471" s="837">
        <f>IFERROR(VLOOKUP(C471,[3]List1!$A:$D,3,FALSE),"N/A!")</f>
        <v>9000</v>
      </c>
      <c r="P471" s="837">
        <f>IFERROR(VLOOKUP(C471,[3]List1!$A:$D,2,FALSE),"N/A!")</f>
        <v>12000</v>
      </c>
      <c r="Q471" s="698" t="s">
        <v>150</v>
      </c>
      <c r="R471" s="698" t="s">
        <v>18</v>
      </c>
      <c r="S471" s="698"/>
      <c r="T471" s="695"/>
      <c r="U471" s="874"/>
      <c r="V471" s="699" t="str">
        <f>_xlfn.IFNA(HYPERLINK("https://www.klasekpyrotechnics.cz/s6i-p_9"),"")</f>
        <v>https://www.klasekpyrotechnics.cz/s6i-p_9</v>
      </c>
      <c r="W471" s="700" t="str">
        <f>IFERROR(VLOOKUP($C471,Popisy!A:P,MATCH($W$17,Popisy!$A$7:$P$7,0),FALSE),"---------------")</f>
        <v>golden Ti-willow</v>
      </c>
      <c r="X471" s="891" t="str">
        <f t="shared" ref="X471:X534" si="91">IF(AA471&lt;0.0001,"",AA471)</f>
        <v/>
      </c>
      <c r="Y471" s="892"/>
      <c r="Z471" s="700" t="str">
        <f>IFERROR(IF(VLOOKUP(C471,[4]List1!$A:$D,4,FALSE)=0,"",VLOOKUP(C471,[4]List1!$A:$D,4,FALSE)),"")</f>
        <v>24</v>
      </c>
      <c r="AA471" s="707"/>
      <c r="AB471" s="912" t="str">
        <f>IFERROR(IF(VLOOKUP(C471,[1]List1!$A:$D,2,FALSE)="VYPRODÁNO",$V$9,IF(VLOOKUP(C471,[1]List1!$A:$D,2,FALSE)="DOCHÁZÍ",$V$3,VLOOKUP(C471,[1]List1!$A:$D,2,FALSE))),"OFFLINE!")</f>
        <v>SKLADEM</v>
      </c>
      <c r="AC471" s="912" t="str">
        <f ca="1">IF(AO471="NE",$V$10,IF(AB471=$V$3,IF(AP471&lt;1,$V$8,$V$2&amp;" "&amp;AP471&amp;" "&amp;$V$1),IF(AB471="SKLADEM",$V$6,IFERROR(IF(OR(AB471-TODAY()&gt;21,VLOOKUP(C471,[1]List1!$A:$E,4,FALSE)=0),AB471,DAY(AB471)&amp;"."&amp;MONTH(AB471)&amp;"."&amp;YEAR(AB471)&amp;" "&amp;$V$4&amp;VLOOKUP(C471,[1]List1!$A:$E,4,FALSE)&amp;" "&amp;$V$1),AB471))))</f>
        <v>AUF LAGER</v>
      </c>
      <c r="AD471" s="701">
        <f>_xlfn.IFNA(VLOOKUP(C471,'General price list'!C:AM,MATCH($AD$20,'General price list'!$C$20:$AM$20,0),FALSE),"")</f>
        <v>0</v>
      </c>
      <c r="AE471" s="695">
        <f t="shared" ref="AE471:AE534" si="92">IFERROR(IF(AD471=$V$10,0,G471*I471*AA471),"")</f>
        <v>0</v>
      </c>
      <c r="AF471" s="695">
        <f t="shared" ref="AF471:AF534" si="93">IFERROR(IF($W$17=$AB$8,AG471*1.23,AE471*1.21),"")</f>
        <v>0</v>
      </c>
      <c r="AG471" s="702">
        <f t="shared" ref="AG471:AG534" si="94">IFERROR(IF($V$10=AD471,0,H471*I471*AA471),"")</f>
        <v>0</v>
      </c>
      <c r="AH471" s="703">
        <f t="shared" ref="AH471:AH534" si="95">IFERROR(IF($V$10=AD471,0,(P471*AA471)/1000),"")</f>
        <v>0</v>
      </c>
      <c r="AI471" s="702">
        <f t="shared" ref="AI471:AI534" si="96">IFERROR(IF($V$10=AD471,0,N471*AA471),"")</f>
        <v>0</v>
      </c>
      <c r="AJ471" s="704" t="str">
        <f t="shared" ref="AJ471:AJ534" si="97">IFERROR(IF($V$10=AD471,"",IF(M471="1.1G",(O471/1000)*AA471,"")),0)</f>
        <v/>
      </c>
      <c r="AK471" s="704">
        <f t="shared" ref="AK471:AK534" si="98">IFERROR(IF($V$10=AD471,"",IF(M471="1.3G",(O471/1000)*AA471,"")),0)</f>
        <v>0</v>
      </c>
      <c r="AL471" s="704" t="str">
        <f t="shared" ref="AL471:AL534" si="99">IFERROR(IF($V$10=AD471,"",IF(M471="1.4G",(O471/1000)*AA471,"")),0)</f>
        <v/>
      </c>
      <c r="AM471" s="705" t="str">
        <f t="shared" ref="AM471:AM534" si="100">IFERROR(IF(SUM(AJ471:AL471)=0,"",SUM(AJ471:AL471)),"")</f>
        <v/>
      </c>
      <c r="AN471" s="382"/>
      <c r="AO471" s="314" t="str">
        <f>IF($R$3=1,IF(Y471=AA471,"","NE"),IF(#REF!=$V$10,"NE",""))</f>
        <v/>
      </c>
      <c r="AP471" s="315" t="str">
        <f>IF(AB471=$V$3,IF(VLOOKUP(C471,[1]List1!$A:$E,5,FALSE)=0,1,VLOOKUP(C471,[1]List1!$A:$E,5,FALSE)),"")</f>
        <v/>
      </c>
      <c r="AW471" s="458">
        <f>IFERROR(FIND(VLOOKUP('General price list'!$AB$7,'General price list'!$AC$1:$AD$12,2,FALSE),Q471,1),0)</f>
        <v>10</v>
      </c>
      <c r="AX471" s="458">
        <f>IFERROR(FIND(VLOOKUP('General price list'!$AB$7,'General price list'!$AC$1:$AD$12,2,FALSE),R471,1),0)</f>
        <v>0</v>
      </c>
    </row>
    <row r="472" spans="1:50" ht="15" customHeight="1">
      <c r="A472" s="677" t="str">
        <f>Kat.!C472</f>
        <v xml:space="preserve">                                          </v>
      </c>
      <c r="B472" s="678">
        <v>451</v>
      </c>
      <c r="C472" s="679" t="s">
        <v>2023</v>
      </c>
      <c r="D472" s="679" t="s">
        <v>2004</v>
      </c>
      <c r="E472" s="680" t="s">
        <v>2019</v>
      </c>
      <c r="F472" s="681">
        <f>VLOOKUP(C472,[2]List1!$A:$D,2,FALSE)</f>
        <v>987</v>
      </c>
      <c r="G472" s="682">
        <f t="shared" si="89"/>
        <v>987</v>
      </c>
      <c r="H472" s="683">
        <f t="shared" si="90"/>
        <v>40.200000000000003</v>
      </c>
      <c r="I472" s="836">
        <v>9</v>
      </c>
      <c r="J472" s="680" t="s">
        <v>678</v>
      </c>
      <c r="K472" s="854"/>
      <c r="L472" s="855" t="s">
        <v>13863</v>
      </c>
      <c r="M472" s="680" t="s">
        <v>131</v>
      </c>
      <c r="N472" s="868">
        <f>IFERROR(VLOOKUP(C472,[3]List1!$A:$D,4,FALSE),"N/A!")</f>
        <v>4.6575000000000005E-2</v>
      </c>
      <c r="O472" s="836">
        <f>IFERROR(VLOOKUP(C472,[3]List1!$A:$D,3,FALSE),"N/A!")</f>
        <v>9000</v>
      </c>
      <c r="P472" s="836">
        <f>IFERROR(VLOOKUP(C472,[3]List1!$A:$D,2,FALSE),"N/A!")</f>
        <v>12000</v>
      </c>
      <c r="Q472" s="680" t="s">
        <v>150</v>
      </c>
      <c r="R472" s="680" t="s">
        <v>18</v>
      </c>
      <c r="S472" s="680"/>
      <c r="T472" s="681"/>
      <c r="U472" s="873"/>
      <c r="V472" s="684" t="str">
        <f>_xlfn.IFNA(HYPERLINK("https://www.klasekpyrotechnics.cz/s6r-p_9"),"")</f>
        <v>https://www.klasekpyrotechnics.cz/s6r-p_9</v>
      </c>
      <c r="W472" s="685" t="str">
        <f>IFERROR(VLOOKUP($C472,Popisy!A:P,MATCH($W$17,Popisy!$A$7:$P$7,0),FALSE),"---------------")</f>
        <v>silver glittering red coco crossettte</v>
      </c>
      <c r="X472" s="889" t="str">
        <f t="shared" si="91"/>
        <v/>
      </c>
      <c r="Y472" s="890"/>
      <c r="Z472" s="685" t="str">
        <f>IFERROR(IF(VLOOKUP(C472,[4]List1!$A:$D,4,FALSE)=0,"",VLOOKUP(C472,[4]List1!$A:$D,4,FALSE)),"")</f>
        <v>24</v>
      </c>
      <c r="AA472" s="707"/>
      <c r="AB472" s="911" t="str">
        <f>IFERROR(IF(VLOOKUP(C472,[1]List1!$A:$D,2,FALSE)="VYPRODÁNO",$V$9,IF(VLOOKUP(C472,[1]List1!$A:$D,2,FALSE)="DOCHÁZÍ",$V$3,VLOOKUP(C472,[1]List1!$A:$D,2,FALSE))),"OFFLINE!")</f>
        <v>30.09.2024</v>
      </c>
      <c r="AC472" s="911" t="str">
        <f ca="1">IF(AO472="NE",$V$10,IF(AB472=$V$3,IF(AP472&lt;1,$V$8,$V$2&amp;" "&amp;AP472&amp;" "&amp;$V$1),IF(AB472="SKLADEM",$V$6,IFERROR(IF(OR(AB472-TODAY()&gt;21,VLOOKUP(C472,[1]List1!$A:$E,4,FALSE)=0),AB472,DAY(AB472)&amp;"."&amp;MONTH(AB472)&amp;"."&amp;YEAR(AB472)&amp;" "&amp;$V$4&amp;VLOOKUP(C472,[1]List1!$A:$E,4,FALSE)&amp;" "&amp;$V$1),AB472))))</f>
        <v>30.09.2024</v>
      </c>
      <c r="AD472" s="686" t="str">
        <f ca="1">_xlfn.IFNA(VLOOKUP(C472,'General price list'!C:AM,MATCH($AD$20,'General price list'!$C$20:$AM$20,0),FALSE),"")</f>
        <v>30.09.2024</v>
      </c>
      <c r="AE472" s="681">
        <f t="shared" ca="1" si="92"/>
        <v>0</v>
      </c>
      <c r="AF472" s="681">
        <f t="shared" ca="1" si="93"/>
        <v>0</v>
      </c>
      <c r="AG472" s="687">
        <f t="shared" ca="1" si="94"/>
        <v>0</v>
      </c>
      <c r="AH472" s="688">
        <f t="shared" ca="1" si="95"/>
        <v>0</v>
      </c>
      <c r="AI472" s="687">
        <f t="shared" ca="1" si="96"/>
        <v>0</v>
      </c>
      <c r="AJ472" s="689" t="str">
        <f t="shared" ca="1" si="97"/>
        <v/>
      </c>
      <c r="AK472" s="689">
        <f t="shared" ca="1" si="98"/>
        <v>0</v>
      </c>
      <c r="AL472" s="689" t="str">
        <f t="shared" ca="1" si="99"/>
        <v/>
      </c>
      <c r="AM472" s="690" t="str">
        <f t="shared" ca="1" si="100"/>
        <v/>
      </c>
      <c r="AN472" s="381"/>
      <c r="AO472" s="314" t="str">
        <f>IF($R$3=1,IF(Y472=AA472,"","NE"),IF(#REF!=$V$10,"NE",""))</f>
        <v/>
      </c>
      <c r="AP472" s="315" t="str">
        <f>IF(AB472=$V$3,IF(VLOOKUP(C472,[1]List1!$A:$E,5,FALSE)=0,1,VLOOKUP(C472,[1]List1!$A:$E,5,FALSE)),"")</f>
        <v/>
      </c>
      <c r="AW472" s="458">
        <f>IFERROR(FIND(VLOOKUP('General price list'!$AB$7,'General price list'!$AC$1:$AD$12,2,FALSE),Q472,1),0)</f>
        <v>10</v>
      </c>
      <c r="AX472" s="458">
        <f>IFERROR(FIND(VLOOKUP('General price list'!$AB$7,'General price list'!$AC$1:$AD$12,2,FALSE),R472,1),0)</f>
        <v>0</v>
      </c>
    </row>
    <row r="473" spans="1:50" ht="15" customHeight="1">
      <c r="A473" s="672" t="str">
        <f>Kat.!C473</f>
        <v xml:space="preserve">                                          Unvernichtbare Mörser</v>
      </c>
      <c r="B473" s="692">
        <v>452</v>
      </c>
      <c r="C473" s="693"/>
      <c r="D473" s="693"/>
      <c r="E473" s="694"/>
      <c r="F473" s="695" t="str">
        <f>IFERROR(ROUND(VLOOKUP(C473,'General price list'!$C:$AN,4,FALSE),0),"")</f>
        <v/>
      </c>
      <c r="G473" s="696" t="str">
        <f t="shared" si="89"/>
        <v/>
      </c>
      <c r="H473" s="697" t="str">
        <f t="shared" si="90"/>
        <v/>
      </c>
      <c r="I473" s="837"/>
      <c r="J473" s="698"/>
      <c r="K473" s="856"/>
      <c r="L473" s="857"/>
      <c r="M473" s="698"/>
      <c r="N473" s="869" t="str">
        <f>IFERROR(IF(VLOOKUP($C473,'General price list'!$C:$AN,MATCH(N$20,'General price list'!$C$20:$AM$20,0),FALSE)=0,"",VLOOKUP($C473,'General price list'!$C:$AN,MATCH(N$20,'General price list'!$C$20:$AM$20,0),FALSE)),"")</f>
        <v/>
      </c>
      <c r="O473" s="837" t="str">
        <f>IFERROR(IF(VLOOKUP($C473,'General price list'!$C:$AN,MATCH(O$20,'General price list'!$C$20:$AM$20,0),FALSE)=0,"",VLOOKUP($C473,'General price list'!$C:$AN,MATCH(O$20,'General price list'!$C$20:$AM$20,0),FALSE)),"")</f>
        <v/>
      </c>
      <c r="P473" s="837" t="str">
        <f>IFERROR(IF(VLOOKUP($C473,'General price list'!$C:$AN,MATCH(P$20,'General price list'!$C$20:$AM$20,0),FALSE)=0,"",VLOOKUP($C473,'General price list'!$C:$AN,MATCH(P$20,'General price list'!$C$20:$AM$20,0),FALSE)),"")</f>
        <v/>
      </c>
      <c r="Q473" s="698"/>
      <c r="R473" s="698"/>
      <c r="S473" s="698"/>
      <c r="T473" s="695"/>
      <c r="U473" s="874"/>
      <c r="V473" s="699"/>
      <c r="W473" s="700" t="str">
        <f>IFERROR(VLOOKUP($C473,'General price list'!$C:$AN,MATCH(W$20,'General price list'!$C$20:$AM$20,0),FALSE),"")</f>
        <v/>
      </c>
      <c r="X473" s="891" t="str">
        <f t="shared" si="91"/>
        <v/>
      </c>
      <c r="Y473" s="892"/>
      <c r="Z473" s="700" t="str">
        <f>IFERROR(VLOOKUP($C473,'General price list'!$C:$AN,MATCH(Z$20,'General price list'!$C$20:$AM$20,0),FALSE),"")</f>
        <v/>
      </c>
      <c r="AA473" s="707"/>
      <c r="AB473" s="912" t="str">
        <f>IFERROR(IF(VLOOKUP(C473,[1]List1!$A:$D,2,FALSE)="VYPRODÁNO",$V$9,IF(VLOOKUP(C473,[1]List1!$A:$D,2,FALSE)="DOCHÁZÍ",$V$3,VLOOKUP(C473,[1]List1!$A:$D,2,FALSE))),"OFFLINE!")</f>
        <v>OFFLINE!</v>
      </c>
      <c r="AC473" s="912" t="str">
        <f ca="1">IF(AO473="NE",$V$10,IF(AB473=$V$3,IF(AP473&lt;1,$V$8,$V$2&amp;" "&amp;AP473&amp;" "&amp;$V$1),IF(AB473="SKLADEM",$V$6,IFERROR(IF(OR(AB473-TODAY()&gt;21,VLOOKUP(C473,[1]List1!$A:$E,4,FALSE)=0),AB473,DAY(AB473)&amp;"."&amp;MONTH(AB473)&amp;"."&amp;YEAR(AB473)&amp;" "&amp;$V$4&amp;VLOOKUP(C473,[1]List1!$A:$E,4,FALSE)&amp;" "&amp;$V$1),AB473))))</f>
        <v>OFFLINE!</v>
      </c>
      <c r="AD473" s="701" t="str">
        <f>_xlfn.IFNA(VLOOKUP(C473,'General price list'!C:AM,MATCH($AD$20,'General price list'!$C$20:$AM$20,0),FALSE),"")</f>
        <v/>
      </c>
      <c r="AE473" s="695" t="str">
        <f t="shared" si="92"/>
        <v/>
      </c>
      <c r="AF473" s="695" t="str">
        <f t="shared" si="93"/>
        <v/>
      </c>
      <c r="AG473" s="702" t="str">
        <f t="shared" si="94"/>
        <v/>
      </c>
      <c r="AH473" s="703" t="str">
        <f t="shared" si="95"/>
        <v/>
      </c>
      <c r="AI473" s="702" t="str">
        <f t="shared" si="96"/>
        <v/>
      </c>
      <c r="AJ473" s="704" t="str">
        <f t="shared" si="97"/>
        <v/>
      </c>
      <c r="AK473" s="704" t="str">
        <f t="shared" si="98"/>
        <v/>
      </c>
      <c r="AL473" s="704" t="str">
        <f t="shared" si="99"/>
        <v/>
      </c>
      <c r="AM473" s="705" t="str">
        <f t="shared" si="100"/>
        <v/>
      </c>
      <c r="AN473" s="313"/>
      <c r="AO473" s="314" t="str">
        <f>IF($R$3=1,IF(Y473=AA473,"","NE"),IF(#REF!=$V$10,"NE",""))</f>
        <v/>
      </c>
      <c r="AP473" s="315" t="str">
        <f>IF(AB473=$V$3,IF(VLOOKUP(C473,[1]List1!$A:$E,5,FALSE)=0,1,VLOOKUP(C473,[1]List1!$A:$E,5,FALSE)),"")</f>
        <v/>
      </c>
      <c r="AW473" s="291" t="e">
        <f>VLOOKUP(C473,'General price list'!C:AU,46,FALSE)</f>
        <v>#N/A</v>
      </c>
      <c r="AX473" s="291" t="e">
        <f>VLOOKUP(C473,'General price list'!C:AU,47,FALSE)</f>
        <v>#N/A</v>
      </c>
    </row>
    <row r="474" spans="1:50" ht="15" customHeight="1">
      <c r="A474" s="677" t="str">
        <f>Kat.!C474</f>
        <v xml:space="preserve">                                          </v>
      </c>
      <c r="B474" s="678">
        <v>453</v>
      </c>
      <c r="C474" s="679" t="s">
        <v>2024</v>
      </c>
      <c r="D474" s="679" t="s">
        <v>2025</v>
      </c>
      <c r="E474" s="680" t="s">
        <v>129</v>
      </c>
      <c r="F474" s="681">
        <f>VLOOKUP(C474,[2]List1!$A:$D,2,FALSE)</f>
        <v>86</v>
      </c>
      <c r="G474" s="682">
        <f t="shared" si="89"/>
        <v>86</v>
      </c>
      <c r="H474" s="683">
        <f t="shared" si="90"/>
        <v>3.5</v>
      </c>
      <c r="I474" s="836">
        <v>1</v>
      </c>
      <c r="J474" s="680"/>
      <c r="K474" s="854"/>
      <c r="L474" s="855" t="s">
        <v>24</v>
      </c>
      <c r="M474" s="680"/>
      <c r="N474" s="868">
        <f>IFERROR(VLOOKUP(C474,[3]List1!$A:$D,4,FALSE),"N/A!")</f>
        <v>7.7019536822819652E-4</v>
      </c>
      <c r="O474" s="836">
        <f>IFERROR(VLOOKUP(C474,[3]List1!$A:$D,3,FALSE),"N/A!")</f>
        <v>0</v>
      </c>
      <c r="P474" s="836">
        <f>IFERROR(VLOOKUP(C474,[3]List1!$A:$D,2,FALSE),"N/A!")</f>
        <v>400</v>
      </c>
      <c r="Q474" s="680"/>
      <c r="R474" s="680"/>
      <c r="S474" s="680"/>
      <c r="T474" s="681"/>
      <c r="U474" s="873"/>
      <c r="V474" s="684" t="str">
        <f>_xlfn.IFNA(HYPERLINK("https://www.klasekpyrotechnics.cz/m2"),"")</f>
        <v>https://www.klasekpyrotechnics.cz/m2</v>
      </c>
      <c r="W474" s="685" t="str">
        <f>IFERROR(VLOOKUP($C474,Popisy!A:P,MATCH($W$17,Popisy!$A$7:$P$7,0),FALSE),"---------------")</f>
        <v>Unverwüstlich, dünnwandig mörser, höhe 38cm, wandstärke 2,2mm</v>
      </c>
      <c r="X474" s="889" t="str">
        <f t="shared" si="91"/>
        <v/>
      </c>
      <c r="Y474" s="890"/>
      <c r="Z474" s="685" t="str">
        <f>IFERROR(IF(VLOOKUP(C474,[4]List1!$A:$D,4,FALSE)=0,"",VLOOKUP(C474,[4]List1!$A:$D,4,FALSE)),"")</f>
        <v/>
      </c>
      <c r="AA474" s="707"/>
      <c r="AB474" s="911" t="str">
        <f>IFERROR(IF(VLOOKUP(C474,[1]List1!$A:$D,2,FALSE)="VYPRODÁNO",$V$9,IF(VLOOKUP(C474,[1]List1!$A:$D,2,FALSE)="DOCHÁZÍ",$V$3,VLOOKUP(C474,[1]List1!$A:$D,2,FALSE))),"OFFLINE!")</f>
        <v>SKLADEM</v>
      </c>
      <c r="AC474" s="911" t="str">
        <f ca="1">IF(AO474="NE",$V$10,IF(AB474=$V$3,IF(AP474&lt;1,$V$8,$V$2&amp;" "&amp;AP474&amp;" "&amp;$V$1),IF(AB474="SKLADEM",$V$6,IFERROR(IF(OR(AB474-TODAY()&gt;21,VLOOKUP(C474,[1]List1!$A:$E,4,FALSE)=0),AB474,DAY(AB474)&amp;"."&amp;MONTH(AB474)&amp;"."&amp;YEAR(AB474)&amp;" "&amp;$V$4&amp;VLOOKUP(C474,[1]List1!$A:$E,4,FALSE)&amp;" "&amp;$V$1),AB474))))</f>
        <v>AUF LAGER</v>
      </c>
      <c r="AD474" s="686" t="str">
        <f ca="1">_xlfn.IFNA(VLOOKUP(C474,'General price list'!C:AM,MATCH($AD$20,'General price list'!$C$20:$AM$20,0),FALSE),"")</f>
        <v>AUF LAGER</v>
      </c>
      <c r="AE474" s="681">
        <f t="shared" ca="1" si="92"/>
        <v>0</v>
      </c>
      <c r="AF474" s="681">
        <f t="shared" ca="1" si="93"/>
        <v>0</v>
      </c>
      <c r="AG474" s="687">
        <f t="shared" ca="1" si="94"/>
        <v>0</v>
      </c>
      <c r="AH474" s="688">
        <f t="shared" ca="1" si="95"/>
        <v>0</v>
      </c>
      <c r="AI474" s="687">
        <f t="shared" ca="1" si="96"/>
        <v>0</v>
      </c>
      <c r="AJ474" s="689" t="str">
        <f t="shared" ca="1" si="97"/>
        <v/>
      </c>
      <c r="AK474" s="689" t="str">
        <f t="shared" ca="1" si="98"/>
        <v/>
      </c>
      <c r="AL474" s="689" t="str">
        <f t="shared" ca="1" si="99"/>
        <v/>
      </c>
      <c r="AM474" s="690" t="str">
        <f t="shared" ca="1" si="100"/>
        <v/>
      </c>
      <c r="AN474" s="313"/>
      <c r="AO474" s="314" t="str">
        <f>IF($R$3=1,IF(Y474=AA474,"","NE"),IF(#REF!=$V$10,"NE",""))</f>
        <v/>
      </c>
      <c r="AP474" s="315" t="str">
        <f>IF(AB474=$V$3,IF(VLOOKUP(C474,[1]List1!$A:$E,5,FALSE)=0,1,VLOOKUP(C474,[1]List1!$A:$E,5,FALSE)),"")</f>
        <v/>
      </c>
      <c r="AW474" s="458">
        <f>IFERROR(FIND(VLOOKUP('General price list'!$AB$7,'General price list'!$AC$1:$AD$12,2,FALSE),Q474,1),0)</f>
        <v>0</v>
      </c>
      <c r="AX474" s="458">
        <f>IFERROR(FIND(VLOOKUP('General price list'!$AB$7,'General price list'!$AC$1:$AD$12,2,FALSE),R474,1),0)</f>
        <v>0</v>
      </c>
    </row>
    <row r="475" spans="1:50" ht="15" customHeight="1">
      <c r="A475" s="691" t="str">
        <f>Kat.!C475</f>
        <v xml:space="preserve">                                          </v>
      </c>
      <c r="B475" s="692">
        <v>454</v>
      </c>
      <c r="C475" s="693" t="s">
        <v>2033</v>
      </c>
      <c r="D475" s="693" t="s">
        <v>2034</v>
      </c>
      <c r="E475" s="694" t="s">
        <v>129</v>
      </c>
      <c r="F475" s="695">
        <f>VLOOKUP(C475,[2]List1!$A:$D,2,FALSE)</f>
        <v>231</v>
      </c>
      <c r="G475" s="696">
        <f t="shared" si="89"/>
        <v>231</v>
      </c>
      <c r="H475" s="697">
        <f t="shared" si="90"/>
        <v>9.4</v>
      </c>
      <c r="I475" s="837">
        <v>1</v>
      </c>
      <c r="J475" s="698"/>
      <c r="K475" s="856"/>
      <c r="L475" s="857" t="s">
        <v>24</v>
      </c>
      <c r="M475" s="698"/>
      <c r="N475" s="869">
        <f>IFERROR(VLOOKUP(C475,[3]List1!$A:$D,4,FALSE),"N/A!")</f>
        <v>2.1889763097011901E-3</v>
      </c>
      <c r="O475" s="837">
        <f>IFERROR(VLOOKUP(C475,[3]List1!$A:$D,3,FALSE),"N/A!")</f>
        <v>0</v>
      </c>
      <c r="P475" s="837">
        <f>IFERROR(VLOOKUP(C475,[3]List1!$A:$D,2,FALSE),"N/A!")</f>
        <v>700</v>
      </c>
      <c r="Q475" s="698"/>
      <c r="R475" s="698"/>
      <c r="S475" s="698"/>
      <c r="T475" s="695"/>
      <c r="U475" s="874"/>
      <c r="V475" s="699" t="str">
        <f>_xlfn.IFNA(HYPERLINK("https://www.klasekpyrotechnics.cz/m3"),"")</f>
        <v>https://www.klasekpyrotechnics.cz/m3</v>
      </c>
      <c r="W475" s="700" t="str">
        <f>IFERROR(VLOOKUP($C475,Popisy!A:P,MATCH($W$17,Popisy!$A$7:$P$7,0),FALSE),"---------------")</f>
        <v>Unverwüstlich, dünnwandig mörser, höhe 48cm, wandstärke 2,5mm</v>
      </c>
      <c r="X475" s="891" t="str">
        <f t="shared" si="91"/>
        <v/>
      </c>
      <c r="Y475" s="892"/>
      <c r="Z475" s="700" t="str">
        <f>IFERROR(IF(VLOOKUP(C475,[4]List1!$A:$D,4,FALSE)=0,"",VLOOKUP(C475,[4]List1!$A:$D,4,FALSE)),"")</f>
        <v/>
      </c>
      <c r="AA475" s="707"/>
      <c r="AB475" s="912" t="str">
        <f>IFERROR(IF(VLOOKUP(C475,[1]List1!$A:$D,2,FALSE)="VYPRODÁNO",$V$9,IF(VLOOKUP(C475,[1]List1!$A:$D,2,FALSE)="DOCHÁZÍ",$V$3,VLOOKUP(C475,[1]List1!$A:$D,2,FALSE))),"OFFLINE!")</f>
        <v>SKLADEM</v>
      </c>
      <c r="AC475" s="912" t="str">
        <f ca="1">IF(AO475="NE",$V$10,IF(AB475=$V$3,IF(AP475&lt;1,$V$8,$V$2&amp;" "&amp;AP475&amp;" "&amp;$V$1),IF(AB475="SKLADEM",$V$6,IFERROR(IF(OR(AB475-TODAY()&gt;21,VLOOKUP(C475,[1]List1!$A:$E,4,FALSE)=0),AB475,DAY(AB475)&amp;"."&amp;MONTH(AB475)&amp;"."&amp;YEAR(AB475)&amp;" "&amp;$V$4&amp;VLOOKUP(C475,[1]List1!$A:$E,4,FALSE)&amp;" "&amp;$V$1),AB475))))</f>
        <v>AUF LAGER</v>
      </c>
      <c r="AD475" s="701" t="str">
        <f ca="1">_xlfn.IFNA(VLOOKUP(C475,'General price list'!C:AM,MATCH($AD$20,'General price list'!$C$20:$AM$20,0),FALSE),"")</f>
        <v>AUF LAGER</v>
      </c>
      <c r="AE475" s="695">
        <f t="shared" ca="1" si="92"/>
        <v>0</v>
      </c>
      <c r="AF475" s="695">
        <f t="shared" ca="1" si="93"/>
        <v>0</v>
      </c>
      <c r="AG475" s="702">
        <f t="shared" ca="1" si="94"/>
        <v>0</v>
      </c>
      <c r="AH475" s="703">
        <f t="shared" ca="1" si="95"/>
        <v>0</v>
      </c>
      <c r="AI475" s="702">
        <f t="shared" ca="1" si="96"/>
        <v>0</v>
      </c>
      <c r="AJ475" s="704" t="str">
        <f t="shared" ca="1" si="97"/>
        <v/>
      </c>
      <c r="AK475" s="704" t="str">
        <f t="shared" ca="1" si="98"/>
        <v/>
      </c>
      <c r="AL475" s="704" t="str">
        <f t="shared" ca="1" si="99"/>
        <v/>
      </c>
      <c r="AM475" s="705" t="str">
        <f t="shared" ca="1" si="100"/>
        <v/>
      </c>
      <c r="AN475" s="381"/>
      <c r="AO475" s="314" t="str">
        <f>IF($R$3=1,IF(Y475=AA475,"","NE"),IF(#REF!=$V$10,"NE",""))</f>
        <v/>
      </c>
      <c r="AP475" s="315" t="str">
        <f>IF(AB475=$V$3,IF(VLOOKUP(C475,[1]List1!$A:$E,5,FALSE)=0,1,VLOOKUP(C475,[1]List1!$A:$E,5,FALSE)),"")</f>
        <v/>
      </c>
      <c r="AW475" s="458">
        <f>IFERROR(FIND(VLOOKUP('General price list'!$AB$7,'General price list'!$AC$1:$AD$12,2,FALSE),Q475,1),0)</f>
        <v>0</v>
      </c>
      <c r="AX475" s="458">
        <f>IFERROR(FIND(VLOOKUP('General price list'!$AB$7,'General price list'!$AC$1:$AD$12,2,FALSE),R475,1),0)</f>
        <v>0</v>
      </c>
    </row>
    <row r="476" spans="1:50" ht="15" customHeight="1">
      <c r="A476" s="677" t="str">
        <f>Kat.!C476</f>
        <v xml:space="preserve">                                          </v>
      </c>
      <c r="B476" s="678">
        <v>455</v>
      </c>
      <c r="C476" s="679" t="s">
        <v>2038</v>
      </c>
      <c r="D476" s="679" t="s">
        <v>2039</v>
      </c>
      <c r="E476" s="680" t="s">
        <v>129</v>
      </c>
      <c r="F476" s="681">
        <f>VLOOKUP(C476,[2]List1!$A:$D,2,FALSE)</f>
        <v>411</v>
      </c>
      <c r="G476" s="682">
        <f t="shared" si="89"/>
        <v>411</v>
      </c>
      <c r="H476" s="683">
        <f t="shared" si="90"/>
        <v>16.7</v>
      </c>
      <c r="I476" s="836">
        <v>1</v>
      </c>
      <c r="J476" s="680"/>
      <c r="K476" s="854"/>
      <c r="L476" s="855" t="s">
        <v>24</v>
      </c>
      <c r="M476" s="680"/>
      <c r="N476" s="868">
        <f>IFERROR(VLOOKUP(C476,[3]List1!$A:$D,4,FALSE),"N/A!")</f>
        <v>4.7022454060247779E-3</v>
      </c>
      <c r="O476" s="836">
        <f>IFERROR(VLOOKUP(C476,[3]List1!$A:$D,3,FALSE),"N/A!")</f>
        <v>0</v>
      </c>
      <c r="P476" s="836">
        <f>IFERROR(VLOOKUP(C476,[3]List1!$A:$D,2,FALSE),"N/A!")</f>
        <v>1350</v>
      </c>
      <c r="Q476" s="680"/>
      <c r="R476" s="680"/>
      <c r="S476" s="680"/>
      <c r="T476" s="681"/>
      <c r="U476" s="873"/>
      <c r="V476" s="684" t="str">
        <f>_xlfn.IFNA(HYPERLINK("https://www.klasekpyrotechnics.cz/m4"),"")</f>
        <v>https://www.klasekpyrotechnics.cz/m4</v>
      </c>
      <c r="W476" s="685" t="str">
        <f>IFERROR(VLOOKUP($C476,Popisy!A:P,MATCH($W$17,Popisy!$A$7:$P$7,0),FALSE),"---------------")</f>
        <v>Unverwüstlich, dünnwandig mörser, höhe 58cm, wandstärke 3mm</v>
      </c>
      <c r="X476" s="889" t="str">
        <f t="shared" si="91"/>
        <v/>
      </c>
      <c r="Y476" s="890"/>
      <c r="Z476" s="685" t="str">
        <f>IFERROR(IF(VLOOKUP(C476,[4]List1!$A:$D,4,FALSE)=0,"",VLOOKUP(C476,[4]List1!$A:$D,4,FALSE)),"")</f>
        <v/>
      </c>
      <c r="AA476" s="707"/>
      <c r="AB476" s="911" t="str">
        <f>IFERROR(IF(VLOOKUP(C476,[1]List1!$A:$D,2,FALSE)="VYPRODÁNO",$V$9,IF(VLOOKUP(C476,[1]List1!$A:$D,2,FALSE)="DOCHÁZÍ",$V$3,VLOOKUP(C476,[1]List1!$A:$D,2,FALSE))),"OFFLINE!")</f>
        <v>15.06.2024</v>
      </c>
      <c r="AC476" s="911" t="str">
        <f ca="1">IF(AO476="NE",$V$10,IF(AB476=$V$3,IF(AP476&lt;1,$V$8,$V$2&amp;" "&amp;AP476&amp;" "&amp;$V$1),IF(AB476="SKLADEM",$V$6,IFERROR(IF(OR(AB476-TODAY()&gt;21,VLOOKUP(C476,[1]List1!$A:$E,4,FALSE)=0),AB476,DAY(AB476)&amp;"."&amp;MONTH(AB476)&amp;"."&amp;YEAR(AB476)&amp;" "&amp;$V$4&amp;VLOOKUP(C476,[1]List1!$A:$E,4,FALSE)&amp;" "&amp;$V$1),AB476))))</f>
        <v>15.06.2024</v>
      </c>
      <c r="AD476" s="686" t="str">
        <f ca="1">_xlfn.IFNA(VLOOKUP(C476,'General price list'!C:AM,MATCH($AD$20,'General price list'!$C$20:$AM$20,0),FALSE),"")</f>
        <v>15.06.2024</v>
      </c>
      <c r="AE476" s="681">
        <f t="shared" ca="1" si="92"/>
        <v>0</v>
      </c>
      <c r="AF476" s="681">
        <f t="shared" ca="1" si="93"/>
        <v>0</v>
      </c>
      <c r="AG476" s="687">
        <f t="shared" ca="1" si="94"/>
        <v>0</v>
      </c>
      <c r="AH476" s="688">
        <f t="shared" ca="1" si="95"/>
        <v>0</v>
      </c>
      <c r="AI476" s="687">
        <f t="shared" ca="1" si="96"/>
        <v>0</v>
      </c>
      <c r="AJ476" s="689" t="str">
        <f t="shared" ca="1" si="97"/>
        <v/>
      </c>
      <c r="AK476" s="689" t="str">
        <f t="shared" ca="1" si="98"/>
        <v/>
      </c>
      <c r="AL476" s="689" t="str">
        <f t="shared" ca="1" si="99"/>
        <v/>
      </c>
      <c r="AM476" s="690" t="str">
        <f t="shared" ca="1" si="100"/>
        <v/>
      </c>
      <c r="AN476" s="313"/>
      <c r="AO476" s="314" t="str">
        <f>IF($R$3=1,IF(Y476=AA476,"","NE"),IF(#REF!=$V$10,"NE",""))</f>
        <v/>
      </c>
      <c r="AP476" s="315" t="str">
        <f>IF(AB476=$V$3,IF(VLOOKUP(C476,[1]List1!$A:$E,5,FALSE)=0,1,VLOOKUP(C476,[1]List1!$A:$E,5,FALSE)),"")</f>
        <v/>
      </c>
      <c r="AW476" s="458">
        <f>IFERROR(FIND(VLOOKUP('General price list'!$AB$7,'General price list'!$AC$1:$AD$12,2,FALSE),Q476,1),0)</f>
        <v>0</v>
      </c>
      <c r="AX476" s="458">
        <f>IFERROR(FIND(VLOOKUP('General price list'!$AB$7,'General price list'!$AC$1:$AD$12,2,FALSE),R476,1),0)</f>
        <v>0</v>
      </c>
    </row>
    <row r="477" spans="1:50" ht="15" customHeight="1">
      <c r="A477" s="691" t="str">
        <f>Kat.!C477</f>
        <v xml:space="preserve">                                          </v>
      </c>
      <c r="B477" s="692">
        <v>456</v>
      </c>
      <c r="C477" s="693" t="s">
        <v>2042</v>
      </c>
      <c r="D477" s="693" t="s">
        <v>2043</v>
      </c>
      <c r="E477" s="694" t="s">
        <v>129</v>
      </c>
      <c r="F477" s="695">
        <f>VLOOKUP(C477,[2]List1!$A:$D,2,FALSE)</f>
        <v>651</v>
      </c>
      <c r="G477" s="696">
        <f t="shared" si="89"/>
        <v>651</v>
      </c>
      <c r="H477" s="697">
        <f t="shared" si="90"/>
        <v>26.5</v>
      </c>
      <c r="I477" s="837">
        <v>1</v>
      </c>
      <c r="J477" s="698"/>
      <c r="K477" s="856"/>
      <c r="L477" s="857" t="s">
        <v>24</v>
      </c>
      <c r="M477" s="698"/>
      <c r="N477" s="869">
        <f>IFERROR(VLOOKUP(C477,[3]List1!$A:$D,4,FALSE),"N/A!")</f>
        <v>1.0134149581949956E-2</v>
      </c>
      <c r="O477" s="837">
        <f>IFERROR(VLOOKUP(C477,[3]List1!$A:$D,3,FALSE),"N/A!")</f>
        <v>0</v>
      </c>
      <c r="P477" s="837">
        <f>IFERROR(VLOOKUP(C477,[3]List1!$A:$D,2,FALSE),"N/A!")</f>
        <v>3000</v>
      </c>
      <c r="Q477" s="698"/>
      <c r="R477" s="698"/>
      <c r="S477" s="698"/>
      <c r="T477" s="695"/>
      <c r="U477" s="874"/>
      <c r="V477" s="699" t="str">
        <f>_xlfn.IFNA(HYPERLINK("https://www.klasekpyrotechnics.cz/m5"),"")</f>
        <v>https://www.klasekpyrotechnics.cz/m5</v>
      </c>
      <c r="W477" s="700" t="str">
        <f>IFERROR(VLOOKUP($C477,Popisy!A:P,MATCH($W$17,Popisy!$A$7:$P$7,0),FALSE),"---------------")</f>
        <v>Unverwüstlich, dünnwandig mörser, höhe 80cm, wandstärke 4mm</v>
      </c>
      <c r="X477" s="891" t="str">
        <f t="shared" si="91"/>
        <v/>
      </c>
      <c r="Y477" s="892"/>
      <c r="Z477" s="700" t="str">
        <f>IFERROR(IF(VLOOKUP(C477,[4]List1!$A:$D,4,FALSE)=0,"",VLOOKUP(C477,[4]List1!$A:$D,4,FALSE)),"")</f>
        <v/>
      </c>
      <c r="AA477" s="707"/>
      <c r="AB477" s="912" t="str">
        <f>IFERROR(IF(VLOOKUP(C477,[1]List1!$A:$D,2,FALSE)="VYPRODÁNO",$V$9,IF(VLOOKUP(C477,[1]List1!$A:$D,2,FALSE)="DOCHÁZÍ",$V$3,VLOOKUP(C477,[1]List1!$A:$D,2,FALSE))),"OFFLINE!")</f>
        <v>SKLADEM</v>
      </c>
      <c r="AC477" s="912" t="str">
        <f ca="1">IF(AO477="NE",$V$10,IF(AB477=$V$3,IF(AP477&lt;1,$V$8,$V$2&amp;" "&amp;AP477&amp;" "&amp;$V$1),IF(AB477="SKLADEM",$V$6,IFERROR(IF(OR(AB477-TODAY()&gt;21,VLOOKUP(C477,[1]List1!$A:$E,4,FALSE)=0),AB477,DAY(AB477)&amp;"."&amp;MONTH(AB477)&amp;"."&amp;YEAR(AB477)&amp;" "&amp;$V$4&amp;VLOOKUP(C477,[1]List1!$A:$E,4,FALSE)&amp;" "&amp;$V$1),AB477))))</f>
        <v>AUF LAGER</v>
      </c>
      <c r="AD477" s="701" t="str">
        <f ca="1">_xlfn.IFNA(VLOOKUP(C477,'General price list'!C:AM,MATCH($AD$20,'General price list'!$C$20:$AM$20,0),FALSE),"")</f>
        <v>AUF LAGER</v>
      </c>
      <c r="AE477" s="695">
        <f t="shared" ca="1" si="92"/>
        <v>0</v>
      </c>
      <c r="AF477" s="695">
        <f t="shared" ca="1" si="93"/>
        <v>0</v>
      </c>
      <c r="AG477" s="702">
        <f t="shared" ca="1" si="94"/>
        <v>0</v>
      </c>
      <c r="AH477" s="703">
        <f t="shared" ca="1" si="95"/>
        <v>0</v>
      </c>
      <c r="AI477" s="702">
        <f t="shared" ca="1" si="96"/>
        <v>0</v>
      </c>
      <c r="AJ477" s="704" t="str">
        <f t="shared" ca="1" si="97"/>
        <v/>
      </c>
      <c r="AK477" s="704" t="str">
        <f t="shared" ca="1" si="98"/>
        <v/>
      </c>
      <c r="AL477" s="704" t="str">
        <f t="shared" ca="1" si="99"/>
        <v/>
      </c>
      <c r="AM477" s="705" t="str">
        <f t="shared" ca="1" si="100"/>
        <v/>
      </c>
      <c r="AN477" s="313"/>
      <c r="AO477" s="314" t="str">
        <f>IF($R$3=1,IF(Y477=AA477,"","NE"),IF(#REF!=$V$10,"NE",""))</f>
        <v/>
      </c>
      <c r="AP477" s="315" t="str">
        <f>IF(AB477=$V$3,IF(VLOOKUP(C477,[1]List1!$A:$E,5,FALSE)=0,1,VLOOKUP(C477,[1]List1!$A:$E,5,FALSE)),"")</f>
        <v/>
      </c>
      <c r="AW477" s="458">
        <f>IFERROR(FIND(VLOOKUP('General price list'!$AB$7,'General price list'!$AC$1:$AD$12,2,FALSE),Q477,1),0)</f>
        <v>0</v>
      </c>
      <c r="AX477" s="458">
        <f>IFERROR(FIND(VLOOKUP('General price list'!$AB$7,'General price list'!$AC$1:$AD$12,2,FALSE),R477,1),0)</f>
        <v>0</v>
      </c>
    </row>
    <row r="478" spans="1:50" ht="15" customHeight="1">
      <c r="A478" s="677" t="str">
        <f>Kat.!C478</f>
        <v xml:space="preserve">                                          </v>
      </c>
      <c r="B478" s="678">
        <v>457</v>
      </c>
      <c r="C478" s="679" t="s">
        <v>2047</v>
      </c>
      <c r="D478" s="679" t="s">
        <v>2048</v>
      </c>
      <c r="E478" s="680" t="s">
        <v>129</v>
      </c>
      <c r="F478" s="681">
        <f>VLOOKUP(C478,[2]List1!$A:$D,2,FALSE)</f>
        <v>835</v>
      </c>
      <c r="G478" s="682">
        <f t="shared" si="89"/>
        <v>835</v>
      </c>
      <c r="H478" s="683">
        <f t="shared" si="90"/>
        <v>34</v>
      </c>
      <c r="I478" s="836">
        <v>1</v>
      </c>
      <c r="J478" s="680"/>
      <c r="K478" s="854"/>
      <c r="L478" s="855" t="s">
        <v>24</v>
      </c>
      <c r="M478" s="680"/>
      <c r="N478" s="868">
        <f>IFERROR(VLOOKUP(C478,[3]List1!$A:$D,4,FALSE),"N/A!")</f>
        <v>1.6417322322758929E-2</v>
      </c>
      <c r="O478" s="836">
        <f>IFERROR(VLOOKUP(C478,[3]List1!$A:$D,3,FALSE),"N/A!")</f>
        <v>0</v>
      </c>
      <c r="P478" s="836">
        <f>IFERROR(VLOOKUP(C478,[3]List1!$A:$D,2,FALSE),"N/A!")</f>
        <v>4300</v>
      </c>
      <c r="Q478" s="680"/>
      <c r="R478" s="680"/>
      <c r="S478" s="680"/>
      <c r="T478" s="681"/>
      <c r="U478" s="873"/>
      <c r="V478" s="684" t="str">
        <f>_xlfn.IFNA(HYPERLINK("https://www.klasekpyrotechnics.cz/m6"),"")</f>
        <v>https://www.klasekpyrotechnics.cz/m6</v>
      </c>
      <c r="W478" s="685" t="str">
        <f>IFERROR(VLOOKUP($C478,Popisy!A:P,MATCH($W$17,Popisy!$A$7:$P$7,0),FALSE),"---------------")</f>
        <v>Unverwüstlich, dünnwandig mörser, höhe 90cm, wandstärke 4mm</v>
      </c>
      <c r="X478" s="889" t="str">
        <f t="shared" si="91"/>
        <v/>
      </c>
      <c r="Y478" s="890"/>
      <c r="Z478" s="685" t="str">
        <f>IFERROR(IF(VLOOKUP(C478,[4]List1!$A:$D,4,FALSE)=0,"",VLOOKUP(C478,[4]List1!$A:$D,4,FALSE)),"")</f>
        <v/>
      </c>
      <c r="AA478" s="707"/>
      <c r="AB478" s="911" t="str">
        <f>IFERROR(IF(VLOOKUP(C478,[1]List1!$A:$D,2,FALSE)="VYPRODÁNO",$V$9,IF(VLOOKUP(C478,[1]List1!$A:$D,2,FALSE)="DOCHÁZÍ",$V$3,VLOOKUP(C478,[1]List1!$A:$D,2,FALSE))),"OFFLINE!")</f>
        <v>SKLADEM</v>
      </c>
      <c r="AC478" s="911" t="str">
        <f ca="1">IF(AO478="NE",$V$10,IF(AB478=$V$3,IF(AP478&lt;1,$V$8,$V$2&amp;" "&amp;AP478&amp;" "&amp;$V$1),IF(AB478="SKLADEM",$V$6,IFERROR(IF(OR(AB478-TODAY()&gt;21,VLOOKUP(C478,[1]List1!$A:$E,4,FALSE)=0),AB478,DAY(AB478)&amp;"."&amp;MONTH(AB478)&amp;"."&amp;YEAR(AB478)&amp;" "&amp;$V$4&amp;VLOOKUP(C478,[1]List1!$A:$E,4,FALSE)&amp;" "&amp;$V$1),AB478))))</f>
        <v>AUF LAGER</v>
      </c>
      <c r="AD478" s="686" t="str">
        <f ca="1">_xlfn.IFNA(VLOOKUP(C478,'General price list'!C:AM,MATCH($AD$20,'General price list'!$C$20:$AM$20,0),FALSE),"")</f>
        <v>AUF LAGER</v>
      </c>
      <c r="AE478" s="681">
        <f t="shared" ca="1" si="92"/>
        <v>0</v>
      </c>
      <c r="AF478" s="681">
        <f t="shared" ca="1" si="93"/>
        <v>0</v>
      </c>
      <c r="AG478" s="687">
        <f t="shared" ca="1" si="94"/>
        <v>0</v>
      </c>
      <c r="AH478" s="688">
        <f t="shared" ca="1" si="95"/>
        <v>0</v>
      </c>
      <c r="AI478" s="687">
        <f t="shared" ca="1" si="96"/>
        <v>0</v>
      </c>
      <c r="AJ478" s="689" t="str">
        <f t="shared" ca="1" si="97"/>
        <v/>
      </c>
      <c r="AK478" s="689" t="str">
        <f t="shared" ca="1" si="98"/>
        <v/>
      </c>
      <c r="AL478" s="689" t="str">
        <f t="shared" ca="1" si="99"/>
        <v/>
      </c>
      <c r="AM478" s="690" t="str">
        <f t="shared" ca="1" si="100"/>
        <v/>
      </c>
      <c r="AN478" s="313"/>
      <c r="AO478" s="314" t="str">
        <f>IF($R$3=1,IF(Y478=AA478,"","NE"),IF(#REF!=$V$10,"NE",""))</f>
        <v/>
      </c>
      <c r="AP478" s="315" t="str">
        <f>IF(AB478=$V$3,IF(VLOOKUP(C478,[1]List1!$A:$E,5,FALSE)=0,1,VLOOKUP(C478,[1]List1!$A:$E,5,FALSE)),"")</f>
        <v/>
      </c>
      <c r="AW478" s="458">
        <f>IFERROR(FIND(VLOOKUP('General price list'!$AB$7,'General price list'!$AC$1:$AD$12,2,FALSE),Q478,1),0)</f>
        <v>0</v>
      </c>
      <c r="AX478" s="458">
        <f>IFERROR(FIND(VLOOKUP('General price list'!$AB$7,'General price list'!$AC$1:$AD$12,2,FALSE),R478,1),0)</f>
        <v>0</v>
      </c>
    </row>
    <row r="479" spans="1:50" ht="15" customHeight="1">
      <c r="A479" s="672" t="str">
        <f>Kat.!C479</f>
        <v xml:space="preserve">                                          Interiur-Fontänen, Spritzer, Wasserfälle</v>
      </c>
      <c r="B479" s="692">
        <v>458</v>
      </c>
      <c r="C479" s="693"/>
      <c r="D479" s="693"/>
      <c r="E479" s="694"/>
      <c r="F479" s="695" t="str">
        <f>IFERROR(ROUND(VLOOKUP(C479,'General price list'!$C:$AN,4,FALSE),0),"")</f>
        <v/>
      </c>
      <c r="G479" s="696" t="str">
        <f t="shared" si="89"/>
        <v/>
      </c>
      <c r="H479" s="697" t="str">
        <f t="shared" si="90"/>
        <v/>
      </c>
      <c r="I479" s="837"/>
      <c r="J479" s="698"/>
      <c r="K479" s="856"/>
      <c r="L479" s="857"/>
      <c r="M479" s="698"/>
      <c r="N479" s="869" t="str">
        <f>IFERROR(IF(VLOOKUP($C479,'General price list'!$C:$AN,MATCH(N$20,'General price list'!$C$20:$AM$20,0),FALSE)=0,"",VLOOKUP($C479,'General price list'!$C:$AN,MATCH(N$20,'General price list'!$C$20:$AM$20,0),FALSE)),"")</f>
        <v/>
      </c>
      <c r="O479" s="837" t="str">
        <f>IFERROR(IF(VLOOKUP($C479,'General price list'!$C:$AN,MATCH(O$20,'General price list'!$C$20:$AM$20,0),FALSE)=0,"",VLOOKUP($C479,'General price list'!$C:$AN,MATCH(O$20,'General price list'!$C$20:$AM$20,0),FALSE)),"")</f>
        <v/>
      </c>
      <c r="P479" s="837" t="str">
        <f>IFERROR(IF(VLOOKUP($C479,'General price list'!$C:$AN,MATCH(P$20,'General price list'!$C$20:$AM$20,0),FALSE)=0,"",VLOOKUP($C479,'General price list'!$C:$AN,MATCH(P$20,'General price list'!$C$20:$AM$20,0),FALSE)),"")</f>
        <v/>
      </c>
      <c r="Q479" s="698"/>
      <c r="R479" s="698"/>
      <c r="S479" s="698"/>
      <c r="T479" s="695"/>
      <c r="U479" s="874"/>
      <c r="V479" s="699"/>
      <c r="W479" s="700" t="str">
        <f>IFERROR(VLOOKUP($C479,'General price list'!$C:$AN,MATCH(W$20,'General price list'!$C$20:$AM$20,0),FALSE),"")</f>
        <v/>
      </c>
      <c r="X479" s="891" t="str">
        <f t="shared" si="91"/>
        <v/>
      </c>
      <c r="Y479" s="892"/>
      <c r="Z479" s="700" t="str">
        <f>IFERROR(VLOOKUP($C479,'General price list'!$C:$AN,MATCH(Z$20,'General price list'!$C$20:$AM$20,0),FALSE),"")</f>
        <v/>
      </c>
      <c r="AA479" s="707"/>
      <c r="AB479" s="912" t="str">
        <f>IFERROR(IF(VLOOKUP(C479,[1]List1!$A:$D,2,FALSE)="VYPRODÁNO",$V$9,IF(VLOOKUP(C479,[1]List1!$A:$D,2,FALSE)="DOCHÁZÍ",$V$3,VLOOKUP(C479,[1]List1!$A:$D,2,FALSE))),"OFFLINE!")</f>
        <v>OFFLINE!</v>
      </c>
      <c r="AC479" s="912" t="str">
        <f ca="1">IF(AO479="NE",$V$10,IF(AB479=$V$3,IF(AP479&lt;1,$V$8,$V$2&amp;" "&amp;AP479&amp;" "&amp;$V$1),IF(AB479="SKLADEM",$V$6,IFERROR(IF(OR(AB479-TODAY()&gt;21,VLOOKUP(C479,[1]List1!$A:$E,4,FALSE)=0),AB479,DAY(AB479)&amp;"."&amp;MONTH(AB479)&amp;"."&amp;YEAR(AB479)&amp;" "&amp;$V$4&amp;VLOOKUP(C479,[1]List1!$A:$E,4,FALSE)&amp;" "&amp;$V$1),AB479))))</f>
        <v>OFFLINE!</v>
      </c>
      <c r="AD479" s="701" t="str">
        <f>_xlfn.IFNA(VLOOKUP(C479,'General price list'!C:AM,MATCH($AD$20,'General price list'!$C$20:$AM$20,0),FALSE),"")</f>
        <v/>
      </c>
      <c r="AE479" s="695" t="str">
        <f t="shared" si="92"/>
        <v/>
      </c>
      <c r="AF479" s="695" t="str">
        <f t="shared" si="93"/>
        <v/>
      </c>
      <c r="AG479" s="702" t="str">
        <f t="shared" si="94"/>
        <v/>
      </c>
      <c r="AH479" s="703" t="str">
        <f t="shared" si="95"/>
        <v/>
      </c>
      <c r="AI479" s="702" t="str">
        <f t="shared" si="96"/>
        <v/>
      </c>
      <c r="AJ479" s="704" t="str">
        <f t="shared" si="97"/>
        <v/>
      </c>
      <c r="AK479" s="704" t="str">
        <f t="shared" si="98"/>
        <v/>
      </c>
      <c r="AL479" s="704" t="str">
        <f t="shared" si="99"/>
        <v/>
      </c>
      <c r="AM479" s="705" t="str">
        <f t="shared" si="100"/>
        <v/>
      </c>
      <c r="AN479" s="313"/>
      <c r="AO479" s="314" t="str">
        <f>IF($R$3=1,IF(Y479=AA479,"","NE"),IF(#REF!=$V$10,"NE",""))</f>
        <v/>
      </c>
      <c r="AP479" s="315" t="str">
        <f>IF(AB479=$V$3,IF(VLOOKUP(C479,[1]List1!$A:$E,5,FALSE)=0,1,VLOOKUP(C479,[1]List1!$A:$E,5,FALSE)),"")</f>
        <v/>
      </c>
      <c r="AW479" s="291" t="e">
        <f>VLOOKUP(C479,'General price list'!C:AU,46,FALSE)</f>
        <v>#N/A</v>
      </c>
      <c r="AX479" s="291" t="e">
        <f>VLOOKUP(C479,'General price list'!C:AU,47,FALSE)</f>
        <v>#N/A</v>
      </c>
    </row>
    <row r="480" spans="1:50" ht="15" customHeight="1">
      <c r="A480" s="677" t="str">
        <f>Kat.!C480</f>
        <v xml:space="preserve">                                          </v>
      </c>
      <c r="B480" s="678">
        <v>459</v>
      </c>
      <c r="C480" s="679" t="s">
        <v>2061</v>
      </c>
      <c r="D480" s="679" t="s">
        <v>2062</v>
      </c>
      <c r="E480" s="680" t="s">
        <v>830</v>
      </c>
      <c r="F480" s="681">
        <f>VLOOKUP(C480,[2]List1!$A:$D,2,FALSE)</f>
        <v>244</v>
      </c>
      <c r="G480" s="682">
        <f t="shared" si="89"/>
        <v>244</v>
      </c>
      <c r="H480" s="683">
        <f t="shared" si="90"/>
        <v>9.9</v>
      </c>
      <c r="I480" s="836">
        <v>24</v>
      </c>
      <c r="J480" s="680" t="s">
        <v>230</v>
      </c>
      <c r="K480" s="854"/>
      <c r="L480" s="855" t="s">
        <v>13826</v>
      </c>
      <c r="M480" s="680" t="s">
        <v>25</v>
      </c>
      <c r="N480" s="868">
        <f>IFERROR(VLOOKUP(C480,[3]List1!$A:$D,4,FALSE),"N/A!")</f>
        <v>2.0064000000000002E-2</v>
      </c>
      <c r="O480" s="836">
        <f>IFERROR(VLOOKUP(C480,[3]List1!$A:$D,3,FALSE),"N/A!")</f>
        <v>2400</v>
      </c>
      <c r="P480" s="836">
        <f>IFERROR(VLOOKUP(C480,[3]List1!$A:$D,2,FALSE),"N/A!")</f>
        <v>12000</v>
      </c>
      <c r="Q480" s="680" t="s">
        <v>207</v>
      </c>
      <c r="R480" s="680" t="s">
        <v>24</v>
      </c>
      <c r="S480" s="680"/>
      <c r="T480" s="681">
        <v>20</v>
      </c>
      <c r="U480" s="873"/>
      <c r="V480" s="684" t="str">
        <f>_xlfn.IFNA(HYPERLINK("https://www.klasekpyrotechnics.cz/if220a"),"")</f>
        <v>https://www.klasekpyrotechnics.cz/if220a</v>
      </c>
      <c r="W480" s="685" t="str">
        <f>IFERROR(VLOOKUP($C480,Popisy!A:P,MATCH($W$17,Popisy!$A$7:$P$7,0),FALSE),"---------------")</f>
        <v>Silberne fontäne-ohne rauch, 2m höhe effekte, elektrisch Abschuss</v>
      </c>
      <c r="X480" s="889" t="str">
        <f t="shared" si="91"/>
        <v/>
      </c>
      <c r="Y480" s="890"/>
      <c r="Z480" s="685">
        <f>IFERROR(IF(VLOOKUP(C480,[4]List1!$A:$D,4,FALSE)=0,"",VLOOKUP(C480,[4]List1!$A:$D,4,FALSE)),"")</f>
        <v>70</v>
      </c>
      <c r="AA480" s="707"/>
      <c r="AB480" s="911" t="str">
        <f>IFERROR(IF(VLOOKUP(C480,[1]List1!$A:$D,2,FALSE)="VYPRODÁNO",$V$9,IF(VLOOKUP(C480,[1]List1!$A:$D,2,FALSE)="DOCHÁZÍ",$V$3,VLOOKUP(C480,[1]List1!$A:$D,2,FALSE))),"OFFLINE!")</f>
        <v>SKLADEM</v>
      </c>
      <c r="AC480" s="911" t="str">
        <f ca="1">IF(AO480="NE",$V$10,IF(AB480=$V$3,IF(AP480&lt;1,$V$8,$V$2&amp;" "&amp;AP480&amp;" "&amp;$V$1),IF(AB480="SKLADEM",$V$6,IFERROR(IF(OR(AB480-TODAY()&gt;21,VLOOKUP(C480,[1]List1!$A:$E,4,FALSE)=0),AB480,DAY(AB480)&amp;"."&amp;MONTH(AB480)&amp;"."&amp;YEAR(AB480)&amp;" "&amp;$V$4&amp;VLOOKUP(C480,[1]List1!$A:$E,4,FALSE)&amp;" "&amp;$V$1),AB480))))</f>
        <v>AUF LAGER</v>
      </c>
      <c r="AD480" s="686" t="str">
        <f ca="1">_xlfn.IFNA(VLOOKUP(C480,'General price list'!C:AM,MATCH($AD$20,'General price list'!$C$20:$AM$20,0),FALSE),"")</f>
        <v>AUF LAGER</v>
      </c>
      <c r="AE480" s="681">
        <f t="shared" ca="1" si="92"/>
        <v>0</v>
      </c>
      <c r="AF480" s="681">
        <f t="shared" ca="1" si="93"/>
        <v>0</v>
      </c>
      <c r="AG480" s="687">
        <f t="shared" ca="1" si="94"/>
        <v>0</v>
      </c>
      <c r="AH480" s="688">
        <f t="shared" ca="1" si="95"/>
        <v>0</v>
      </c>
      <c r="AI480" s="687">
        <f t="shared" ca="1" si="96"/>
        <v>0</v>
      </c>
      <c r="AJ480" s="689" t="str">
        <f t="shared" ca="1" si="97"/>
        <v/>
      </c>
      <c r="AK480" s="689" t="str">
        <f t="shared" ca="1" si="98"/>
        <v/>
      </c>
      <c r="AL480" s="689">
        <f t="shared" ca="1" si="99"/>
        <v>0</v>
      </c>
      <c r="AM480" s="690" t="str">
        <f t="shared" ca="1" si="100"/>
        <v/>
      </c>
      <c r="AN480" s="313"/>
      <c r="AO480" s="314" t="str">
        <f>IF($R$3=1,IF(Y480=AA480,"","NE"),IF(#REF!=$V$10,"NE",""))</f>
        <v/>
      </c>
      <c r="AP480" s="315" t="str">
        <f>IF(AB480=$V$3,IF(VLOOKUP(C480,[1]List1!$A:$E,5,FALSE)=0,1,VLOOKUP(C480,[1]List1!$A:$E,5,FALSE)),"")</f>
        <v/>
      </c>
      <c r="AW480" s="458">
        <f>IFERROR(FIND(VLOOKUP('General price list'!$AB$7,'General price list'!$AC$1:$AD$12,2,FALSE),Q480,1),0)</f>
        <v>0</v>
      </c>
      <c r="AX480" s="458">
        <f>IFERROR(FIND(VLOOKUP('General price list'!$AB$7,'General price list'!$AC$1:$AD$12,2,FALSE),R480,1),0)</f>
        <v>0</v>
      </c>
    </row>
    <row r="481" spans="1:50" ht="15" customHeight="1">
      <c r="A481" s="691" t="str">
        <f>Kat.!C481</f>
        <v xml:space="preserve">                                          </v>
      </c>
      <c r="B481" s="692">
        <v>460</v>
      </c>
      <c r="C481" s="693" t="s">
        <v>2066</v>
      </c>
      <c r="D481" s="693" t="s">
        <v>2067</v>
      </c>
      <c r="E481" s="694" t="s">
        <v>830</v>
      </c>
      <c r="F481" s="695">
        <f>VLOOKUP(C481,[2]List1!$A:$D,2,FALSE)</f>
        <v>314</v>
      </c>
      <c r="G481" s="696">
        <f t="shared" si="89"/>
        <v>314</v>
      </c>
      <c r="H481" s="697">
        <f t="shared" si="90"/>
        <v>12.8</v>
      </c>
      <c r="I481" s="837">
        <v>24</v>
      </c>
      <c r="J481" s="698" t="s">
        <v>230</v>
      </c>
      <c r="K481" s="856"/>
      <c r="L481" s="857" t="s">
        <v>13826</v>
      </c>
      <c r="M481" s="698" t="s">
        <v>25</v>
      </c>
      <c r="N481" s="869">
        <f>IFERROR(VLOOKUP(C481,[3]List1!$A:$D,4,FALSE),"N/A!")</f>
        <v>2.68515E-2</v>
      </c>
      <c r="O481" s="837">
        <f>IFERROR(VLOOKUP(C481,[3]List1!$A:$D,3,FALSE),"N/A!")</f>
        <v>3600</v>
      </c>
      <c r="P481" s="837">
        <f>IFERROR(VLOOKUP(C481,[3]List1!$A:$D,2,FALSE),"N/A!")</f>
        <v>12520</v>
      </c>
      <c r="Q481" s="698" t="s">
        <v>207</v>
      </c>
      <c r="R481" s="698" t="s">
        <v>24</v>
      </c>
      <c r="S481" s="698"/>
      <c r="T481" s="695">
        <v>30</v>
      </c>
      <c r="U481" s="874"/>
      <c r="V481" s="699" t="str">
        <f>_xlfn.IFNA(HYPERLINK("https://www.klasekpyrotechnics.cz/if3ma"),"")</f>
        <v>https://www.klasekpyrotechnics.cz/if3ma</v>
      </c>
      <c r="W481" s="700" t="str">
        <f>IFERROR(VLOOKUP($C481,Popisy!A:P,MATCH($W$17,Popisy!$A$7:$P$7,0),FALSE),"---------------")</f>
        <v>Silberne fontäne-ohne rauch, 3m höhe effekte, elektrisch Abschuss</v>
      </c>
      <c r="X481" s="891" t="str">
        <f t="shared" si="91"/>
        <v/>
      </c>
      <c r="Y481" s="892"/>
      <c r="Z481" s="700">
        <f>IFERROR(IF(VLOOKUP(C481,[4]List1!$A:$D,4,FALSE)=0,"",VLOOKUP(C481,[4]List1!$A:$D,4,FALSE)),"")</f>
        <v>48</v>
      </c>
      <c r="AA481" s="707"/>
      <c r="AB481" s="912" t="str">
        <f>IFERROR(IF(VLOOKUP(C481,[1]List1!$A:$D,2,FALSE)="VYPRODÁNO",$V$9,IF(VLOOKUP(C481,[1]List1!$A:$D,2,FALSE)="DOCHÁZÍ",$V$3,VLOOKUP(C481,[1]List1!$A:$D,2,FALSE))),"OFFLINE!")</f>
        <v>15.08.2024</v>
      </c>
      <c r="AC481" s="912" t="str">
        <f ca="1">IF(AO481="NE",$V$10,IF(AB481=$V$3,IF(AP481&lt;1,$V$8,$V$2&amp;" "&amp;AP481&amp;" "&amp;$V$1),IF(AB481="SKLADEM",$V$6,IFERROR(IF(OR(AB481-TODAY()&gt;21,VLOOKUP(C481,[1]List1!$A:$E,4,FALSE)=0),AB481,DAY(AB481)&amp;"."&amp;MONTH(AB481)&amp;"."&amp;YEAR(AB481)&amp;" "&amp;$V$4&amp;VLOOKUP(C481,[1]List1!$A:$E,4,FALSE)&amp;" "&amp;$V$1),AB481))))</f>
        <v>15.08.2024</v>
      </c>
      <c r="AD481" s="701" t="str">
        <f ca="1">_xlfn.IFNA(VLOOKUP(C481,'General price list'!C:AM,MATCH($AD$20,'General price list'!$C$20:$AM$20,0),FALSE),"")</f>
        <v>15.08.2024</v>
      </c>
      <c r="AE481" s="695">
        <f t="shared" ca="1" si="92"/>
        <v>0</v>
      </c>
      <c r="AF481" s="695">
        <f t="shared" ca="1" si="93"/>
        <v>0</v>
      </c>
      <c r="AG481" s="702">
        <f t="shared" ca="1" si="94"/>
        <v>0</v>
      </c>
      <c r="AH481" s="703">
        <f t="shared" ca="1" si="95"/>
        <v>0</v>
      </c>
      <c r="AI481" s="702">
        <f t="shared" ca="1" si="96"/>
        <v>0</v>
      </c>
      <c r="AJ481" s="704" t="str">
        <f t="shared" ca="1" si="97"/>
        <v/>
      </c>
      <c r="AK481" s="704" t="str">
        <f t="shared" ca="1" si="98"/>
        <v/>
      </c>
      <c r="AL481" s="704">
        <f t="shared" ca="1" si="99"/>
        <v>0</v>
      </c>
      <c r="AM481" s="705" t="str">
        <f t="shared" ca="1" si="100"/>
        <v/>
      </c>
      <c r="AN481" s="313"/>
      <c r="AO481" s="314" t="str">
        <f>IF($R$3=1,IF(Y481=AA481,"","NE"),IF(#REF!=$V$10,"NE",""))</f>
        <v/>
      </c>
      <c r="AP481" s="315" t="str">
        <f>IF(AB481=$V$3,IF(VLOOKUP(C481,[1]List1!$A:$E,5,FALSE)=0,1,VLOOKUP(C481,[1]List1!$A:$E,5,FALSE)),"")</f>
        <v/>
      </c>
      <c r="AW481" s="458">
        <f>IFERROR(FIND(VLOOKUP('General price list'!$AB$7,'General price list'!$AC$1:$AD$12,2,FALSE),Q481,1),0)</f>
        <v>0</v>
      </c>
      <c r="AX481" s="458">
        <f>IFERROR(FIND(VLOOKUP('General price list'!$AB$7,'General price list'!$AC$1:$AD$12,2,FALSE),R481,1),0)</f>
        <v>0</v>
      </c>
    </row>
    <row r="482" spans="1:50" ht="15" customHeight="1">
      <c r="A482" s="677" t="str">
        <f>Kat.!C482</f>
        <v xml:space="preserve">                                          </v>
      </c>
      <c r="B482" s="678">
        <v>461</v>
      </c>
      <c r="C482" s="679" t="s">
        <v>2075</v>
      </c>
      <c r="D482" s="679" t="s">
        <v>2076</v>
      </c>
      <c r="E482" s="680" t="s">
        <v>2071</v>
      </c>
      <c r="F482" s="681">
        <f>VLOOKUP(C482,[2]List1!$A:$D,2,FALSE)</f>
        <v>1180</v>
      </c>
      <c r="G482" s="682">
        <f t="shared" si="89"/>
        <v>1180</v>
      </c>
      <c r="H482" s="683">
        <f t="shared" si="90"/>
        <v>48</v>
      </c>
      <c r="I482" s="836">
        <v>10</v>
      </c>
      <c r="J482" s="680" t="s">
        <v>230</v>
      </c>
      <c r="K482" s="854"/>
      <c r="L482" s="855" t="s">
        <v>13826</v>
      </c>
      <c r="M482" s="680" t="s">
        <v>25</v>
      </c>
      <c r="N482" s="868">
        <f>IFERROR(VLOOKUP(C482,[3]List1!$A:$D,4,FALSE),"N/A!")</f>
        <v>2.9792000000000006E-2</v>
      </c>
      <c r="O482" s="836">
        <f>IFERROR(VLOOKUP(C482,[3]List1!$A:$D,3,FALSE),"N/A!")</f>
        <v>6000</v>
      </c>
      <c r="P482" s="836">
        <f>IFERROR(VLOOKUP(C482,[3]List1!$A:$D,2,FALSE),"N/A!")</f>
        <v>14000</v>
      </c>
      <c r="Q482" s="680" t="s">
        <v>13772</v>
      </c>
      <c r="R482" s="680" t="s">
        <v>24</v>
      </c>
      <c r="S482" s="680"/>
      <c r="T482" s="681">
        <v>60</v>
      </c>
      <c r="U482" s="873"/>
      <c r="V482" s="684" t="str">
        <f>_xlfn.IFNA(HYPERLINK("https://www.klasekpyrotechnics.cz/if560b"),"")</f>
        <v>https://www.klasekpyrotechnics.cz/if560b</v>
      </c>
      <c r="W482" s="685" t="str">
        <f>IFERROR(VLOOKUP($C482,Popisy!A:P,MATCH($W$17,Popisy!$A$7:$P$7,0),FALSE),"---------------")</f>
        <v>Silberne fontäne-ohne rauch, 5m höhe effekte, elektrisch Abschuss</v>
      </c>
      <c r="X482" s="889" t="str">
        <f t="shared" si="91"/>
        <v/>
      </c>
      <c r="Y482" s="890"/>
      <c r="Z482" s="685">
        <f>IFERROR(IF(VLOOKUP(C482,[4]List1!$A:$D,4,FALSE)=0,"",VLOOKUP(C482,[4]List1!$A:$D,4,FALSE)),"")</f>
        <v>32</v>
      </c>
      <c r="AA482" s="707"/>
      <c r="AB482" s="911" t="str">
        <f>IFERROR(IF(VLOOKUP(C482,[1]List1!$A:$D,2,FALSE)="VYPRODÁNO",$V$9,IF(VLOOKUP(C482,[1]List1!$A:$D,2,FALSE)="DOCHÁZÍ",$V$3,VLOOKUP(C482,[1]List1!$A:$D,2,FALSE))),"OFFLINE!")</f>
        <v>SKLADEM</v>
      </c>
      <c r="AC482" s="911" t="str">
        <f ca="1">IF(AO482="NE",$V$10,IF(AB482=$V$3,IF(AP482&lt;1,$V$8,$V$2&amp;" "&amp;AP482&amp;" "&amp;$V$1),IF(AB482="SKLADEM",$V$6,IFERROR(IF(OR(AB482-TODAY()&gt;21,VLOOKUP(C482,[1]List1!$A:$E,4,FALSE)=0),AB482,DAY(AB482)&amp;"."&amp;MONTH(AB482)&amp;"."&amp;YEAR(AB482)&amp;" "&amp;$V$4&amp;VLOOKUP(C482,[1]List1!$A:$E,4,FALSE)&amp;" "&amp;$V$1),AB482))))</f>
        <v>AUF LAGER</v>
      </c>
      <c r="AD482" s="686">
        <f>_xlfn.IFNA(VLOOKUP(C482,'General price list'!C:AM,MATCH($AD$20,'General price list'!$C$20:$AM$20,0),FALSE),"")</f>
        <v>0</v>
      </c>
      <c r="AE482" s="681">
        <f t="shared" si="92"/>
        <v>0</v>
      </c>
      <c r="AF482" s="681">
        <f t="shared" si="93"/>
        <v>0</v>
      </c>
      <c r="AG482" s="687">
        <f t="shared" si="94"/>
        <v>0</v>
      </c>
      <c r="AH482" s="688">
        <f t="shared" si="95"/>
        <v>0</v>
      </c>
      <c r="AI482" s="687">
        <f t="shared" si="96"/>
        <v>0</v>
      </c>
      <c r="AJ482" s="689" t="str">
        <f t="shared" si="97"/>
        <v/>
      </c>
      <c r="AK482" s="689" t="str">
        <f t="shared" si="98"/>
        <v/>
      </c>
      <c r="AL482" s="689">
        <f t="shared" si="99"/>
        <v>0</v>
      </c>
      <c r="AM482" s="690" t="str">
        <f t="shared" si="100"/>
        <v/>
      </c>
      <c r="AN482" s="313"/>
      <c r="AO482" s="314" t="str">
        <f>IF($R$3=1,IF(Y482=AA482,"","NE"),IF(#REF!=$V$10,"NE",""))</f>
        <v/>
      </c>
      <c r="AP482" s="315" t="str">
        <f>IF(AB482=$V$3,IF(VLOOKUP(C482,[1]List1!$A:$E,5,FALSE)=0,1,VLOOKUP(C482,[1]List1!$A:$E,5,FALSE)),"")</f>
        <v/>
      </c>
      <c r="AW482" s="458">
        <f>IFERROR(FIND(VLOOKUP('General price list'!$AB$7,'General price list'!$AC$1:$AD$12,2,FALSE),Q482,1),0)</f>
        <v>10</v>
      </c>
      <c r="AX482" s="458">
        <f>IFERROR(FIND(VLOOKUP('General price list'!$AB$7,'General price list'!$AC$1:$AD$12,2,FALSE),R482,1),0)</f>
        <v>0</v>
      </c>
    </row>
    <row r="483" spans="1:50" ht="15" customHeight="1">
      <c r="A483" s="691" t="str">
        <f>Kat.!C483</f>
        <v xml:space="preserve">                                          </v>
      </c>
      <c r="B483" s="692">
        <v>462</v>
      </c>
      <c r="C483" s="693" t="s">
        <v>2644</v>
      </c>
      <c r="D483" s="693" t="s">
        <v>2432</v>
      </c>
      <c r="E483" s="694" t="s">
        <v>554</v>
      </c>
      <c r="F483" s="695">
        <f>VLOOKUP(C483,[2]List1!$A:$D,2,FALSE)</f>
        <v>328</v>
      </c>
      <c r="G483" s="696">
        <f t="shared" si="89"/>
        <v>328</v>
      </c>
      <c r="H483" s="697">
        <f t="shared" si="90"/>
        <v>13.3</v>
      </c>
      <c r="I483" s="837">
        <v>36</v>
      </c>
      <c r="J483" s="698" t="s">
        <v>230</v>
      </c>
      <c r="K483" s="856"/>
      <c r="L483" s="857" t="s">
        <v>13826</v>
      </c>
      <c r="M483" s="698" t="s">
        <v>25</v>
      </c>
      <c r="N483" s="869">
        <f>IFERROR(VLOOKUP(C483,[3]List1!$A:$D,4,FALSE),"N/A!")</f>
        <v>3.1768000000000005E-2</v>
      </c>
      <c r="O483" s="837">
        <f>IFERROR(VLOOKUP(C483,[3]List1!$A:$D,3,FALSE),"N/A!")</f>
        <v>5040</v>
      </c>
      <c r="P483" s="837">
        <f>IFERROR(VLOOKUP(C483,[3]List1!$A:$D,2,FALSE),"N/A!")</f>
        <v>19000</v>
      </c>
      <c r="Q483" s="698" t="s">
        <v>207</v>
      </c>
      <c r="R483" s="698" t="s">
        <v>24</v>
      </c>
      <c r="S483" s="698"/>
      <c r="T483" s="695">
        <v>60</v>
      </c>
      <c r="U483" s="874"/>
      <c r="V483" s="699" t="str">
        <f>_xlfn.IFNA(HYPERLINK("https://www.klasekpyrotechnics.cz/if660b"),"")</f>
        <v>https://www.klasekpyrotechnics.cz/if660b</v>
      </c>
      <c r="W483" s="700" t="str">
        <f>IFERROR(VLOOKUP($C483,Popisy!A:P,MATCH($W$17,Popisy!$A$7:$P$7,0),FALSE),"---------------")</f>
        <v>Silberne fontäne-ohne rauch, 6m höhe effekte, elektrisch Abschuss</v>
      </c>
      <c r="X483" s="891" t="str">
        <f t="shared" si="91"/>
        <v/>
      </c>
      <c r="Y483" s="892"/>
      <c r="Z483" s="700" t="str">
        <f>IFERROR(IF(VLOOKUP(C483,[4]List1!$A:$D,4,FALSE)=0,"",VLOOKUP(C483,[4]List1!$A:$D,4,FALSE)),"")</f>
        <v>42</v>
      </c>
      <c r="AA483" s="707"/>
      <c r="AB483" s="912" t="str">
        <f>IFERROR(IF(VLOOKUP(C483,[1]List1!$A:$D,2,FALSE)="VYPRODÁNO",$V$9,IF(VLOOKUP(C483,[1]List1!$A:$D,2,FALSE)="DOCHÁZÍ",$V$3,VLOOKUP(C483,[1]List1!$A:$D,2,FALSE))),"OFFLINE!")</f>
        <v>SKLADEM</v>
      </c>
      <c r="AC483" s="912" t="str">
        <f ca="1">IF(AO483="NE",$V$10,IF(AB483=$V$3,IF(AP483&lt;1,$V$8,$V$2&amp;" "&amp;AP483&amp;" "&amp;$V$1),IF(AB483="SKLADEM",$V$6,IFERROR(IF(OR(AB483-TODAY()&gt;21,VLOOKUP(C483,[1]List1!$A:$E,4,FALSE)=0),AB483,DAY(AB483)&amp;"."&amp;MONTH(AB483)&amp;"."&amp;YEAR(AB483)&amp;" "&amp;$V$4&amp;VLOOKUP(C483,[1]List1!$A:$E,4,FALSE)&amp;" "&amp;$V$1),AB483))))</f>
        <v>AUF LAGER</v>
      </c>
      <c r="AD483" s="701" t="str">
        <f ca="1">_xlfn.IFNA(VLOOKUP(C483,'General price list'!C:AM,MATCH($AD$20,'General price list'!$C$20:$AM$20,0),FALSE),"")</f>
        <v>AUF LAGER</v>
      </c>
      <c r="AE483" s="695">
        <f t="shared" ca="1" si="92"/>
        <v>0</v>
      </c>
      <c r="AF483" s="695">
        <f t="shared" ca="1" si="93"/>
        <v>0</v>
      </c>
      <c r="AG483" s="702">
        <f t="shared" ca="1" si="94"/>
        <v>0</v>
      </c>
      <c r="AH483" s="703">
        <f t="shared" ca="1" si="95"/>
        <v>0</v>
      </c>
      <c r="AI483" s="702">
        <f t="shared" ca="1" si="96"/>
        <v>0</v>
      </c>
      <c r="AJ483" s="704" t="str">
        <f t="shared" ca="1" si="97"/>
        <v/>
      </c>
      <c r="AK483" s="704" t="str">
        <f t="shared" ca="1" si="98"/>
        <v/>
      </c>
      <c r="AL483" s="704">
        <f t="shared" ca="1" si="99"/>
        <v>0</v>
      </c>
      <c r="AM483" s="705" t="str">
        <f t="shared" ca="1" si="100"/>
        <v/>
      </c>
      <c r="AN483" s="382"/>
      <c r="AO483" s="314" t="str">
        <f>IF($R$3=1,IF(Y483=AA483,"","NE"),IF(#REF!=$V$10,"NE",""))</f>
        <v/>
      </c>
      <c r="AP483" s="315" t="str">
        <f>IF(AB483=$V$3,IF(VLOOKUP(C483,[1]List1!$A:$E,5,FALSE)=0,1,VLOOKUP(C483,[1]List1!$A:$E,5,FALSE)),"")</f>
        <v/>
      </c>
      <c r="AW483" s="458">
        <f>IFERROR(FIND(VLOOKUP('General price list'!$AB$7,'General price list'!$AC$1:$AD$12,2,FALSE),Q483,1),0)</f>
        <v>0</v>
      </c>
      <c r="AX483" s="458">
        <f>IFERROR(FIND(VLOOKUP('General price list'!$AB$7,'General price list'!$AC$1:$AD$12,2,FALSE),R483,1),0)</f>
        <v>0</v>
      </c>
    </row>
    <row r="484" spans="1:50" ht="15" customHeight="1">
      <c r="A484" s="672" t="str">
        <f>Kat.!C484</f>
        <v xml:space="preserve">                                          Sonstiges</v>
      </c>
      <c r="B484" s="678">
        <v>463</v>
      </c>
      <c r="C484" s="679"/>
      <c r="D484" s="679"/>
      <c r="E484" s="680"/>
      <c r="F484" s="681" t="str">
        <f>IFERROR(ROUND(VLOOKUP(C484,'General price list'!$C:$AN,4,FALSE),0),"")</f>
        <v/>
      </c>
      <c r="G484" s="682" t="str">
        <f t="shared" si="89"/>
        <v/>
      </c>
      <c r="H484" s="683" t="str">
        <f t="shared" si="90"/>
        <v/>
      </c>
      <c r="I484" s="836"/>
      <c r="J484" s="680"/>
      <c r="K484" s="854"/>
      <c r="L484" s="855"/>
      <c r="M484" s="680"/>
      <c r="N484" s="868" t="str">
        <f>IFERROR(IF(VLOOKUP($C484,'General price list'!$C:$AN,MATCH(N$20,'General price list'!$C$20:$AM$20,0),FALSE)=0,"",VLOOKUP($C484,'General price list'!$C:$AN,MATCH(N$20,'General price list'!$C$20:$AM$20,0),FALSE)),"")</f>
        <v/>
      </c>
      <c r="O484" s="836" t="str">
        <f>IFERROR(IF(VLOOKUP($C484,'General price list'!$C:$AN,MATCH(O$20,'General price list'!$C$20:$AM$20,0),FALSE)=0,"",VLOOKUP($C484,'General price list'!$C:$AN,MATCH(O$20,'General price list'!$C$20:$AM$20,0),FALSE)),"")</f>
        <v/>
      </c>
      <c r="P484" s="836" t="str">
        <f>IFERROR(IF(VLOOKUP($C484,'General price list'!$C:$AN,MATCH(P$20,'General price list'!$C$20:$AM$20,0),FALSE)=0,"",VLOOKUP($C484,'General price list'!$C:$AN,MATCH(P$20,'General price list'!$C$20:$AM$20,0),FALSE)),"")</f>
        <v/>
      </c>
      <c r="Q484" s="680"/>
      <c r="R484" s="680"/>
      <c r="S484" s="680"/>
      <c r="T484" s="681"/>
      <c r="U484" s="873"/>
      <c r="V484" s="684"/>
      <c r="W484" s="685" t="str">
        <f>IFERROR(VLOOKUP($C484,'General price list'!$C:$AN,MATCH(W$20,'General price list'!$C$20:$AM$20,0),FALSE),"")</f>
        <v/>
      </c>
      <c r="X484" s="889" t="str">
        <f t="shared" si="91"/>
        <v/>
      </c>
      <c r="Y484" s="890"/>
      <c r="Z484" s="685" t="str">
        <f>IFERROR(VLOOKUP($C484,'General price list'!$C:$AN,MATCH(Z$20,'General price list'!$C$20:$AM$20,0),FALSE),"")</f>
        <v/>
      </c>
      <c r="AA484" s="707"/>
      <c r="AB484" s="911" t="str">
        <f>IFERROR(IF(VLOOKUP(C484,[1]List1!$A:$D,2,FALSE)="VYPRODÁNO",$V$9,IF(VLOOKUP(C484,[1]List1!$A:$D,2,FALSE)="DOCHÁZÍ",$V$3,VLOOKUP(C484,[1]List1!$A:$D,2,FALSE))),"OFFLINE!")</f>
        <v>OFFLINE!</v>
      </c>
      <c r="AC484" s="911" t="str">
        <f ca="1">IF(AO484="NE",$V$10,IF(AB484=$V$3,IF(AP484&lt;1,$V$8,$V$2&amp;" "&amp;AP484&amp;" "&amp;$V$1),IF(AB484="SKLADEM",$V$6,IFERROR(IF(OR(AB484-TODAY()&gt;21,VLOOKUP(C484,[1]List1!$A:$E,4,FALSE)=0),AB484,DAY(AB484)&amp;"."&amp;MONTH(AB484)&amp;"."&amp;YEAR(AB484)&amp;" "&amp;$V$4&amp;VLOOKUP(C484,[1]List1!$A:$E,4,FALSE)&amp;" "&amp;$V$1),AB484))))</f>
        <v>OFFLINE!</v>
      </c>
      <c r="AD484" s="686" t="str">
        <f>_xlfn.IFNA(VLOOKUP(C484,'General price list'!C:AM,MATCH($AD$20,'General price list'!$C$20:$AM$20,0),FALSE),"")</f>
        <v/>
      </c>
      <c r="AE484" s="681" t="str">
        <f t="shared" si="92"/>
        <v/>
      </c>
      <c r="AF484" s="681" t="str">
        <f t="shared" si="93"/>
        <v/>
      </c>
      <c r="AG484" s="687" t="str">
        <f t="shared" si="94"/>
        <v/>
      </c>
      <c r="AH484" s="688" t="str">
        <f t="shared" si="95"/>
        <v/>
      </c>
      <c r="AI484" s="687" t="str">
        <f t="shared" si="96"/>
        <v/>
      </c>
      <c r="AJ484" s="689" t="str">
        <f t="shared" si="97"/>
        <v/>
      </c>
      <c r="AK484" s="689" t="str">
        <f t="shared" si="98"/>
        <v/>
      </c>
      <c r="AL484" s="689" t="str">
        <f t="shared" si="99"/>
        <v/>
      </c>
      <c r="AM484" s="690" t="str">
        <f t="shared" si="100"/>
        <v/>
      </c>
      <c r="AN484" s="381"/>
      <c r="AO484" s="314" t="str">
        <f>IF($R$3=1,IF(Y484=AA484,"","NE"),IF(#REF!=$V$10,"NE",""))</f>
        <v/>
      </c>
      <c r="AP484" s="315" t="str">
        <f>IF(AB484=$V$3,IF(VLOOKUP(C484,[1]List1!$A:$E,5,FALSE)=0,1,VLOOKUP(C484,[1]List1!$A:$E,5,FALSE)),"")</f>
        <v/>
      </c>
      <c r="AW484" s="291" t="e">
        <f>VLOOKUP(C484,'General price list'!C:AU,46,FALSE)</f>
        <v>#N/A</v>
      </c>
      <c r="AX484" s="291" t="e">
        <f>VLOOKUP(C484,'General price list'!C:AU,47,FALSE)</f>
        <v>#N/A</v>
      </c>
    </row>
    <row r="485" spans="1:50" ht="15" customHeight="1">
      <c r="A485" s="691" t="str">
        <f>Kat.!C485</f>
        <v xml:space="preserve">                                          </v>
      </c>
      <c r="B485" s="692">
        <v>464</v>
      </c>
      <c r="C485" s="693" t="s">
        <v>2085</v>
      </c>
      <c r="D485" s="693" t="s">
        <v>2086</v>
      </c>
      <c r="E485" s="694" t="s">
        <v>2087</v>
      </c>
      <c r="F485" s="695">
        <f>VLOOKUP(C485,[2]List1!$A:$D,2,FALSE)</f>
        <v>1047</v>
      </c>
      <c r="G485" s="696">
        <f t="shared" si="89"/>
        <v>1047</v>
      </c>
      <c r="H485" s="697">
        <f t="shared" si="90"/>
        <v>42.6</v>
      </c>
      <c r="I485" s="837">
        <v>20</v>
      </c>
      <c r="J485" s="698" t="s">
        <v>247</v>
      </c>
      <c r="K485" s="856"/>
      <c r="L485" s="857" t="s">
        <v>13827</v>
      </c>
      <c r="M485" s="698" t="s">
        <v>25</v>
      </c>
      <c r="N485" s="869">
        <f>IFERROR(VLOOKUP(C485,[3]List1!$A:$D,4,FALSE),"N/A!")</f>
        <v>2.4192000000000005E-2</v>
      </c>
      <c r="O485" s="837">
        <f>IFERROR(VLOOKUP(C485,[3]List1!$A:$D,3,FALSE),"N/A!")</f>
        <v>4</v>
      </c>
      <c r="P485" s="837">
        <f>IFERROR(VLOOKUP(C485,[3]List1!$A:$D,2,FALSE),"N/A!")</f>
        <v>9200</v>
      </c>
      <c r="Q485" s="698" t="s">
        <v>2572</v>
      </c>
      <c r="R485" s="698" t="s">
        <v>24</v>
      </c>
      <c r="S485" s="698"/>
      <c r="T485" s="695"/>
      <c r="U485" s="874"/>
      <c r="V485" s="699" t="str">
        <f>_xlfn.IFNA(HYPERLINK("https://www.klasekpyrotechnics.cz/ep03m"),"")</f>
        <v>https://www.klasekpyrotechnics.cz/ep03m</v>
      </c>
      <c r="W485" s="700" t="str">
        <f>IFERROR(VLOOKUP($C485,Popisy!A:P,MATCH($W$17,Popisy!$A$7:$P$7,0),FALSE),"---------------")</f>
        <v>elektrische anzünder, 30cm länge</v>
      </c>
      <c r="X485" s="891" t="str">
        <f t="shared" si="91"/>
        <v/>
      </c>
      <c r="Y485" s="892"/>
      <c r="Z485" s="700">
        <f>IFERROR(IF(VLOOKUP(C485,[4]List1!$A:$D,4,FALSE)=0,"",VLOOKUP(C485,[4]List1!$A:$D,4,FALSE)),"")</f>
        <v>30</v>
      </c>
      <c r="AA485" s="707"/>
      <c r="AB485" s="912" t="str">
        <f>IFERROR(IF(VLOOKUP(C485,[1]List1!$A:$D,2,FALSE)="VYPRODÁNO",$V$9,IF(VLOOKUP(C485,[1]List1!$A:$D,2,FALSE)="DOCHÁZÍ",$V$3,VLOOKUP(C485,[1]List1!$A:$D,2,FALSE))),"OFFLINE!")</f>
        <v>AUSVERKAUFT</v>
      </c>
      <c r="AC485" s="912" t="str">
        <f ca="1">IF(AO485="NE",$V$10,IF(AB485=$V$3,IF(AP485&lt;1,$V$8,$V$2&amp;" "&amp;AP485&amp;" "&amp;$V$1),IF(AB485="SKLADEM",$V$6,IFERROR(IF(OR(AB485-TODAY()&gt;21,VLOOKUP(C485,[1]List1!$A:$E,4,FALSE)=0),AB485,DAY(AB485)&amp;"."&amp;MONTH(AB485)&amp;"."&amp;YEAR(AB485)&amp;" "&amp;$V$4&amp;VLOOKUP(C485,[1]List1!$A:$E,4,FALSE)&amp;" "&amp;$V$1),AB485))))</f>
        <v>AUSVERKAUFT</v>
      </c>
      <c r="AD485" s="701" t="str">
        <f ca="1">_xlfn.IFNA(VLOOKUP(C485,'General price list'!C:AM,MATCH($AD$20,'General price list'!$C$20:$AM$20,0),FALSE),"")</f>
        <v>AUSVERKAUFT</v>
      </c>
      <c r="AE485" s="695">
        <f t="shared" ca="1" si="92"/>
        <v>0</v>
      </c>
      <c r="AF485" s="695">
        <f t="shared" ca="1" si="93"/>
        <v>0</v>
      </c>
      <c r="AG485" s="702">
        <f t="shared" ca="1" si="94"/>
        <v>0</v>
      </c>
      <c r="AH485" s="703">
        <f t="shared" ca="1" si="95"/>
        <v>0</v>
      </c>
      <c r="AI485" s="702">
        <f t="shared" ca="1" si="96"/>
        <v>0</v>
      </c>
      <c r="AJ485" s="704" t="str">
        <f t="shared" ca="1" si="97"/>
        <v/>
      </c>
      <c r="AK485" s="704" t="str">
        <f t="shared" ca="1" si="98"/>
        <v/>
      </c>
      <c r="AL485" s="704">
        <f t="shared" ca="1" si="99"/>
        <v>0</v>
      </c>
      <c r="AM485" s="705" t="str">
        <f t="shared" ca="1" si="100"/>
        <v/>
      </c>
      <c r="AN485" s="313"/>
      <c r="AO485" s="314" t="str">
        <f>IF($R$3=1,IF(Y485=AA485,"","NE"),IF(#REF!=$V$10,"NE",""))</f>
        <v/>
      </c>
      <c r="AP485" s="315" t="str">
        <f>IF(AB485=$V$3,IF(VLOOKUP(C485,[1]List1!$A:$E,5,FALSE)=0,1,VLOOKUP(C485,[1]List1!$A:$E,5,FALSE)),"")</f>
        <v/>
      </c>
      <c r="AW485" s="458">
        <f>IFERROR(FIND(VLOOKUP('General price list'!$AB$7,'General price list'!$AC$1:$AD$12,2,FALSE),Q485,1),0)</f>
        <v>1</v>
      </c>
      <c r="AX485" s="458">
        <f>IFERROR(FIND(VLOOKUP('General price list'!$AB$7,'General price list'!$AC$1:$AD$12,2,FALSE),R485,1),0)</f>
        <v>0</v>
      </c>
    </row>
    <row r="486" spans="1:50" ht="15" customHeight="1">
      <c r="A486" s="677" t="str">
        <f>Kat.!C486</f>
        <v xml:space="preserve">                                          </v>
      </c>
      <c r="B486" s="678">
        <v>465</v>
      </c>
      <c r="C486" s="679" t="s">
        <v>2091</v>
      </c>
      <c r="D486" s="679" t="s">
        <v>2092</v>
      </c>
      <c r="E486" s="680" t="s">
        <v>2093</v>
      </c>
      <c r="F486" s="681">
        <f>VLOOKUP(C486,[2]List1!$A:$D,2,FALSE)</f>
        <v>736</v>
      </c>
      <c r="G486" s="682">
        <f t="shared" si="89"/>
        <v>736</v>
      </c>
      <c r="H486" s="683">
        <f t="shared" si="90"/>
        <v>29.9</v>
      </c>
      <c r="I486" s="836">
        <v>20</v>
      </c>
      <c r="J486" s="680" t="s">
        <v>247</v>
      </c>
      <c r="K486" s="854"/>
      <c r="L486" s="855" t="s">
        <v>13827</v>
      </c>
      <c r="M486" s="680" t="s">
        <v>25</v>
      </c>
      <c r="N486" s="868">
        <f>IFERROR(VLOOKUP(C486,[3]List1!$A:$D,4,FALSE),"N/A!")</f>
        <v>2.2464000000000005E-2</v>
      </c>
      <c r="O486" s="836">
        <f>IFERROR(VLOOKUP(C486,[3]List1!$A:$D,3,FALSE),"N/A!")</f>
        <v>1</v>
      </c>
      <c r="P486" s="836">
        <f>IFERROR(VLOOKUP(C486,[3]List1!$A:$D,2,FALSE),"N/A!")</f>
        <v>7800</v>
      </c>
      <c r="Q486" s="680" t="s">
        <v>2572</v>
      </c>
      <c r="R486" s="680" t="s">
        <v>24</v>
      </c>
      <c r="S486" s="680"/>
      <c r="T486" s="681"/>
      <c r="U486" s="873"/>
      <c r="V486" s="684" t="str">
        <f>_xlfn.IFNA(HYPERLINK("https://www.klasekpyrotechnics.cz/ep1m"),"")</f>
        <v>https://www.klasekpyrotechnics.cz/ep1m</v>
      </c>
      <c r="W486" s="685" t="str">
        <f>IFERROR(VLOOKUP($C486,Popisy!A:P,MATCH($W$17,Popisy!$A$7:$P$7,0),FALSE),"---------------")</f>
        <v>elektrische anzünder, 100cm länge</v>
      </c>
      <c r="X486" s="889" t="str">
        <f t="shared" si="91"/>
        <v/>
      </c>
      <c r="Y486" s="890"/>
      <c r="Z486" s="685">
        <f>IFERROR(IF(VLOOKUP(C486,[4]List1!$A:$D,4,FALSE)=0,"",VLOOKUP(C486,[4]List1!$A:$D,4,FALSE)),"")</f>
        <v>40</v>
      </c>
      <c r="AA486" s="707"/>
      <c r="AB486" s="911" t="str">
        <f>IFERROR(IF(VLOOKUP(C486,[1]List1!$A:$D,2,FALSE)="VYPRODÁNO",$V$9,IF(VLOOKUP(C486,[1]List1!$A:$D,2,FALSE)="DOCHÁZÍ",$V$3,VLOOKUP(C486,[1]List1!$A:$D,2,FALSE))),"OFFLINE!")</f>
        <v>SKLADEM</v>
      </c>
      <c r="AC486" s="911" t="str">
        <f ca="1">IF(AO486="NE",$V$10,IF(AB486=$V$3,IF(AP486&lt;1,$V$8,$V$2&amp;" "&amp;AP486&amp;" "&amp;$V$1),IF(AB486="SKLADEM",$V$6,IFERROR(IF(OR(AB486-TODAY()&gt;21,VLOOKUP(C486,[1]List1!$A:$E,4,FALSE)=0),AB486,DAY(AB486)&amp;"."&amp;MONTH(AB486)&amp;"."&amp;YEAR(AB486)&amp;" "&amp;$V$4&amp;VLOOKUP(C486,[1]List1!$A:$E,4,FALSE)&amp;" "&amp;$V$1),AB486))))</f>
        <v>AUF LAGER</v>
      </c>
      <c r="AD486" s="686" t="str">
        <f ca="1">_xlfn.IFNA(VLOOKUP(C486,'General price list'!C:AM,MATCH($AD$20,'General price list'!$C$20:$AM$20,0),FALSE),"")</f>
        <v>AUF LAGER</v>
      </c>
      <c r="AE486" s="681">
        <f t="shared" ca="1" si="92"/>
        <v>0</v>
      </c>
      <c r="AF486" s="681">
        <f t="shared" ca="1" si="93"/>
        <v>0</v>
      </c>
      <c r="AG486" s="687">
        <f t="shared" ca="1" si="94"/>
        <v>0</v>
      </c>
      <c r="AH486" s="688">
        <f t="shared" ca="1" si="95"/>
        <v>0</v>
      </c>
      <c r="AI486" s="687">
        <f t="shared" ca="1" si="96"/>
        <v>0</v>
      </c>
      <c r="AJ486" s="689" t="str">
        <f t="shared" ca="1" si="97"/>
        <v/>
      </c>
      <c r="AK486" s="689" t="str">
        <f t="shared" ca="1" si="98"/>
        <v/>
      </c>
      <c r="AL486" s="689">
        <f t="shared" ca="1" si="99"/>
        <v>0</v>
      </c>
      <c r="AM486" s="690" t="str">
        <f t="shared" ca="1" si="100"/>
        <v/>
      </c>
      <c r="AN486" s="382"/>
      <c r="AO486" s="314" t="str">
        <f>IF($R$3=1,IF(Y486=AA486,"","NE"),IF(#REF!=$V$10,"NE",""))</f>
        <v/>
      </c>
      <c r="AP486" s="315" t="str">
        <f>IF(AB486=$V$3,IF(VLOOKUP(C486,[1]List1!$A:$E,5,FALSE)=0,1,VLOOKUP(C486,[1]List1!$A:$E,5,FALSE)),"")</f>
        <v/>
      </c>
      <c r="AW486" s="458">
        <f>IFERROR(FIND(VLOOKUP('General price list'!$AB$7,'General price list'!$AC$1:$AD$12,2,FALSE),Q486,1),0)</f>
        <v>1</v>
      </c>
      <c r="AX486" s="458">
        <f>IFERROR(FIND(VLOOKUP('General price list'!$AB$7,'General price list'!$AC$1:$AD$12,2,FALSE),R486,1),0)</f>
        <v>0</v>
      </c>
    </row>
    <row r="487" spans="1:50" ht="15" customHeight="1">
      <c r="A487" s="691" t="str">
        <f>Kat.!C487</f>
        <v xml:space="preserve">                                          </v>
      </c>
      <c r="B487" s="692">
        <v>466</v>
      </c>
      <c r="C487" s="693" t="s">
        <v>2097</v>
      </c>
      <c r="D487" s="693" t="s">
        <v>2098</v>
      </c>
      <c r="E487" s="694" t="s">
        <v>2093</v>
      </c>
      <c r="F487" s="695">
        <f>VLOOKUP(C487,[2]List1!$A:$D,2,FALSE)</f>
        <v>925</v>
      </c>
      <c r="G487" s="696">
        <f t="shared" si="89"/>
        <v>925</v>
      </c>
      <c r="H487" s="697">
        <f t="shared" si="90"/>
        <v>37.6</v>
      </c>
      <c r="I487" s="837">
        <v>20</v>
      </c>
      <c r="J487" s="698" t="s">
        <v>247</v>
      </c>
      <c r="K487" s="856"/>
      <c r="L487" s="857" t="s">
        <v>13827</v>
      </c>
      <c r="M487" s="698" t="s">
        <v>25</v>
      </c>
      <c r="N487" s="869">
        <f>IFERROR(VLOOKUP(C487,[3]List1!$A:$D,4,FALSE),"N/A!")</f>
        <v>4.1160000000000002E-2</v>
      </c>
      <c r="O487" s="837">
        <f>IFERROR(VLOOKUP(C487,[3]List1!$A:$D,3,FALSE),"N/A!")</f>
        <v>1</v>
      </c>
      <c r="P487" s="837">
        <f>IFERROR(VLOOKUP(C487,[3]List1!$A:$D,2,FALSE),"N/A!")</f>
        <v>12000</v>
      </c>
      <c r="Q487" s="698" t="s">
        <v>2572</v>
      </c>
      <c r="R487" s="698" t="s">
        <v>24</v>
      </c>
      <c r="S487" s="698"/>
      <c r="T487" s="695"/>
      <c r="U487" s="874"/>
      <c r="V487" s="699" t="str">
        <f>_xlfn.IFNA(HYPERLINK("https://www.klasekpyrotechnics.cz/ep2m"),"")</f>
        <v>https://www.klasekpyrotechnics.cz/ep2m</v>
      </c>
      <c r="W487" s="700" t="str">
        <f>IFERROR(VLOOKUP($C487,Popisy!A:P,MATCH($W$17,Popisy!$A$7:$P$7,0),FALSE),"---------------")</f>
        <v>elektrische anzünder, 200cm länge</v>
      </c>
      <c r="X487" s="891" t="str">
        <f t="shared" si="91"/>
        <v/>
      </c>
      <c r="Y487" s="892"/>
      <c r="Z487" s="700">
        <f>IFERROR(IF(VLOOKUP(C487,[4]List1!$A:$D,4,FALSE)=0,"",VLOOKUP(C487,[4]List1!$A:$D,4,FALSE)),"")</f>
        <v>48</v>
      </c>
      <c r="AA487" s="707"/>
      <c r="AB487" s="912" t="str">
        <f>IFERROR(IF(VLOOKUP(C487,[1]List1!$A:$D,2,FALSE)="VYPRODÁNO",$V$9,IF(VLOOKUP(C487,[1]List1!$A:$D,2,FALSE)="DOCHÁZÍ",$V$3,VLOOKUP(C487,[1]List1!$A:$D,2,FALSE))),"OFFLINE!")</f>
        <v>SKLADEM</v>
      </c>
      <c r="AC487" s="912" t="str">
        <f ca="1">IF(AO487="NE",$V$10,IF(AB487=$V$3,IF(AP487&lt;1,$V$8,$V$2&amp;" "&amp;AP487&amp;" "&amp;$V$1),IF(AB487="SKLADEM",$V$6,IFERROR(IF(OR(AB487-TODAY()&gt;21,VLOOKUP(C487,[1]List1!$A:$E,4,FALSE)=0),AB487,DAY(AB487)&amp;"."&amp;MONTH(AB487)&amp;"."&amp;YEAR(AB487)&amp;" "&amp;$V$4&amp;VLOOKUP(C487,[1]List1!$A:$E,4,FALSE)&amp;" "&amp;$V$1),AB487))))</f>
        <v>AUF LAGER</v>
      </c>
      <c r="AD487" s="701">
        <f>_xlfn.IFNA(VLOOKUP(C487,'General price list'!C:AM,MATCH($AD$20,'General price list'!$C$20:$AM$20,0),FALSE),"")</f>
        <v>0</v>
      </c>
      <c r="AE487" s="695">
        <f t="shared" si="92"/>
        <v>0</v>
      </c>
      <c r="AF487" s="695">
        <f t="shared" si="93"/>
        <v>0</v>
      </c>
      <c r="AG487" s="702">
        <f t="shared" si="94"/>
        <v>0</v>
      </c>
      <c r="AH487" s="703">
        <f t="shared" si="95"/>
        <v>0</v>
      </c>
      <c r="AI487" s="702">
        <f t="shared" si="96"/>
        <v>0</v>
      </c>
      <c r="AJ487" s="704" t="str">
        <f t="shared" si="97"/>
        <v/>
      </c>
      <c r="AK487" s="704" t="str">
        <f t="shared" si="98"/>
        <v/>
      </c>
      <c r="AL487" s="704">
        <f t="shared" si="99"/>
        <v>0</v>
      </c>
      <c r="AM487" s="705" t="str">
        <f t="shared" si="100"/>
        <v/>
      </c>
      <c r="AN487" s="382"/>
      <c r="AO487" s="314" t="str">
        <f>IF($R$3=1,IF(Y487=AA487,"","NE"),IF(#REF!=$V$10,"NE",""))</f>
        <v/>
      </c>
      <c r="AP487" s="315" t="str">
        <f>IF(AB487=$V$3,IF(VLOOKUP(C487,[1]List1!$A:$E,5,FALSE)=0,1,VLOOKUP(C487,[1]List1!$A:$E,5,FALSE)),"")</f>
        <v/>
      </c>
      <c r="AW487" s="458">
        <f>IFERROR(FIND(VLOOKUP('General price list'!$AB$7,'General price list'!$AC$1:$AD$12,2,FALSE),Q487,1),0)</f>
        <v>1</v>
      </c>
      <c r="AX487" s="458">
        <f>IFERROR(FIND(VLOOKUP('General price list'!$AB$7,'General price list'!$AC$1:$AD$12,2,FALSE),R487,1),0)</f>
        <v>0</v>
      </c>
    </row>
    <row r="488" spans="1:50" ht="15" customHeight="1">
      <c r="A488" s="677" t="str">
        <f>Kat.!C488</f>
        <v xml:space="preserve">                                          </v>
      </c>
      <c r="B488" s="678">
        <v>467</v>
      </c>
      <c r="C488" s="679" t="s">
        <v>2102</v>
      </c>
      <c r="D488" s="679" t="s">
        <v>2103</v>
      </c>
      <c r="E488" s="680" t="s">
        <v>2104</v>
      </c>
      <c r="F488" s="681">
        <f>VLOOKUP(C488,[2]List1!$A:$D,2,FALSE)</f>
        <v>633</v>
      </c>
      <c r="G488" s="682">
        <f t="shared" si="89"/>
        <v>633</v>
      </c>
      <c r="H488" s="683">
        <f t="shared" si="90"/>
        <v>25.8</v>
      </c>
      <c r="I488" s="836">
        <v>20</v>
      </c>
      <c r="J488" s="680" t="s">
        <v>247</v>
      </c>
      <c r="K488" s="854"/>
      <c r="L488" s="855" t="s">
        <v>13827</v>
      </c>
      <c r="M488" s="680" t="s">
        <v>25</v>
      </c>
      <c r="N488" s="868">
        <f>IFERROR(VLOOKUP(C488,[3]List1!$A:$D,4,FALSE),"N/A!")</f>
        <v>2.4192000000000005E-2</v>
      </c>
      <c r="O488" s="836">
        <f>IFERROR(VLOOKUP(C488,[3]List1!$A:$D,3,FALSE),"N/A!")</f>
        <v>0.5</v>
      </c>
      <c r="P488" s="836">
        <f>IFERROR(VLOOKUP(C488,[3]List1!$A:$D,2,FALSE),"N/A!")</f>
        <v>10000</v>
      </c>
      <c r="Q488" s="680" t="s">
        <v>2572</v>
      </c>
      <c r="R488" s="680" t="s">
        <v>24</v>
      </c>
      <c r="S488" s="680"/>
      <c r="T488" s="681"/>
      <c r="U488" s="873"/>
      <c r="V488" s="684" t="str">
        <f>_xlfn.IFNA(HYPERLINK("https://www.klasekpyrotechnics.cz/ep3m"),"")</f>
        <v>https://www.klasekpyrotechnics.cz/ep3m</v>
      </c>
      <c r="W488" s="685" t="str">
        <f>IFERROR(VLOOKUP($C488,Popisy!A:P,MATCH($W$17,Popisy!$A$7:$P$7,0),FALSE),"---------------")</f>
        <v>elektrische anzünder, 300cm länge</v>
      </c>
      <c r="X488" s="889" t="str">
        <f t="shared" si="91"/>
        <v/>
      </c>
      <c r="Y488" s="890"/>
      <c r="Z488" s="685">
        <f>IFERROR(IF(VLOOKUP(C488,[4]List1!$A:$D,4,FALSE)=0,"",VLOOKUP(C488,[4]List1!$A:$D,4,FALSE)),"")</f>
        <v>48</v>
      </c>
      <c r="AA488" s="707"/>
      <c r="AB488" s="911" t="str">
        <f>IFERROR(IF(VLOOKUP(C488,[1]List1!$A:$D,2,FALSE)="VYPRODÁNO",$V$9,IF(VLOOKUP(C488,[1]List1!$A:$D,2,FALSE)="DOCHÁZÍ",$V$3,VLOOKUP(C488,[1]List1!$A:$D,2,FALSE))),"OFFLINE!")</f>
        <v>SKLADEM</v>
      </c>
      <c r="AC488" s="911" t="str">
        <f ca="1">IF(AO488="NE",$V$10,IF(AB488=$V$3,IF(AP488&lt;1,$V$8,$V$2&amp;" "&amp;AP488&amp;" "&amp;$V$1),IF(AB488="SKLADEM",$V$6,IFERROR(IF(OR(AB488-TODAY()&gt;21,VLOOKUP(C488,[1]List1!$A:$E,4,FALSE)=0),AB488,DAY(AB488)&amp;"."&amp;MONTH(AB488)&amp;"."&amp;YEAR(AB488)&amp;" "&amp;$V$4&amp;VLOOKUP(C488,[1]List1!$A:$E,4,FALSE)&amp;" "&amp;$V$1),AB488))))</f>
        <v>AUF LAGER</v>
      </c>
      <c r="AD488" s="686" t="str">
        <f ca="1">_xlfn.IFNA(VLOOKUP(C488,'General price list'!C:AM,MATCH($AD$20,'General price list'!$C$20:$AM$20,0),FALSE),"")</f>
        <v>AUF LAGER</v>
      </c>
      <c r="AE488" s="681">
        <f t="shared" ca="1" si="92"/>
        <v>0</v>
      </c>
      <c r="AF488" s="681">
        <f t="shared" ca="1" si="93"/>
        <v>0</v>
      </c>
      <c r="AG488" s="687">
        <f t="shared" ca="1" si="94"/>
        <v>0</v>
      </c>
      <c r="AH488" s="688">
        <f t="shared" ca="1" si="95"/>
        <v>0</v>
      </c>
      <c r="AI488" s="687">
        <f t="shared" ca="1" si="96"/>
        <v>0</v>
      </c>
      <c r="AJ488" s="689" t="str">
        <f t="shared" ca="1" si="97"/>
        <v/>
      </c>
      <c r="AK488" s="689" t="str">
        <f t="shared" ca="1" si="98"/>
        <v/>
      </c>
      <c r="AL488" s="689">
        <f t="shared" ca="1" si="99"/>
        <v>0</v>
      </c>
      <c r="AM488" s="690" t="str">
        <f t="shared" ca="1" si="100"/>
        <v/>
      </c>
      <c r="AN488" s="382"/>
      <c r="AO488" s="314" t="str">
        <f>IF($R$3=1,IF(Y488=AA488,"","NE"),IF(#REF!=$V$10,"NE",""))</f>
        <v/>
      </c>
      <c r="AP488" s="292" t="str">
        <f>IF(AB488=$V$3,IF(VLOOKUP(C488,[1]List1!$A:$E,5,FALSE)=0,1,VLOOKUP(C488,[1]List1!$A:$E,5,FALSE)),"")</f>
        <v/>
      </c>
      <c r="AW488" s="458">
        <f>IFERROR(FIND(VLOOKUP('General price list'!$AB$7,'General price list'!$AC$1:$AD$12,2,FALSE),Q488,1),0)</f>
        <v>1</v>
      </c>
      <c r="AX488" s="458">
        <f>IFERROR(FIND(VLOOKUP('General price list'!$AB$7,'General price list'!$AC$1:$AD$12,2,FALSE),R488,1),0)</f>
        <v>0</v>
      </c>
    </row>
    <row r="489" spans="1:50" ht="15" customHeight="1">
      <c r="A489" s="691" t="str">
        <f>Kat.!C489</f>
        <v xml:space="preserve">                                          </v>
      </c>
      <c r="B489" s="692">
        <v>468</v>
      </c>
      <c r="C489" s="693" t="s">
        <v>2108</v>
      </c>
      <c r="D489" s="693" t="s">
        <v>2109</v>
      </c>
      <c r="E489" s="694" t="s">
        <v>2104</v>
      </c>
      <c r="F489" s="695">
        <f>VLOOKUP(C489,[2]List1!$A:$D,2,FALSE)</f>
        <v>903</v>
      </c>
      <c r="G489" s="696">
        <f t="shared" si="89"/>
        <v>903</v>
      </c>
      <c r="H489" s="697">
        <f t="shared" si="90"/>
        <v>36.700000000000003</v>
      </c>
      <c r="I489" s="837">
        <v>20</v>
      </c>
      <c r="J489" s="698" t="s">
        <v>247</v>
      </c>
      <c r="K489" s="856"/>
      <c r="L489" s="857" t="s">
        <v>13827</v>
      </c>
      <c r="M489" s="698" t="s">
        <v>25</v>
      </c>
      <c r="N489" s="869">
        <f>IFERROR(VLOOKUP(C489,[3]List1!$A:$D,4,FALSE),"N/A!")</f>
        <v>4.1160000000000002E-2</v>
      </c>
      <c r="O489" s="837">
        <f>IFERROR(VLOOKUP(C489,[3]List1!$A:$D,3,FALSE),"N/A!")</f>
        <v>0.5</v>
      </c>
      <c r="P489" s="837">
        <f>IFERROR(VLOOKUP(C489,[3]List1!$A:$D,2,FALSE),"N/A!")</f>
        <v>15600</v>
      </c>
      <c r="Q489" s="698" t="s">
        <v>2572</v>
      </c>
      <c r="R489" s="698" t="s">
        <v>24</v>
      </c>
      <c r="S489" s="698"/>
      <c r="T489" s="695"/>
      <c r="U489" s="874"/>
      <c r="V489" s="699" t="str">
        <f>_xlfn.IFNA(HYPERLINK("https://www.klasekpyrotechnics.cz/ep5m"),"")</f>
        <v>https://www.klasekpyrotechnics.cz/ep5m</v>
      </c>
      <c r="W489" s="700" t="str">
        <f>IFERROR(VLOOKUP($C489,Popisy!A:P,MATCH($W$17,Popisy!$A$7:$P$7,0),FALSE),"---------------")</f>
        <v>elektrische anzünder, 500cm länge</v>
      </c>
      <c r="X489" s="891" t="str">
        <f t="shared" si="91"/>
        <v/>
      </c>
      <c r="Y489" s="892"/>
      <c r="Z489" s="700">
        <f>IFERROR(IF(VLOOKUP(C489,[4]List1!$A:$D,4,FALSE)=0,"",VLOOKUP(C489,[4]List1!$A:$D,4,FALSE)),"")</f>
        <v>36</v>
      </c>
      <c r="AA489" s="707"/>
      <c r="AB489" s="912" t="str">
        <f>IFERROR(IF(VLOOKUP(C489,[1]List1!$A:$D,2,FALSE)="VYPRODÁNO",$V$9,IF(VLOOKUP(C489,[1]List1!$A:$D,2,FALSE)="DOCHÁZÍ",$V$3,VLOOKUP(C489,[1]List1!$A:$D,2,FALSE))),"OFFLINE!")</f>
        <v>SKLADEM</v>
      </c>
      <c r="AC489" s="912" t="str">
        <f ca="1">IF(AO489="NE",$V$10,IF(AB489=$V$3,IF(AP489&lt;1,$V$8,$V$2&amp;" "&amp;AP489&amp;" "&amp;$V$1),IF(AB489="SKLADEM",$V$6,IFERROR(IF(OR(AB489-TODAY()&gt;21,VLOOKUP(C489,[1]List1!$A:$E,4,FALSE)=0),AB489,DAY(AB489)&amp;"."&amp;MONTH(AB489)&amp;"."&amp;YEAR(AB489)&amp;" "&amp;$V$4&amp;VLOOKUP(C489,[1]List1!$A:$E,4,FALSE)&amp;" "&amp;$V$1),AB489))))</f>
        <v>AUF LAGER</v>
      </c>
      <c r="AD489" s="701">
        <f>_xlfn.IFNA(VLOOKUP(C489,'General price list'!C:AM,MATCH($AD$20,'General price list'!$C$20:$AM$20,0),FALSE),"")</f>
        <v>0</v>
      </c>
      <c r="AE489" s="695">
        <f t="shared" si="92"/>
        <v>0</v>
      </c>
      <c r="AF489" s="695">
        <f t="shared" si="93"/>
        <v>0</v>
      </c>
      <c r="AG489" s="702">
        <f t="shared" si="94"/>
        <v>0</v>
      </c>
      <c r="AH489" s="703">
        <f t="shared" si="95"/>
        <v>0</v>
      </c>
      <c r="AI489" s="702">
        <f t="shared" si="96"/>
        <v>0</v>
      </c>
      <c r="AJ489" s="704" t="str">
        <f t="shared" si="97"/>
        <v/>
      </c>
      <c r="AK489" s="704" t="str">
        <f t="shared" si="98"/>
        <v/>
      </c>
      <c r="AL489" s="704">
        <f t="shared" si="99"/>
        <v>0</v>
      </c>
      <c r="AM489" s="705" t="str">
        <f t="shared" si="100"/>
        <v/>
      </c>
      <c r="AN489" s="313"/>
      <c r="AO489" s="314" t="str">
        <f>IF($R$3=1,IF(Y489=AA489,"","NE"),IF(#REF!=$V$10,"NE",""))</f>
        <v/>
      </c>
      <c r="AP489" s="315" t="str">
        <f>IF(AB489=$V$3,IF(VLOOKUP(C489,[1]List1!$A:$E,5,FALSE)=0,1,VLOOKUP(C489,[1]List1!$A:$E,5,FALSE)),"")</f>
        <v/>
      </c>
      <c r="AW489" s="458">
        <f>IFERROR(FIND(VLOOKUP('General price list'!$AB$7,'General price list'!$AC$1:$AD$12,2,FALSE),Q489,1),0)</f>
        <v>1</v>
      </c>
      <c r="AX489" s="458">
        <f>IFERROR(FIND(VLOOKUP('General price list'!$AB$7,'General price list'!$AC$1:$AD$12,2,FALSE),R489,1),0)</f>
        <v>0</v>
      </c>
    </row>
    <row r="490" spans="1:50" ht="15" customHeight="1">
      <c r="A490" s="672" t="str">
        <f>Kat.!C490</f>
        <v xml:space="preserve">                                          Interieur Fontänen</v>
      </c>
      <c r="B490" s="678">
        <v>469</v>
      </c>
      <c r="C490" s="679"/>
      <c r="D490" s="679"/>
      <c r="E490" s="680"/>
      <c r="F490" s="681" t="str">
        <f>IFERROR(ROUND(VLOOKUP(C490,'General price list'!$C:$AN,4,FALSE),0),"")</f>
        <v/>
      </c>
      <c r="G490" s="682" t="str">
        <f t="shared" si="89"/>
        <v/>
      </c>
      <c r="H490" s="683" t="str">
        <f t="shared" si="90"/>
        <v/>
      </c>
      <c r="I490" s="836"/>
      <c r="J490" s="680"/>
      <c r="K490" s="854"/>
      <c r="L490" s="855"/>
      <c r="M490" s="680"/>
      <c r="N490" s="868" t="str">
        <f>IFERROR(IF(VLOOKUP($C490,'General price list'!$C:$AN,MATCH(N$20,'General price list'!$C$20:$AM$20,0),FALSE)=0,"",VLOOKUP($C490,'General price list'!$C:$AN,MATCH(N$20,'General price list'!$C$20:$AM$20,0),FALSE)),"")</f>
        <v/>
      </c>
      <c r="O490" s="836" t="str">
        <f>IFERROR(IF(VLOOKUP($C490,'General price list'!$C:$AN,MATCH(O$20,'General price list'!$C$20:$AM$20,0),FALSE)=0,"",VLOOKUP($C490,'General price list'!$C:$AN,MATCH(O$20,'General price list'!$C$20:$AM$20,0),FALSE)),"")</f>
        <v/>
      </c>
      <c r="P490" s="836" t="str">
        <f>IFERROR(IF(VLOOKUP($C490,'General price list'!$C:$AN,MATCH(P$20,'General price list'!$C$20:$AM$20,0),FALSE)=0,"",VLOOKUP($C490,'General price list'!$C:$AN,MATCH(P$20,'General price list'!$C$20:$AM$20,0),FALSE)),"")</f>
        <v/>
      </c>
      <c r="Q490" s="680"/>
      <c r="R490" s="680"/>
      <c r="S490" s="680"/>
      <c r="T490" s="681"/>
      <c r="U490" s="873"/>
      <c r="V490" s="684"/>
      <c r="W490" s="685" t="str">
        <f>IFERROR(VLOOKUP($C490,'General price list'!$C:$AN,MATCH(W$20,'General price list'!$C$20:$AM$20,0),FALSE),"")</f>
        <v/>
      </c>
      <c r="X490" s="889" t="str">
        <f t="shared" si="91"/>
        <v/>
      </c>
      <c r="Y490" s="890"/>
      <c r="Z490" s="685" t="str">
        <f>IFERROR(VLOOKUP($C490,'General price list'!$C:$AN,MATCH(Z$20,'General price list'!$C$20:$AM$20,0),FALSE),"")</f>
        <v/>
      </c>
      <c r="AA490" s="707"/>
      <c r="AB490" s="911" t="str">
        <f>IFERROR(IF(VLOOKUP(C490,[1]List1!$A:$D,2,FALSE)="VYPRODÁNO",$V$9,IF(VLOOKUP(C490,[1]List1!$A:$D,2,FALSE)="DOCHÁZÍ",$V$3,VLOOKUP(C490,[1]List1!$A:$D,2,FALSE))),"OFFLINE!")</f>
        <v>OFFLINE!</v>
      </c>
      <c r="AC490" s="911" t="str">
        <f ca="1">IF(AO490="NE",$V$10,IF(AB490=$V$3,IF(AP490&lt;1,$V$8,$V$2&amp;" "&amp;AP490&amp;" "&amp;$V$1),IF(AB490="SKLADEM",$V$6,IFERROR(IF(OR(AB490-TODAY()&gt;21,VLOOKUP(C490,[1]List1!$A:$E,4,FALSE)=0),AB490,DAY(AB490)&amp;"."&amp;MONTH(AB490)&amp;"."&amp;YEAR(AB490)&amp;" "&amp;$V$4&amp;VLOOKUP(C490,[1]List1!$A:$E,4,FALSE)&amp;" "&amp;$V$1),AB490))))</f>
        <v>OFFLINE!</v>
      </c>
      <c r="AD490" s="686" t="str">
        <f>_xlfn.IFNA(VLOOKUP(C490,'General price list'!C:AM,MATCH($AD$20,'General price list'!$C$20:$AM$20,0),FALSE),"")</f>
        <v/>
      </c>
      <c r="AE490" s="681" t="str">
        <f t="shared" si="92"/>
        <v/>
      </c>
      <c r="AF490" s="681" t="str">
        <f t="shared" si="93"/>
        <v/>
      </c>
      <c r="AG490" s="687" t="str">
        <f t="shared" si="94"/>
        <v/>
      </c>
      <c r="AH490" s="688" t="str">
        <f t="shared" si="95"/>
        <v/>
      </c>
      <c r="AI490" s="687" t="str">
        <f t="shared" si="96"/>
        <v/>
      </c>
      <c r="AJ490" s="689" t="str">
        <f t="shared" si="97"/>
        <v/>
      </c>
      <c r="AK490" s="689" t="str">
        <f t="shared" si="98"/>
        <v/>
      </c>
      <c r="AL490" s="689" t="str">
        <f t="shared" si="99"/>
        <v/>
      </c>
      <c r="AM490" s="690" t="str">
        <f t="shared" si="100"/>
        <v/>
      </c>
      <c r="AN490" s="381"/>
      <c r="AO490" s="314" t="str">
        <f>IF($R$3=1,IF(Y490=AA490,"","NE"),IF(#REF!=$V$10,"NE",""))</f>
        <v/>
      </c>
      <c r="AP490" s="315" t="str">
        <f>IF(AB490=$V$3,IF(VLOOKUP(C490,[1]List1!$A:$E,5,FALSE)=0,1,VLOOKUP(C490,[1]List1!$A:$E,5,FALSE)),"")</f>
        <v/>
      </c>
      <c r="AW490" s="291" t="e">
        <f>VLOOKUP(C490,'General price list'!C:AU,46,FALSE)</f>
        <v>#N/A</v>
      </c>
      <c r="AX490" s="291" t="e">
        <f>VLOOKUP(C490,'General price list'!C:AU,47,FALSE)</f>
        <v>#N/A</v>
      </c>
    </row>
    <row r="491" spans="1:50" ht="15" customHeight="1">
      <c r="A491" s="691" t="str">
        <f>Kat.!C491</f>
        <v xml:space="preserve">                                          </v>
      </c>
      <c r="B491" s="692">
        <v>470</v>
      </c>
      <c r="C491" s="693" t="s">
        <v>2125</v>
      </c>
      <c r="D491" s="693" t="s">
        <v>2126</v>
      </c>
      <c r="E491" s="694" t="s">
        <v>129</v>
      </c>
      <c r="F491" s="695">
        <f>VLOOKUP(C491,[2]List1!$A:$D,2,FALSE)</f>
        <v>21</v>
      </c>
      <c r="G491" s="696">
        <f t="shared" si="89"/>
        <v>21</v>
      </c>
      <c r="H491" s="697">
        <f t="shared" si="90"/>
        <v>0.9</v>
      </c>
      <c r="I491" s="837">
        <v>1</v>
      </c>
      <c r="J491" s="698"/>
      <c r="K491" s="856">
        <v>7</v>
      </c>
      <c r="L491" s="857"/>
      <c r="M491" s="698"/>
      <c r="N491" s="869">
        <f>IFERROR(VLOOKUP(C491,[3]List1!$A:$D,4,FALSE),"N/A!")</f>
        <v>2.3714999999999999E-4</v>
      </c>
      <c r="O491" s="837">
        <f>IFERROR(VLOOKUP(C491,[3]List1!$A:$D,3,FALSE),"N/A!")</f>
        <v>0</v>
      </c>
      <c r="P491" s="837">
        <f>IFERROR(VLOOKUP(C491,[3]List1!$A:$D,2,FALSE),"N/A!")</f>
        <v>62</v>
      </c>
      <c r="Q491" s="698"/>
      <c r="R491" s="698"/>
      <c r="S491" s="698"/>
      <c r="T491" s="695"/>
      <c r="U491" s="874"/>
      <c r="V491" s="699" t="str">
        <f>_xlfn.IFNA(HYPERLINK("https://www.klasekpyrotechnics.cz/df10cm"),"")</f>
        <v>https://www.klasekpyrotechnics.cz/df10cm</v>
      </c>
      <c r="W491" s="700" t="str">
        <f>IFERROR(VLOOKUP($C491,Popisy!A:P,MATCH($W$17,Popisy!$A$7:$P$7,0),FALSE),"---------------")</f>
        <v>Produktmodell - ohne Sprengstoff</v>
      </c>
      <c r="X491" s="891" t="str">
        <f t="shared" si="91"/>
        <v/>
      </c>
      <c r="Y491" s="892"/>
      <c r="Z491" s="700" t="str">
        <f>IFERROR(IF(VLOOKUP(C491,[4]List1!$A:$D,4,FALSE)=0,"",VLOOKUP(C491,[4]List1!$A:$D,4,FALSE)),"")</f>
        <v/>
      </c>
      <c r="AA491" s="707"/>
      <c r="AB491" s="912" t="str">
        <f>IFERROR(IF(VLOOKUP(C491,[1]List1!$A:$D,2,FALSE)="VYPRODÁNO",$V$9,IF(VLOOKUP(C491,[1]List1!$A:$D,2,FALSE)="DOCHÁZÍ",$V$3,VLOOKUP(C491,[1]List1!$A:$D,2,FALSE))),"OFFLINE!")</f>
        <v>SKLADEM</v>
      </c>
      <c r="AC491" s="912" t="str">
        <f ca="1">IF(AO491="NE",$V$10,IF(AB491=$V$3,IF(AP491&lt;1,$V$8,$V$2&amp;" "&amp;AP491&amp;" "&amp;$V$1),IF(AB491="SKLADEM",$V$6,IFERROR(IF(OR(AB491-TODAY()&gt;21,VLOOKUP(C491,[1]List1!$A:$E,4,FALSE)=0),AB491,DAY(AB491)&amp;"."&amp;MONTH(AB491)&amp;"."&amp;YEAR(AB491)&amp;" "&amp;$V$4&amp;VLOOKUP(C491,[1]List1!$A:$E,4,FALSE)&amp;" "&amp;$V$1),AB491))))</f>
        <v>AUF LAGER</v>
      </c>
      <c r="AD491" s="701" t="str">
        <f ca="1">_xlfn.IFNA(VLOOKUP(C491,'General price list'!C:AM,MATCH($AD$20,'General price list'!$C$20:$AM$20,0),FALSE),"")</f>
        <v>AUF LAGER</v>
      </c>
      <c r="AE491" s="695">
        <f t="shared" ca="1" si="92"/>
        <v>0</v>
      </c>
      <c r="AF491" s="695">
        <f t="shared" ca="1" si="93"/>
        <v>0</v>
      </c>
      <c r="AG491" s="702">
        <f t="shared" ca="1" si="94"/>
        <v>0</v>
      </c>
      <c r="AH491" s="703">
        <f t="shared" ca="1" si="95"/>
        <v>0</v>
      </c>
      <c r="AI491" s="702">
        <f t="shared" ca="1" si="96"/>
        <v>0</v>
      </c>
      <c r="AJ491" s="704" t="str">
        <f t="shared" ca="1" si="97"/>
        <v/>
      </c>
      <c r="AK491" s="704" t="str">
        <f t="shared" ca="1" si="98"/>
        <v/>
      </c>
      <c r="AL491" s="704" t="str">
        <f t="shared" ca="1" si="99"/>
        <v/>
      </c>
      <c r="AM491" s="705" t="str">
        <f t="shared" ca="1" si="100"/>
        <v/>
      </c>
      <c r="AN491" s="313"/>
      <c r="AO491" s="314" t="str">
        <f>IF($R$3=1,IF(Y491=AA491,"","NE"),IF(#REF!=$V$10,"NE",""))</f>
        <v/>
      </c>
      <c r="AP491" s="315" t="str">
        <f>IF(AB491=$V$3,IF(VLOOKUP(C491,[1]List1!$A:$E,5,FALSE)=0,1,VLOOKUP(C491,[1]List1!$A:$E,5,FALSE)),"")</f>
        <v/>
      </c>
      <c r="AW491" s="458">
        <f>IFERROR(FIND(VLOOKUP('General price list'!$AB$7,'General price list'!$AC$1:$AD$12,2,FALSE),Q491,1),0)</f>
        <v>0</v>
      </c>
      <c r="AX491" s="458">
        <f>IFERROR(FIND(VLOOKUP('General price list'!$AB$7,'General price list'!$AC$1:$AD$12,2,FALSE),R491,1),0)</f>
        <v>0</v>
      </c>
    </row>
    <row r="492" spans="1:50" ht="15" customHeight="1">
      <c r="A492" s="672" t="str">
        <f>Kat.!C492</f>
        <v xml:space="preserve">                                          Raketensets 1.3G</v>
      </c>
      <c r="B492" s="678">
        <v>471</v>
      </c>
      <c r="C492" s="679"/>
      <c r="D492" s="679"/>
      <c r="E492" s="680"/>
      <c r="F492" s="681" t="str">
        <f>IFERROR(ROUND(VLOOKUP(C492,'General price list'!$C:$AN,4,FALSE),0),"")</f>
        <v/>
      </c>
      <c r="G492" s="682" t="str">
        <f t="shared" si="89"/>
        <v/>
      </c>
      <c r="H492" s="683" t="str">
        <f t="shared" si="90"/>
        <v/>
      </c>
      <c r="I492" s="836"/>
      <c r="J492" s="680"/>
      <c r="K492" s="854"/>
      <c r="L492" s="855"/>
      <c r="M492" s="680"/>
      <c r="N492" s="868" t="str">
        <f>IFERROR(IF(VLOOKUP($C492,'General price list'!$C:$AN,MATCH(N$20,'General price list'!$C$20:$AM$20,0),FALSE)=0,"",VLOOKUP($C492,'General price list'!$C:$AN,MATCH(N$20,'General price list'!$C$20:$AM$20,0),FALSE)),"")</f>
        <v/>
      </c>
      <c r="O492" s="836" t="str">
        <f>IFERROR(IF(VLOOKUP($C492,'General price list'!$C:$AN,MATCH(O$20,'General price list'!$C$20:$AM$20,0),FALSE)=0,"",VLOOKUP($C492,'General price list'!$C:$AN,MATCH(O$20,'General price list'!$C$20:$AM$20,0),FALSE)),"")</f>
        <v/>
      </c>
      <c r="P492" s="836" t="str">
        <f>IFERROR(IF(VLOOKUP($C492,'General price list'!$C:$AN,MATCH(P$20,'General price list'!$C$20:$AM$20,0),FALSE)=0,"",VLOOKUP($C492,'General price list'!$C:$AN,MATCH(P$20,'General price list'!$C$20:$AM$20,0),FALSE)),"")</f>
        <v/>
      </c>
      <c r="Q492" s="680"/>
      <c r="R492" s="680"/>
      <c r="S492" s="680"/>
      <c r="T492" s="681"/>
      <c r="U492" s="873"/>
      <c r="V492" s="684"/>
      <c r="W492" s="685" t="str">
        <f>IFERROR(VLOOKUP($C492,'General price list'!$C:$AN,MATCH(W$20,'General price list'!$C$20:$AM$20,0),FALSE),"")</f>
        <v/>
      </c>
      <c r="X492" s="889" t="str">
        <f t="shared" si="91"/>
        <v/>
      </c>
      <c r="Y492" s="890"/>
      <c r="Z492" s="685" t="str">
        <f>IFERROR(VLOOKUP($C492,'General price list'!$C:$AN,MATCH(Z$20,'General price list'!$C$20:$AM$20,0),FALSE),"")</f>
        <v/>
      </c>
      <c r="AA492" s="707"/>
      <c r="AB492" s="911" t="str">
        <f>IFERROR(IF(VLOOKUP(C492,[1]List1!$A:$D,2,FALSE)="VYPRODÁNO",$V$9,IF(VLOOKUP(C492,[1]List1!$A:$D,2,FALSE)="DOCHÁZÍ",$V$3,VLOOKUP(C492,[1]List1!$A:$D,2,FALSE))),"OFFLINE!")</f>
        <v>OFFLINE!</v>
      </c>
      <c r="AC492" s="911" t="str">
        <f ca="1">IF(AO492="NE",$V$10,IF(AB492=$V$3,IF(AP492&lt;1,$V$8,$V$2&amp;" "&amp;AP492&amp;" "&amp;$V$1),IF(AB492="SKLADEM",$V$6,IFERROR(IF(OR(AB492-TODAY()&gt;21,VLOOKUP(C492,[1]List1!$A:$E,4,FALSE)=0),AB492,DAY(AB492)&amp;"."&amp;MONTH(AB492)&amp;"."&amp;YEAR(AB492)&amp;" "&amp;$V$4&amp;VLOOKUP(C492,[1]List1!$A:$E,4,FALSE)&amp;" "&amp;$V$1),AB492))))</f>
        <v>OFFLINE!</v>
      </c>
      <c r="AD492" s="686" t="str">
        <f>_xlfn.IFNA(VLOOKUP(C492,'General price list'!C:AM,MATCH($AD$20,'General price list'!$C$20:$AM$20,0),FALSE),"")</f>
        <v/>
      </c>
      <c r="AE492" s="681" t="str">
        <f t="shared" si="92"/>
        <v/>
      </c>
      <c r="AF492" s="681" t="str">
        <f t="shared" si="93"/>
        <v/>
      </c>
      <c r="AG492" s="687" t="str">
        <f t="shared" si="94"/>
        <v/>
      </c>
      <c r="AH492" s="688" t="str">
        <f t="shared" si="95"/>
        <v/>
      </c>
      <c r="AI492" s="687" t="str">
        <f t="shared" si="96"/>
        <v/>
      </c>
      <c r="AJ492" s="689" t="str">
        <f t="shared" si="97"/>
        <v/>
      </c>
      <c r="AK492" s="689" t="str">
        <f t="shared" si="98"/>
        <v/>
      </c>
      <c r="AL492" s="689" t="str">
        <f t="shared" si="99"/>
        <v/>
      </c>
      <c r="AM492" s="690" t="str">
        <f t="shared" si="100"/>
        <v/>
      </c>
      <c r="AN492" s="382"/>
      <c r="AO492" s="314" t="str">
        <f>IF($R$3=1,IF(Y492=AA492,"","NE"),IF(#REF!=$V$10,"NE",""))</f>
        <v/>
      </c>
      <c r="AP492" s="315" t="str">
        <f>IF(AB492=$V$3,IF(VLOOKUP(C492,[1]List1!$A:$E,5,FALSE)=0,1,VLOOKUP(C492,[1]List1!$A:$E,5,FALSE)),"")</f>
        <v/>
      </c>
      <c r="AW492" s="291" t="e">
        <f>VLOOKUP(C492,'General price list'!C:AU,46,FALSE)</f>
        <v>#N/A</v>
      </c>
      <c r="AX492" s="291" t="e">
        <f>VLOOKUP(C492,'General price list'!C:AU,47,FALSE)</f>
        <v>#N/A</v>
      </c>
    </row>
    <row r="493" spans="1:50" ht="15" customHeight="1">
      <c r="A493" s="691" t="str">
        <f>Kat.!C493</f>
        <v xml:space="preserve">                                          </v>
      </c>
      <c r="B493" s="692">
        <v>472</v>
      </c>
      <c r="C493" s="693" t="s">
        <v>2434</v>
      </c>
      <c r="D493" s="693" t="s">
        <v>2435</v>
      </c>
      <c r="E493" s="694" t="s">
        <v>129</v>
      </c>
      <c r="F493" s="695">
        <f>VLOOKUP(C493,[2]List1!$A:$D,2,FALSE)</f>
        <v>64</v>
      </c>
      <c r="G493" s="696">
        <f t="shared" si="89"/>
        <v>64</v>
      </c>
      <c r="H493" s="697">
        <f t="shared" si="90"/>
        <v>2.6</v>
      </c>
      <c r="I493" s="837">
        <v>1</v>
      </c>
      <c r="J493" s="698"/>
      <c r="K493" s="856">
        <v>7</v>
      </c>
      <c r="L493" s="857"/>
      <c r="M493" s="698"/>
      <c r="N493" s="869">
        <f>IFERROR(VLOOKUP(C493,[3]List1!$A:$D,4,FALSE),"N/A!")</f>
        <v>5.4872000000000005E-4</v>
      </c>
      <c r="O493" s="837">
        <f>IFERROR(VLOOKUP(C493,[3]List1!$A:$D,3,FALSE),"N/A!")</f>
        <v>0</v>
      </c>
      <c r="P493" s="837">
        <f>IFERROR(VLOOKUP(C493,[3]List1!$A:$D,2,FALSE),"N/A!")</f>
        <v>248</v>
      </c>
      <c r="Q493" s="698"/>
      <c r="R493" s="698"/>
      <c r="S493" s="698"/>
      <c r="T493" s="695"/>
      <c r="U493" s="874"/>
      <c r="V493" s="699" t="str">
        <f>_xlfn.IFNA(HYPERLINK("https://www.klasekpyrotechnics.cz/c1614e14"),"")</f>
        <v>https://www.klasekpyrotechnics.cz/c1614e14</v>
      </c>
      <c r="W493" s="700" t="str">
        <f>IFERROR(VLOOKUP($C493,Popisy!A:P,MATCH($W$17,Popisy!$A$7:$P$7,0),FALSE),"---------------")</f>
        <v>Produktmodell - ohne Sprengstoff</v>
      </c>
      <c r="X493" s="891" t="str">
        <f t="shared" si="91"/>
        <v/>
      </c>
      <c r="Y493" s="892"/>
      <c r="Z493" s="700" t="str">
        <f>IFERROR(IF(VLOOKUP(C493,[4]List1!$A:$D,4,FALSE)=0,"",VLOOKUP(C493,[4]List1!$A:$D,4,FALSE)),"")</f>
        <v/>
      </c>
      <c r="AA493" s="707"/>
      <c r="AB493" s="912" t="str">
        <f>IFERROR(IF(VLOOKUP(C493,[1]List1!$A:$D,2,FALSE)="VYPRODÁNO",$V$9,IF(VLOOKUP(C493,[1]List1!$A:$D,2,FALSE)="DOCHÁZÍ",$V$3,VLOOKUP(C493,[1]List1!$A:$D,2,FALSE))),"OFFLINE!")</f>
        <v>SKLADEM</v>
      </c>
      <c r="AC493" s="912" t="str">
        <f ca="1">IF(AO493="NE",$V$10,IF(AB493=$V$3,IF(AP493&lt;1,$V$8,$V$2&amp;" "&amp;AP493&amp;" "&amp;$V$1),IF(AB493="SKLADEM",$V$6,IFERROR(IF(OR(AB493-TODAY()&gt;21,VLOOKUP(C493,[1]List1!$A:$E,4,FALSE)=0),AB493,DAY(AB493)&amp;"."&amp;MONTH(AB493)&amp;"."&amp;YEAR(AB493)&amp;" "&amp;$V$4&amp;VLOOKUP(C493,[1]List1!$A:$E,4,FALSE)&amp;" "&amp;$V$1),AB493))))</f>
        <v>AUF LAGER</v>
      </c>
      <c r="AD493" s="701" t="str">
        <f ca="1">_xlfn.IFNA(VLOOKUP(C493,'General price list'!C:AM,MATCH($AD$20,'General price list'!$C$20:$AM$20,0),FALSE),"")</f>
        <v>AUF LAGER</v>
      </c>
      <c r="AE493" s="695">
        <f t="shared" ca="1" si="92"/>
        <v>0</v>
      </c>
      <c r="AF493" s="695">
        <f t="shared" ca="1" si="93"/>
        <v>0</v>
      </c>
      <c r="AG493" s="702">
        <f t="shared" ca="1" si="94"/>
        <v>0</v>
      </c>
      <c r="AH493" s="703">
        <f t="shared" ca="1" si="95"/>
        <v>0</v>
      </c>
      <c r="AI493" s="702">
        <f t="shared" ca="1" si="96"/>
        <v>0</v>
      </c>
      <c r="AJ493" s="704" t="str">
        <f t="shared" ca="1" si="97"/>
        <v/>
      </c>
      <c r="AK493" s="704" t="str">
        <f t="shared" ca="1" si="98"/>
        <v/>
      </c>
      <c r="AL493" s="704" t="str">
        <f t="shared" ca="1" si="99"/>
        <v/>
      </c>
      <c r="AM493" s="705" t="str">
        <f t="shared" ca="1" si="100"/>
        <v/>
      </c>
      <c r="AN493" s="381"/>
      <c r="AO493" s="314" t="str">
        <f>IF($R$3=1,IF(Y493=AA493,"","NE"),IF(#REF!=$V$10,"NE",""))</f>
        <v/>
      </c>
      <c r="AP493" s="315" t="str">
        <f>IF(AB493=$V$3,IF(VLOOKUP(C493,[1]List1!$A:$E,5,FALSE)=0,1,VLOOKUP(C493,[1]List1!$A:$E,5,FALSE)),"")</f>
        <v/>
      </c>
      <c r="AW493" s="458">
        <f>IFERROR(FIND(VLOOKUP('General price list'!$AB$7,'General price list'!$AC$1:$AD$12,2,FALSE),Q493,1),0)</f>
        <v>0</v>
      </c>
      <c r="AX493" s="458">
        <f>IFERROR(FIND(VLOOKUP('General price list'!$AB$7,'General price list'!$AC$1:$AD$12,2,FALSE),R493,1),0)</f>
        <v>0</v>
      </c>
    </row>
    <row r="494" spans="1:50" ht="15" customHeight="1">
      <c r="A494" s="672" t="str">
        <f>Kat.!C494</f>
        <v xml:space="preserve">                                          Batterien 25 schuss, 20mm Mörser-1.3G</v>
      </c>
      <c r="B494" s="678">
        <v>473</v>
      </c>
      <c r="C494" s="679"/>
      <c r="D494" s="679"/>
      <c r="E494" s="680"/>
      <c r="F494" s="681" t="str">
        <f>IFERROR(ROUND(VLOOKUP(C494,'General price list'!$C:$AN,4,FALSE),0),"")</f>
        <v/>
      </c>
      <c r="G494" s="682" t="str">
        <f t="shared" si="89"/>
        <v/>
      </c>
      <c r="H494" s="683" t="str">
        <f t="shared" si="90"/>
        <v/>
      </c>
      <c r="I494" s="836"/>
      <c r="J494" s="680"/>
      <c r="K494" s="854"/>
      <c r="L494" s="855"/>
      <c r="M494" s="680"/>
      <c r="N494" s="868" t="str">
        <f>IFERROR(IF(VLOOKUP($C494,'General price list'!$C:$AN,MATCH(N$20,'General price list'!$C$20:$AM$20,0),FALSE)=0,"",VLOOKUP($C494,'General price list'!$C:$AN,MATCH(N$20,'General price list'!$C$20:$AM$20,0),FALSE)),"")</f>
        <v/>
      </c>
      <c r="O494" s="836" t="str">
        <f>IFERROR(IF(VLOOKUP($C494,'General price list'!$C:$AN,MATCH(O$20,'General price list'!$C$20:$AM$20,0),FALSE)=0,"",VLOOKUP($C494,'General price list'!$C:$AN,MATCH(O$20,'General price list'!$C$20:$AM$20,0),FALSE)),"")</f>
        <v/>
      </c>
      <c r="P494" s="836" t="str">
        <f>IFERROR(IF(VLOOKUP($C494,'General price list'!$C:$AN,MATCH(P$20,'General price list'!$C$20:$AM$20,0),FALSE)=0,"",VLOOKUP($C494,'General price list'!$C:$AN,MATCH(P$20,'General price list'!$C$20:$AM$20,0),FALSE)),"")</f>
        <v/>
      </c>
      <c r="Q494" s="680"/>
      <c r="R494" s="680"/>
      <c r="S494" s="680"/>
      <c r="T494" s="681"/>
      <c r="U494" s="873"/>
      <c r="V494" s="684"/>
      <c r="W494" s="685" t="str">
        <f>IFERROR(VLOOKUP($C494,'General price list'!$C:$AN,MATCH(W$20,'General price list'!$C$20:$AM$20,0),FALSE),"")</f>
        <v/>
      </c>
      <c r="X494" s="889" t="str">
        <f t="shared" si="91"/>
        <v/>
      </c>
      <c r="Y494" s="890"/>
      <c r="Z494" s="685" t="str">
        <f>IFERROR(VLOOKUP($C494,'General price list'!$C:$AN,MATCH(Z$20,'General price list'!$C$20:$AM$20,0),FALSE),"")</f>
        <v/>
      </c>
      <c r="AA494" s="707"/>
      <c r="AB494" s="911" t="str">
        <f>IFERROR(IF(VLOOKUP(C494,[1]List1!$A:$D,2,FALSE)="VYPRODÁNO",$V$9,IF(VLOOKUP(C494,[1]List1!$A:$D,2,FALSE)="DOCHÁZÍ",$V$3,VLOOKUP(C494,[1]List1!$A:$D,2,FALSE))),"OFFLINE!")</f>
        <v>OFFLINE!</v>
      </c>
      <c r="AC494" s="911" t="str">
        <f ca="1">IF(AO494="NE",$V$10,IF(AB494=$V$3,IF(AP494&lt;1,$V$8,$V$2&amp;" "&amp;AP494&amp;" "&amp;$V$1),IF(AB494="SKLADEM",$V$6,IFERROR(IF(OR(AB494-TODAY()&gt;21,VLOOKUP(C494,[1]List1!$A:$E,4,FALSE)=0),AB494,DAY(AB494)&amp;"."&amp;MONTH(AB494)&amp;"."&amp;YEAR(AB494)&amp;" "&amp;$V$4&amp;VLOOKUP(C494,[1]List1!$A:$E,4,FALSE)&amp;" "&amp;$V$1),AB494))))</f>
        <v>OFFLINE!</v>
      </c>
      <c r="AD494" s="686" t="str">
        <f>_xlfn.IFNA(VLOOKUP(C494,'General price list'!C:AM,MATCH($AD$20,'General price list'!$C$20:$AM$20,0),FALSE),"")</f>
        <v/>
      </c>
      <c r="AE494" s="681" t="str">
        <f t="shared" si="92"/>
        <v/>
      </c>
      <c r="AF494" s="681" t="str">
        <f t="shared" si="93"/>
        <v/>
      </c>
      <c r="AG494" s="687" t="str">
        <f t="shared" si="94"/>
        <v/>
      </c>
      <c r="AH494" s="688" t="str">
        <f t="shared" si="95"/>
        <v/>
      </c>
      <c r="AI494" s="687" t="str">
        <f t="shared" si="96"/>
        <v/>
      </c>
      <c r="AJ494" s="689" t="str">
        <f t="shared" si="97"/>
        <v/>
      </c>
      <c r="AK494" s="689" t="str">
        <f t="shared" si="98"/>
        <v/>
      </c>
      <c r="AL494" s="689" t="str">
        <f t="shared" si="99"/>
        <v/>
      </c>
      <c r="AM494" s="690" t="str">
        <f t="shared" si="100"/>
        <v/>
      </c>
      <c r="AN494" s="382"/>
      <c r="AO494" s="314" t="str">
        <f>IF($R$3=1,IF(Y494=AA494,"","NE"),IF(#REF!=$V$10,"NE",""))</f>
        <v/>
      </c>
      <c r="AP494" s="292" t="str">
        <f>IF(AB494=$V$3,IF(VLOOKUP(C494,[1]List1!$A:$E,5,FALSE)=0,1,VLOOKUP(C494,[1]List1!$A:$E,5,FALSE)),"")</f>
        <v/>
      </c>
      <c r="AW494" s="291" t="e">
        <f>VLOOKUP(C494,'General price list'!C:AU,46,FALSE)</f>
        <v>#N/A</v>
      </c>
      <c r="AX494" s="291" t="e">
        <f>VLOOKUP(C494,'General price list'!C:AU,47,FALSE)</f>
        <v>#N/A</v>
      </c>
    </row>
    <row r="495" spans="1:50" ht="15" customHeight="1">
      <c r="A495" s="691" t="str">
        <f>Kat.!C495</f>
        <v xml:space="preserve">                                          </v>
      </c>
      <c r="B495" s="692">
        <v>474</v>
      </c>
      <c r="C495" s="693" t="s">
        <v>2847</v>
      </c>
      <c r="D495" s="693" t="s">
        <v>2848</v>
      </c>
      <c r="E495" s="694" t="s">
        <v>129</v>
      </c>
      <c r="F495" s="695">
        <f>VLOOKUP(C495,[2]List1!$A:$D,2,FALSE)</f>
        <v>129</v>
      </c>
      <c r="G495" s="696">
        <f t="shared" si="89"/>
        <v>129</v>
      </c>
      <c r="H495" s="697">
        <f t="shared" si="90"/>
        <v>5.2</v>
      </c>
      <c r="I495" s="837">
        <v>1</v>
      </c>
      <c r="J495" s="698"/>
      <c r="K495" s="856">
        <v>7</v>
      </c>
      <c r="L495" s="857"/>
      <c r="M495" s="698"/>
      <c r="N495" s="869">
        <f>IFERROR(VLOOKUP(C495,[3]List1!$A:$D,4,FALSE),"N/A!")</f>
        <v>2.2392500000000004E-3</v>
      </c>
      <c r="O495" s="837">
        <f>IFERROR(VLOOKUP(C495,[3]List1!$A:$D,3,FALSE),"N/A!")</f>
        <v>0</v>
      </c>
      <c r="P495" s="837">
        <f>IFERROR(VLOOKUP(C495,[3]List1!$A:$D,2,FALSE),"N/A!")</f>
        <v>825</v>
      </c>
      <c r="Q495" s="698"/>
      <c r="R495" s="698"/>
      <c r="S495" s="698"/>
      <c r="T495" s="695"/>
      <c r="U495" s="874"/>
      <c r="V495" s="699" t="str">
        <f>_xlfn.IFNA(HYPERLINK("https://www.klasekpyrotechnics.cz/c2520st"),"")</f>
        <v>https://www.klasekpyrotechnics.cz/c2520st</v>
      </c>
      <c r="W495" s="700" t="str">
        <f>IFERROR(VLOOKUP($C495,Popisy!A:P,MATCH($W$17,Popisy!$A$7:$P$7,0),FALSE),"---------------")</f>
        <v>Produktmodell - ohne Sprengstoff</v>
      </c>
      <c r="X495" s="891" t="str">
        <f t="shared" si="91"/>
        <v/>
      </c>
      <c r="Y495" s="892"/>
      <c r="Z495" s="700" t="str">
        <f>IFERROR(IF(VLOOKUP(C495,[4]List1!$A:$D,4,FALSE)=0,"",VLOOKUP(C495,[4]List1!$A:$D,4,FALSE)),"")</f>
        <v/>
      </c>
      <c r="AA495" s="707"/>
      <c r="AB495" s="912" t="str">
        <f>IFERROR(IF(VLOOKUP(C495,[1]List1!$A:$D,2,FALSE)="VYPRODÁNO",$V$9,IF(VLOOKUP(C495,[1]List1!$A:$D,2,FALSE)="DOCHÁZÍ",$V$3,VLOOKUP(C495,[1]List1!$A:$D,2,FALSE))),"OFFLINE!")</f>
        <v>SKLADEM</v>
      </c>
      <c r="AC495" s="912" t="str">
        <f ca="1">IF(AO495="NE",$V$10,IF(AB495=$V$3,IF(AP495&lt;1,$V$8,$V$2&amp;" "&amp;AP495&amp;" "&amp;$V$1),IF(AB495="SKLADEM",$V$6,IFERROR(IF(OR(AB495-TODAY()&gt;21,VLOOKUP(C495,[1]List1!$A:$E,4,FALSE)=0),AB495,DAY(AB495)&amp;"."&amp;MONTH(AB495)&amp;"."&amp;YEAR(AB495)&amp;" "&amp;$V$4&amp;VLOOKUP(C495,[1]List1!$A:$E,4,FALSE)&amp;" "&amp;$V$1),AB495))))</f>
        <v>AUF LAGER</v>
      </c>
      <c r="AD495" s="701" t="str">
        <f ca="1">_xlfn.IFNA(VLOOKUP(C495,'General price list'!C:AM,MATCH($AD$20,'General price list'!$C$20:$AM$20,0),FALSE),"")</f>
        <v>AUF LAGER</v>
      </c>
      <c r="AE495" s="695">
        <f t="shared" ca="1" si="92"/>
        <v>0</v>
      </c>
      <c r="AF495" s="695">
        <f t="shared" ca="1" si="93"/>
        <v>0</v>
      </c>
      <c r="AG495" s="702">
        <f t="shared" ca="1" si="94"/>
        <v>0</v>
      </c>
      <c r="AH495" s="703">
        <f t="shared" ca="1" si="95"/>
        <v>0</v>
      </c>
      <c r="AI495" s="702">
        <f t="shared" ca="1" si="96"/>
        <v>0</v>
      </c>
      <c r="AJ495" s="704" t="str">
        <f t="shared" ca="1" si="97"/>
        <v/>
      </c>
      <c r="AK495" s="704" t="str">
        <f t="shared" ca="1" si="98"/>
        <v/>
      </c>
      <c r="AL495" s="704" t="str">
        <f t="shared" ca="1" si="99"/>
        <v/>
      </c>
      <c r="AM495" s="705" t="str">
        <f t="shared" ca="1" si="100"/>
        <v/>
      </c>
      <c r="AN495" s="313"/>
      <c r="AO495" s="314" t="str">
        <f>IF($R$3=1,IF(Y495=AA495,"","NE"),IF(#REF!=$V$10,"NE",""))</f>
        <v/>
      </c>
      <c r="AP495" s="315" t="str">
        <f>IF(AB495=$V$3,IF(VLOOKUP(C495,[1]List1!$A:$E,5,FALSE)=0,1,VLOOKUP(C495,[1]List1!$A:$E,5,FALSE)),"")</f>
        <v/>
      </c>
      <c r="AW495" s="458">
        <f>IFERROR(FIND(VLOOKUP('General price list'!$AB$7,'General price list'!$AC$1:$AD$12,2,FALSE),Q495,1),0)</f>
        <v>0</v>
      </c>
      <c r="AX495" s="458">
        <f>IFERROR(FIND(VLOOKUP('General price list'!$AB$7,'General price list'!$AC$1:$AD$12,2,FALSE),R495,1),0)</f>
        <v>0</v>
      </c>
    </row>
    <row r="496" spans="1:50" ht="15" customHeight="1">
      <c r="A496" s="677" t="str">
        <f>Kat.!C496</f>
        <v xml:space="preserve">                                          </v>
      </c>
      <c r="B496" s="678">
        <v>475</v>
      </c>
      <c r="C496" s="679" t="s">
        <v>2128</v>
      </c>
      <c r="D496" s="679" t="s">
        <v>2127</v>
      </c>
      <c r="E496" s="680" t="s">
        <v>129</v>
      </c>
      <c r="F496" s="681">
        <f>VLOOKUP(C496,[2]List1!$A:$D,2,FALSE)</f>
        <v>129</v>
      </c>
      <c r="G496" s="682">
        <f t="shared" si="89"/>
        <v>129</v>
      </c>
      <c r="H496" s="683">
        <f t="shared" si="90"/>
        <v>5.2</v>
      </c>
      <c r="I496" s="836">
        <v>1</v>
      </c>
      <c r="J496" s="680"/>
      <c r="K496" s="854">
        <v>7</v>
      </c>
      <c r="L496" s="855"/>
      <c r="M496" s="680"/>
      <c r="N496" s="868">
        <f>IFERROR(VLOOKUP(C496,[3]List1!$A:$D,4,FALSE),"N/A!")</f>
        <v>2.2392500000000004E-3</v>
      </c>
      <c r="O496" s="836">
        <f>IFERROR(VLOOKUP(C496,[3]List1!$A:$D,3,FALSE),"N/A!")</f>
        <v>0</v>
      </c>
      <c r="P496" s="836">
        <f>IFERROR(VLOOKUP(C496,[3]List1!$A:$D,2,FALSE),"N/A!")</f>
        <v>884</v>
      </c>
      <c r="Q496" s="680"/>
      <c r="R496" s="680"/>
      <c r="S496" s="680"/>
      <c r="T496" s="681"/>
      <c r="U496" s="873"/>
      <c r="V496" s="684" t="str">
        <f>_xlfn.IFNA(HYPERLINK("https://www.klasekpyrotechnics.cz/c2520vi"),"")</f>
        <v>https://www.klasekpyrotechnics.cz/c2520vi</v>
      </c>
      <c r="W496" s="685" t="str">
        <f>IFERROR(VLOOKUP($C496,Popisy!A:P,MATCH($W$17,Popisy!$A$7:$P$7,0),FALSE),"---------------")</f>
        <v>Produktmodell - ohne Sprengstoff</v>
      </c>
      <c r="X496" s="889" t="str">
        <f t="shared" si="91"/>
        <v/>
      </c>
      <c r="Y496" s="890"/>
      <c r="Z496" s="685" t="str">
        <f>IFERROR(IF(VLOOKUP(C496,[4]List1!$A:$D,4,FALSE)=0,"",VLOOKUP(C496,[4]List1!$A:$D,4,FALSE)),"")</f>
        <v/>
      </c>
      <c r="AA496" s="707"/>
      <c r="AB496" s="911" t="str">
        <f>IFERROR(IF(VLOOKUP(C496,[1]List1!$A:$D,2,FALSE)="VYPRODÁNO",$V$9,IF(VLOOKUP(C496,[1]List1!$A:$D,2,FALSE)="DOCHÁZÍ",$V$3,VLOOKUP(C496,[1]List1!$A:$D,2,FALSE))),"OFFLINE!")</f>
        <v>SKLADEM</v>
      </c>
      <c r="AC496" s="911" t="str">
        <f ca="1">IF(AO496="NE",$V$10,IF(AB496=$V$3,IF(AP496&lt;1,$V$8,$V$2&amp;" "&amp;AP496&amp;" "&amp;$V$1),IF(AB496="SKLADEM",$V$6,IFERROR(IF(OR(AB496-TODAY()&gt;21,VLOOKUP(C496,[1]List1!$A:$E,4,FALSE)=0),AB496,DAY(AB496)&amp;"."&amp;MONTH(AB496)&amp;"."&amp;YEAR(AB496)&amp;" "&amp;$V$4&amp;VLOOKUP(C496,[1]List1!$A:$E,4,FALSE)&amp;" "&amp;$V$1),AB496))))</f>
        <v>AUF LAGER</v>
      </c>
      <c r="AD496" s="686" t="str">
        <f ca="1">_xlfn.IFNA(VLOOKUP(C496,'General price list'!C:AM,MATCH($AD$20,'General price list'!$C$20:$AM$20,0),FALSE),"")</f>
        <v>AUF LAGER</v>
      </c>
      <c r="AE496" s="681">
        <f t="shared" ca="1" si="92"/>
        <v>0</v>
      </c>
      <c r="AF496" s="681">
        <f t="shared" ca="1" si="93"/>
        <v>0</v>
      </c>
      <c r="AG496" s="687">
        <f t="shared" ca="1" si="94"/>
        <v>0</v>
      </c>
      <c r="AH496" s="688">
        <f t="shared" ca="1" si="95"/>
        <v>0</v>
      </c>
      <c r="AI496" s="687">
        <f t="shared" ca="1" si="96"/>
        <v>0</v>
      </c>
      <c r="AJ496" s="689" t="str">
        <f t="shared" ca="1" si="97"/>
        <v/>
      </c>
      <c r="AK496" s="689" t="str">
        <f t="shared" ca="1" si="98"/>
        <v/>
      </c>
      <c r="AL496" s="689" t="str">
        <f t="shared" ca="1" si="99"/>
        <v/>
      </c>
      <c r="AM496" s="690" t="str">
        <f t="shared" ca="1" si="100"/>
        <v/>
      </c>
      <c r="AN496" s="382"/>
      <c r="AO496" s="314" t="str">
        <f>IF($R$3=1,IF(Y496=AA496,"","NE"),IF(#REF!=$V$10,"NE",""))</f>
        <v/>
      </c>
      <c r="AP496" s="315" t="str">
        <f>IF(AB496=$V$3,IF(VLOOKUP(C496,[1]List1!$A:$E,5,FALSE)=0,1,VLOOKUP(C496,[1]List1!$A:$E,5,FALSE)),"")</f>
        <v/>
      </c>
      <c r="AW496" s="458">
        <f>IFERROR(FIND(VLOOKUP('General price list'!$AB$7,'General price list'!$AC$1:$AD$12,2,FALSE),Q496,1),0)</f>
        <v>0</v>
      </c>
      <c r="AX496" s="458">
        <f>IFERROR(FIND(VLOOKUP('General price list'!$AB$7,'General price list'!$AC$1:$AD$12,2,FALSE),R496,1),0)</f>
        <v>0</v>
      </c>
    </row>
    <row r="497" spans="1:50" ht="15" customHeight="1">
      <c r="A497" s="672" t="str">
        <f>Kat.!C497</f>
        <v xml:space="preserve">                                          Batterien 90 schuss, 20mm Mörser-1.3G</v>
      </c>
      <c r="B497" s="692">
        <v>476</v>
      </c>
      <c r="C497" s="693"/>
      <c r="D497" s="693"/>
      <c r="E497" s="694"/>
      <c r="F497" s="695" t="str">
        <f>IFERROR(ROUND(VLOOKUP(C497,'General price list'!$C:$AN,4,FALSE),0),"")</f>
        <v/>
      </c>
      <c r="G497" s="696" t="str">
        <f t="shared" si="89"/>
        <v/>
      </c>
      <c r="H497" s="697" t="str">
        <f t="shared" si="90"/>
        <v/>
      </c>
      <c r="I497" s="837"/>
      <c r="J497" s="698"/>
      <c r="K497" s="856"/>
      <c r="L497" s="857"/>
      <c r="M497" s="698"/>
      <c r="N497" s="869" t="str">
        <f>IFERROR(IF(VLOOKUP($C497,'General price list'!$C:$AN,MATCH(N$20,'General price list'!$C$20:$AM$20,0),FALSE)=0,"",VLOOKUP($C497,'General price list'!$C:$AN,MATCH(N$20,'General price list'!$C$20:$AM$20,0),FALSE)),"")</f>
        <v/>
      </c>
      <c r="O497" s="837" t="str">
        <f>IFERROR(IF(VLOOKUP($C497,'General price list'!$C:$AN,MATCH(O$20,'General price list'!$C$20:$AM$20,0),FALSE)=0,"",VLOOKUP($C497,'General price list'!$C:$AN,MATCH(O$20,'General price list'!$C$20:$AM$20,0),FALSE)),"")</f>
        <v/>
      </c>
      <c r="P497" s="837" t="str">
        <f>IFERROR(IF(VLOOKUP($C497,'General price list'!$C:$AN,MATCH(P$20,'General price list'!$C$20:$AM$20,0),FALSE)=0,"",VLOOKUP($C497,'General price list'!$C:$AN,MATCH(P$20,'General price list'!$C$20:$AM$20,0),FALSE)),"")</f>
        <v/>
      </c>
      <c r="Q497" s="698"/>
      <c r="R497" s="698"/>
      <c r="S497" s="698"/>
      <c r="T497" s="695"/>
      <c r="U497" s="874"/>
      <c r="V497" s="699"/>
      <c r="W497" s="700" t="str">
        <f>IFERROR(VLOOKUP($C497,'General price list'!$C:$AN,MATCH(W$20,'General price list'!$C$20:$AM$20,0),FALSE),"")</f>
        <v/>
      </c>
      <c r="X497" s="891" t="str">
        <f t="shared" si="91"/>
        <v/>
      </c>
      <c r="Y497" s="892"/>
      <c r="Z497" s="700" t="str">
        <f>IFERROR(VLOOKUP($C497,'General price list'!$C:$AN,MATCH(Z$20,'General price list'!$C$20:$AM$20,0),FALSE),"")</f>
        <v/>
      </c>
      <c r="AA497" s="707"/>
      <c r="AB497" s="912" t="str">
        <f>IFERROR(IF(VLOOKUP(C497,[1]List1!$A:$D,2,FALSE)="VYPRODÁNO",$V$9,IF(VLOOKUP(C497,[1]List1!$A:$D,2,FALSE)="DOCHÁZÍ",$V$3,VLOOKUP(C497,[1]List1!$A:$D,2,FALSE))),"OFFLINE!")</f>
        <v>OFFLINE!</v>
      </c>
      <c r="AC497" s="912" t="str">
        <f ca="1">IF(AO497="NE",$V$10,IF(AB497=$V$3,IF(AP497&lt;1,$V$8,$V$2&amp;" "&amp;AP497&amp;" "&amp;$V$1),IF(AB497="SKLADEM",$V$6,IFERROR(IF(OR(AB497-TODAY()&gt;21,VLOOKUP(C497,[1]List1!$A:$E,4,FALSE)=0),AB497,DAY(AB497)&amp;"."&amp;MONTH(AB497)&amp;"."&amp;YEAR(AB497)&amp;" "&amp;$V$4&amp;VLOOKUP(C497,[1]List1!$A:$E,4,FALSE)&amp;" "&amp;$V$1),AB497))))</f>
        <v>OFFLINE!</v>
      </c>
      <c r="AD497" s="701" t="str">
        <f>_xlfn.IFNA(VLOOKUP(C497,'General price list'!C:AM,MATCH($AD$20,'General price list'!$C$20:$AM$20,0),FALSE),"")</f>
        <v/>
      </c>
      <c r="AE497" s="695" t="str">
        <f t="shared" si="92"/>
        <v/>
      </c>
      <c r="AF497" s="695" t="str">
        <f t="shared" si="93"/>
        <v/>
      </c>
      <c r="AG497" s="702" t="str">
        <f t="shared" si="94"/>
        <v/>
      </c>
      <c r="AH497" s="703" t="str">
        <f t="shared" si="95"/>
        <v/>
      </c>
      <c r="AI497" s="702" t="str">
        <f t="shared" si="96"/>
        <v/>
      </c>
      <c r="AJ497" s="704" t="str">
        <f t="shared" si="97"/>
        <v/>
      </c>
      <c r="AK497" s="704" t="str">
        <f t="shared" si="98"/>
        <v/>
      </c>
      <c r="AL497" s="704" t="str">
        <f t="shared" si="99"/>
        <v/>
      </c>
      <c r="AM497" s="705" t="str">
        <f t="shared" si="100"/>
        <v/>
      </c>
      <c r="AN497" s="313"/>
      <c r="AO497" s="314" t="str">
        <f>IF($R$3=1,IF(Y497=AA497,"","NE"),IF(#REF!=$V$10,"NE",""))</f>
        <v/>
      </c>
      <c r="AP497" s="315" t="str">
        <f>IF(AB497=$V$3,IF(VLOOKUP(C497,[1]List1!$A:$E,5,FALSE)=0,1,VLOOKUP(C497,[1]List1!$A:$E,5,FALSE)),"")</f>
        <v/>
      </c>
      <c r="AW497" s="291" t="e">
        <f>VLOOKUP(C497,'General price list'!C:AU,46,FALSE)</f>
        <v>#N/A</v>
      </c>
      <c r="AX497" s="291" t="e">
        <f>VLOOKUP(C497,'General price list'!C:AU,47,FALSE)</f>
        <v>#N/A</v>
      </c>
    </row>
    <row r="498" spans="1:50" ht="15" customHeight="1">
      <c r="A498" s="677" t="str">
        <f>Kat.!C498</f>
        <v xml:space="preserve">                                          </v>
      </c>
      <c r="B498" s="678">
        <v>477</v>
      </c>
      <c r="C498" s="679" t="s">
        <v>2131</v>
      </c>
      <c r="D498" s="679" t="s">
        <v>2132</v>
      </c>
      <c r="E498" s="680" t="s">
        <v>129</v>
      </c>
      <c r="F498" s="681">
        <f>VLOOKUP(C498,[2]List1!$A:$D,2,FALSE)</f>
        <v>435</v>
      </c>
      <c r="G498" s="682">
        <f t="shared" si="89"/>
        <v>435</v>
      </c>
      <c r="H498" s="683">
        <f t="shared" si="90"/>
        <v>17.7</v>
      </c>
      <c r="I498" s="836">
        <v>1</v>
      </c>
      <c r="J498" s="680"/>
      <c r="K498" s="854">
        <v>7</v>
      </c>
      <c r="L498" s="855"/>
      <c r="M498" s="680"/>
      <c r="N498" s="868">
        <f>IFERROR(VLOOKUP(C498,[3]List1!$A:$D,4,FALSE),"N/A!")</f>
        <v>8.372000000000001E-3</v>
      </c>
      <c r="O498" s="836">
        <f>IFERROR(VLOOKUP(C498,[3]List1!$A:$D,3,FALSE),"N/A!")</f>
        <v>0</v>
      </c>
      <c r="P498" s="836">
        <f>IFERROR(VLOOKUP(C498,[3]List1!$A:$D,2,FALSE),"N/A!")</f>
        <v>3497</v>
      </c>
      <c r="Q498" s="680"/>
      <c r="R498" s="680"/>
      <c r="S498" s="680"/>
      <c r="T498" s="681"/>
      <c r="U498" s="873"/>
      <c r="V498" s="684" t="str">
        <f>_xlfn.IFNA(HYPERLINK("https://www.klasekpyrotechnics.cz/c9020x"),"")</f>
        <v>https://www.klasekpyrotechnics.cz/c9020x</v>
      </c>
      <c r="W498" s="685" t="str">
        <f>IFERROR(VLOOKUP($C498,Popisy!A:P,MATCH($W$17,Popisy!$A$7:$P$7,0),FALSE),"---------------")</f>
        <v>Produktmodell - ohne Sprengstoff</v>
      </c>
      <c r="X498" s="889" t="str">
        <f t="shared" si="91"/>
        <v/>
      </c>
      <c r="Y498" s="890"/>
      <c r="Z498" s="685" t="str">
        <f>IFERROR(IF(VLOOKUP(C498,[4]List1!$A:$D,4,FALSE)=0,"",VLOOKUP(C498,[4]List1!$A:$D,4,FALSE)),"")</f>
        <v/>
      </c>
      <c r="AA498" s="707"/>
      <c r="AB498" s="911" t="str">
        <f>IFERROR(IF(VLOOKUP(C498,[1]List1!$A:$D,2,FALSE)="VYPRODÁNO",$V$9,IF(VLOOKUP(C498,[1]List1!$A:$D,2,FALSE)="DOCHÁZÍ",$V$3,VLOOKUP(C498,[1]List1!$A:$D,2,FALSE))),"OFFLINE!")</f>
        <v>SKLADEM</v>
      </c>
      <c r="AC498" s="911" t="str">
        <f ca="1">IF(AO498="NE",$V$10,IF(AB498=$V$3,IF(AP498&lt;1,$V$8,$V$2&amp;" "&amp;AP498&amp;" "&amp;$V$1),IF(AB498="SKLADEM",$V$6,IFERROR(IF(OR(AB498-TODAY()&gt;21,VLOOKUP(C498,[1]List1!$A:$E,4,FALSE)=0),AB498,DAY(AB498)&amp;"."&amp;MONTH(AB498)&amp;"."&amp;YEAR(AB498)&amp;" "&amp;$V$4&amp;VLOOKUP(C498,[1]List1!$A:$E,4,FALSE)&amp;" "&amp;$V$1),AB498))))</f>
        <v>AUF LAGER</v>
      </c>
      <c r="AD498" s="686" t="str">
        <f ca="1">_xlfn.IFNA(VLOOKUP(C498,'General price list'!C:AM,MATCH($AD$20,'General price list'!$C$20:$AM$20,0),FALSE),"")</f>
        <v>AUF LAGER</v>
      </c>
      <c r="AE498" s="681">
        <f t="shared" ca="1" si="92"/>
        <v>0</v>
      </c>
      <c r="AF498" s="681">
        <f t="shared" ca="1" si="93"/>
        <v>0</v>
      </c>
      <c r="AG498" s="687">
        <f t="shared" ca="1" si="94"/>
        <v>0</v>
      </c>
      <c r="AH498" s="688">
        <f t="shared" ca="1" si="95"/>
        <v>0</v>
      </c>
      <c r="AI498" s="687">
        <f t="shared" ca="1" si="96"/>
        <v>0</v>
      </c>
      <c r="AJ498" s="689" t="str">
        <f t="shared" ca="1" si="97"/>
        <v/>
      </c>
      <c r="AK498" s="689" t="str">
        <f t="shared" ca="1" si="98"/>
        <v/>
      </c>
      <c r="AL498" s="689" t="str">
        <f t="shared" ca="1" si="99"/>
        <v/>
      </c>
      <c r="AM498" s="690" t="str">
        <f t="shared" ca="1" si="100"/>
        <v/>
      </c>
      <c r="AN498" s="382"/>
      <c r="AO498" s="314" t="str">
        <f>IF($R$3=1,IF(Y498=AA498,"","NE"),IF(#REF!=$V$10,"NE",""))</f>
        <v/>
      </c>
      <c r="AP498" s="292" t="str">
        <f>IF(AB498=$V$3,IF(VLOOKUP(C498,[1]List1!$A:$E,5,FALSE)=0,1,VLOOKUP(C498,[1]List1!$A:$E,5,FALSE)),"")</f>
        <v/>
      </c>
      <c r="AW498" s="458">
        <f>IFERROR(FIND(VLOOKUP('General price list'!$AB$7,'General price list'!$AC$1:$AD$12,2,FALSE),Q498,1),0)</f>
        <v>0</v>
      </c>
      <c r="AX498" s="458">
        <f>IFERROR(FIND(VLOOKUP('General price list'!$AB$7,'General price list'!$AC$1:$AD$12,2,FALSE),R498,1),0)</f>
        <v>0</v>
      </c>
    </row>
    <row r="499" spans="1:50" ht="15" customHeight="1">
      <c r="A499" s="672" t="str">
        <f>Kat.!C499</f>
        <v xml:space="preserve">                                          Batterien 100 schuss, 20mm Mörser-1.4G</v>
      </c>
      <c r="B499" s="692">
        <v>478</v>
      </c>
      <c r="C499" s="693"/>
      <c r="D499" s="693"/>
      <c r="E499" s="694"/>
      <c r="F499" s="695" t="str">
        <f>IFERROR(ROUND(VLOOKUP(C499,'General price list'!$C:$AN,4,FALSE),0),"")</f>
        <v/>
      </c>
      <c r="G499" s="696" t="str">
        <f t="shared" si="89"/>
        <v/>
      </c>
      <c r="H499" s="697" t="str">
        <f t="shared" si="90"/>
        <v/>
      </c>
      <c r="I499" s="837"/>
      <c r="J499" s="698"/>
      <c r="K499" s="856"/>
      <c r="L499" s="857"/>
      <c r="M499" s="698"/>
      <c r="N499" s="869" t="str">
        <f>IFERROR(IF(VLOOKUP($C499,'General price list'!$C:$AN,MATCH(N$20,'General price list'!$C$20:$AM$20,0),FALSE)=0,"",VLOOKUP($C499,'General price list'!$C:$AN,MATCH(N$20,'General price list'!$C$20:$AM$20,0),FALSE)),"")</f>
        <v/>
      </c>
      <c r="O499" s="837" t="str">
        <f>IFERROR(IF(VLOOKUP($C499,'General price list'!$C:$AN,MATCH(O$20,'General price list'!$C$20:$AM$20,0),FALSE)=0,"",VLOOKUP($C499,'General price list'!$C:$AN,MATCH(O$20,'General price list'!$C$20:$AM$20,0),FALSE)),"")</f>
        <v/>
      </c>
      <c r="P499" s="837" t="str">
        <f>IFERROR(IF(VLOOKUP($C499,'General price list'!$C:$AN,MATCH(P$20,'General price list'!$C$20:$AM$20,0),FALSE)=0,"",VLOOKUP($C499,'General price list'!$C:$AN,MATCH(P$20,'General price list'!$C$20:$AM$20,0),FALSE)),"")</f>
        <v/>
      </c>
      <c r="Q499" s="698"/>
      <c r="R499" s="698"/>
      <c r="S499" s="698"/>
      <c r="T499" s="695"/>
      <c r="U499" s="874"/>
      <c r="V499" s="699"/>
      <c r="W499" s="700" t="str">
        <f>IFERROR(VLOOKUP($C499,'General price list'!$C:$AN,MATCH(W$20,'General price list'!$C$20:$AM$20,0),FALSE),"")</f>
        <v/>
      </c>
      <c r="X499" s="891" t="str">
        <f t="shared" si="91"/>
        <v/>
      </c>
      <c r="Y499" s="892"/>
      <c r="Z499" s="700" t="str">
        <f>IFERROR(VLOOKUP($C499,'General price list'!$C:$AN,MATCH(Z$20,'General price list'!$C$20:$AM$20,0),FALSE),"")</f>
        <v/>
      </c>
      <c r="AA499" s="707"/>
      <c r="AB499" s="912" t="str">
        <f>IFERROR(IF(VLOOKUP(C499,[1]List1!$A:$D,2,FALSE)="VYPRODÁNO",$V$9,IF(VLOOKUP(C499,[1]List1!$A:$D,2,FALSE)="DOCHÁZÍ",$V$3,VLOOKUP(C499,[1]List1!$A:$D,2,FALSE))),"OFFLINE!")</f>
        <v>OFFLINE!</v>
      </c>
      <c r="AC499" s="912" t="str">
        <f ca="1">IF(AO499="NE",$V$10,IF(AB499=$V$3,IF(AP499&lt;1,$V$8,$V$2&amp;" "&amp;AP499&amp;" "&amp;$V$1),IF(AB499="SKLADEM",$V$6,IFERROR(IF(OR(AB499-TODAY()&gt;21,VLOOKUP(C499,[1]List1!$A:$E,4,FALSE)=0),AB499,DAY(AB499)&amp;"."&amp;MONTH(AB499)&amp;"."&amp;YEAR(AB499)&amp;" "&amp;$V$4&amp;VLOOKUP(C499,[1]List1!$A:$E,4,FALSE)&amp;" "&amp;$V$1),AB499))))</f>
        <v>OFFLINE!</v>
      </c>
      <c r="AD499" s="701" t="str">
        <f>_xlfn.IFNA(VLOOKUP(C499,'General price list'!C:AM,MATCH($AD$20,'General price list'!$C$20:$AM$20,0),FALSE),"")</f>
        <v/>
      </c>
      <c r="AE499" s="695" t="str">
        <f t="shared" si="92"/>
        <v/>
      </c>
      <c r="AF499" s="695" t="str">
        <f t="shared" si="93"/>
        <v/>
      </c>
      <c r="AG499" s="702" t="str">
        <f t="shared" si="94"/>
        <v/>
      </c>
      <c r="AH499" s="703" t="str">
        <f t="shared" si="95"/>
        <v/>
      </c>
      <c r="AI499" s="702" t="str">
        <f t="shared" si="96"/>
        <v/>
      </c>
      <c r="AJ499" s="704" t="str">
        <f t="shared" si="97"/>
        <v/>
      </c>
      <c r="AK499" s="704" t="str">
        <f t="shared" si="98"/>
        <v/>
      </c>
      <c r="AL499" s="704" t="str">
        <f t="shared" si="99"/>
        <v/>
      </c>
      <c r="AM499" s="705" t="str">
        <f t="shared" si="100"/>
        <v/>
      </c>
      <c r="AN499" s="313"/>
      <c r="AO499" s="314" t="str">
        <f>IF($R$3=1,IF(Y499=AA499,"","NE"),IF(#REF!=$V$10,"NE",""))</f>
        <v/>
      </c>
      <c r="AP499" s="315" t="str">
        <f>IF(AB499=$V$3,IF(VLOOKUP(C499,[1]List1!$A:$E,5,FALSE)=0,1,VLOOKUP(C499,[1]List1!$A:$E,5,FALSE)),"")</f>
        <v/>
      </c>
      <c r="AW499" s="291" t="e">
        <f>VLOOKUP(C499,'General price list'!C:AU,46,FALSE)</f>
        <v>#N/A</v>
      </c>
      <c r="AX499" s="291" t="e">
        <f>VLOOKUP(C499,'General price list'!C:AU,47,FALSE)</f>
        <v>#N/A</v>
      </c>
    </row>
    <row r="500" spans="1:50" ht="15" customHeight="1">
      <c r="A500" s="677" t="str">
        <f>Kat.!C500</f>
        <v xml:space="preserve">                                          </v>
      </c>
      <c r="B500" s="678">
        <v>479</v>
      </c>
      <c r="C500" s="679" t="s">
        <v>13235</v>
      </c>
      <c r="D500" s="679" t="s">
        <v>13646</v>
      </c>
      <c r="E500" s="680" t="s">
        <v>129</v>
      </c>
      <c r="F500" s="681">
        <f>VLOOKUP(C500,[2]List1!$A:$D,2,FALSE)</f>
        <v>479</v>
      </c>
      <c r="G500" s="682">
        <f t="shared" si="89"/>
        <v>479</v>
      </c>
      <c r="H500" s="683">
        <f t="shared" si="90"/>
        <v>19.5</v>
      </c>
      <c r="I500" s="836">
        <v>1</v>
      </c>
      <c r="J500" s="680"/>
      <c r="K500" s="854"/>
      <c r="L500" s="855"/>
      <c r="M500" s="680"/>
      <c r="N500" s="868">
        <f>IFERROR(VLOOKUP(C500,[3]List1!$A:$D,4,FALSE),"N/A!")</f>
        <v>9.1035000000000005E-3</v>
      </c>
      <c r="O500" s="836">
        <f>IFERROR(VLOOKUP(C500,[3]List1!$A:$D,3,FALSE),"N/A!")</f>
        <v>0</v>
      </c>
      <c r="P500" s="836">
        <f>IFERROR(VLOOKUP(C500,[3]List1!$A:$D,2,FALSE),"N/A!")</f>
        <v>3700</v>
      </c>
      <c r="Q500" s="680"/>
      <c r="R500" s="680"/>
      <c r="S500" s="680"/>
      <c r="T500" s="681"/>
      <c r="U500" s="873"/>
      <c r="V500" s="684"/>
      <c r="W500" s="685" t="str">
        <f>IFERROR(VLOOKUP($C500,Popisy!A:P,MATCH($W$17,Popisy!$A$7:$P$7,0),FALSE),"---------------")</f>
        <v>Produktmodell - ohne Sprengstoff</v>
      </c>
      <c r="X500" s="889" t="str">
        <f t="shared" si="91"/>
        <v/>
      </c>
      <c r="Y500" s="890"/>
      <c r="Z500" s="685" t="str">
        <f>IFERROR(IF(VLOOKUP(C500,[4]List1!$A:$D,4,FALSE)=0,"",VLOOKUP(C500,[4]List1!$A:$D,4,FALSE)),"")</f>
        <v/>
      </c>
      <c r="AA500" s="707"/>
      <c r="AB500" s="911" t="str">
        <f>IFERROR(IF(VLOOKUP(C500,[1]List1!$A:$D,2,FALSE)="VYPRODÁNO",$V$9,IF(VLOOKUP(C500,[1]List1!$A:$D,2,FALSE)="DOCHÁZÍ",$V$3,VLOOKUP(C500,[1]List1!$A:$D,2,FALSE))),"OFFLINE!")</f>
        <v>SKLADEM</v>
      </c>
      <c r="AC500" s="911" t="str">
        <f ca="1">IF(AO500="NE",$V$10,IF(AB500=$V$3,IF(AP500&lt;1,$V$8,$V$2&amp;" "&amp;AP500&amp;" "&amp;$V$1),IF(AB500="SKLADEM",$V$6,IFERROR(IF(OR(AB500-TODAY()&gt;21,VLOOKUP(C500,[1]List1!$A:$E,4,FALSE)=0),AB500,DAY(AB500)&amp;"."&amp;MONTH(AB500)&amp;"."&amp;YEAR(AB500)&amp;" "&amp;$V$4&amp;VLOOKUP(C500,[1]List1!$A:$E,4,FALSE)&amp;" "&amp;$V$1),AB500))))</f>
        <v>AUF LAGER</v>
      </c>
      <c r="AD500" s="686" t="str">
        <f ca="1">_xlfn.IFNA(VLOOKUP(C500,'General price list'!C:AM,MATCH($AD$20,'General price list'!$C$20:$AM$20,0),FALSE),"")</f>
        <v>AUF LAGER</v>
      </c>
      <c r="AE500" s="681">
        <f t="shared" ca="1" si="92"/>
        <v>0</v>
      </c>
      <c r="AF500" s="681">
        <f t="shared" ca="1" si="93"/>
        <v>0</v>
      </c>
      <c r="AG500" s="687">
        <f t="shared" ca="1" si="94"/>
        <v>0</v>
      </c>
      <c r="AH500" s="688">
        <f t="shared" ca="1" si="95"/>
        <v>0</v>
      </c>
      <c r="AI500" s="687">
        <f t="shared" ca="1" si="96"/>
        <v>0</v>
      </c>
      <c r="AJ500" s="689" t="str">
        <f t="shared" ca="1" si="97"/>
        <v/>
      </c>
      <c r="AK500" s="689" t="str">
        <f t="shared" ca="1" si="98"/>
        <v/>
      </c>
      <c r="AL500" s="689" t="str">
        <f t="shared" ca="1" si="99"/>
        <v/>
      </c>
      <c r="AM500" s="690" t="str">
        <f t="shared" ca="1" si="100"/>
        <v/>
      </c>
      <c r="AN500" s="382"/>
      <c r="AO500" s="314" t="str">
        <f>IF($R$3=1,IF(Y500=AA500,"","NE"),IF(#REF!=$V$10,"NE",""))</f>
        <v/>
      </c>
      <c r="AP500" s="315" t="str">
        <f>IF(AB500=$V$3,IF(VLOOKUP(C500,[1]List1!$A:$E,5,FALSE)=0,1,VLOOKUP(C500,[1]List1!$A:$E,5,FALSE)),"")</f>
        <v/>
      </c>
      <c r="AW500" s="458">
        <f>IFERROR(FIND(VLOOKUP('General price list'!$AB$7,'General price list'!$AC$1:$AD$12,2,FALSE),Q500,1),0)</f>
        <v>0</v>
      </c>
      <c r="AX500" s="458">
        <f>IFERROR(FIND(VLOOKUP('General price list'!$AB$7,'General price list'!$AC$1:$AD$12,2,FALSE),R500,1),0)</f>
        <v>0</v>
      </c>
    </row>
    <row r="501" spans="1:50" ht="15" customHeight="1">
      <c r="A501" s="672" t="str">
        <f>Kat.!C501</f>
        <v xml:space="preserve">                                          Batterien 100 schuss, 20mm schräg Mörser-1.3G</v>
      </c>
      <c r="B501" s="692">
        <v>480</v>
      </c>
      <c r="C501" s="693"/>
      <c r="D501" s="693"/>
      <c r="E501" s="694"/>
      <c r="F501" s="695" t="str">
        <f>IFERROR(ROUND(VLOOKUP(C501,'General price list'!$C:$AN,4,FALSE),0),"")</f>
        <v/>
      </c>
      <c r="G501" s="696" t="str">
        <f t="shared" si="89"/>
        <v/>
      </c>
      <c r="H501" s="697" t="str">
        <f t="shared" si="90"/>
        <v/>
      </c>
      <c r="I501" s="837"/>
      <c r="J501" s="698"/>
      <c r="K501" s="856"/>
      <c r="L501" s="857"/>
      <c r="M501" s="698"/>
      <c r="N501" s="869" t="str">
        <f>IFERROR(IF(VLOOKUP($C501,'General price list'!$C:$AN,MATCH(N$20,'General price list'!$C$20:$AM$20,0),FALSE)=0,"",VLOOKUP($C501,'General price list'!$C:$AN,MATCH(N$20,'General price list'!$C$20:$AM$20,0),FALSE)),"")</f>
        <v/>
      </c>
      <c r="O501" s="837" t="str">
        <f>IFERROR(IF(VLOOKUP($C501,'General price list'!$C:$AN,MATCH(O$20,'General price list'!$C$20:$AM$20,0),FALSE)=0,"",VLOOKUP($C501,'General price list'!$C:$AN,MATCH(O$20,'General price list'!$C$20:$AM$20,0),FALSE)),"")</f>
        <v/>
      </c>
      <c r="P501" s="837" t="str">
        <f>IFERROR(IF(VLOOKUP($C501,'General price list'!$C:$AN,MATCH(P$20,'General price list'!$C$20:$AM$20,0),FALSE)=0,"",VLOOKUP($C501,'General price list'!$C:$AN,MATCH(P$20,'General price list'!$C$20:$AM$20,0),FALSE)),"")</f>
        <v/>
      </c>
      <c r="Q501" s="698"/>
      <c r="R501" s="698"/>
      <c r="S501" s="698"/>
      <c r="T501" s="695"/>
      <c r="U501" s="874"/>
      <c r="V501" s="699"/>
      <c r="W501" s="700" t="str">
        <f>IFERROR(VLOOKUP($C501,'General price list'!$C:$AN,MATCH(W$20,'General price list'!$C$20:$AM$20,0),FALSE),"")</f>
        <v/>
      </c>
      <c r="X501" s="891" t="str">
        <f t="shared" si="91"/>
        <v/>
      </c>
      <c r="Y501" s="892"/>
      <c r="Z501" s="700" t="str">
        <f>IFERROR(VLOOKUP($C501,'General price list'!$C:$AN,MATCH(Z$20,'General price list'!$C$20:$AM$20,0),FALSE),"")</f>
        <v/>
      </c>
      <c r="AA501" s="707"/>
      <c r="AB501" s="912" t="str">
        <f>IFERROR(IF(VLOOKUP(C501,[1]List1!$A:$D,2,FALSE)="VYPRODÁNO",$V$9,IF(VLOOKUP(C501,[1]List1!$A:$D,2,FALSE)="DOCHÁZÍ",$V$3,VLOOKUP(C501,[1]List1!$A:$D,2,FALSE))),"OFFLINE!")</f>
        <v>OFFLINE!</v>
      </c>
      <c r="AC501" s="912" t="str">
        <f ca="1">IF(AO501="NE",$V$10,IF(AB501=$V$3,IF(AP501&lt;1,$V$8,$V$2&amp;" "&amp;AP501&amp;" "&amp;$V$1),IF(AB501="SKLADEM",$V$6,IFERROR(IF(OR(AB501-TODAY()&gt;21,VLOOKUP(C501,[1]List1!$A:$E,4,FALSE)=0),AB501,DAY(AB501)&amp;"."&amp;MONTH(AB501)&amp;"."&amp;YEAR(AB501)&amp;" "&amp;$V$4&amp;VLOOKUP(C501,[1]List1!$A:$E,4,FALSE)&amp;" "&amp;$V$1),AB501))))</f>
        <v>OFFLINE!</v>
      </c>
      <c r="AD501" s="701" t="str">
        <f>_xlfn.IFNA(VLOOKUP(C501,'General price list'!C:AM,MATCH($AD$20,'General price list'!$C$20:$AM$20,0),FALSE),"")</f>
        <v/>
      </c>
      <c r="AE501" s="695" t="str">
        <f t="shared" si="92"/>
        <v/>
      </c>
      <c r="AF501" s="695" t="str">
        <f t="shared" si="93"/>
        <v/>
      </c>
      <c r="AG501" s="702" t="str">
        <f t="shared" si="94"/>
        <v/>
      </c>
      <c r="AH501" s="703" t="str">
        <f t="shared" si="95"/>
        <v/>
      </c>
      <c r="AI501" s="702" t="str">
        <f t="shared" si="96"/>
        <v/>
      </c>
      <c r="AJ501" s="704" t="str">
        <f t="shared" si="97"/>
        <v/>
      </c>
      <c r="AK501" s="704" t="str">
        <f t="shared" si="98"/>
        <v/>
      </c>
      <c r="AL501" s="704" t="str">
        <f t="shared" si="99"/>
        <v/>
      </c>
      <c r="AM501" s="705" t="str">
        <f t="shared" si="100"/>
        <v/>
      </c>
      <c r="AN501" s="381"/>
      <c r="AO501" s="314" t="str">
        <f>IF($R$3=1,IF(Y501=AA501,"","NE"),IF(#REF!=$V$10,"NE",""))</f>
        <v/>
      </c>
      <c r="AP501" s="315" t="str">
        <f>IF(AB501=$V$3,IF(VLOOKUP(C501,[1]List1!$A:$E,5,FALSE)=0,1,VLOOKUP(C501,[1]List1!$A:$E,5,FALSE)),"")</f>
        <v/>
      </c>
      <c r="AW501" s="291" t="e">
        <f>VLOOKUP(C501,'General price list'!C:AU,46,FALSE)</f>
        <v>#N/A</v>
      </c>
      <c r="AX501" s="291" t="e">
        <f>VLOOKUP(C501,'General price list'!C:AU,47,FALSE)</f>
        <v>#N/A</v>
      </c>
    </row>
    <row r="502" spans="1:50" ht="15" customHeight="1">
      <c r="A502" s="677" t="str">
        <f>Kat.!C502</f>
        <v xml:space="preserve">                                          </v>
      </c>
      <c r="B502" s="678">
        <v>481</v>
      </c>
      <c r="C502" s="679" t="s">
        <v>2133</v>
      </c>
      <c r="D502" s="679" t="s">
        <v>2134</v>
      </c>
      <c r="E502" s="680" t="s">
        <v>129</v>
      </c>
      <c r="F502" s="681">
        <f>VLOOKUP(C502,[2]List1!$A:$D,2,FALSE)</f>
        <v>636</v>
      </c>
      <c r="G502" s="682">
        <f t="shared" si="89"/>
        <v>636</v>
      </c>
      <c r="H502" s="683">
        <f t="shared" si="90"/>
        <v>25.9</v>
      </c>
      <c r="I502" s="836">
        <v>1</v>
      </c>
      <c r="J502" s="680"/>
      <c r="K502" s="854">
        <v>7</v>
      </c>
      <c r="L502" s="855"/>
      <c r="M502" s="680"/>
      <c r="N502" s="868">
        <f>IFERROR(VLOOKUP(C502,[3]List1!$A:$D,4,FALSE),"N/A!")</f>
        <v>1.4976000000000001E-2</v>
      </c>
      <c r="O502" s="836">
        <f>IFERROR(VLOOKUP(C502,[3]List1!$A:$D,3,FALSE),"N/A!")</f>
        <v>0</v>
      </c>
      <c r="P502" s="836">
        <f>IFERROR(VLOOKUP(C502,[3]List1!$A:$D,2,FALSE),"N/A!")</f>
        <v>4300</v>
      </c>
      <c r="Q502" s="680"/>
      <c r="R502" s="680"/>
      <c r="S502" s="680"/>
      <c r="T502" s="681"/>
      <c r="U502" s="873"/>
      <c r="V502" s="684" t="str">
        <f>_xlfn.IFNA(HYPERLINK("https://www.klasekpyrotechnics.cz/cf10020g"),"")</f>
        <v>https://www.klasekpyrotechnics.cz/cf10020g</v>
      </c>
      <c r="W502" s="685" t="str">
        <f>IFERROR(VLOOKUP($C502,Popisy!A:P,MATCH($W$17,Popisy!$A$7:$P$7,0),FALSE),"---------------")</f>
        <v>Produktmodell - ohne Sprengstoff</v>
      </c>
      <c r="X502" s="889" t="str">
        <f t="shared" si="91"/>
        <v/>
      </c>
      <c r="Y502" s="890"/>
      <c r="Z502" s="685" t="str">
        <f>IFERROR(IF(VLOOKUP(C502,[4]List1!$A:$D,4,FALSE)=0,"",VLOOKUP(C502,[4]List1!$A:$D,4,FALSE)),"")</f>
        <v/>
      </c>
      <c r="AA502" s="707"/>
      <c r="AB502" s="911" t="str">
        <f>IFERROR(IF(VLOOKUP(C502,[1]List1!$A:$D,2,FALSE)="VYPRODÁNO",$V$9,IF(VLOOKUP(C502,[1]List1!$A:$D,2,FALSE)="DOCHÁZÍ",$V$3,VLOOKUP(C502,[1]List1!$A:$D,2,FALSE))),"OFFLINE!")</f>
        <v>SKLADEM</v>
      </c>
      <c r="AC502" s="911" t="str">
        <f ca="1">IF(AO502="NE",$V$10,IF(AB502=$V$3,IF(AP502&lt;1,$V$8,$V$2&amp;" "&amp;AP502&amp;" "&amp;$V$1),IF(AB502="SKLADEM",$V$6,IFERROR(IF(OR(AB502-TODAY()&gt;21,VLOOKUP(C502,[1]List1!$A:$E,4,FALSE)=0),AB502,DAY(AB502)&amp;"."&amp;MONTH(AB502)&amp;"."&amp;YEAR(AB502)&amp;" "&amp;$V$4&amp;VLOOKUP(C502,[1]List1!$A:$E,4,FALSE)&amp;" "&amp;$V$1),AB502))))</f>
        <v>AUF LAGER</v>
      </c>
      <c r="AD502" s="686" t="str">
        <f ca="1">_xlfn.IFNA(VLOOKUP(C502,'General price list'!C:AM,MATCH($AD$20,'General price list'!$C$20:$AM$20,0),FALSE),"")</f>
        <v>AUF LAGER</v>
      </c>
      <c r="AE502" s="681">
        <f t="shared" ca="1" si="92"/>
        <v>0</v>
      </c>
      <c r="AF502" s="681">
        <f t="shared" ca="1" si="93"/>
        <v>0</v>
      </c>
      <c r="AG502" s="687">
        <f t="shared" ca="1" si="94"/>
        <v>0</v>
      </c>
      <c r="AH502" s="688">
        <f t="shared" ca="1" si="95"/>
        <v>0</v>
      </c>
      <c r="AI502" s="687">
        <f t="shared" ca="1" si="96"/>
        <v>0</v>
      </c>
      <c r="AJ502" s="689" t="str">
        <f t="shared" ca="1" si="97"/>
        <v/>
      </c>
      <c r="AK502" s="689" t="str">
        <f t="shared" ca="1" si="98"/>
        <v/>
      </c>
      <c r="AL502" s="689" t="str">
        <f t="shared" ca="1" si="99"/>
        <v/>
      </c>
      <c r="AM502" s="690" t="str">
        <f t="shared" ca="1" si="100"/>
        <v/>
      </c>
      <c r="AN502" s="382"/>
      <c r="AO502" s="314" t="str">
        <f>IF($R$3=1,IF(Y502=AA502,"","NE"),IF(#REF!=$V$10,"NE",""))</f>
        <v/>
      </c>
      <c r="AP502" s="315" t="str">
        <f>IF(AB502=$V$3,IF(VLOOKUP(C502,[1]List1!$A:$E,5,FALSE)=0,1,VLOOKUP(C502,[1]List1!$A:$E,5,FALSE)),"")</f>
        <v/>
      </c>
      <c r="AW502" s="458">
        <f>IFERROR(FIND(VLOOKUP('General price list'!$AB$7,'General price list'!$AC$1:$AD$12,2,FALSE),Q502,1),0)</f>
        <v>0</v>
      </c>
      <c r="AX502" s="458">
        <f>IFERROR(FIND(VLOOKUP('General price list'!$AB$7,'General price list'!$AC$1:$AD$12,2,FALSE),R502,1),0)</f>
        <v>0</v>
      </c>
    </row>
    <row r="503" spans="1:50" ht="15" customHeight="1">
      <c r="A503" s="672" t="str">
        <f>Kat.!C503</f>
        <v xml:space="preserve">                                          Batterien 130 schuss, 20mm Mörser-1.3G</v>
      </c>
      <c r="B503" s="692">
        <v>482</v>
      </c>
      <c r="C503" s="693"/>
      <c r="D503" s="693"/>
      <c r="E503" s="694"/>
      <c r="F503" s="695" t="str">
        <f>IFERROR(ROUND(VLOOKUP(C503,'General price list'!$C:$AN,4,FALSE),0),"")</f>
        <v/>
      </c>
      <c r="G503" s="696" t="str">
        <f t="shared" si="89"/>
        <v/>
      </c>
      <c r="H503" s="697" t="str">
        <f t="shared" si="90"/>
        <v/>
      </c>
      <c r="I503" s="837"/>
      <c r="J503" s="698"/>
      <c r="K503" s="856"/>
      <c r="L503" s="857"/>
      <c r="M503" s="698"/>
      <c r="N503" s="869" t="str">
        <f>IFERROR(IF(VLOOKUP($C503,'General price list'!$C:$AN,MATCH(N$20,'General price list'!$C$20:$AM$20,0),FALSE)=0,"",VLOOKUP($C503,'General price list'!$C:$AN,MATCH(N$20,'General price list'!$C$20:$AM$20,0),FALSE)),"")</f>
        <v/>
      </c>
      <c r="O503" s="837" t="str">
        <f>IFERROR(IF(VLOOKUP($C503,'General price list'!$C:$AN,MATCH(O$20,'General price list'!$C$20:$AM$20,0),FALSE)=0,"",VLOOKUP($C503,'General price list'!$C:$AN,MATCH(O$20,'General price list'!$C$20:$AM$20,0),FALSE)),"")</f>
        <v/>
      </c>
      <c r="P503" s="837" t="str">
        <f>IFERROR(IF(VLOOKUP($C503,'General price list'!$C:$AN,MATCH(P$20,'General price list'!$C$20:$AM$20,0),FALSE)=0,"",VLOOKUP($C503,'General price list'!$C:$AN,MATCH(P$20,'General price list'!$C$20:$AM$20,0),FALSE)),"")</f>
        <v/>
      </c>
      <c r="Q503" s="698"/>
      <c r="R503" s="698"/>
      <c r="S503" s="698"/>
      <c r="T503" s="695"/>
      <c r="U503" s="874"/>
      <c r="V503" s="699"/>
      <c r="W503" s="700" t="str">
        <f>IFERROR(VLOOKUP($C503,'General price list'!$C:$AN,MATCH(W$20,'General price list'!$C$20:$AM$20,0),FALSE),"")</f>
        <v/>
      </c>
      <c r="X503" s="891" t="str">
        <f t="shared" si="91"/>
        <v/>
      </c>
      <c r="Y503" s="892"/>
      <c r="Z503" s="700" t="str">
        <f>IFERROR(VLOOKUP($C503,'General price list'!$C:$AN,MATCH(Z$20,'General price list'!$C$20:$AM$20,0),FALSE),"")</f>
        <v/>
      </c>
      <c r="AA503" s="707"/>
      <c r="AB503" s="912" t="str">
        <f>IFERROR(IF(VLOOKUP(C503,[1]List1!$A:$D,2,FALSE)="VYPRODÁNO",$V$9,IF(VLOOKUP(C503,[1]List1!$A:$D,2,FALSE)="DOCHÁZÍ",$V$3,VLOOKUP(C503,[1]List1!$A:$D,2,FALSE))),"OFFLINE!")</f>
        <v>OFFLINE!</v>
      </c>
      <c r="AC503" s="912" t="str">
        <f ca="1">IF(AO503="NE",$V$10,IF(AB503=$V$3,IF(AP503&lt;1,$V$8,$V$2&amp;" "&amp;AP503&amp;" "&amp;$V$1),IF(AB503="SKLADEM",$V$6,IFERROR(IF(OR(AB503-TODAY()&gt;21,VLOOKUP(C503,[1]List1!$A:$E,4,FALSE)=0),AB503,DAY(AB503)&amp;"."&amp;MONTH(AB503)&amp;"."&amp;YEAR(AB503)&amp;" "&amp;$V$4&amp;VLOOKUP(C503,[1]List1!$A:$E,4,FALSE)&amp;" "&amp;$V$1),AB503))))</f>
        <v>OFFLINE!</v>
      </c>
      <c r="AD503" s="701" t="str">
        <f>_xlfn.IFNA(VLOOKUP(C503,'General price list'!C:AM,MATCH($AD$20,'General price list'!$C$20:$AM$20,0),FALSE),"")</f>
        <v/>
      </c>
      <c r="AE503" s="695" t="str">
        <f t="shared" si="92"/>
        <v/>
      </c>
      <c r="AF503" s="695" t="str">
        <f t="shared" si="93"/>
        <v/>
      </c>
      <c r="AG503" s="702" t="str">
        <f t="shared" si="94"/>
        <v/>
      </c>
      <c r="AH503" s="703" t="str">
        <f t="shared" si="95"/>
        <v/>
      </c>
      <c r="AI503" s="702" t="str">
        <f t="shared" si="96"/>
        <v/>
      </c>
      <c r="AJ503" s="704" t="str">
        <f t="shared" si="97"/>
        <v/>
      </c>
      <c r="AK503" s="704" t="str">
        <f t="shared" si="98"/>
        <v/>
      </c>
      <c r="AL503" s="704" t="str">
        <f t="shared" si="99"/>
        <v/>
      </c>
      <c r="AM503" s="705" t="str">
        <f t="shared" si="100"/>
        <v/>
      </c>
      <c r="AN503" s="382"/>
      <c r="AO503" s="314" t="str">
        <f>IF($R$3=1,IF(Y503=AA503,"","NE"),IF(#REF!=$V$10,"NE",""))</f>
        <v/>
      </c>
      <c r="AP503" s="315" t="str">
        <f>IF(AB503=$V$3,IF(VLOOKUP(C503,[1]List1!$A:$E,5,FALSE)=0,1,VLOOKUP(C503,[1]List1!$A:$E,5,FALSE)),"")</f>
        <v/>
      </c>
      <c r="AW503" s="291" t="e">
        <f>VLOOKUP(C503,'General price list'!C:AU,46,FALSE)</f>
        <v>#N/A</v>
      </c>
      <c r="AX503" s="291" t="e">
        <f>VLOOKUP(C503,'General price list'!C:AU,47,FALSE)</f>
        <v>#N/A</v>
      </c>
    </row>
    <row r="504" spans="1:50" ht="15" customHeight="1">
      <c r="A504" s="677" t="str">
        <f>Kat.!C504</f>
        <v xml:space="preserve">                                          </v>
      </c>
      <c r="B504" s="678">
        <v>483</v>
      </c>
      <c r="C504" s="679" t="s">
        <v>2135</v>
      </c>
      <c r="D504" s="679" t="s">
        <v>2136</v>
      </c>
      <c r="E504" s="680" t="s">
        <v>129</v>
      </c>
      <c r="F504" s="681">
        <f>VLOOKUP(C504,[2]List1!$A:$D,2,FALSE)</f>
        <v>648</v>
      </c>
      <c r="G504" s="682">
        <f t="shared" si="89"/>
        <v>648</v>
      </c>
      <c r="H504" s="683">
        <f t="shared" si="90"/>
        <v>26.4</v>
      </c>
      <c r="I504" s="836">
        <v>1</v>
      </c>
      <c r="J504" s="680"/>
      <c r="K504" s="854">
        <v>7</v>
      </c>
      <c r="L504" s="855"/>
      <c r="M504" s="680"/>
      <c r="N504" s="868">
        <f>IFERROR(VLOOKUP(C504,[3]List1!$A:$D,4,FALSE),"N/A!")</f>
        <v>1.2936000000000001E-2</v>
      </c>
      <c r="O504" s="836">
        <f>IFERROR(VLOOKUP(C504,[3]List1!$A:$D,3,FALSE),"N/A!")</f>
        <v>0</v>
      </c>
      <c r="P504" s="836">
        <f>IFERROR(VLOOKUP(C504,[3]List1!$A:$D,2,FALSE),"N/A!")</f>
        <v>4737</v>
      </c>
      <c r="Q504" s="680"/>
      <c r="R504" s="680"/>
      <c r="S504" s="680"/>
      <c r="T504" s="681"/>
      <c r="U504" s="873"/>
      <c r="V504" s="684" t="str">
        <f>_xlfn.IFNA(HYPERLINK("https://www.klasekpyrotechnics.cz/c13020b"),"")</f>
        <v>https://www.klasekpyrotechnics.cz/c13020b</v>
      </c>
      <c r="W504" s="685" t="str">
        <f>IFERROR(VLOOKUP($C504,Popisy!A:P,MATCH($W$17,Popisy!$A$7:$P$7,0),FALSE),"---------------")</f>
        <v>Produktmodell - ohne Sprengstoff</v>
      </c>
      <c r="X504" s="889" t="str">
        <f t="shared" si="91"/>
        <v/>
      </c>
      <c r="Y504" s="890"/>
      <c r="Z504" s="685" t="str">
        <f>IFERROR(IF(VLOOKUP(C504,[4]List1!$A:$D,4,FALSE)=0,"",VLOOKUP(C504,[4]List1!$A:$D,4,FALSE)),"")</f>
        <v/>
      </c>
      <c r="AA504" s="707"/>
      <c r="AB504" s="911" t="str">
        <f>IFERROR(IF(VLOOKUP(C504,[1]List1!$A:$D,2,FALSE)="VYPRODÁNO",$V$9,IF(VLOOKUP(C504,[1]List1!$A:$D,2,FALSE)="DOCHÁZÍ",$V$3,VLOOKUP(C504,[1]List1!$A:$D,2,FALSE))),"OFFLINE!")</f>
        <v>SKLADEM</v>
      </c>
      <c r="AC504" s="911" t="str">
        <f ca="1">IF(AO504="NE",$V$10,IF(AB504=$V$3,IF(AP504&lt;1,$V$8,$V$2&amp;" "&amp;AP504&amp;" "&amp;$V$1),IF(AB504="SKLADEM",$V$6,IFERROR(IF(OR(AB504-TODAY()&gt;21,VLOOKUP(C504,[1]List1!$A:$E,4,FALSE)=0),AB504,DAY(AB504)&amp;"."&amp;MONTH(AB504)&amp;"."&amp;YEAR(AB504)&amp;" "&amp;$V$4&amp;VLOOKUP(C504,[1]List1!$A:$E,4,FALSE)&amp;" "&amp;$V$1),AB504))))</f>
        <v>AUF LAGER</v>
      </c>
      <c r="AD504" s="686">
        <f>_xlfn.IFNA(VLOOKUP(C504,'General price list'!C:AM,MATCH($AD$20,'General price list'!$C$20:$AM$20,0),FALSE),"")</f>
        <v>0</v>
      </c>
      <c r="AE504" s="681">
        <f t="shared" si="92"/>
        <v>0</v>
      </c>
      <c r="AF504" s="681">
        <f t="shared" si="93"/>
        <v>0</v>
      </c>
      <c r="AG504" s="687">
        <f t="shared" si="94"/>
        <v>0</v>
      </c>
      <c r="AH504" s="688">
        <f t="shared" si="95"/>
        <v>0</v>
      </c>
      <c r="AI504" s="687">
        <f t="shared" si="96"/>
        <v>0</v>
      </c>
      <c r="AJ504" s="689" t="str">
        <f t="shared" si="97"/>
        <v/>
      </c>
      <c r="AK504" s="689" t="str">
        <f t="shared" si="98"/>
        <v/>
      </c>
      <c r="AL504" s="689" t="str">
        <f t="shared" si="99"/>
        <v/>
      </c>
      <c r="AM504" s="690" t="str">
        <f t="shared" si="100"/>
        <v/>
      </c>
      <c r="AN504" s="382"/>
      <c r="AO504" s="314" t="str">
        <f>IF($R$3=1,IF(Y504=AA504,"","NE"),IF(#REF!=$V$10,"NE",""))</f>
        <v/>
      </c>
      <c r="AP504" s="315" t="str">
        <f>IF(AB504=$V$3,IF(VLOOKUP(C504,[1]List1!$A:$E,5,FALSE)=0,1,VLOOKUP(C504,[1]List1!$A:$E,5,FALSE)),"")</f>
        <v/>
      </c>
      <c r="AW504" s="458">
        <f>IFERROR(FIND(VLOOKUP('General price list'!$AB$7,'General price list'!$AC$1:$AD$12,2,FALSE),Q504,1),0)</f>
        <v>0</v>
      </c>
      <c r="AX504" s="458">
        <f>IFERROR(FIND(VLOOKUP('General price list'!$AB$7,'General price list'!$AC$1:$AD$12,2,FALSE),R504,1),0)</f>
        <v>0</v>
      </c>
    </row>
    <row r="505" spans="1:50" ht="15" customHeight="1">
      <c r="A505" s="672" t="str">
        <f>Kat.!C505</f>
        <v xml:space="preserve">                                          Batterien 134 schuss, 20mm I+V+W+schräg Mörser-1.3G</v>
      </c>
      <c r="B505" s="692">
        <v>484</v>
      </c>
      <c r="C505" s="693"/>
      <c r="D505" s="693"/>
      <c r="E505" s="694"/>
      <c r="F505" s="695" t="str">
        <f>IFERROR(ROUND(VLOOKUP(C505,'General price list'!$C:$AN,4,FALSE),0),"")</f>
        <v/>
      </c>
      <c r="G505" s="696" t="str">
        <f t="shared" si="89"/>
        <v/>
      </c>
      <c r="H505" s="697" t="str">
        <f t="shared" si="90"/>
        <v/>
      </c>
      <c r="I505" s="837"/>
      <c r="J505" s="698"/>
      <c r="K505" s="856"/>
      <c r="L505" s="857"/>
      <c r="M505" s="698"/>
      <c r="N505" s="869" t="str">
        <f>IFERROR(IF(VLOOKUP($C505,'General price list'!$C:$AN,MATCH(N$20,'General price list'!$C$20:$AM$20,0),FALSE)=0,"",VLOOKUP($C505,'General price list'!$C:$AN,MATCH(N$20,'General price list'!$C$20:$AM$20,0),FALSE)),"")</f>
        <v/>
      </c>
      <c r="O505" s="837" t="str">
        <f>IFERROR(IF(VLOOKUP($C505,'General price list'!$C:$AN,MATCH(O$20,'General price list'!$C$20:$AM$20,0),FALSE)=0,"",VLOOKUP($C505,'General price list'!$C:$AN,MATCH(O$20,'General price list'!$C$20:$AM$20,0),FALSE)),"")</f>
        <v/>
      </c>
      <c r="P505" s="837" t="str">
        <f>IFERROR(IF(VLOOKUP($C505,'General price list'!$C:$AN,MATCH(P$20,'General price list'!$C$20:$AM$20,0),FALSE)=0,"",VLOOKUP($C505,'General price list'!$C:$AN,MATCH(P$20,'General price list'!$C$20:$AM$20,0),FALSE)),"")</f>
        <v/>
      </c>
      <c r="Q505" s="698"/>
      <c r="R505" s="698"/>
      <c r="S505" s="698"/>
      <c r="T505" s="695"/>
      <c r="U505" s="874"/>
      <c r="V505" s="699"/>
      <c r="W505" s="700" t="str">
        <f>IFERROR(VLOOKUP($C505,'General price list'!$C:$AN,MATCH(W$20,'General price list'!$C$20:$AM$20,0),FALSE),"")</f>
        <v/>
      </c>
      <c r="X505" s="891" t="str">
        <f t="shared" si="91"/>
        <v/>
      </c>
      <c r="Y505" s="892"/>
      <c r="Z505" s="700" t="str">
        <f>IFERROR(VLOOKUP($C505,'General price list'!$C:$AN,MATCH(Z$20,'General price list'!$C$20:$AM$20,0),FALSE),"")</f>
        <v/>
      </c>
      <c r="AA505" s="707"/>
      <c r="AB505" s="912" t="str">
        <f>IFERROR(IF(VLOOKUP(C505,[1]List1!$A:$D,2,FALSE)="VYPRODÁNO",$V$9,IF(VLOOKUP(C505,[1]List1!$A:$D,2,FALSE)="DOCHÁZÍ",$V$3,VLOOKUP(C505,[1]List1!$A:$D,2,FALSE))),"OFFLINE!")</f>
        <v>OFFLINE!</v>
      </c>
      <c r="AC505" s="912" t="str">
        <f ca="1">IF(AO505="NE",$V$10,IF(AB505=$V$3,IF(AP505&lt;1,$V$8,$V$2&amp;" "&amp;AP505&amp;" "&amp;$V$1),IF(AB505="SKLADEM",$V$6,IFERROR(IF(OR(AB505-TODAY()&gt;21,VLOOKUP(C505,[1]List1!$A:$E,4,FALSE)=0),AB505,DAY(AB505)&amp;"."&amp;MONTH(AB505)&amp;"."&amp;YEAR(AB505)&amp;" "&amp;$V$4&amp;VLOOKUP(C505,[1]List1!$A:$E,4,FALSE)&amp;" "&amp;$V$1),AB505))))</f>
        <v>OFFLINE!</v>
      </c>
      <c r="AD505" s="701" t="str">
        <f>_xlfn.IFNA(VLOOKUP(C505,'General price list'!C:AM,MATCH($AD$20,'General price list'!$C$20:$AM$20,0),FALSE),"")</f>
        <v/>
      </c>
      <c r="AE505" s="695" t="str">
        <f t="shared" si="92"/>
        <v/>
      </c>
      <c r="AF505" s="695" t="str">
        <f t="shared" si="93"/>
        <v/>
      </c>
      <c r="AG505" s="702" t="str">
        <f t="shared" si="94"/>
        <v/>
      </c>
      <c r="AH505" s="703" t="str">
        <f t="shared" si="95"/>
        <v/>
      </c>
      <c r="AI505" s="702" t="str">
        <f t="shared" si="96"/>
        <v/>
      </c>
      <c r="AJ505" s="704" t="str">
        <f t="shared" si="97"/>
        <v/>
      </c>
      <c r="AK505" s="704" t="str">
        <f t="shared" si="98"/>
        <v/>
      </c>
      <c r="AL505" s="704" t="str">
        <f t="shared" si="99"/>
        <v/>
      </c>
      <c r="AM505" s="705" t="str">
        <f t="shared" si="100"/>
        <v/>
      </c>
      <c r="AN505" s="381"/>
      <c r="AO505" s="314" t="str">
        <f>IF($R$3=1,IF(Y505=AA505,"","NE"),IF(#REF!=$V$10,"NE",""))</f>
        <v/>
      </c>
      <c r="AP505" s="315" t="str">
        <f>IF(AB505=$V$3,IF(VLOOKUP(C505,[1]List1!$A:$E,5,FALSE)=0,1,VLOOKUP(C505,[1]List1!$A:$E,5,FALSE)),"")</f>
        <v/>
      </c>
      <c r="AW505" s="291" t="e">
        <f>VLOOKUP(C505,'General price list'!C:AU,46,FALSE)</f>
        <v>#N/A</v>
      </c>
      <c r="AX505" s="291" t="e">
        <f>VLOOKUP(C505,'General price list'!C:AU,47,FALSE)</f>
        <v>#N/A</v>
      </c>
    </row>
    <row r="506" spans="1:50" ht="15" customHeight="1">
      <c r="A506" s="677" t="str">
        <f>Kat.!C506</f>
        <v xml:space="preserve">                                          </v>
      </c>
      <c r="B506" s="678">
        <v>485</v>
      </c>
      <c r="C506" s="679" t="s">
        <v>2137</v>
      </c>
      <c r="D506" s="679" t="s">
        <v>2138</v>
      </c>
      <c r="E506" s="680" t="s">
        <v>129</v>
      </c>
      <c r="F506" s="681">
        <f>VLOOKUP(C506,[2]List1!$A:$D,2,FALSE)</f>
        <v>903</v>
      </c>
      <c r="G506" s="682">
        <f t="shared" si="89"/>
        <v>903</v>
      </c>
      <c r="H506" s="683">
        <f t="shared" si="90"/>
        <v>36.700000000000003</v>
      </c>
      <c r="I506" s="836">
        <v>1</v>
      </c>
      <c r="J506" s="680"/>
      <c r="K506" s="854">
        <v>7</v>
      </c>
      <c r="L506" s="855"/>
      <c r="M506" s="680"/>
      <c r="N506" s="868">
        <f>IFERROR(VLOOKUP(C506,[3]List1!$A:$D,4,FALSE),"N/A!")</f>
        <v>2.3239999999999997E-2</v>
      </c>
      <c r="O506" s="836">
        <f>IFERROR(VLOOKUP(C506,[3]List1!$A:$D,3,FALSE),"N/A!")</f>
        <v>0</v>
      </c>
      <c r="P506" s="836">
        <f>IFERROR(VLOOKUP(C506,[3]List1!$A:$D,2,FALSE),"N/A!")</f>
        <v>5751</v>
      </c>
      <c r="Q506" s="680"/>
      <c r="R506" s="680"/>
      <c r="S506" s="680"/>
      <c r="T506" s="681"/>
      <c r="U506" s="873"/>
      <c r="V506" s="684" t="str">
        <f>_xlfn.IFNA(HYPERLINK("https://www.klasekpyrotechnics.cz/c13420b"),"")</f>
        <v>https://www.klasekpyrotechnics.cz/c13420b</v>
      </c>
      <c r="W506" s="685" t="str">
        <f>IFERROR(VLOOKUP($C506,Popisy!A:P,MATCH($W$17,Popisy!$A$7:$P$7,0),FALSE),"---------------")</f>
        <v>Produktmodell - ohne Sprengstoff</v>
      </c>
      <c r="X506" s="889" t="str">
        <f t="shared" si="91"/>
        <v/>
      </c>
      <c r="Y506" s="890"/>
      <c r="Z506" s="685" t="str">
        <f>IFERROR(IF(VLOOKUP(C506,[4]List1!$A:$D,4,FALSE)=0,"",VLOOKUP(C506,[4]List1!$A:$D,4,FALSE)),"")</f>
        <v/>
      </c>
      <c r="AA506" s="707"/>
      <c r="AB506" s="911" t="str">
        <f>IFERROR(IF(VLOOKUP(C506,[1]List1!$A:$D,2,FALSE)="VYPRODÁNO",$V$9,IF(VLOOKUP(C506,[1]List1!$A:$D,2,FALSE)="DOCHÁZÍ",$V$3,VLOOKUP(C506,[1]List1!$A:$D,2,FALSE))),"OFFLINE!")</f>
        <v>SKLADEM</v>
      </c>
      <c r="AC506" s="911" t="str">
        <f ca="1">IF(AO506="NE",$V$10,IF(AB506=$V$3,IF(AP506&lt;1,$V$8,$V$2&amp;" "&amp;AP506&amp;" "&amp;$V$1),IF(AB506="SKLADEM",$V$6,IFERROR(IF(OR(AB506-TODAY()&gt;21,VLOOKUP(C506,[1]List1!$A:$E,4,FALSE)=0),AB506,DAY(AB506)&amp;"."&amp;MONTH(AB506)&amp;"."&amp;YEAR(AB506)&amp;" "&amp;$V$4&amp;VLOOKUP(C506,[1]List1!$A:$E,4,FALSE)&amp;" "&amp;$V$1),AB506))))</f>
        <v>AUF LAGER</v>
      </c>
      <c r="AD506" s="686" t="str">
        <f ca="1">_xlfn.IFNA(VLOOKUP(C506,'General price list'!C:AM,MATCH($AD$20,'General price list'!$C$20:$AM$20,0),FALSE),"")</f>
        <v>AUF LAGER</v>
      </c>
      <c r="AE506" s="681">
        <f t="shared" ca="1" si="92"/>
        <v>0</v>
      </c>
      <c r="AF506" s="681">
        <f t="shared" ca="1" si="93"/>
        <v>0</v>
      </c>
      <c r="AG506" s="687">
        <f t="shared" ca="1" si="94"/>
        <v>0</v>
      </c>
      <c r="AH506" s="688">
        <f t="shared" ca="1" si="95"/>
        <v>0</v>
      </c>
      <c r="AI506" s="687">
        <f t="shared" ca="1" si="96"/>
        <v>0</v>
      </c>
      <c r="AJ506" s="689" t="str">
        <f t="shared" ca="1" si="97"/>
        <v/>
      </c>
      <c r="AK506" s="689" t="str">
        <f t="shared" ca="1" si="98"/>
        <v/>
      </c>
      <c r="AL506" s="689" t="str">
        <f t="shared" ca="1" si="99"/>
        <v/>
      </c>
      <c r="AM506" s="690" t="str">
        <f t="shared" ca="1" si="100"/>
        <v/>
      </c>
      <c r="AN506" s="382"/>
      <c r="AO506" s="314" t="str">
        <f>IF($R$3=1,IF(Y506=AA506,"","NE"),IF(#REF!=$V$10,"NE",""))</f>
        <v/>
      </c>
      <c r="AP506" s="292" t="str">
        <f>IF(AB506=$V$3,IF(VLOOKUP(C506,[1]List1!$A:$E,5,FALSE)=0,1,VLOOKUP(C506,[1]List1!$A:$E,5,FALSE)),"")</f>
        <v/>
      </c>
      <c r="AW506" s="458">
        <f>IFERROR(FIND(VLOOKUP('General price list'!$AB$7,'General price list'!$AC$1:$AD$12,2,FALSE),Q506,1),0)</f>
        <v>0</v>
      </c>
      <c r="AX506" s="458">
        <f>IFERROR(FIND(VLOOKUP('General price list'!$AB$7,'General price list'!$AC$1:$AD$12,2,FALSE),R506,1),0)</f>
        <v>0</v>
      </c>
    </row>
    <row r="507" spans="1:50" ht="15" customHeight="1">
      <c r="A507" s="691" t="str">
        <f>Kat.!C507</f>
        <v xml:space="preserve">                                          </v>
      </c>
      <c r="B507" s="692">
        <v>486</v>
      </c>
      <c r="C507" s="693" t="s">
        <v>2139</v>
      </c>
      <c r="D507" s="693" t="s">
        <v>2140</v>
      </c>
      <c r="E507" s="694" t="s">
        <v>129</v>
      </c>
      <c r="F507" s="695">
        <f>VLOOKUP(C507,[2]List1!$A:$D,2,FALSE)</f>
        <v>903</v>
      </c>
      <c r="G507" s="696">
        <f t="shared" si="89"/>
        <v>903</v>
      </c>
      <c r="H507" s="697">
        <f t="shared" si="90"/>
        <v>36.700000000000003</v>
      </c>
      <c r="I507" s="837">
        <v>1</v>
      </c>
      <c r="J507" s="698"/>
      <c r="K507" s="856">
        <v>7</v>
      </c>
      <c r="L507" s="857"/>
      <c r="M507" s="698"/>
      <c r="N507" s="869">
        <f>IFERROR(VLOOKUP(C507,[3]List1!$A:$D,4,FALSE),"N/A!")</f>
        <v>2.3239999999999997E-2</v>
      </c>
      <c r="O507" s="837">
        <f>IFERROR(VLOOKUP(C507,[3]List1!$A:$D,3,FALSE),"N/A!")</f>
        <v>0</v>
      </c>
      <c r="P507" s="837">
        <f>IFERROR(VLOOKUP(C507,[3]List1!$A:$D,2,FALSE),"N/A!")</f>
        <v>5751</v>
      </c>
      <c r="Q507" s="698"/>
      <c r="R507" s="698"/>
      <c r="S507" s="698"/>
      <c r="T507" s="695"/>
      <c r="U507" s="874"/>
      <c r="V507" s="699" t="str">
        <f>_xlfn.IFNA(HYPERLINK("https://www.klasekpyrotechnics.cz/c13420h"),"")</f>
        <v>https://www.klasekpyrotechnics.cz/c13420h</v>
      </c>
      <c r="W507" s="700" t="str">
        <f>IFERROR(VLOOKUP($C507,Popisy!A:P,MATCH($W$17,Popisy!$A$7:$P$7,0),FALSE),"---------------")</f>
        <v>Produktmodell - ohne Sprengstoff</v>
      </c>
      <c r="X507" s="891" t="str">
        <f t="shared" si="91"/>
        <v/>
      </c>
      <c r="Y507" s="892"/>
      <c r="Z507" s="700" t="str">
        <f>IFERROR(IF(VLOOKUP(C507,[4]List1!$A:$D,4,FALSE)=0,"",VLOOKUP(C507,[4]List1!$A:$D,4,FALSE)),"")</f>
        <v/>
      </c>
      <c r="AA507" s="707"/>
      <c r="AB507" s="912" t="str">
        <f>IFERROR(IF(VLOOKUP(C507,[1]List1!$A:$D,2,FALSE)="VYPRODÁNO",$V$9,IF(VLOOKUP(C507,[1]List1!$A:$D,2,FALSE)="DOCHÁZÍ",$V$3,VLOOKUP(C507,[1]List1!$A:$D,2,FALSE))),"OFFLINE!")</f>
        <v>SKLADEM</v>
      </c>
      <c r="AC507" s="912" t="str">
        <f ca="1">IF(AO507="NE",$V$10,IF(AB507=$V$3,IF(AP507&lt;1,$V$8,$V$2&amp;" "&amp;AP507&amp;" "&amp;$V$1),IF(AB507="SKLADEM",$V$6,IFERROR(IF(OR(AB507-TODAY()&gt;21,VLOOKUP(C507,[1]List1!$A:$E,4,FALSE)=0),AB507,DAY(AB507)&amp;"."&amp;MONTH(AB507)&amp;"."&amp;YEAR(AB507)&amp;" "&amp;$V$4&amp;VLOOKUP(C507,[1]List1!$A:$E,4,FALSE)&amp;" "&amp;$V$1),AB507))))</f>
        <v>AUF LAGER</v>
      </c>
      <c r="AD507" s="701" t="str">
        <f ca="1">_xlfn.IFNA(VLOOKUP(C507,'General price list'!C:AM,MATCH($AD$20,'General price list'!$C$20:$AM$20,0),FALSE),"")</f>
        <v>AUF LAGER</v>
      </c>
      <c r="AE507" s="695">
        <f t="shared" ca="1" si="92"/>
        <v>0</v>
      </c>
      <c r="AF507" s="695">
        <f t="shared" ca="1" si="93"/>
        <v>0</v>
      </c>
      <c r="AG507" s="702">
        <f t="shared" ca="1" si="94"/>
        <v>0</v>
      </c>
      <c r="AH507" s="703">
        <f t="shared" ca="1" si="95"/>
        <v>0</v>
      </c>
      <c r="AI507" s="702">
        <f t="shared" ca="1" si="96"/>
        <v>0</v>
      </c>
      <c r="AJ507" s="704" t="str">
        <f t="shared" ca="1" si="97"/>
        <v/>
      </c>
      <c r="AK507" s="704" t="str">
        <f t="shared" ca="1" si="98"/>
        <v/>
      </c>
      <c r="AL507" s="704" t="str">
        <f t="shared" ca="1" si="99"/>
        <v/>
      </c>
      <c r="AM507" s="705" t="str">
        <f t="shared" ca="1" si="100"/>
        <v/>
      </c>
      <c r="AN507" s="313"/>
      <c r="AO507" s="314" t="str">
        <f>IF($R$3=1,IF(Y507=AA507,"","NE"),IF(#REF!=$V$10,"NE",""))</f>
        <v/>
      </c>
      <c r="AP507" s="315" t="str">
        <f>IF(AB507=$V$3,IF(VLOOKUP(C507,[1]List1!$A:$E,5,FALSE)=0,1,VLOOKUP(C507,[1]List1!$A:$E,5,FALSE)),"")</f>
        <v/>
      </c>
      <c r="AW507" s="458">
        <f>IFERROR(FIND(VLOOKUP('General price list'!$AB$7,'General price list'!$AC$1:$AD$12,2,FALSE),Q507,1),0)</f>
        <v>0</v>
      </c>
      <c r="AX507" s="458">
        <f>IFERROR(FIND(VLOOKUP('General price list'!$AB$7,'General price list'!$AC$1:$AD$12,2,FALSE),R507,1),0)</f>
        <v>0</v>
      </c>
    </row>
    <row r="508" spans="1:50" ht="15" customHeight="1">
      <c r="A508" s="672" t="str">
        <f>Kat.!C508</f>
        <v xml:space="preserve">                                          Verbundfeurwerk F3 - 1.3G</v>
      </c>
      <c r="B508" s="678">
        <v>487</v>
      </c>
      <c r="C508" s="679"/>
      <c r="D508" s="679"/>
      <c r="E508" s="680"/>
      <c r="F508" s="681" t="str">
        <f>IFERROR(ROUND(VLOOKUP(C508,'General price list'!$C:$AN,4,FALSE),0),"")</f>
        <v/>
      </c>
      <c r="G508" s="682" t="str">
        <f t="shared" si="89"/>
        <v/>
      </c>
      <c r="H508" s="683" t="str">
        <f t="shared" si="90"/>
        <v/>
      </c>
      <c r="I508" s="836"/>
      <c r="J508" s="680"/>
      <c r="K508" s="854"/>
      <c r="L508" s="855"/>
      <c r="M508" s="680"/>
      <c r="N508" s="868" t="str">
        <f>IFERROR(IF(VLOOKUP($C508,'General price list'!$C:$AN,MATCH(N$20,'General price list'!$C$20:$AM$20,0),FALSE)=0,"",VLOOKUP($C508,'General price list'!$C:$AN,MATCH(N$20,'General price list'!$C$20:$AM$20,0),FALSE)),"")</f>
        <v/>
      </c>
      <c r="O508" s="836" t="str">
        <f>IFERROR(IF(VLOOKUP($C508,'General price list'!$C:$AN,MATCH(O$20,'General price list'!$C$20:$AM$20,0),FALSE)=0,"",VLOOKUP($C508,'General price list'!$C:$AN,MATCH(O$20,'General price list'!$C$20:$AM$20,0),FALSE)),"")</f>
        <v/>
      </c>
      <c r="P508" s="836" t="str">
        <f>IFERROR(IF(VLOOKUP($C508,'General price list'!$C:$AN,MATCH(P$20,'General price list'!$C$20:$AM$20,0),FALSE)=0,"",VLOOKUP($C508,'General price list'!$C:$AN,MATCH(P$20,'General price list'!$C$20:$AM$20,0),FALSE)),"")</f>
        <v/>
      </c>
      <c r="Q508" s="680"/>
      <c r="R508" s="680"/>
      <c r="S508" s="680"/>
      <c r="T508" s="681"/>
      <c r="U508" s="873"/>
      <c r="V508" s="684"/>
      <c r="W508" s="685" t="str">
        <f>IFERROR(VLOOKUP($C508,'General price list'!$C:$AN,MATCH(W$20,'General price list'!$C$20:$AM$20,0),FALSE),"")</f>
        <v/>
      </c>
      <c r="X508" s="889" t="str">
        <f t="shared" si="91"/>
        <v/>
      </c>
      <c r="Y508" s="890"/>
      <c r="Z508" s="685" t="str">
        <f>IFERROR(VLOOKUP($C508,'General price list'!$C:$AN,MATCH(Z$20,'General price list'!$C$20:$AM$20,0),FALSE),"")</f>
        <v/>
      </c>
      <c r="AA508" s="707"/>
      <c r="AB508" s="911" t="str">
        <f>IFERROR(IF(VLOOKUP(C508,[1]List1!$A:$D,2,FALSE)="VYPRODÁNO",$V$9,IF(VLOOKUP(C508,[1]List1!$A:$D,2,FALSE)="DOCHÁZÍ",$V$3,VLOOKUP(C508,[1]List1!$A:$D,2,FALSE))),"OFFLINE!")</f>
        <v>OFFLINE!</v>
      </c>
      <c r="AC508" s="911" t="str">
        <f ca="1">IF(AO508="NE",$V$10,IF(AB508=$V$3,IF(AP508&lt;1,$V$8,$V$2&amp;" "&amp;AP508&amp;" "&amp;$V$1),IF(AB508="SKLADEM",$V$6,IFERROR(IF(OR(AB508-TODAY()&gt;21,VLOOKUP(C508,[1]List1!$A:$E,4,FALSE)=0),AB508,DAY(AB508)&amp;"."&amp;MONTH(AB508)&amp;"."&amp;YEAR(AB508)&amp;" "&amp;$V$4&amp;VLOOKUP(C508,[1]List1!$A:$E,4,FALSE)&amp;" "&amp;$V$1),AB508))))</f>
        <v>OFFLINE!</v>
      </c>
      <c r="AD508" s="686" t="str">
        <f>_xlfn.IFNA(VLOOKUP(C508,'General price list'!C:AM,MATCH($AD$20,'General price list'!$C$20:$AM$20,0),FALSE),"")</f>
        <v/>
      </c>
      <c r="AE508" s="681" t="str">
        <f t="shared" si="92"/>
        <v/>
      </c>
      <c r="AF508" s="681" t="str">
        <f t="shared" si="93"/>
        <v/>
      </c>
      <c r="AG508" s="687" t="str">
        <f t="shared" si="94"/>
        <v/>
      </c>
      <c r="AH508" s="688" t="str">
        <f t="shared" si="95"/>
        <v/>
      </c>
      <c r="AI508" s="687" t="str">
        <f t="shared" si="96"/>
        <v/>
      </c>
      <c r="AJ508" s="689" t="str">
        <f t="shared" si="97"/>
        <v/>
      </c>
      <c r="AK508" s="689" t="str">
        <f t="shared" si="98"/>
        <v/>
      </c>
      <c r="AL508" s="689" t="str">
        <f t="shared" si="99"/>
        <v/>
      </c>
      <c r="AM508" s="690" t="str">
        <f t="shared" si="100"/>
        <v/>
      </c>
      <c r="AN508" s="382"/>
      <c r="AO508" s="314" t="str">
        <f>IF($R$3=1,IF(Y508=AA508,"","NE"),IF(#REF!=$V$10,"NE",""))</f>
        <v/>
      </c>
      <c r="AP508" s="315" t="str">
        <f>IF(AB508=$V$3,IF(VLOOKUP(C508,[1]List1!$A:$E,5,FALSE)=0,1,VLOOKUP(C508,[1]List1!$A:$E,5,FALSE)),"")</f>
        <v/>
      </c>
      <c r="AW508" s="291" t="e">
        <f>VLOOKUP(C508,'General price list'!C:AU,46,FALSE)</f>
        <v>#N/A</v>
      </c>
      <c r="AX508" s="291" t="e">
        <f>VLOOKUP(C508,'General price list'!C:AU,47,FALSE)</f>
        <v>#N/A</v>
      </c>
    </row>
    <row r="509" spans="1:50" ht="15" customHeight="1">
      <c r="A509" s="691" t="str">
        <f>Kat.!C509</f>
        <v xml:space="preserve">                                          </v>
      </c>
      <c r="B509" s="692">
        <v>488</v>
      </c>
      <c r="C509" s="693" t="s">
        <v>2141</v>
      </c>
      <c r="D509" s="693" t="s">
        <v>2142</v>
      </c>
      <c r="E509" s="694" t="s">
        <v>129</v>
      </c>
      <c r="F509" s="695">
        <f>VLOOKUP(C509,[2]List1!$A:$D,2,FALSE)</f>
        <v>1949</v>
      </c>
      <c r="G509" s="696">
        <f t="shared" si="89"/>
        <v>1949</v>
      </c>
      <c r="H509" s="697">
        <f t="shared" si="90"/>
        <v>79.3</v>
      </c>
      <c r="I509" s="837">
        <v>1</v>
      </c>
      <c r="J509" s="698"/>
      <c r="K509" s="856">
        <v>7</v>
      </c>
      <c r="L509" s="857"/>
      <c r="M509" s="698"/>
      <c r="N509" s="869">
        <f>IFERROR(VLOOKUP(C509,[3]List1!$A:$D,4,FALSE),"N/A!")</f>
        <v>4.6304999999999992E-2</v>
      </c>
      <c r="O509" s="837">
        <f>IFERROR(VLOOKUP(C509,[3]List1!$A:$D,3,FALSE),"N/A!")</f>
        <v>0</v>
      </c>
      <c r="P509" s="837">
        <f>IFERROR(VLOOKUP(C509,[3]List1!$A:$D,2,FALSE),"N/A!")</f>
        <v>12502</v>
      </c>
      <c r="Q509" s="698"/>
      <c r="R509" s="698"/>
      <c r="S509" s="698"/>
      <c r="T509" s="695"/>
      <c r="U509" s="874"/>
      <c r="V509" s="699" t="str">
        <f>_xlfn.IFNA(HYPERLINK("https://www.klasekpyrotechnics.cz/c26820f-c"),"")</f>
        <v>https://www.klasekpyrotechnics.cz/c26820f-c</v>
      </c>
      <c r="W509" s="700" t="str">
        <f>IFERROR(VLOOKUP($C509,Popisy!A:P,MATCH($W$17,Popisy!$A$7:$P$7,0),FALSE),"---------------")</f>
        <v>Produktmodell - ohne Sprengstoff</v>
      </c>
      <c r="X509" s="891" t="str">
        <f t="shared" si="91"/>
        <v/>
      </c>
      <c r="Y509" s="892"/>
      <c r="Z509" s="700" t="str">
        <f>IFERROR(IF(VLOOKUP(C509,[4]List1!$A:$D,4,FALSE)=0,"",VLOOKUP(C509,[4]List1!$A:$D,4,FALSE)),"")</f>
        <v/>
      </c>
      <c r="AA509" s="707"/>
      <c r="AB509" s="912" t="str">
        <f>IFERROR(IF(VLOOKUP(C509,[1]List1!$A:$D,2,FALSE)="VYPRODÁNO",$V$9,IF(VLOOKUP(C509,[1]List1!$A:$D,2,FALSE)="DOCHÁZÍ",$V$3,VLOOKUP(C509,[1]List1!$A:$D,2,FALSE))),"OFFLINE!")</f>
        <v>SKLADEM</v>
      </c>
      <c r="AC509" s="912" t="str">
        <f ca="1">IF(AO509="NE",$V$10,IF(AB509=$V$3,IF(AP509&lt;1,$V$8,$V$2&amp;" "&amp;AP509&amp;" "&amp;$V$1),IF(AB509="SKLADEM",$V$6,IFERROR(IF(OR(AB509-TODAY()&gt;21,VLOOKUP(C509,[1]List1!$A:$E,4,FALSE)=0),AB509,DAY(AB509)&amp;"."&amp;MONTH(AB509)&amp;"."&amp;YEAR(AB509)&amp;" "&amp;$V$4&amp;VLOOKUP(C509,[1]List1!$A:$E,4,FALSE)&amp;" "&amp;$V$1),AB509))))</f>
        <v>AUF LAGER</v>
      </c>
      <c r="AD509" s="701" t="str">
        <f ca="1">_xlfn.IFNA(VLOOKUP(C509,'General price list'!C:AM,MATCH($AD$20,'General price list'!$C$20:$AM$20,0),FALSE),"")</f>
        <v>AUF LAGER</v>
      </c>
      <c r="AE509" s="695">
        <f t="shared" ca="1" si="92"/>
        <v>0</v>
      </c>
      <c r="AF509" s="695">
        <f t="shared" ca="1" si="93"/>
        <v>0</v>
      </c>
      <c r="AG509" s="702">
        <f t="shared" ca="1" si="94"/>
        <v>0</v>
      </c>
      <c r="AH509" s="703">
        <f t="shared" ca="1" si="95"/>
        <v>0</v>
      </c>
      <c r="AI509" s="702">
        <f t="shared" ca="1" si="96"/>
        <v>0</v>
      </c>
      <c r="AJ509" s="704" t="str">
        <f t="shared" ca="1" si="97"/>
        <v/>
      </c>
      <c r="AK509" s="704" t="str">
        <f t="shared" ca="1" si="98"/>
        <v/>
      </c>
      <c r="AL509" s="704" t="str">
        <f t="shared" ca="1" si="99"/>
        <v/>
      </c>
      <c r="AM509" s="705" t="str">
        <f t="shared" ca="1" si="100"/>
        <v/>
      </c>
      <c r="AN509" s="382"/>
      <c r="AO509" s="314" t="str">
        <f>IF($R$3=1,IF(Y509=AA509,"","NE"),IF(#REF!=$V$10,"NE",""))</f>
        <v/>
      </c>
      <c r="AP509" s="315" t="str">
        <f>IF(AB509=$V$3,IF(VLOOKUP(C509,[1]List1!$A:$E,5,FALSE)=0,1,VLOOKUP(C509,[1]List1!$A:$E,5,FALSE)),"")</f>
        <v/>
      </c>
      <c r="AW509" s="458">
        <f>IFERROR(FIND(VLOOKUP('General price list'!$AB$7,'General price list'!$AC$1:$AD$12,2,FALSE),Q509,1),0)</f>
        <v>0</v>
      </c>
      <c r="AX509" s="458">
        <f>IFERROR(FIND(VLOOKUP('General price list'!$AB$7,'General price list'!$AC$1:$AD$12,2,FALSE),R509,1),0)</f>
        <v>0</v>
      </c>
    </row>
    <row r="510" spans="1:50" ht="15" customHeight="1">
      <c r="A510" s="672" t="str">
        <f>Kat.!C510</f>
        <v xml:space="preserve">                                          Batterien 88 schuss, 25mm Mörser-1.3G</v>
      </c>
      <c r="B510" s="678">
        <v>489</v>
      </c>
      <c r="C510" s="679"/>
      <c r="D510" s="679"/>
      <c r="E510" s="680"/>
      <c r="F510" s="681" t="str">
        <f>IFERROR(ROUND(VLOOKUP(C510,'General price list'!$C:$AN,4,FALSE),0),"")</f>
        <v/>
      </c>
      <c r="G510" s="682" t="str">
        <f t="shared" si="89"/>
        <v/>
      </c>
      <c r="H510" s="683" t="str">
        <f t="shared" si="90"/>
        <v/>
      </c>
      <c r="I510" s="836"/>
      <c r="J510" s="680"/>
      <c r="K510" s="854"/>
      <c r="L510" s="855"/>
      <c r="M510" s="680"/>
      <c r="N510" s="868" t="str">
        <f>IFERROR(IF(VLOOKUP($C510,'General price list'!$C:$AN,MATCH(N$20,'General price list'!$C$20:$AM$20,0),FALSE)=0,"",VLOOKUP($C510,'General price list'!$C:$AN,MATCH(N$20,'General price list'!$C$20:$AM$20,0),FALSE)),"")</f>
        <v/>
      </c>
      <c r="O510" s="836" t="str">
        <f>IFERROR(IF(VLOOKUP($C510,'General price list'!$C:$AN,MATCH(O$20,'General price list'!$C$20:$AM$20,0),FALSE)=0,"",VLOOKUP($C510,'General price list'!$C:$AN,MATCH(O$20,'General price list'!$C$20:$AM$20,0),FALSE)),"")</f>
        <v/>
      </c>
      <c r="P510" s="836" t="str">
        <f>IFERROR(IF(VLOOKUP($C510,'General price list'!$C:$AN,MATCH(P$20,'General price list'!$C$20:$AM$20,0),FALSE)=0,"",VLOOKUP($C510,'General price list'!$C:$AN,MATCH(P$20,'General price list'!$C$20:$AM$20,0),FALSE)),"")</f>
        <v/>
      </c>
      <c r="Q510" s="680"/>
      <c r="R510" s="680"/>
      <c r="S510" s="680"/>
      <c r="T510" s="681"/>
      <c r="U510" s="873"/>
      <c r="V510" s="684"/>
      <c r="W510" s="685" t="str">
        <f>IFERROR(VLOOKUP($C510,'General price list'!$C:$AN,MATCH(W$20,'General price list'!$C$20:$AM$20,0),FALSE),"")</f>
        <v/>
      </c>
      <c r="X510" s="889" t="str">
        <f t="shared" si="91"/>
        <v/>
      </c>
      <c r="Y510" s="890"/>
      <c r="Z510" s="685" t="str">
        <f>IFERROR(VLOOKUP($C510,'General price list'!$C:$AN,MATCH(Z$20,'General price list'!$C$20:$AM$20,0),FALSE),"")</f>
        <v/>
      </c>
      <c r="AA510" s="707"/>
      <c r="AB510" s="911" t="str">
        <f>IFERROR(IF(VLOOKUP(C510,[1]List1!$A:$D,2,FALSE)="VYPRODÁNO",$V$9,IF(VLOOKUP(C510,[1]List1!$A:$D,2,FALSE)="DOCHÁZÍ",$V$3,VLOOKUP(C510,[1]List1!$A:$D,2,FALSE))),"OFFLINE!")</f>
        <v>OFFLINE!</v>
      </c>
      <c r="AC510" s="911" t="str">
        <f ca="1">IF(AO510="NE",$V$10,IF(AB510=$V$3,IF(AP510&lt;1,$V$8,$V$2&amp;" "&amp;AP510&amp;" "&amp;$V$1),IF(AB510="SKLADEM",$V$6,IFERROR(IF(OR(AB510-TODAY()&gt;21,VLOOKUP(C510,[1]List1!$A:$E,4,FALSE)=0),AB510,DAY(AB510)&amp;"."&amp;MONTH(AB510)&amp;"."&amp;YEAR(AB510)&amp;" "&amp;$V$4&amp;VLOOKUP(C510,[1]List1!$A:$E,4,FALSE)&amp;" "&amp;$V$1),AB510))))</f>
        <v>OFFLINE!</v>
      </c>
      <c r="AD510" s="686" t="str">
        <f>_xlfn.IFNA(VLOOKUP(C510,'General price list'!C:AM,MATCH($AD$20,'General price list'!$C$20:$AM$20,0),FALSE),"")</f>
        <v/>
      </c>
      <c r="AE510" s="681" t="str">
        <f t="shared" si="92"/>
        <v/>
      </c>
      <c r="AF510" s="681" t="str">
        <f t="shared" si="93"/>
        <v/>
      </c>
      <c r="AG510" s="687" t="str">
        <f t="shared" si="94"/>
        <v/>
      </c>
      <c r="AH510" s="688" t="str">
        <f t="shared" si="95"/>
        <v/>
      </c>
      <c r="AI510" s="687" t="str">
        <f t="shared" si="96"/>
        <v/>
      </c>
      <c r="AJ510" s="689" t="str">
        <f t="shared" si="97"/>
        <v/>
      </c>
      <c r="AK510" s="689" t="str">
        <f t="shared" si="98"/>
        <v/>
      </c>
      <c r="AL510" s="689" t="str">
        <f t="shared" si="99"/>
        <v/>
      </c>
      <c r="AM510" s="690" t="str">
        <f t="shared" si="100"/>
        <v/>
      </c>
      <c r="AN510" s="381"/>
      <c r="AO510" s="314" t="str">
        <f>IF($R$3=1,IF(Y510=AA510,"","NE"),IF(#REF!=$V$10,"NE",""))</f>
        <v/>
      </c>
      <c r="AP510" s="315" t="str">
        <f>IF(AB510=$V$3,IF(VLOOKUP(C510,[1]List1!$A:$E,5,FALSE)=0,1,VLOOKUP(C510,[1]List1!$A:$E,5,FALSE)),"")</f>
        <v/>
      </c>
      <c r="AW510" s="291" t="e">
        <f>VLOOKUP(C510,'General price list'!C:AU,46,FALSE)</f>
        <v>#N/A</v>
      </c>
      <c r="AX510" s="291" t="e">
        <f>VLOOKUP(C510,'General price list'!C:AU,47,FALSE)</f>
        <v>#N/A</v>
      </c>
    </row>
    <row r="511" spans="1:50" ht="15" customHeight="1">
      <c r="A511" s="691" t="str">
        <f>Kat.!C511</f>
        <v xml:space="preserve">                                          </v>
      </c>
      <c r="B511" s="692">
        <v>490</v>
      </c>
      <c r="C511" s="693" t="s">
        <v>2143</v>
      </c>
      <c r="D511" s="693" t="s">
        <v>2144</v>
      </c>
      <c r="E511" s="694" t="s">
        <v>129</v>
      </c>
      <c r="F511" s="695">
        <f>VLOOKUP(C511,[2]List1!$A:$D,2,FALSE)</f>
        <v>774</v>
      </c>
      <c r="G511" s="696">
        <f t="shared" si="89"/>
        <v>774</v>
      </c>
      <c r="H511" s="697">
        <f t="shared" si="90"/>
        <v>31.5</v>
      </c>
      <c r="I511" s="837">
        <v>1</v>
      </c>
      <c r="J511" s="698"/>
      <c r="K511" s="856">
        <v>7</v>
      </c>
      <c r="L511" s="857"/>
      <c r="M511" s="698"/>
      <c r="N511" s="869">
        <f>IFERROR(VLOOKUP(C511,[3]List1!$A:$D,4,FALSE),"N/A!")</f>
        <v>1.5389250000000002E-2</v>
      </c>
      <c r="O511" s="837">
        <f>IFERROR(VLOOKUP(C511,[3]List1!$A:$D,3,FALSE),"N/A!")</f>
        <v>0</v>
      </c>
      <c r="P511" s="837">
        <f>IFERROR(VLOOKUP(C511,[3]List1!$A:$D,2,FALSE),"N/A!")</f>
        <v>5252</v>
      </c>
      <c r="Q511" s="698"/>
      <c r="R511" s="698"/>
      <c r="S511" s="698"/>
      <c r="T511" s="695"/>
      <c r="U511" s="874"/>
      <c r="V511" s="699" t="str">
        <f>_xlfn.IFNA(HYPERLINK("https://www.klasekpyrotechnics.cz/c8825m"),"")</f>
        <v>https://www.klasekpyrotechnics.cz/c8825m</v>
      </c>
      <c r="W511" s="700" t="str">
        <f>IFERROR(VLOOKUP($C511,Popisy!A:P,MATCH($W$17,Popisy!$A$7:$P$7,0),FALSE),"---------------")</f>
        <v>Produktmodell - ohne Sprengstoff</v>
      </c>
      <c r="X511" s="891" t="str">
        <f t="shared" si="91"/>
        <v/>
      </c>
      <c r="Y511" s="892"/>
      <c r="Z511" s="700" t="str">
        <f>IFERROR(IF(VLOOKUP(C511,[4]List1!$A:$D,4,FALSE)=0,"",VLOOKUP(C511,[4]List1!$A:$D,4,FALSE)),"")</f>
        <v/>
      </c>
      <c r="AA511" s="707"/>
      <c r="AB511" s="912" t="str">
        <f>IFERROR(IF(VLOOKUP(C511,[1]List1!$A:$D,2,FALSE)="VYPRODÁNO",$V$9,IF(VLOOKUP(C511,[1]List1!$A:$D,2,FALSE)="DOCHÁZÍ",$V$3,VLOOKUP(C511,[1]List1!$A:$D,2,FALSE))),"OFFLINE!")</f>
        <v>SKLADEM</v>
      </c>
      <c r="AC511" s="912" t="str">
        <f ca="1">IF(AO511="NE",$V$10,IF(AB511=$V$3,IF(AP511&lt;1,$V$8,$V$2&amp;" "&amp;AP511&amp;" "&amp;$V$1),IF(AB511="SKLADEM",$V$6,IFERROR(IF(OR(AB511-TODAY()&gt;21,VLOOKUP(C511,[1]List1!$A:$E,4,FALSE)=0),AB511,DAY(AB511)&amp;"."&amp;MONTH(AB511)&amp;"."&amp;YEAR(AB511)&amp;" "&amp;$V$4&amp;VLOOKUP(C511,[1]List1!$A:$E,4,FALSE)&amp;" "&amp;$V$1),AB511))))</f>
        <v>AUF LAGER</v>
      </c>
      <c r="AD511" s="701" t="str">
        <f ca="1">_xlfn.IFNA(VLOOKUP(C511,'General price list'!C:AM,MATCH($AD$20,'General price list'!$C$20:$AM$20,0),FALSE),"")</f>
        <v>AUF LAGER</v>
      </c>
      <c r="AE511" s="695">
        <f t="shared" ca="1" si="92"/>
        <v>0</v>
      </c>
      <c r="AF511" s="695">
        <f t="shared" ca="1" si="93"/>
        <v>0</v>
      </c>
      <c r="AG511" s="702">
        <f t="shared" ca="1" si="94"/>
        <v>0</v>
      </c>
      <c r="AH511" s="703">
        <f t="shared" ca="1" si="95"/>
        <v>0</v>
      </c>
      <c r="AI511" s="702">
        <f t="shared" ca="1" si="96"/>
        <v>0</v>
      </c>
      <c r="AJ511" s="704" t="str">
        <f t="shared" ca="1" si="97"/>
        <v/>
      </c>
      <c r="AK511" s="704" t="str">
        <f t="shared" ca="1" si="98"/>
        <v/>
      </c>
      <c r="AL511" s="704" t="str">
        <f t="shared" ca="1" si="99"/>
        <v/>
      </c>
      <c r="AM511" s="705" t="str">
        <f t="shared" ca="1" si="100"/>
        <v/>
      </c>
      <c r="AN511" s="382"/>
      <c r="AO511" s="314" t="str">
        <f>IF($R$3=1,IF(Y511=AA511,"","NE"),IF(#REF!=$V$10,"NE",""))</f>
        <v/>
      </c>
      <c r="AP511" s="315" t="str">
        <f>IF(AB511=$V$3,IF(VLOOKUP(C511,[1]List1!$A:$E,5,FALSE)=0,1,VLOOKUP(C511,[1]List1!$A:$E,5,FALSE)),"")</f>
        <v/>
      </c>
      <c r="AW511" s="458">
        <f>IFERROR(FIND(VLOOKUP('General price list'!$AB$7,'General price list'!$AC$1:$AD$12,2,FALSE),Q511,1),0)</f>
        <v>0</v>
      </c>
      <c r="AX511" s="458">
        <f>IFERROR(FIND(VLOOKUP('General price list'!$AB$7,'General price list'!$AC$1:$AD$12,2,FALSE),R511,1),0)</f>
        <v>0</v>
      </c>
    </row>
    <row r="512" spans="1:50" ht="15" customHeight="1">
      <c r="A512" s="677" t="str">
        <f>Kat.!C512</f>
        <v xml:space="preserve">                                          </v>
      </c>
      <c r="B512" s="678">
        <v>491</v>
      </c>
      <c r="C512" s="679" t="s">
        <v>2145</v>
      </c>
      <c r="D512" s="679" t="s">
        <v>2146</v>
      </c>
      <c r="E512" s="680" t="s">
        <v>129</v>
      </c>
      <c r="F512" s="681">
        <f>VLOOKUP(C512,[2]List1!$A:$D,2,FALSE)</f>
        <v>774</v>
      </c>
      <c r="G512" s="682">
        <f t="shared" si="89"/>
        <v>774</v>
      </c>
      <c r="H512" s="683">
        <f t="shared" si="90"/>
        <v>31.5</v>
      </c>
      <c r="I512" s="836">
        <v>1</v>
      </c>
      <c r="J512" s="680"/>
      <c r="K512" s="854">
        <v>7</v>
      </c>
      <c r="L512" s="855"/>
      <c r="M512" s="680"/>
      <c r="N512" s="868">
        <f>IFERROR(VLOOKUP(C512,[3]List1!$A:$D,4,FALSE),"N/A!")</f>
        <v>1.5389250000000002E-2</v>
      </c>
      <c r="O512" s="836">
        <f>IFERROR(VLOOKUP(C512,[3]List1!$A:$D,3,FALSE),"N/A!")</f>
        <v>0</v>
      </c>
      <c r="P512" s="836">
        <f>IFERROR(VLOOKUP(C512,[3]List1!$A:$D,2,FALSE),"N/A!")</f>
        <v>5252</v>
      </c>
      <c r="Q512" s="680"/>
      <c r="R512" s="680"/>
      <c r="S512" s="680"/>
      <c r="T512" s="681"/>
      <c r="U512" s="873"/>
      <c r="V512" s="684" t="str">
        <f>_xlfn.IFNA(HYPERLINK("https://www.klasekpyrotechnics.cz/c8825pa"),"")</f>
        <v>https://www.klasekpyrotechnics.cz/c8825pa</v>
      </c>
      <c r="W512" s="685" t="str">
        <f>IFERROR(VLOOKUP($C512,Popisy!A:P,MATCH($W$17,Popisy!$A$7:$P$7,0),FALSE),"---------------")</f>
        <v>Produktmodell - ohne Sprengstoff</v>
      </c>
      <c r="X512" s="889" t="str">
        <f t="shared" si="91"/>
        <v/>
      </c>
      <c r="Y512" s="890"/>
      <c r="Z512" s="685" t="str">
        <f>IFERROR(IF(VLOOKUP(C512,[4]List1!$A:$D,4,FALSE)=0,"",VLOOKUP(C512,[4]List1!$A:$D,4,FALSE)),"")</f>
        <v/>
      </c>
      <c r="AA512" s="707"/>
      <c r="AB512" s="911" t="str">
        <f>IFERROR(IF(VLOOKUP(C512,[1]List1!$A:$D,2,FALSE)="VYPRODÁNO",$V$9,IF(VLOOKUP(C512,[1]List1!$A:$D,2,FALSE)="DOCHÁZÍ",$V$3,VLOOKUP(C512,[1]List1!$A:$D,2,FALSE))),"OFFLINE!")</f>
        <v>SKLADEM</v>
      </c>
      <c r="AC512" s="911" t="str">
        <f ca="1">IF(AO512="NE",$V$10,IF(AB512=$V$3,IF(AP512&lt;1,$V$8,$V$2&amp;" "&amp;AP512&amp;" "&amp;$V$1),IF(AB512="SKLADEM",$V$6,IFERROR(IF(OR(AB512-TODAY()&gt;21,VLOOKUP(C512,[1]List1!$A:$E,4,FALSE)=0),AB512,DAY(AB512)&amp;"."&amp;MONTH(AB512)&amp;"."&amp;YEAR(AB512)&amp;" "&amp;$V$4&amp;VLOOKUP(C512,[1]List1!$A:$E,4,FALSE)&amp;" "&amp;$V$1),AB512))))</f>
        <v>AUF LAGER</v>
      </c>
      <c r="AD512" s="686" t="str">
        <f ca="1">_xlfn.IFNA(VLOOKUP(C512,'General price list'!C:AM,MATCH($AD$20,'General price list'!$C$20:$AM$20,0),FALSE),"")</f>
        <v>AUF LAGER</v>
      </c>
      <c r="AE512" s="681">
        <f t="shared" ca="1" si="92"/>
        <v>0</v>
      </c>
      <c r="AF512" s="681">
        <f t="shared" ca="1" si="93"/>
        <v>0</v>
      </c>
      <c r="AG512" s="687">
        <f t="shared" ca="1" si="94"/>
        <v>0</v>
      </c>
      <c r="AH512" s="688">
        <f t="shared" ca="1" si="95"/>
        <v>0</v>
      </c>
      <c r="AI512" s="687">
        <f t="shared" ca="1" si="96"/>
        <v>0</v>
      </c>
      <c r="AJ512" s="689" t="str">
        <f t="shared" ca="1" si="97"/>
        <v/>
      </c>
      <c r="AK512" s="689" t="str">
        <f t="shared" ca="1" si="98"/>
        <v/>
      </c>
      <c r="AL512" s="689" t="str">
        <f t="shared" ca="1" si="99"/>
        <v/>
      </c>
      <c r="AM512" s="690" t="str">
        <f t="shared" ca="1" si="100"/>
        <v/>
      </c>
      <c r="AN512" s="382"/>
      <c r="AO512" s="314" t="str">
        <f>IF($R$3=1,IF(Y512=AA512,"","NE"),IF(#REF!=$V$10,"NE",""))</f>
        <v/>
      </c>
      <c r="AP512" s="292" t="str">
        <f>IF(AB512=$V$3,IF(VLOOKUP(C512,[1]List1!$A:$E,5,FALSE)=0,1,VLOOKUP(C512,[1]List1!$A:$E,5,FALSE)),"")</f>
        <v/>
      </c>
      <c r="AW512" s="458">
        <f>IFERROR(FIND(VLOOKUP('General price list'!$AB$7,'General price list'!$AC$1:$AD$12,2,FALSE),Q512,1),0)</f>
        <v>0</v>
      </c>
      <c r="AX512" s="458">
        <f>IFERROR(FIND(VLOOKUP('General price list'!$AB$7,'General price list'!$AC$1:$AD$12,2,FALSE),R512,1),0)</f>
        <v>0</v>
      </c>
    </row>
    <row r="513" spans="1:50" ht="15" customHeight="1">
      <c r="A513" s="672" t="str">
        <f>Kat.!C513</f>
        <v xml:space="preserve">                                          Batterien 89 schuss, 25mm I+W+schräg Mörser-1.3G</v>
      </c>
      <c r="B513" s="692">
        <v>492</v>
      </c>
      <c r="C513" s="693"/>
      <c r="D513" s="693"/>
      <c r="E513" s="694"/>
      <c r="F513" s="695" t="str">
        <f>IFERROR(ROUND(VLOOKUP(C513,'General price list'!$C:$AN,4,FALSE),0),"")</f>
        <v/>
      </c>
      <c r="G513" s="696" t="str">
        <f t="shared" si="89"/>
        <v/>
      </c>
      <c r="H513" s="697" t="str">
        <f t="shared" si="90"/>
        <v/>
      </c>
      <c r="I513" s="837"/>
      <c r="J513" s="698"/>
      <c r="K513" s="856"/>
      <c r="L513" s="857"/>
      <c r="M513" s="698"/>
      <c r="N513" s="869" t="str">
        <f>IFERROR(IF(VLOOKUP($C513,'General price list'!$C:$AN,MATCH(N$20,'General price list'!$C$20:$AM$20,0),FALSE)=0,"",VLOOKUP($C513,'General price list'!$C:$AN,MATCH(N$20,'General price list'!$C$20:$AM$20,0),FALSE)),"")</f>
        <v/>
      </c>
      <c r="O513" s="837" t="str">
        <f>IFERROR(IF(VLOOKUP($C513,'General price list'!$C:$AN,MATCH(O$20,'General price list'!$C$20:$AM$20,0),FALSE)=0,"",VLOOKUP($C513,'General price list'!$C:$AN,MATCH(O$20,'General price list'!$C$20:$AM$20,0),FALSE)),"")</f>
        <v/>
      </c>
      <c r="P513" s="837" t="str">
        <f>IFERROR(IF(VLOOKUP($C513,'General price list'!$C:$AN,MATCH(P$20,'General price list'!$C$20:$AM$20,0),FALSE)=0,"",VLOOKUP($C513,'General price list'!$C:$AN,MATCH(P$20,'General price list'!$C$20:$AM$20,0),FALSE)),"")</f>
        <v/>
      </c>
      <c r="Q513" s="698"/>
      <c r="R513" s="698"/>
      <c r="S513" s="698"/>
      <c r="T513" s="695"/>
      <c r="U513" s="874"/>
      <c r="V513" s="699"/>
      <c r="W513" s="700" t="str">
        <f>IFERROR(VLOOKUP($C513,'General price list'!$C:$AN,MATCH(W$20,'General price list'!$C$20:$AM$20,0),FALSE),"")</f>
        <v/>
      </c>
      <c r="X513" s="891" t="str">
        <f t="shared" si="91"/>
        <v/>
      </c>
      <c r="Y513" s="892"/>
      <c r="Z513" s="700" t="str">
        <f>IFERROR(VLOOKUP($C513,'General price list'!$C:$AN,MATCH(Z$20,'General price list'!$C$20:$AM$20,0),FALSE),"")</f>
        <v/>
      </c>
      <c r="AA513" s="707"/>
      <c r="AB513" s="912" t="str">
        <f>IFERROR(IF(VLOOKUP(C513,[1]List1!$A:$D,2,FALSE)="VYPRODÁNO",$V$9,IF(VLOOKUP(C513,[1]List1!$A:$D,2,FALSE)="DOCHÁZÍ",$V$3,VLOOKUP(C513,[1]List1!$A:$D,2,FALSE))),"OFFLINE!")</f>
        <v>OFFLINE!</v>
      </c>
      <c r="AC513" s="912" t="str">
        <f ca="1">IF(AO513="NE",$V$10,IF(AB513=$V$3,IF(AP513&lt;1,$V$8,$V$2&amp;" "&amp;AP513&amp;" "&amp;$V$1),IF(AB513="SKLADEM",$V$6,IFERROR(IF(OR(AB513-TODAY()&gt;21,VLOOKUP(C513,[1]List1!$A:$E,4,FALSE)=0),AB513,DAY(AB513)&amp;"."&amp;MONTH(AB513)&amp;"."&amp;YEAR(AB513)&amp;" "&amp;$V$4&amp;VLOOKUP(C513,[1]List1!$A:$E,4,FALSE)&amp;" "&amp;$V$1),AB513))))</f>
        <v>OFFLINE!</v>
      </c>
      <c r="AD513" s="701" t="str">
        <f>_xlfn.IFNA(VLOOKUP(C513,'General price list'!C:AM,MATCH($AD$20,'General price list'!$C$20:$AM$20,0),FALSE),"")</f>
        <v/>
      </c>
      <c r="AE513" s="695" t="str">
        <f t="shared" si="92"/>
        <v/>
      </c>
      <c r="AF513" s="695" t="str">
        <f t="shared" si="93"/>
        <v/>
      </c>
      <c r="AG513" s="702" t="str">
        <f t="shared" si="94"/>
        <v/>
      </c>
      <c r="AH513" s="703" t="str">
        <f t="shared" si="95"/>
        <v/>
      </c>
      <c r="AI513" s="702" t="str">
        <f t="shared" si="96"/>
        <v/>
      </c>
      <c r="AJ513" s="704" t="str">
        <f t="shared" si="97"/>
        <v/>
      </c>
      <c r="AK513" s="704" t="str">
        <f t="shared" si="98"/>
        <v/>
      </c>
      <c r="AL513" s="704" t="str">
        <f t="shared" si="99"/>
        <v/>
      </c>
      <c r="AM513" s="705" t="str">
        <f t="shared" si="100"/>
        <v/>
      </c>
      <c r="AN513" s="382"/>
      <c r="AO513" s="314" t="str">
        <f>IF($R$3=1,IF(Y513=AA513,"","NE"),IF(#REF!=$V$10,"NE",""))</f>
        <v/>
      </c>
      <c r="AP513" s="315" t="str">
        <f>IF(AB513=$V$3,IF(VLOOKUP(C513,[1]List1!$A:$E,5,FALSE)=0,1,VLOOKUP(C513,[1]List1!$A:$E,5,FALSE)),"")</f>
        <v/>
      </c>
      <c r="AW513" s="291" t="e">
        <f>VLOOKUP(C513,'General price list'!C:AU,46,FALSE)</f>
        <v>#N/A</v>
      </c>
      <c r="AX513" s="291" t="e">
        <f>VLOOKUP(C513,'General price list'!C:AU,47,FALSE)</f>
        <v>#N/A</v>
      </c>
    </row>
    <row r="514" spans="1:50" ht="15" customHeight="1">
      <c r="A514" s="677" t="str">
        <f>Kat.!C514</f>
        <v xml:space="preserve">                                          </v>
      </c>
      <c r="B514" s="678">
        <v>493</v>
      </c>
      <c r="C514" s="679" t="s">
        <v>2147</v>
      </c>
      <c r="D514" s="679" t="s">
        <v>2148</v>
      </c>
      <c r="E514" s="680" t="s">
        <v>129</v>
      </c>
      <c r="F514" s="681">
        <f>VLOOKUP(C514,[2]List1!$A:$D,2,FALSE)</f>
        <v>955</v>
      </c>
      <c r="G514" s="682">
        <f t="shared" si="89"/>
        <v>955</v>
      </c>
      <c r="H514" s="683">
        <f t="shared" si="90"/>
        <v>38.9</v>
      </c>
      <c r="I514" s="836">
        <v>1</v>
      </c>
      <c r="J514" s="680"/>
      <c r="K514" s="854">
        <v>7</v>
      </c>
      <c r="L514" s="855"/>
      <c r="M514" s="680"/>
      <c r="N514" s="868">
        <f>IFERROR(VLOOKUP(C514,[3]List1!$A:$D,4,FALSE),"N/A!")</f>
        <v>2.3688499999999998E-2</v>
      </c>
      <c r="O514" s="836">
        <f>IFERROR(VLOOKUP(C514,[3]List1!$A:$D,3,FALSE),"N/A!")</f>
        <v>0</v>
      </c>
      <c r="P514" s="836">
        <f>IFERROR(VLOOKUP(C514,[3]List1!$A:$D,2,FALSE),"N/A!")</f>
        <v>6355</v>
      </c>
      <c r="Q514" s="680"/>
      <c r="R514" s="680"/>
      <c r="S514" s="680"/>
      <c r="T514" s="681"/>
      <c r="U514" s="873"/>
      <c r="V514" s="684" t="str">
        <f>_xlfn.IFNA(HYPERLINK("https://www.klasekpyrotechnics.cz/c8925n"),"")</f>
        <v>https://www.klasekpyrotechnics.cz/c8925n</v>
      </c>
      <c r="W514" s="685" t="str">
        <f>IFERROR(VLOOKUP($C514,Popisy!A:P,MATCH($W$17,Popisy!$A$7:$P$7,0),FALSE),"---------------")</f>
        <v>Produktmodell - ohne Sprengstoff</v>
      </c>
      <c r="X514" s="889" t="str">
        <f t="shared" si="91"/>
        <v/>
      </c>
      <c r="Y514" s="890"/>
      <c r="Z514" s="685" t="str">
        <f>IFERROR(IF(VLOOKUP(C514,[4]List1!$A:$D,4,FALSE)=0,"",VLOOKUP(C514,[4]List1!$A:$D,4,FALSE)),"")</f>
        <v/>
      </c>
      <c r="AA514" s="707"/>
      <c r="AB514" s="911" t="str">
        <f>IFERROR(IF(VLOOKUP(C514,[1]List1!$A:$D,2,FALSE)="VYPRODÁNO",$V$9,IF(VLOOKUP(C514,[1]List1!$A:$D,2,FALSE)="DOCHÁZÍ",$V$3,VLOOKUP(C514,[1]List1!$A:$D,2,FALSE))),"OFFLINE!")</f>
        <v>AUSVERKAUFT</v>
      </c>
      <c r="AC514" s="911" t="str">
        <f ca="1">IF(AO514="NE",$V$10,IF(AB514=$V$3,IF(AP514&lt;1,$V$8,$V$2&amp;" "&amp;AP514&amp;" "&amp;$V$1),IF(AB514="SKLADEM",$V$6,IFERROR(IF(OR(AB514-TODAY()&gt;21,VLOOKUP(C514,[1]List1!$A:$E,4,FALSE)=0),AB514,DAY(AB514)&amp;"."&amp;MONTH(AB514)&amp;"."&amp;YEAR(AB514)&amp;" "&amp;$V$4&amp;VLOOKUP(C514,[1]List1!$A:$E,4,FALSE)&amp;" "&amp;$V$1),AB514))))</f>
        <v>AUSVERKAUFT</v>
      </c>
      <c r="AD514" s="686" t="str">
        <f ca="1">_xlfn.IFNA(VLOOKUP(C514,'General price list'!C:AM,MATCH($AD$20,'General price list'!$C$20:$AM$20,0),FALSE),"")</f>
        <v>AUSVERKAUFT</v>
      </c>
      <c r="AE514" s="681">
        <f t="shared" ca="1" si="92"/>
        <v>0</v>
      </c>
      <c r="AF514" s="681">
        <f t="shared" ca="1" si="93"/>
        <v>0</v>
      </c>
      <c r="AG514" s="687">
        <f t="shared" ca="1" si="94"/>
        <v>0</v>
      </c>
      <c r="AH514" s="688">
        <f t="shared" ca="1" si="95"/>
        <v>0</v>
      </c>
      <c r="AI514" s="687">
        <f t="shared" ca="1" si="96"/>
        <v>0</v>
      </c>
      <c r="AJ514" s="689" t="str">
        <f t="shared" ca="1" si="97"/>
        <v/>
      </c>
      <c r="AK514" s="689" t="str">
        <f t="shared" ca="1" si="98"/>
        <v/>
      </c>
      <c r="AL514" s="689" t="str">
        <f t="shared" ca="1" si="99"/>
        <v/>
      </c>
      <c r="AM514" s="690" t="str">
        <f t="shared" ca="1" si="100"/>
        <v/>
      </c>
      <c r="AN514" s="382"/>
      <c r="AO514" s="314" t="str">
        <f>IF($R$3=1,IF(Y514=AA514,"","NE"),IF(#REF!=$V$10,"NE",""))</f>
        <v/>
      </c>
      <c r="AP514" s="315" t="str">
        <f>IF(AB514=$V$3,IF(VLOOKUP(C514,[1]List1!$A:$E,5,FALSE)=0,1,VLOOKUP(C514,[1]List1!$A:$E,5,FALSE)),"")</f>
        <v/>
      </c>
      <c r="AW514" s="458">
        <f>IFERROR(FIND(VLOOKUP('General price list'!$AB$7,'General price list'!$AC$1:$AD$12,2,FALSE),Q514,1),0)</f>
        <v>0</v>
      </c>
      <c r="AX514" s="458">
        <f>IFERROR(FIND(VLOOKUP('General price list'!$AB$7,'General price list'!$AC$1:$AD$12,2,FALSE),R514,1),0)</f>
        <v>0</v>
      </c>
    </row>
    <row r="515" spans="1:50" ht="15" customHeight="1">
      <c r="A515" s="672" t="str">
        <f>Kat.!C515</f>
        <v xml:space="preserve">                                          Batterien 100 schuss, 25mm Mörser-1.3G</v>
      </c>
      <c r="B515" s="692">
        <v>494</v>
      </c>
      <c r="C515" s="693"/>
      <c r="D515" s="693"/>
      <c r="E515" s="694"/>
      <c r="F515" s="695" t="str">
        <f>IFERROR(ROUND(VLOOKUP(C515,'General price list'!$C:$AN,4,FALSE),0),"")</f>
        <v/>
      </c>
      <c r="G515" s="696" t="str">
        <f t="shared" si="89"/>
        <v/>
      </c>
      <c r="H515" s="697" t="str">
        <f t="shared" si="90"/>
        <v/>
      </c>
      <c r="I515" s="837"/>
      <c r="J515" s="698"/>
      <c r="K515" s="856"/>
      <c r="L515" s="857"/>
      <c r="M515" s="698"/>
      <c r="N515" s="869" t="str">
        <f>IFERROR(IF(VLOOKUP($C515,'General price list'!$C:$AN,MATCH(N$20,'General price list'!$C$20:$AM$20,0),FALSE)=0,"",VLOOKUP($C515,'General price list'!$C:$AN,MATCH(N$20,'General price list'!$C$20:$AM$20,0),FALSE)),"")</f>
        <v/>
      </c>
      <c r="O515" s="837" t="str">
        <f>IFERROR(IF(VLOOKUP($C515,'General price list'!$C:$AN,MATCH(O$20,'General price list'!$C$20:$AM$20,0),FALSE)=0,"",VLOOKUP($C515,'General price list'!$C:$AN,MATCH(O$20,'General price list'!$C$20:$AM$20,0),FALSE)),"")</f>
        <v/>
      </c>
      <c r="P515" s="837" t="str">
        <f>IFERROR(IF(VLOOKUP($C515,'General price list'!$C:$AN,MATCH(P$20,'General price list'!$C$20:$AM$20,0),FALSE)=0,"",VLOOKUP($C515,'General price list'!$C:$AN,MATCH(P$20,'General price list'!$C$20:$AM$20,0),FALSE)),"")</f>
        <v/>
      </c>
      <c r="Q515" s="698"/>
      <c r="R515" s="698"/>
      <c r="S515" s="698"/>
      <c r="T515" s="695"/>
      <c r="U515" s="874"/>
      <c r="V515" s="699"/>
      <c r="W515" s="700" t="str">
        <f>IFERROR(VLOOKUP($C515,'General price list'!$C:$AN,MATCH(W$20,'General price list'!$C$20:$AM$20,0),FALSE),"")</f>
        <v/>
      </c>
      <c r="X515" s="891" t="str">
        <f t="shared" si="91"/>
        <v/>
      </c>
      <c r="Y515" s="892"/>
      <c r="Z515" s="700" t="str">
        <f>IFERROR(VLOOKUP($C515,'General price list'!$C:$AN,MATCH(Z$20,'General price list'!$C$20:$AM$20,0),FALSE),"")</f>
        <v/>
      </c>
      <c r="AA515" s="707"/>
      <c r="AB515" s="912" t="str">
        <f>IFERROR(IF(VLOOKUP(C515,[1]List1!$A:$D,2,FALSE)="VYPRODÁNO",$V$9,IF(VLOOKUP(C515,[1]List1!$A:$D,2,FALSE)="DOCHÁZÍ",$V$3,VLOOKUP(C515,[1]List1!$A:$D,2,FALSE))),"OFFLINE!")</f>
        <v>OFFLINE!</v>
      </c>
      <c r="AC515" s="912" t="str">
        <f ca="1">IF(AO515="NE",$V$10,IF(AB515=$V$3,IF(AP515&lt;1,$V$8,$V$2&amp;" "&amp;AP515&amp;" "&amp;$V$1),IF(AB515="SKLADEM",$V$6,IFERROR(IF(OR(AB515-TODAY()&gt;21,VLOOKUP(C515,[1]List1!$A:$E,4,FALSE)=0),AB515,DAY(AB515)&amp;"."&amp;MONTH(AB515)&amp;"."&amp;YEAR(AB515)&amp;" "&amp;$V$4&amp;VLOOKUP(C515,[1]List1!$A:$E,4,FALSE)&amp;" "&amp;$V$1),AB515))))</f>
        <v>OFFLINE!</v>
      </c>
      <c r="AD515" s="701" t="str">
        <f>_xlfn.IFNA(VLOOKUP(C515,'General price list'!C:AM,MATCH($AD$20,'General price list'!$C$20:$AM$20,0),FALSE),"")</f>
        <v/>
      </c>
      <c r="AE515" s="695" t="str">
        <f t="shared" si="92"/>
        <v/>
      </c>
      <c r="AF515" s="695" t="str">
        <f t="shared" si="93"/>
        <v/>
      </c>
      <c r="AG515" s="702" t="str">
        <f t="shared" si="94"/>
        <v/>
      </c>
      <c r="AH515" s="703" t="str">
        <f t="shared" si="95"/>
        <v/>
      </c>
      <c r="AI515" s="702" t="str">
        <f t="shared" si="96"/>
        <v/>
      </c>
      <c r="AJ515" s="704" t="str">
        <f t="shared" si="97"/>
        <v/>
      </c>
      <c r="AK515" s="704" t="str">
        <f t="shared" si="98"/>
        <v/>
      </c>
      <c r="AL515" s="704" t="str">
        <f t="shared" si="99"/>
        <v/>
      </c>
      <c r="AM515" s="705" t="str">
        <f t="shared" si="100"/>
        <v/>
      </c>
      <c r="AN515" s="382"/>
      <c r="AO515" s="314" t="str">
        <f>IF($R$3=1,IF(Y515=AA515,"","NE"),IF(#REF!=$V$10,"NE",""))</f>
        <v/>
      </c>
      <c r="AP515" s="315" t="str">
        <f>IF(AB515=$V$3,IF(VLOOKUP(C515,[1]List1!$A:$E,5,FALSE)=0,1,VLOOKUP(C515,[1]List1!$A:$E,5,FALSE)),"")</f>
        <v/>
      </c>
      <c r="AW515" s="291" t="e">
        <f>VLOOKUP(C515,'General price list'!C:AU,46,FALSE)</f>
        <v>#N/A</v>
      </c>
      <c r="AX515" s="291" t="e">
        <f>VLOOKUP(C515,'General price list'!C:AU,47,FALSE)</f>
        <v>#N/A</v>
      </c>
    </row>
    <row r="516" spans="1:50" ht="15" customHeight="1">
      <c r="A516" s="677" t="str">
        <f>Kat.!C516</f>
        <v xml:space="preserve">                                          </v>
      </c>
      <c r="B516" s="678">
        <v>495</v>
      </c>
      <c r="C516" s="679" t="s">
        <v>2149</v>
      </c>
      <c r="D516" s="679" t="s">
        <v>2150</v>
      </c>
      <c r="E516" s="680" t="s">
        <v>129</v>
      </c>
      <c r="F516" s="681">
        <f>VLOOKUP(C516,[2]List1!$A:$D,2,FALSE)</f>
        <v>835</v>
      </c>
      <c r="G516" s="682">
        <f t="shared" si="89"/>
        <v>835</v>
      </c>
      <c r="H516" s="683">
        <f t="shared" si="90"/>
        <v>34</v>
      </c>
      <c r="I516" s="836">
        <v>1</v>
      </c>
      <c r="J516" s="680"/>
      <c r="K516" s="854">
        <v>7</v>
      </c>
      <c r="L516" s="855"/>
      <c r="M516" s="680"/>
      <c r="N516" s="868">
        <f>IFERROR(VLOOKUP(C516,[3]List1!$A:$D,4,FALSE),"N/A!")</f>
        <v>1.6864000000000001E-2</v>
      </c>
      <c r="O516" s="836">
        <f>IFERROR(VLOOKUP(C516,[3]List1!$A:$D,3,FALSE),"N/A!")</f>
        <v>0</v>
      </c>
      <c r="P516" s="836">
        <f>IFERROR(VLOOKUP(C516,[3]List1!$A:$D,2,FALSE),"N/A!")</f>
        <v>3400</v>
      </c>
      <c r="Q516" s="680"/>
      <c r="R516" s="680"/>
      <c r="S516" s="680"/>
      <c r="T516" s="681"/>
      <c r="U516" s="873"/>
      <c r="V516" s="684" t="str">
        <f>_xlfn.IFNA(HYPERLINK("https://www.klasekpyrotechnics.cz/c10025s"),"")</f>
        <v>https://www.klasekpyrotechnics.cz/c10025s</v>
      </c>
      <c r="W516" s="685" t="str">
        <f>IFERROR(VLOOKUP($C516,Popisy!A:P,MATCH($W$17,Popisy!$A$7:$P$7,0),FALSE),"---------------")</f>
        <v>Produktmodell - ohne Sprengstoff</v>
      </c>
      <c r="X516" s="889" t="str">
        <f t="shared" si="91"/>
        <v/>
      </c>
      <c r="Y516" s="890"/>
      <c r="Z516" s="685" t="str">
        <f>IFERROR(IF(VLOOKUP(C516,[4]List1!$A:$D,4,FALSE)=0,"",VLOOKUP(C516,[4]List1!$A:$D,4,FALSE)),"")</f>
        <v/>
      </c>
      <c r="AA516" s="707"/>
      <c r="AB516" s="911" t="str">
        <f>IFERROR(IF(VLOOKUP(C516,[1]List1!$A:$D,2,FALSE)="VYPRODÁNO",$V$9,IF(VLOOKUP(C516,[1]List1!$A:$D,2,FALSE)="DOCHÁZÍ",$V$3,VLOOKUP(C516,[1]List1!$A:$D,2,FALSE))),"OFFLINE!")</f>
        <v>SKLADEM</v>
      </c>
      <c r="AC516" s="911" t="str">
        <f ca="1">IF(AO516="NE",$V$10,IF(AB516=$V$3,IF(AP516&lt;1,$V$8,$V$2&amp;" "&amp;AP516&amp;" "&amp;$V$1),IF(AB516="SKLADEM",$V$6,IFERROR(IF(OR(AB516-TODAY()&gt;21,VLOOKUP(C516,[1]List1!$A:$E,4,FALSE)=0),AB516,DAY(AB516)&amp;"."&amp;MONTH(AB516)&amp;"."&amp;YEAR(AB516)&amp;" "&amp;$V$4&amp;VLOOKUP(C516,[1]List1!$A:$E,4,FALSE)&amp;" "&amp;$V$1),AB516))))</f>
        <v>AUF LAGER</v>
      </c>
      <c r="AD516" s="686" t="str">
        <f ca="1">_xlfn.IFNA(VLOOKUP(C516,'General price list'!C:AM,MATCH($AD$20,'General price list'!$C$20:$AM$20,0),FALSE),"")</f>
        <v>AUF LAGER</v>
      </c>
      <c r="AE516" s="681">
        <f t="shared" ca="1" si="92"/>
        <v>0</v>
      </c>
      <c r="AF516" s="681">
        <f t="shared" ca="1" si="93"/>
        <v>0</v>
      </c>
      <c r="AG516" s="687">
        <f t="shared" ca="1" si="94"/>
        <v>0</v>
      </c>
      <c r="AH516" s="688">
        <f t="shared" ca="1" si="95"/>
        <v>0</v>
      </c>
      <c r="AI516" s="687">
        <f t="shared" ca="1" si="96"/>
        <v>0</v>
      </c>
      <c r="AJ516" s="689" t="str">
        <f t="shared" ca="1" si="97"/>
        <v/>
      </c>
      <c r="AK516" s="689" t="str">
        <f t="shared" ca="1" si="98"/>
        <v/>
      </c>
      <c r="AL516" s="689" t="str">
        <f t="shared" ca="1" si="99"/>
        <v/>
      </c>
      <c r="AM516" s="690" t="str">
        <f t="shared" ca="1" si="100"/>
        <v/>
      </c>
      <c r="AN516" s="313"/>
      <c r="AO516" s="314" t="str">
        <f>IF($R$3=1,IF(Y516=AA516,"","NE"),IF(#REF!=$V$10,"NE",""))</f>
        <v/>
      </c>
      <c r="AP516" s="315" t="str">
        <f>IF(AB516=$V$3,IF(VLOOKUP(C516,[1]List1!$A:$E,5,FALSE)=0,1,VLOOKUP(C516,[1]List1!$A:$E,5,FALSE)),"")</f>
        <v/>
      </c>
      <c r="AW516" s="458">
        <f>IFERROR(FIND(VLOOKUP('General price list'!$AB$7,'General price list'!$AC$1:$AD$12,2,FALSE),Q516,1),0)</f>
        <v>0</v>
      </c>
      <c r="AX516" s="458">
        <f>IFERROR(FIND(VLOOKUP('General price list'!$AB$7,'General price list'!$AC$1:$AD$12,2,FALSE),R516,1),0)</f>
        <v>0</v>
      </c>
    </row>
    <row r="517" spans="1:50" ht="15" customHeight="1">
      <c r="A517" s="672" t="str">
        <f>Kat.!C517</f>
        <v xml:space="preserve">                                          Verbundfeurwerk 25mm - F3 - 1.3G</v>
      </c>
      <c r="B517" s="692">
        <v>496</v>
      </c>
      <c r="C517" s="693"/>
      <c r="D517" s="693"/>
      <c r="E517" s="694"/>
      <c r="F517" s="695" t="str">
        <f>IFERROR(ROUND(VLOOKUP(C517,'General price list'!$C:$AN,4,FALSE),0),"")</f>
        <v/>
      </c>
      <c r="G517" s="696" t="str">
        <f t="shared" si="89"/>
        <v/>
      </c>
      <c r="H517" s="697" t="str">
        <f t="shared" si="90"/>
        <v/>
      </c>
      <c r="I517" s="837"/>
      <c r="J517" s="698"/>
      <c r="K517" s="856"/>
      <c r="L517" s="857"/>
      <c r="M517" s="698"/>
      <c r="N517" s="869" t="str">
        <f>IFERROR(IF(VLOOKUP($C517,'General price list'!$C:$AN,MATCH(N$20,'General price list'!$C$20:$AM$20,0),FALSE)=0,"",VLOOKUP($C517,'General price list'!$C:$AN,MATCH(N$20,'General price list'!$C$20:$AM$20,0),FALSE)),"")</f>
        <v/>
      </c>
      <c r="O517" s="837" t="str">
        <f>IFERROR(IF(VLOOKUP($C517,'General price list'!$C:$AN,MATCH(O$20,'General price list'!$C$20:$AM$20,0),FALSE)=0,"",VLOOKUP($C517,'General price list'!$C:$AN,MATCH(O$20,'General price list'!$C$20:$AM$20,0),FALSE)),"")</f>
        <v/>
      </c>
      <c r="P517" s="837" t="str">
        <f>IFERROR(IF(VLOOKUP($C517,'General price list'!$C:$AN,MATCH(P$20,'General price list'!$C$20:$AM$20,0),FALSE)=0,"",VLOOKUP($C517,'General price list'!$C:$AN,MATCH(P$20,'General price list'!$C$20:$AM$20,0),FALSE)),"")</f>
        <v/>
      </c>
      <c r="Q517" s="698"/>
      <c r="R517" s="698"/>
      <c r="S517" s="698"/>
      <c r="T517" s="695"/>
      <c r="U517" s="874"/>
      <c r="V517" s="699"/>
      <c r="W517" s="700" t="str">
        <f>IFERROR(VLOOKUP($C517,'General price list'!$C:$AN,MATCH(W$20,'General price list'!$C$20:$AM$20,0),FALSE),"")</f>
        <v/>
      </c>
      <c r="X517" s="891" t="str">
        <f t="shared" si="91"/>
        <v/>
      </c>
      <c r="Y517" s="892"/>
      <c r="Z517" s="700" t="str">
        <f>IFERROR(VLOOKUP($C517,'General price list'!$C:$AN,MATCH(Z$20,'General price list'!$C$20:$AM$20,0),FALSE),"")</f>
        <v/>
      </c>
      <c r="AA517" s="707"/>
      <c r="AB517" s="912" t="str">
        <f>IFERROR(IF(VLOOKUP(C517,[1]List1!$A:$D,2,FALSE)="VYPRODÁNO",$V$9,IF(VLOOKUP(C517,[1]List1!$A:$D,2,FALSE)="DOCHÁZÍ",$V$3,VLOOKUP(C517,[1]List1!$A:$D,2,FALSE))),"OFFLINE!")</f>
        <v>OFFLINE!</v>
      </c>
      <c r="AC517" s="912" t="str">
        <f ca="1">IF(AO517="NE",$V$10,IF(AB517=$V$3,IF(AP517&lt;1,$V$8,$V$2&amp;" "&amp;AP517&amp;" "&amp;$V$1),IF(AB517="SKLADEM",$V$6,IFERROR(IF(OR(AB517-TODAY()&gt;21,VLOOKUP(C517,[1]List1!$A:$E,4,FALSE)=0),AB517,DAY(AB517)&amp;"."&amp;MONTH(AB517)&amp;"."&amp;YEAR(AB517)&amp;" "&amp;$V$4&amp;VLOOKUP(C517,[1]List1!$A:$E,4,FALSE)&amp;" "&amp;$V$1),AB517))))</f>
        <v>OFFLINE!</v>
      </c>
      <c r="AD517" s="701" t="str">
        <f>_xlfn.IFNA(VLOOKUP(C517,'General price list'!C:AM,MATCH($AD$20,'General price list'!$C$20:$AM$20,0),FALSE),"")</f>
        <v/>
      </c>
      <c r="AE517" s="695" t="str">
        <f t="shared" si="92"/>
        <v/>
      </c>
      <c r="AF517" s="695" t="str">
        <f t="shared" si="93"/>
        <v/>
      </c>
      <c r="AG517" s="702" t="str">
        <f t="shared" si="94"/>
        <v/>
      </c>
      <c r="AH517" s="703" t="str">
        <f t="shared" si="95"/>
        <v/>
      </c>
      <c r="AI517" s="702" t="str">
        <f t="shared" si="96"/>
        <v/>
      </c>
      <c r="AJ517" s="704" t="str">
        <f t="shared" si="97"/>
        <v/>
      </c>
      <c r="AK517" s="704" t="str">
        <f t="shared" si="98"/>
        <v/>
      </c>
      <c r="AL517" s="704" t="str">
        <f t="shared" si="99"/>
        <v/>
      </c>
      <c r="AM517" s="705" t="str">
        <f t="shared" si="100"/>
        <v/>
      </c>
      <c r="AN517" s="381"/>
      <c r="AO517" s="314" t="str">
        <f>IF($R$3=1,IF(Y517=AA517,"","NE"),IF(#REF!=$V$10,"NE",""))</f>
        <v/>
      </c>
      <c r="AP517" s="315" t="str">
        <f>IF(AB517=$V$3,IF(VLOOKUP(C517,[1]List1!$A:$E,5,FALSE)=0,1,VLOOKUP(C517,[1]List1!$A:$E,5,FALSE)),"")</f>
        <v/>
      </c>
      <c r="AW517" s="291" t="e">
        <f>VLOOKUP(C517,'General price list'!C:AU,46,FALSE)</f>
        <v>#N/A</v>
      </c>
      <c r="AX517" s="291" t="e">
        <f>VLOOKUP(C517,'General price list'!C:AU,47,FALSE)</f>
        <v>#N/A</v>
      </c>
    </row>
    <row r="518" spans="1:50" ht="15" customHeight="1">
      <c r="A518" s="677" t="str">
        <f>Kat.!C518</f>
        <v xml:space="preserve">                                          </v>
      </c>
      <c r="B518" s="678">
        <v>497</v>
      </c>
      <c r="C518" s="679" t="s">
        <v>2151</v>
      </c>
      <c r="D518" s="679" t="s">
        <v>2152</v>
      </c>
      <c r="E518" s="680" t="s">
        <v>129</v>
      </c>
      <c r="F518" s="681">
        <f>VLOOKUP(C518,[2]List1!$A:$D,2,FALSE)</f>
        <v>1097</v>
      </c>
      <c r="G518" s="682">
        <f t="shared" si="89"/>
        <v>1097</v>
      </c>
      <c r="H518" s="683">
        <f t="shared" si="90"/>
        <v>44.6</v>
      </c>
      <c r="I518" s="836">
        <v>1</v>
      </c>
      <c r="J518" s="680"/>
      <c r="K518" s="854">
        <v>7</v>
      </c>
      <c r="L518" s="855"/>
      <c r="M518" s="680"/>
      <c r="N518" s="868">
        <f>IFERROR(VLOOKUP(C518,[3]List1!$A:$D,4,FALSE),"N/A!")</f>
        <v>1.81125E-2</v>
      </c>
      <c r="O518" s="836">
        <f>IFERROR(VLOOKUP(C518,[3]List1!$A:$D,3,FALSE),"N/A!")</f>
        <v>0</v>
      </c>
      <c r="P518" s="836">
        <f>IFERROR(VLOOKUP(C518,[3]List1!$A:$D,2,FALSE),"N/A!")</f>
        <v>6340</v>
      </c>
      <c r="Q518" s="680"/>
      <c r="R518" s="680"/>
      <c r="S518" s="680"/>
      <c r="T518" s="681"/>
      <c r="U518" s="873"/>
      <c r="V518" s="684" t="str">
        <f>_xlfn.IFNA(HYPERLINK("https://www.klasekpyrotechnics.cz/c9825sig-c"),"")</f>
        <v>https://www.klasekpyrotechnics.cz/c9825sig-c</v>
      </c>
      <c r="W518" s="685" t="str">
        <f>IFERROR(VLOOKUP($C518,Popisy!A:P,MATCH($W$17,Popisy!$A$7:$P$7,0),FALSE),"---------------")</f>
        <v>Produktmodell - ohne Sprengstoff</v>
      </c>
      <c r="X518" s="889" t="str">
        <f t="shared" si="91"/>
        <v/>
      </c>
      <c r="Y518" s="890"/>
      <c r="Z518" s="685" t="str">
        <f>IFERROR(IF(VLOOKUP(C518,[4]List1!$A:$D,4,FALSE)=0,"",VLOOKUP(C518,[4]List1!$A:$D,4,FALSE)),"")</f>
        <v/>
      </c>
      <c r="AA518" s="707"/>
      <c r="AB518" s="911" t="str">
        <f>IFERROR(IF(VLOOKUP(C518,[1]List1!$A:$D,2,FALSE)="VYPRODÁNO",$V$9,IF(VLOOKUP(C518,[1]List1!$A:$D,2,FALSE)="DOCHÁZÍ",$V$3,VLOOKUP(C518,[1]List1!$A:$D,2,FALSE))),"OFFLINE!")</f>
        <v>SKLADEM</v>
      </c>
      <c r="AC518" s="911" t="str">
        <f ca="1">IF(AO518="NE",$V$10,IF(AB518=$V$3,IF(AP518&lt;1,$V$8,$V$2&amp;" "&amp;AP518&amp;" "&amp;$V$1),IF(AB518="SKLADEM",$V$6,IFERROR(IF(OR(AB518-TODAY()&gt;21,VLOOKUP(C518,[1]List1!$A:$E,4,FALSE)=0),AB518,DAY(AB518)&amp;"."&amp;MONTH(AB518)&amp;"."&amp;YEAR(AB518)&amp;" "&amp;$V$4&amp;VLOOKUP(C518,[1]List1!$A:$E,4,FALSE)&amp;" "&amp;$V$1),AB518))))</f>
        <v>AUF LAGER</v>
      </c>
      <c r="AD518" s="686" t="str">
        <f ca="1">_xlfn.IFNA(VLOOKUP(C518,'General price list'!C:AM,MATCH($AD$20,'General price list'!$C$20:$AM$20,0),FALSE),"")</f>
        <v>AUF LAGER</v>
      </c>
      <c r="AE518" s="681">
        <f t="shared" ca="1" si="92"/>
        <v>0</v>
      </c>
      <c r="AF518" s="681">
        <f t="shared" ca="1" si="93"/>
        <v>0</v>
      </c>
      <c r="AG518" s="687">
        <f t="shared" ca="1" si="94"/>
        <v>0</v>
      </c>
      <c r="AH518" s="688">
        <f t="shared" ca="1" si="95"/>
        <v>0</v>
      </c>
      <c r="AI518" s="687">
        <f t="shared" ca="1" si="96"/>
        <v>0</v>
      </c>
      <c r="AJ518" s="689" t="str">
        <f t="shared" ca="1" si="97"/>
        <v/>
      </c>
      <c r="AK518" s="689" t="str">
        <f t="shared" ca="1" si="98"/>
        <v/>
      </c>
      <c r="AL518" s="689" t="str">
        <f t="shared" ca="1" si="99"/>
        <v/>
      </c>
      <c r="AM518" s="690" t="str">
        <f t="shared" ca="1" si="100"/>
        <v/>
      </c>
      <c r="AN518" s="313"/>
      <c r="AO518" s="314" t="str">
        <f>IF($R$3=1,IF(Y518=AA518,"","NE"),IF(#REF!=$V$10,"NE",""))</f>
        <v/>
      </c>
      <c r="AP518" s="315" t="str">
        <f>IF(AB518=$V$3,IF(VLOOKUP(C518,[1]List1!$A:$E,5,FALSE)=0,1,VLOOKUP(C518,[1]List1!$A:$E,5,FALSE)),"")</f>
        <v/>
      </c>
      <c r="AW518" s="458">
        <f>IFERROR(FIND(VLOOKUP('General price list'!$AB$7,'General price list'!$AC$1:$AD$12,2,FALSE),Q518,1),0)</f>
        <v>0</v>
      </c>
      <c r="AX518" s="458">
        <f>IFERROR(FIND(VLOOKUP('General price list'!$AB$7,'General price list'!$AC$1:$AD$12,2,FALSE),R518,1),0)</f>
        <v>0</v>
      </c>
    </row>
    <row r="519" spans="1:50" ht="15" customHeight="1">
      <c r="A519" s="672" t="str">
        <f>Kat.!C519</f>
        <v xml:space="preserve">                                          Batterien 49 schuss, 30mm Mörser-1.3G</v>
      </c>
      <c r="B519" s="692">
        <v>498</v>
      </c>
      <c r="C519" s="693"/>
      <c r="D519" s="693"/>
      <c r="E519" s="694"/>
      <c r="F519" s="695" t="str">
        <f>IFERROR(ROUND(VLOOKUP(C519,'General price list'!$C:$AN,4,FALSE),0),"")</f>
        <v/>
      </c>
      <c r="G519" s="696" t="str">
        <f t="shared" si="89"/>
        <v/>
      </c>
      <c r="H519" s="697" t="str">
        <f t="shared" si="90"/>
        <v/>
      </c>
      <c r="I519" s="837"/>
      <c r="J519" s="698"/>
      <c r="K519" s="856"/>
      <c r="L519" s="857"/>
      <c r="M519" s="698"/>
      <c r="N519" s="869" t="str">
        <f>IFERROR(IF(VLOOKUP($C519,'General price list'!$C:$AN,MATCH(N$20,'General price list'!$C$20:$AM$20,0),FALSE)=0,"",VLOOKUP($C519,'General price list'!$C:$AN,MATCH(N$20,'General price list'!$C$20:$AM$20,0),FALSE)),"")</f>
        <v/>
      </c>
      <c r="O519" s="837" t="str">
        <f>IFERROR(IF(VLOOKUP($C519,'General price list'!$C:$AN,MATCH(O$20,'General price list'!$C$20:$AM$20,0),FALSE)=0,"",VLOOKUP($C519,'General price list'!$C:$AN,MATCH(O$20,'General price list'!$C$20:$AM$20,0),FALSE)),"")</f>
        <v/>
      </c>
      <c r="P519" s="837" t="str">
        <f>IFERROR(IF(VLOOKUP($C519,'General price list'!$C:$AN,MATCH(P$20,'General price list'!$C$20:$AM$20,0),FALSE)=0,"",VLOOKUP($C519,'General price list'!$C:$AN,MATCH(P$20,'General price list'!$C$20:$AM$20,0),FALSE)),"")</f>
        <v/>
      </c>
      <c r="Q519" s="698"/>
      <c r="R519" s="698"/>
      <c r="S519" s="698"/>
      <c r="T519" s="695"/>
      <c r="U519" s="874"/>
      <c r="V519" s="699"/>
      <c r="W519" s="700" t="str">
        <f>IFERROR(VLOOKUP($C519,'General price list'!$C:$AN,MATCH(W$20,'General price list'!$C$20:$AM$20,0),FALSE),"")</f>
        <v/>
      </c>
      <c r="X519" s="891" t="str">
        <f t="shared" si="91"/>
        <v/>
      </c>
      <c r="Y519" s="892"/>
      <c r="Z519" s="700" t="str">
        <f>IFERROR(VLOOKUP($C519,'General price list'!$C:$AN,MATCH(Z$20,'General price list'!$C$20:$AM$20,0),FALSE),"")</f>
        <v/>
      </c>
      <c r="AA519" s="707"/>
      <c r="AB519" s="912" t="str">
        <f>IFERROR(IF(VLOOKUP(C519,[1]List1!$A:$D,2,FALSE)="VYPRODÁNO",$V$9,IF(VLOOKUP(C519,[1]List1!$A:$D,2,FALSE)="DOCHÁZÍ",$V$3,VLOOKUP(C519,[1]List1!$A:$D,2,FALSE))),"OFFLINE!")</f>
        <v>OFFLINE!</v>
      </c>
      <c r="AC519" s="912" t="str">
        <f ca="1">IF(AO519="NE",$V$10,IF(AB519=$V$3,IF(AP519&lt;1,$V$8,$V$2&amp;" "&amp;AP519&amp;" "&amp;$V$1),IF(AB519="SKLADEM",$V$6,IFERROR(IF(OR(AB519-TODAY()&gt;21,VLOOKUP(C519,[1]List1!$A:$E,4,FALSE)=0),AB519,DAY(AB519)&amp;"."&amp;MONTH(AB519)&amp;"."&amp;YEAR(AB519)&amp;" "&amp;$V$4&amp;VLOOKUP(C519,[1]List1!$A:$E,4,FALSE)&amp;" "&amp;$V$1),AB519))))</f>
        <v>OFFLINE!</v>
      </c>
      <c r="AD519" s="701" t="str">
        <f>_xlfn.IFNA(VLOOKUP(C519,'General price list'!C:AM,MATCH($AD$20,'General price list'!$C$20:$AM$20,0),FALSE),"")</f>
        <v/>
      </c>
      <c r="AE519" s="695" t="str">
        <f t="shared" si="92"/>
        <v/>
      </c>
      <c r="AF519" s="695" t="str">
        <f t="shared" si="93"/>
        <v/>
      </c>
      <c r="AG519" s="702" t="str">
        <f t="shared" si="94"/>
        <v/>
      </c>
      <c r="AH519" s="703" t="str">
        <f t="shared" si="95"/>
        <v/>
      </c>
      <c r="AI519" s="702" t="str">
        <f t="shared" si="96"/>
        <v/>
      </c>
      <c r="AJ519" s="704" t="str">
        <f t="shared" si="97"/>
        <v/>
      </c>
      <c r="AK519" s="704" t="str">
        <f t="shared" si="98"/>
        <v/>
      </c>
      <c r="AL519" s="704" t="str">
        <f t="shared" si="99"/>
        <v/>
      </c>
      <c r="AM519" s="705" t="str">
        <f t="shared" si="100"/>
        <v/>
      </c>
      <c r="AN519" s="313"/>
      <c r="AO519" s="314" t="str">
        <f>IF($R$3=1,IF(Y519=AA519,"","NE"),IF(#REF!=$V$10,"NE",""))</f>
        <v/>
      </c>
      <c r="AP519" s="315" t="str">
        <f>IF(AB519=$V$3,IF(VLOOKUP(C519,[1]List1!$A:$E,5,FALSE)=0,1,VLOOKUP(C519,[1]List1!$A:$E,5,FALSE)),"")</f>
        <v/>
      </c>
      <c r="AW519" s="291" t="e">
        <f>VLOOKUP(C519,'General price list'!C:AU,46,FALSE)</f>
        <v>#N/A</v>
      </c>
      <c r="AX519" s="291" t="e">
        <f>VLOOKUP(C519,'General price list'!C:AU,47,FALSE)</f>
        <v>#N/A</v>
      </c>
    </row>
    <row r="520" spans="1:50" ht="15" customHeight="1">
      <c r="A520" s="677" t="str">
        <f>Kat.!C520</f>
        <v xml:space="preserve">                                          </v>
      </c>
      <c r="B520" s="678">
        <v>499</v>
      </c>
      <c r="C520" s="679" t="s">
        <v>2153</v>
      </c>
      <c r="D520" s="679" t="s">
        <v>2154</v>
      </c>
      <c r="E520" s="680" t="s">
        <v>129</v>
      </c>
      <c r="F520" s="681">
        <f>VLOOKUP(C520,[2]List1!$A:$D,2,FALSE)</f>
        <v>668</v>
      </c>
      <c r="G520" s="682">
        <f t="shared" si="89"/>
        <v>668</v>
      </c>
      <c r="H520" s="683">
        <f t="shared" si="90"/>
        <v>27.2</v>
      </c>
      <c r="I520" s="836">
        <v>1</v>
      </c>
      <c r="J520" s="680"/>
      <c r="K520" s="854">
        <v>7</v>
      </c>
      <c r="L520" s="855"/>
      <c r="M520" s="680"/>
      <c r="N520" s="868">
        <f>IFERROR(VLOOKUP(C520,[3]List1!$A:$D,4,FALSE),"N/A!")</f>
        <v>1.752975E-2</v>
      </c>
      <c r="O520" s="836">
        <f>IFERROR(VLOOKUP(C520,[3]List1!$A:$D,3,FALSE),"N/A!")</f>
        <v>0</v>
      </c>
      <c r="P520" s="836">
        <f>IFERROR(VLOOKUP(C520,[3]List1!$A:$D,2,FALSE),"N/A!")</f>
        <v>6069</v>
      </c>
      <c r="Q520" s="680"/>
      <c r="R520" s="680"/>
      <c r="S520" s="680"/>
      <c r="T520" s="681"/>
      <c r="U520" s="873"/>
      <c r="V520" s="684" t="str">
        <f>_xlfn.IFNA(HYPERLINK("https://www.klasekpyrotechnics.cz/c493ru"),"")</f>
        <v>https://www.klasekpyrotechnics.cz/c493ru</v>
      </c>
      <c r="W520" s="685" t="str">
        <f>IFERROR(VLOOKUP($C520,Popisy!A:P,MATCH($W$17,Popisy!$A$7:$P$7,0),FALSE),"---------------")</f>
        <v>Produktmodell - ohne Sprengstoff</v>
      </c>
      <c r="X520" s="889" t="str">
        <f t="shared" si="91"/>
        <v/>
      </c>
      <c r="Y520" s="890"/>
      <c r="Z520" s="685" t="str">
        <f>IFERROR(IF(VLOOKUP(C520,[4]List1!$A:$D,4,FALSE)=0,"",VLOOKUP(C520,[4]List1!$A:$D,4,FALSE)),"")</f>
        <v/>
      </c>
      <c r="AA520" s="707"/>
      <c r="AB520" s="911" t="str">
        <f>IFERROR(IF(VLOOKUP(C520,[1]List1!$A:$D,2,FALSE)="VYPRODÁNO",$V$9,IF(VLOOKUP(C520,[1]List1!$A:$D,2,FALSE)="DOCHÁZÍ",$V$3,VLOOKUP(C520,[1]List1!$A:$D,2,FALSE))),"OFFLINE!")</f>
        <v>SKLADEM</v>
      </c>
      <c r="AC520" s="911" t="str">
        <f ca="1">IF(AO520="NE",$V$10,IF(AB520=$V$3,IF(AP520&lt;1,$V$8,$V$2&amp;" "&amp;AP520&amp;" "&amp;$V$1),IF(AB520="SKLADEM",$V$6,IFERROR(IF(OR(AB520-TODAY()&gt;21,VLOOKUP(C520,[1]List1!$A:$E,4,FALSE)=0),AB520,DAY(AB520)&amp;"."&amp;MONTH(AB520)&amp;"."&amp;YEAR(AB520)&amp;" "&amp;$V$4&amp;VLOOKUP(C520,[1]List1!$A:$E,4,FALSE)&amp;" "&amp;$V$1),AB520))))</f>
        <v>AUF LAGER</v>
      </c>
      <c r="AD520" s="686" t="str">
        <f ca="1">_xlfn.IFNA(VLOOKUP(C520,'General price list'!C:AM,MATCH($AD$20,'General price list'!$C$20:$AM$20,0),FALSE),"")</f>
        <v>AUF LAGER</v>
      </c>
      <c r="AE520" s="681">
        <f t="shared" ca="1" si="92"/>
        <v>0</v>
      </c>
      <c r="AF520" s="681">
        <f t="shared" ca="1" si="93"/>
        <v>0</v>
      </c>
      <c r="AG520" s="687">
        <f t="shared" ca="1" si="94"/>
        <v>0</v>
      </c>
      <c r="AH520" s="688">
        <f t="shared" ca="1" si="95"/>
        <v>0</v>
      </c>
      <c r="AI520" s="687">
        <f t="shared" ca="1" si="96"/>
        <v>0</v>
      </c>
      <c r="AJ520" s="689" t="str">
        <f t="shared" ca="1" si="97"/>
        <v/>
      </c>
      <c r="AK520" s="689" t="str">
        <f t="shared" ca="1" si="98"/>
        <v/>
      </c>
      <c r="AL520" s="689" t="str">
        <f t="shared" ca="1" si="99"/>
        <v/>
      </c>
      <c r="AM520" s="690" t="str">
        <f t="shared" ca="1" si="100"/>
        <v/>
      </c>
      <c r="AN520" s="313"/>
      <c r="AO520" s="314" t="str">
        <f>IF($R$3=1,IF(Y520=AA520,"","NE"),IF(#REF!=$V$10,"NE",""))</f>
        <v/>
      </c>
      <c r="AP520" s="315" t="str">
        <f>IF(AB520=$V$3,IF(VLOOKUP(C520,[1]List1!$A:$E,5,FALSE)=0,1,VLOOKUP(C520,[1]List1!$A:$E,5,FALSE)),"")</f>
        <v/>
      </c>
      <c r="AW520" s="458">
        <f>IFERROR(FIND(VLOOKUP('General price list'!$AB$7,'General price list'!$AC$1:$AD$12,2,FALSE),Q520,1),0)</f>
        <v>0</v>
      </c>
      <c r="AX520" s="458">
        <f>IFERROR(FIND(VLOOKUP('General price list'!$AB$7,'General price list'!$AC$1:$AD$12,2,FALSE),R520,1),0)</f>
        <v>0</v>
      </c>
    </row>
    <row r="521" spans="1:50" ht="15" customHeight="1">
      <c r="A521" s="691" t="str">
        <f>Kat.!C521</f>
        <v xml:space="preserve">                                          </v>
      </c>
      <c r="B521" s="692">
        <v>500</v>
      </c>
      <c r="C521" s="693" t="s">
        <v>12224</v>
      </c>
      <c r="D521" s="693" t="s">
        <v>13647</v>
      </c>
      <c r="E521" s="694" t="s">
        <v>129</v>
      </c>
      <c r="F521" s="695">
        <f>VLOOKUP(C521,[2]List1!$A:$D,2,FALSE)</f>
        <v>668</v>
      </c>
      <c r="G521" s="696">
        <f t="shared" si="89"/>
        <v>668</v>
      </c>
      <c r="H521" s="697">
        <f t="shared" si="90"/>
        <v>27.2</v>
      </c>
      <c r="I521" s="837">
        <v>1</v>
      </c>
      <c r="J521" s="698"/>
      <c r="K521" s="856"/>
      <c r="L521" s="857"/>
      <c r="M521" s="698"/>
      <c r="N521" s="869">
        <f>IFERROR(VLOOKUP(C521,[3]List1!$A:$D,4,FALSE),"N/A!")</f>
        <v>1.752975E-2</v>
      </c>
      <c r="O521" s="837">
        <f>IFERROR(VLOOKUP(C521,[3]List1!$A:$D,3,FALSE),"N/A!")</f>
        <v>0</v>
      </c>
      <c r="P521" s="837">
        <f>IFERROR(VLOOKUP(C521,[3]List1!$A:$D,2,FALSE),"N/A!")</f>
        <v>5319</v>
      </c>
      <c r="Q521" s="698"/>
      <c r="R521" s="698"/>
      <c r="S521" s="698"/>
      <c r="T521" s="695"/>
      <c r="U521" s="874"/>
      <c r="V521" s="699"/>
      <c r="W521" s="700" t="str">
        <f>IFERROR(VLOOKUP($C521,Popisy!A:P,MATCH($W$17,Popisy!$A$7:$P$7,0),FALSE),"---------------")</f>
        <v>Produktmodell - ohne Sprengstoff</v>
      </c>
      <c r="X521" s="891" t="str">
        <f t="shared" si="91"/>
        <v/>
      </c>
      <c r="Y521" s="892"/>
      <c r="Z521" s="700" t="str">
        <f>IFERROR(IF(VLOOKUP(C521,[4]List1!$A:$D,4,FALSE)=0,"",VLOOKUP(C521,[4]List1!$A:$D,4,FALSE)),"")</f>
        <v/>
      </c>
      <c r="AA521" s="707"/>
      <c r="AB521" s="912" t="str">
        <f>IFERROR(IF(VLOOKUP(C521,[1]List1!$A:$D,2,FALSE)="VYPRODÁNO",$V$9,IF(VLOOKUP(C521,[1]List1!$A:$D,2,FALSE)="DOCHÁZÍ",$V$3,VLOOKUP(C521,[1]List1!$A:$D,2,FALSE))),"OFFLINE!")</f>
        <v>SKLADEM</v>
      </c>
      <c r="AC521" s="912" t="str">
        <f ca="1">IF(AO521="NE",$V$10,IF(AB521=$V$3,IF(AP521&lt;1,$V$8,$V$2&amp;" "&amp;AP521&amp;" "&amp;$V$1),IF(AB521="SKLADEM",$V$6,IFERROR(IF(OR(AB521-TODAY()&gt;21,VLOOKUP(C521,[1]List1!$A:$E,4,FALSE)=0),AB521,DAY(AB521)&amp;"."&amp;MONTH(AB521)&amp;"."&amp;YEAR(AB521)&amp;" "&amp;$V$4&amp;VLOOKUP(C521,[1]List1!$A:$E,4,FALSE)&amp;" "&amp;$V$1),AB521))))</f>
        <v>AUF LAGER</v>
      </c>
      <c r="AD521" s="701">
        <f>_xlfn.IFNA(VLOOKUP(C521,'General price list'!C:AM,MATCH($AD$20,'General price list'!$C$20:$AM$20,0),FALSE),"")</f>
        <v>0</v>
      </c>
      <c r="AE521" s="695">
        <f t="shared" si="92"/>
        <v>0</v>
      </c>
      <c r="AF521" s="695">
        <f t="shared" si="93"/>
        <v>0</v>
      </c>
      <c r="AG521" s="702">
        <f t="shared" si="94"/>
        <v>0</v>
      </c>
      <c r="AH521" s="703">
        <f t="shared" si="95"/>
        <v>0</v>
      </c>
      <c r="AI521" s="702">
        <f t="shared" si="96"/>
        <v>0</v>
      </c>
      <c r="AJ521" s="704" t="str">
        <f t="shared" si="97"/>
        <v/>
      </c>
      <c r="AK521" s="704" t="str">
        <f t="shared" si="98"/>
        <v/>
      </c>
      <c r="AL521" s="704" t="str">
        <f t="shared" si="99"/>
        <v/>
      </c>
      <c r="AM521" s="705" t="str">
        <f t="shared" si="100"/>
        <v/>
      </c>
      <c r="AN521" s="382"/>
      <c r="AO521" s="314" t="str">
        <f>IF($R$3=1,IF(Y521=AA521,"","NE"),IF(#REF!=$V$10,"NE",""))</f>
        <v/>
      </c>
      <c r="AP521" s="315" t="str">
        <f>IF(AB521=$V$3,IF(VLOOKUP(C521,[1]List1!$A:$E,5,FALSE)=0,1,VLOOKUP(C521,[1]List1!$A:$E,5,FALSE)),"")</f>
        <v/>
      </c>
      <c r="AW521" s="458">
        <f>IFERROR(FIND(VLOOKUP('General price list'!$AB$7,'General price list'!$AC$1:$AD$12,2,FALSE),Q521,1),0)</f>
        <v>0</v>
      </c>
      <c r="AX521" s="458">
        <f>IFERROR(FIND(VLOOKUP('General price list'!$AB$7,'General price list'!$AC$1:$AD$12,2,FALSE),R521,1),0)</f>
        <v>0</v>
      </c>
    </row>
    <row r="522" spans="1:50" ht="15" customHeight="1">
      <c r="A522" s="672" t="str">
        <f>Kat.!C522</f>
        <v xml:space="preserve">                                          Batterien 49 schuss, 30mm schräg Mörser-1.3G</v>
      </c>
      <c r="B522" s="678">
        <v>501</v>
      </c>
      <c r="C522" s="679"/>
      <c r="D522" s="679"/>
      <c r="E522" s="680"/>
      <c r="F522" s="681" t="str">
        <f>IFERROR(ROUND(VLOOKUP(C522,'General price list'!$C:$AN,4,FALSE),0),"")</f>
        <v/>
      </c>
      <c r="G522" s="682" t="str">
        <f t="shared" si="89"/>
        <v/>
      </c>
      <c r="H522" s="683" t="str">
        <f t="shared" si="90"/>
        <v/>
      </c>
      <c r="I522" s="836"/>
      <c r="J522" s="680"/>
      <c r="K522" s="854"/>
      <c r="L522" s="855"/>
      <c r="M522" s="680"/>
      <c r="N522" s="868" t="str">
        <f>IFERROR(IF(VLOOKUP($C522,'General price list'!$C:$AN,MATCH(N$20,'General price list'!$C$20:$AM$20,0),FALSE)=0,"",VLOOKUP($C522,'General price list'!$C:$AN,MATCH(N$20,'General price list'!$C$20:$AM$20,0),FALSE)),"")</f>
        <v/>
      </c>
      <c r="O522" s="836" t="str">
        <f>IFERROR(IF(VLOOKUP($C522,'General price list'!$C:$AN,MATCH(O$20,'General price list'!$C$20:$AM$20,0),FALSE)=0,"",VLOOKUP($C522,'General price list'!$C:$AN,MATCH(O$20,'General price list'!$C$20:$AM$20,0),FALSE)),"")</f>
        <v/>
      </c>
      <c r="P522" s="836" t="str">
        <f>IFERROR(IF(VLOOKUP($C522,'General price list'!$C:$AN,MATCH(P$20,'General price list'!$C$20:$AM$20,0),FALSE)=0,"",VLOOKUP($C522,'General price list'!$C:$AN,MATCH(P$20,'General price list'!$C$20:$AM$20,0),FALSE)),"")</f>
        <v/>
      </c>
      <c r="Q522" s="680"/>
      <c r="R522" s="680"/>
      <c r="S522" s="680"/>
      <c r="T522" s="681"/>
      <c r="U522" s="873"/>
      <c r="V522" s="684"/>
      <c r="W522" s="685" t="str">
        <f>IFERROR(VLOOKUP($C522,'General price list'!$C:$AN,MATCH(W$20,'General price list'!$C$20:$AM$20,0),FALSE),"")</f>
        <v/>
      </c>
      <c r="X522" s="889" t="str">
        <f t="shared" si="91"/>
        <v/>
      </c>
      <c r="Y522" s="890"/>
      <c r="Z522" s="685" t="str">
        <f>IFERROR(VLOOKUP($C522,'General price list'!$C:$AN,MATCH(Z$20,'General price list'!$C$20:$AM$20,0),FALSE),"")</f>
        <v/>
      </c>
      <c r="AA522" s="707"/>
      <c r="AB522" s="911" t="str">
        <f>IFERROR(IF(VLOOKUP(C522,[1]List1!$A:$D,2,FALSE)="VYPRODÁNO",$V$9,IF(VLOOKUP(C522,[1]List1!$A:$D,2,FALSE)="DOCHÁZÍ",$V$3,VLOOKUP(C522,[1]List1!$A:$D,2,FALSE))),"OFFLINE!")</f>
        <v>OFFLINE!</v>
      </c>
      <c r="AC522" s="911" t="str">
        <f ca="1">IF(AO522="NE",$V$10,IF(AB522=$V$3,IF(AP522&lt;1,$V$8,$V$2&amp;" "&amp;AP522&amp;" "&amp;$V$1),IF(AB522="SKLADEM",$V$6,IFERROR(IF(OR(AB522-TODAY()&gt;21,VLOOKUP(C522,[1]List1!$A:$E,4,FALSE)=0),AB522,DAY(AB522)&amp;"."&amp;MONTH(AB522)&amp;"."&amp;YEAR(AB522)&amp;" "&amp;$V$4&amp;VLOOKUP(C522,[1]List1!$A:$E,4,FALSE)&amp;" "&amp;$V$1),AB522))))</f>
        <v>OFFLINE!</v>
      </c>
      <c r="AD522" s="686" t="str">
        <f>_xlfn.IFNA(VLOOKUP(C522,'General price list'!C:AM,MATCH($AD$20,'General price list'!$C$20:$AM$20,0),FALSE),"")</f>
        <v/>
      </c>
      <c r="AE522" s="681" t="str">
        <f t="shared" si="92"/>
        <v/>
      </c>
      <c r="AF522" s="681" t="str">
        <f t="shared" si="93"/>
        <v/>
      </c>
      <c r="AG522" s="687" t="str">
        <f t="shared" si="94"/>
        <v/>
      </c>
      <c r="AH522" s="688" t="str">
        <f t="shared" si="95"/>
        <v/>
      </c>
      <c r="AI522" s="687" t="str">
        <f t="shared" si="96"/>
        <v/>
      </c>
      <c r="AJ522" s="689" t="str">
        <f t="shared" si="97"/>
        <v/>
      </c>
      <c r="AK522" s="689" t="str">
        <f t="shared" si="98"/>
        <v/>
      </c>
      <c r="AL522" s="689" t="str">
        <f t="shared" si="99"/>
        <v/>
      </c>
      <c r="AM522" s="690" t="str">
        <f t="shared" si="100"/>
        <v/>
      </c>
      <c r="AN522" s="381"/>
      <c r="AO522" s="314" t="str">
        <f>IF($R$3=1,IF(Y522=AA522,"","NE"),IF(#REF!=$V$10,"NE",""))</f>
        <v/>
      </c>
      <c r="AP522" s="315" t="str">
        <f>IF(AB522=$V$3,IF(VLOOKUP(C522,[1]List1!$A:$E,5,FALSE)=0,1,VLOOKUP(C522,[1]List1!$A:$E,5,FALSE)),"")</f>
        <v/>
      </c>
      <c r="AW522" s="291" t="e">
        <f>VLOOKUP(C522,'General price list'!C:AU,46,FALSE)</f>
        <v>#N/A</v>
      </c>
      <c r="AX522" s="291" t="e">
        <f>VLOOKUP(C522,'General price list'!C:AU,47,FALSE)</f>
        <v>#N/A</v>
      </c>
    </row>
    <row r="523" spans="1:50" ht="15" customHeight="1">
      <c r="A523" s="691" t="str">
        <f>Kat.!C523</f>
        <v xml:space="preserve">                                          </v>
      </c>
      <c r="B523" s="692">
        <v>502</v>
      </c>
      <c r="C523" s="693" t="s">
        <v>2155</v>
      </c>
      <c r="D523" s="693" t="s">
        <v>2156</v>
      </c>
      <c r="E523" s="694" t="s">
        <v>129</v>
      </c>
      <c r="F523" s="695">
        <f>VLOOKUP(C523,[2]List1!$A:$D,2,FALSE)</f>
        <v>814</v>
      </c>
      <c r="G523" s="696">
        <f t="shared" si="89"/>
        <v>814</v>
      </c>
      <c r="H523" s="697">
        <f t="shared" si="90"/>
        <v>33.1</v>
      </c>
      <c r="I523" s="837">
        <v>1</v>
      </c>
      <c r="J523" s="698"/>
      <c r="K523" s="856">
        <v>7</v>
      </c>
      <c r="L523" s="857"/>
      <c r="M523" s="698"/>
      <c r="N523" s="869">
        <f>IFERROR(VLOOKUP(C523,[3]List1!$A:$D,4,FALSE),"N/A!")</f>
        <v>2.9819562500000001E-2</v>
      </c>
      <c r="O523" s="837">
        <f>IFERROR(VLOOKUP(C523,[3]List1!$A:$D,3,FALSE),"N/A!")</f>
        <v>0</v>
      </c>
      <c r="P523" s="837">
        <f>IFERROR(VLOOKUP(C523,[3]List1!$A:$D,2,FALSE),"N/A!")</f>
        <v>6319</v>
      </c>
      <c r="Q523" s="698"/>
      <c r="R523" s="698"/>
      <c r="S523" s="698"/>
      <c r="T523" s="695"/>
      <c r="U523" s="874"/>
      <c r="V523" s="699" t="str">
        <f>_xlfn.IFNA(HYPERLINK("https://www.klasekpyrotechnics.cz/cf493me"),"")</f>
        <v>https://www.klasekpyrotechnics.cz/cf493me</v>
      </c>
      <c r="W523" s="700" t="str">
        <f>IFERROR(VLOOKUP($C523,Popisy!A:P,MATCH($W$17,Popisy!$A$7:$P$7,0),FALSE),"---------------")</f>
        <v>Produktmodell - ohne Sprengstoff</v>
      </c>
      <c r="X523" s="891" t="str">
        <f t="shared" si="91"/>
        <v/>
      </c>
      <c r="Y523" s="892"/>
      <c r="Z523" s="700" t="str">
        <f>IFERROR(IF(VLOOKUP(C523,[4]List1!$A:$D,4,FALSE)=0,"",VLOOKUP(C523,[4]List1!$A:$D,4,FALSE)),"")</f>
        <v/>
      </c>
      <c r="AA523" s="707"/>
      <c r="AB523" s="912" t="str">
        <f>IFERROR(IF(VLOOKUP(C523,[1]List1!$A:$D,2,FALSE)="VYPRODÁNO",$V$9,IF(VLOOKUP(C523,[1]List1!$A:$D,2,FALSE)="DOCHÁZÍ",$V$3,VLOOKUP(C523,[1]List1!$A:$D,2,FALSE))),"OFFLINE!")</f>
        <v>SKLADEM</v>
      </c>
      <c r="AC523" s="912" t="str">
        <f ca="1">IF(AO523="NE",$V$10,IF(AB523=$V$3,IF(AP523&lt;1,$V$8,$V$2&amp;" "&amp;AP523&amp;" "&amp;$V$1),IF(AB523="SKLADEM",$V$6,IFERROR(IF(OR(AB523-TODAY()&gt;21,VLOOKUP(C523,[1]List1!$A:$E,4,FALSE)=0),AB523,DAY(AB523)&amp;"."&amp;MONTH(AB523)&amp;"."&amp;YEAR(AB523)&amp;" "&amp;$V$4&amp;VLOOKUP(C523,[1]List1!$A:$E,4,FALSE)&amp;" "&amp;$V$1),AB523))))</f>
        <v>AUF LAGER</v>
      </c>
      <c r="AD523" s="701" t="str">
        <f ca="1">_xlfn.IFNA(VLOOKUP(C523,'General price list'!C:AM,MATCH($AD$20,'General price list'!$C$20:$AM$20,0),FALSE),"")</f>
        <v>AUF LAGER</v>
      </c>
      <c r="AE523" s="695">
        <f t="shared" ca="1" si="92"/>
        <v>0</v>
      </c>
      <c r="AF523" s="695">
        <f t="shared" ca="1" si="93"/>
        <v>0</v>
      </c>
      <c r="AG523" s="702">
        <f t="shared" ca="1" si="94"/>
        <v>0</v>
      </c>
      <c r="AH523" s="703">
        <f t="shared" ca="1" si="95"/>
        <v>0</v>
      </c>
      <c r="AI523" s="702">
        <f t="shared" ca="1" si="96"/>
        <v>0</v>
      </c>
      <c r="AJ523" s="704" t="str">
        <f t="shared" ca="1" si="97"/>
        <v/>
      </c>
      <c r="AK523" s="704" t="str">
        <f t="shared" ca="1" si="98"/>
        <v/>
      </c>
      <c r="AL523" s="704" t="str">
        <f t="shared" ca="1" si="99"/>
        <v/>
      </c>
      <c r="AM523" s="705" t="str">
        <f t="shared" ca="1" si="100"/>
        <v/>
      </c>
      <c r="AN523" s="313"/>
      <c r="AO523" s="314" t="str">
        <f>IF($R$3=1,IF(Y523=AA523,"","NE"),IF(#REF!=$V$10,"NE",""))</f>
        <v/>
      </c>
      <c r="AP523" s="315" t="str">
        <f>IF(AB523=$V$3,IF(VLOOKUP(C523,[1]List1!$A:$E,5,FALSE)=0,1,VLOOKUP(C523,[1]List1!$A:$E,5,FALSE)),"")</f>
        <v/>
      </c>
      <c r="AW523" s="458">
        <f>IFERROR(FIND(VLOOKUP('General price list'!$AB$7,'General price list'!$AC$1:$AD$12,2,FALSE),Q523,1),0)</f>
        <v>0</v>
      </c>
      <c r="AX523" s="458">
        <f>IFERROR(FIND(VLOOKUP('General price list'!$AB$7,'General price list'!$AC$1:$AD$12,2,FALSE),R523,1),0)</f>
        <v>0</v>
      </c>
    </row>
    <row r="524" spans="1:50" ht="15" customHeight="1">
      <c r="A524" s="672" t="str">
        <f>Kat.!C524</f>
        <v xml:space="preserve">                                          Batterien 64 schuss, 30mm schräg Mörser-1.3G</v>
      </c>
      <c r="B524" s="678">
        <v>503</v>
      </c>
      <c r="C524" s="679"/>
      <c r="D524" s="679"/>
      <c r="E524" s="680"/>
      <c r="F524" s="681" t="str">
        <f>IFERROR(ROUND(VLOOKUP(C524,'General price list'!$C:$AN,4,FALSE),0),"")</f>
        <v/>
      </c>
      <c r="G524" s="682" t="str">
        <f t="shared" si="89"/>
        <v/>
      </c>
      <c r="H524" s="683" t="str">
        <f t="shared" si="90"/>
        <v/>
      </c>
      <c r="I524" s="836"/>
      <c r="J524" s="680"/>
      <c r="K524" s="854"/>
      <c r="L524" s="855"/>
      <c r="M524" s="680"/>
      <c r="N524" s="868" t="str">
        <f>IFERROR(IF(VLOOKUP($C524,'General price list'!$C:$AN,MATCH(N$20,'General price list'!$C$20:$AM$20,0),FALSE)=0,"",VLOOKUP($C524,'General price list'!$C:$AN,MATCH(N$20,'General price list'!$C$20:$AM$20,0),FALSE)),"")</f>
        <v/>
      </c>
      <c r="O524" s="836" t="str">
        <f>IFERROR(IF(VLOOKUP($C524,'General price list'!$C:$AN,MATCH(O$20,'General price list'!$C$20:$AM$20,0),FALSE)=0,"",VLOOKUP($C524,'General price list'!$C:$AN,MATCH(O$20,'General price list'!$C$20:$AM$20,0),FALSE)),"")</f>
        <v/>
      </c>
      <c r="P524" s="836" t="str">
        <f>IFERROR(IF(VLOOKUP($C524,'General price list'!$C:$AN,MATCH(P$20,'General price list'!$C$20:$AM$20,0),FALSE)=0,"",VLOOKUP($C524,'General price list'!$C:$AN,MATCH(P$20,'General price list'!$C$20:$AM$20,0),FALSE)),"")</f>
        <v/>
      </c>
      <c r="Q524" s="680"/>
      <c r="R524" s="680"/>
      <c r="S524" s="680"/>
      <c r="T524" s="681"/>
      <c r="U524" s="873"/>
      <c r="V524" s="684"/>
      <c r="W524" s="685" t="str">
        <f>IFERROR(VLOOKUP($C524,'General price list'!$C:$AN,MATCH(W$20,'General price list'!$C$20:$AM$20,0),FALSE),"")</f>
        <v/>
      </c>
      <c r="X524" s="889" t="str">
        <f t="shared" si="91"/>
        <v/>
      </c>
      <c r="Y524" s="890"/>
      <c r="Z524" s="685" t="str">
        <f>IFERROR(VLOOKUP($C524,'General price list'!$C:$AN,MATCH(Z$20,'General price list'!$C$20:$AM$20,0),FALSE),"")</f>
        <v/>
      </c>
      <c r="AA524" s="707"/>
      <c r="AB524" s="911" t="str">
        <f>IFERROR(IF(VLOOKUP(C524,[1]List1!$A:$D,2,FALSE)="VYPRODÁNO",$V$9,IF(VLOOKUP(C524,[1]List1!$A:$D,2,FALSE)="DOCHÁZÍ",$V$3,VLOOKUP(C524,[1]List1!$A:$D,2,FALSE))),"OFFLINE!")</f>
        <v>OFFLINE!</v>
      </c>
      <c r="AC524" s="911" t="str">
        <f ca="1">IF(AO524="NE",$V$10,IF(AB524=$V$3,IF(AP524&lt;1,$V$8,$V$2&amp;" "&amp;AP524&amp;" "&amp;$V$1),IF(AB524="SKLADEM",$V$6,IFERROR(IF(OR(AB524-TODAY()&gt;21,VLOOKUP(C524,[1]List1!$A:$E,4,FALSE)=0),AB524,DAY(AB524)&amp;"."&amp;MONTH(AB524)&amp;"."&amp;YEAR(AB524)&amp;" "&amp;$V$4&amp;VLOOKUP(C524,[1]List1!$A:$E,4,FALSE)&amp;" "&amp;$V$1),AB524))))</f>
        <v>OFFLINE!</v>
      </c>
      <c r="AD524" s="686" t="str">
        <f>_xlfn.IFNA(VLOOKUP(C524,'General price list'!C:AM,MATCH($AD$20,'General price list'!$C$20:$AM$20,0),FALSE),"")</f>
        <v/>
      </c>
      <c r="AE524" s="681" t="str">
        <f t="shared" si="92"/>
        <v/>
      </c>
      <c r="AF524" s="681" t="str">
        <f t="shared" si="93"/>
        <v/>
      </c>
      <c r="AG524" s="687" t="str">
        <f t="shared" si="94"/>
        <v/>
      </c>
      <c r="AH524" s="688" t="str">
        <f t="shared" si="95"/>
        <v/>
      </c>
      <c r="AI524" s="687" t="str">
        <f t="shared" si="96"/>
        <v/>
      </c>
      <c r="AJ524" s="689" t="str">
        <f t="shared" si="97"/>
        <v/>
      </c>
      <c r="AK524" s="689" t="str">
        <f t="shared" si="98"/>
        <v/>
      </c>
      <c r="AL524" s="689" t="str">
        <f t="shared" si="99"/>
        <v/>
      </c>
      <c r="AM524" s="690" t="str">
        <f t="shared" si="100"/>
        <v/>
      </c>
      <c r="AN524" s="313"/>
      <c r="AO524" s="314" t="str">
        <f>IF($R$3=1,IF(Y524=AA524,"","NE"),IF(#REF!=$V$10,"NE",""))</f>
        <v/>
      </c>
      <c r="AP524" s="315" t="str">
        <f>IF(AB524=$V$3,IF(VLOOKUP(C524,[1]List1!$A:$E,5,FALSE)=0,1,VLOOKUP(C524,[1]List1!$A:$E,5,FALSE)),"")</f>
        <v/>
      </c>
      <c r="AW524" s="291" t="e">
        <f>VLOOKUP(C524,'General price list'!C:AU,46,FALSE)</f>
        <v>#N/A</v>
      </c>
      <c r="AX524" s="291" t="e">
        <f>VLOOKUP(C524,'General price list'!C:AU,47,FALSE)</f>
        <v>#N/A</v>
      </c>
    </row>
    <row r="525" spans="1:50" ht="15" customHeight="1">
      <c r="A525" s="691" t="str">
        <f>Kat.!C525</f>
        <v xml:space="preserve">                                          </v>
      </c>
      <c r="B525" s="692">
        <v>504</v>
      </c>
      <c r="C525" s="693" t="s">
        <v>2159</v>
      </c>
      <c r="D525" s="693" t="s">
        <v>2160</v>
      </c>
      <c r="E525" s="694" t="s">
        <v>129</v>
      </c>
      <c r="F525" s="695">
        <f>VLOOKUP(C525,[2]List1!$A:$D,2,FALSE)</f>
        <v>1058</v>
      </c>
      <c r="G525" s="696">
        <f t="shared" si="89"/>
        <v>1058</v>
      </c>
      <c r="H525" s="697">
        <f t="shared" si="90"/>
        <v>43</v>
      </c>
      <c r="I525" s="837">
        <v>1</v>
      </c>
      <c r="J525" s="698"/>
      <c r="K525" s="856">
        <v>7</v>
      </c>
      <c r="L525" s="857"/>
      <c r="M525" s="698"/>
      <c r="N525" s="869">
        <f>IFERROR(VLOOKUP(C525,[3]List1!$A:$D,4,FALSE),"N/A!")</f>
        <v>3.6915375E-2</v>
      </c>
      <c r="O525" s="837">
        <f>IFERROR(VLOOKUP(C525,[3]List1!$A:$D,3,FALSE),"N/A!")</f>
        <v>0</v>
      </c>
      <c r="P525" s="837">
        <f>IFERROR(VLOOKUP(C525,[3]List1!$A:$D,2,FALSE),"N/A!")</f>
        <v>8502</v>
      </c>
      <c r="Q525" s="698"/>
      <c r="R525" s="698"/>
      <c r="S525" s="698"/>
      <c r="T525" s="695"/>
      <c r="U525" s="874"/>
      <c r="V525" s="699" t="str">
        <f>_xlfn.IFNA(HYPERLINK("https://www.klasekpyrotechnics.cz/cf643m"),"")</f>
        <v>https://www.klasekpyrotechnics.cz/cf643m</v>
      </c>
      <c r="W525" s="700" t="str">
        <f>IFERROR(VLOOKUP($C525,Popisy!A:P,MATCH($W$17,Popisy!$A$7:$P$7,0),FALSE),"---------------")</f>
        <v>Produktmodell - ohne Sprengstoff</v>
      </c>
      <c r="X525" s="891" t="str">
        <f t="shared" si="91"/>
        <v/>
      </c>
      <c r="Y525" s="892"/>
      <c r="Z525" s="700" t="str">
        <f>IFERROR(IF(VLOOKUP(C525,[4]List1!$A:$D,4,FALSE)=0,"",VLOOKUP(C525,[4]List1!$A:$D,4,FALSE)),"")</f>
        <v/>
      </c>
      <c r="AA525" s="707"/>
      <c r="AB525" s="912" t="str">
        <f>IFERROR(IF(VLOOKUP(C525,[1]List1!$A:$D,2,FALSE)="VYPRODÁNO",$V$9,IF(VLOOKUP(C525,[1]List1!$A:$D,2,FALSE)="DOCHÁZÍ",$V$3,VLOOKUP(C525,[1]List1!$A:$D,2,FALSE))),"OFFLINE!")</f>
        <v>SKLADEM</v>
      </c>
      <c r="AC525" s="912" t="str">
        <f ca="1">IF(AO525="NE",$V$10,IF(AB525=$V$3,IF(AP525&lt;1,$V$8,$V$2&amp;" "&amp;AP525&amp;" "&amp;$V$1),IF(AB525="SKLADEM",$V$6,IFERROR(IF(OR(AB525-TODAY()&gt;21,VLOOKUP(C525,[1]List1!$A:$E,4,FALSE)=0),AB525,DAY(AB525)&amp;"."&amp;MONTH(AB525)&amp;"."&amp;YEAR(AB525)&amp;" "&amp;$V$4&amp;VLOOKUP(C525,[1]List1!$A:$E,4,FALSE)&amp;" "&amp;$V$1),AB525))))</f>
        <v>AUF LAGER</v>
      </c>
      <c r="AD525" s="701" t="str">
        <f ca="1">_xlfn.IFNA(VLOOKUP(C525,'General price list'!C:AM,MATCH($AD$20,'General price list'!$C$20:$AM$20,0),FALSE),"")</f>
        <v>AUF LAGER</v>
      </c>
      <c r="AE525" s="695">
        <f t="shared" ca="1" si="92"/>
        <v>0</v>
      </c>
      <c r="AF525" s="695">
        <f t="shared" ca="1" si="93"/>
        <v>0</v>
      </c>
      <c r="AG525" s="702">
        <f t="shared" ca="1" si="94"/>
        <v>0</v>
      </c>
      <c r="AH525" s="703">
        <f t="shared" ca="1" si="95"/>
        <v>0</v>
      </c>
      <c r="AI525" s="702">
        <f t="shared" ca="1" si="96"/>
        <v>0</v>
      </c>
      <c r="AJ525" s="704" t="str">
        <f t="shared" ca="1" si="97"/>
        <v/>
      </c>
      <c r="AK525" s="704" t="str">
        <f t="shared" ca="1" si="98"/>
        <v/>
      </c>
      <c r="AL525" s="704" t="str">
        <f t="shared" ca="1" si="99"/>
        <v/>
      </c>
      <c r="AM525" s="705" t="str">
        <f t="shared" ca="1" si="100"/>
        <v/>
      </c>
      <c r="AN525" s="313"/>
      <c r="AO525" s="314" t="str">
        <f>IF($R$3=1,IF(Y525=AA525,"","NE"),IF(#REF!=$V$10,"NE",""))</f>
        <v/>
      </c>
      <c r="AP525" s="315" t="str">
        <f>IF(AB525=$V$3,IF(VLOOKUP(C525,[1]List1!$A:$E,5,FALSE)=0,1,VLOOKUP(C525,[1]List1!$A:$E,5,FALSE)),"")</f>
        <v/>
      </c>
      <c r="AW525" s="458">
        <f>IFERROR(FIND(VLOOKUP('General price list'!$AB$7,'General price list'!$AC$1:$AD$12,2,FALSE),Q525,1),0)</f>
        <v>0</v>
      </c>
      <c r="AX525" s="458">
        <f>IFERROR(FIND(VLOOKUP('General price list'!$AB$7,'General price list'!$AC$1:$AD$12,2,FALSE),R525,1),0)</f>
        <v>0</v>
      </c>
    </row>
    <row r="526" spans="1:50" ht="15" customHeight="1">
      <c r="A526" s="672" t="str">
        <f>Kat.!C526</f>
        <v xml:space="preserve">                                          Batterien 64 schuss, 30mm gerader+schräg Mörser-1.3G</v>
      </c>
      <c r="B526" s="678">
        <v>505</v>
      </c>
      <c r="C526" s="679"/>
      <c r="D526" s="679"/>
      <c r="E526" s="680"/>
      <c r="F526" s="681" t="str">
        <f>IFERROR(ROUND(VLOOKUP(C526,'General price list'!$C:$AN,4,FALSE),0),"")</f>
        <v/>
      </c>
      <c r="G526" s="682" t="str">
        <f t="shared" si="89"/>
        <v/>
      </c>
      <c r="H526" s="683" t="str">
        <f t="shared" si="90"/>
        <v/>
      </c>
      <c r="I526" s="836"/>
      <c r="J526" s="680"/>
      <c r="K526" s="854"/>
      <c r="L526" s="855"/>
      <c r="M526" s="680"/>
      <c r="N526" s="868" t="str">
        <f>IFERROR(IF(VLOOKUP($C526,'General price list'!$C:$AN,MATCH(N$20,'General price list'!$C$20:$AM$20,0),FALSE)=0,"",VLOOKUP($C526,'General price list'!$C:$AN,MATCH(N$20,'General price list'!$C$20:$AM$20,0),FALSE)),"")</f>
        <v/>
      </c>
      <c r="O526" s="836" t="str">
        <f>IFERROR(IF(VLOOKUP($C526,'General price list'!$C:$AN,MATCH(O$20,'General price list'!$C$20:$AM$20,0),FALSE)=0,"",VLOOKUP($C526,'General price list'!$C:$AN,MATCH(O$20,'General price list'!$C$20:$AM$20,0),FALSE)),"")</f>
        <v/>
      </c>
      <c r="P526" s="836" t="str">
        <f>IFERROR(IF(VLOOKUP($C526,'General price list'!$C:$AN,MATCH(P$20,'General price list'!$C$20:$AM$20,0),FALSE)=0,"",VLOOKUP($C526,'General price list'!$C:$AN,MATCH(P$20,'General price list'!$C$20:$AM$20,0),FALSE)),"")</f>
        <v/>
      </c>
      <c r="Q526" s="680"/>
      <c r="R526" s="680"/>
      <c r="S526" s="680"/>
      <c r="T526" s="681"/>
      <c r="U526" s="873"/>
      <c r="V526" s="684"/>
      <c r="W526" s="685" t="str">
        <f>IFERROR(VLOOKUP($C526,'General price list'!$C:$AN,MATCH(W$20,'General price list'!$C$20:$AM$20,0),FALSE),"")</f>
        <v/>
      </c>
      <c r="X526" s="889" t="str">
        <f t="shared" si="91"/>
        <v/>
      </c>
      <c r="Y526" s="890"/>
      <c r="Z526" s="685" t="str">
        <f>IFERROR(VLOOKUP($C526,'General price list'!$C:$AN,MATCH(Z$20,'General price list'!$C$20:$AM$20,0),FALSE),"")</f>
        <v/>
      </c>
      <c r="AA526" s="707"/>
      <c r="AB526" s="911" t="str">
        <f>IFERROR(IF(VLOOKUP(C526,[1]List1!$A:$D,2,FALSE)="VYPRODÁNO",$V$9,IF(VLOOKUP(C526,[1]List1!$A:$D,2,FALSE)="DOCHÁZÍ",$V$3,VLOOKUP(C526,[1]List1!$A:$D,2,FALSE))),"OFFLINE!")</f>
        <v>OFFLINE!</v>
      </c>
      <c r="AC526" s="911" t="str">
        <f ca="1">IF(AO526="NE",$V$10,IF(AB526=$V$3,IF(AP526&lt;1,$V$8,$V$2&amp;" "&amp;AP526&amp;" "&amp;$V$1),IF(AB526="SKLADEM",$V$6,IFERROR(IF(OR(AB526-TODAY()&gt;21,VLOOKUP(C526,[1]List1!$A:$E,4,FALSE)=0),AB526,DAY(AB526)&amp;"."&amp;MONTH(AB526)&amp;"."&amp;YEAR(AB526)&amp;" "&amp;$V$4&amp;VLOOKUP(C526,[1]List1!$A:$E,4,FALSE)&amp;" "&amp;$V$1),AB526))))</f>
        <v>OFFLINE!</v>
      </c>
      <c r="AD526" s="686" t="str">
        <f>_xlfn.IFNA(VLOOKUP(C526,'General price list'!C:AM,MATCH($AD$20,'General price list'!$C$20:$AM$20,0),FALSE),"")</f>
        <v/>
      </c>
      <c r="AE526" s="681" t="str">
        <f t="shared" si="92"/>
        <v/>
      </c>
      <c r="AF526" s="681" t="str">
        <f t="shared" si="93"/>
        <v/>
      </c>
      <c r="AG526" s="687" t="str">
        <f t="shared" si="94"/>
        <v/>
      </c>
      <c r="AH526" s="688" t="str">
        <f t="shared" si="95"/>
        <v/>
      </c>
      <c r="AI526" s="687" t="str">
        <f t="shared" si="96"/>
        <v/>
      </c>
      <c r="AJ526" s="689" t="str">
        <f t="shared" si="97"/>
        <v/>
      </c>
      <c r="AK526" s="689" t="str">
        <f t="shared" si="98"/>
        <v/>
      </c>
      <c r="AL526" s="689" t="str">
        <f t="shared" si="99"/>
        <v/>
      </c>
      <c r="AM526" s="690" t="str">
        <f t="shared" si="100"/>
        <v/>
      </c>
      <c r="AN526" s="381"/>
      <c r="AO526" s="314" t="str">
        <f>IF($R$3=1,IF(Y526=AA526,"","NE"),IF(#REF!=$V$10,"NE",""))</f>
        <v/>
      </c>
      <c r="AP526" s="315" t="str">
        <f>IF(AB526=$V$3,IF(VLOOKUP(C526,[1]List1!$A:$E,5,FALSE)=0,1,VLOOKUP(C526,[1]List1!$A:$E,5,FALSE)),"")</f>
        <v/>
      </c>
      <c r="AW526" s="291" t="e">
        <f>VLOOKUP(C526,'General price list'!C:AU,46,FALSE)</f>
        <v>#N/A</v>
      </c>
      <c r="AX526" s="291" t="e">
        <f>VLOOKUP(C526,'General price list'!C:AU,47,FALSE)</f>
        <v>#N/A</v>
      </c>
    </row>
    <row r="527" spans="1:50" ht="15" customHeight="1">
      <c r="A527" s="691" t="str">
        <f>Kat.!C527</f>
        <v xml:space="preserve">                                          </v>
      </c>
      <c r="B527" s="692">
        <v>506</v>
      </c>
      <c r="C527" s="693" t="s">
        <v>2161</v>
      </c>
      <c r="D527" s="693" t="s">
        <v>2162</v>
      </c>
      <c r="E527" s="694" t="s">
        <v>129</v>
      </c>
      <c r="F527" s="695">
        <f>VLOOKUP(C527,[2]List1!$A:$D,2,FALSE)</f>
        <v>963</v>
      </c>
      <c r="G527" s="696">
        <f t="shared" si="89"/>
        <v>963</v>
      </c>
      <c r="H527" s="697">
        <f t="shared" si="90"/>
        <v>39.200000000000003</v>
      </c>
      <c r="I527" s="837">
        <v>1</v>
      </c>
      <c r="J527" s="698"/>
      <c r="K527" s="856">
        <v>7</v>
      </c>
      <c r="L527" s="857"/>
      <c r="M527" s="698"/>
      <c r="N527" s="869">
        <f>IFERROR(VLOOKUP(C527,[3]List1!$A:$D,4,FALSE),"N/A!")</f>
        <v>2.5917937499999998E-2</v>
      </c>
      <c r="O527" s="837">
        <f>IFERROR(VLOOKUP(C527,[3]List1!$A:$D,3,FALSE),"N/A!")</f>
        <v>0</v>
      </c>
      <c r="P527" s="837">
        <f>IFERROR(VLOOKUP(C527,[3]List1!$A:$D,2,FALSE),"N/A!")</f>
        <v>7552</v>
      </c>
      <c r="Q527" s="698"/>
      <c r="R527" s="698"/>
      <c r="S527" s="698"/>
      <c r="T527" s="695"/>
      <c r="U527" s="874"/>
      <c r="V527" s="699" t="str">
        <f>_xlfn.IFNA(HYPERLINK("https://www.klasekpyrotechnics.cz/c643mn"),"")</f>
        <v>https://www.klasekpyrotechnics.cz/c643mn</v>
      </c>
      <c r="W527" s="700" t="str">
        <f>IFERROR(VLOOKUP($C527,Popisy!A:P,MATCH($W$17,Popisy!$A$7:$P$7,0),FALSE),"---------------")</f>
        <v>Produktmodell - ohne Sprengstoff</v>
      </c>
      <c r="X527" s="891" t="str">
        <f t="shared" si="91"/>
        <v/>
      </c>
      <c r="Y527" s="892"/>
      <c r="Z527" s="700" t="str">
        <f>IFERROR(IF(VLOOKUP(C527,[4]List1!$A:$D,4,FALSE)=0,"",VLOOKUP(C527,[4]List1!$A:$D,4,FALSE)),"")</f>
        <v/>
      </c>
      <c r="AA527" s="707"/>
      <c r="AB527" s="912" t="str">
        <f>IFERROR(IF(VLOOKUP(C527,[1]List1!$A:$D,2,FALSE)="VYPRODÁNO",$V$9,IF(VLOOKUP(C527,[1]List1!$A:$D,2,FALSE)="DOCHÁZÍ",$V$3,VLOOKUP(C527,[1]List1!$A:$D,2,FALSE))),"OFFLINE!")</f>
        <v>SKLADEM</v>
      </c>
      <c r="AC527" s="912" t="str">
        <f ca="1">IF(AO527="NE",$V$10,IF(AB527=$V$3,IF(AP527&lt;1,$V$8,$V$2&amp;" "&amp;AP527&amp;" "&amp;$V$1),IF(AB527="SKLADEM",$V$6,IFERROR(IF(OR(AB527-TODAY()&gt;21,VLOOKUP(C527,[1]List1!$A:$E,4,FALSE)=0),AB527,DAY(AB527)&amp;"."&amp;MONTH(AB527)&amp;"."&amp;YEAR(AB527)&amp;" "&amp;$V$4&amp;VLOOKUP(C527,[1]List1!$A:$E,4,FALSE)&amp;" "&amp;$V$1),AB527))))</f>
        <v>AUF LAGER</v>
      </c>
      <c r="AD527" s="701" t="str">
        <f ca="1">_xlfn.IFNA(VLOOKUP(C527,'General price list'!C:AM,MATCH($AD$20,'General price list'!$C$20:$AM$20,0),FALSE),"")</f>
        <v>AUF LAGER</v>
      </c>
      <c r="AE527" s="695">
        <f t="shared" ca="1" si="92"/>
        <v>0</v>
      </c>
      <c r="AF527" s="695">
        <f t="shared" ca="1" si="93"/>
        <v>0</v>
      </c>
      <c r="AG527" s="702">
        <f t="shared" ca="1" si="94"/>
        <v>0</v>
      </c>
      <c r="AH527" s="703">
        <f t="shared" ca="1" si="95"/>
        <v>0</v>
      </c>
      <c r="AI527" s="702">
        <f t="shared" ca="1" si="96"/>
        <v>0</v>
      </c>
      <c r="AJ527" s="704" t="str">
        <f t="shared" ca="1" si="97"/>
        <v/>
      </c>
      <c r="AK527" s="704" t="str">
        <f t="shared" ca="1" si="98"/>
        <v/>
      </c>
      <c r="AL527" s="704" t="str">
        <f t="shared" ca="1" si="99"/>
        <v/>
      </c>
      <c r="AM527" s="705" t="str">
        <f t="shared" ca="1" si="100"/>
        <v/>
      </c>
      <c r="AN527" s="382"/>
      <c r="AO527" s="314" t="str">
        <f>IF($R$3=1,IF(Y527=AA527,"","NE"),IF(#REF!=$V$10,"NE",""))</f>
        <v/>
      </c>
      <c r="AP527" s="315" t="str">
        <f>IF(AB527=$V$3,IF(VLOOKUP(C527,[1]List1!$A:$E,5,FALSE)=0,1,VLOOKUP(C527,[1]List1!$A:$E,5,FALSE)),"")</f>
        <v/>
      </c>
      <c r="AW527" s="458">
        <f>IFERROR(FIND(VLOOKUP('General price list'!$AB$7,'General price list'!$AC$1:$AD$12,2,FALSE),Q527,1),0)</f>
        <v>0</v>
      </c>
      <c r="AX527" s="458">
        <f>IFERROR(FIND(VLOOKUP('General price list'!$AB$7,'General price list'!$AC$1:$AD$12,2,FALSE),R527,1),0)</f>
        <v>0</v>
      </c>
    </row>
    <row r="528" spans="1:50" ht="15" customHeight="1">
      <c r="A528" s="672" t="str">
        <f>Kat.!C528</f>
        <v xml:space="preserve">                                          Batterien 16 schuss, 50mm Mörser-1.3G</v>
      </c>
      <c r="B528" s="678">
        <v>507</v>
      </c>
      <c r="C528" s="679"/>
      <c r="D528" s="679"/>
      <c r="E528" s="680"/>
      <c r="F528" s="681" t="str">
        <f>IFERROR(ROUND(VLOOKUP(C528,'General price list'!$C:$AN,4,FALSE),0),"")</f>
        <v/>
      </c>
      <c r="G528" s="682" t="str">
        <f t="shared" si="89"/>
        <v/>
      </c>
      <c r="H528" s="683" t="str">
        <f t="shared" si="90"/>
        <v/>
      </c>
      <c r="I528" s="836"/>
      <c r="J528" s="680"/>
      <c r="K528" s="854"/>
      <c r="L528" s="855"/>
      <c r="M528" s="680"/>
      <c r="N528" s="868" t="str">
        <f>IFERROR(IF(VLOOKUP($C528,'General price list'!$C:$AN,MATCH(N$20,'General price list'!$C$20:$AM$20,0),FALSE)=0,"",VLOOKUP($C528,'General price list'!$C:$AN,MATCH(N$20,'General price list'!$C$20:$AM$20,0),FALSE)),"")</f>
        <v/>
      </c>
      <c r="O528" s="836" t="str">
        <f>IFERROR(IF(VLOOKUP($C528,'General price list'!$C:$AN,MATCH(O$20,'General price list'!$C$20:$AM$20,0),FALSE)=0,"",VLOOKUP($C528,'General price list'!$C:$AN,MATCH(O$20,'General price list'!$C$20:$AM$20,0),FALSE)),"")</f>
        <v/>
      </c>
      <c r="P528" s="836" t="str">
        <f>IFERROR(IF(VLOOKUP($C528,'General price list'!$C:$AN,MATCH(P$20,'General price list'!$C$20:$AM$20,0),FALSE)=0,"",VLOOKUP($C528,'General price list'!$C:$AN,MATCH(P$20,'General price list'!$C$20:$AM$20,0),FALSE)),"")</f>
        <v/>
      </c>
      <c r="Q528" s="680"/>
      <c r="R528" s="680"/>
      <c r="S528" s="680"/>
      <c r="T528" s="681"/>
      <c r="U528" s="873"/>
      <c r="V528" s="684"/>
      <c r="W528" s="685" t="str">
        <f>IFERROR(VLOOKUP($C528,'General price list'!$C:$AN,MATCH(W$20,'General price list'!$C$20:$AM$20,0),FALSE),"")</f>
        <v/>
      </c>
      <c r="X528" s="889" t="str">
        <f t="shared" si="91"/>
        <v/>
      </c>
      <c r="Y528" s="890"/>
      <c r="Z528" s="685" t="str">
        <f>IFERROR(VLOOKUP($C528,'General price list'!$C:$AN,MATCH(Z$20,'General price list'!$C$20:$AM$20,0),FALSE),"")</f>
        <v/>
      </c>
      <c r="AA528" s="707"/>
      <c r="AB528" s="911" t="str">
        <f>IFERROR(IF(VLOOKUP(C528,[1]List1!$A:$D,2,FALSE)="VYPRODÁNO",$V$9,IF(VLOOKUP(C528,[1]List1!$A:$D,2,FALSE)="DOCHÁZÍ",$V$3,VLOOKUP(C528,[1]List1!$A:$D,2,FALSE))),"OFFLINE!")</f>
        <v>OFFLINE!</v>
      </c>
      <c r="AC528" s="911" t="str">
        <f ca="1">IF(AO528="NE",$V$10,IF(AB528=$V$3,IF(AP528&lt;1,$V$8,$V$2&amp;" "&amp;AP528&amp;" "&amp;$V$1),IF(AB528="SKLADEM",$V$6,IFERROR(IF(OR(AB528-TODAY()&gt;21,VLOOKUP(C528,[1]List1!$A:$E,4,FALSE)=0),AB528,DAY(AB528)&amp;"."&amp;MONTH(AB528)&amp;"."&amp;YEAR(AB528)&amp;" "&amp;$V$4&amp;VLOOKUP(C528,[1]List1!$A:$E,4,FALSE)&amp;" "&amp;$V$1),AB528))))</f>
        <v>OFFLINE!</v>
      </c>
      <c r="AD528" s="686" t="str">
        <f>_xlfn.IFNA(VLOOKUP(C528,'General price list'!C:AM,MATCH($AD$20,'General price list'!$C$20:$AM$20,0),FALSE),"")</f>
        <v/>
      </c>
      <c r="AE528" s="681" t="str">
        <f t="shared" si="92"/>
        <v/>
      </c>
      <c r="AF528" s="681" t="str">
        <f t="shared" si="93"/>
        <v/>
      </c>
      <c r="AG528" s="687" t="str">
        <f t="shared" si="94"/>
        <v/>
      </c>
      <c r="AH528" s="688" t="str">
        <f t="shared" si="95"/>
        <v/>
      </c>
      <c r="AI528" s="687" t="str">
        <f t="shared" si="96"/>
        <v/>
      </c>
      <c r="AJ528" s="689" t="str">
        <f t="shared" si="97"/>
        <v/>
      </c>
      <c r="AK528" s="689" t="str">
        <f t="shared" si="98"/>
        <v/>
      </c>
      <c r="AL528" s="689" t="str">
        <f t="shared" si="99"/>
        <v/>
      </c>
      <c r="AM528" s="690" t="str">
        <f t="shared" si="100"/>
        <v/>
      </c>
      <c r="AN528" s="381"/>
      <c r="AO528" s="314" t="str">
        <f>IF($R$3=1,IF(Y528=AA528,"","NE"),IF(#REF!=$V$10,"NE",""))</f>
        <v/>
      </c>
      <c r="AP528" s="315" t="str">
        <f>IF(AB528=$V$3,IF(VLOOKUP(C528,[1]List1!$A:$E,5,FALSE)=0,1,VLOOKUP(C528,[1]List1!$A:$E,5,FALSE)),"")</f>
        <v/>
      </c>
      <c r="AW528" s="291" t="e">
        <f>VLOOKUP(C528,'General price list'!C:AU,46,FALSE)</f>
        <v>#N/A</v>
      </c>
      <c r="AX528" s="291" t="e">
        <f>VLOOKUP(C528,'General price list'!C:AU,47,FALSE)</f>
        <v>#N/A</v>
      </c>
    </row>
    <row r="529" spans="1:50" ht="15" customHeight="1">
      <c r="A529" s="691" t="str">
        <f>Kat.!C529</f>
        <v xml:space="preserve">                                          </v>
      </c>
      <c r="B529" s="692">
        <v>508</v>
      </c>
      <c r="C529" s="693" t="s">
        <v>2163</v>
      </c>
      <c r="D529" s="693" t="s">
        <v>2164</v>
      </c>
      <c r="E529" s="694" t="s">
        <v>129</v>
      </c>
      <c r="F529" s="695">
        <f>VLOOKUP(C529,[2]List1!$A:$D,2,FALSE)</f>
        <v>695</v>
      </c>
      <c r="G529" s="696">
        <f t="shared" si="89"/>
        <v>695</v>
      </c>
      <c r="H529" s="697">
        <f t="shared" si="90"/>
        <v>28.3</v>
      </c>
      <c r="I529" s="837">
        <v>1</v>
      </c>
      <c r="J529" s="698"/>
      <c r="K529" s="856">
        <v>7</v>
      </c>
      <c r="L529" s="857"/>
      <c r="M529" s="698"/>
      <c r="N529" s="869">
        <f>IFERROR(VLOOKUP(C529,[3]List1!$A:$D,4,FALSE),"N/A!")</f>
        <v>1.7749999999999998E-2</v>
      </c>
      <c r="O529" s="837">
        <f>IFERROR(VLOOKUP(C529,[3]List1!$A:$D,3,FALSE),"N/A!")</f>
        <v>0</v>
      </c>
      <c r="P529" s="837">
        <f>IFERROR(VLOOKUP(C529,[3]List1!$A:$D,2,FALSE),"N/A!")</f>
        <v>5534</v>
      </c>
      <c r="Q529" s="698"/>
      <c r="R529" s="698"/>
      <c r="S529" s="698"/>
      <c r="T529" s="695"/>
      <c r="U529" s="874"/>
      <c r="V529" s="699" t="str">
        <f>_xlfn.IFNA(HYPERLINK("https://www.klasekpyrotechnics.cz/c165p"),"")</f>
        <v>https://www.klasekpyrotechnics.cz/c165p</v>
      </c>
      <c r="W529" s="700" t="str">
        <f>IFERROR(VLOOKUP($C529,Popisy!A:P,MATCH($W$17,Popisy!$A$7:$P$7,0),FALSE),"---------------")</f>
        <v>Produktmodell - ohne Sprengstoff</v>
      </c>
      <c r="X529" s="891" t="str">
        <f t="shared" si="91"/>
        <v/>
      </c>
      <c r="Y529" s="892"/>
      <c r="Z529" s="700" t="str">
        <f>IFERROR(IF(VLOOKUP(C529,[4]List1!$A:$D,4,FALSE)=0,"",VLOOKUP(C529,[4]List1!$A:$D,4,FALSE)),"")</f>
        <v/>
      </c>
      <c r="AA529" s="707"/>
      <c r="AB529" s="912" t="str">
        <f>IFERROR(IF(VLOOKUP(C529,[1]List1!$A:$D,2,FALSE)="VYPRODÁNO",$V$9,IF(VLOOKUP(C529,[1]List1!$A:$D,2,FALSE)="DOCHÁZÍ",$V$3,VLOOKUP(C529,[1]List1!$A:$D,2,FALSE))),"OFFLINE!")</f>
        <v>SKLADEM</v>
      </c>
      <c r="AC529" s="912" t="str">
        <f ca="1">IF(AO529="NE",$V$10,IF(AB529=$V$3,IF(AP529&lt;1,$V$8,$V$2&amp;" "&amp;AP529&amp;" "&amp;$V$1),IF(AB529="SKLADEM",$V$6,IFERROR(IF(OR(AB529-TODAY()&gt;21,VLOOKUP(C529,[1]List1!$A:$E,4,FALSE)=0),AB529,DAY(AB529)&amp;"."&amp;MONTH(AB529)&amp;"."&amp;YEAR(AB529)&amp;" "&amp;$V$4&amp;VLOOKUP(C529,[1]List1!$A:$E,4,FALSE)&amp;" "&amp;$V$1),AB529))))</f>
        <v>AUF LAGER</v>
      </c>
      <c r="AD529" s="701" t="str">
        <f ca="1">_xlfn.IFNA(VLOOKUP(C529,'General price list'!C:AM,MATCH($AD$20,'General price list'!$C$20:$AM$20,0),FALSE),"")</f>
        <v>AUF LAGER</v>
      </c>
      <c r="AE529" s="695">
        <f t="shared" ca="1" si="92"/>
        <v>0</v>
      </c>
      <c r="AF529" s="695">
        <f t="shared" ca="1" si="93"/>
        <v>0</v>
      </c>
      <c r="AG529" s="702">
        <f t="shared" ca="1" si="94"/>
        <v>0</v>
      </c>
      <c r="AH529" s="703">
        <f t="shared" ca="1" si="95"/>
        <v>0</v>
      </c>
      <c r="AI529" s="702">
        <f t="shared" ca="1" si="96"/>
        <v>0</v>
      </c>
      <c r="AJ529" s="704" t="str">
        <f t="shared" ca="1" si="97"/>
        <v/>
      </c>
      <c r="AK529" s="704" t="str">
        <f t="shared" ca="1" si="98"/>
        <v/>
      </c>
      <c r="AL529" s="704" t="str">
        <f t="shared" ca="1" si="99"/>
        <v/>
      </c>
      <c r="AM529" s="705" t="str">
        <f t="shared" ca="1" si="100"/>
        <v/>
      </c>
      <c r="AN529" s="382"/>
      <c r="AO529" s="314" t="str">
        <f>IF($R$3=1,IF(Y529=AA529,"","NE"),IF(#REF!=$V$10,"NE",""))</f>
        <v/>
      </c>
      <c r="AP529" s="315" t="str">
        <f>IF(AB529=$V$3,IF(VLOOKUP(C529,[1]List1!$A:$E,5,FALSE)=0,1,VLOOKUP(C529,[1]List1!$A:$E,5,FALSE)),"")</f>
        <v/>
      </c>
      <c r="AW529" s="458">
        <f>IFERROR(FIND(VLOOKUP('General price list'!$AB$7,'General price list'!$AC$1:$AD$12,2,FALSE),Q529,1),0)</f>
        <v>0</v>
      </c>
      <c r="AX529" s="458">
        <f>IFERROR(FIND(VLOOKUP('General price list'!$AB$7,'General price list'!$AC$1:$AD$12,2,FALSE),R529,1),0)</f>
        <v>0</v>
      </c>
    </row>
    <row r="530" spans="1:50" ht="15" customHeight="1">
      <c r="A530" s="672" t="str">
        <f>Kat.!C530</f>
        <v xml:space="preserve">                                          Batterien 36 schuss, 36+50mm Mörser-1.3G</v>
      </c>
      <c r="B530" s="678">
        <v>509</v>
      </c>
      <c r="C530" s="679"/>
      <c r="D530" s="679"/>
      <c r="E530" s="680"/>
      <c r="F530" s="681" t="str">
        <f>IFERROR(ROUND(VLOOKUP(C530,'General price list'!$C:$AN,4,FALSE),0),"")</f>
        <v/>
      </c>
      <c r="G530" s="682" t="str">
        <f t="shared" si="89"/>
        <v/>
      </c>
      <c r="H530" s="683" t="str">
        <f t="shared" si="90"/>
        <v/>
      </c>
      <c r="I530" s="836"/>
      <c r="J530" s="680"/>
      <c r="K530" s="854"/>
      <c r="L530" s="855"/>
      <c r="M530" s="680"/>
      <c r="N530" s="868" t="str">
        <f>IFERROR(IF(VLOOKUP($C530,'General price list'!$C:$AN,MATCH(N$20,'General price list'!$C$20:$AM$20,0),FALSE)=0,"",VLOOKUP($C530,'General price list'!$C:$AN,MATCH(N$20,'General price list'!$C$20:$AM$20,0),FALSE)),"")</f>
        <v/>
      </c>
      <c r="O530" s="836" t="str">
        <f>IFERROR(IF(VLOOKUP($C530,'General price list'!$C:$AN,MATCH(O$20,'General price list'!$C$20:$AM$20,0),FALSE)=0,"",VLOOKUP($C530,'General price list'!$C:$AN,MATCH(O$20,'General price list'!$C$20:$AM$20,0),FALSE)),"")</f>
        <v/>
      </c>
      <c r="P530" s="836" t="str">
        <f>IFERROR(IF(VLOOKUP($C530,'General price list'!$C:$AN,MATCH(P$20,'General price list'!$C$20:$AM$20,0),FALSE)=0,"",VLOOKUP($C530,'General price list'!$C:$AN,MATCH(P$20,'General price list'!$C$20:$AM$20,0),FALSE)),"")</f>
        <v/>
      </c>
      <c r="Q530" s="680"/>
      <c r="R530" s="680"/>
      <c r="S530" s="680"/>
      <c r="T530" s="681"/>
      <c r="U530" s="873"/>
      <c r="V530" s="684"/>
      <c r="W530" s="685" t="str">
        <f>IFERROR(VLOOKUP($C530,'General price list'!$C:$AN,MATCH(W$20,'General price list'!$C$20:$AM$20,0),FALSE),"")</f>
        <v/>
      </c>
      <c r="X530" s="889" t="str">
        <f t="shared" si="91"/>
        <v/>
      </c>
      <c r="Y530" s="890"/>
      <c r="Z530" s="685" t="str">
        <f>IFERROR(VLOOKUP($C530,'General price list'!$C:$AN,MATCH(Z$20,'General price list'!$C$20:$AM$20,0),FALSE),"")</f>
        <v/>
      </c>
      <c r="AA530" s="707"/>
      <c r="AB530" s="911" t="str">
        <f>IFERROR(IF(VLOOKUP(C530,[1]List1!$A:$D,2,FALSE)="VYPRODÁNO",$V$9,IF(VLOOKUP(C530,[1]List1!$A:$D,2,FALSE)="DOCHÁZÍ",$V$3,VLOOKUP(C530,[1]List1!$A:$D,2,FALSE))),"OFFLINE!")</f>
        <v>OFFLINE!</v>
      </c>
      <c r="AC530" s="911" t="str">
        <f ca="1">IF(AO530="NE",$V$10,IF(AB530=$V$3,IF(AP530&lt;1,$V$8,$V$2&amp;" "&amp;AP530&amp;" "&amp;$V$1),IF(AB530="SKLADEM",$V$6,IFERROR(IF(OR(AB530-TODAY()&gt;21,VLOOKUP(C530,[1]List1!$A:$E,4,FALSE)=0),AB530,DAY(AB530)&amp;"."&amp;MONTH(AB530)&amp;"."&amp;YEAR(AB530)&amp;" "&amp;$V$4&amp;VLOOKUP(C530,[1]List1!$A:$E,4,FALSE)&amp;" "&amp;$V$1),AB530))))</f>
        <v>OFFLINE!</v>
      </c>
      <c r="AD530" s="686" t="str">
        <f>_xlfn.IFNA(VLOOKUP(C530,'General price list'!C:AM,MATCH($AD$20,'General price list'!$C$20:$AM$20,0),FALSE),"")</f>
        <v/>
      </c>
      <c r="AE530" s="681" t="str">
        <f t="shared" si="92"/>
        <v/>
      </c>
      <c r="AF530" s="681" t="str">
        <f t="shared" si="93"/>
        <v/>
      </c>
      <c r="AG530" s="687" t="str">
        <f t="shared" si="94"/>
        <v/>
      </c>
      <c r="AH530" s="688" t="str">
        <f t="shared" si="95"/>
        <v/>
      </c>
      <c r="AI530" s="687" t="str">
        <f t="shared" si="96"/>
        <v/>
      </c>
      <c r="AJ530" s="689" t="str">
        <f t="shared" si="97"/>
        <v/>
      </c>
      <c r="AK530" s="689" t="str">
        <f t="shared" si="98"/>
        <v/>
      </c>
      <c r="AL530" s="689" t="str">
        <f t="shared" si="99"/>
        <v/>
      </c>
      <c r="AM530" s="690" t="str">
        <f t="shared" si="100"/>
        <v/>
      </c>
      <c r="AN530" s="381"/>
      <c r="AO530" s="314" t="str">
        <f>IF($R$3=1,IF(Y530=AA530,"","NE"),IF(#REF!=$V$10,"NE",""))</f>
        <v/>
      </c>
      <c r="AP530" s="292" t="str">
        <f>IF(AB530=$V$3,IF(VLOOKUP(C530,[1]List1!$A:$E,5,FALSE)=0,1,VLOOKUP(C530,[1]List1!$A:$E,5,FALSE)),"")</f>
        <v/>
      </c>
      <c r="AW530" s="291" t="e">
        <f>VLOOKUP(C530,'General price list'!C:AU,46,FALSE)</f>
        <v>#N/A</v>
      </c>
      <c r="AX530" s="291" t="e">
        <f>VLOOKUP(C530,'General price list'!C:AU,47,FALSE)</f>
        <v>#N/A</v>
      </c>
    </row>
    <row r="531" spans="1:50" ht="15" customHeight="1">
      <c r="A531" s="691" t="str">
        <f>Kat.!C531</f>
        <v xml:space="preserve">                                          </v>
      </c>
      <c r="B531" s="692">
        <v>510</v>
      </c>
      <c r="C531" s="693" t="s">
        <v>2166</v>
      </c>
      <c r="D531" s="693" t="s">
        <v>2167</v>
      </c>
      <c r="E531" s="694" t="s">
        <v>129</v>
      </c>
      <c r="F531" s="695">
        <f>VLOOKUP(C531,[2]List1!$A:$D,2,FALSE)</f>
        <v>1056</v>
      </c>
      <c r="G531" s="696">
        <f t="shared" si="89"/>
        <v>1056</v>
      </c>
      <c r="H531" s="697">
        <f t="shared" si="90"/>
        <v>43</v>
      </c>
      <c r="I531" s="837">
        <v>1</v>
      </c>
      <c r="J531" s="698"/>
      <c r="K531" s="856">
        <v>7</v>
      </c>
      <c r="L531" s="857"/>
      <c r="M531" s="698"/>
      <c r="N531" s="869">
        <f>IFERROR(VLOOKUP(C531,[3]List1!$A:$D,4,FALSE),"N/A!")</f>
        <v>2.8440000000000003E-2</v>
      </c>
      <c r="O531" s="837">
        <f>IFERROR(VLOOKUP(C531,[3]List1!$A:$D,3,FALSE),"N/A!")</f>
        <v>0</v>
      </c>
      <c r="P531" s="837">
        <f>IFERROR(VLOOKUP(C531,[3]List1!$A:$D,2,FALSE),"N/A!")</f>
        <v>8342</v>
      </c>
      <c r="Q531" s="698"/>
      <c r="R531" s="698"/>
      <c r="S531" s="698"/>
      <c r="T531" s="695"/>
      <c r="U531" s="874"/>
      <c r="V531" s="699" t="str">
        <f>_xlfn.IFNA(HYPERLINK("https://www.klasekpyrotechnics.cz/c36mh"),"")</f>
        <v>https://www.klasekpyrotechnics.cz/c36mh</v>
      </c>
      <c r="W531" s="700" t="str">
        <f>IFERROR(VLOOKUP($C531,Popisy!A:P,MATCH($W$17,Popisy!$A$7:$P$7,0),FALSE),"---------------")</f>
        <v>Produktmodell - ohne Sprengstoff</v>
      </c>
      <c r="X531" s="891" t="str">
        <f t="shared" si="91"/>
        <v/>
      </c>
      <c r="Y531" s="892"/>
      <c r="Z531" s="700" t="str">
        <f>IFERROR(IF(VLOOKUP(C531,[4]List1!$A:$D,4,FALSE)=0,"",VLOOKUP(C531,[4]List1!$A:$D,4,FALSE)),"")</f>
        <v/>
      </c>
      <c r="AA531" s="707"/>
      <c r="AB531" s="912" t="str">
        <f>IFERROR(IF(VLOOKUP(C531,[1]List1!$A:$D,2,FALSE)="VYPRODÁNO",$V$9,IF(VLOOKUP(C531,[1]List1!$A:$D,2,FALSE)="DOCHÁZÍ",$V$3,VLOOKUP(C531,[1]List1!$A:$D,2,FALSE))),"OFFLINE!")</f>
        <v>SKLADEM</v>
      </c>
      <c r="AC531" s="912" t="str">
        <f ca="1">IF(AO531="NE",$V$10,IF(AB531=$V$3,IF(AP531&lt;1,$V$8,$V$2&amp;" "&amp;AP531&amp;" "&amp;$V$1),IF(AB531="SKLADEM",$V$6,IFERROR(IF(OR(AB531-TODAY()&gt;21,VLOOKUP(C531,[1]List1!$A:$E,4,FALSE)=0),AB531,DAY(AB531)&amp;"."&amp;MONTH(AB531)&amp;"."&amp;YEAR(AB531)&amp;" "&amp;$V$4&amp;VLOOKUP(C531,[1]List1!$A:$E,4,FALSE)&amp;" "&amp;$V$1),AB531))))</f>
        <v>AUF LAGER</v>
      </c>
      <c r="AD531" s="701" t="str">
        <f ca="1">_xlfn.IFNA(VLOOKUP(C531,'General price list'!C:AM,MATCH($AD$20,'General price list'!$C$20:$AM$20,0),FALSE),"")</f>
        <v>AUF LAGER</v>
      </c>
      <c r="AE531" s="695">
        <f t="shared" ca="1" si="92"/>
        <v>0</v>
      </c>
      <c r="AF531" s="695">
        <f t="shared" ca="1" si="93"/>
        <v>0</v>
      </c>
      <c r="AG531" s="702">
        <f t="shared" ca="1" si="94"/>
        <v>0</v>
      </c>
      <c r="AH531" s="703">
        <f t="shared" ca="1" si="95"/>
        <v>0</v>
      </c>
      <c r="AI531" s="702">
        <f t="shared" ca="1" si="96"/>
        <v>0</v>
      </c>
      <c r="AJ531" s="704" t="str">
        <f t="shared" ca="1" si="97"/>
        <v/>
      </c>
      <c r="AK531" s="704" t="str">
        <f t="shared" ca="1" si="98"/>
        <v/>
      </c>
      <c r="AL531" s="704" t="str">
        <f t="shared" ca="1" si="99"/>
        <v/>
      </c>
      <c r="AM531" s="705" t="str">
        <f t="shared" ca="1" si="100"/>
        <v/>
      </c>
      <c r="AN531" s="313"/>
      <c r="AO531" s="314" t="str">
        <f>IF($R$3=1,IF(Y531=AA531,"","NE"),IF(#REF!=$V$10,"NE",""))</f>
        <v/>
      </c>
      <c r="AP531" s="315" t="str">
        <f>IF(AB531=$V$3,IF(VLOOKUP(C531,[1]List1!$A:$E,5,FALSE)=0,1,VLOOKUP(C531,[1]List1!$A:$E,5,FALSE)),"")</f>
        <v/>
      </c>
      <c r="AW531" s="458">
        <f>IFERROR(FIND(VLOOKUP('General price list'!$AB$7,'General price list'!$AC$1:$AD$12,2,FALSE),Q531,1),0)</f>
        <v>0</v>
      </c>
      <c r="AX531" s="458">
        <f>IFERROR(FIND(VLOOKUP('General price list'!$AB$7,'General price list'!$AC$1:$AD$12,2,FALSE),R531,1),0)</f>
        <v>0</v>
      </c>
    </row>
    <row r="532" spans="1:50" ht="15" customHeight="1">
      <c r="A532" s="672" t="str">
        <f>Kat.!C532</f>
        <v xml:space="preserve">                                          Batterien 47 schuss, 30+50mm gerader+schräg Mörser-1.3G</v>
      </c>
      <c r="B532" s="678">
        <v>511</v>
      </c>
      <c r="C532" s="679"/>
      <c r="D532" s="679"/>
      <c r="E532" s="680"/>
      <c r="F532" s="681" t="str">
        <f>IFERROR(ROUND(VLOOKUP(C532,'General price list'!$C:$AN,4,FALSE),0),"")</f>
        <v/>
      </c>
      <c r="G532" s="682" t="str">
        <f t="shared" si="89"/>
        <v/>
      </c>
      <c r="H532" s="683" t="str">
        <f t="shared" si="90"/>
        <v/>
      </c>
      <c r="I532" s="836"/>
      <c r="J532" s="680"/>
      <c r="K532" s="854"/>
      <c r="L532" s="855"/>
      <c r="M532" s="680"/>
      <c r="N532" s="868" t="str">
        <f>IFERROR(IF(VLOOKUP($C532,'General price list'!$C:$AN,MATCH(N$20,'General price list'!$C$20:$AM$20,0),FALSE)=0,"",VLOOKUP($C532,'General price list'!$C:$AN,MATCH(N$20,'General price list'!$C$20:$AM$20,0),FALSE)),"")</f>
        <v/>
      </c>
      <c r="O532" s="836" t="str">
        <f>IFERROR(IF(VLOOKUP($C532,'General price list'!$C:$AN,MATCH(O$20,'General price list'!$C$20:$AM$20,0),FALSE)=0,"",VLOOKUP($C532,'General price list'!$C:$AN,MATCH(O$20,'General price list'!$C$20:$AM$20,0),FALSE)),"")</f>
        <v/>
      </c>
      <c r="P532" s="836" t="str">
        <f>IFERROR(IF(VLOOKUP($C532,'General price list'!$C:$AN,MATCH(P$20,'General price list'!$C$20:$AM$20,0),FALSE)=0,"",VLOOKUP($C532,'General price list'!$C:$AN,MATCH(P$20,'General price list'!$C$20:$AM$20,0),FALSE)),"")</f>
        <v/>
      </c>
      <c r="Q532" s="680"/>
      <c r="R532" s="680"/>
      <c r="S532" s="680"/>
      <c r="T532" s="681"/>
      <c r="U532" s="873"/>
      <c r="V532" s="684"/>
      <c r="W532" s="685" t="str">
        <f>IFERROR(VLOOKUP($C532,'General price list'!$C:$AN,MATCH(W$20,'General price list'!$C$20:$AM$20,0),FALSE),"")</f>
        <v/>
      </c>
      <c r="X532" s="889" t="str">
        <f t="shared" si="91"/>
        <v/>
      </c>
      <c r="Y532" s="890"/>
      <c r="Z532" s="685" t="str">
        <f>IFERROR(VLOOKUP($C532,'General price list'!$C:$AN,MATCH(Z$20,'General price list'!$C$20:$AM$20,0),FALSE),"")</f>
        <v/>
      </c>
      <c r="AA532" s="707"/>
      <c r="AB532" s="911" t="str">
        <f>IFERROR(IF(VLOOKUP(C532,[1]List1!$A:$D,2,FALSE)="VYPRODÁNO",$V$9,IF(VLOOKUP(C532,[1]List1!$A:$D,2,FALSE)="DOCHÁZÍ",$V$3,VLOOKUP(C532,[1]List1!$A:$D,2,FALSE))),"OFFLINE!")</f>
        <v>OFFLINE!</v>
      </c>
      <c r="AC532" s="911" t="str">
        <f ca="1">IF(AO532="NE",$V$10,IF(AB532=$V$3,IF(AP532&lt;1,$V$8,$V$2&amp;" "&amp;AP532&amp;" "&amp;$V$1),IF(AB532="SKLADEM",$V$6,IFERROR(IF(OR(AB532-TODAY()&gt;21,VLOOKUP(C532,[1]List1!$A:$E,4,FALSE)=0),AB532,DAY(AB532)&amp;"."&amp;MONTH(AB532)&amp;"."&amp;YEAR(AB532)&amp;" "&amp;$V$4&amp;VLOOKUP(C532,[1]List1!$A:$E,4,FALSE)&amp;" "&amp;$V$1),AB532))))</f>
        <v>OFFLINE!</v>
      </c>
      <c r="AD532" s="686" t="str">
        <f>_xlfn.IFNA(VLOOKUP(C532,'General price list'!C:AM,MATCH($AD$20,'General price list'!$C$20:$AM$20,0),FALSE),"")</f>
        <v/>
      </c>
      <c r="AE532" s="681" t="str">
        <f t="shared" si="92"/>
        <v/>
      </c>
      <c r="AF532" s="681" t="str">
        <f t="shared" si="93"/>
        <v/>
      </c>
      <c r="AG532" s="687" t="str">
        <f t="shared" si="94"/>
        <v/>
      </c>
      <c r="AH532" s="688" t="str">
        <f t="shared" si="95"/>
        <v/>
      </c>
      <c r="AI532" s="687" t="str">
        <f t="shared" si="96"/>
        <v/>
      </c>
      <c r="AJ532" s="689" t="str">
        <f t="shared" si="97"/>
        <v/>
      </c>
      <c r="AK532" s="689" t="str">
        <f t="shared" si="98"/>
        <v/>
      </c>
      <c r="AL532" s="689" t="str">
        <f t="shared" si="99"/>
        <v/>
      </c>
      <c r="AM532" s="690" t="str">
        <f t="shared" si="100"/>
        <v/>
      </c>
      <c r="AN532" s="313"/>
      <c r="AO532" s="314" t="str">
        <f>IF($R$3=1,IF(Y532=AA532,"","NE"),IF(#REF!=$V$10,"NE",""))</f>
        <v/>
      </c>
      <c r="AP532" s="315" t="str">
        <f>IF(AB532=$V$3,IF(VLOOKUP(C532,[1]List1!$A:$E,5,FALSE)=0,1,VLOOKUP(C532,[1]List1!$A:$E,5,FALSE)),"")</f>
        <v/>
      </c>
      <c r="AW532" s="291" t="e">
        <f>VLOOKUP(C532,'General price list'!C:AU,46,FALSE)</f>
        <v>#N/A</v>
      </c>
      <c r="AX532" s="291" t="e">
        <f>VLOOKUP(C532,'General price list'!C:AU,47,FALSE)</f>
        <v>#N/A</v>
      </c>
    </row>
    <row r="533" spans="1:50" ht="15" customHeight="1">
      <c r="A533" s="691" t="str">
        <f>Kat.!C533</f>
        <v xml:space="preserve">                                          </v>
      </c>
      <c r="B533" s="692">
        <v>512</v>
      </c>
      <c r="C533" s="693" t="s">
        <v>2168</v>
      </c>
      <c r="D533" s="693" t="s">
        <v>2169</v>
      </c>
      <c r="E533" s="694" t="s">
        <v>129</v>
      </c>
      <c r="F533" s="695">
        <f>VLOOKUP(C533,[2]List1!$A:$D,2,FALSE)</f>
        <v>1004</v>
      </c>
      <c r="G533" s="696">
        <f t="shared" si="89"/>
        <v>1004</v>
      </c>
      <c r="H533" s="697">
        <f t="shared" si="90"/>
        <v>40.799999999999997</v>
      </c>
      <c r="I533" s="837">
        <v>1</v>
      </c>
      <c r="J533" s="698"/>
      <c r="K533" s="856">
        <v>7</v>
      </c>
      <c r="L533" s="857"/>
      <c r="M533" s="698"/>
      <c r="N533" s="869">
        <f>IFERROR(VLOOKUP(C533,[3]List1!$A:$D,4,FALSE),"N/A!")</f>
        <v>2.3074875000000005E-2</v>
      </c>
      <c r="O533" s="837">
        <f>IFERROR(VLOOKUP(C533,[3]List1!$A:$D,3,FALSE),"N/A!")</f>
        <v>0</v>
      </c>
      <c r="P533" s="837">
        <f>IFERROR(VLOOKUP(C533,[3]List1!$A:$D,2,FALSE),"N/A!")</f>
        <v>6760</v>
      </c>
      <c r="Q533" s="698"/>
      <c r="R533" s="698"/>
      <c r="S533" s="698"/>
      <c r="T533" s="695"/>
      <c r="U533" s="874"/>
      <c r="V533" s="699" t="str">
        <f>_xlfn.IFNA(HYPERLINK("https://www.klasekpyrotechnics.cz/c47mb"),"")</f>
        <v>https://www.klasekpyrotechnics.cz/c47mb</v>
      </c>
      <c r="W533" s="700" t="str">
        <f>IFERROR(VLOOKUP($C533,Popisy!A:P,MATCH($W$17,Popisy!$A$7:$P$7,0),FALSE),"---------------")</f>
        <v>Produktmodell - ohne Sprengstoff</v>
      </c>
      <c r="X533" s="891" t="str">
        <f t="shared" si="91"/>
        <v/>
      </c>
      <c r="Y533" s="892"/>
      <c r="Z533" s="700" t="str">
        <f>IFERROR(IF(VLOOKUP(C533,[4]List1!$A:$D,4,FALSE)=0,"",VLOOKUP(C533,[4]List1!$A:$D,4,FALSE)),"")</f>
        <v/>
      </c>
      <c r="AA533" s="707"/>
      <c r="AB533" s="912" t="str">
        <f>IFERROR(IF(VLOOKUP(C533,[1]List1!$A:$D,2,FALSE)="VYPRODÁNO",$V$9,IF(VLOOKUP(C533,[1]List1!$A:$D,2,FALSE)="DOCHÁZÍ",$V$3,VLOOKUP(C533,[1]List1!$A:$D,2,FALSE))),"OFFLINE!")</f>
        <v>AUSVERKAUFT</v>
      </c>
      <c r="AC533" s="912" t="str">
        <f ca="1">IF(AO533="NE",$V$10,IF(AB533=$V$3,IF(AP533&lt;1,$V$8,$V$2&amp;" "&amp;AP533&amp;" "&amp;$V$1),IF(AB533="SKLADEM",$V$6,IFERROR(IF(OR(AB533-TODAY()&gt;21,VLOOKUP(C533,[1]List1!$A:$E,4,FALSE)=0),AB533,DAY(AB533)&amp;"."&amp;MONTH(AB533)&amp;"."&amp;YEAR(AB533)&amp;" "&amp;$V$4&amp;VLOOKUP(C533,[1]List1!$A:$E,4,FALSE)&amp;" "&amp;$V$1),AB533))))</f>
        <v>AUSVERKAUFT</v>
      </c>
      <c r="AD533" s="701">
        <f>_xlfn.IFNA(VLOOKUP(C533,'General price list'!C:AM,MATCH($AD$20,'General price list'!$C$20:$AM$20,0),FALSE),"")</f>
        <v>0</v>
      </c>
      <c r="AE533" s="695">
        <f t="shared" si="92"/>
        <v>0</v>
      </c>
      <c r="AF533" s="695">
        <f t="shared" si="93"/>
        <v>0</v>
      </c>
      <c r="AG533" s="702">
        <f t="shared" si="94"/>
        <v>0</v>
      </c>
      <c r="AH533" s="703">
        <f t="shared" si="95"/>
        <v>0</v>
      </c>
      <c r="AI533" s="702">
        <f t="shared" si="96"/>
        <v>0</v>
      </c>
      <c r="AJ533" s="704" t="str">
        <f t="shared" si="97"/>
        <v/>
      </c>
      <c r="AK533" s="704" t="str">
        <f t="shared" si="98"/>
        <v/>
      </c>
      <c r="AL533" s="704" t="str">
        <f t="shared" si="99"/>
        <v/>
      </c>
      <c r="AM533" s="705" t="str">
        <f t="shared" si="100"/>
        <v/>
      </c>
      <c r="AN533" s="382"/>
      <c r="AO533" s="314" t="str">
        <f>IF($R$3=1,IF(Y533=AA533,"","NE"),IF(#REF!=$V$10,"NE",""))</f>
        <v/>
      </c>
      <c r="AP533" s="315" t="str">
        <f>IF(AB533=$V$3,IF(VLOOKUP(C533,[1]List1!$A:$E,5,FALSE)=0,1,VLOOKUP(C533,[1]List1!$A:$E,5,FALSE)),"")</f>
        <v/>
      </c>
      <c r="AW533" s="458">
        <f>IFERROR(FIND(VLOOKUP('General price list'!$AB$7,'General price list'!$AC$1:$AD$12,2,FALSE),Q533,1),0)</f>
        <v>0</v>
      </c>
      <c r="AX533" s="458">
        <f>IFERROR(FIND(VLOOKUP('General price list'!$AB$7,'General price list'!$AC$1:$AD$12,2,FALSE),R533,1),0)</f>
        <v>0</v>
      </c>
    </row>
    <row r="534" spans="1:50" ht="15" customHeight="1">
      <c r="A534" s="672" t="str">
        <f>Kat.!C534</f>
        <v xml:space="preserve">                                          Batterien 62 schuss, 20+25+30+48mm gerader+schräg+S Mörser-1.3G</v>
      </c>
      <c r="B534" s="678">
        <v>513</v>
      </c>
      <c r="C534" s="679"/>
      <c r="D534" s="679"/>
      <c r="E534" s="680"/>
      <c r="F534" s="681" t="str">
        <f>IFERROR(ROUND(VLOOKUP(C534,'General price list'!$C:$AN,4,FALSE),0),"")</f>
        <v/>
      </c>
      <c r="G534" s="682" t="str">
        <f t="shared" si="89"/>
        <v/>
      </c>
      <c r="H534" s="683" t="str">
        <f t="shared" si="90"/>
        <v/>
      </c>
      <c r="I534" s="836"/>
      <c r="J534" s="680"/>
      <c r="K534" s="854"/>
      <c r="L534" s="855"/>
      <c r="M534" s="680"/>
      <c r="N534" s="868" t="str">
        <f>IFERROR(IF(VLOOKUP($C534,'General price list'!$C:$AN,MATCH(N$20,'General price list'!$C$20:$AM$20,0),FALSE)=0,"",VLOOKUP($C534,'General price list'!$C:$AN,MATCH(N$20,'General price list'!$C$20:$AM$20,0),FALSE)),"")</f>
        <v/>
      </c>
      <c r="O534" s="836" t="str">
        <f>IFERROR(IF(VLOOKUP($C534,'General price list'!$C:$AN,MATCH(O$20,'General price list'!$C$20:$AM$20,0),FALSE)=0,"",VLOOKUP($C534,'General price list'!$C:$AN,MATCH(O$20,'General price list'!$C$20:$AM$20,0),FALSE)),"")</f>
        <v/>
      </c>
      <c r="P534" s="836" t="str">
        <f>IFERROR(IF(VLOOKUP($C534,'General price list'!$C:$AN,MATCH(P$20,'General price list'!$C$20:$AM$20,0),FALSE)=0,"",VLOOKUP($C534,'General price list'!$C:$AN,MATCH(P$20,'General price list'!$C$20:$AM$20,0),FALSE)),"")</f>
        <v/>
      </c>
      <c r="Q534" s="680"/>
      <c r="R534" s="680"/>
      <c r="S534" s="680"/>
      <c r="T534" s="681"/>
      <c r="U534" s="873"/>
      <c r="V534" s="684"/>
      <c r="W534" s="685" t="str">
        <f>IFERROR(VLOOKUP($C534,'General price list'!$C:$AN,MATCH(W$20,'General price list'!$C$20:$AM$20,0),FALSE),"")</f>
        <v/>
      </c>
      <c r="X534" s="889" t="str">
        <f t="shared" si="91"/>
        <v/>
      </c>
      <c r="Y534" s="890"/>
      <c r="Z534" s="685" t="str">
        <f>IFERROR(VLOOKUP($C534,'General price list'!$C:$AN,MATCH(Z$20,'General price list'!$C$20:$AM$20,0),FALSE),"")</f>
        <v/>
      </c>
      <c r="AA534" s="707"/>
      <c r="AB534" s="911" t="str">
        <f>IFERROR(IF(VLOOKUP(C534,[1]List1!$A:$D,2,FALSE)="VYPRODÁNO",$V$9,IF(VLOOKUP(C534,[1]List1!$A:$D,2,FALSE)="DOCHÁZÍ",$V$3,VLOOKUP(C534,[1]List1!$A:$D,2,FALSE))),"OFFLINE!")</f>
        <v>OFFLINE!</v>
      </c>
      <c r="AC534" s="911" t="str">
        <f ca="1">IF(AO534="NE",$V$10,IF(AB534=$V$3,IF(AP534&lt;1,$V$8,$V$2&amp;" "&amp;AP534&amp;" "&amp;$V$1),IF(AB534="SKLADEM",$V$6,IFERROR(IF(OR(AB534-TODAY()&gt;21,VLOOKUP(C534,[1]List1!$A:$E,4,FALSE)=0),AB534,DAY(AB534)&amp;"."&amp;MONTH(AB534)&amp;"."&amp;YEAR(AB534)&amp;" "&amp;$V$4&amp;VLOOKUP(C534,[1]List1!$A:$E,4,FALSE)&amp;" "&amp;$V$1),AB534))))</f>
        <v>OFFLINE!</v>
      </c>
      <c r="AD534" s="686" t="str">
        <f>_xlfn.IFNA(VLOOKUP(C534,'General price list'!C:AM,MATCH($AD$20,'General price list'!$C$20:$AM$20,0),FALSE),"")</f>
        <v/>
      </c>
      <c r="AE534" s="681" t="str">
        <f t="shared" si="92"/>
        <v/>
      </c>
      <c r="AF534" s="681" t="str">
        <f t="shared" si="93"/>
        <v/>
      </c>
      <c r="AG534" s="687" t="str">
        <f t="shared" si="94"/>
        <v/>
      </c>
      <c r="AH534" s="688" t="str">
        <f t="shared" si="95"/>
        <v/>
      </c>
      <c r="AI534" s="687" t="str">
        <f t="shared" si="96"/>
        <v/>
      </c>
      <c r="AJ534" s="689" t="str">
        <f t="shared" si="97"/>
        <v/>
      </c>
      <c r="AK534" s="689" t="str">
        <f t="shared" si="98"/>
        <v/>
      </c>
      <c r="AL534" s="689" t="str">
        <f t="shared" si="99"/>
        <v/>
      </c>
      <c r="AM534" s="690" t="str">
        <f t="shared" si="100"/>
        <v/>
      </c>
      <c r="AN534" s="313"/>
      <c r="AO534" s="314" t="str">
        <f>IF($R$3=1,IF(Y534=AA534,"","NE"),IF(#REF!=$V$10,"NE",""))</f>
        <v/>
      </c>
      <c r="AP534" s="315" t="str">
        <f>IF(AB534=$V$3,IF(VLOOKUP(C534,[1]List1!$A:$E,5,FALSE)=0,1,VLOOKUP(C534,[1]List1!$A:$E,5,FALSE)),"")</f>
        <v/>
      </c>
      <c r="AW534" s="291" t="e">
        <f>VLOOKUP(C534,'General price list'!C:AU,46,FALSE)</f>
        <v>#N/A</v>
      </c>
      <c r="AX534" s="291" t="e">
        <f>VLOOKUP(C534,'General price list'!C:AU,47,FALSE)</f>
        <v>#N/A</v>
      </c>
    </row>
    <row r="535" spans="1:50" ht="15" customHeight="1">
      <c r="A535" s="691" t="str">
        <f>Kat.!C535</f>
        <v xml:space="preserve">                                          </v>
      </c>
      <c r="B535" s="692">
        <v>514</v>
      </c>
      <c r="C535" s="693" t="s">
        <v>2170</v>
      </c>
      <c r="D535" s="693" t="s">
        <v>2171</v>
      </c>
      <c r="E535" s="694" t="s">
        <v>129</v>
      </c>
      <c r="F535" s="695">
        <f>VLOOKUP(C535,[2]List1!$A:$D,2,FALSE)</f>
        <v>1115</v>
      </c>
      <c r="G535" s="696">
        <f t="shared" ref="G535:G598" si="101">IFERROR((F535)*$B$19,"")</f>
        <v>1115</v>
      </c>
      <c r="H535" s="697">
        <f t="shared" ref="H535:H598" si="102">IFERROR(ROUND(G535/$F$19,1),"")</f>
        <v>45.4</v>
      </c>
      <c r="I535" s="837">
        <v>1</v>
      </c>
      <c r="J535" s="698"/>
      <c r="K535" s="856">
        <v>7</v>
      </c>
      <c r="L535" s="857"/>
      <c r="M535" s="698"/>
      <c r="N535" s="869">
        <f>IFERROR(VLOOKUP(C535,[3]List1!$A:$D,4,FALSE),"N/A!")</f>
        <v>2.8680999999999998E-2</v>
      </c>
      <c r="O535" s="837">
        <f>IFERROR(VLOOKUP(C535,[3]List1!$A:$D,3,FALSE),"N/A!")</f>
        <v>0</v>
      </c>
      <c r="P535" s="837">
        <f>IFERROR(VLOOKUP(C535,[3]List1!$A:$D,2,FALSE),"N/A!")</f>
        <v>8009</v>
      </c>
      <c r="Q535" s="698"/>
      <c r="R535" s="698"/>
      <c r="S535" s="698"/>
      <c r="T535" s="695"/>
      <c r="U535" s="874"/>
      <c r="V535" s="699" t="str">
        <f>_xlfn.IFNA(HYPERLINK("https://www.klasekpyrotechnics.cz/c62smt"),"")</f>
        <v>https://www.klasekpyrotechnics.cz/c62smt</v>
      </c>
      <c r="W535" s="700" t="str">
        <f>IFERROR(VLOOKUP($C535,Popisy!A:P,MATCH($W$17,Popisy!$A$7:$P$7,0),FALSE),"---------------")</f>
        <v>Produktmodell - ohne Sprengstoff</v>
      </c>
      <c r="X535" s="891" t="str">
        <f t="shared" ref="X535:X598" si="103">IF(AA535&lt;0.0001,"",AA535)</f>
        <v/>
      </c>
      <c r="Y535" s="892"/>
      <c r="Z535" s="700" t="str">
        <f>IFERROR(IF(VLOOKUP(C535,[4]List1!$A:$D,4,FALSE)=0,"",VLOOKUP(C535,[4]List1!$A:$D,4,FALSE)),"")</f>
        <v/>
      </c>
      <c r="AA535" s="707"/>
      <c r="AB535" s="912" t="str">
        <f>IFERROR(IF(VLOOKUP(C535,[1]List1!$A:$D,2,FALSE)="VYPRODÁNO",$V$9,IF(VLOOKUP(C535,[1]List1!$A:$D,2,FALSE)="DOCHÁZÍ",$V$3,VLOOKUP(C535,[1]List1!$A:$D,2,FALSE))),"OFFLINE!")</f>
        <v>SKLADEM</v>
      </c>
      <c r="AC535" s="912" t="str">
        <f ca="1">IF(AO535="NE",$V$10,IF(AB535=$V$3,IF(AP535&lt;1,$V$8,$V$2&amp;" "&amp;AP535&amp;" "&amp;$V$1),IF(AB535="SKLADEM",$V$6,IFERROR(IF(OR(AB535-TODAY()&gt;21,VLOOKUP(C535,[1]List1!$A:$E,4,FALSE)=0),AB535,DAY(AB535)&amp;"."&amp;MONTH(AB535)&amp;"."&amp;YEAR(AB535)&amp;" "&amp;$V$4&amp;VLOOKUP(C535,[1]List1!$A:$E,4,FALSE)&amp;" "&amp;$V$1),AB535))))</f>
        <v>AUF LAGER</v>
      </c>
      <c r="AD535" s="701" t="str">
        <f ca="1">_xlfn.IFNA(VLOOKUP(C535,'General price list'!C:AM,MATCH($AD$20,'General price list'!$C$20:$AM$20,0),FALSE),"")</f>
        <v>AUF LAGER</v>
      </c>
      <c r="AE535" s="695">
        <f t="shared" ref="AE535:AE598" ca="1" si="104">IFERROR(IF(AD535=$V$10,0,G535*I535*AA535),"")</f>
        <v>0</v>
      </c>
      <c r="AF535" s="695">
        <f t="shared" ref="AF535:AF598" ca="1" si="105">IFERROR(IF($W$17=$AB$8,AG535*1.23,AE535*1.21),"")</f>
        <v>0</v>
      </c>
      <c r="AG535" s="702">
        <f t="shared" ref="AG535:AG598" ca="1" si="106">IFERROR(IF($V$10=AD535,0,H535*I535*AA535),"")</f>
        <v>0</v>
      </c>
      <c r="AH535" s="703">
        <f t="shared" ref="AH535:AH598" ca="1" si="107">IFERROR(IF($V$10=AD535,0,(P535*AA535)/1000),"")</f>
        <v>0</v>
      </c>
      <c r="AI535" s="702">
        <f t="shared" ref="AI535:AI598" ca="1" si="108">IFERROR(IF($V$10=AD535,0,N535*AA535),"")</f>
        <v>0</v>
      </c>
      <c r="AJ535" s="704" t="str">
        <f t="shared" ref="AJ535:AJ598" ca="1" si="109">IFERROR(IF($V$10=AD535,"",IF(M535="1.1G",(O535/1000)*AA535,"")),0)</f>
        <v/>
      </c>
      <c r="AK535" s="704" t="str">
        <f t="shared" ref="AK535:AK598" ca="1" si="110">IFERROR(IF($V$10=AD535,"",IF(M535="1.3G",(O535/1000)*AA535,"")),0)</f>
        <v/>
      </c>
      <c r="AL535" s="704" t="str">
        <f t="shared" ref="AL535:AL598" ca="1" si="111">IFERROR(IF($V$10=AD535,"",IF(M535="1.4G",(O535/1000)*AA535,"")),0)</f>
        <v/>
      </c>
      <c r="AM535" s="705" t="str">
        <f t="shared" ref="AM535:AM598" ca="1" si="112">IFERROR(IF(SUM(AJ535:AL535)=0,"",SUM(AJ535:AL535)),"")</f>
        <v/>
      </c>
      <c r="AN535" s="381"/>
      <c r="AO535" s="314" t="str">
        <f>IF($R$3=1,IF(Y535=AA535,"","NE"),IF(#REF!=$V$10,"NE",""))</f>
        <v/>
      </c>
      <c r="AP535" s="315" t="str">
        <f>IF(AB535=$V$3,IF(VLOOKUP(C535,[1]List1!$A:$E,5,FALSE)=0,1,VLOOKUP(C535,[1]List1!$A:$E,5,FALSE)),"")</f>
        <v/>
      </c>
      <c r="AW535" s="458">
        <f>IFERROR(FIND(VLOOKUP('General price list'!$AB$7,'General price list'!$AC$1:$AD$12,2,FALSE),Q535,1),0)</f>
        <v>0</v>
      </c>
      <c r="AX535" s="458">
        <f>IFERROR(FIND(VLOOKUP('General price list'!$AB$7,'General price list'!$AC$1:$AD$12,2,FALSE),R535,1),0)</f>
        <v>0</v>
      </c>
    </row>
    <row r="536" spans="1:50" ht="15" customHeight="1">
      <c r="A536" s="672" t="str">
        <f>Kat.!C536</f>
        <v xml:space="preserve">                                          Batterien 63 schuss, 25+45mm gerader+schräg Mörser-1.3G</v>
      </c>
      <c r="B536" s="678">
        <v>515</v>
      </c>
      <c r="C536" s="679"/>
      <c r="D536" s="679"/>
      <c r="E536" s="680"/>
      <c r="F536" s="681" t="str">
        <f>IFERROR(ROUND(VLOOKUP(C536,'General price list'!$C:$AN,4,FALSE),0),"")</f>
        <v/>
      </c>
      <c r="G536" s="682" t="str">
        <f t="shared" si="101"/>
        <v/>
      </c>
      <c r="H536" s="683" t="str">
        <f t="shared" si="102"/>
        <v/>
      </c>
      <c r="I536" s="836"/>
      <c r="J536" s="680"/>
      <c r="K536" s="854"/>
      <c r="L536" s="855"/>
      <c r="M536" s="680"/>
      <c r="N536" s="868" t="str">
        <f>IFERROR(IF(VLOOKUP($C536,'General price list'!$C:$AN,MATCH(N$20,'General price list'!$C$20:$AM$20,0),FALSE)=0,"",VLOOKUP($C536,'General price list'!$C:$AN,MATCH(N$20,'General price list'!$C$20:$AM$20,0),FALSE)),"")</f>
        <v/>
      </c>
      <c r="O536" s="836" t="str">
        <f>IFERROR(IF(VLOOKUP($C536,'General price list'!$C:$AN,MATCH(O$20,'General price list'!$C$20:$AM$20,0),FALSE)=0,"",VLOOKUP($C536,'General price list'!$C:$AN,MATCH(O$20,'General price list'!$C$20:$AM$20,0),FALSE)),"")</f>
        <v/>
      </c>
      <c r="P536" s="836" t="str">
        <f>IFERROR(IF(VLOOKUP($C536,'General price list'!$C:$AN,MATCH(P$20,'General price list'!$C$20:$AM$20,0),FALSE)=0,"",VLOOKUP($C536,'General price list'!$C:$AN,MATCH(P$20,'General price list'!$C$20:$AM$20,0),FALSE)),"")</f>
        <v/>
      </c>
      <c r="Q536" s="680"/>
      <c r="R536" s="680"/>
      <c r="S536" s="680"/>
      <c r="T536" s="681"/>
      <c r="U536" s="873"/>
      <c r="V536" s="684"/>
      <c r="W536" s="685" t="str">
        <f>IFERROR(VLOOKUP($C536,'General price list'!$C:$AN,MATCH(W$20,'General price list'!$C$20:$AM$20,0),FALSE),"")</f>
        <v/>
      </c>
      <c r="X536" s="889" t="str">
        <f t="shared" si="103"/>
        <v/>
      </c>
      <c r="Y536" s="890"/>
      <c r="Z536" s="685" t="str">
        <f>IFERROR(VLOOKUP($C536,'General price list'!$C:$AN,MATCH(Z$20,'General price list'!$C$20:$AM$20,0),FALSE),"")</f>
        <v/>
      </c>
      <c r="AA536" s="707"/>
      <c r="AB536" s="911" t="str">
        <f>IFERROR(IF(VLOOKUP(C536,[1]List1!$A:$D,2,FALSE)="VYPRODÁNO",$V$9,IF(VLOOKUP(C536,[1]List1!$A:$D,2,FALSE)="DOCHÁZÍ",$V$3,VLOOKUP(C536,[1]List1!$A:$D,2,FALSE))),"OFFLINE!")</f>
        <v>OFFLINE!</v>
      </c>
      <c r="AC536" s="911" t="str">
        <f ca="1">IF(AO536="NE",$V$10,IF(AB536=$V$3,IF(AP536&lt;1,$V$8,$V$2&amp;" "&amp;AP536&amp;" "&amp;$V$1),IF(AB536="SKLADEM",$V$6,IFERROR(IF(OR(AB536-TODAY()&gt;21,VLOOKUP(C536,[1]List1!$A:$E,4,FALSE)=0),AB536,DAY(AB536)&amp;"."&amp;MONTH(AB536)&amp;"."&amp;YEAR(AB536)&amp;" "&amp;$V$4&amp;VLOOKUP(C536,[1]List1!$A:$E,4,FALSE)&amp;" "&amp;$V$1),AB536))))</f>
        <v>OFFLINE!</v>
      </c>
      <c r="AD536" s="686" t="str">
        <f>_xlfn.IFNA(VLOOKUP(C536,'General price list'!C:AM,MATCH($AD$20,'General price list'!$C$20:$AM$20,0),FALSE),"")</f>
        <v/>
      </c>
      <c r="AE536" s="681" t="str">
        <f t="shared" si="104"/>
        <v/>
      </c>
      <c r="AF536" s="681" t="str">
        <f t="shared" si="105"/>
        <v/>
      </c>
      <c r="AG536" s="687" t="str">
        <f t="shared" si="106"/>
        <v/>
      </c>
      <c r="AH536" s="688" t="str">
        <f t="shared" si="107"/>
        <v/>
      </c>
      <c r="AI536" s="687" t="str">
        <f t="shared" si="108"/>
        <v/>
      </c>
      <c r="AJ536" s="689" t="str">
        <f t="shared" si="109"/>
        <v/>
      </c>
      <c r="AK536" s="689" t="str">
        <f t="shared" si="110"/>
        <v/>
      </c>
      <c r="AL536" s="689" t="str">
        <f t="shared" si="111"/>
        <v/>
      </c>
      <c r="AM536" s="690" t="str">
        <f t="shared" si="112"/>
        <v/>
      </c>
      <c r="AN536" s="313"/>
      <c r="AO536" s="314" t="str">
        <f>IF($R$3=1,IF(Y536=AA536,"","NE"),IF(#REF!=$V$10,"NE",""))</f>
        <v/>
      </c>
      <c r="AP536" s="315" t="str">
        <f>IF(AB536=$V$3,IF(VLOOKUP(C536,[1]List1!$A:$E,5,FALSE)=0,1,VLOOKUP(C536,[1]List1!$A:$E,5,FALSE)),"")</f>
        <v/>
      </c>
      <c r="AW536" s="291" t="e">
        <f>VLOOKUP(C536,'General price list'!C:AU,46,FALSE)</f>
        <v>#N/A</v>
      </c>
      <c r="AX536" s="291" t="e">
        <f>VLOOKUP(C536,'General price list'!C:AU,47,FALSE)</f>
        <v>#N/A</v>
      </c>
    </row>
    <row r="537" spans="1:50" ht="15" customHeight="1">
      <c r="A537" s="691" t="str">
        <f>Kat.!C537</f>
        <v xml:space="preserve">                                          </v>
      </c>
      <c r="B537" s="692">
        <v>516</v>
      </c>
      <c r="C537" s="693" t="s">
        <v>2172</v>
      </c>
      <c r="D537" s="693" t="s">
        <v>2173</v>
      </c>
      <c r="E537" s="694" t="s">
        <v>129</v>
      </c>
      <c r="F537" s="695">
        <f>VLOOKUP(C537,[2]List1!$A:$D,2,FALSE)</f>
        <v>893</v>
      </c>
      <c r="G537" s="696">
        <f t="shared" si="101"/>
        <v>893</v>
      </c>
      <c r="H537" s="697">
        <f t="shared" si="102"/>
        <v>36.299999999999997</v>
      </c>
      <c r="I537" s="837">
        <v>1</v>
      </c>
      <c r="J537" s="698"/>
      <c r="K537" s="856">
        <v>7</v>
      </c>
      <c r="L537" s="857"/>
      <c r="M537" s="698"/>
      <c r="N537" s="869">
        <f>IFERROR(VLOOKUP(C537,[3]List1!$A:$D,4,FALSE),"N/A!")</f>
        <v>2.5368750000000006E-2</v>
      </c>
      <c r="O537" s="837">
        <f>IFERROR(VLOOKUP(C537,[3]List1!$A:$D,3,FALSE),"N/A!")</f>
        <v>0</v>
      </c>
      <c r="P537" s="837">
        <f>IFERROR(VLOOKUP(C537,[3]List1!$A:$D,2,FALSE),"N/A!")</f>
        <v>7336</v>
      </c>
      <c r="Q537" s="698"/>
      <c r="R537" s="698"/>
      <c r="S537" s="698"/>
      <c r="T537" s="695"/>
      <c r="U537" s="874"/>
      <c r="V537" s="699" t="str">
        <f>_xlfn.IFNA(HYPERLINK("https://www.klasekpyrotechnics.cz/c63mp"),"")</f>
        <v>https://www.klasekpyrotechnics.cz/c63mp</v>
      </c>
      <c r="W537" s="700" t="str">
        <f>IFERROR(VLOOKUP($C537,Popisy!A:P,MATCH($W$17,Popisy!$A$7:$P$7,0),FALSE),"---------------")</f>
        <v>Produktmodell - ohne Sprengstoff</v>
      </c>
      <c r="X537" s="891" t="str">
        <f t="shared" si="103"/>
        <v/>
      </c>
      <c r="Y537" s="892"/>
      <c r="Z537" s="700" t="str">
        <f>IFERROR(IF(VLOOKUP(C537,[4]List1!$A:$D,4,FALSE)=0,"",VLOOKUP(C537,[4]List1!$A:$D,4,FALSE)),"")</f>
        <v/>
      </c>
      <c r="AA537" s="707"/>
      <c r="AB537" s="912" t="str">
        <f>IFERROR(IF(VLOOKUP(C537,[1]List1!$A:$D,2,FALSE)="VYPRODÁNO",$V$9,IF(VLOOKUP(C537,[1]List1!$A:$D,2,FALSE)="DOCHÁZÍ",$V$3,VLOOKUP(C537,[1]List1!$A:$D,2,FALSE))),"OFFLINE!")</f>
        <v>SKLADEM</v>
      </c>
      <c r="AC537" s="912" t="str">
        <f ca="1">IF(AO537="NE",$V$10,IF(AB537=$V$3,IF(AP537&lt;1,$V$8,$V$2&amp;" "&amp;AP537&amp;" "&amp;$V$1),IF(AB537="SKLADEM",$V$6,IFERROR(IF(OR(AB537-TODAY()&gt;21,VLOOKUP(C537,[1]List1!$A:$E,4,FALSE)=0),AB537,DAY(AB537)&amp;"."&amp;MONTH(AB537)&amp;"."&amp;YEAR(AB537)&amp;" "&amp;$V$4&amp;VLOOKUP(C537,[1]List1!$A:$E,4,FALSE)&amp;" "&amp;$V$1),AB537))))</f>
        <v>AUF LAGER</v>
      </c>
      <c r="AD537" s="701" t="str">
        <f ca="1">_xlfn.IFNA(VLOOKUP(C537,'General price list'!C:AM,MATCH($AD$20,'General price list'!$C$20:$AM$20,0),FALSE),"")</f>
        <v>AUF LAGER</v>
      </c>
      <c r="AE537" s="695">
        <f t="shared" ca="1" si="104"/>
        <v>0</v>
      </c>
      <c r="AF537" s="695">
        <f t="shared" ca="1" si="105"/>
        <v>0</v>
      </c>
      <c r="AG537" s="702">
        <f t="shared" ca="1" si="106"/>
        <v>0</v>
      </c>
      <c r="AH537" s="703">
        <f t="shared" ca="1" si="107"/>
        <v>0</v>
      </c>
      <c r="AI537" s="702">
        <f t="shared" ca="1" si="108"/>
        <v>0</v>
      </c>
      <c r="AJ537" s="704" t="str">
        <f t="shared" ca="1" si="109"/>
        <v/>
      </c>
      <c r="AK537" s="704" t="str">
        <f t="shared" ca="1" si="110"/>
        <v/>
      </c>
      <c r="AL537" s="704" t="str">
        <f t="shared" ca="1" si="111"/>
        <v/>
      </c>
      <c r="AM537" s="705" t="str">
        <f t="shared" ca="1" si="112"/>
        <v/>
      </c>
      <c r="AN537" s="313"/>
      <c r="AO537" s="314" t="str">
        <f>IF($R$3=1,IF(Y537=AA537,"","NE"),IF(#REF!=$V$10,"NE",""))</f>
        <v/>
      </c>
      <c r="AP537" s="315" t="str">
        <f>IF(AB537=$V$3,IF(VLOOKUP(C537,[1]List1!$A:$E,5,FALSE)=0,1,VLOOKUP(C537,[1]List1!$A:$E,5,FALSE)),"")</f>
        <v/>
      </c>
      <c r="AW537" s="458">
        <f>IFERROR(FIND(VLOOKUP('General price list'!$AB$7,'General price list'!$AC$1:$AD$12,2,FALSE),Q537,1),0)</f>
        <v>0</v>
      </c>
      <c r="AX537" s="458">
        <f>IFERROR(FIND(VLOOKUP('General price list'!$AB$7,'General price list'!$AC$1:$AD$12,2,FALSE),R537,1),0)</f>
        <v>0</v>
      </c>
    </row>
    <row r="538" spans="1:50" ht="15" customHeight="1">
      <c r="A538" s="672" t="str">
        <f>Kat.!C538</f>
        <v xml:space="preserve">                                          Batterien 106 schuss, 20+25+30mm gerader+schräg+S Mörser-1.3G</v>
      </c>
      <c r="B538" s="678">
        <v>517</v>
      </c>
      <c r="C538" s="679"/>
      <c r="D538" s="679"/>
      <c r="E538" s="680"/>
      <c r="F538" s="681" t="str">
        <f>IFERROR(ROUND(VLOOKUP(C538,'General price list'!$C:$AN,4,FALSE),0),"")</f>
        <v/>
      </c>
      <c r="G538" s="682" t="str">
        <f t="shared" si="101"/>
        <v/>
      </c>
      <c r="H538" s="683" t="str">
        <f t="shared" si="102"/>
        <v/>
      </c>
      <c r="I538" s="836"/>
      <c r="J538" s="680"/>
      <c r="K538" s="854"/>
      <c r="L538" s="855"/>
      <c r="M538" s="680"/>
      <c r="N538" s="868" t="str">
        <f>IFERROR(IF(VLOOKUP($C538,'General price list'!$C:$AN,MATCH(N$20,'General price list'!$C$20:$AM$20,0),FALSE)=0,"",VLOOKUP($C538,'General price list'!$C:$AN,MATCH(N$20,'General price list'!$C$20:$AM$20,0),FALSE)),"")</f>
        <v/>
      </c>
      <c r="O538" s="836" t="str">
        <f>IFERROR(IF(VLOOKUP($C538,'General price list'!$C:$AN,MATCH(O$20,'General price list'!$C$20:$AM$20,0),FALSE)=0,"",VLOOKUP($C538,'General price list'!$C:$AN,MATCH(O$20,'General price list'!$C$20:$AM$20,0),FALSE)),"")</f>
        <v/>
      </c>
      <c r="P538" s="836" t="str">
        <f>IFERROR(IF(VLOOKUP($C538,'General price list'!$C:$AN,MATCH(P$20,'General price list'!$C$20:$AM$20,0),FALSE)=0,"",VLOOKUP($C538,'General price list'!$C:$AN,MATCH(P$20,'General price list'!$C$20:$AM$20,0),FALSE)),"")</f>
        <v/>
      </c>
      <c r="Q538" s="680"/>
      <c r="R538" s="680"/>
      <c r="S538" s="680"/>
      <c r="T538" s="681"/>
      <c r="U538" s="873"/>
      <c r="V538" s="684"/>
      <c r="W538" s="685" t="str">
        <f>IFERROR(VLOOKUP($C538,'General price list'!$C:$AN,MATCH(W$20,'General price list'!$C$20:$AM$20,0),FALSE),"")</f>
        <v/>
      </c>
      <c r="X538" s="889" t="str">
        <f t="shared" si="103"/>
        <v/>
      </c>
      <c r="Y538" s="890"/>
      <c r="Z538" s="685" t="str">
        <f>IFERROR(VLOOKUP($C538,'General price list'!$C:$AN,MATCH(Z$20,'General price list'!$C$20:$AM$20,0),FALSE),"")</f>
        <v/>
      </c>
      <c r="AA538" s="707"/>
      <c r="AB538" s="911" t="str">
        <f>IFERROR(IF(VLOOKUP(C538,[1]List1!$A:$D,2,FALSE)="VYPRODÁNO",$V$9,IF(VLOOKUP(C538,[1]List1!$A:$D,2,FALSE)="DOCHÁZÍ",$V$3,VLOOKUP(C538,[1]List1!$A:$D,2,FALSE))),"OFFLINE!")</f>
        <v>OFFLINE!</v>
      </c>
      <c r="AC538" s="911" t="str">
        <f ca="1">IF(AO538="NE",$V$10,IF(AB538=$V$3,IF(AP538&lt;1,$V$8,$V$2&amp;" "&amp;AP538&amp;" "&amp;$V$1),IF(AB538="SKLADEM",$V$6,IFERROR(IF(OR(AB538-TODAY()&gt;21,VLOOKUP(C538,[1]List1!$A:$E,4,FALSE)=0),AB538,DAY(AB538)&amp;"."&amp;MONTH(AB538)&amp;"."&amp;YEAR(AB538)&amp;" "&amp;$V$4&amp;VLOOKUP(C538,[1]List1!$A:$E,4,FALSE)&amp;" "&amp;$V$1),AB538))))</f>
        <v>OFFLINE!</v>
      </c>
      <c r="AD538" s="686" t="str">
        <f>_xlfn.IFNA(VLOOKUP(C538,'General price list'!C:AM,MATCH($AD$20,'General price list'!$C$20:$AM$20,0),FALSE),"")</f>
        <v/>
      </c>
      <c r="AE538" s="681" t="str">
        <f t="shared" si="104"/>
        <v/>
      </c>
      <c r="AF538" s="681" t="str">
        <f t="shared" si="105"/>
        <v/>
      </c>
      <c r="AG538" s="687" t="str">
        <f t="shared" si="106"/>
        <v/>
      </c>
      <c r="AH538" s="688" t="str">
        <f t="shared" si="107"/>
        <v/>
      </c>
      <c r="AI538" s="687" t="str">
        <f t="shared" si="108"/>
        <v/>
      </c>
      <c r="AJ538" s="689" t="str">
        <f t="shared" si="109"/>
        <v/>
      </c>
      <c r="AK538" s="689" t="str">
        <f t="shared" si="110"/>
        <v/>
      </c>
      <c r="AL538" s="689" t="str">
        <f t="shared" si="111"/>
        <v/>
      </c>
      <c r="AM538" s="690" t="str">
        <f t="shared" si="112"/>
        <v/>
      </c>
      <c r="AN538" s="381"/>
      <c r="AO538" s="314" t="str">
        <f>IF($R$3=1,IF(Y538=AA538,"","NE"),IF(#REF!=$V$10,"NE",""))</f>
        <v/>
      </c>
      <c r="AP538" s="315" t="str">
        <f>IF(AB538=$V$3,IF(VLOOKUP(C538,[1]List1!$A:$E,5,FALSE)=0,1,VLOOKUP(C538,[1]List1!$A:$E,5,FALSE)),"")</f>
        <v/>
      </c>
      <c r="AW538" s="291" t="e">
        <f>VLOOKUP(C538,'General price list'!C:AU,46,FALSE)</f>
        <v>#N/A</v>
      </c>
      <c r="AX538" s="291" t="e">
        <f>VLOOKUP(C538,'General price list'!C:AU,47,FALSE)</f>
        <v>#N/A</v>
      </c>
    </row>
    <row r="539" spans="1:50" ht="15" customHeight="1">
      <c r="A539" s="691" t="str">
        <f>Kat.!C539</f>
        <v xml:space="preserve">                                          </v>
      </c>
      <c r="B539" s="692">
        <v>518</v>
      </c>
      <c r="C539" s="693" t="s">
        <v>2174</v>
      </c>
      <c r="D539" s="693" t="s">
        <v>2175</v>
      </c>
      <c r="E539" s="694" t="s">
        <v>129</v>
      </c>
      <c r="F539" s="695">
        <f>VLOOKUP(C539,[2]List1!$A:$D,2,FALSE)</f>
        <v>1019</v>
      </c>
      <c r="G539" s="696">
        <f t="shared" si="101"/>
        <v>1019</v>
      </c>
      <c r="H539" s="697">
        <f t="shared" si="102"/>
        <v>41.5</v>
      </c>
      <c r="I539" s="837">
        <v>1</v>
      </c>
      <c r="J539" s="698"/>
      <c r="K539" s="856">
        <v>7</v>
      </c>
      <c r="L539" s="857"/>
      <c r="M539" s="698"/>
      <c r="N539" s="869">
        <f>IFERROR(VLOOKUP(C539,[3]List1!$A:$D,4,FALSE),"N/A!")</f>
        <v>2.3034374999999999E-2</v>
      </c>
      <c r="O539" s="837">
        <f>IFERROR(VLOOKUP(C539,[3]List1!$A:$D,3,FALSE),"N/A!")</f>
        <v>0</v>
      </c>
      <c r="P539" s="837">
        <f>IFERROR(VLOOKUP(C539,[3]List1!$A:$D,2,FALSE),"N/A!")</f>
        <v>7005</v>
      </c>
      <c r="Q539" s="698"/>
      <c r="R539" s="698"/>
      <c r="S539" s="698"/>
      <c r="T539" s="695"/>
      <c r="U539" s="874"/>
      <c r="V539" s="699" t="str">
        <f>_xlfn.IFNA(HYPERLINK("https://www.klasekpyrotechnics.cz/c106mh"),"")</f>
        <v>https://www.klasekpyrotechnics.cz/c106mh</v>
      </c>
      <c r="W539" s="700" t="str">
        <f>IFERROR(VLOOKUP($C539,Popisy!A:P,MATCH($W$17,Popisy!$A$7:$P$7,0),FALSE),"---------------")</f>
        <v>Produktmodell - ohne Sprengstoff</v>
      </c>
      <c r="X539" s="891" t="str">
        <f t="shared" si="103"/>
        <v/>
      </c>
      <c r="Y539" s="892"/>
      <c r="Z539" s="700" t="str">
        <f>IFERROR(IF(VLOOKUP(C539,[4]List1!$A:$D,4,FALSE)=0,"",VLOOKUP(C539,[4]List1!$A:$D,4,FALSE)),"")</f>
        <v/>
      </c>
      <c r="AA539" s="707"/>
      <c r="AB539" s="912" t="str">
        <f>IFERROR(IF(VLOOKUP(C539,[1]List1!$A:$D,2,FALSE)="VYPRODÁNO",$V$9,IF(VLOOKUP(C539,[1]List1!$A:$D,2,FALSE)="DOCHÁZÍ",$V$3,VLOOKUP(C539,[1]List1!$A:$D,2,FALSE))),"OFFLINE!")</f>
        <v>AUSVERKAUFT</v>
      </c>
      <c r="AC539" s="912" t="str">
        <f ca="1">IF(AO539="NE",$V$10,IF(AB539=$V$3,IF(AP539&lt;1,$V$8,$V$2&amp;" "&amp;AP539&amp;" "&amp;$V$1),IF(AB539="SKLADEM",$V$6,IFERROR(IF(OR(AB539-TODAY()&gt;21,VLOOKUP(C539,[1]List1!$A:$E,4,FALSE)=0),AB539,DAY(AB539)&amp;"."&amp;MONTH(AB539)&amp;"."&amp;YEAR(AB539)&amp;" "&amp;$V$4&amp;VLOOKUP(C539,[1]List1!$A:$E,4,FALSE)&amp;" "&amp;$V$1),AB539))))</f>
        <v>AUSVERKAUFT</v>
      </c>
      <c r="AD539" s="701" t="str">
        <f ca="1">_xlfn.IFNA(VLOOKUP(C539,'General price list'!C:AM,MATCH($AD$20,'General price list'!$C$20:$AM$20,0),FALSE),"")</f>
        <v>AUSVERKAUFT</v>
      </c>
      <c r="AE539" s="695">
        <f t="shared" ca="1" si="104"/>
        <v>0</v>
      </c>
      <c r="AF539" s="695">
        <f t="shared" ca="1" si="105"/>
        <v>0</v>
      </c>
      <c r="AG539" s="702">
        <f t="shared" ca="1" si="106"/>
        <v>0</v>
      </c>
      <c r="AH539" s="703">
        <f t="shared" ca="1" si="107"/>
        <v>0</v>
      </c>
      <c r="AI539" s="702">
        <f t="shared" ca="1" si="108"/>
        <v>0</v>
      </c>
      <c r="AJ539" s="704" t="str">
        <f t="shared" ca="1" si="109"/>
        <v/>
      </c>
      <c r="AK539" s="704" t="str">
        <f t="shared" ca="1" si="110"/>
        <v/>
      </c>
      <c r="AL539" s="704" t="str">
        <f t="shared" ca="1" si="111"/>
        <v/>
      </c>
      <c r="AM539" s="705" t="str">
        <f t="shared" ca="1" si="112"/>
        <v/>
      </c>
      <c r="AN539" s="382"/>
      <c r="AO539" s="314" t="str">
        <f>IF($R$3=1,IF(Y539=AA539,"","NE"),IF(#REF!=$V$10,"NE",""))</f>
        <v/>
      </c>
      <c r="AP539" s="315" t="str">
        <f>IF(AB539=$V$3,IF(VLOOKUP(C539,[1]List1!$A:$E,5,FALSE)=0,1,VLOOKUP(C539,[1]List1!$A:$E,5,FALSE)),"")</f>
        <v/>
      </c>
      <c r="AW539" s="458">
        <f>IFERROR(FIND(VLOOKUP('General price list'!$AB$7,'General price list'!$AC$1:$AD$12,2,FALSE),Q539,1),0)</f>
        <v>0</v>
      </c>
      <c r="AX539" s="458">
        <f>IFERROR(FIND(VLOOKUP('General price list'!$AB$7,'General price list'!$AC$1:$AD$12,2,FALSE),R539,1),0)</f>
        <v>0</v>
      </c>
    </row>
    <row r="540" spans="1:50" ht="15" customHeight="1">
      <c r="A540" s="677" t="str">
        <f>Kat.!C540</f>
        <v xml:space="preserve">                                          </v>
      </c>
      <c r="B540" s="678">
        <v>519</v>
      </c>
      <c r="C540" s="679" t="s">
        <v>2176</v>
      </c>
      <c r="D540" s="679" t="s">
        <v>2177</v>
      </c>
      <c r="E540" s="680" t="s">
        <v>129</v>
      </c>
      <c r="F540" s="681">
        <f>VLOOKUP(C540,[2]List1!$A:$D,2,FALSE)</f>
        <v>1019</v>
      </c>
      <c r="G540" s="682">
        <f t="shared" si="101"/>
        <v>1019</v>
      </c>
      <c r="H540" s="683">
        <f t="shared" si="102"/>
        <v>41.5</v>
      </c>
      <c r="I540" s="836">
        <v>1</v>
      </c>
      <c r="J540" s="680"/>
      <c r="K540" s="854">
        <v>7</v>
      </c>
      <c r="L540" s="855"/>
      <c r="M540" s="680"/>
      <c r="N540" s="868">
        <f>IFERROR(VLOOKUP(C540,[3]List1!$A:$D,4,FALSE),"N/A!")</f>
        <v>2.3034374999999999E-2</v>
      </c>
      <c r="O540" s="836">
        <f>IFERROR(VLOOKUP(C540,[3]List1!$A:$D,3,FALSE),"N/A!")</f>
        <v>0</v>
      </c>
      <c r="P540" s="836">
        <f>IFERROR(VLOOKUP(C540,[3]List1!$A:$D,2,FALSE),"N/A!")</f>
        <v>7005</v>
      </c>
      <c r="Q540" s="680"/>
      <c r="R540" s="680"/>
      <c r="S540" s="680"/>
      <c r="T540" s="681"/>
      <c r="U540" s="873"/>
      <c r="V540" s="684" t="str">
        <f>_xlfn.IFNA(HYPERLINK("https://www.klasekpyrotechnics.cz/c106mb"),"")</f>
        <v>https://www.klasekpyrotechnics.cz/c106mb</v>
      </c>
      <c r="W540" s="685" t="str">
        <f>IFERROR(VLOOKUP($C540,Popisy!A:P,MATCH($W$17,Popisy!$A$7:$P$7,0),FALSE),"---------------")</f>
        <v>Produktmodell - ohne Sprengstoff</v>
      </c>
      <c r="X540" s="889" t="str">
        <f t="shared" si="103"/>
        <v/>
      </c>
      <c r="Y540" s="890"/>
      <c r="Z540" s="685" t="str">
        <f>IFERROR(IF(VLOOKUP(C540,[4]List1!$A:$D,4,FALSE)=0,"",VLOOKUP(C540,[4]List1!$A:$D,4,FALSE)),"")</f>
        <v/>
      </c>
      <c r="AA540" s="707"/>
      <c r="AB540" s="911" t="str">
        <f>IFERROR(IF(VLOOKUP(C540,[1]List1!$A:$D,2,FALSE)="VYPRODÁNO",$V$9,IF(VLOOKUP(C540,[1]List1!$A:$D,2,FALSE)="DOCHÁZÍ",$V$3,VLOOKUP(C540,[1]List1!$A:$D,2,FALSE))),"OFFLINE!")</f>
        <v>AUSVERKAUFT</v>
      </c>
      <c r="AC540" s="911" t="str">
        <f ca="1">IF(AO540="NE",$V$10,IF(AB540=$V$3,IF(AP540&lt;1,$V$8,$V$2&amp;" "&amp;AP540&amp;" "&amp;$V$1),IF(AB540="SKLADEM",$V$6,IFERROR(IF(OR(AB540-TODAY()&gt;21,VLOOKUP(C540,[1]List1!$A:$E,4,FALSE)=0),AB540,DAY(AB540)&amp;"."&amp;MONTH(AB540)&amp;"."&amp;YEAR(AB540)&amp;" "&amp;$V$4&amp;VLOOKUP(C540,[1]List1!$A:$E,4,FALSE)&amp;" "&amp;$V$1),AB540))))</f>
        <v>AUSVERKAUFT</v>
      </c>
      <c r="AD540" s="686" t="str">
        <f ca="1">_xlfn.IFNA(VLOOKUP(C540,'General price list'!C:AM,MATCH($AD$20,'General price list'!$C$20:$AM$20,0),FALSE),"")</f>
        <v>AUSVERKAUFT</v>
      </c>
      <c r="AE540" s="681">
        <f t="shared" ca="1" si="104"/>
        <v>0</v>
      </c>
      <c r="AF540" s="681">
        <f t="shared" ca="1" si="105"/>
        <v>0</v>
      </c>
      <c r="AG540" s="687">
        <f t="shared" ca="1" si="106"/>
        <v>0</v>
      </c>
      <c r="AH540" s="688">
        <f t="shared" ca="1" si="107"/>
        <v>0</v>
      </c>
      <c r="AI540" s="687">
        <f t="shared" ca="1" si="108"/>
        <v>0</v>
      </c>
      <c r="AJ540" s="689" t="str">
        <f t="shared" ca="1" si="109"/>
        <v/>
      </c>
      <c r="AK540" s="689" t="str">
        <f t="shared" ca="1" si="110"/>
        <v/>
      </c>
      <c r="AL540" s="689" t="str">
        <f t="shared" ca="1" si="111"/>
        <v/>
      </c>
      <c r="AM540" s="690" t="str">
        <f t="shared" ca="1" si="112"/>
        <v/>
      </c>
      <c r="AN540" s="313"/>
      <c r="AO540" s="314" t="str">
        <f>IF($R$3=1,IF(Y540=AA540,"","NE"),IF(#REF!=$V$10,"NE",""))</f>
        <v/>
      </c>
      <c r="AP540" s="315" t="str">
        <f>IF(AB540=$V$3,IF(VLOOKUP(C540,[1]List1!$A:$E,5,FALSE)=0,1,VLOOKUP(C540,[1]List1!$A:$E,5,FALSE)),"")</f>
        <v/>
      </c>
      <c r="AW540" s="458">
        <f>IFERROR(FIND(VLOOKUP('General price list'!$AB$7,'General price list'!$AC$1:$AD$12,2,FALSE),Q540,1),0)</f>
        <v>0</v>
      </c>
      <c r="AX540" s="458">
        <f>IFERROR(FIND(VLOOKUP('General price list'!$AB$7,'General price list'!$AC$1:$AD$12,2,FALSE),R540,1),0)</f>
        <v>0</v>
      </c>
    </row>
    <row r="541" spans="1:50" ht="15" customHeight="1">
      <c r="A541" s="672" t="str">
        <f>Kat.!C541</f>
        <v xml:space="preserve">                                          Verbundfeurwerk, multikaliber(20-30mm) F3 - 1.3G</v>
      </c>
      <c r="B541" s="692">
        <v>520</v>
      </c>
      <c r="C541" s="693"/>
      <c r="D541" s="693"/>
      <c r="E541" s="694"/>
      <c r="F541" s="695" t="str">
        <f>IFERROR(ROUND(VLOOKUP(C541,'General price list'!$C:$AN,4,FALSE),0),"")</f>
        <v/>
      </c>
      <c r="G541" s="696" t="str">
        <f t="shared" si="101"/>
        <v/>
      </c>
      <c r="H541" s="697" t="str">
        <f t="shared" si="102"/>
        <v/>
      </c>
      <c r="I541" s="837"/>
      <c r="J541" s="698"/>
      <c r="K541" s="856"/>
      <c r="L541" s="857"/>
      <c r="M541" s="698"/>
      <c r="N541" s="869" t="str">
        <f>IFERROR(IF(VLOOKUP($C541,'General price list'!$C:$AN,MATCH(N$20,'General price list'!$C$20:$AM$20,0),FALSE)=0,"",VLOOKUP($C541,'General price list'!$C:$AN,MATCH(N$20,'General price list'!$C$20:$AM$20,0),FALSE)),"")</f>
        <v/>
      </c>
      <c r="O541" s="837" t="str">
        <f>IFERROR(IF(VLOOKUP($C541,'General price list'!$C:$AN,MATCH(O$20,'General price list'!$C$20:$AM$20,0),FALSE)=0,"",VLOOKUP($C541,'General price list'!$C:$AN,MATCH(O$20,'General price list'!$C$20:$AM$20,0),FALSE)),"")</f>
        <v/>
      </c>
      <c r="P541" s="837" t="str">
        <f>IFERROR(IF(VLOOKUP($C541,'General price list'!$C:$AN,MATCH(P$20,'General price list'!$C$20:$AM$20,0),FALSE)=0,"",VLOOKUP($C541,'General price list'!$C:$AN,MATCH(P$20,'General price list'!$C$20:$AM$20,0),FALSE)),"")</f>
        <v/>
      </c>
      <c r="Q541" s="698"/>
      <c r="R541" s="698"/>
      <c r="S541" s="698"/>
      <c r="T541" s="695"/>
      <c r="U541" s="874"/>
      <c r="V541" s="699"/>
      <c r="W541" s="700" t="str">
        <f>IFERROR(VLOOKUP($C541,'General price list'!$C:$AN,MATCH(W$20,'General price list'!$C$20:$AM$20,0),FALSE),"")</f>
        <v/>
      </c>
      <c r="X541" s="891" t="str">
        <f t="shared" si="103"/>
        <v/>
      </c>
      <c r="Y541" s="892"/>
      <c r="Z541" s="700" t="str">
        <f>IFERROR(VLOOKUP($C541,'General price list'!$C:$AN,MATCH(Z$20,'General price list'!$C$20:$AM$20,0),FALSE),"")</f>
        <v/>
      </c>
      <c r="AA541" s="707"/>
      <c r="AB541" s="912" t="str">
        <f>IFERROR(IF(VLOOKUP(C541,[1]List1!$A:$D,2,FALSE)="VYPRODÁNO",$V$9,IF(VLOOKUP(C541,[1]List1!$A:$D,2,FALSE)="DOCHÁZÍ",$V$3,VLOOKUP(C541,[1]List1!$A:$D,2,FALSE))),"OFFLINE!")</f>
        <v>OFFLINE!</v>
      </c>
      <c r="AC541" s="912" t="str">
        <f ca="1">IF(AO541="NE",$V$10,IF(AB541=$V$3,IF(AP541&lt;1,$V$8,$V$2&amp;" "&amp;AP541&amp;" "&amp;$V$1),IF(AB541="SKLADEM",$V$6,IFERROR(IF(OR(AB541-TODAY()&gt;21,VLOOKUP(C541,[1]List1!$A:$E,4,FALSE)=0),AB541,DAY(AB541)&amp;"."&amp;MONTH(AB541)&amp;"."&amp;YEAR(AB541)&amp;" "&amp;$V$4&amp;VLOOKUP(C541,[1]List1!$A:$E,4,FALSE)&amp;" "&amp;$V$1),AB541))))</f>
        <v>OFFLINE!</v>
      </c>
      <c r="AD541" s="701" t="str">
        <f>_xlfn.IFNA(VLOOKUP(C541,'General price list'!C:AM,MATCH($AD$20,'General price list'!$C$20:$AM$20,0),FALSE),"")</f>
        <v/>
      </c>
      <c r="AE541" s="695" t="str">
        <f t="shared" si="104"/>
        <v/>
      </c>
      <c r="AF541" s="695" t="str">
        <f t="shared" si="105"/>
        <v/>
      </c>
      <c r="AG541" s="702" t="str">
        <f t="shared" si="106"/>
        <v/>
      </c>
      <c r="AH541" s="703" t="str">
        <f t="shared" si="107"/>
        <v/>
      </c>
      <c r="AI541" s="702" t="str">
        <f t="shared" si="108"/>
        <v/>
      </c>
      <c r="AJ541" s="704" t="str">
        <f t="shared" si="109"/>
        <v/>
      </c>
      <c r="AK541" s="704" t="str">
        <f t="shared" si="110"/>
        <v/>
      </c>
      <c r="AL541" s="704" t="str">
        <f t="shared" si="111"/>
        <v/>
      </c>
      <c r="AM541" s="705" t="str">
        <f t="shared" si="112"/>
        <v/>
      </c>
      <c r="AN541" s="313"/>
      <c r="AO541" s="314" t="str">
        <f>IF($R$3=1,IF(Y541=AA541,"","NE"),IF(#REF!=$V$10,"NE",""))</f>
        <v/>
      </c>
      <c r="AP541" s="315" t="str">
        <f>IF(AB541=$V$3,IF(VLOOKUP(C541,[1]List1!$A:$E,5,FALSE)=0,1,VLOOKUP(C541,[1]List1!$A:$E,5,FALSE)),"")</f>
        <v/>
      </c>
      <c r="AW541" s="291" t="e">
        <f>VLOOKUP(C541,'General price list'!C:AU,46,FALSE)</f>
        <v>#N/A</v>
      </c>
      <c r="AX541" s="291" t="e">
        <f>VLOOKUP(C541,'General price list'!C:AU,47,FALSE)</f>
        <v>#N/A</v>
      </c>
    </row>
    <row r="542" spans="1:50" ht="15" customHeight="1">
      <c r="A542" s="677" t="str">
        <f>Kat.!C542</f>
        <v xml:space="preserve">                                          </v>
      </c>
      <c r="B542" s="678">
        <v>521</v>
      </c>
      <c r="C542" s="679" t="s">
        <v>2178</v>
      </c>
      <c r="D542" s="679" t="s">
        <v>2179</v>
      </c>
      <c r="E542" s="680" t="s">
        <v>129</v>
      </c>
      <c r="F542" s="681">
        <f>VLOOKUP(C542,[2]List1!$A:$D,2,FALSE)</f>
        <v>2141</v>
      </c>
      <c r="G542" s="682">
        <f t="shared" si="101"/>
        <v>2141</v>
      </c>
      <c r="H542" s="683">
        <f t="shared" si="102"/>
        <v>87.1</v>
      </c>
      <c r="I542" s="836">
        <v>1</v>
      </c>
      <c r="J542" s="680"/>
      <c r="K542" s="854"/>
      <c r="L542" s="855"/>
      <c r="M542" s="680"/>
      <c r="N542" s="868">
        <f>IFERROR(VLOOKUP(C542,[3]List1!$A:$D,4,FALSE),"N/A!")</f>
        <v>5.1920000000000001E-2</v>
      </c>
      <c r="O542" s="836">
        <f>IFERROR(VLOOKUP(C542,[3]List1!$A:$D,3,FALSE),"N/A!")</f>
        <v>0</v>
      </c>
      <c r="P542" s="836">
        <f>IFERROR(VLOOKUP(C542,[3]List1!$A:$D,2,FALSE),"N/A!")</f>
        <v>13006</v>
      </c>
      <c r="Q542" s="680"/>
      <c r="R542" s="680"/>
      <c r="S542" s="680"/>
      <c r="T542" s="681"/>
      <c r="U542" s="873"/>
      <c r="V542" s="684"/>
      <c r="W542" s="685" t="str">
        <f>IFERROR(VLOOKUP($C542,Popisy!A:P,MATCH($W$17,Popisy!$A$7:$P$7,0),FALSE),"---------------")</f>
        <v>Produktmodell - ohne Sprengstoff</v>
      </c>
      <c r="X542" s="889" t="str">
        <f t="shared" si="103"/>
        <v/>
      </c>
      <c r="Y542" s="890"/>
      <c r="Z542" s="685" t="str">
        <f>IFERROR(IF(VLOOKUP(C542,[4]List1!$A:$D,4,FALSE)=0,"",VLOOKUP(C542,[4]List1!$A:$D,4,FALSE)),"")</f>
        <v/>
      </c>
      <c r="AA542" s="707"/>
      <c r="AB542" s="911" t="str">
        <f>IFERROR(IF(VLOOKUP(C542,[1]List1!$A:$D,2,FALSE)="VYPRODÁNO",$V$9,IF(VLOOKUP(C542,[1]List1!$A:$D,2,FALSE)="DOCHÁZÍ",$V$3,VLOOKUP(C542,[1]List1!$A:$D,2,FALSE))),"OFFLINE!")</f>
        <v>SKLADEM</v>
      </c>
      <c r="AC542" s="911" t="str">
        <f ca="1">IF(AO542="NE",$V$10,IF(AB542=$V$3,IF(AP542&lt;1,$V$8,$V$2&amp;" "&amp;AP542&amp;" "&amp;$V$1),IF(AB542="SKLADEM",$V$6,IFERROR(IF(OR(AB542-TODAY()&gt;21,VLOOKUP(C542,[1]List1!$A:$E,4,FALSE)=0),AB542,DAY(AB542)&amp;"."&amp;MONTH(AB542)&amp;"."&amp;YEAR(AB542)&amp;" "&amp;$V$4&amp;VLOOKUP(C542,[1]List1!$A:$E,4,FALSE)&amp;" "&amp;$V$1),AB542))))</f>
        <v>AUF LAGER</v>
      </c>
      <c r="AD542" s="686" t="str">
        <f ca="1">_xlfn.IFNA(VLOOKUP(C542,'General price list'!C:AM,MATCH($AD$20,'General price list'!$C$20:$AM$20,0),FALSE),"")</f>
        <v>AUF LAGER</v>
      </c>
      <c r="AE542" s="681">
        <f t="shared" ca="1" si="104"/>
        <v>0</v>
      </c>
      <c r="AF542" s="681">
        <f t="shared" ca="1" si="105"/>
        <v>0</v>
      </c>
      <c r="AG542" s="687">
        <f t="shared" ca="1" si="106"/>
        <v>0</v>
      </c>
      <c r="AH542" s="688">
        <f t="shared" ca="1" si="107"/>
        <v>0</v>
      </c>
      <c r="AI542" s="687">
        <f t="shared" ca="1" si="108"/>
        <v>0</v>
      </c>
      <c r="AJ542" s="689" t="str">
        <f t="shared" ca="1" si="109"/>
        <v/>
      </c>
      <c r="AK542" s="689" t="str">
        <f t="shared" ca="1" si="110"/>
        <v/>
      </c>
      <c r="AL542" s="689" t="str">
        <f t="shared" ca="1" si="111"/>
        <v/>
      </c>
      <c r="AM542" s="690" t="str">
        <f t="shared" ca="1" si="112"/>
        <v/>
      </c>
      <c r="AN542" s="381"/>
      <c r="AO542" s="314" t="str">
        <f>IF($R$3=1,IF(Y542=AA542,"","NE"),IF(#REF!=$V$10,"NE",""))</f>
        <v/>
      </c>
      <c r="AP542" s="315" t="str">
        <f>IF(AB542=$V$3,IF(VLOOKUP(C542,[1]List1!$A:$E,5,FALSE)=0,1,VLOOKUP(C542,[1]List1!$A:$E,5,FALSE)),"")</f>
        <v/>
      </c>
      <c r="AW542" s="458">
        <f>IFERROR(FIND(VLOOKUP('General price list'!$AB$7,'General price list'!$AC$1:$AD$12,2,FALSE),Q542,1),0)</f>
        <v>0</v>
      </c>
      <c r="AX542" s="458">
        <f>IFERROR(FIND(VLOOKUP('General price list'!$AB$7,'General price list'!$AC$1:$AD$12,2,FALSE),R542,1),0)</f>
        <v>0</v>
      </c>
    </row>
    <row r="543" spans="1:50" ht="15" customHeight="1">
      <c r="A543" s="672" t="str">
        <f>Kat.!C543</f>
        <v xml:space="preserve">                                          Kartons gestalten</v>
      </c>
      <c r="B543" s="692">
        <v>522</v>
      </c>
      <c r="C543" s="693"/>
      <c r="D543" s="693"/>
      <c r="E543" s="694"/>
      <c r="F543" s="695" t="str">
        <f>IFERROR(ROUND(VLOOKUP(C543,'General price list'!$C:$AN,4,FALSE),0),"")</f>
        <v/>
      </c>
      <c r="G543" s="696" t="str">
        <f t="shared" si="101"/>
        <v/>
      </c>
      <c r="H543" s="697" t="str">
        <f t="shared" si="102"/>
        <v/>
      </c>
      <c r="I543" s="837"/>
      <c r="J543" s="698"/>
      <c r="K543" s="856"/>
      <c r="L543" s="857"/>
      <c r="M543" s="698"/>
      <c r="N543" s="869" t="str">
        <f>IFERROR(IF(VLOOKUP($C543,'General price list'!$C:$AN,MATCH(N$20,'General price list'!$C$20:$AM$20,0),FALSE)=0,"",VLOOKUP($C543,'General price list'!$C:$AN,MATCH(N$20,'General price list'!$C$20:$AM$20,0),FALSE)),"")</f>
        <v/>
      </c>
      <c r="O543" s="837" t="str">
        <f>IFERROR(IF(VLOOKUP($C543,'General price list'!$C:$AN,MATCH(O$20,'General price list'!$C$20:$AM$20,0),FALSE)=0,"",VLOOKUP($C543,'General price list'!$C:$AN,MATCH(O$20,'General price list'!$C$20:$AM$20,0),FALSE)),"")</f>
        <v/>
      </c>
      <c r="P543" s="837" t="str">
        <f>IFERROR(IF(VLOOKUP($C543,'General price list'!$C:$AN,MATCH(P$20,'General price list'!$C$20:$AM$20,0),FALSE)=0,"",VLOOKUP($C543,'General price list'!$C:$AN,MATCH(P$20,'General price list'!$C$20:$AM$20,0),FALSE)),"")</f>
        <v/>
      </c>
      <c r="Q543" s="698"/>
      <c r="R543" s="698"/>
      <c r="S543" s="698"/>
      <c r="T543" s="695"/>
      <c r="U543" s="874"/>
      <c r="V543" s="699"/>
      <c r="W543" s="700" t="str">
        <f>IFERROR(VLOOKUP($C543,'General price list'!$C:$AN,MATCH(W$20,'General price list'!$C$20:$AM$20,0),FALSE),"")</f>
        <v/>
      </c>
      <c r="X543" s="891" t="str">
        <f t="shared" si="103"/>
        <v/>
      </c>
      <c r="Y543" s="892"/>
      <c r="Z543" s="700" t="str">
        <f>IFERROR(VLOOKUP($C543,'General price list'!$C:$AN,MATCH(Z$20,'General price list'!$C$20:$AM$20,0),FALSE),"")</f>
        <v/>
      </c>
      <c r="AA543" s="707"/>
      <c r="AB543" s="912" t="str">
        <f>IFERROR(IF(VLOOKUP(C543,[1]List1!$A:$D,2,FALSE)="VYPRODÁNO",$V$9,IF(VLOOKUP(C543,[1]List1!$A:$D,2,FALSE)="DOCHÁZÍ",$V$3,VLOOKUP(C543,[1]List1!$A:$D,2,FALSE))),"OFFLINE!")</f>
        <v>OFFLINE!</v>
      </c>
      <c r="AC543" s="912" t="str">
        <f ca="1">IF(AO543="NE",$V$10,IF(AB543=$V$3,IF(AP543&lt;1,$V$8,$V$2&amp;" "&amp;AP543&amp;" "&amp;$V$1),IF(AB543="SKLADEM",$V$6,IFERROR(IF(OR(AB543-TODAY()&gt;21,VLOOKUP(C543,[1]List1!$A:$E,4,FALSE)=0),AB543,DAY(AB543)&amp;"."&amp;MONTH(AB543)&amp;"."&amp;YEAR(AB543)&amp;" "&amp;$V$4&amp;VLOOKUP(C543,[1]List1!$A:$E,4,FALSE)&amp;" "&amp;$V$1),AB543))))</f>
        <v>OFFLINE!</v>
      </c>
      <c r="AD543" s="701" t="str">
        <f>_xlfn.IFNA(VLOOKUP(C543,'General price list'!C:AM,MATCH($AD$20,'General price list'!$C$20:$AM$20,0),FALSE),"")</f>
        <v/>
      </c>
      <c r="AE543" s="695" t="str">
        <f t="shared" si="104"/>
        <v/>
      </c>
      <c r="AF543" s="695" t="str">
        <f t="shared" si="105"/>
        <v/>
      </c>
      <c r="AG543" s="702" t="str">
        <f t="shared" si="106"/>
        <v/>
      </c>
      <c r="AH543" s="703" t="str">
        <f t="shared" si="107"/>
        <v/>
      </c>
      <c r="AI543" s="702" t="str">
        <f t="shared" si="108"/>
        <v/>
      </c>
      <c r="AJ543" s="704" t="str">
        <f t="shared" si="109"/>
        <v/>
      </c>
      <c r="AK543" s="704" t="str">
        <f t="shared" si="110"/>
        <v/>
      </c>
      <c r="AL543" s="704" t="str">
        <f t="shared" si="111"/>
        <v/>
      </c>
      <c r="AM543" s="705" t="str">
        <f t="shared" si="112"/>
        <v/>
      </c>
      <c r="AN543" s="313"/>
      <c r="AO543" s="314" t="str">
        <f>IF($R$3=1,IF(Y543=AA543,"","NE"),IF(#REF!=$V$10,"NE",""))</f>
        <v/>
      </c>
      <c r="AP543" s="315" t="str">
        <f>IF(AB543=$V$3,IF(VLOOKUP(C543,[1]List1!$A:$E,5,FALSE)=0,1,VLOOKUP(C543,[1]List1!$A:$E,5,FALSE)),"")</f>
        <v/>
      </c>
      <c r="AW543" s="291" t="e">
        <f>VLOOKUP(C543,'General price list'!C:AU,46,FALSE)</f>
        <v>#N/A</v>
      </c>
      <c r="AX543" s="291" t="e">
        <f>VLOOKUP(C543,'General price list'!C:AU,47,FALSE)</f>
        <v>#N/A</v>
      </c>
    </row>
    <row r="544" spans="1:50" ht="15" customHeight="1">
      <c r="A544" s="677" t="str">
        <f>Kat.!C544</f>
        <v xml:space="preserve">                                          </v>
      </c>
      <c r="B544" s="678">
        <v>523</v>
      </c>
      <c r="C544" s="679" t="s">
        <v>11785</v>
      </c>
      <c r="D544" s="679" t="s">
        <v>13648</v>
      </c>
      <c r="E544" s="680" t="s">
        <v>129</v>
      </c>
      <c r="F544" s="681">
        <f>VLOOKUP(C544,[2]List1!$A:$D,2,FALSE)</f>
        <v>140</v>
      </c>
      <c r="G544" s="682">
        <f t="shared" si="101"/>
        <v>140</v>
      </c>
      <c r="H544" s="683">
        <f t="shared" si="102"/>
        <v>5.7</v>
      </c>
      <c r="I544" s="836">
        <v>1</v>
      </c>
      <c r="J544" s="680"/>
      <c r="K544" s="854"/>
      <c r="L544" s="855"/>
      <c r="M544" s="680"/>
      <c r="N544" s="868" t="str">
        <f>IFERROR(VLOOKUP(C544,[3]List1!$A:$D,4,FALSE),"N/A!")</f>
        <v/>
      </c>
      <c r="O544" s="836" t="str">
        <f>IFERROR(VLOOKUP(C544,[3]List1!$A:$D,3,FALSE),"N/A!")</f>
        <v/>
      </c>
      <c r="P544" s="836">
        <f>IFERROR(VLOOKUP(C544,[3]List1!$A:$D,2,FALSE),"N/A!")</f>
        <v>1500</v>
      </c>
      <c r="Q544" s="680"/>
      <c r="R544" s="680"/>
      <c r="S544" s="680"/>
      <c r="T544" s="681"/>
      <c r="U544" s="873"/>
      <c r="V544" s="684"/>
      <c r="W544" s="685" t="str">
        <f>IFERROR(VLOOKUP($C544,Popisy!A:P,MATCH($W$17,Popisy!$A$7:$P$7,0),FALSE),"---------------")</f>
        <v>Karton mit Produktdesign</v>
      </c>
      <c r="X544" s="889" t="str">
        <f t="shared" si="103"/>
        <v/>
      </c>
      <c r="Y544" s="890"/>
      <c r="Z544" s="685" t="str">
        <f>IFERROR(IF(VLOOKUP(C544,[4]List1!$A:$D,4,FALSE)=0,"",VLOOKUP(C544,[4]List1!$A:$D,4,FALSE)),"")</f>
        <v/>
      </c>
      <c r="AA544" s="707"/>
      <c r="AB544" s="911" t="str">
        <f>IFERROR(IF(VLOOKUP(C544,[1]List1!$A:$D,2,FALSE)="VYPRODÁNO",$V$9,IF(VLOOKUP(C544,[1]List1!$A:$D,2,FALSE)="DOCHÁZÍ",$V$3,VLOOKUP(C544,[1]List1!$A:$D,2,FALSE))),"OFFLINE!")</f>
        <v>SKLADEM</v>
      </c>
      <c r="AC544" s="911" t="str">
        <f ca="1">IF(AO544="NE",$V$10,IF(AB544=$V$3,IF(AP544&lt;1,$V$8,$V$2&amp;" "&amp;AP544&amp;" "&amp;$V$1),IF(AB544="SKLADEM",$V$6,IFERROR(IF(OR(AB544-TODAY()&gt;21,VLOOKUP(C544,[1]List1!$A:$E,4,FALSE)=0),AB544,DAY(AB544)&amp;"."&amp;MONTH(AB544)&amp;"."&amp;YEAR(AB544)&amp;" "&amp;$V$4&amp;VLOOKUP(C544,[1]List1!$A:$E,4,FALSE)&amp;" "&amp;$V$1),AB544))))</f>
        <v>AUF LAGER</v>
      </c>
      <c r="AD544" s="686" t="str">
        <f ca="1">_xlfn.IFNA(VLOOKUP(C544,'General price list'!C:AM,MATCH($AD$20,'General price list'!$C$20:$AM$20,0),FALSE),"")</f>
        <v>AUF LAGER</v>
      </c>
      <c r="AE544" s="681">
        <f t="shared" ca="1" si="104"/>
        <v>0</v>
      </c>
      <c r="AF544" s="681">
        <f t="shared" ca="1" si="105"/>
        <v>0</v>
      </c>
      <c r="AG544" s="687">
        <f t="shared" ca="1" si="106"/>
        <v>0</v>
      </c>
      <c r="AH544" s="688">
        <f t="shared" ca="1" si="107"/>
        <v>0</v>
      </c>
      <c r="AI544" s="687" t="str">
        <f t="shared" ca="1" si="108"/>
        <v/>
      </c>
      <c r="AJ544" s="689" t="str">
        <f t="shared" ca="1" si="109"/>
        <v/>
      </c>
      <c r="AK544" s="689" t="str">
        <f t="shared" ca="1" si="110"/>
        <v/>
      </c>
      <c r="AL544" s="689" t="str">
        <f t="shared" ca="1" si="111"/>
        <v/>
      </c>
      <c r="AM544" s="690" t="str">
        <f t="shared" ca="1" si="112"/>
        <v/>
      </c>
      <c r="AN544" s="313"/>
      <c r="AO544" s="314" t="str">
        <f>IF($R$3=1,IF(Y544=AA544,"","NE"),IF(#REF!=$V$10,"NE",""))</f>
        <v/>
      </c>
      <c r="AP544" s="315" t="str">
        <f>IF(AB544=$V$3,IF(VLOOKUP(C544,[1]List1!$A:$E,5,FALSE)=0,1,VLOOKUP(C544,[1]List1!$A:$E,5,FALSE)),"")</f>
        <v/>
      </c>
      <c r="AW544" s="458">
        <f>IFERROR(FIND(VLOOKUP('General price list'!$AB$7,'General price list'!$AC$1:$AD$12,2,FALSE),Q544,1),0)</f>
        <v>0</v>
      </c>
      <c r="AX544" s="458">
        <f>IFERROR(FIND(VLOOKUP('General price list'!$AB$7,'General price list'!$AC$1:$AD$12,2,FALSE),R544,1),0)</f>
        <v>0</v>
      </c>
    </row>
    <row r="545" spans="1:50" ht="15" customHeight="1">
      <c r="A545" s="691"/>
      <c r="B545" s="692">
        <v>524</v>
      </c>
      <c r="C545" s="693" t="s">
        <v>11786</v>
      </c>
      <c r="D545" s="693" t="s">
        <v>13649</v>
      </c>
      <c r="E545" s="694" t="s">
        <v>129</v>
      </c>
      <c r="F545" s="695">
        <f>VLOOKUP(C545,[2]List1!$A:$D,2,FALSE)</f>
        <v>228</v>
      </c>
      <c r="G545" s="696">
        <f t="shared" si="101"/>
        <v>228</v>
      </c>
      <c r="H545" s="697">
        <f t="shared" si="102"/>
        <v>9.3000000000000007</v>
      </c>
      <c r="I545" s="837">
        <v>1</v>
      </c>
      <c r="J545" s="698"/>
      <c r="K545" s="856"/>
      <c r="L545" s="857"/>
      <c r="M545" s="698"/>
      <c r="N545" s="869" t="str">
        <f>IFERROR(VLOOKUP(C545,[3]List1!$A:$D,4,FALSE),"N/A!")</f>
        <v/>
      </c>
      <c r="O545" s="837" t="str">
        <f>IFERROR(VLOOKUP(C545,[3]List1!$A:$D,3,FALSE),"N/A!")</f>
        <v/>
      </c>
      <c r="P545" s="837">
        <f>IFERROR(VLOOKUP(C545,[3]List1!$A:$D,2,FALSE),"N/A!")</f>
        <v>1500</v>
      </c>
      <c r="Q545" s="698"/>
      <c r="R545" s="698"/>
      <c r="S545" s="698"/>
      <c r="T545" s="695"/>
      <c r="U545" s="874"/>
      <c r="V545" s="699"/>
      <c r="W545" s="700" t="str">
        <f>IFERROR(VLOOKUP($C545,Popisy!A:P,MATCH($W$17,Popisy!$A$7:$P$7,0),FALSE),"---------------")</f>
        <v>Karton mit Produktdesign</v>
      </c>
      <c r="X545" s="891" t="str">
        <f t="shared" si="103"/>
        <v/>
      </c>
      <c r="Y545" s="892"/>
      <c r="Z545" s="700" t="str">
        <f>IFERROR(IF(VLOOKUP(C545,[4]List1!$A:$D,4,FALSE)=0,"",VLOOKUP(C545,[4]List1!$A:$D,4,FALSE)),"")</f>
        <v/>
      </c>
      <c r="AA545" s="707"/>
      <c r="AB545" s="912" t="str">
        <f>IFERROR(IF(VLOOKUP(C545,[1]List1!$A:$D,2,FALSE)="VYPRODÁNO",$V$9,IF(VLOOKUP(C545,[1]List1!$A:$D,2,FALSE)="DOCHÁZÍ",$V$3,VLOOKUP(C545,[1]List1!$A:$D,2,FALSE))),"OFFLINE!")</f>
        <v>SKLADEM</v>
      </c>
      <c r="AC545" s="912" t="str">
        <f ca="1">IF(AO545="NE",$V$10,IF(AB545=$V$3,IF(AP545&lt;1,$V$8,$V$2&amp;" "&amp;AP545&amp;" "&amp;$V$1),IF(AB545="SKLADEM",$V$6,IFERROR(IF(OR(AB545-TODAY()&gt;21,VLOOKUP(C545,[1]List1!$A:$E,4,FALSE)=0),AB545,DAY(AB545)&amp;"."&amp;MONTH(AB545)&amp;"."&amp;YEAR(AB545)&amp;" "&amp;$V$4&amp;VLOOKUP(C545,[1]List1!$A:$E,4,FALSE)&amp;" "&amp;$V$1),AB545))))</f>
        <v>AUF LAGER</v>
      </c>
      <c r="AD545" s="701" t="str">
        <f ca="1">_xlfn.IFNA(VLOOKUP(C545,'General price list'!C:AM,MATCH($AD$20,'General price list'!$C$20:$AM$20,0),FALSE),"")</f>
        <v>AUF LAGER</v>
      </c>
      <c r="AE545" s="695">
        <f t="shared" ca="1" si="104"/>
        <v>0</v>
      </c>
      <c r="AF545" s="695">
        <f t="shared" ca="1" si="105"/>
        <v>0</v>
      </c>
      <c r="AG545" s="702">
        <f t="shared" ca="1" si="106"/>
        <v>0</v>
      </c>
      <c r="AH545" s="703">
        <f t="shared" ca="1" si="107"/>
        <v>0</v>
      </c>
      <c r="AI545" s="702" t="str">
        <f t="shared" ca="1" si="108"/>
        <v/>
      </c>
      <c r="AJ545" s="704" t="str">
        <f t="shared" ca="1" si="109"/>
        <v/>
      </c>
      <c r="AK545" s="704" t="str">
        <f t="shared" ca="1" si="110"/>
        <v/>
      </c>
      <c r="AL545" s="704" t="str">
        <f t="shared" ca="1" si="111"/>
        <v/>
      </c>
      <c r="AM545" s="705" t="str">
        <f t="shared" ca="1" si="112"/>
        <v/>
      </c>
      <c r="AN545" s="382"/>
      <c r="AO545" s="314" t="str">
        <f>IF($R$3=1,IF(Y545=AA545,"","NE"),IF(#REF!=$V$10,"NE",""))</f>
        <v/>
      </c>
      <c r="AP545" s="315" t="str">
        <f>IF(AB545=$V$3,IF(VLOOKUP(C545,[1]List1!$A:$E,5,FALSE)=0,1,VLOOKUP(C545,[1]List1!$A:$E,5,FALSE)),"")</f>
        <v/>
      </c>
      <c r="AW545" s="458">
        <f>IFERROR(FIND(VLOOKUP('General price list'!$AB$7,'General price list'!$AC$1:$AD$12,2,FALSE),Q545,1),0)</f>
        <v>0</v>
      </c>
      <c r="AX545" s="458">
        <f>IFERROR(FIND(VLOOKUP('General price list'!$AB$7,'General price list'!$AC$1:$AD$12,2,FALSE),R545,1),0)</f>
        <v>0</v>
      </c>
    </row>
    <row r="546" spans="1:50" ht="15" customHeight="1">
      <c r="A546" s="677" t="str">
        <f>IFERROR(IF(VLOOKUP(C546,#REF!,5,FALSE)=0,"",VLOOKUP(C546,#REF!,5,FALSE)),"")</f>
        <v/>
      </c>
      <c r="B546" s="678">
        <v>525</v>
      </c>
      <c r="C546" s="679" t="s">
        <v>11787</v>
      </c>
      <c r="D546" s="679" t="s">
        <v>13650</v>
      </c>
      <c r="E546" s="680" t="s">
        <v>129</v>
      </c>
      <c r="F546" s="681">
        <f>VLOOKUP(C546,[2]List1!$A:$D,2,FALSE)</f>
        <v>190</v>
      </c>
      <c r="G546" s="682">
        <f t="shared" si="101"/>
        <v>190</v>
      </c>
      <c r="H546" s="683">
        <f t="shared" si="102"/>
        <v>7.7</v>
      </c>
      <c r="I546" s="836">
        <v>1</v>
      </c>
      <c r="J546" s="680"/>
      <c r="K546" s="854"/>
      <c r="L546" s="855"/>
      <c r="M546" s="680"/>
      <c r="N546" s="868" t="str">
        <f>IFERROR(VLOOKUP(C546,[3]List1!$A:$D,4,FALSE),"N/A!")</f>
        <v/>
      </c>
      <c r="O546" s="836" t="str">
        <f>IFERROR(VLOOKUP(C546,[3]List1!$A:$D,3,FALSE),"N/A!")</f>
        <v/>
      </c>
      <c r="P546" s="836">
        <f>IFERROR(VLOOKUP(C546,[3]List1!$A:$D,2,FALSE),"N/A!")</f>
        <v>1500</v>
      </c>
      <c r="Q546" s="680"/>
      <c r="R546" s="680"/>
      <c r="S546" s="680"/>
      <c r="T546" s="681"/>
      <c r="U546" s="873"/>
      <c r="V546" s="684"/>
      <c r="W546" s="685" t="str">
        <f>IFERROR(VLOOKUP($C546,Popisy!A:P,MATCH($W$17,Popisy!$A$7:$P$7,0),FALSE),"---------------")</f>
        <v>Karton mit Produktdesign</v>
      </c>
      <c r="X546" s="889" t="str">
        <f t="shared" si="103"/>
        <v/>
      </c>
      <c r="Y546" s="890"/>
      <c r="Z546" s="685" t="str">
        <f>IFERROR(IF(VLOOKUP(C546,[4]List1!$A:$D,4,FALSE)=0,"",VLOOKUP(C546,[4]List1!$A:$D,4,FALSE)),"")</f>
        <v/>
      </c>
      <c r="AA546" s="707"/>
      <c r="AB546" s="911" t="str">
        <f>IFERROR(IF(VLOOKUP(C546,[1]List1!$A:$D,2,FALSE)="VYPRODÁNO",$V$9,IF(VLOOKUP(C546,[1]List1!$A:$D,2,FALSE)="DOCHÁZÍ",$V$3,VLOOKUP(C546,[1]List1!$A:$D,2,FALSE))),"OFFLINE!")</f>
        <v>SKLADEM</v>
      </c>
      <c r="AC546" s="911" t="str">
        <f ca="1">IF(AO546="NE",$V$10,IF(AB546=$V$3,IF(AP546&lt;1,$V$8,$V$2&amp;" "&amp;AP546&amp;" "&amp;$V$1),IF(AB546="SKLADEM",$V$6,IFERROR(IF(OR(AB546-TODAY()&gt;21,VLOOKUP(C546,[1]List1!$A:$E,4,FALSE)=0),AB546,DAY(AB546)&amp;"."&amp;MONTH(AB546)&amp;"."&amp;YEAR(AB546)&amp;" "&amp;$V$4&amp;VLOOKUP(C546,[1]List1!$A:$E,4,FALSE)&amp;" "&amp;$V$1),AB546))))</f>
        <v>AUF LAGER</v>
      </c>
      <c r="AD546" s="686" t="str">
        <f ca="1">_xlfn.IFNA(VLOOKUP(C546,'General price list'!C:AM,MATCH($AD$20,'General price list'!$C$20:$AM$20,0),FALSE),"")</f>
        <v>AUF LAGER</v>
      </c>
      <c r="AE546" s="681">
        <f t="shared" ca="1" si="104"/>
        <v>0</v>
      </c>
      <c r="AF546" s="681">
        <f t="shared" ca="1" si="105"/>
        <v>0</v>
      </c>
      <c r="AG546" s="687">
        <f t="shared" ca="1" si="106"/>
        <v>0</v>
      </c>
      <c r="AH546" s="688">
        <f t="shared" ca="1" si="107"/>
        <v>0</v>
      </c>
      <c r="AI546" s="687" t="str">
        <f t="shared" ca="1" si="108"/>
        <v/>
      </c>
      <c r="AJ546" s="689" t="str">
        <f t="shared" ca="1" si="109"/>
        <v/>
      </c>
      <c r="AK546" s="689" t="str">
        <f t="shared" ca="1" si="110"/>
        <v/>
      </c>
      <c r="AL546" s="689" t="str">
        <f t="shared" ca="1" si="111"/>
        <v/>
      </c>
      <c r="AM546" s="690" t="str">
        <f t="shared" ca="1" si="112"/>
        <v/>
      </c>
      <c r="AN546" s="381"/>
      <c r="AO546" s="314" t="str">
        <f>IF($R$3=1,IF(Y546=AA546,"","NE"),IF(#REF!=$V$10,"NE",""))</f>
        <v/>
      </c>
      <c r="AP546" s="315" t="str">
        <f>IF(AB546=$V$3,IF(VLOOKUP(C546,[1]List1!$A:$E,5,FALSE)=0,1,VLOOKUP(C546,[1]List1!$A:$E,5,FALSE)),"")</f>
        <v/>
      </c>
      <c r="AW546" s="458">
        <f>IFERROR(FIND(VLOOKUP('General price list'!$AB$7,'General price list'!$AC$1:$AD$12,2,FALSE),Q546,1),0)</f>
        <v>0</v>
      </c>
      <c r="AX546" s="458">
        <f>IFERROR(FIND(VLOOKUP('General price list'!$AB$7,'General price list'!$AC$1:$AD$12,2,FALSE),R546,1),0)</f>
        <v>0</v>
      </c>
    </row>
    <row r="547" spans="1:50" ht="15" customHeight="1">
      <c r="A547" s="691" t="str">
        <f>IFERROR(IF(VLOOKUP(C547,#REF!,5,FALSE)=0,"",VLOOKUP(C547,#REF!,5,FALSE)),"")</f>
        <v/>
      </c>
      <c r="B547" s="692">
        <v>526</v>
      </c>
      <c r="C547" s="693" t="s">
        <v>11789</v>
      </c>
      <c r="D547" s="693" t="s">
        <v>13651</v>
      </c>
      <c r="E547" s="694" t="s">
        <v>129</v>
      </c>
      <c r="F547" s="695">
        <f>VLOOKUP(C547,[2]List1!$A:$D,2,FALSE)</f>
        <v>185</v>
      </c>
      <c r="G547" s="696">
        <f t="shared" si="101"/>
        <v>185</v>
      </c>
      <c r="H547" s="697">
        <f t="shared" si="102"/>
        <v>7.5</v>
      </c>
      <c r="I547" s="837">
        <v>1</v>
      </c>
      <c r="J547" s="698"/>
      <c r="K547" s="856"/>
      <c r="L547" s="857"/>
      <c r="M547" s="698"/>
      <c r="N547" s="869" t="str">
        <f>IFERROR(VLOOKUP(C547,[3]List1!$A:$D,4,FALSE),"N/A!")</f>
        <v/>
      </c>
      <c r="O547" s="837" t="str">
        <f>IFERROR(VLOOKUP(C547,[3]List1!$A:$D,3,FALSE),"N/A!")</f>
        <v/>
      </c>
      <c r="P547" s="837">
        <f>IFERROR(VLOOKUP(C547,[3]List1!$A:$D,2,FALSE),"N/A!")</f>
        <v>1500</v>
      </c>
      <c r="Q547" s="698"/>
      <c r="R547" s="698"/>
      <c r="S547" s="698"/>
      <c r="T547" s="695"/>
      <c r="U547" s="874"/>
      <c r="V547" s="699"/>
      <c r="W547" s="700" t="str">
        <f>IFERROR(VLOOKUP($C547,Popisy!A:P,MATCH($W$17,Popisy!$A$7:$P$7,0),FALSE),"---------------")</f>
        <v>Karton mit Produktdesign</v>
      </c>
      <c r="X547" s="891" t="str">
        <f t="shared" si="103"/>
        <v/>
      </c>
      <c r="Y547" s="892"/>
      <c r="Z547" s="700" t="str">
        <f>IFERROR(IF(VLOOKUP(C547,[4]List1!$A:$D,4,FALSE)=0,"",VLOOKUP(C547,[4]List1!$A:$D,4,FALSE)),"")</f>
        <v/>
      </c>
      <c r="AA547" s="707"/>
      <c r="AB547" s="912" t="str">
        <f>IFERROR(IF(VLOOKUP(C547,[1]List1!$A:$D,2,FALSE)="VYPRODÁNO",$V$9,IF(VLOOKUP(C547,[1]List1!$A:$D,2,FALSE)="DOCHÁZÍ",$V$3,VLOOKUP(C547,[1]List1!$A:$D,2,FALSE))),"OFFLINE!")</f>
        <v>SKLADEM</v>
      </c>
      <c r="AC547" s="912" t="str">
        <f ca="1">IF(AO547="NE",$V$10,IF(AB547=$V$3,IF(AP547&lt;1,$V$8,$V$2&amp;" "&amp;AP547&amp;" "&amp;$V$1),IF(AB547="SKLADEM",$V$6,IFERROR(IF(OR(AB547-TODAY()&gt;21,VLOOKUP(C547,[1]List1!$A:$E,4,FALSE)=0),AB547,DAY(AB547)&amp;"."&amp;MONTH(AB547)&amp;"."&amp;YEAR(AB547)&amp;" "&amp;$V$4&amp;VLOOKUP(C547,[1]List1!$A:$E,4,FALSE)&amp;" "&amp;$V$1),AB547))))</f>
        <v>AUF LAGER</v>
      </c>
      <c r="AD547" s="701" t="str">
        <f ca="1">_xlfn.IFNA(VLOOKUP(C547,'General price list'!C:AM,MATCH($AD$20,'General price list'!$C$20:$AM$20,0),FALSE),"")</f>
        <v>AUF LAGER</v>
      </c>
      <c r="AE547" s="695">
        <f t="shared" ca="1" si="104"/>
        <v>0</v>
      </c>
      <c r="AF547" s="695">
        <f t="shared" ca="1" si="105"/>
        <v>0</v>
      </c>
      <c r="AG547" s="702">
        <f t="shared" ca="1" si="106"/>
        <v>0</v>
      </c>
      <c r="AH547" s="703">
        <f t="shared" ca="1" si="107"/>
        <v>0</v>
      </c>
      <c r="AI547" s="702" t="str">
        <f t="shared" ca="1" si="108"/>
        <v/>
      </c>
      <c r="AJ547" s="704" t="str">
        <f t="shared" ca="1" si="109"/>
        <v/>
      </c>
      <c r="AK547" s="704" t="str">
        <f t="shared" ca="1" si="110"/>
        <v/>
      </c>
      <c r="AL547" s="704" t="str">
        <f t="shared" ca="1" si="111"/>
        <v/>
      </c>
      <c r="AM547" s="705" t="str">
        <f t="shared" ca="1" si="112"/>
        <v/>
      </c>
      <c r="AN547" s="313"/>
      <c r="AO547" s="314" t="str">
        <f>IF($R$3=1,IF(Y547=AA547,"","NE"),IF(#REF!=$V$10,"NE",""))</f>
        <v/>
      </c>
      <c r="AP547" s="315" t="str">
        <f>IF(AB547=$V$3,IF(VLOOKUP(C547,[1]List1!$A:$E,5,FALSE)=0,1,VLOOKUP(C547,[1]List1!$A:$E,5,FALSE)),"")</f>
        <v/>
      </c>
      <c r="AW547" s="458">
        <f>IFERROR(FIND(VLOOKUP('General price list'!$AB$7,'General price list'!$AC$1:$AD$12,2,FALSE),Q547,1),0)</f>
        <v>0</v>
      </c>
      <c r="AX547" s="458">
        <f>IFERROR(FIND(VLOOKUP('General price list'!$AB$7,'General price list'!$AC$1:$AD$12,2,FALSE),R547,1),0)</f>
        <v>0</v>
      </c>
    </row>
    <row r="548" spans="1:50" ht="15" customHeight="1">
      <c r="A548" s="677" t="str">
        <f>IFERROR(IF(VLOOKUP(C548,#REF!,5,FALSE)=0,"",VLOOKUP(C548,#REF!,5,FALSE)),"")</f>
        <v/>
      </c>
      <c r="B548" s="678">
        <v>527</v>
      </c>
      <c r="C548" s="679" t="s">
        <v>11790</v>
      </c>
      <c r="D548" s="679" t="s">
        <v>13652</v>
      </c>
      <c r="E548" s="680" t="s">
        <v>129</v>
      </c>
      <c r="F548" s="681">
        <f>VLOOKUP(C548,[2]List1!$A:$D,2,FALSE)</f>
        <v>185</v>
      </c>
      <c r="G548" s="682">
        <f t="shared" si="101"/>
        <v>185</v>
      </c>
      <c r="H548" s="683">
        <f t="shared" si="102"/>
        <v>7.5</v>
      </c>
      <c r="I548" s="836">
        <v>1</v>
      </c>
      <c r="J548" s="680"/>
      <c r="K548" s="854"/>
      <c r="L548" s="855"/>
      <c r="M548" s="680"/>
      <c r="N548" s="868" t="str">
        <f>IFERROR(VLOOKUP(C548,[3]List1!$A:$D,4,FALSE),"N/A!")</f>
        <v/>
      </c>
      <c r="O548" s="836" t="str">
        <f>IFERROR(VLOOKUP(C548,[3]List1!$A:$D,3,FALSE),"N/A!")</f>
        <v/>
      </c>
      <c r="P548" s="836">
        <f>IFERROR(VLOOKUP(C548,[3]List1!$A:$D,2,FALSE),"N/A!")</f>
        <v>1500</v>
      </c>
      <c r="Q548" s="680"/>
      <c r="R548" s="680"/>
      <c r="S548" s="680"/>
      <c r="T548" s="681"/>
      <c r="U548" s="873"/>
      <c r="V548" s="684"/>
      <c r="W548" s="685" t="str">
        <f>IFERROR(VLOOKUP($C548,Popisy!A:P,MATCH($W$17,Popisy!$A$7:$P$7,0),FALSE),"---------------")</f>
        <v>Karton mit Produktdesign</v>
      </c>
      <c r="X548" s="889" t="str">
        <f t="shared" si="103"/>
        <v/>
      </c>
      <c r="Y548" s="890"/>
      <c r="Z548" s="685" t="str">
        <f>IFERROR(IF(VLOOKUP(C548,[4]List1!$A:$D,4,FALSE)=0,"",VLOOKUP(C548,[4]List1!$A:$D,4,FALSE)),"")</f>
        <v/>
      </c>
      <c r="AA548" s="707"/>
      <c r="AB548" s="911" t="str">
        <f>IFERROR(IF(VLOOKUP(C548,[1]List1!$A:$D,2,FALSE)="VYPRODÁNO",$V$9,IF(VLOOKUP(C548,[1]List1!$A:$D,2,FALSE)="DOCHÁZÍ",$V$3,VLOOKUP(C548,[1]List1!$A:$D,2,FALSE))),"OFFLINE!")</f>
        <v>SKLADEM</v>
      </c>
      <c r="AC548" s="911" t="str">
        <f ca="1">IF(AO548="NE",$V$10,IF(AB548=$V$3,IF(AP548&lt;1,$V$8,$V$2&amp;" "&amp;AP548&amp;" "&amp;$V$1),IF(AB548="SKLADEM",$V$6,IFERROR(IF(OR(AB548-TODAY()&gt;21,VLOOKUP(C548,[1]List1!$A:$E,4,FALSE)=0),AB548,DAY(AB548)&amp;"."&amp;MONTH(AB548)&amp;"."&amp;YEAR(AB548)&amp;" "&amp;$V$4&amp;VLOOKUP(C548,[1]List1!$A:$E,4,FALSE)&amp;" "&amp;$V$1),AB548))))</f>
        <v>AUF LAGER</v>
      </c>
      <c r="AD548" s="686">
        <f>_xlfn.IFNA(VLOOKUP(C548,'General price list'!C:AM,MATCH($AD$20,'General price list'!$C$20:$AM$20,0),FALSE),"")</f>
        <v>0</v>
      </c>
      <c r="AE548" s="681">
        <f t="shared" si="104"/>
        <v>0</v>
      </c>
      <c r="AF548" s="681">
        <f t="shared" si="105"/>
        <v>0</v>
      </c>
      <c r="AG548" s="687">
        <f t="shared" si="106"/>
        <v>0</v>
      </c>
      <c r="AH548" s="688">
        <f t="shared" si="107"/>
        <v>0</v>
      </c>
      <c r="AI548" s="687" t="str">
        <f t="shared" si="108"/>
        <v/>
      </c>
      <c r="AJ548" s="689" t="str">
        <f t="shared" si="109"/>
        <v/>
      </c>
      <c r="AK548" s="689" t="str">
        <f t="shared" si="110"/>
        <v/>
      </c>
      <c r="AL548" s="689" t="str">
        <f t="shared" si="111"/>
        <v/>
      </c>
      <c r="AM548" s="690" t="str">
        <f t="shared" si="112"/>
        <v/>
      </c>
      <c r="AN548" s="313"/>
      <c r="AO548" s="314" t="str">
        <f>IF($R$3=1,IF(Y548=AA548,"","NE"),IF(#REF!=$V$10,"NE",""))</f>
        <v/>
      </c>
      <c r="AP548" s="315" t="str">
        <f>IF(AB548=$V$3,IF(VLOOKUP(C548,[1]List1!$A:$E,5,FALSE)=0,1,VLOOKUP(C548,[1]List1!$A:$E,5,FALSE)),"")</f>
        <v/>
      </c>
      <c r="AW548" s="458">
        <f>IFERROR(FIND(VLOOKUP('General price list'!$AB$7,'General price list'!$AC$1:$AD$12,2,FALSE),Q548,1),0)</f>
        <v>0</v>
      </c>
      <c r="AX548" s="458">
        <f>IFERROR(FIND(VLOOKUP('General price list'!$AB$7,'General price list'!$AC$1:$AD$12,2,FALSE),R548,1),0)</f>
        <v>0</v>
      </c>
    </row>
    <row r="549" spans="1:50" ht="15" customHeight="1">
      <c r="A549" s="691" t="str">
        <f>IFERROR(IF(VLOOKUP(C549,#REF!,5,FALSE)=0,"",VLOOKUP(C549,#REF!,5,FALSE)),"")</f>
        <v/>
      </c>
      <c r="B549" s="692">
        <v>528</v>
      </c>
      <c r="C549" s="693" t="s">
        <v>11792</v>
      </c>
      <c r="D549" s="693" t="s">
        <v>13653</v>
      </c>
      <c r="E549" s="694" t="s">
        <v>129</v>
      </c>
      <c r="F549" s="695">
        <f>VLOOKUP(C549,[2]List1!$A:$D,2,FALSE)</f>
        <v>221</v>
      </c>
      <c r="G549" s="696">
        <f t="shared" si="101"/>
        <v>221</v>
      </c>
      <c r="H549" s="697">
        <f t="shared" si="102"/>
        <v>9</v>
      </c>
      <c r="I549" s="837">
        <v>1</v>
      </c>
      <c r="J549" s="698"/>
      <c r="K549" s="856"/>
      <c r="L549" s="857"/>
      <c r="M549" s="698"/>
      <c r="N549" s="869" t="str">
        <f>IFERROR(VLOOKUP(C549,[3]List1!$A:$D,4,FALSE),"N/A!")</f>
        <v/>
      </c>
      <c r="O549" s="837" t="str">
        <f>IFERROR(VLOOKUP(C549,[3]List1!$A:$D,3,FALSE),"N/A!")</f>
        <v/>
      </c>
      <c r="P549" s="837">
        <f>IFERROR(VLOOKUP(C549,[3]List1!$A:$D,2,FALSE),"N/A!")</f>
        <v>1500</v>
      </c>
      <c r="Q549" s="698"/>
      <c r="R549" s="698"/>
      <c r="S549" s="698"/>
      <c r="T549" s="695"/>
      <c r="U549" s="874"/>
      <c r="V549" s="699"/>
      <c r="W549" s="700" t="str">
        <f>IFERROR(VLOOKUP($C549,Popisy!A:P,MATCH($W$17,Popisy!$A$7:$P$7,0),FALSE),"---------------")</f>
        <v>Karton mit Produktdesign</v>
      </c>
      <c r="X549" s="891" t="str">
        <f t="shared" si="103"/>
        <v/>
      </c>
      <c r="Y549" s="892"/>
      <c r="Z549" s="700" t="str">
        <f>IFERROR(IF(VLOOKUP(C549,[4]List1!$A:$D,4,FALSE)=0,"",VLOOKUP(C549,[4]List1!$A:$D,4,FALSE)),"")</f>
        <v/>
      </c>
      <c r="AA549" s="707"/>
      <c r="AB549" s="912" t="str">
        <f>IFERROR(IF(VLOOKUP(C549,[1]List1!$A:$D,2,FALSE)="VYPRODÁNO",$V$9,IF(VLOOKUP(C549,[1]List1!$A:$D,2,FALSE)="DOCHÁZÍ",$V$3,VLOOKUP(C549,[1]List1!$A:$D,2,FALSE))),"OFFLINE!")</f>
        <v>SKLADEM</v>
      </c>
      <c r="AC549" s="912" t="str">
        <f ca="1">IF(AO549="NE",$V$10,IF(AB549=$V$3,IF(AP549&lt;1,$V$8,$V$2&amp;" "&amp;AP549&amp;" "&amp;$V$1),IF(AB549="SKLADEM",$V$6,IFERROR(IF(OR(AB549-TODAY()&gt;21,VLOOKUP(C549,[1]List1!$A:$E,4,FALSE)=0),AB549,DAY(AB549)&amp;"."&amp;MONTH(AB549)&amp;"."&amp;YEAR(AB549)&amp;" "&amp;$V$4&amp;VLOOKUP(C549,[1]List1!$A:$E,4,FALSE)&amp;" "&amp;$V$1),AB549))))</f>
        <v>AUF LAGER</v>
      </c>
      <c r="AD549" s="701" t="str">
        <f ca="1">_xlfn.IFNA(VLOOKUP(C549,'General price list'!C:AM,MATCH($AD$20,'General price list'!$C$20:$AM$20,0),FALSE),"")</f>
        <v>AUF LAGER</v>
      </c>
      <c r="AE549" s="695">
        <f t="shared" ca="1" si="104"/>
        <v>0</v>
      </c>
      <c r="AF549" s="695">
        <f t="shared" ca="1" si="105"/>
        <v>0</v>
      </c>
      <c r="AG549" s="702">
        <f t="shared" ca="1" si="106"/>
        <v>0</v>
      </c>
      <c r="AH549" s="703">
        <f t="shared" ca="1" si="107"/>
        <v>0</v>
      </c>
      <c r="AI549" s="702" t="str">
        <f t="shared" ca="1" si="108"/>
        <v/>
      </c>
      <c r="AJ549" s="704" t="str">
        <f t="shared" ca="1" si="109"/>
        <v/>
      </c>
      <c r="AK549" s="704" t="str">
        <f t="shared" ca="1" si="110"/>
        <v/>
      </c>
      <c r="AL549" s="704" t="str">
        <f t="shared" ca="1" si="111"/>
        <v/>
      </c>
      <c r="AM549" s="705" t="str">
        <f t="shared" ca="1" si="112"/>
        <v/>
      </c>
      <c r="AN549" s="313"/>
      <c r="AO549" s="314" t="str">
        <f>IF($R$3=1,IF(Y549=AA549,"","NE"),IF(#REF!=$V$10,"NE",""))</f>
        <v/>
      </c>
      <c r="AP549" s="315" t="str">
        <f>IF(AB549=$V$3,IF(VLOOKUP(C549,[1]List1!$A:$E,5,FALSE)=0,1,VLOOKUP(C549,[1]List1!$A:$E,5,FALSE)),"")</f>
        <v/>
      </c>
      <c r="AW549" s="458">
        <f>IFERROR(FIND(VLOOKUP('General price list'!$AB$7,'General price list'!$AC$1:$AD$12,2,FALSE),Q549,1),0)</f>
        <v>0</v>
      </c>
      <c r="AX549" s="458">
        <f>IFERROR(FIND(VLOOKUP('General price list'!$AB$7,'General price list'!$AC$1:$AD$12,2,FALSE),R549,1),0)</f>
        <v>0</v>
      </c>
    </row>
    <row r="550" spans="1:50" ht="15" customHeight="1">
      <c r="A550" s="677" t="str">
        <f>IFERROR(IF(VLOOKUP(C550,#REF!,5,FALSE)=0,"",VLOOKUP(C550,#REF!,5,FALSE)),"")</f>
        <v/>
      </c>
      <c r="B550" s="678">
        <v>529</v>
      </c>
      <c r="C550" s="679" t="s">
        <v>11793</v>
      </c>
      <c r="D550" s="679" t="s">
        <v>13654</v>
      </c>
      <c r="E550" s="680" t="s">
        <v>129</v>
      </c>
      <c r="F550" s="681">
        <f>VLOOKUP(C550,[2]List1!$A:$D,2,FALSE)</f>
        <v>221</v>
      </c>
      <c r="G550" s="682">
        <f t="shared" si="101"/>
        <v>221</v>
      </c>
      <c r="H550" s="683">
        <f t="shared" si="102"/>
        <v>9</v>
      </c>
      <c r="I550" s="836">
        <v>1</v>
      </c>
      <c r="J550" s="680"/>
      <c r="K550" s="854"/>
      <c r="L550" s="855"/>
      <c r="M550" s="680"/>
      <c r="N550" s="868" t="str">
        <f>IFERROR(VLOOKUP(C550,[3]List1!$A:$D,4,FALSE),"N/A!")</f>
        <v/>
      </c>
      <c r="O550" s="836" t="str">
        <f>IFERROR(VLOOKUP(C550,[3]List1!$A:$D,3,FALSE),"N/A!")</f>
        <v/>
      </c>
      <c r="P550" s="836">
        <f>IFERROR(VLOOKUP(C550,[3]List1!$A:$D,2,FALSE),"N/A!")</f>
        <v>1500</v>
      </c>
      <c r="Q550" s="680"/>
      <c r="R550" s="680"/>
      <c r="S550" s="680"/>
      <c r="T550" s="681"/>
      <c r="U550" s="873"/>
      <c r="V550" s="684"/>
      <c r="W550" s="685" t="str">
        <f>IFERROR(VLOOKUP($C550,Popisy!A:P,MATCH($W$17,Popisy!$A$7:$P$7,0),FALSE),"---------------")</f>
        <v>Karton mit Produktdesign</v>
      </c>
      <c r="X550" s="889" t="str">
        <f t="shared" si="103"/>
        <v/>
      </c>
      <c r="Y550" s="890"/>
      <c r="Z550" s="685" t="str">
        <f>IFERROR(IF(VLOOKUP(C550,[4]List1!$A:$D,4,FALSE)=0,"",VLOOKUP(C550,[4]List1!$A:$D,4,FALSE)),"")</f>
        <v/>
      </c>
      <c r="AA550" s="707"/>
      <c r="AB550" s="911" t="str">
        <f>IFERROR(IF(VLOOKUP(C550,[1]List1!$A:$D,2,FALSE)="VYPRODÁNO",$V$9,IF(VLOOKUP(C550,[1]List1!$A:$D,2,FALSE)="DOCHÁZÍ",$V$3,VLOOKUP(C550,[1]List1!$A:$D,2,FALSE))),"OFFLINE!")</f>
        <v>SKLADEM</v>
      </c>
      <c r="AC550" s="911" t="str">
        <f ca="1">IF(AO550="NE",$V$10,IF(AB550=$V$3,IF(AP550&lt;1,$V$8,$V$2&amp;" "&amp;AP550&amp;" "&amp;$V$1),IF(AB550="SKLADEM",$V$6,IFERROR(IF(OR(AB550-TODAY()&gt;21,VLOOKUP(C550,[1]List1!$A:$E,4,FALSE)=0),AB550,DAY(AB550)&amp;"."&amp;MONTH(AB550)&amp;"."&amp;YEAR(AB550)&amp;" "&amp;$V$4&amp;VLOOKUP(C550,[1]List1!$A:$E,4,FALSE)&amp;" "&amp;$V$1),AB550))))</f>
        <v>AUF LAGER</v>
      </c>
      <c r="AD550" s="686" t="str">
        <f ca="1">_xlfn.IFNA(VLOOKUP(C550,'General price list'!C:AM,MATCH($AD$20,'General price list'!$C$20:$AM$20,0),FALSE),"")</f>
        <v>AUF LAGER</v>
      </c>
      <c r="AE550" s="681">
        <f t="shared" ca="1" si="104"/>
        <v>0</v>
      </c>
      <c r="AF550" s="681">
        <f t="shared" ca="1" si="105"/>
        <v>0</v>
      </c>
      <c r="AG550" s="687">
        <f t="shared" ca="1" si="106"/>
        <v>0</v>
      </c>
      <c r="AH550" s="688">
        <f t="shared" ca="1" si="107"/>
        <v>0</v>
      </c>
      <c r="AI550" s="687" t="str">
        <f t="shared" ca="1" si="108"/>
        <v/>
      </c>
      <c r="AJ550" s="689" t="str">
        <f t="shared" ca="1" si="109"/>
        <v/>
      </c>
      <c r="AK550" s="689" t="str">
        <f t="shared" ca="1" si="110"/>
        <v/>
      </c>
      <c r="AL550" s="689" t="str">
        <f t="shared" ca="1" si="111"/>
        <v/>
      </c>
      <c r="AM550" s="690" t="str">
        <f t="shared" ca="1" si="112"/>
        <v/>
      </c>
      <c r="AN550" s="381"/>
      <c r="AO550" s="314" t="str">
        <f>IF($R$3=1,IF(Y550=AA550,"","NE"),IF(#REF!=$V$10,"NE",""))</f>
        <v/>
      </c>
      <c r="AP550" s="315" t="str">
        <f>IF(AB550=$V$3,IF(VLOOKUP(C550,[1]List1!$A:$E,5,FALSE)=0,1,VLOOKUP(C550,[1]List1!$A:$E,5,FALSE)),"")</f>
        <v/>
      </c>
      <c r="AW550" s="458">
        <f>IFERROR(FIND(VLOOKUP('General price list'!$AB$7,'General price list'!$AC$1:$AD$12,2,FALSE),Q550,1),0)</f>
        <v>0</v>
      </c>
      <c r="AX550" s="458">
        <f>IFERROR(FIND(VLOOKUP('General price list'!$AB$7,'General price list'!$AC$1:$AD$12,2,FALSE),R550,1),0)</f>
        <v>0</v>
      </c>
    </row>
    <row r="551" spans="1:50" ht="15" customHeight="1">
      <c r="A551" s="691" t="str">
        <f>IFERROR(IF(VLOOKUP(C551,#REF!,5,FALSE)=0,"",VLOOKUP(C551,#REF!,5,FALSE)),"")</f>
        <v/>
      </c>
      <c r="B551" s="692">
        <v>530</v>
      </c>
      <c r="C551" s="693" t="s">
        <v>11795</v>
      </c>
      <c r="D551" s="693" t="s">
        <v>13655</v>
      </c>
      <c r="E551" s="694" t="s">
        <v>129</v>
      </c>
      <c r="F551" s="695">
        <f>VLOOKUP(C551,[2]List1!$A:$D,2,FALSE)</f>
        <v>560</v>
      </c>
      <c r="G551" s="696">
        <f t="shared" si="101"/>
        <v>560</v>
      </c>
      <c r="H551" s="697">
        <f t="shared" si="102"/>
        <v>22.8</v>
      </c>
      <c r="I551" s="837">
        <v>1</v>
      </c>
      <c r="J551" s="698"/>
      <c r="K551" s="856"/>
      <c r="L551" s="857"/>
      <c r="M551" s="698"/>
      <c r="N551" s="869" t="str">
        <f>IFERROR(VLOOKUP(C551,[3]List1!$A:$D,4,FALSE),"N/A!")</f>
        <v/>
      </c>
      <c r="O551" s="837" t="str">
        <f>IFERROR(VLOOKUP(C551,[3]List1!$A:$D,3,FALSE),"N/A!")</f>
        <v/>
      </c>
      <c r="P551" s="837">
        <f>IFERROR(VLOOKUP(C551,[3]List1!$A:$D,2,FALSE),"N/A!")</f>
        <v>1500</v>
      </c>
      <c r="Q551" s="698"/>
      <c r="R551" s="698"/>
      <c r="S551" s="698"/>
      <c r="T551" s="695"/>
      <c r="U551" s="874"/>
      <c r="V551" s="699"/>
      <c r="W551" s="700" t="str">
        <f>IFERROR(VLOOKUP($C551,Popisy!A:P,MATCH($W$17,Popisy!$A$7:$P$7,0),FALSE),"---------------")</f>
        <v>Karton mit Produktdesign</v>
      </c>
      <c r="X551" s="891" t="str">
        <f t="shared" si="103"/>
        <v/>
      </c>
      <c r="Y551" s="892"/>
      <c r="Z551" s="700" t="str">
        <f>IFERROR(IF(VLOOKUP(C551,[4]List1!$A:$D,4,FALSE)=0,"",VLOOKUP(C551,[4]List1!$A:$D,4,FALSE)),"")</f>
        <v/>
      </c>
      <c r="AA551" s="707"/>
      <c r="AB551" s="912" t="str">
        <f>IFERROR(IF(VLOOKUP(C551,[1]List1!$A:$D,2,FALSE)="VYPRODÁNO",$V$9,IF(VLOOKUP(C551,[1]List1!$A:$D,2,FALSE)="DOCHÁZÍ",$V$3,VLOOKUP(C551,[1]List1!$A:$D,2,FALSE))),"OFFLINE!")</f>
        <v>SKLADEM</v>
      </c>
      <c r="AC551" s="912" t="str">
        <f ca="1">IF(AO551="NE",$V$10,IF(AB551=$V$3,IF(AP551&lt;1,$V$8,$V$2&amp;" "&amp;AP551&amp;" "&amp;$V$1),IF(AB551="SKLADEM",$V$6,IFERROR(IF(OR(AB551-TODAY()&gt;21,VLOOKUP(C551,[1]List1!$A:$E,4,FALSE)=0),AB551,DAY(AB551)&amp;"."&amp;MONTH(AB551)&amp;"."&amp;YEAR(AB551)&amp;" "&amp;$V$4&amp;VLOOKUP(C551,[1]List1!$A:$E,4,FALSE)&amp;" "&amp;$V$1),AB551))))</f>
        <v>AUF LAGER</v>
      </c>
      <c r="AD551" s="701" t="str">
        <f ca="1">_xlfn.IFNA(VLOOKUP(C551,'General price list'!C:AM,MATCH($AD$20,'General price list'!$C$20:$AM$20,0),FALSE),"")</f>
        <v>AUF LAGER</v>
      </c>
      <c r="AE551" s="695">
        <f t="shared" ca="1" si="104"/>
        <v>0</v>
      </c>
      <c r="AF551" s="695">
        <f t="shared" ca="1" si="105"/>
        <v>0</v>
      </c>
      <c r="AG551" s="702">
        <f t="shared" ca="1" si="106"/>
        <v>0</v>
      </c>
      <c r="AH551" s="703">
        <f t="shared" ca="1" si="107"/>
        <v>0</v>
      </c>
      <c r="AI551" s="702" t="str">
        <f t="shared" ca="1" si="108"/>
        <v/>
      </c>
      <c r="AJ551" s="704" t="str">
        <f t="shared" ca="1" si="109"/>
        <v/>
      </c>
      <c r="AK551" s="704" t="str">
        <f t="shared" ca="1" si="110"/>
        <v/>
      </c>
      <c r="AL551" s="704" t="str">
        <f t="shared" ca="1" si="111"/>
        <v/>
      </c>
      <c r="AM551" s="705" t="str">
        <f t="shared" ca="1" si="112"/>
        <v/>
      </c>
      <c r="AN551" s="382"/>
      <c r="AO551" s="314" t="str">
        <f>IF($R$3=1,IF(Y551=AA551,"","NE"),IF(#REF!=$V$10,"NE",""))</f>
        <v/>
      </c>
      <c r="AP551" s="315" t="str">
        <f>IF(AB551=$V$3,IF(VLOOKUP(C551,[1]List1!$A:$E,5,FALSE)=0,1,VLOOKUP(C551,[1]List1!$A:$E,5,FALSE)),"")</f>
        <v/>
      </c>
      <c r="AW551" s="458">
        <f>IFERROR(FIND(VLOOKUP('General price list'!$AB$7,'General price list'!$AC$1:$AD$12,2,FALSE),Q551,1),0)</f>
        <v>0</v>
      </c>
      <c r="AX551" s="458">
        <f>IFERROR(FIND(VLOOKUP('General price list'!$AB$7,'General price list'!$AC$1:$AD$12,2,FALSE),R551,1),0)</f>
        <v>0</v>
      </c>
    </row>
    <row r="552" spans="1:50" ht="15" customHeight="1">
      <c r="A552" s="677" t="str">
        <f>IFERROR(IF(VLOOKUP(C552,#REF!,5,FALSE)=0,"",VLOOKUP(C552,#REF!,5,FALSE)),"")</f>
        <v/>
      </c>
      <c r="B552" s="678">
        <v>531</v>
      </c>
      <c r="C552" s="679" t="s">
        <v>11796</v>
      </c>
      <c r="D552" s="679" t="s">
        <v>13656</v>
      </c>
      <c r="E552" s="680" t="s">
        <v>129</v>
      </c>
      <c r="F552" s="681">
        <f>VLOOKUP(C552,[2]List1!$A:$D,2,FALSE)</f>
        <v>284</v>
      </c>
      <c r="G552" s="682">
        <f t="shared" si="101"/>
        <v>284</v>
      </c>
      <c r="H552" s="683">
        <f t="shared" si="102"/>
        <v>11.6</v>
      </c>
      <c r="I552" s="836">
        <v>1</v>
      </c>
      <c r="J552" s="680"/>
      <c r="K552" s="854"/>
      <c r="L552" s="855"/>
      <c r="M552" s="680"/>
      <c r="N552" s="868" t="str">
        <f>IFERROR(VLOOKUP(C552,[3]List1!$A:$D,4,FALSE),"N/A!")</f>
        <v/>
      </c>
      <c r="O552" s="836" t="str">
        <f>IFERROR(VLOOKUP(C552,[3]List1!$A:$D,3,FALSE),"N/A!")</f>
        <v/>
      </c>
      <c r="P552" s="836">
        <f>IFERROR(VLOOKUP(C552,[3]List1!$A:$D,2,FALSE),"N/A!")</f>
        <v>1500</v>
      </c>
      <c r="Q552" s="680"/>
      <c r="R552" s="680"/>
      <c r="S552" s="680"/>
      <c r="T552" s="681"/>
      <c r="U552" s="873"/>
      <c r="V552" s="684"/>
      <c r="W552" s="685" t="str">
        <f>IFERROR(VLOOKUP($C552,Popisy!A:P,MATCH($W$17,Popisy!$A$7:$P$7,0),FALSE),"---------------")</f>
        <v>Karton mit Produktdesign</v>
      </c>
      <c r="X552" s="889" t="str">
        <f t="shared" si="103"/>
        <v/>
      </c>
      <c r="Y552" s="890"/>
      <c r="Z552" s="685" t="str">
        <f>IFERROR(IF(VLOOKUP(C552,[4]List1!$A:$D,4,FALSE)=0,"",VLOOKUP(C552,[4]List1!$A:$D,4,FALSE)),"")</f>
        <v/>
      </c>
      <c r="AA552" s="707"/>
      <c r="AB552" s="911" t="str">
        <f>IFERROR(IF(VLOOKUP(C552,[1]List1!$A:$D,2,FALSE)="VYPRODÁNO",$V$9,IF(VLOOKUP(C552,[1]List1!$A:$D,2,FALSE)="DOCHÁZÍ",$V$3,VLOOKUP(C552,[1]List1!$A:$D,2,FALSE))),"OFFLINE!")</f>
        <v>SKLADEM</v>
      </c>
      <c r="AC552" s="911" t="str">
        <f ca="1">IF(AO552="NE",$V$10,IF(AB552=$V$3,IF(AP552&lt;1,$V$8,$V$2&amp;" "&amp;AP552&amp;" "&amp;$V$1),IF(AB552="SKLADEM",$V$6,IFERROR(IF(OR(AB552-TODAY()&gt;21,VLOOKUP(C552,[1]List1!$A:$E,4,FALSE)=0),AB552,DAY(AB552)&amp;"."&amp;MONTH(AB552)&amp;"."&amp;YEAR(AB552)&amp;" "&amp;$V$4&amp;VLOOKUP(C552,[1]List1!$A:$E,4,FALSE)&amp;" "&amp;$V$1),AB552))))</f>
        <v>AUF LAGER</v>
      </c>
      <c r="AD552" s="686" t="str">
        <f ca="1">_xlfn.IFNA(VLOOKUP(C552,'General price list'!C:AM,MATCH($AD$20,'General price list'!$C$20:$AM$20,0),FALSE),"")</f>
        <v>AUF LAGER</v>
      </c>
      <c r="AE552" s="681">
        <f t="shared" ca="1" si="104"/>
        <v>0</v>
      </c>
      <c r="AF552" s="681">
        <f t="shared" ca="1" si="105"/>
        <v>0</v>
      </c>
      <c r="AG552" s="687">
        <f t="shared" ca="1" si="106"/>
        <v>0</v>
      </c>
      <c r="AH552" s="688">
        <f t="shared" ca="1" si="107"/>
        <v>0</v>
      </c>
      <c r="AI552" s="687" t="str">
        <f t="shared" ca="1" si="108"/>
        <v/>
      </c>
      <c r="AJ552" s="689" t="str">
        <f t="shared" ca="1" si="109"/>
        <v/>
      </c>
      <c r="AK552" s="689" t="str">
        <f t="shared" ca="1" si="110"/>
        <v/>
      </c>
      <c r="AL552" s="689" t="str">
        <f t="shared" ca="1" si="111"/>
        <v/>
      </c>
      <c r="AM552" s="690" t="str">
        <f t="shared" ca="1" si="112"/>
        <v/>
      </c>
      <c r="AN552" s="313"/>
      <c r="AO552" s="314" t="str">
        <f>IF($R$3=1,IF(Y552=AA552,"","NE"),IF(#REF!=$V$10,"NE",""))</f>
        <v/>
      </c>
      <c r="AP552" s="315" t="str">
        <f>IF(AB552=$V$3,IF(VLOOKUP(C552,[1]List1!$A:$E,5,FALSE)=0,1,VLOOKUP(C552,[1]List1!$A:$E,5,FALSE)),"")</f>
        <v/>
      </c>
      <c r="AW552" s="458">
        <f>IFERROR(FIND(VLOOKUP('General price list'!$AB$7,'General price list'!$AC$1:$AD$12,2,FALSE),Q552,1),0)</f>
        <v>0</v>
      </c>
      <c r="AX552" s="458">
        <f>IFERROR(FIND(VLOOKUP('General price list'!$AB$7,'General price list'!$AC$1:$AD$12,2,FALSE),R552,1),0)</f>
        <v>0</v>
      </c>
    </row>
    <row r="553" spans="1:50" ht="15" customHeight="1">
      <c r="A553" s="691" t="str">
        <f>IFERROR(IF(VLOOKUP(C553,#REF!,5,FALSE)=0,"",VLOOKUP(C553,#REF!,5,FALSE)),"")</f>
        <v/>
      </c>
      <c r="B553" s="692">
        <v>532</v>
      </c>
      <c r="C553" s="693" t="s">
        <v>11797</v>
      </c>
      <c r="D553" s="693" t="s">
        <v>13657</v>
      </c>
      <c r="E553" s="694" t="s">
        <v>129</v>
      </c>
      <c r="F553" s="695">
        <f>VLOOKUP(C553,[2]List1!$A:$D,2,FALSE)</f>
        <v>304</v>
      </c>
      <c r="G553" s="696">
        <f t="shared" si="101"/>
        <v>304</v>
      </c>
      <c r="H553" s="697">
        <f t="shared" si="102"/>
        <v>12.4</v>
      </c>
      <c r="I553" s="837">
        <v>1</v>
      </c>
      <c r="J553" s="698"/>
      <c r="K553" s="856"/>
      <c r="L553" s="857"/>
      <c r="M553" s="698"/>
      <c r="N553" s="869" t="str">
        <f>IFERROR(VLOOKUP(C553,[3]List1!$A:$D,4,FALSE),"N/A!")</f>
        <v/>
      </c>
      <c r="O553" s="837" t="str">
        <f>IFERROR(VLOOKUP(C553,[3]List1!$A:$D,3,FALSE),"N/A!")</f>
        <v/>
      </c>
      <c r="P553" s="837">
        <f>IFERROR(VLOOKUP(C553,[3]List1!$A:$D,2,FALSE),"N/A!")</f>
        <v>1500</v>
      </c>
      <c r="Q553" s="698"/>
      <c r="R553" s="698"/>
      <c r="S553" s="698"/>
      <c r="T553" s="695"/>
      <c r="U553" s="874"/>
      <c r="V553" s="699"/>
      <c r="W553" s="700" t="str">
        <f>IFERROR(VLOOKUP($C553,Popisy!A:P,MATCH($W$17,Popisy!$A$7:$P$7,0),FALSE),"---------------")</f>
        <v>Karton mit Produktdesign</v>
      </c>
      <c r="X553" s="891" t="str">
        <f t="shared" si="103"/>
        <v/>
      </c>
      <c r="Y553" s="892"/>
      <c r="Z553" s="700" t="str">
        <f>IFERROR(IF(VLOOKUP(C553,[4]List1!$A:$D,4,FALSE)=0,"",VLOOKUP(C553,[4]List1!$A:$D,4,FALSE)),"")</f>
        <v/>
      </c>
      <c r="AA553" s="707"/>
      <c r="AB553" s="912" t="str">
        <f>IFERROR(IF(VLOOKUP(C553,[1]List1!$A:$D,2,FALSE)="VYPRODÁNO",$V$9,IF(VLOOKUP(C553,[1]List1!$A:$D,2,FALSE)="DOCHÁZÍ",$V$3,VLOOKUP(C553,[1]List1!$A:$D,2,FALSE))),"OFFLINE!")</f>
        <v>SKLADEM</v>
      </c>
      <c r="AC553" s="912" t="str">
        <f ca="1">IF(AO553="NE",$V$10,IF(AB553=$V$3,IF(AP553&lt;1,$V$8,$V$2&amp;" "&amp;AP553&amp;" "&amp;$V$1),IF(AB553="SKLADEM",$V$6,IFERROR(IF(OR(AB553-TODAY()&gt;21,VLOOKUP(C553,[1]List1!$A:$E,4,FALSE)=0),AB553,DAY(AB553)&amp;"."&amp;MONTH(AB553)&amp;"."&amp;YEAR(AB553)&amp;" "&amp;$V$4&amp;VLOOKUP(C553,[1]List1!$A:$E,4,FALSE)&amp;" "&amp;$V$1),AB553))))</f>
        <v>AUF LAGER</v>
      </c>
      <c r="AD553" s="701" t="str">
        <f ca="1">_xlfn.IFNA(VLOOKUP(C553,'General price list'!C:AM,MATCH($AD$20,'General price list'!$C$20:$AM$20,0),FALSE),"")</f>
        <v>AUF LAGER</v>
      </c>
      <c r="AE553" s="695">
        <f t="shared" ca="1" si="104"/>
        <v>0</v>
      </c>
      <c r="AF553" s="695">
        <f t="shared" ca="1" si="105"/>
        <v>0</v>
      </c>
      <c r="AG553" s="702">
        <f t="shared" ca="1" si="106"/>
        <v>0</v>
      </c>
      <c r="AH553" s="703">
        <f t="shared" ca="1" si="107"/>
        <v>0</v>
      </c>
      <c r="AI553" s="702" t="str">
        <f t="shared" ca="1" si="108"/>
        <v/>
      </c>
      <c r="AJ553" s="704" t="str">
        <f t="shared" ca="1" si="109"/>
        <v/>
      </c>
      <c r="AK553" s="704" t="str">
        <f t="shared" ca="1" si="110"/>
        <v/>
      </c>
      <c r="AL553" s="704" t="str">
        <f t="shared" ca="1" si="111"/>
        <v/>
      </c>
      <c r="AM553" s="705" t="str">
        <f t="shared" ca="1" si="112"/>
        <v/>
      </c>
      <c r="AN553" s="313"/>
      <c r="AO553" s="314" t="str">
        <f>IF($R$3=1,IF(Y553=AA553,"","NE"),IF(#REF!=$V$10,"NE",""))</f>
        <v/>
      </c>
      <c r="AP553" s="315" t="str">
        <f>IF(AB553=$V$3,IF(VLOOKUP(C553,[1]List1!$A:$E,5,FALSE)=0,1,VLOOKUP(C553,[1]List1!$A:$E,5,FALSE)),"")</f>
        <v/>
      </c>
      <c r="AW553" s="458">
        <f>IFERROR(FIND(VLOOKUP('General price list'!$AB$7,'General price list'!$AC$1:$AD$12,2,FALSE),Q553,1),0)</f>
        <v>0</v>
      </c>
      <c r="AX553" s="458">
        <f>IFERROR(FIND(VLOOKUP('General price list'!$AB$7,'General price list'!$AC$1:$AD$12,2,FALSE),R553,1),0)</f>
        <v>0</v>
      </c>
    </row>
    <row r="554" spans="1:50" ht="15" customHeight="1">
      <c r="A554" s="677" t="str">
        <f>IFERROR(IF(VLOOKUP(C554,#REF!,5,FALSE)=0,"",VLOOKUP(C554,#REF!,5,FALSE)),"")</f>
        <v/>
      </c>
      <c r="B554" s="678">
        <v>533</v>
      </c>
      <c r="C554" s="679" t="s">
        <v>11798</v>
      </c>
      <c r="D554" s="679" t="s">
        <v>13658</v>
      </c>
      <c r="E554" s="680" t="s">
        <v>129</v>
      </c>
      <c r="F554" s="681">
        <f>VLOOKUP(C554,[2]List1!$A:$D,2,FALSE)</f>
        <v>312</v>
      </c>
      <c r="G554" s="682">
        <f t="shared" si="101"/>
        <v>312</v>
      </c>
      <c r="H554" s="683">
        <f t="shared" si="102"/>
        <v>12.7</v>
      </c>
      <c r="I554" s="836">
        <v>1</v>
      </c>
      <c r="J554" s="680"/>
      <c r="K554" s="854"/>
      <c r="L554" s="855"/>
      <c r="M554" s="680"/>
      <c r="N554" s="868" t="str">
        <f>IFERROR(VLOOKUP(C554,[3]List1!$A:$D,4,FALSE),"N/A!")</f>
        <v/>
      </c>
      <c r="O554" s="836" t="str">
        <f>IFERROR(VLOOKUP(C554,[3]List1!$A:$D,3,FALSE),"N/A!")</f>
        <v/>
      </c>
      <c r="P554" s="836">
        <f>IFERROR(VLOOKUP(C554,[3]List1!$A:$D,2,FALSE),"N/A!")</f>
        <v>1500</v>
      </c>
      <c r="Q554" s="680"/>
      <c r="R554" s="680"/>
      <c r="S554" s="680"/>
      <c r="T554" s="681"/>
      <c r="U554" s="873"/>
      <c r="V554" s="684"/>
      <c r="W554" s="685" t="str">
        <f>IFERROR(VLOOKUP($C554,Popisy!A:P,MATCH($W$17,Popisy!$A$7:$P$7,0),FALSE),"---------------")</f>
        <v>Karton mit Produktdesign</v>
      </c>
      <c r="X554" s="889" t="str">
        <f t="shared" si="103"/>
        <v/>
      </c>
      <c r="Y554" s="890"/>
      <c r="Z554" s="685" t="str">
        <f>IFERROR(IF(VLOOKUP(C554,[4]List1!$A:$D,4,FALSE)=0,"",VLOOKUP(C554,[4]List1!$A:$D,4,FALSE)),"")</f>
        <v/>
      </c>
      <c r="AA554" s="707"/>
      <c r="AB554" s="911" t="str">
        <f>IFERROR(IF(VLOOKUP(C554,[1]List1!$A:$D,2,FALSE)="VYPRODÁNO",$V$9,IF(VLOOKUP(C554,[1]List1!$A:$D,2,FALSE)="DOCHÁZÍ",$V$3,VLOOKUP(C554,[1]List1!$A:$D,2,FALSE))),"OFFLINE!")</f>
        <v>SKLADEM</v>
      </c>
      <c r="AC554" s="911" t="str">
        <f ca="1">IF(AO554="NE",$V$10,IF(AB554=$V$3,IF(AP554&lt;1,$V$8,$V$2&amp;" "&amp;AP554&amp;" "&amp;$V$1),IF(AB554="SKLADEM",$V$6,IFERROR(IF(OR(AB554-TODAY()&gt;21,VLOOKUP(C554,[1]List1!$A:$E,4,FALSE)=0),AB554,DAY(AB554)&amp;"."&amp;MONTH(AB554)&amp;"."&amp;YEAR(AB554)&amp;" "&amp;$V$4&amp;VLOOKUP(C554,[1]List1!$A:$E,4,FALSE)&amp;" "&amp;$V$1),AB554))))</f>
        <v>AUF LAGER</v>
      </c>
      <c r="AD554" s="686" t="str">
        <f ca="1">_xlfn.IFNA(VLOOKUP(C554,'General price list'!C:AM,MATCH($AD$20,'General price list'!$C$20:$AM$20,0),FALSE),"")</f>
        <v>AUF LAGER</v>
      </c>
      <c r="AE554" s="681">
        <f t="shared" ca="1" si="104"/>
        <v>0</v>
      </c>
      <c r="AF554" s="681">
        <f t="shared" ca="1" si="105"/>
        <v>0</v>
      </c>
      <c r="AG554" s="687">
        <f t="shared" ca="1" si="106"/>
        <v>0</v>
      </c>
      <c r="AH554" s="688">
        <f t="shared" ca="1" si="107"/>
        <v>0</v>
      </c>
      <c r="AI554" s="687" t="str">
        <f t="shared" ca="1" si="108"/>
        <v/>
      </c>
      <c r="AJ554" s="689" t="str">
        <f t="shared" ca="1" si="109"/>
        <v/>
      </c>
      <c r="AK554" s="689" t="str">
        <f t="shared" ca="1" si="110"/>
        <v/>
      </c>
      <c r="AL554" s="689" t="str">
        <f t="shared" ca="1" si="111"/>
        <v/>
      </c>
      <c r="AM554" s="690" t="str">
        <f t="shared" ca="1" si="112"/>
        <v/>
      </c>
      <c r="AN554" s="382"/>
      <c r="AO554" s="314" t="str">
        <f>IF($R$3=1,IF(Y554=AA554,"","NE"),IF(#REF!=$V$10,"NE",""))</f>
        <v/>
      </c>
      <c r="AP554" s="292" t="str">
        <f>IF(AB554=$V$3,IF(VLOOKUP(C554,[1]List1!$A:$E,5,FALSE)=0,1,VLOOKUP(C554,[1]List1!$A:$E,5,FALSE)),"")</f>
        <v/>
      </c>
      <c r="AW554" s="458">
        <f>IFERROR(FIND(VLOOKUP('General price list'!$AB$7,'General price list'!$AC$1:$AD$12,2,FALSE),Q554,1),0)</f>
        <v>0</v>
      </c>
      <c r="AX554" s="458">
        <f>IFERROR(FIND(VLOOKUP('General price list'!$AB$7,'General price list'!$AC$1:$AD$12,2,FALSE),R554,1),0)</f>
        <v>0</v>
      </c>
    </row>
    <row r="555" spans="1:50" ht="15" customHeight="1">
      <c r="A555" s="691" t="str">
        <f>IFERROR(IF(VLOOKUP(C555,#REF!,5,FALSE)=0,"",VLOOKUP(C555,#REF!,5,FALSE)),"")</f>
        <v/>
      </c>
      <c r="B555" s="692">
        <v>534</v>
      </c>
      <c r="C555" s="693" t="s">
        <v>11799</v>
      </c>
      <c r="D555" s="693" t="s">
        <v>13659</v>
      </c>
      <c r="E555" s="694" t="s">
        <v>129</v>
      </c>
      <c r="F555" s="695">
        <f>VLOOKUP(C555,[2]List1!$A:$D,2,FALSE)</f>
        <v>152</v>
      </c>
      <c r="G555" s="696">
        <f t="shared" si="101"/>
        <v>152</v>
      </c>
      <c r="H555" s="697">
        <f t="shared" si="102"/>
        <v>6.2</v>
      </c>
      <c r="I555" s="837">
        <v>1</v>
      </c>
      <c r="J555" s="698"/>
      <c r="K555" s="856"/>
      <c r="L555" s="857"/>
      <c r="M555" s="698"/>
      <c r="N555" s="869" t="str">
        <f>IFERROR(VLOOKUP(C555,[3]List1!$A:$D,4,FALSE),"N/A!")</f>
        <v/>
      </c>
      <c r="O555" s="837" t="str">
        <f>IFERROR(VLOOKUP(C555,[3]List1!$A:$D,3,FALSE),"N/A!")</f>
        <v/>
      </c>
      <c r="P555" s="837">
        <f>IFERROR(VLOOKUP(C555,[3]List1!$A:$D,2,FALSE),"N/A!")</f>
        <v>1500</v>
      </c>
      <c r="Q555" s="698"/>
      <c r="R555" s="698"/>
      <c r="S555" s="698"/>
      <c r="T555" s="695"/>
      <c r="U555" s="874"/>
      <c r="V555" s="699"/>
      <c r="W555" s="700" t="str">
        <f>IFERROR(VLOOKUP($C555,Popisy!A:P,MATCH($W$17,Popisy!$A$7:$P$7,0),FALSE),"---------------")</f>
        <v>Karton mit Produktdesign</v>
      </c>
      <c r="X555" s="891" t="str">
        <f t="shared" si="103"/>
        <v/>
      </c>
      <c r="Y555" s="892"/>
      <c r="Z555" s="700" t="str">
        <f>IFERROR(IF(VLOOKUP(C555,[4]List1!$A:$D,4,FALSE)=0,"",VLOOKUP(C555,[4]List1!$A:$D,4,FALSE)),"")</f>
        <v/>
      </c>
      <c r="AA555" s="707"/>
      <c r="AB555" s="912" t="str">
        <f>IFERROR(IF(VLOOKUP(C555,[1]List1!$A:$D,2,FALSE)="VYPRODÁNO",$V$9,IF(VLOOKUP(C555,[1]List1!$A:$D,2,FALSE)="DOCHÁZÍ",$V$3,VLOOKUP(C555,[1]List1!$A:$D,2,FALSE))),"OFFLINE!")</f>
        <v>SKLADEM</v>
      </c>
      <c r="AC555" s="912" t="str">
        <f ca="1">IF(AO555="NE",$V$10,IF(AB555=$V$3,IF(AP555&lt;1,$V$8,$V$2&amp;" "&amp;AP555&amp;" "&amp;$V$1),IF(AB555="SKLADEM",$V$6,IFERROR(IF(OR(AB555-TODAY()&gt;21,VLOOKUP(C555,[1]List1!$A:$E,4,FALSE)=0),AB555,DAY(AB555)&amp;"."&amp;MONTH(AB555)&amp;"."&amp;YEAR(AB555)&amp;" "&amp;$V$4&amp;VLOOKUP(C555,[1]List1!$A:$E,4,FALSE)&amp;" "&amp;$V$1),AB555))))</f>
        <v>AUF LAGER</v>
      </c>
      <c r="AD555" s="701" t="str">
        <f ca="1">_xlfn.IFNA(VLOOKUP(C555,'General price list'!C:AM,MATCH($AD$20,'General price list'!$C$20:$AM$20,0),FALSE),"")</f>
        <v>AUF LAGER</v>
      </c>
      <c r="AE555" s="695">
        <f t="shared" ca="1" si="104"/>
        <v>0</v>
      </c>
      <c r="AF555" s="695">
        <f t="shared" ca="1" si="105"/>
        <v>0</v>
      </c>
      <c r="AG555" s="702">
        <f t="shared" ca="1" si="106"/>
        <v>0</v>
      </c>
      <c r="AH555" s="703">
        <f t="shared" ca="1" si="107"/>
        <v>0</v>
      </c>
      <c r="AI555" s="702" t="str">
        <f t="shared" ca="1" si="108"/>
        <v/>
      </c>
      <c r="AJ555" s="704" t="str">
        <f t="shared" ca="1" si="109"/>
        <v/>
      </c>
      <c r="AK555" s="704" t="str">
        <f t="shared" ca="1" si="110"/>
        <v/>
      </c>
      <c r="AL555" s="704" t="str">
        <f t="shared" ca="1" si="111"/>
        <v/>
      </c>
      <c r="AM555" s="705" t="str">
        <f t="shared" ca="1" si="112"/>
        <v/>
      </c>
      <c r="AN555" s="381"/>
      <c r="AO555" s="314" t="str">
        <f>IF($R$3=1,IF(Y555=AA555,"","NE"),IF(#REF!=$V$10,"NE",""))</f>
        <v/>
      </c>
      <c r="AP555" s="315" t="str">
        <f>IF(AB555=$V$3,IF(VLOOKUP(C555,[1]List1!$A:$E,5,FALSE)=0,1,VLOOKUP(C555,[1]List1!$A:$E,5,FALSE)),"")</f>
        <v/>
      </c>
      <c r="AW555" s="458">
        <f>IFERROR(FIND(VLOOKUP('General price list'!$AB$7,'General price list'!$AC$1:$AD$12,2,FALSE),Q555,1),0)</f>
        <v>0</v>
      </c>
      <c r="AX555" s="458">
        <f>IFERROR(FIND(VLOOKUP('General price list'!$AB$7,'General price list'!$AC$1:$AD$12,2,FALSE),R555,1),0)</f>
        <v>0</v>
      </c>
    </row>
    <row r="556" spans="1:50" ht="15" customHeight="1">
      <c r="A556" s="677" t="str">
        <f>IFERROR(IF(VLOOKUP(C556,#REF!,5,FALSE)=0,"",VLOOKUP(C556,#REF!,5,FALSE)),"")</f>
        <v/>
      </c>
      <c r="B556" s="678">
        <v>535</v>
      </c>
      <c r="C556" s="679" t="s">
        <v>11800</v>
      </c>
      <c r="D556" s="679" t="s">
        <v>13660</v>
      </c>
      <c r="E556" s="680" t="s">
        <v>129</v>
      </c>
      <c r="F556" s="681">
        <f>VLOOKUP(C556,[2]List1!$A:$D,2,FALSE)</f>
        <v>152</v>
      </c>
      <c r="G556" s="682">
        <f t="shared" si="101"/>
        <v>152</v>
      </c>
      <c r="H556" s="683">
        <f t="shared" si="102"/>
        <v>6.2</v>
      </c>
      <c r="I556" s="836">
        <v>1</v>
      </c>
      <c r="J556" s="680"/>
      <c r="K556" s="854"/>
      <c r="L556" s="855"/>
      <c r="M556" s="680"/>
      <c r="N556" s="868" t="str">
        <f>IFERROR(VLOOKUP(C556,[3]List1!$A:$D,4,FALSE),"N/A!")</f>
        <v/>
      </c>
      <c r="O556" s="836" t="str">
        <f>IFERROR(VLOOKUP(C556,[3]List1!$A:$D,3,FALSE),"N/A!")</f>
        <v/>
      </c>
      <c r="P556" s="836">
        <f>IFERROR(VLOOKUP(C556,[3]List1!$A:$D,2,FALSE),"N/A!")</f>
        <v>1500</v>
      </c>
      <c r="Q556" s="680"/>
      <c r="R556" s="680"/>
      <c r="S556" s="680"/>
      <c r="T556" s="681"/>
      <c r="U556" s="873"/>
      <c r="V556" s="684"/>
      <c r="W556" s="685" t="str">
        <f>IFERROR(VLOOKUP($C556,Popisy!A:P,MATCH($W$17,Popisy!$A$7:$P$7,0),FALSE),"---------------")</f>
        <v>Karton mit Produktdesign</v>
      </c>
      <c r="X556" s="889" t="str">
        <f t="shared" si="103"/>
        <v/>
      </c>
      <c r="Y556" s="890"/>
      <c r="Z556" s="685" t="str">
        <f>IFERROR(IF(VLOOKUP(C556,[4]List1!$A:$D,4,FALSE)=0,"",VLOOKUP(C556,[4]List1!$A:$D,4,FALSE)),"")</f>
        <v/>
      </c>
      <c r="AA556" s="707"/>
      <c r="AB556" s="911" t="str">
        <f>IFERROR(IF(VLOOKUP(C556,[1]List1!$A:$D,2,FALSE)="VYPRODÁNO",$V$9,IF(VLOOKUP(C556,[1]List1!$A:$D,2,FALSE)="DOCHÁZÍ",$V$3,VLOOKUP(C556,[1]List1!$A:$D,2,FALSE))),"OFFLINE!")</f>
        <v>SKLADEM</v>
      </c>
      <c r="AC556" s="911" t="str">
        <f ca="1">IF(AO556="NE",$V$10,IF(AB556=$V$3,IF(AP556&lt;1,$V$8,$V$2&amp;" "&amp;AP556&amp;" "&amp;$V$1),IF(AB556="SKLADEM",$V$6,IFERROR(IF(OR(AB556-TODAY()&gt;21,VLOOKUP(C556,[1]List1!$A:$E,4,FALSE)=0),AB556,DAY(AB556)&amp;"."&amp;MONTH(AB556)&amp;"."&amp;YEAR(AB556)&amp;" "&amp;$V$4&amp;VLOOKUP(C556,[1]List1!$A:$E,4,FALSE)&amp;" "&amp;$V$1),AB556))))</f>
        <v>AUF LAGER</v>
      </c>
      <c r="AD556" s="686" t="str">
        <f ca="1">_xlfn.IFNA(VLOOKUP(C556,'General price list'!C:AM,MATCH($AD$20,'General price list'!$C$20:$AM$20,0),FALSE),"")</f>
        <v>AUF LAGER</v>
      </c>
      <c r="AE556" s="681">
        <f t="shared" ca="1" si="104"/>
        <v>0</v>
      </c>
      <c r="AF556" s="681">
        <f t="shared" ca="1" si="105"/>
        <v>0</v>
      </c>
      <c r="AG556" s="687">
        <f t="shared" ca="1" si="106"/>
        <v>0</v>
      </c>
      <c r="AH556" s="688">
        <f t="shared" ca="1" si="107"/>
        <v>0</v>
      </c>
      <c r="AI556" s="687" t="str">
        <f t="shared" ca="1" si="108"/>
        <v/>
      </c>
      <c r="AJ556" s="689" t="str">
        <f t="shared" ca="1" si="109"/>
        <v/>
      </c>
      <c r="AK556" s="689" t="str">
        <f t="shared" ca="1" si="110"/>
        <v/>
      </c>
      <c r="AL556" s="689" t="str">
        <f t="shared" ca="1" si="111"/>
        <v/>
      </c>
      <c r="AM556" s="690" t="str">
        <f t="shared" ca="1" si="112"/>
        <v/>
      </c>
      <c r="AN556" s="313"/>
      <c r="AO556" s="314" t="str">
        <f>IF($R$3=1,IF(Y556=AA556,"","NE"),IF(#REF!=$V$10,"NE",""))</f>
        <v/>
      </c>
      <c r="AP556" s="315" t="str">
        <f>IF(AB556=$V$3,IF(VLOOKUP(C556,[1]List1!$A:$E,5,FALSE)=0,1,VLOOKUP(C556,[1]List1!$A:$E,5,FALSE)),"")</f>
        <v/>
      </c>
      <c r="AW556" s="458">
        <f>IFERROR(FIND(VLOOKUP('General price list'!$AB$7,'General price list'!$AC$1:$AD$12,2,FALSE),Q556,1),0)</f>
        <v>0</v>
      </c>
      <c r="AX556" s="458">
        <f>IFERROR(FIND(VLOOKUP('General price list'!$AB$7,'General price list'!$AC$1:$AD$12,2,FALSE),R556,1),0)</f>
        <v>0</v>
      </c>
    </row>
    <row r="557" spans="1:50" ht="15" customHeight="1">
      <c r="A557" s="691" t="str">
        <f>IFERROR(IF(VLOOKUP(C557,#REF!,5,FALSE)=0,"",VLOOKUP(C557,#REF!,5,FALSE)),"")</f>
        <v/>
      </c>
      <c r="B557" s="692">
        <v>536</v>
      </c>
      <c r="C557" s="693" t="s">
        <v>11801</v>
      </c>
      <c r="D557" s="693" t="s">
        <v>13661</v>
      </c>
      <c r="E557" s="694" t="s">
        <v>129</v>
      </c>
      <c r="F557" s="695">
        <f>VLOOKUP(C557,[2]List1!$A:$D,2,FALSE)</f>
        <v>227</v>
      </c>
      <c r="G557" s="696">
        <f t="shared" si="101"/>
        <v>227</v>
      </c>
      <c r="H557" s="697">
        <f t="shared" si="102"/>
        <v>9.1999999999999993</v>
      </c>
      <c r="I557" s="837">
        <v>1</v>
      </c>
      <c r="J557" s="698"/>
      <c r="K557" s="856"/>
      <c r="L557" s="857"/>
      <c r="M557" s="698"/>
      <c r="N557" s="869" t="str">
        <f>IFERROR(VLOOKUP(C557,[3]List1!$A:$D,4,FALSE),"N/A!")</f>
        <v/>
      </c>
      <c r="O557" s="837" t="str">
        <f>IFERROR(VLOOKUP(C557,[3]List1!$A:$D,3,FALSE),"N/A!")</f>
        <v/>
      </c>
      <c r="P557" s="837">
        <f>IFERROR(VLOOKUP(C557,[3]List1!$A:$D,2,FALSE),"N/A!")</f>
        <v>1500</v>
      </c>
      <c r="Q557" s="698"/>
      <c r="R557" s="698"/>
      <c r="S557" s="698"/>
      <c r="T557" s="695"/>
      <c r="U557" s="874"/>
      <c r="V557" s="699"/>
      <c r="W557" s="700" t="str">
        <f>IFERROR(VLOOKUP($C557,Popisy!A:P,MATCH($W$17,Popisy!$A$7:$P$7,0),FALSE),"---------------")</f>
        <v>Karton mit Produktdesign</v>
      </c>
      <c r="X557" s="891" t="str">
        <f t="shared" si="103"/>
        <v/>
      </c>
      <c r="Y557" s="892"/>
      <c r="Z557" s="700" t="str">
        <f>IFERROR(IF(VLOOKUP(C557,[4]List1!$A:$D,4,FALSE)=0,"",VLOOKUP(C557,[4]List1!$A:$D,4,FALSE)),"")</f>
        <v/>
      </c>
      <c r="AA557" s="707"/>
      <c r="AB557" s="912" t="str">
        <f>IFERROR(IF(VLOOKUP(C557,[1]List1!$A:$D,2,FALSE)="VYPRODÁNO",$V$9,IF(VLOOKUP(C557,[1]List1!$A:$D,2,FALSE)="DOCHÁZÍ",$V$3,VLOOKUP(C557,[1]List1!$A:$D,2,FALSE))),"OFFLINE!")</f>
        <v>SKLADEM</v>
      </c>
      <c r="AC557" s="912" t="str">
        <f ca="1">IF(AO557="NE",$V$10,IF(AB557=$V$3,IF(AP557&lt;1,$V$8,$V$2&amp;" "&amp;AP557&amp;" "&amp;$V$1),IF(AB557="SKLADEM",$V$6,IFERROR(IF(OR(AB557-TODAY()&gt;21,VLOOKUP(C557,[1]List1!$A:$E,4,FALSE)=0),AB557,DAY(AB557)&amp;"."&amp;MONTH(AB557)&amp;"."&amp;YEAR(AB557)&amp;" "&amp;$V$4&amp;VLOOKUP(C557,[1]List1!$A:$E,4,FALSE)&amp;" "&amp;$V$1),AB557))))</f>
        <v>AUF LAGER</v>
      </c>
      <c r="AD557" s="701" t="str">
        <f ca="1">_xlfn.IFNA(VLOOKUP(C557,'General price list'!C:AM,MATCH($AD$20,'General price list'!$C$20:$AM$20,0),FALSE),"")</f>
        <v>AUF LAGER</v>
      </c>
      <c r="AE557" s="695">
        <f t="shared" ca="1" si="104"/>
        <v>0</v>
      </c>
      <c r="AF557" s="695">
        <f t="shared" ca="1" si="105"/>
        <v>0</v>
      </c>
      <c r="AG557" s="702">
        <f t="shared" ca="1" si="106"/>
        <v>0</v>
      </c>
      <c r="AH557" s="703">
        <f t="shared" ca="1" si="107"/>
        <v>0</v>
      </c>
      <c r="AI557" s="702" t="str">
        <f t="shared" ca="1" si="108"/>
        <v/>
      </c>
      <c r="AJ557" s="704" t="str">
        <f t="shared" ca="1" si="109"/>
        <v/>
      </c>
      <c r="AK557" s="704" t="str">
        <f t="shared" ca="1" si="110"/>
        <v/>
      </c>
      <c r="AL557" s="704" t="str">
        <f t="shared" ca="1" si="111"/>
        <v/>
      </c>
      <c r="AM557" s="705" t="str">
        <f t="shared" ca="1" si="112"/>
        <v/>
      </c>
      <c r="AN557" s="313"/>
      <c r="AO557" s="314" t="str">
        <f>IF($R$3=1,IF(Y557=AA557,"","NE"),IF(#REF!=$V$10,"NE",""))</f>
        <v/>
      </c>
      <c r="AP557" s="315" t="str">
        <f>IF(AB557=$V$3,IF(VLOOKUP(C557,[1]List1!$A:$E,5,FALSE)=0,1,VLOOKUP(C557,[1]List1!$A:$E,5,FALSE)),"")</f>
        <v/>
      </c>
      <c r="AW557" s="458">
        <f>IFERROR(FIND(VLOOKUP('General price list'!$AB$7,'General price list'!$AC$1:$AD$12,2,FALSE),Q557,1),0)</f>
        <v>0</v>
      </c>
      <c r="AX557" s="458">
        <f>IFERROR(FIND(VLOOKUP('General price list'!$AB$7,'General price list'!$AC$1:$AD$12,2,FALSE),R557,1),0)</f>
        <v>0</v>
      </c>
    </row>
    <row r="558" spans="1:50" ht="15" customHeight="1">
      <c r="A558" s="677" t="str">
        <f>IFERROR(IF(VLOOKUP(C558,#REF!,5,FALSE)=0,"",VLOOKUP(C558,#REF!,5,FALSE)),"")</f>
        <v/>
      </c>
      <c r="B558" s="678">
        <v>537</v>
      </c>
      <c r="C558" s="679" t="s">
        <v>11802</v>
      </c>
      <c r="D558" s="679" t="s">
        <v>13661</v>
      </c>
      <c r="E558" s="680" t="s">
        <v>129</v>
      </c>
      <c r="F558" s="681">
        <f>VLOOKUP(C558,[2]List1!$A:$D,2,FALSE)</f>
        <v>227</v>
      </c>
      <c r="G558" s="682">
        <f t="shared" si="101"/>
        <v>227</v>
      </c>
      <c r="H558" s="683">
        <f t="shared" si="102"/>
        <v>9.1999999999999993</v>
      </c>
      <c r="I558" s="836">
        <v>1</v>
      </c>
      <c r="J558" s="680"/>
      <c r="K558" s="854"/>
      <c r="L558" s="855"/>
      <c r="M558" s="680"/>
      <c r="N558" s="868" t="str">
        <f>IFERROR(VLOOKUP(C558,[3]List1!$A:$D,4,FALSE),"N/A!")</f>
        <v/>
      </c>
      <c r="O558" s="836" t="str">
        <f>IFERROR(VLOOKUP(C558,[3]List1!$A:$D,3,FALSE),"N/A!")</f>
        <v/>
      </c>
      <c r="P558" s="836">
        <f>IFERROR(VLOOKUP(C558,[3]List1!$A:$D,2,FALSE),"N/A!")</f>
        <v>1500</v>
      </c>
      <c r="Q558" s="680"/>
      <c r="R558" s="680"/>
      <c r="S558" s="680"/>
      <c r="T558" s="681"/>
      <c r="U558" s="873"/>
      <c r="V558" s="684"/>
      <c r="W558" s="685" t="str">
        <f>IFERROR(VLOOKUP($C558,Popisy!A:P,MATCH($W$17,Popisy!$A$7:$P$7,0),FALSE),"---------------")</f>
        <v>Karton mit Produktdesign</v>
      </c>
      <c r="X558" s="889" t="str">
        <f t="shared" si="103"/>
        <v/>
      </c>
      <c r="Y558" s="890"/>
      <c r="Z558" s="685" t="str">
        <f>IFERROR(IF(VLOOKUP(C558,[4]List1!$A:$D,4,FALSE)=0,"",VLOOKUP(C558,[4]List1!$A:$D,4,FALSE)),"")</f>
        <v/>
      </c>
      <c r="AA558" s="707"/>
      <c r="AB558" s="911" t="str">
        <f>IFERROR(IF(VLOOKUP(C558,[1]List1!$A:$D,2,FALSE)="VYPRODÁNO",$V$9,IF(VLOOKUP(C558,[1]List1!$A:$D,2,FALSE)="DOCHÁZÍ",$V$3,VLOOKUP(C558,[1]List1!$A:$D,2,FALSE))),"OFFLINE!")</f>
        <v>SKLADEM</v>
      </c>
      <c r="AC558" s="911" t="str">
        <f ca="1">IF(AO558="NE",$V$10,IF(AB558=$V$3,IF(AP558&lt;1,$V$8,$V$2&amp;" "&amp;AP558&amp;" "&amp;$V$1),IF(AB558="SKLADEM",$V$6,IFERROR(IF(OR(AB558-TODAY()&gt;21,VLOOKUP(C558,[1]List1!$A:$E,4,FALSE)=0),AB558,DAY(AB558)&amp;"."&amp;MONTH(AB558)&amp;"."&amp;YEAR(AB558)&amp;" "&amp;$V$4&amp;VLOOKUP(C558,[1]List1!$A:$E,4,FALSE)&amp;" "&amp;$V$1),AB558))))</f>
        <v>AUF LAGER</v>
      </c>
      <c r="AD558" s="686" t="str">
        <f ca="1">_xlfn.IFNA(VLOOKUP(C558,'General price list'!C:AM,MATCH($AD$20,'General price list'!$C$20:$AM$20,0),FALSE),"")</f>
        <v>AUF LAGER</v>
      </c>
      <c r="AE558" s="681">
        <f t="shared" ca="1" si="104"/>
        <v>0</v>
      </c>
      <c r="AF558" s="681">
        <f t="shared" ca="1" si="105"/>
        <v>0</v>
      </c>
      <c r="AG558" s="687">
        <f t="shared" ca="1" si="106"/>
        <v>0</v>
      </c>
      <c r="AH558" s="688">
        <f t="shared" ca="1" si="107"/>
        <v>0</v>
      </c>
      <c r="AI558" s="687" t="str">
        <f t="shared" ca="1" si="108"/>
        <v/>
      </c>
      <c r="AJ558" s="689" t="str">
        <f t="shared" ca="1" si="109"/>
        <v/>
      </c>
      <c r="AK558" s="689" t="str">
        <f t="shared" ca="1" si="110"/>
        <v/>
      </c>
      <c r="AL558" s="689" t="str">
        <f t="shared" ca="1" si="111"/>
        <v/>
      </c>
      <c r="AM558" s="690" t="str">
        <f t="shared" ca="1" si="112"/>
        <v/>
      </c>
      <c r="AN558" s="313"/>
      <c r="AO558" s="314" t="str">
        <f>IF($R$3=1,IF(Y558=AA558,"","NE"),IF(#REF!=$V$10,"NE",""))</f>
        <v/>
      </c>
      <c r="AP558" s="315" t="str">
        <f>IF(AB558=$V$3,IF(VLOOKUP(C558,[1]List1!$A:$E,5,FALSE)=0,1,VLOOKUP(C558,[1]List1!$A:$E,5,FALSE)),"")</f>
        <v/>
      </c>
      <c r="AW558" s="458">
        <f>IFERROR(FIND(VLOOKUP('General price list'!$AB$7,'General price list'!$AC$1:$AD$12,2,FALSE),Q558,1),0)</f>
        <v>0</v>
      </c>
      <c r="AX558" s="458">
        <f>IFERROR(FIND(VLOOKUP('General price list'!$AB$7,'General price list'!$AC$1:$AD$12,2,FALSE),R558,1),0)</f>
        <v>0</v>
      </c>
    </row>
    <row r="559" spans="1:50" ht="15" customHeight="1">
      <c r="A559" s="691" t="str">
        <f>IFERROR(IF(VLOOKUP(C559,#REF!,5,FALSE)=0,"",VLOOKUP(C559,#REF!,5,FALSE)),"")</f>
        <v/>
      </c>
      <c r="B559" s="692">
        <v>538</v>
      </c>
      <c r="C559" s="693" t="s">
        <v>11803</v>
      </c>
      <c r="D559" s="693" t="s">
        <v>13662</v>
      </c>
      <c r="E559" s="694" t="s">
        <v>129</v>
      </c>
      <c r="F559" s="695">
        <f>VLOOKUP(C559,[2]List1!$A:$D,2,FALSE)</f>
        <v>234</v>
      </c>
      <c r="G559" s="696">
        <f t="shared" si="101"/>
        <v>234</v>
      </c>
      <c r="H559" s="697">
        <f t="shared" si="102"/>
        <v>9.5</v>
      </c>
      <c r="I559" s="837">
        <v>1</v>
      </c>
      <c r="J559" s="698"/>
      <c r="K559" s="856"/>
      <c r="L559" s="857"/>
      <c r="M559" s="698"/>
      <c r="N559" s="869" t="str">
        <f>IFERROR(VLOOKUP(C559,[3]List1!$A:$D,4,FALSE),"N/A!")</f>
        <v/>
      </c>
      <c r="O559" s="837" t="str">
        <f>IFERROR(VLOOKUP(C559,[3]List1!$A:$D,3,FALSE),"N/A!")</f>
        <v/>
      </c>
      <c r="P559" s="837">
        <f>IFERROR(VLOOKUP(C559,[3]List1!$A:$D,2,FALSE),"N/A!")</f>
        <v>1500</v>
      </c>
      <c r="Q559" s="698"/>
      <c r="R559" s="698"/>
      <c r="S559" s="698"/>
      <c r="T559" s="695"/>
      <c r="U559" s="874"/>
      <c r="V559" s="699"/>
      <c r="W559" s="700" t="str">
        <f>IFERROR(VLOOKUP($C559,Popisy!A:P,MATCH($W$17,Popisy!$A$7:$P$7,0),FALSE),"---------------")</f>
        <v>Karton mit Produktdesign</v>
      </c>
      <c r="X559" s="891" t="str">
        <f t="shared" si="103"/>
        <v/>
      </c>
      <c r="Y559" s="892"/>
      <c r="Z559" s="700" t="str">
        <f>IFERROR(IF(VLOOKUP(C559,[4]List1!$A:$D,4,FALSE)=0,"",VLOOKUP(C559,[4]List1!$A:$D,4,FALSE)),"")</f>
        <v/>
      </c>
      <c r="AA559" s="707"/>
      <c r="AB559" s="912" t="str">
        <f>IFERROR(IF(VLOOKUP(C559,[1]List1!$A:$D,2,FALSE)="VYPRODÁNO",$V$9,IF(VLOOKUP(C559,[1]List1!$A:$D,2,FALSE)="DOCHÁZÍ",$V$3,VLOOKUP(C559,[1]List1!$A:$D,2,FALSE))),"OFFLINE!")</f>
        <v>SKLADEM</v>
      </c>
      <c r="AC559" s="912" t="str">
        <f ca="1">IF(AO559="NE",$V$10,IF(AB559=$V$3,IF(AP559&lt;1,$V$8,$V$2&amp;" "&amp;AP559&amp;" "&amp;$V$1),IF(AB559="SKLADEM",$V$6,IFERROR(IF(OR(AB559-TODAY()&gt;21,VLOOKUP(C559,[1]List1!$A:$E,4,FALSE)=0),AB559,DAY(AB559)&amp;"."&amp;MONTH(AB559)&amp;"."&amp;YEAR(AB559)&amp;" "&amp;$V$4&amp;VLOOKUP(C559,[1]List1!$A:$E,4,FALSE)&amp;" "&amp;$V$1),AB559))))</f>
        <v>AUF LAGER</v>
      </c>
      <c r="AD559" s="701">
        <f>_xlfn.IFNA(VLOOKUP(C559,'General price list'!C:AM,MATCH($AD$20,'General price list'!$C$20:$AM$20,0),FALSE),"")</f>
        <v>0</v>
      </c>
      <c r="AE559" s="695">
        <f t="shared" si="104"/>
        <v>0</v>
      </c>
      <c r="AF559" s="695">
        <f t="shared" si="105"/>
        <v>0</v>
      </c>
      <c r="AG559" s="702">
        <f t="shared" si="106"/>
        <v>0</v>
      </c>
      <c r="AH559" s="703">
        <f t="shared" si="107"/>
        <v>0</v>
      </c>
      <c r="AI559" s="702" t="str">
        <f t="shared" si="108"/>
        <v/>
      </c>
      <c r="AJ559" s="704" t="str">
        <f t="shared" si="109"/>
        <v/>
      </c>
      <c r="AK559" s="704" t="str">
        <f t="shared" si="110"/>
        <v/>
      </c>
      <c r="AL559" s="704" t="str">
        <f t="shared" si="111"/>
        <v/>
      </c>
      <c r="AM559" s="705" t="str">
        <f t="shared" si="112"/>
        <v/>
      </c>
      <c r="AN559" s="313"/>
      <c r="AO559" s="314" t="str">
        <f>IF($R$3=1,IF(Y559=AA559,"","NE"),IF(#REF!=$V$10,"NE",""))</f>
        <v/>
      </c>
      <c r="AP559" s="315" t="str">
        <f>IF(AB559=$V$3,IF(VLOOKUP(C559,[1]List1!$A:$E,5,FALSE)=0,1,VLOOKUP(C559,[1]List1!$A:$E,5,FALSE)),"")</f>
        <v/>
      </c>
      <c r="AW559" s="458">
        <f>IFERROR(FIND(VLOOKUP('General price list'!$AB$7,'General price list'!$AC$1:$AD$12,2,FALSE),Q559,1),0)</f>
        <v>0</v>
      </c>
      <c r="AX559" s="458">
        <f>IFERROR(FIND(VLOOKUP('General price list'!$AB$7,'General price list'!$AC$1:$AD$12,2,FALSE),R559,1),0)</f>
        <v>0</v>
      </c>
    </row>
    <row r="560" spans="1:50" ht="15" customHeight="1">
      <c r="A560" s="677" t="str">
        <f>IFERROR(IF(VLOOKUP(C560,#REF!,5,FALSE)=0,"",VLOOKUP(C560,#REF!,5,FALSE)),"")</f>
        <v/>
      </c>
      <c r="B560" s="678">
        <v>539</v>
      </c>
      <c r="C560" s="679" t="s">
        <v>11804</v>
      </c>
      <c r="D560" s="679" t="s">
        <v>13663</v>
      </c>
      <c r="E560" s="680" t="s">
        <v>129</v>
      </c>
      <c r="F560" s="681">
        <f>VLOOKUP(C560,[2]List1!$A:$D,2,FALSE)</f>
        <v>234</v>
      </c>
      <c r="G560" s="682">
        <f t="shared" si="101"/>
        <v>234</v>
      </c>
      <c r="H560" s="683">
        <f t="shared" si="102"/>
        <v>9.5</v>
      </c>
      <c r="I560" s="836">
        <v>1</v>
      </c>
      <c r="J560" s="680"/>
      <c r="K560" s="854"/>
      <c r="L560" s="855"/>
      <c r="M560" s="680"/>
      <c r="N560" s="868" t="str">
        <f>IFERROR(VLOOKUP(C560,[3]List1!$A:$D,4,FALSE),"N/A!")</f>
        <v/>
      </c>
      <c r="O560" s="836" t="str">
        <f>IFERROR(VLOOKUP(C560,[3]List1!$A:$D,3,FALSE),"N/A!")</f>
        <v/>
      </c>
      <c r="P560" s="836">
        <f>IFERROR(VLOOKUP(C560,[3]List1!$A:$D,2,FALSE),"N/A!")</f>
        <v>1500</v>
      </c>
      <c r="Q560" s="680"/>
      <c r="R560" s="680"/>
      <c r="S560" s="680"/>
      <c r="T560" s="681"/>
      <c r="U560" s="873"/>
      <c r="V560" s="684"/>
      <c r="W560" s="685" t="str">
        <f>IFERROR(VLOOKUP($C560,Popisy!A:P,MATCH($W$17,Popisy!$A$7:$P$7,0),FALSE),"---------------")</f>
        <v>Karton mit Produktdesign</v>
      </c>
      <c r="X560" s="889" t="str">
        <f t="shared" si="103"/>
        <v/>
      </c>
      <c r="Y560" s="890"/>
      <c r="Z560" s="685" t="str">
        <f>IFERROR(IF(VLOOKUP(C560,[4]List1!$A:$D,4,FALSE)=0,"",VLOOKUP(C560,[4]List1!$A:$D,4,FALSE)),"")</f>
        <v/>
      </c>
      <c r="AA560" s="707"/>
      <c r="AB560" s="911" t="str">
        <f>IFERROR(IF(VLOOKUP(C560,[1]List1!$A:$D,2,FALSE)="VYPRODÁNO",$V$9,IF(VLOOKUP(C560,[1]List1!$A:$D,2,FALSE)="DOCHÁZÍ",$V$3,VLOOKUP(C560,[1]List1!$A:$D,2,FALSE))),"OFFLINE!")</f>
        <v>SKLADEM</v>
      </c>
      <c r="AC560" s="911" t="str">
        <f ca="1">IF(AO560="NE",$V$10,IF(AB560=$V$3,IF(AP560&lt;1,$V$8,$V$2&amp;" "&amp;AP560&amp;" "&amp;$V$1),IF(AB560="SKLADEM",$V$6,IFERROR(IF(OR(AB560-TODAY()&gt;21,VLOOKUP(C560,[1]List1!$A:$E,4,FALSE)=0),AB560,DAY(AB560)&amp;"."&amp;MONTH(AB560)&amp;"."&amp;YEAR(AB560)&amp;" "&amp;$V$4&amp;VLOOKUP(C560,[1]List1!$A:$E,4,FALSE)&amp;" "&amp;$V$1),AB560))))</f>
        <v>AUF LAGER</v>
      </c>
      <c r="AD560" s="686" t="str">
        <f ca="1">_xlfn.IFNA(VLOOKUP(C560,'General price list'!C:AM,MATCH($AD$20,'General price list'!$C$20:$AM$20,0),FALSE),"")</f>
        <v>AUF LAGER</v>
      </c>
      <c r="AE560" s="681">
        <f t="shared" ca="1" si="104"/>
        <v>0</v>
      </c>
      <c r="AF560" s="681">
        <f t="shared" ca="1" si="105"/>
        <v>0</v>
      </c>
      <c r="AG560" s="687">
        <f t="shared" ca="1" si="106"/>
        <v>0</v>
      </c>
      <c r="AH560" s="688">
        <f t="shared" ca="1" si="107"/>
        <v>0</v>
      </c>
      <c r="AI560" s="687" t="str">
        <f t="shared" ca="1" si="108"/>
        <v/>
      </c>
      <c r="AJ560" s="689" t="str">
        <f t="shared" ca="1" si="109"/>
        <v/>
      </c>
      <c r="AK560" s="689" t="str">
        <f t="shared" ca="1" si="110"/>
        <v/>
      </c>
      <c r="AL560" s="689" t="str">
        <f t="shared" ca="1" si="111"/>
        <v/>
      </c>
      <c r="AM560" s="690" t="str">
        <f t="shared" ca="1" si="112"/>
        <v/>
      </c>
      <c r="AN560" s="381"/>
      <c r="AO560" s="314" t="str">
        <f>IF($R$3=1,IF(Y560=AA560,"","NE"),IF(#REF!=$V$10,"NE",""))</f>
        <v/>
      </c>
      <c r="AP560" s="315" t="str">
        <f>IF(AB560=$V$3,IF(VLOOKUP(C560,[1]List1!$A:$E,5,FALSE)=0,1,VLOOKUP(C560,[1]List1!$A:$E,5,FALSE)),"")</f>
        <v/>
      </c>
      <c r="AW560" s="458">
        <f>IFERROR(FIND(VLOOKUP('General price list'!$AB$7,'General price list'!$AC$1:$AD$12,2,FALSE),Q560,1),0)</f>
        <v>0</v>
      </c>
      <c r="AX560" s="458">
        <f>IFERROR(FIND(VLOOKUP('General price list'!$AB$7,'General price list'!$AC$1:$AD$12,2,FALSE),R560,1),0)</f>
        <v>0</v>
      </c>
    </row>
    <row r="561" spans="1:50" ht="15" customHeight="1">
      <c r="A561" s="691" t="str">
        <f>IFERROR(IF(VLOOKUP(C561,#REF!,5,FALSE)=0,"",VLOOKUP(C561,#REF!,5,FALSE)),"")</f>
        <v/>
      </c>
      <c r="B561" s="692">
        <v>540</v>
      </c>
      <c r="C561" s="693" t="s">
        <v>11805</v>
      </c>
      <c r="D561" s="693" t="s">
        <v>13664</v>
      </c>
      <c r="E561" s="694" t="s">
        <v>129</v>
      </c>
      <c r="F561" s="695">
        <f>VLOOKUP(C561,[2]List1!$A:$D,2,FALSE)</f>
        <v>295</v>
      </c>
      <c r="G561" s="696">
        <f t="shared" si="101"/>
        <v>295</v>
      </c>
      <c r="H561" s="697">
        <f t="shared" si="102"/>
        <v>12</v>
      </c>
      <c r="I561" s="837">
        <v>1</v>
      </c>
      <c r="J561" s="698"/>
      <c r="K561" s="856"/>
      <c r="L561" s="857"/>
      <c r="M561" s="698"/>
      <c r="N561" s="869" t="str">
        <f>IFERROR(VLOOKUP(C561,[3]List1!$A:$D,4,FALSE),"N/A!")</f>
        <v/>
      </c>
      <c r="O561" s="837" t="str">
        <f>IFERROR(VLOOKUP(C561,[3]List1!$A:$D,3,FALSE),"N/A!")</f>
        <v/>
      </c>
      <c r="P561" s="837">
        <f>IFERROR(VLOOKUP(C561,[3]List1!$A:$D,2,FALSE),"N/A!")</f>
        <v>1500</v>
      </c>
      <c r="Q561" s="698"/>
      <c r="R561" s="698"/>
      <c r="S561" s="698"/>
      <c r="T561" s="695"/>
      <c r="U561" s="874"/>
      <c r="V561" s="699"/>
      <c r="W561" s="700" t="str">
        <f>IFERROR(VLOOKUP($C561,Popisy!A:P,MATCH($W$17,Popisy!$A$7:$P$7,0),FALSE),"---------------")</f>
        <v>Karton mit Produktdesign</v>
      </c>
      <c r="X561" s="891" t="str">
        <f t="shared" si="103"/>
        <v/>
      </c>
      <c r="Y561" s="892"/>
      <c r="Z561" s="700" t="str">
        <f>IFERROR(IF(VLOOKUP(C561,[4]List1!$A:$D,4,FALSE)=0,"",VLOOKUP(C561,[4]List1!$A:$D,4,FALSE)),"")</f>
        <v/>
      </c>
      <c r="AA561" s="707"/>
      <c r="AB561" s="912" t="str">
        <f>IFERROR(IF(VLOOKUP(C561,[1]List1!$A:$D,2,FALSE)="VYPRODÁNO",$V$9,IF(VLOOKUP(C561,[1]List1!$A:$D,2,FALSE)="DOCHÁZÍ",$V$3,VLOOKUP(C561,[1]List1!$A:$D,2,FALSE))),"OFFLINE!")</f>
        <v>SKLADEM</v>
      </c>
      <c r="AC561" s="912" t="str">
        <f ca="1">IF(AO561="NE",$V$10,IF(AB561=$V$3,IF(AP561&lt;1,$V$8,$V$2&amp;" "&amp;AP561&amp;" "&amp;$V$1),IF(AB561="SKLADEM",$V$6,IFERROR(IF(OR(AB561-TODAY()&gt;21,VLOOKUP(C561,[1]List1!$A:$E,4,FALSE)=0),AB561,DAY(AB561)&amp;"."&amp;MONTH(AB561)&amp;"."&amp;YEAR(AB561)&amp;" "&amp;$V$4&amp;VLOOKUP(C561,[1]List1!$A:$E,4,FALSE)&amp;" "&amp;$V$1),AB561))))</f>
        <v>AUF LAGER</v>
      </c>
      <c r="AD561" s="701" t="str">
        <f ca="1">_xlfn.IFNA(VLOOKUP(C561,'General price list'!C:AM,MATCH($AD$20,'General price list'!$C$20:$AM$20,0),FALSE),"")</f>
        <v>AUF LAGER</v>
      </c>
      <c r="AE561" s="695">
        <f t="shared" ca="1" si="104"/>
        <v>0</v>
      </c>
      <c r="AF561" s="695">
        <f t="shared" ca="1" si="105"/>
        <v>0</v>
      </c>
      <c r="AG561" s="702">
        <f t="shared" ca="1" si="106"/>
        <v>0</v>
      </c>
      <c r="AH561" s="703">
        <f t="shared" ca="1" si="107"/>
        <v>0</v>
      </c>
      <c r="AI561" s="702" t="str">
        <f t="shared" ca="1" si="108"/>
        <v/>
      </c>
      <c r="AJ561" s="704" t="str">
        <f t="shared" ca="1" si="109"/>
        <v/>
      </c>
      <c r="AK561" s="704" t="str">
        <f t="shared" ca="1" si="110"/>
        <v/>
      </c>
      <c r="AL561" s="704" t="str">
        <f t="shared" ca="1" si="111"/>
        <v/>
      </c>
      <c r="AM561" s="705" t="str">
        <f t="shared" ca="1" si="112"/>
        <v/>
      </c>
      <c r="AN561" s="382"/>
      <c r="AO561" s="314" t="str">
        <f>IF($R$3=1,IF(Y561=AA561,"","NE"),IF(#REF!=$V$10,"NE",""))</f>
        <v/>
      </c>
      <c r="AP561" s="315" t="str">
        <f>IF(AB561=$V$3,IF(VLOOKUP(C561,[1]List1!$A:$E,5,FALSE)=0,1,VLOOKUP(C561,[1]List1!$A:$E,5,FALSE)),"")</f>
        <v/>
      </c>
      <c r="AW561" s="458">
        <f>IFERROR(FIND(VLOOKUP('General price list'!$AB$7,'General price list'!$AC$1:$AD$12,2,FALSE),Q561,1),0)</f>
        <v>0</v>
      </c>
      <c r="AX561" s="458">
        <f>IFERROR(FIND(VLOOKUP('General price list'!$AB$7,'General price list'!$AC$1:$AD$12,2,FALSE),R561,1),0)</f>
        <v>0</v>
      </c>
    </row>
    <row r="562" spans="1:50" ht="15" customHeight="1">
      <c r="A562" s="677" t="str">
        <f>IFERROR(IF(VLOOKUP(C562,#REF!,5,FALSE)=0,"",VLOOKUP(C562,#REF!,5,FALSE)),"")</f>
        <v/>
      </c>
      <c r="B562" s="678">
        <v>541</v>
      </c>
      <c r="C562" s="679" t="s">
        <v>11807</v>
      </c>
      <c r="D562" s="679" t="s">
        <v>13665</v>
      </c>
      <c r="E562" s="680" t="s">
        <v>129</v>
      </c>
      <c r="F562" s="681">
        <f>VLOOKUP(C562,[2]List1!$A:$D,2,FALSE)</f>
        <v>237</v>
      </c>
      <c r="G562" s="682">
        <f t="shared" si="101"/>
        <v>237</v>
      </c>
      <c r="H562" s="683">
        <f t="shared" si="102"/>
        <v>9.6</v>
      </c>
      <c r="I562" s="836">
        <v>1</v>
      </c>
      <c r="J562" s="680"/>
      <c r="K562" s="854"/>
      <c r="L562" s="855"/>
      <c r="M562" s="680"/>
      <c r="N562" s="868" t="str">
        <f>IFERROR(VLOOKUP(C562,[3]List1!$A:$D,4,FALSE),"N/A!")</f>
        <v/>
      </c>
      <c r="O562" s="836" t="str">
        <f>IFERROR(VLOOKUP(C562,[3]List1!$A:$D,3,FALSE),"N/A!")</f>
        <v/>
      </c>
      <c r="P562" s="836">
        <f>IFERROR(VLOOKUP(C562,[3]List1!$A:$D,2,FALSE),"N/A!")</f>
        <v>1500</v>
      </c>
      <c r="Q562" s="680"/>
      <c r="R562" s="680"/>
      <c r="S562" s="680"/>
      <c r="T562" s="681"/>
      <c r="U562" s="873"/>
      <c r="V562" s="684"/>
      <c r="W562" s="685" t="str">
        <f>IFERROR(VLOOKUP($C562,Popisy!A:P,MATCH($W$17,Popisy!$A$7:$P$7,0),FALSE),"---------------")</f>
        <v>Karton mit Produktdesign</v>
      </c>
      <c r="X562" s="889" t="str">
        <f t="shared" si="103"/>
        <v/>
      </c>
      <c r="Y562" s="890"/>
      <c r="Z562" s="685" t="str">
        <f>IFERROR(IF(VLOOKUP(C562,[4]List1!$A:$D,4,FALSE)=0,"",VLOOKUP(C562,[4]List1!$A:$D,4,FALSE)),"")</f>
        <v/>
      </c>
      <c r="AA562" s="707"/>
      <c r="AB562" s="911" t="str">
        <f>IFERROR(IF(VLOOKUP(C562,[1]List1!$A:$D,2,FALSE)="VYPRODÁNO",$V$9,IF(VLOOKUP(C562,[1]List1!$A:$D,2,FALSE)="DOCHÁZÍ",$V$3,VLOOKUP(C562,[1]List1!$A:$D,2,FALSE))),"OFFLINE!")</f>
        <v>SKLADEM</v>
      </c>
      <c r="AC562" s="911" t="str">
        <f ca="1">IF(AO562="NE",$V$10,IF(AB562=$V$3,IF(AP562&lt;1,$V$8,$V$2&amp;" "&amp;AP562&amp;" "&amp;$V$1),IF(AB562="SKLADEM",$V$6,IFERROR(IF(OR(AB562-TODAY()&gt;21,VLOOKUP(C562,[1]List1!$A:$E,4,FALSE)=0),AB562,DAY(AB562)&amp;"."&amp;MONTH(AB562)&amp;"."&amp;YEAR(AB562)&amp;" "&amp;$V$4&amp;VLOOKUP(C562,[1]List1!$A:$E,4,FALSE)&amp;" "&amp;$V$1),AB562))))</f>
        <v>AUF LAGER</v>
      </c>
      <c r="AD562" s="686" t="str">
        <f ca="1">_xlfn.IFNA(VLOOKUP(C562,'General price list'!C:AM,MATCH($AD$20,'General price list'!$C$20:$AM$20,0),FALSE),"")</f>
        <v>AUF LAGER</v>
      </c>
      <c r="AE562" s="681">
        <f t="shared" ca="1" si="104"/>
        <v>0</v>
      </c>
      <c r="AF562" s="681">
        <f t="shared" ca="1" si="105"/>
        <v>0</v>
      </c>
      <c r="AG562" s="687">
        <f t="shared" ca="1" si="106"/>
        <v>0</v>
      </c>
      <c r="AH562" s="688">
        <f t="shared" ca="1" si="107"/>
        <v>0</v>
      </c>
      <c r="AI562" s="687" t="str">
        <f t="shared" ca="1" si="108"/>
        <v/>
      </c>
      <c r="AJ562" s="689" t="str">
        <f t="shared" ca="1" si="109"/>
        <v/>
      </c>
      <c r="AK562" s="689" t="str">
        <f t="shared" ca="1" si="110"/>
        <v/>
      </c>
      <c r="AL562" s="689" t="str">
        <f t="shared" ca="1" si="111"/>
        <v/>
      </c>
      <c r="AM562" s="690" t="str">
        <f t="shared" ca="1" si="112"/>
        <v/>
      </c>
      <c r="AN562" s="313"/>
      <c r="AO562" s="314" t="str">
        <f>IF($R$3=1,IF(Y562=AA562,"","NE"),IF(#REF!=$V$10,"NE",""))</f>
        <v/>
      </c>
      <c r="AP562" s="315" t="str">
        <f>IF(AB562=$V$3,IF(VLOOKUP(C562,[1]List1!$A:$E,5,FALSE)=0,1,VLOOKUP(C562,[1]List1!$A:$E,5,FALSE)),"")</f>
        <v/>
      </c>
      <c r="AW562" s="458">
        <f>IFERROR(FIND(VLOOKUP('General price list'!$AB$7,'General price list'!$AC$1:$AD$12,2,FALSE),Q562,1),0)</f>
        <v>0</v>
      </c>
      <c r="AX562" s="458">
        <f>IFERROR(FIND(VLOOKUP('General price list'!$AB$7,'General price list'!$AC$1:$AD$12,2,FALSE),R562,1),0)</f>
        <v>0</v>
      </c>
    </row>
    <row r="563" spans="1:50" ht="15" customHeight="1">
      <c r="A563" s="691" t="str">
        <f>IFERROR(IF(VLOOKUP(C563,#REF!,5,FALSE)=0,"",VLOOKUP(C563,#REF!,5,FALSE)),"")</f>
        <v/>
      </c>
      <c r="B563" s="692">
        <v>542</v>
      </c>
      <c r="C563" s="693" t="s">
        <v>12100</v>
      </c>
      <c r="D563" s="693" t="s">
        <v>13666</v>
      </c>
      <c r="E563" s="694" t="s">
        <v>129</v>
      </c>
      <c r="F563" s="695">
        <f>VLOOKUP(C563,[2]List1!$A:$D,2,FALSE)</f>
        <v>237</v>
      </c>
      <c r="G563" s="696">
        <f t="shared" si="101"/>
        <v>237</v>
      </c>
      <c r="H563" s="697">
        <f t="shared" si="102"/>
        <v>9.6</v>
      </c>
      <c r="I563" s="837">
        <v>1</v>
      </c>
      <c r="J563" s="698"/>
      <c r="K563" s="856"/>
      <c r="L563" s="857"/>
      <c r="M563" s="698"/>
      <c r="N563" s="869" t="str">
        <f>IFERROR(VLOOKUP(C563,[3]List1!$A:$D,4,FALSE),"N/A!")</f>
        <v/>
      </c>
      <c r="O563" s="837" t="str">
        <f>IFERROR(VLOOKUP(C563,[3]List1!$A:$D,3,FALSE),"N/A!")</f>
        <v/>
      </c>
      <c r="P563" s="837">
        <f>IFERROR(VLOOKUP(C563,[3]List1!$A:$D,2,FALSE),"N/A!")</f>
        <v>1500</v>
      </c>
      <c r="Q563" s="698"/>
      <c r="R563" s="698"/>
      <c r="S563" s="698"/>
      <c r="T563" s="695"/>
      <c r="U563" s="874"/>
      <c r="V563" s="699"/>
      <c r="W563" s="700" t="str">
        <f>IFERROR(VLOOKUP($C563,Popisy!A:P,MATCH($W$17,Popisy!$A$7:$P$7,0),FALSE),"---------------")</f>
        <v>Karton mit Produktdesign</v>
      </c>
      <c r="X563" s="891" t="str">
        <f t="shared" si="103"/>
        <v/>
      </c>
      <c r="Y563" s="892"/>
      <c r="Z563" s="700" t="str">
        <f>IFERROR(IF(VLOOKUP(C563,[4]List1!$A:$D,4,FALSE)=0,"",VLOOKUP(C563,[4]List1!$A:$D,4,FALSE)),"")</f>
        <v/>
      </c>
      <c r="AA563" s="707"/>
      <c r="AB563" s="912" t="str">
        <f>IFERROR(IF(VLOOKUP(C563,[1]List1!$A:$D,2,FALSE)="VYPRODÁNO",$V$9,IF(VLOOKUP(C563,[1]List1!$A:$D,2,FALSE)="DOCHÁZÍ",$V$3,VLOOKUP(C563,[1]List1!$A:$D,2,FALSE))),"OFFLINE!")</f>
        <v>SKLADEM</v>
      </c>
      <c r="AC563" s="912" t="str">
        <f ca="1">IF(AO563="NE",$V$10,IF(AB563=$V$3,IF(AP563&lt;1,$V$8,$V$2&amp;" "&amp;AP563&amp;" "&amp;$V$1),IF(AB563="SKLADEM",$V$6,IFERROR(IF(OR(AB563-TODAY()&gt;21,VLOOKUP(C563,[1]List1!$A:$E,4,FALSE)=0),AB563,DAY(AB563)&amp;"."&amp;MONTH(AB563)&amp;"."&amp;YEAR(AB563)&amp;" "&amp;$V$4&amp;VLOOKUP(C563,[1]List1!$A:$E,4,FALSE)&amp;" "&amp;$V$1),AB563))))</f>
        <v>AUF LAGER</v>
      </c>
      <c r="AD563" s="701" t="str">
        <f ca="1">_xlfn.IFNA(VLOOKUP(C563,'General price list'!C:AM,MATCH($AD$20,'General price list'!$C$20:$AM$20,0),FALSE),"")</f>
        <v>AUF LAGER</v>
      </c>
      <c r="AE563" s="695">
        <f t="shared" ca="1" si="104"/>
        <v>0</v>
      </c>
      <c r="AF563" s="695">
        <f t="shared" ca="1" si="105"/>
        <v>0</v>
      </c>
      <c r="AG563" s="702">
        <f t="shared" ca="1" si="106"/>
        <v>0</v>
      </c>
      <c r="AH563" s="703">
        <f t="shared" ca="1" si="107"/>
        <v>0</v>
      </c>
      <c r="AI563" s="702" t="str">
        <f t="shared" ca="1" si="108"/>
        <v/>
      </c>
      <c r="AJ563" s="704" t="str">
        <f t="shared" ca="1" si="109"/>
        <v/>
      </c>
      <c r="AK563" s="704" t="str">
        <f t="shared" ca="1" si="110"/>
        <v/>
      </c>
      <c r="AL563" s="704" t="str">
        <f t="shared" ca="1" si="111"/>
        <v/>
      </c>
      <c r="AM563" s="705" t="str">
        <f t="shared" ca="1" si="112"/>
        <v/>
      </c>
      <c r="AN563" s="381"/>
      <c r="AO563" s="314" t="str">
        <f>IF($R$3=1,IF(Y563=AA563,"","NE"),IF(#REF!=$V$10,"NE",""))</f>
        <v/>
      </c>
      <c r="AP563" s="315" t="str">
        <f>IF(AB563=$V$3,IF(VLOOKUP(C563,[1]List1!$A:$E,5,FALSE)=0,1,VLOOKUP(C563,[1]List1!$A:$E,5,FALSE)),"")</f>
        <v/>
      </c>
      <c r="AW563" s="458">
        <f>IFERROR(FIND(VLOOKUP('General price list'!$AB$7,'General price list'!$AC$1:$AD$12,2,FALSE),Q563,1),0)</f>
        <v>0</v>
      </c>
      <c r="AX563" s="458">
        <f>IFERROR(FIND(VLOOKUP('General price list'!$AB$7,'General price list'!$AC$1:$AD$12,2,FALSE),R563,1),0)</f>
        <v>0</v>
      </c>
    </row>
    <row r="564" spans="1:50" ht="15" customHeight="1">
      <c r="A564" s="677" t="str">
        <f>IFERROR(IF(VLOOKUP(C564,#REF!,5,FALSE)=0,"",VLOOKUP(C564,#REF!,5,FALSE)),"")</f>
        <v/>
      </c>
      <c r="B564" s="678">
        <v>543</v>
      </c>
      <c r="C564" s="679" t="s">
        <v>11808</v>
      </c>
      <c r="D564" s="679" t="s">
        <v>1555</v>
      </c>
      <c r="E564" s="680" t="s">
        <v>129</v>
      </c>
      <c r="F564" s="681">
        <f>VLOOKUP(C564,[2]List1!$A:$D,2,FALSE)</f>
        <v>555</v>
      </c>
      <c r="G564" s="682">
        <f t="shared" si="101"/>
        <v>555</v>
      </c>
      <c r="H564" s="683">
        <f t="shared" si="102"/>
        <v>22.6</v>
      </c>
      <c r="I564" s="836">
        <v>1</v>
      </c>
      <c r="J564" s="680"/>
      <c r="K564" s="854"/>
      <c r="L564" s="855"/>
      <c r="M564" s="680"/>
      <c r="N564" s="868" t="str">
        <f>IFERROR(VLOOKUP(C564,[3]List1!$A:$D,4,FALSE),"N/A!")</f>
        <v/>
      </c>
      <c r="O564" s="836" t="str">
        <f>IFERROR(VLOOKUP(C564,[3]List1!$A:$D,3,FALSE),"N/A!")</f>
        <v/>
      </c>
      <c r="P564" s="836">
        <f>IFERROR(VLOOKUP(C564,[3]List1!$A:$D,2,FALSE),"N/A!")</f>
        <v>1500</v>
      </c>
      <c r="Q564" s="680"/>
      <c r="R564" s="680"/>
      <c r="S564" s="680"/>
      <c r="T564" s="681"/>
      <c r="U564" s="873"/>
      <c r="V564" s="684"/>
      <c r="W564" s="685" t="str">
        <f>IFERROR(VLOOKUP($C564,Popisy!A:P,MATCH($W$17,Popisy!$A$7:$P$7,0),FALSE),"---------------")</f>
        <v>Karton mit Produktdesign</v>
      </c>
      <c r="X564" s="889" t="str">
        <f t="shared" si="103"/>
        <v/>
      </c>
      <c r="Y564" s="890"/>
      <c r="Z564" s="685" t="str">
        <f>IFERROR(IF(VLOOKUP(C564,[4]List1!$A:$D,4,FALSE)=0,"",VLOOKUP(C564,[4]List1!$A:$D,4,FALSE)),"")</f>
        <v/>
      </c>
      <c r="AA564" s="707"/>
      <c r="AB564" s="911" t="str">
        <f>IFERROR(IF(VLOOKUP(C564,[1]List1!$A:$D,2,FALSE)="VYPRODÁNO",$V$9,IF(VLOOKUP(C564,[1]List1!$A:$D,2,FALSE)="DOCHÁZÍ",$V$3,VLOOKUP(C564,[1]List1!$A:$D,2,FALSE))),"OFFLINE!")</f>
        <v>SKLADEM</v>
      </c>
      <c r="AC564" s="911" t="str">
        <f ca="1">IF(AO564="NE",$V$10,IF(AB564=$V$3,IF(AP564&lt;1,$V$8,$V$2&amp;" "&amp;AP564&amp;" "&amp;$V$1),IF(AB564="SKLADEM",$V$6,IFERROR(IF(OR(AB564-TODAY()&gt;21,VLOOKUP(C564,[1]List1!$A:$E,4,FALSE)=0),AB564,DAY(AB564)&amp;"."&amp;MONTH(AB564)&amp;"."&amp;YEAR(AB564)&amp;" "&amp;$V$4&amp;VLOOKUP(C564,[1]List1!$A:$E,4,FALSE)&amp;" "&amp;$V$1),AB564))))</f>
        <v>AUF LAGER</v>
      </c>
      <c r="AD564" s="686" t="str">
        <f ca="1">_xlfn.IFNA(VLOOKUP(C564,'General price list'!C:AM,MATCH($AD$20,'General price list'!$C$20:$AM$20,0),FALSE),"")</f>
        <v>AUF LAGER</v>
      </c>
      <c r="AE564" s="681">
        <f t="shared" ca="1" si="104"/>
        <v>0</v>
      </c>
      <c r="AF564" s="681">
        <f t="shared" ca="1" si="105"/>
        <v>0</v>
      </c>
      <c r="AG564" s="687">
        <f t="shared" ca="1" si="106"/>
        <v>0</v>
      </c>
      <c r="AH564" s="688">
        <f t="shared" ca="1" si="107"/>
        <v>0</v>
      </c>
      <c r="AI564" s="687" t="str">
        <f t="shared" ca="1" si="108"/>
        <v/>
      </c>
      <c r="AJ564" s="689" t="str">
        <f t="shared" ca="1" si="109"/>
        <v/>
      </c>
      <c r="AK564" s="689" t="str">
        <f t="shared" ca="1" si="110"/>
        <v/>
      </c>
      <c r="AL564" s="689" t="str">
        <f t="shared" ca="1" si="111"/>
        <v/>
      </c>
      <c r="AM564" s="690" t="str">
        <f t="shared" ca="1" si="112"/>
        <v/>
      </c>
      <c r="AN564" s="313"/>
      <c r="AO564" s="314" t="str">
        <f>IF($R$3=1,IF(Y564=AA564,"","NE"),IF(#REF!=$V$10,"NE",""))</f>
        <v/>
      </c>
      <c r="AP564" s="315" t="str">
        <f>IF(AB564=$V$3,IF(VLOOKUP(C564,[1]List1!$A:$E,5,FALSE)=0,1,VLOOKUP(C564,[1]List1!$A:$E,5,FALSE)),"")</f>
        <v/>
      </c>
      <c r="AW564" s="458">
        <f>IFERROR(FIND(VLOOKUP('General price list'!$AB$7,'General price list'!$AC$1:$AD$12,2,FALSE),Q564,1),0)</f>
        <v>0</v>
      </c>
      <c r="AX564" s="458">
        <f>IFERROR(FIND(VLOOKUP('General price list'!$AB$7,'General price list'!$AC$1:$AD$12,2,FALSE),R564,1),0)</f>
        <v>0</v>
      </c>
    </row>
    <row r="565" spans="1:50" ht="15" customHeight="1">
      <c r="A565" s="691" t="str">
        <f>IFERROR(IF(VLOOKUP(C565,#REF!,5,FALSE)=0,"",VLOOKUP(C565,#REF!,5,FALSE)),"")</f>
        <v/>
      </c>
      <c r="B565" s="692">
        <v>544</v>
      </c>
      <c r="C565" s="693" t="s">
        <v>11809</v>
      </c>
      <c r="D565" s="693" t="s">
        <v>13667</v>
      </c>
      <c r="E565" s="694" t="s">
        <v>129</v>
      </c>
      <c r="F565" s="695">
        <f>VLOOKUP(C565,[2]List1!$A:$D,2,FALSE)</f>
        <v>168</v>
      </c>
      <c r="G565" s="696">
        <f t="shared" si="101"/>
        <v>168</v>
      </c>
      <c r="H565" s="697">
        <f t="shared" si="102"/>
        <v>6.8</v>
      </c>
      <c r="I565" s="837">
        <v>1</v>
      </c>
      <c r="J565" s="698"/>
      <c r="K565" s="856"/>
      <c r="L565" s="857"/>
      <c r="M565" s="698"/>
      <c r="N565" s="869" t="str">
        <f>IFERROR(VLOOKUP(C565,[3]List1!$A:$D,4,FALSE),"N/A!")</f>
        <v/>
      </c>
      <c r="O565" s="837" t="str">
        <f>IFERROR(VLOOKUP(C565,[3]List1!$A:$D,3,FALSE),"N/A!")</f>
        <v/>
      </c>
      <c r="P565" s="837">
        <f>IFERROR(VLOOKUP(C565,[3]List1!$A:$D,2,FALSE),"N/A!")</f>
        <v>1500</v>
      </c>
      <c r="Q565" s="698"/>
      <c r="R565" s="698"/>
      <c r="S565" s="698"/>
      <c r="T565" s="695"/>
      <c r="U565" s="874"/>
      <c r="V565" s="699"/>
      <c r="W565" s="700" t="str">
        <f>IFERROR(VLOOKUP($C565,Popisy!A:P,MATCH($W$17,Popisy!$A$7:$P$7,0),FALSE),"---------------")</f>
        <v>Karton mit Produktdesign</v>
      </c>
      <c r="X565" s="891" t="str">
        <f t="shared" si="103"/>
        <v/>
      </c>
      <c r="Y565" s="892"/>
      <c r="Z565" s="700" t="str">
        <f>IFERROR(IF(VLOOKUP(C565,[4]List1!$A:$D,4,FALSE)=0,"",VLOOKUP(C565,[4]List1!$A:$D,4,FALSE)),"")</f>
        <v/>
      </c>
      <c r="AA565" s="707"/>
      <c r="AB565" s="912" t="str">
        <f>IFERROR(IF(VLOOKUP(C565,[1]List1!$A:$D,2,FALSE)="VYPRODÁNO",$V$9,IF(VLOOKUP(C565,[1]List1!$A:$D,2,FALSE)="DOCHÁZÍ",$V$3,VLOOKUP(C565,[1]List1!$A:$D,2,FALSE))),"OFFLINE!")</f>
        <v>SKLADEM</v>
      </c>
      <c r="AC565" s="912" t="str">
        <f ca="1">IF(AO565="NE",$V$10,IF(AB565=$V$3,IF(AP565&lt;1,$V$8,$V$2&amp;" "&amp;AP565&amp;" "&amp;$V$1),IF(AB565="SKLADEM",$V$6,IFERROR(IF(OR(AB565-TODAY()&gt;21,VLOOKUP(C565,[1]List1!$A:$E,4,FALSE)=0),AB565,DAY(AB565)&amp;"."&amp;MONTH(AB565)&amp;"."&amp;YEAR(AB565)&amp;" "&amp;$V$4&amp;VLOOKUP(C565,[1]List1!$A:$E,4,FALSE)&amp;" "&amp;$V$1),AB565))))</f>
        <v>AUF LAGER</v>
      </c>
      <c r="AD565" s="701" t="str">
        <f ca="1">_xlfn.IFNA(VLOOKUP(C565,'General price list'!C:AM,MATCH($AD$20,'General price list'!$C$20:$AM$20,0),FALSE),"")</f>
        <v>AUF LAGER</v>
      </c>
      <c r="AE565" s="695">
        <f t="shared" ca="1" si="104"/>
        <v>0</v>
      </c>
      <c r="AF565" s="695">
        <f t="shared" ca="1" si="105"/>
        <v>0</v>
      </c>
      <c r="AG565" s="702">
        <f t="shared" ca="1" si="106"/>
        <v>0</v>
      </c>
      <c r="AH565" s="703">
        <f t="shared" ca="1" si="107"/>
        <v>0</v>
      </c>
      <c r="AI565" s="702" t="str">
        <f t="shared" ca="1" si="108"/>
        <v/>
      </c>
      <c r="AJ565" s="704" t="str">
        <f t="shared" ca="1" si="109"/>
        <v/>
      </c>
      <c r="AK565" s="704" t="str">
        <f t="shared" ca="1" si="110"/>
        <v/>
      </c>
      <c r="AL565" s="704" t="str">
        <f t="shared" ca="1" si="111"/>
        <v/>
      </c>
      <c r="AM565" s="705" t="str">
        <f t="shared" ca="1" si="112"/>
        <v/>
      </c>
      <c r="AN565" s="313"/>
      <c r="AO565" s="314" t="str">
        <f>IF($R$3=1,IF(Y565=AA565,"","NE"),IF(#REF!=$V$10,"NE",""))</f>
        <v/>
      </c>
      <c r="AP565" s="315" t="str">
        <f>IF(AB565=$V$3,IF(VLOOKUP(C565,[1]List1!$A:$E,5,FALSE)=0,1,VLOOKUP(C565,[1]List1!$A:$E,5,FALSE)),"")</f>
        <v/>
      </c>
      <c r="AW565" s="458">
        <f>IFERROR(FIND(VLOOKUP('General price list'!$AB$7,'General price list'!$AC$1:$AD$12,2,FALSE),Q565,1),0)</f>
        <v>0</v>
      </c>
      <c r="AX565" s="458">
        <f>IFERROR(FIND(VLOOKUP('General price list'!$AB$7,'General price list'!$AC$1:$AD$12,2,FALSE),R565,1),0)</f>
        <v>0</v>
      </c>
    </row>
    <row r="566" spans="1:50" ht="15" customHeight="1">
      <c r="A566" s="677" t="str">
        <f>IFERROR(IF(VLOOKUP(C566,#REF!,5,FALSE)=0,"",VLOOKUP(C566,#REF!,5,FALSE)),"")</f>
        <v/>
      </c>
      <c r="B566" s="678">
        <v>545</v>
      </c>
      <c r="C566" s="679" t="s">
        <v>12101</v>
      </c>
      <c r="D566" s="679" t="s">
        <v>13668</v>
      </c>
      <c r="E566" s="680" t="s">
        <v>129</v>
      </c>
      <c r="F566" s="681">
        <f>VLOOKUP(C566,[2]List1!$A:$D,2,FALSE)</f>
        <v>153</v>
      </c>
      <c r="G566" s="682">
        <f t="shared" si="101"/>
        <v>153</v>
      </c>
      <c r="H566" s="683">
        <f t="shared" si="102"/>
        <v>6.2</v>
      </c>
      <c r="I566" s="836">
        <v>1</v>
      </c>
      <c r="J566" s="680"/>
      <c r="K566" s="854"/>
      <c r="L566" s="855"/>
      <c r="M566" s="680"/>
      <c r="N566" s="868" t="str">
        <f>IFERROR(VLOOKUP(C566,[3]List1!$A:$D,4,FALSE),"N/A!")</f>
        <v/>
      </c>
      <c r="O566" s="836" t="str">
        <f>IFERROR(VLOOKUP(C566,[3]List1!$A:$D,3,FALSE),"N/A!")</f>
        <v/>
      </c>
      <c r="P566" s="836">
        <f>IFERROR(VLOOKUP(C566,[3]List1!$A:$D,2,FALSE),"N/A!")</f>
        <v>1500</v>
      </c>
      <c r="Q566" s="680"/>
      <c r="R566" s="680"/>
      <c r="S566" s="680"/>
      <c r="T566" s="681"/>
      <c r="U566" s="873"/>
      <c r="V566" s="684"/>
      <c r="W566" s="685" t="str">
        <f>IFERROR(VLOOKUP($C566,Popisy!A:P,MATCH($W$17,Popisy!$A$7:$P$7,0),FALSE),"---------------")</f>
        <v>Karton mit Produktdesign</v>
      </c>
      <c r="X566" s="889" t="str">
        <f t="shared" si="103"/>
        <v/>
      </c>
      <c r="Y566" s="890"/>
      <c r="Z566" s="685" t="str">
        <f>IFERROR(IF(VLOOKUP(C566,[4]List1!$A:$D,4,FALSE)=0,"",VLOOKUP(C566,[4]List1!$A:$D,4,FALSE)),"")</f>
        <v/>
      </c>
      <c r="AA566" s="707"/>
      <c r="AB566" s="911" t="str">
        <f>IFERROR(IF(VLOOKUP(C566,[1]List1!$A:$D,2,FALSE)="VYPRODÁNO",$V$9,IF(VLOOKUP(C566,[1]List1!$A:$D,2,FALSE)="DOCHÁZÍ",$V$3,VLOOKUP(C566,[1]List1!$A:$D,2,FALSE))),"OFFLINE!")</f>
        <v>SKLADEM</v>
      </c>
      <c r="AC566" s="911" t="str">
        <f ca="1">IF(AO566="NE",$V$10,IF(AB566=$V$3,IF(AP566&lt;1,$V$8,$V$2&amp;" "&amp;AP566&amp;" "&amp;$V$1),IF(AB566="SKLADEM",$V$6,IFERROR(IF(OR(AB566-TODAY()&gt;21,VLOOKUP(C566,[1]List1!$A:$E,4,FALSE)=0),AB566,DAY(AB566)&amp;"."&amp;MONTH(AB566)&amp;"."&amp;YEAR(AB566)&amp;" "&amp;$V$4&amp;VLOOKUP(C566,[1]List1!$A:$E,4,FALSE)&amp;" "&amp;$V$1),AB566))))</f>
        <v>AUF LAGER</v>
      </c>
      <c r="AD566" s="686" t="str">
        <f ca="1">_xlfn.IFNA(VLOOKUP(C566,'General price list'!C:AM,MATCH($AD$20,'General price list'!$C$20:$AM$20,0),FALSE),"")</f>
        <v>AUF LAGER</v>
      </c>
      <c r="AE566" s="681">
        <f t="shared" ca="1" si="104"/>
        <v>0</v>
      </c>
      <c r="AF566" s="681">
        <f t="shared" ca="1" si="105"/>
        <v>0</v>
      </c>
      <c r="AG566" s="687">
        <f t="shared" ca="1" si="106"/>
        <v>0</v>
      </c>
      <c r="AH566" s="688">
        <f t="shared" ca="1" si="107"/>
        <v>0</v>
      </c>
      <c r="AI566" s="687" t="str">
        <f t="shared" ca="1" si="108"/>
        <v/>
      </c>
      <c r="AJ566" s="689" t="str">
        <f t="shared" ca="1" si="109"/>
        <v/>
      </c>
      <c r="AK566" s="689" t="str">
        <f t="shared" ca="1" si="110"/>
        <v/>
      </c>
      <c r="AL566" s="689" t="str">
        <f t="shared" ca="1" si="111"/>
        <v/>
      </c>
      <c r="AM566" s="690" t="str">
        <f t="shared" ca="1" si="112"/>
        <v/>
      </c>
      <c r="AN566" s="313"/>
      <c r="AO566" s="314" t="str">
        <f>IF($R$3=1,IF(Y566=AA566,"","NE"),IF(#REF!=$V$10,"NE",""))</f>
        <v/>
      </c>
      <c r="AP566" s="315" t="str">
        <f>IF(AB566=$V$3,IF(VLOOKUP(C566,[1]List1!$A:$E,5,FALSE)=0,1,VLOOKUP(C566,[1]List1!$A:$E,5,FALSE)),"")</f>
        <v/>
      </c>
      <c r="AW566" s="458">
        <f>IFERROR(FIND(VLOOKUP('General price list'!$AB$7,'General price list'!$AC$1:$AD$12,2,FALSE),Q566,1),0)</f>
        <v>0</v>
      </c>
      <c r="AX566" s="458">
        <f>IFERROR(FIND(VLOOKUP('General price list'!$AB$7,'General price list'!$AC$1:$AD$12,2,FALSE),R566,1),0)</f>
        <v>0</v>
      </c>
    </row>
    <row r="567" spans="1:50" ht="15" customHeight="1">
      <c r="A567" s="691" t="str">
        <f>IFERROR(IF(VLOOKUP(C567,#REF!,5,FALSE)=0,"",VLOOKUP(C567,#REF!,5,FALSE)),"")</f>
        <v/>
      </c>
      <c r="B567" s="692">
        <v>546</v>
      </c>
      <c r="C567" s="693" t="s">
        <v>11811</v>
      </c>
      <c r="D567" s="693" t="s">
        <v>13669</v>
      </c>
      <c r="E567" s="694" t="s">
        <v>129</v>
      </c>
      <c r="F567" s="695">
        <f>VLOOKUP(C567,[2]List1!$A:$D,2,FALSE)</f>
        <v>168</v>
      </c>
      <c r="G567" s="696">
        <f t="shared" si="101"/>
        <v>168</v>
      </c>
      <c r="H567" s="697">
        <f t="shared" si="102"/>
        <v>6.8</v>
      </c>
      <c r="I567" s="837">
        <v>1</v>
      </c>
      <c r="J567" s="698"/>
      <c r="K567" s="856"/>
      <c r="L567" s="857"/>
      <c r="M567" s="698"/>
      <c r="N567" s="869" t="str">
        <f>IFERROR(VLOOKUP(C567,[3]List1!$A:$D,4,FALSE),"N/A!")</f>
        <v/>
      </c>
      <c r="O567" s="837" t="str">
        <f>IFERROR(VLOOKUP(C567,[3]List1!$A:$D,3,FALSE),"N/A!")</f>
        <v/>
      </c>
      <c r="P567" s="837">
        <f>IFERROR(VLOOKUP(C567,[3]List1!$A:$D,2,FALSE),"N/A!")</f>
        <v>1500</v>
      </c>
      <c r="Q567" s="698"/>
      <c r="R567" s="698"/>
      <c r="S567" s="698"/>
      <c r="T567" s="695"/>
      <c r="U567" s="874"/>
      <c r="V567" s="699"/>
      <c r="W567" s="700" t="str">
        <f>IFERROR(VLOOKUP($C567,Popisy!A:P,MATCH($W$17,Popisy!$A$7:$P$7,0),FALSE),"---------------")</f>
        <v>Karton mit Produktdesign</v>
      </c>
      <c r="X567" s="891" t="str">
        <f t="shared" si="103"/>
        <v/>
      </c>
      <c r="Y567" s="892"/>
      <c r="Z567" s="700" t="str">
        <f>IFERROR(IF(VLOOKUP(C567,[4]List1!$A:$D,4,FALSE)=0,"",VLOOKUP(C567,[4]List1!$A:$D,4,FALSE)),"")</f>
        <v/>
      </c>
      <c r="AA567" s="707"/>
      <c r="AB567" s="912" t="str">
        <f>IFERROR(IF(VLOOKUP(C567,[1]List1!$A:$D,2,FALSE)="VYPRODÁNO",$V$9,IF(VLOOKUP(C567,[1]List1!$A:$D,2,FALSE)="DOCHÁZÍ",$V$3,VLOOKUP(C567,[1]List1!$A:$D,2,FALSE))),"OFFLINE!")</f>
        <v>SKLADEM</v>
      </c>
      <c r="AC567" s="912" t="str">
        <f ca="1">IF(AO567="NE",$V$10,IF(AB567=$V$3,IF(AP567&lt;1,$V$8,$V$2&amp;" "&amp;AP567&amp;" "&amp;$V$1),IF(AB567="SKLADEM",$V$6,IFERROR(IF(OR(AB567-TODAY()&gt;21,VLOOKUP(C567,[1]List1!$A:$E,4,FALSE)=0),AB567,DAY(AB567)&amp;"."&amp;MONTH(AB567)&amp;"."&amp;YEAR(AB567)&amp;" "&amp;$V$4&amp;VLOOKUP(C567,[1]List1!$A:$E,4,FALSE)&amp;" "&amp;$V$1),AB567))))</f>
        <v>AUF LAGER</v>
      </c>
      <c r="AD567" s="701" t="str">
        <f ca="1">_xlfn.IFNA(VLOOKUP(C567,'General price list'!C:AM,MATCH($AD$20,'General price list'!$C$20:$AM$20,0),FALSE),"")</f>
        <v>AUF LAGER</v>
      </c>
      <c r="AE567" s="695">
        <f t="shared" ca="1" si="104"/>
        <v>0</v>
      </c>
      <c r="AF567" s="695">
        <f t="shared" ca="1" si="105"/>
        <v>0</v>
      </c>
      <c r="AG567" s="702">
        <f t="shared" ca="1" si="106"/>
        <v>0</v>
      </c>
      <c r="AH567" s="703">
        <f t="shared" ca="1" si="107"/>
        <v>0</v>
      </c>
      <c r="AI567" s="702" t="str">
        <f t="shared" ca="1" si="108"/>
        <v/>
      </c>
      <c r="AJ567" s="704" t="str">
        <f t="shared" ca="1" si="109"/>
        <v/>
      </c>
      <c r="AK567" s="704" t="str">
        <f t="shared" ca="1" si="110"/>
        <v/>
      </c>
      <c r="AL567" s="704" t="str">
        <f t="shared" ca="1" si="111"/>
        <v/>
      </c>
      <c r="AM567" s="705" t="str">
        <f t="shared" ca="1" si="112"/>
        <v/>
      </c>
      <c r="AN567" s="381"/>
      <c r="AO567" s="314" t="str">
        <f>IF($R$3=1,IF(Y567=AA567,"","NE"),IF(#REF!=$V$10,"NE",""))</f>
        <v/>
      </c>
      <c r="AP567" s="315" t="str">
        <f>IF(AB567=$V$3,IF(VLOOKUP(C567,[1]List1!$A:$E,5,FALSE)=0,1,VLOOKUP(C567,[1]List1!$A:$E,5,FALSE)),"")</f>
        <v/>
      </c>
      <c r="AW567" s="458">
        <f>IFERROR(FIND(VLOOKUP('General price list'!$AB$7,'General price list'!$AC$1:$AD$12,2,FALSE),Q567,1),0)</f>
        <v>0</v>
      </c>
      <c r="AX567" s="458">
        <f>IFERROR(FIND(VLOOKUP('General price list'!$AB$7,'General price list'!$AC$1:$AD$12,2,FALSE),R567,1),0)</f>
        <v>0</v>
      </c>
    </row>
    <row r="568" spans="1:50" ht="15" customHeight="1">
      <c r="A568" s="677" t="str">
        <f>IFERROR(IF(VLOOKUP(C568,#REF!,5,FALSE)=0,"",VLOOKUP(C568,#REF!,5,FALSE)),"")</f>
        <v/>
      </c>
      <c r="B568" s="678">
        <v>547</v>
      </c>
      <c r="C568" s="679" t="s">
        <v>11814</v>
      </c>
      <c r="D568" s="679" t="s">
        <v>13670</v>
      </c>
      <c r="E568" s="680" t="s">
        <v>129</v>
      </c>
      <c r="F568" s="681">
        <f>VLOOKUP(C568,[2]List1!$A:$D,2,FALSE)</f>
        <v>391</v>
      </c>
      <c r="G568" s="682">
        <f t="shared" si="101"/>
        <v>391</v>
      </c>
      <c r="H568" s="683">
        <f t="shared" si="102"/>
        <v>15.9</v>
      </c>
      <c r="I568" s="836">
        <v>1</v>
      </c>
      <c r="J568" s="680"/>
      <c r="K568" s="854"/>
      <c r="L568" s="855"/>
      <c r="M568" s="680"/>
      <c r="N568" s="868" t="str">
        <f>IFERROR(VLOOKUP(C568,[3]List1!$A:$D,4,FALSE),"N/A!")</f>
        <v/>
      </c>
      <c r="O568" s="836" t="str">
        <f>IFERROR(VLOOKUP(C568,[3]List1!$A:$D,3,FALSE),"N/A!")</f>
        <v/>
      </c>
      <c r="P568" s="836">
        <f>IFERROR(VLOOKUP(C568,[3]List1!$A:$D,2,FALSE),"N/A!")</f>
        <v>1500</v>
      </c>
      <c r="Q568" s="680"/>
      <c r="R568" s="680"/>
      <c r="S568" s="680"/>
      <c r="T568" s="681"/>
      <c r="U568" s="873"/>
      <c r="V568" s="684"/>
      <c r="W568" s="685" t="str">
        <f>IFERROR(VLOOKUP($C568,Popisy!A:P,MATCH($W$17,Popisy!$A$7:$P$7,0),FALSE),"---------------")</f>
        <v>Karton mit Produktdesign</v>
      </c>
      <c r="X568" s="889" t="str">
        <f t="shared" si="103"/>
        <v/>
      </c>
      <c r="Y568" s="890"/>
      <c r="Z568" s="685" t="str">
        <f>IFERROR(IF(VLOOKUP(C568,[4]List1!$A:$D,4,FALSE)=0,"",VLOOKUP(C568,[4]List1!$A:$D,4,FALSE)),"")</f>
        <v/>
      </c>
      <c r="AA568" s="707"/>
      <c r="AB568" s="911" t="str">
        <f>IFERROR(IF(VLOOKUP(C568,[1]List1!$A:$D,2,FALSE)="VYPRODÁNO",$V$9,IF(VLOOKUP(C568,[1]List1!$A:$D,2,FALSE)="DOCHÁZÍ",$V$3,VLOOKUP(C568,[1]List1!$A:$D,2,FALSE))),"OFFLINE!")</f>
        <v>SKLADEM</v>
      </c>
      <c r="AC568" s="911" t="str">
        <f ca="1">IF(AO568="NE",$V$10,IF(AB568=$V$3,IF(AP568&lt;1,$V$8,$V$2&amp;" "&amp;AP568&amp;" "&amp;$V$1),IF(AB568="SKLADEM",$V$6,IFERROR(IF(OR(AB568-TODAY()&gt;21,VLOOKUP(C568,[1]List1!$A:$E,4,FALSE)=0),AB568,DAY(AB568)&amp;"."&amp;MONTH(AB568)&amp;"."&amp;YEAR(AB568)&amp;" "&amp;$V$4&amp;VLOOKUP(C568,[1]List1!$A:$E,4,FALSE)&amp;" "&amp;$V$1),AB568))))</f>
        <v>AUF LAGER</v>
      </c>
      <c r="AD568" s="686" t="str">
        <f ca="1">_xlfn.IFNA(VLOOKUP(C568,'General price list'!C:AM,MATCH($AD$20,'General price list'!$C$20:$AM$20,0),FALSE),"")</f>
        <v>AUF LAGER</v>
      </c>
      <c r="AE568" s="681">
        <f t="shared" ca="1" si="104"/>
        <v>0</v>
      </c>
      <c r="AF568" s="681">
        <f t="shared" ca="1" si="105"/>
        <v>0</v>
      </c>
      <c r="AG568" s="687">
        <f t="shared" ca="1" si="106"/>
        <v>0</v>
      </c>
      <c r="AH568" s="688">
        <f t="shared" ca="1" si="107"/>
        <v>0</v>
      </c>
      <c r="AI568" s="687" t="str">
        <f t="shared" ca="1" si="108"/>
        <v/>
      </c>
      <c r="AJ568" s="689" t="str">
        <f t="shared" ca="1" si="109"/>
        <v/>
      </c>
      <c r="AK568" s="689" t="str">
        <f t="shared" ca="1" si="110"/>
        <v/>
      </c>
      <c r="AL568" s="689" t="str">
        <f t="shared" ca="1" si="111"/>
        <v/>
      </c>
      <c r="AM568" s="690" t="str">
        <f t="shared" ca="1" si="112"/>
        <v/>
      </c>
      <c r="AN568" s="313"/>
      <c r="AO568" s="314" t="str">
        <f>IF($R$3=1,IF(Y568=AA568,"","NE"),IF(#REF!=$V$10,"NE",""))</f>
        <v/>
      </c>
      <c r="AP568" s="315" t="str">
        <f>IF(AB568=$V$3,IF(VLOOKUP(C568,[1]List1!$A:$E,5,FALSE)=0,1,VLOOKUP(C568,[1]List1!$A:$E,5,FALSE)),"")</f>
        <v/>
      </c>
      <c r="AW568" s="458">
        <f>IFERROR(FIND(VLOOKUP('General price list'!$AB$7,'General price list'!$AC$1:$AD$12,2,FALSE),Q568,1),0)</f>
        <v>0</v>
      </c>
      <c r="AX568" s="458">
        <f>IFERROR(FIND(VLOOKUP('General price list'!$AB$7,'General price list'!$AC$1:$AD$12,2,FALSE),R568,1),0)</f>
        <v>0</v>
      </c>
    </row>
    <row r="569" spans="1:50" ht="15" customHeight="1">
      <c r="A569" s="691" t="str">
        <f>IFERROR(IF(VLOOKUP(C569,#REF!,5,FALSE)=0,"",VLOOKUP(C569,#REF!,5,FALSE)),"")</f>
        <v/>
      </c>
      <c r="B569" s="692">
        <v>548</v>
      </c>
      <c r="C569" s="693" t="s">
        <v>11815</v>
      </c>
      <c r="D569" s="693" t="s">
        <v>13671</v>
      </c>
      <c r="E569" s="694" t="s">
        <v>129</v>
      </c>
      <c r="F569" s="695">
        <f>VLOOKUP(C569,[2]List1!$A:$D,2,FALSE)</f>
        <v>311</v>
      </c>
      <c r="G569" s="696">
        <f t="shared" si="101"/>
        <v>311</v>
      </c>
      <c r="H569" s="697">
        <f t="shared" si="102"/>
        <v>12.7</v>
      </c>
      <c r="I569" s="837">
        <v>1</v>
      </c>
      <c r="J569" s="698"/>
      <c r="K569" s="856"/>
      <c r="L569" s="857"/>
      <c r="M569" s="698"/>
      <c r="N569" s="869" t="str">
        <f>IFERROR(VLOOKUP(C569,[3]List1!$A:$D,4,FALSE),"N/A!")</f>
        <v/>
      </c>
      <c r="O569" s="837" t="str">
        <f>IFERROR(VLOOKUP(C569,[3]List1!$A:$D,3,FALSE),"N/A!")</f>
        <v/>
      </c>
      <c r="P569" s="837">
        <f>IFERROR(VLOOKUP(C569,[3]List1!$A:$D,2,FALSE),"N/A!")</f>
        <v>1500</v>
      </c>
      <c r="Q569" s="698"/>
      <c r="R569" s="698"/>
      <c r="S569" s="698"/>
      <c r="T569" s="695"/>
      <c r="U569" s="874"/>
      <c r="V569" s="699"/>
      <c r="W569" s="700" t="str">
        <f>IFERROR(VLOOKUP($C569,Popisy!A:P,MATCH($W$17,Popisy!$A$7:$P$7,0),FALSE),"---------------")</f>
        <v>Karton mit Produktdesign</v>
      </c>
      <c r="X569" s="891" t="str">
        <f t="shared" si="103"/>
        <v/>
      </c>
      <c r="Y569" s="892"/>
      <c r="Z569" s="700" t="str">
        <f>IFERROR(IF(VLOOKUP(C569,[4]List1!$A:$D,4,FALSE)=0,"",VLOOKUP(C569,[4]List1!$A:$D,4,FALSE)),"")</f>
        <v/>
      </c>
      <c r="AA569" s="707"/>
      <c r="AB569" s="912" t="str">
        <f>IFERROR(IF(VLOOKUP(C569,[1]List1!$A:$D,2,FALSE)="VYPRODÁNO",$V$9,IF(VLOOKUP(C569,[1]List1!$A:$D,2,FALSE)="DOCHÁZÍ",$V$3,VLOOKUP(C569,[1]List1!$A:$D,2,FALSE))),"OFFLINE!")</f>
        <v>SKLADEM</v>
      </c>
      <c r="AC569" s="912" t="str">
        <f ca="1">IF(AO569="NE",$V$10,IF(AB569=$V$3,IF(AP569&lt;1,$V$8,$V$2&amp;" "&amp;AP569&amp;" "&amp;$V$1),IF(AB569="SKLADEM",$V$6,IFERROR(IF(OR(AB569-TODAY()&gt;21,VLOOKUP(C569,[1]List1!$A:$E,4,FALSE)=0),AB569,DAY(AB569)&amp;"."&amp;MONTH(AB569)&amp;"."&amp;YEAR(AB569)&amp;" "&amp;$V$4&amp;VLOOKUP(C569,[1]List1!$A:$E,4,FALSE)&amp;" "&amp;$V$1),AB569))))</f>
        <v>AUF LAGER</v>
      </c>
      <c r="AD569" s="701">
        <f>_xlfn.IFNA(VLOOKUP(C569,'General price list'!C:AM,MATCH($AD$20,'General price list'!$C$20:$AM$20,0),FALSE),"")</f>
        <v>0</v>
      </c>
      <c r="AE569" s="695">
        <f t="shared" si="104"/>
        <v>0</v>
      </c>
      <c r="AF569" s="695">
        <f t="shared" si="105"/>
        <v>0</v>
      </c>
      <c r="AG569" s="702">
        <f t="shared" si="106"/>
        <v>0</v>
      </c>
      <c r="AH569" s="703">
        <f t="shared" si="107"/>
        <v>0</v>
      </c>
      <c r="AI569" s="702" t="str">
        <f t="shared" si="108"/>
        <v/>
      </c>
      <c r="AJ569" s="704" t="str">
        <f t="shared" si="109"/>
        <v/>
      </c>
      <c r="AK569" s="704" t="str">
        <f t="shared" si="110"/>
        <v/>
      </c>
      <c r="AL569" s="704" t="str">
        <f t="shared" si="111"/>
        <v/>
      </c>
      <c r="AM569" s="705" t="str">
        <f t="shared" si="112"/>
        <v/>
      </c>
      <c r="AN569" s="313"/>
      <c r="AO569" s="314" t="str">
        <f>IF($R$3=1,IF(Y569=AA569,"","NE"),IF(#REF!=$V$10,"NE",""))</f>
        <v/>
      </c>
      <c r="AP569" s="315" t="str">
        <f>IF(AB569=$V$3,IF(VLOOKUP(C569,[1]List1!$A:$E,5,FALSE)=0,1,VLOOKUP(C569,[1]List1!$A:$E,5,FALSE)),"")</f>
        <v/>
      </c>
      <c r="AW569" s="458">
        <f>IFERROR(FIND(VLOOKUP('General price list'!$AB$7,'General price list'!$AC$1:$AD$12,2,FALSE),Q569,1),0)</f>
        <v>0</v>
      </c>
      <c r="AX569" s="458">
        <f>IFERROR(FIND(VLOOKUP('General price list'!$AB$7,'General price list'!$AC$1:$AD$12,2,FALSE),R569,1),0)</f>
        <v>0</v>
      </c>
    </row>
    <row r="570" spans="1:50" ht="15" customHeight="1">
      <c r="A570" s="677" t="str">
        <f>IFERROR(IF(VLOOKUP(C570,#REF!,5,FALSE)=0,"",VLOOKUP(C570,#REF!,5,FALSE)),"")</f>
        <v/>
      </c>
      <c r="B570" s="678">
        <v>549</v>
      </c>
      <c r="C570" s="679" t="s">
        <v>12103</v>
      </c>
      <c r="D570" s="679" t="s">
        <v>13672</v>
      </c>
      <c r="E570" s="680" t="s">
        <v>129</v>
      </c>
      <c r="F570" s="681">
        <f>VLOOKUP(C570,[2]List1!$A:$D,2,FALSE)</f>
        <v>277</v>
      </c>
      <c r="G570" s="682">
        <f t="shared" si="101"/>
        <v>277</v>
      </c>
      <c r="H570" s="683">
        <f t="shared" si="102"/>
        <v>11.3</v>
      </c>
      <c r="I570" s="836">
        <v>1</v>
      </c>
      <c r="J570" s="680"/>
      <c r="K570" s="854"/>
      <c r="L570" s="855"/>
      <c r="M570" s="680"/>
      <c r="N570" s="868" t="str">
        <f>IFERROR(VLOOKUP(C570,[3]List1!$A:$D,4,FALSE),"N/A!")</f>
        <v/>
      </c>
      <c r="O570" s="836" t="str">
        <f>IFERROR(VLOOKUP(C570,[3]List1!$A:$D,3,FALSE),"N/A!")</f>
        <v/>
      </c>
      <c r="P570" s="836">
        <f>IFERROR(VLOOKUP(C570,[3]List1!$A:$D,2,FALSE),"N/A!")</f>
        <v>1500</v>
      </c>
      <c r="Q570" s="680"/>
      <c r="R570" s="680"/>
      <c r="S570" s="680"/>
      <c r="T570" s="681"/>
      <c r="U570" s="873"/>
      <c r="V570" s="684"/>
      <c r="W570" s="685" t="str">
        <f>IFERROR(VLOOKUP($C570,Popisy!A:P,MATCH($W$17,Popisy!$A$7:$P$7,0),FALSE),"---------------")</f>
        <v>Karton mit Produktdesign</v>
      </c>
      <c r="X570" s="889" t="str">
        <f t="shared" si="103"/>
        <v/>
      </c>
      <c r="Y570" s="890"/>
      <c r="Z570" s="685" t="str">
        <f>IFERROR(IF(VLOOKUP(C570,[4]List1!$A:$D,4,FALSE)=0,"",VLOOKUP(C570,[4]List1!$A:$D,4,FALSE)),"")</f>
        <v/>
      </c>
      <c r="AA570" s="707"/>
      <c r="AB570" s="911" t="str">
        <f>IFERROR(IF(VLOOKUP(C570,[1]List1!$A:$D,2,FALSE)="VYPRODÁNO",$V$9,IF(VLOOKUP(C570,[1]List1!$A:$D,2,FALSE)="DOCHÁZÍ",$V$3,VLOOKUP(C570,[1]List1!$A:$D,2,FALSE))),"OFFLINE!")</f>
        <v>SKLADEM</v>
      </c>
      <c r="AC570" s="911" t="str">
        <f ca="1">IF(AO570="NE",$V$10,IF(AB570=$V$3,IF(AP570&lt;1,$V$8,$V$2&amp;" "&amp;AP570&amp;" "&amp;$V$1),IF(AB570="SKLADEM",$V$6,IFERROR(IF(OR(AB570-TODAY()&gt;21,VLOOKUP(C570,[1]List1!$A:$E,4,FALSE)=0),AB570,DAY(AB570)&amp;"."&amp;MONTH(AB570)&amp;"."&amp;YEAR(AB570)&amp;" "&amp;$V$4&amp;VLOOKUP(C570,[1]List1!$A:$E,4,FALSE)&amp;" "&amp;$V$1),AB570))))</f>
        <v>AUF LAGER</v>
      </c>
      <c r="AD570" s="686" t="str">
        <f ca="1">_xlfn.IFNA(VLOOKUP(C570,'General price list'!C:AM,MATCH($AD$20,'General price list'!$C$20:$AM$20,0),FALSE),"")</f>
        <v>AUF LAGER</v>
      </c>
      <c r="AE570" s="681">
        <f t="shared" ca="1" si="104"/>
        <v>0</v>
      </c>
      <c r="AF570" s="681">
        <f t="shared" ca="1" si="105"/>
        <v>0</v>
      </c>
      <c r="AG570" s="687">
        <f t="shared" ca="1" si="106"/>
        <v>0</v>
      </c>
      <c r="AH570" s="688">
        <f t="shared" ca="1" si="107"/>
        <v>0</v>
      </c>
      <c r="AI570" s="687" t="str">
        <f t="shared" ca="1" si="108"/>
        <v/>
      </c>
      <c r="AJ570" s="689" t="str">
        <f t="shared" ca="1" si="109"/>
        <v/>
      </c>
      <c r="AK570" s="689" t="str">
        <f t="shared" ca="1" si="110"/>
        <v/>
      </c>
      <c r="AL570" s="689" t="str">
        <f t="shared" ca="1" si="111"/>
        <v/>
      </c>
      <c r="AM570" s="690" t="str">
        <f t="shared" ca="1" si="112"/>
        <v/>
      </c>
      <c r="AN570" s="381"/>
      <c r="AO570" s="314" t="str">
        <f>IF($R$3=1,IF(Y570=AA570,"","NE"),IF(#REF!=$V$10,"NE",""))</f>
        <v/>
      </c>
      <c r="AP570" s="315" t="str">
        <f>IF(AB570=$V$3,IF(VLOOKUP(C570,[1]List1!$A:$E,5,FALSE)=0,1,VLOOKUP(C570,[1]List1!$A:$E,5,FALSE)),"")</f>
        <v/>
      </c>
      <c r="AW570" s="458">
        <f>IFERROR(FIND(VLOOKUP('General price list'!$AB$7,'General price list'!$AC$1:$AD$12,2,FALSE),Q570,1),0)</f>
        <v>0</v>
      </c>
      <c r="AX570" s="458">
        <f>IFERROR(FIND(VLOOKUP('General price list'!$AB$7,'General price list'!$AC$1:$AD$12,2,FALSE),R570,1),0)</f>
        <v>0</v>
      </c>
    </row>
    <row r="571" spans="1:50" ht="15" customHeight="1">
      <c r="A571" s="691" t="str">
        <f>IFERROR(IF(VLOOKUP(C571,#REF!,5,FALSE)=0,"",VLOOKUP(C571,#REF!,5,FALSE)),"")</f>
        <v/>
      </c>
      <c r="B571" s="692">
        <v>550</v>
      </c>
      <c r="C571" s="693" t="s">
        <v>11817</v>
      </c>
      <c r="D571" s="693" t="s">
        <v>13672</v>
      </c>
      <c r="E571" s="694" t="s">
        <v>129</v>
      </c>
      <c r="F571" s="695">
        <f>VLOOKUP(C571,[2]List1!$A:$D,2,FALSE)</f>
        <v>277</v>
      </c>
      <c r="G571" s="696">
        <f t="shared" si="101"/>
        <v>277</v>
      </c>
      <c r="H571" s="697">
        <f t="shared" si="102"/>
        <v>11.3</v>
      </c>
      <c r="I571" s="837">
        <v>1</v>
      </c>
      <c r="J571" s="698"/>
      <c r="K571" s="856"/>
      <c r="L571" s="857"/>
      <c r="M571" s="698"/>
      <c r="N571" s="869" t="str">
        <f>IFERROR(VLOOKUP(C571,[3]List1!$A:$D,4,FALSE),"N/A!")</f>
        <v/>
      </c>
      <c r="O571" s="837" t="str">
        <f>IFERROR(VLOOKUP(C571,[3]List1!$A:$D,3,FALSE),"N/A!")</f>
        <v/>
      </c>
      <c r="P571" s="837">
        <f>IFERROR(VLOOKUP(C571,[3]List1!$A:$D,2,FALSE),"N/A!")</f>
        <v>1500</v>
      </c>
      <c r="Q571" s="698"/>
      <c r="R571" s="698"/>
      <c r="S571" s="698"/>
      <c r="T571" s="695"/>
      <c r="U571" s="874"/>
      <c r="V571" s="699"/>
      <c r="W571" s="700" t="str">
        <f>IFERROR(VLOOKUP($C571,Popisy!A:P,MATCH($W$17,Popisy!$A$7:$P$7,0),FALSE),"---------------")</f>
        <v>Karton mit Produktdesign</v>
      </c>
      <c r="X571" s="891" t="str">
        <f t="shared" si="103"/>
        <v/>
      </c>
      <c r="Y571" s="892"/>
      <c r="Z571" s="700" t="str">
        <f>IFERROR(IF(VLOOKUP(C571,[4]List1!$A:$D,4,FALSE)=0,"",VLOOKUP(C571,[4]List1!$A:$D,4,FALSE)),"")</f>
        <v/>
      </c>
      <c r="AA571" s="707"/>
      <c r="AB571" s="912" t="str">
        <f>IFERROR(IF(VLOOKUP(C571,[1]List1!$A:$D,2,FALSE)="VYPRODÁNO",$V$9,IF(VLOOKUP(C571,[1]List1!$A:$D,2,FALSE)="DOCHÁZÍ",$V$3,VLOOKUP(C571,[1]List1!$A:$D,2,FALSE))),"OFFLINE!")</f>
        <v>SKLADEM</v>
      </c>
      <c r="AC571" s="912" t="str">
        <f ca="1">IF(AO571="NE",$V$10,IF(AB571=$V$3,IF(AP571&lt;1,$V$8,$V$2&amp;" "&amp;AP571&amp;" "&amp;$V$1),IF(AB571="SKLADEM",$V$6,IFERROR(IF(OR(AB571-TODAY()&gt;21,VLOOKUP(C571,[1]List1!$A:$E,4,FALSE)=0),AB571,DAY(AB571)&amp;"."&amp;MONTH(AB571)&amp;"."&amp;YEAR(AB571)&amp;" "&amp;$V$4&amp;VLOOKUP(C571,[1]List1!$A:$E,4,FALSE)&amp;" "&amp;$V$1),AB571))))</f>
        <v>AUF LAGER</v>
      </c>
      <c r="AD571" s="701" t="str">
        <f ca="1">_xlfn.IFNA(VLOOKUP(C571,'General price list'!C:AM,MATCH($AD$20,'General price list'!$C$20:$AM$20,0),FALSE),"")</f>
        <v>AUF LAGER</v>
      </c>
      <c r="AE571" s="695">
        <f t="shared" ca="1" si="104"/>
        <v>0</v>
      </c>
      <c r="AF571" s="695">
        <f t="shared" ca="1" si="105"/>
        <v>0</v>
      </c>
      <c r="AG571" s="702">
        <f t="shared" ca="1" si="106"/>
        <v>0</v>
      </c>
      <c r="AH571" s="703">
        <f t="shared" ca="1" si="107"/>
        <v>0</v>
      </c>
      <c r="AI571" s="702" t="str">
        <f t="shared" ca="1" si="108"/>
        <v/>
      </c>
      <c r="AJ571" s="704" t="str">
        <f t="shared" ca="1" si="109"/>
        <v/>
      </c>
      <c r="AK571" s="704" t="str">
        <f t="shared" ca="1" si="110"/>
        <v/>
      </c>
      <c r="AL571" s="704" t="str">
        <f t="shared" ca="1" si="111"/>
        <v/>
      </c>
      <c r="AM571" s="705" t="str">
        <f t="shared" ca="1" si="112"/>
        <v/>
      </c>
      <c r="AN571" s="382"/>
      <c r="AO571" s="314" t="str">
        <f>IF($R$3=1,IF(Y571=AA571,"","NE"),IF(#REF!=$V$10,"NE",""))</f>
        <v/>
      </c>
      <c r="AP571" s="315" t="str">
        <f>IF(AB571=$V$3,IF(VLOOKUP(C571,[1]List1!$A:$E,5,FALSE)=0,1,VLOOKUP(C571,[1]List1!$A:$E,5,FALSE)),"")</f>
        <v/>
      </c>
      <c r="AW571" s="458">
        <f>IFERROR(FIND(VLOOKUP('General price list'!$AB$7,'General price list'!$AC$1:$AD$12,2,FALSE),Q571,1),0)</f>
        <v>0</v>
      </c>
      <c r="AX571" s="458">
        <f>IFERROR(FIND(VLOOKUP('General price list'!$AB$7,'General price list'!$AC$1:$AD$12,2,FALSE),R571,1),0)</f>
        <v>0</v>
      </c>
    </row>
    <row r="572" spans="1:50" ht="15" customHeight="1">
      <c r="A572" s="677" t="str">
        <f>IFERROR(IF(VLOOKUP(C572,#REF!,5,FALSE)=0,"",VLOOKUP(C572,#REF!,5,FALSE)),"")</f>
        <v/>
      </c>
      <c r="B572" s="678">
        <v>551</v>
      </c>
      <c r="C572" s="679" t="s">
        <v>11818</v>
      </c>
      <c r="D572" s="679" t="s">
        <v>13673</v>
      </c>
      <c r="E572" s="680" t="s">
        <v>129</v>
      </c>
      <c r="F572" s="681">
        <f>VLOOKUP(C572,[2]List1!$A:$D,2,FALSE)</f>
        <v>292</v>
      </c>
      <c r="G572" s="682">
        <f t="shared" si="101"/>
        <v>292</v>
      </c>
      <c r="H572" s="683">
        <f t="shared" si="102"/>
        <v>11.9</v>
      </c>
      <c r="I572" s="836">
        <v>1</v>
      </c>
      <c r="J572" s="680"/>
      <c r="K572" s="854"/>
      <c r="L572" s="855"/>
      <c r="M572" s="680"/>
      <c r="N572" s="868" t="str">
        <f>IFERROR(VLOOKUP(C572,[3]List1!$A:$D,4,FALSE),"N/A!")</f>
        <v/>
      </c>
      <c r="O572" s="836" t="str">
        <f>IFERROR(VLOOKUP(C572,[3]List1!$A:$D,3,FALSE),"N/A!")</f>
        <v/>
      </c>
      <c r="P572" s="836">
        <f>IFERROR(VLOOKUP(C572,[3]List1!$A:$D,2,FALSE),"N/A!")</f>
        <v>1500</v>
      </c>
      <c r="Q572" s="680"/>
      <c r="R572" s="680"/>
      <c r="S572" s="680"/>
      <c r="T572" s="681"/>
      <c r="U572" s="873"/>
      <c r="V572" s="684"/>
      <c r="W572" s="685" t="str">
        <f>IFERROR(VLOOKUP($C572,Popisy!A:P,MATCH($W$17,Popisy!$A$7:$P$7,0),FALSE),"---------------")</f>
        <v>Karton mit Produktdesign</v>
      </c>
      <c r="X572" s="889" t="str">
        <f t="shared" si="103"/>
        <v/>
      </c>
      <c r="Y572" s="890"/>
      <c r="Z572" s="685" t="str">
        <f>IFERROR(IF(VLOOKUP(C572,[4]List1!$A:$D,4,FALSE)=0,"",VLOOKUP(C572,[4]List1!$A:$D,4,FALSE)),"")</f>
        <v/>
      </c>
      <c r="AA572" s="707"/>
      <c r="AB572" s="911" t="str">
        <f>IFERROR(IF(VLOOKUP(C572,[1]List1!$A:$D,2,FALSE)="VYPRODÁNO",$V$9,IF(VLOOKUP(C572,[1]List1!$A:$D,2,FALSE)="DOCHÁZÍ",$V$3,VLOOKUP(C572,[1]List1!$A:$D,2,FALSE))),"OFFLINE!")</f>
        <v>SKLADEM</v>
      </c>
      <c r="AC572" s="911" t="str">
        <f ca="1">IF(AO572="NE",$V$10,IF(AB572=$V$3,IF(AP572&lt;1,$V$8,$V$2&amp;" "&amp;AP572&amp;" "&amp;$V$1),IF(AB572="SKLADEM",$V$6,IFERROR(IF(OR(AB572-TODAY()&gt;21,VLOOKUP(C572,[1]List1!$A:$E,4,FALSE)=0),AB572,DAY(AB572)&amp;"."&amp;MONTH(AB572)&amp;"."&amp;YEAR(AB572)&amp;" "&amp;$V$4&amp;VLOOKUP(C572,[1]List1!$A:$E,4,FALSE)&amp;" "&amp;$V$1),AB572))))</f>
        <v>AUF LAGER</v>
      </c>
      <c r="AD572" s="686" t="str">
        <f ca="1">_xlfn.IFNA(VLOOKUP(C572,'General price list'!C:AM,MATCH($AD$20,'General price list'!$C$20:$AM$20,0),FALSE),"")</f>
        <v>AUF LAGER</v>
      </c>
      <c r="AE572" s="681">
        <f t="shared" ca="1" si="104"/>
        <v>0</v>
      </c>
      <c r="AF572" s="681">
        <f t="shared" ca="1" si="105"/>
        <v>0</v>
      </c>
      <c r="AG572" s="687">
        <f t="shared" ca="1" si="106"/>
        <v>0</v>
      </c>
      <c r="AH572" s="688">
        <f t="shared" ca="1" si="107"/>
        <v>0</v>
      </c>
      <c r="AI572" s="687" t="str">
        <f t="shared" ca="1" si="108"/>
        <v/>
      </c>
      <c r="AJ572" s="689" t="str">
        <f t="shared" ca="1" si="109"/>
        <v/>
      </c>
      <c r="AK572" s="689" t="str">
        <f t="shared" ca="1" si="110"/>
        <v/>
      </c>
      <c r="AL572" s="689" t="str">
        <f t="shared" ca="1" si="111"/>
        <v/>
      </c>
      <c r="AM572" s="690" t="str">
        <f t="shared" ca="1" si="112"/>
        <v/>
      </c>
      <c r="AN572" s="313"/>
      <c r="AO572" s="314" t="str">
        <f>IF($R$3=1,IF(Y572=AA572,"","NE"),IF(#REF!=$V$10,"NE",""))</f>
        <v/>
      </c>
      <c r="AP572" s="315" t="str">
        <f>IF(AB572=$V$3,IF(VLOOKUP(C572,[1]List1!$A:$E,5,FALSE)=0,1,VLOOKUP(C572,[1]List1!$A:$E,5,FALSE)),"")</f>
        <v/>
      </c>
      <c r="AW572" s="458">
        <f>IFERROR(FIND(VLOOKUP('General price list'!$AB$7,'General price list'!$AC$1:$AD$12,2,FALSE),Q572,1),0)</f>
        <v>0</v>
      </c>
      <c r="AX572" s="458">
        <f>IFERROR(FIND(VLOOKUP('General price list'!$AB$7,'General price list'!$AC$1:$AD$12,2,FALSE),R572,1),0)</f>
        <v>0</v>
      </c>
    </row>
    <row r="573" spans="1:50" ht="15" customHeight="1">
      <c r="A573" s="691" t="str">
        <f>IFERROR(IF(VLOOKUP(C573,#REF!,5,FALSE)=0,"",VLOOKUP(C573,#REF!,5,FALSE)),"")</f>
        <v/>
      </c>
      <c r="B573" s="692">
        <v>552</v>
      </c>
      <c r="C573" s="693" t="s">
        <v>11819</v>
      </c>
      <c r="D573" s="693" t="s">
        <v>13674</v>
      </c>
      <c r="E573" s="694" t="s">
        <v>129</v>
      </c>
      <c r="F573" s="695">
        <f>VLOOKUP(C573,[2]List1!$A:$D,2,FALSE)</f>
        <v>292</v>
      </c>
      <c r="G573" s="696">
        <f t="shared" si="101"/>
        <v>292</v>
      </c>
      <c r="H573" s="697">
        <f t="shared" si="102"/>
        <v>11.9</v>
      </c>
      <c r="I573" s="837">
        <v>1</v>
      </c>
      <c r="J573" s="698"/>
      <c r="K573" s="856"/>
      <c r="L573" s="857"/>
      <c r="M573" s="698"/>
      <c r="N573" s="869" t="str">
        <f>IFERROR(VLOOKUP(C573,[3]List1!$A:$D,4,FALSE),"N/A!")</f>
        <v/>
      </c>
      <c r="O573" s="837" t="str">
        <f>IFERROR(VLOOKUP(C573,[3]List1!$A:$D,3,FALSE),"N/A!")</f>
        <v/>
      </c>
      <c r="P573" s="837">
        <f>IFERROR(VLOOKUP(C573,[3]List1!$A:$D,2,FALSE),"N/A!")</f>
        <v>1500</v>
      </c>
      <c r="Q573" s="698"/>
      <c r="R573" s="698"/>
      <c r="S573" s="698"/>
      <c r="T573" s="695"/>
      <c r="U573" s="874"/>
      <c r="V573" s="699"/>
      <c r="W573" s="700" t="str">
        <f>IFERROR(VLOOKUP($C573,Popisy!A:P,MATCH($W$17,Popisy!$A$7:$P$7,0),FALSE),"---------------")</f>
        <v>Karton mit Produktdesign</v>
      </c>
      <c r="X573" s="891" t="str">
        <f t="shared" si="103"/>
        <v/>
      </c>
      <c r="Y573" s="892"/>
      <c r="Z573" s="700" t="str">
        <f>IFERROR(IF(VLOOKUP(C573,[4]List1!$A:$D,4,FALSE)=0,"",VLOOKUP(C573,[4]List1!$A:$D,4,FALSE)),"")</f>
        <v/>
      </c>
      <c r="AA573" s="707"/>
      <c r="AB573" s="912" t="str">
        <f>IFERROR(IF(VLOOKUP(C573,[1]List1!$A:$D,2,FALSE)="VYPRODÁNO",$V$9,IF(VLOOKUP(C573,[1]List1!$A:$D,2,FALSE)="DOCHÁZÍ",$V$3,VLOOKUP(C573,[1]List1!$A:$D,2,FALSE))),"OFFLINE!")</f>
        <v>SKLADEM</v>
      </c>
      <c r="AC573" s="912" t="str">
        <f ca="1">IF(AO573="NE",$V$10,IF(AB573=$V$3,IF(AP573&lt;1,$V$8,$V$2&amp;" "&amp;AP573&amp;" "&amp;$V$1),IF(AB573="SKLADEM",$V$6,IFERROR(IF(OR(AB573-TODAY()&gt;21,VLOOKUP(C573,[1]List1!$A:$E,4,FALSE)=0),AB573,DAY(AB573)&amp;"."&amp;MONTH(AB573)&amp;"."&amp;YEAR(AB573)&amp;" "&amp;$V$4&amp;VLOOKUP(C573,[1]List1!$A:$E,4,FALSE)&amp;" "&amp;$V$1),AB573))))</f>
        <v>AUF LAGER</v>
      </c>
      <c r="AD573" s="701" t="str">
        <f ca="1">_xlfn.IFNA(VLOOKUP(C573,'General price list'!C:AM,MATCH($AD$20,'General price list'!$C$20:$AM$20,0),FALSE),"")</f>
        <v>AUF LAGER</v>
      </c>
      <c r="AE573" s="695">
        <f t="shared" ca="1" si="104"/>
        <v>0</v>
      </c>
      <c r="AF573" s="695">
        <f t="shared" ca="1" si="105"/>
        <v>0</v>
      </c>
      <c r="AG573" s="702">
        <f t="shared" ca="1" si="106"/>
        <v>0</v>
      </c>
      <c r="AH573" s="703">
        <f t="shared" ca="1" si="107"/>
        <v>0</v>
      </c>
      <c r="AI573" s="702" t="str">
        <f t="shared" ca="1" si="108"/>
        <v/>
      </c>
      <c r="AJ573" s="704" t="str">
        <f t="shared" ca="1" si="109"/>
        <v/>
      </c>
      <c r="AK573" s="704" t="str">
        <f t="shared" ca="1" si="110"/>
        <v/>
      </c>
      <c r="AL573" s="704" t="str">
        <f t="shared" ca="1" si="111"/>
        <v/>
      </c>
      <c r="AM573" s="705" t="str">
        <f t="shared" ca="1" si="112"/>
        <v/>
      </c>
      <c r="AN573" s="313"/>
      <c r="AO573" s="314" t="str">
        <f>IF($R$3=1,IF(Y573=AA573,"","NE"),IF(#REF!=$V$10,"NE",""))</f>
        <v/>
      </c>
      <c r="AP573" s="315" t="str">
        <f>IF(AB573=$V$3,IF(VLOOKUP(C573,[1]List1!$A:$E,5,FALSE)=0,1,VLOOKUP(C573,[1]List1!$A:$E,5,FALSE)),"")</f>
        <v/>
      </c>
      <c r="AW573" s="458">
        <f>IFERROR(FIND(VLOOKUP('General price list'!$AB$7,'General price list'!$AC$1:$AD$12,2,FALSE),Q573,1),0)</f>
        <v>0</v>
      </c>
      <c r="AX573" s="458">
        <f>IFERROR(FIND(VLOOKUP('General price list'!$AB$7,'General price list'!$AC$1:$AD$12,2,FALSE),R573,1),0)</f>
        <v>0</v>
      </c>
    </row>
    <row r="574" spans="1:50" ht="15" customHeight="1">
      <c r="A574" s="677" t="str">
        <f>IFERROR(IF(VLOOKUP(C574,#REF!,5,FALSE)=0,"",VLOOKUP(C574,#REF!,5,FALSE)),"")</f>
        <v/>
      </c>
      <c r="B574" s="678">
        <v>553</v>
      </c>
      <c r="C574" s="679" t="s">
        <v>11820</v>
      </c>
      <c r="D574" s="679" t="s">
        <v>13674</v>
      </c>
      <c r="E574" s="680" t="s">
        <v>129</v>
      </c>
      <c r="F574" s="681">
        <f>VLOOKUP(C574,[2]List1!$A:$D,2,FALSE)</f>
        <v>292</v>
      </c>
      <c r="G574" s="682">
        <f t="shared" si="101"/>
        <v>292</v>
      </c>
      <c r="H574" s="683">
        <f t="shared" si="102"/>
        <v>11.9</v>
      </c>
      <c r="I574" s="836">
        <v>1</v>
      </c>
      <c r="J574" s="680"/>
      <c r="K574" s="854"/>
      <c r="L574" s="855"/>
      <c r="M574" s="680"/>
      <c r="N574" s="868" t="str">
        <f>IFERROR(VLOOKUP(C574,[3]List1!$A:$D,4,FALSE),"N/A!")</f>
        <v/>
      </c>
      <c r="O574" s="836" t="str">
        <f>IFERROR(VLOOKUP(C574,[3]List1!$A:$D,3,FALSE),"N/A!")</f>
        <v/>
      </c>
      <c r="P574" s="836">
        <f>IFERROR(VLOOKUP(C574,[3]List1!$A:$D,2,FALSE),"N/A!")</f>
        <v>1500</v>
      </c>
      <c r="Q574" s="680"/>
      <c r="R574" s="680"/>
      <c r="S574" s="680"/>
      <c r="T574" s="681"/>
      <c r="U574" s="873"/>
      <c r="V574" s="684"/>
      <c r="W574" s="685" t="str">
        <f>IFERROR(VLOOKUP($C574,Popisy!A:P,MATCH($W$17,Popisy!$A$7:$P$7,0),FALSE),"---------------")</f>
        <v>Karton mit Produktdesign</v>
      </c>
      <c r="X574" s="889" t="str">
        <f t="shared" si="103"/>
        <v/>
      </c>
      <c r="Y574" s="890"/>
      <c r="Z574" s="685" t="str">
        <f>IFERROR(IF(VLOOKUP(C574,[4]List1!$A:$D,4,FALSE)=0,"",VLOOKUP(C574,[4]List1!$A:$D,4,FALSE)),"")</f>
        <v/>
      </c>
      <c r="AA574" s="707"/>
      <c r="AB574" s="911" t="str">
        <f>IFERROR(IF(VLOOKUP(C574,[1]List1!$A:$D,2,FALSE)="VYPRODÁNO",$V$9,IF(VLOOKUP(C574,[1]List1!$A:$D,2,FALSE)="DOCHÁZÍ",$V$3,VLOOKUP(C574,[1]List1!$A:$D,2,FALSE))),"OFFLINE!")</f>
        <v>SKLADEM</v>
      </c>
      <c r="AC574" s="911" t="str">
        <f ca="1">IF(AO574="NE",$V$10,IF(AB574=$V$3,IF(AP574&lt;1,$V$8,$V$2&amp;" "&amp;AP574&amp;" "&amp;$V$1),IF(AB574="SKLADEM",$V$6,IFERROR(IF(OR(AB574-TODAY()&gt;21,VLOOKUP(C574,[1]List1!$A:$E,4,FALSE)=0),AB574,DAY(AB574)&amp;"."&amp;MONTH(AB574)&amp;"."&amp;YEAR(AB574)&amp;" "&amp;$V$4&amp;VLOOKUP(C574,[1]List1!$A:$E,4,FALSE)&amp;" "&amp;$V$1),AB574))))</f>
        <v>AUF LAGER</v>
      </c>
      <c r="AD574" s="686" t="str">
        <f ca="1">_xlfn.IFNA(VLOOKUP(C574,'General price list'!C:AM,MATCH($AD$20,'General price list'!$C$20:$AM$20,0),FALSE),"")</f>
        <v>AUF LAGER</v>
      </c>
      <c r="AE574" s="681">
        <f t="shared" ca="1" si="104"/>
        <v>0</v>
      </c>
      <c r="AF574" s="681">
        <f t="shared" ca="1" si="105"/>
        <v>0</v>
      </c>
      <c r="AG574" s="687">
        <f t="shared" ca="1" si="106"/>
        <v>0</v>
      </c>
      <c r="AH574" s="688">
        <f t="shared" ca="1" si="107"/>
        <v>0</v>
      </c>
      <c r="AI574" s="687" t="str">
        <f t="shared" ca="1" si="108"/>
        <v/>
      </c>
      <c r="AJ574" s="689" t="str">
        <f t="shared" ca="1" si="109"/>
        <v/>
      </c>
      <c r="AK574" s="689" t="str">
        <f t="shared" ca="1" si="110"/>
        <v/>
      </c>
      <c r="AL574" s="689" t="str">
        <f t="shared" ca="1" si="111"/>
        <v/>
      </c>
      <c r="AM574" s="690" t="str">
        <f t="shared" ca="1" si="112"/>
        <v/>
      </c>
      <c r="AN574" s="382"/>
      <c r="AO574" s="314" t="str">
        <f>IF($R$3=1,IF(Y574=AA574,"","NE"),IF(#REF!=$V$10,"NE",""))</f>
        <v/>
      </c>
      <c r="AP574" s="315" t="str">
        <f>IF(AB574=$V$3,IF(VLOOKUP(C574,[1]List1!$A:$E,5,FALSE)=0,1,VLOOKUP(C574,[1]List1!$A:$E,5,FALSE)),"")</f>
        <v/>
      </c>
      <c r="AW574" s="458">
        <f>IFERROR(FIND(VLOOKUP('General price list'!$AB$7,'General price list'!$AC$1:$AD$12,2,FALSE),Q574,1),0)</f>
        <v>0</v>
      </c>
      <c r="AX574" s="458">
        <f>IFERROR(FIND(VLOOKUP('General price list'!$AB$7,'General price list'!$AC$1:$AD$12,2,FALSE),R574,1),0)</f>
        <v>0</v>
      </c>
    </row>
    <row r="575" spans="1:50" ht="15" customHeight="1">
      <c r="A575" s="691" t="str">
        <f>IFERROR(IF(VLOOKUP(C575,#REF!,5,FALSE)=0,"",VLOOKUP(C575,#REF!,5,FALSE)),"")</f>
        <v/>
      </c>
      <c r="B575" s="692">
        <v>554</v>
      </c>
      <c r="C575" s="693" t="s">
        <v>11821</v>
      </c>
      <c r="D575" s="693" t="s">
        <v>13675</v>
      </c>
      <c r="E575" s="694" t="s">
        <v>129</v>
      </c>
      <c r="F575" s="695">
        <f>VLOOKUP(C575,[2]List1!$A:$D,2,FALSE)</f>
        <v>505</v>
      </c>
      <c r="G575" s="696">
        <f t="shared" si="101"/>
        <v>505</v>
      </c>
      <c r="H575" s="697">
        <f t="shared" si="102"/>
        <v>20.5</v>
      </c>
      <c r="I575" s="837">
        <v>1</v>
      </c>
      <c r="J575" s="698"/>
      <c r="K575" s="856"/>
      <c r="L575" s="857"/>
      <c r="M575" s="698"/>
      <c r="N575" s="869" t="str">
        <f>IFERROR(VLOOKUP(C575,[3]List1!$A:$D,4,FALSE),"N/A!")</f>
        <v/>
      </c>
      <c r="O575" s="837" t="str">
        <f>IFERROR(VLOOKUP(C575,[3]List1!$A:$D,3,FALSE),"N/A!")</f>
        <v/>
      </c>
      <c r="P575" s="837">
        <f>IFERROR(VLOOKUP(C575,[3]List1!$A:$D,2,FALSE),"N/A!")</f>
        <v>1500</v>
      </c>
      <c r="Q575" s="698"/>
      <c r="R575" s="698"/>
      <c r="S575" s="698"/>
      <c r="T575" s="695"/>
      <c r="U575" s="874"/>
      <c r="V575" s="699"/>
      <c r="W575" s="700" t="str">
        <f>IFERROR(VLOOKUP($C575,Popisy!A:P,MATCH($W$17,Popisy!$A$7:$P$7,0),FALSE),"---------------")</f>
        <v>Karton mit Produktdesign</v>
      </c>
      <c r="X575" s="891" t="str">
        <f t="shared" si="103"/>
        <v/>
      </c>
      <c r="Y575" s="892"/>
      <c r="Z575" s="700" t="str">
        <f>IFERROR(IF(VLOOKUP(C575,[4]List1!$A:$D,4,FALSE)=0,"",VLOOKUP(C575,[4]List1!$A:$D,4,FALSE)),"")</f>
        <v/>
      </c>
      <c r="AA575" s="707"/>
      <c r="AB575" s="912" t="str">
        <f>IFERROR(IF(VLOOKUP(C575,[1]List1!$A:$D,2,FALSE)="VYPRODÁNO",$V$9,IF(VLOOKUP(C575,[1]List1!$A:$D,2,FALSE)="DOCHÁZÍ",$V$3,VLOOKUP(C575,[1]List1!$A:$D,2,FALSE))),"OFFLINE!")</f>
        <v>SKLADEM</v>
      </c>
      <c r="AC575" s="912" t="str">
        <f ca="1">IF(AO575="NE",$V$10,IF(AB575=$V$3,IF(AP575&lt;1,$V$8,$V$2&amp;" "&amp;AP575&amp;" "&amp;$V$1),IF(AB575="SKLADEM",$V$6,IFERROR(IF(OR(AB575-TODAY()&gt;21,VLOOKUP(C575,[1]List1!$A:$E,4,FALSE)=0),AB575,DAY(AB575)&amp;"."&amp;MONTH(AB575)&amp;"."&amp;YEAR(AB575)&amp;" "&amp;$V$4&amp;VLOOKUP(C575,[1]List1!$A:$E,4,FALSE)&amp;" "&amp;$V$1),AB575))))</f>
        <v>AUF LAGER</v>
      </c>
      <c r="AD575" s="701" t="str">
        <f ca="1">_xlfn.IFNA(VLOOKUP(C575,'General price list'!C:AM,MATCH($AD$20,'General price list'!$C$20:$AM$20,0),FALSE),"")</f>
        <v>AUF LAGER</v>
      </c>
      <c r="AE575" s="695">
        <f t="shared" ca="1" si="104"/>
        <v>0</v>
      </c>
      <c r="AF575" s="695">
        <f t="shared" ca="1" si="105"/>
        <v>0</v>
      </c>
      <c r="AG575" s="702">
        <f t="shared" ca="1" si="106"/>
        <v>0</v>
      </c>
      <c r="AH575" s="703">
        <f t="shared" ca="1" si="107"/>
        <v>0</v>
      </c>
      <c r="AI575" s="702" t="str">
        <f t="shared" ca="1" si="108"/>
        <v/>
      </c>
      <c r="AJ575" s="704" t="str">
        <f t="shared" ca="1" si="109"/>
        <v/>
      </c>
      <c r="AK575" s="704" t="str">
        <f t="shared" ca="1" si="110"/>
        <v/>
      </c>
      <c r="AL575" s="704" t="str">
        <f t="shared" ca="1" si="111"/>
        <v/>
      </c>
      <c r="AM575" s="705" t="str">
        <f t="shared" ca="1" si="112"/>
        <v/>
      </c>
      <c r="AN575" s="381"/>
      <c r="AO575" s="314" t="str">
        <f>IF($R$3=1,IF(Y575=AA575,"","NE"),IF(#REF!=$V$10,"NE",""))</f>
        <v/>
      </c>
      <c r="AP575" s="315" t="str">
        <f>IF(AB575=$V$3,IF(VLOOKUP(C575,[1]List1!$A:$E,5,FALSE)=0,1,VLOOKUP(C575,[1]List1!$A:$E,5,FALSE)),"")</f>
        <v/>
      </c>
      <c r="AW575" s="458">
        <f>IFERROR(FIND(VLOOKUP('General price list'!$AB$7,'General price list'!$AC$1:$AD$12,2,FALSE),Q575,1),0)</f>
        <v>0</v>
      </c>
      <c r="AX575" s="458">
        <f>IFERROR(FIND(VLOOKUP('General price list'!$AB$7,'General price list'!$AC$1:$AD$12,2,FALSE),R575,1),0)</f>
        <v>0</v>
      </c>
    </row>
    <row r="576" spans="1:50" ht="15" customHeight="1">
      <c r="A576" s="677" t="str">
        <f>IFERROR(IF(VLOOKUP(C576,#REF!,5,FALSE)=0,"",VLOOKUP(C576,#REF!,5,FALSE)),"")</f>
        <v/>
      </c>
      <c r="B576" s="678">
        <v>555</v>
      </c>
      <c r="C576" s="679" t="s">
        <v>11822</v>
      </c>
      <c r="D576" s="679" t="s">
        <v>13676</v>
      </c>
      <c r="E576" s="680" t="s">
        <v>129</v>
      </c>
      <c r="F576" s="681">
        <f>VLOOKUP(C576,[2]List1!$A:$D,2,FALSE)</f>
        <v>688</v>
      </c>
      <c r="G576" s="682">
        <f t="shared" si="101"/>
        <v>688</v>
      </c>
      <c r="H576" s="683">
        <f t="shared" si="102"/>
        <v>28</v>
      </c>
      <c r="I576" s="836">
        <v>1</v>
      </c>
      <c r="J576" s="680"/>
      <c r="K576" s="854"/>
      <c r="L576" s="855"/>
      <c r="M576" s="680"/>
      <c r="N576" s="868" t="str">
        <f>IFERROR(VLOOKUP(C576,[3]List1!$A:$D,4,FALSE),"N/A!")</f>
        <v/>
      </c>
      <c r="O576" s="836" t="str">
        <f>IFERROR(VLOOKUP(C576,[3]List1!$A:$D,3,FALSE),"N/A!")</f>
        <v/>
      </c>
      <c r="P576" s="836">
        <f>IFERROR(VLOOKUP(C576,[3]List1!$A:$D,2,FALSE),"N/A!")</f>
        <v>1500</v>
      </c>
      <c r="Q576" s="680"/>
      <c r="R576" s="680"/>
      <c r="S576" s="680"/>
      <c r="T576" s="681"/>
      <c r="U576" s="873"/>
      <c r="V576" s="684"/>
      <c r="W576" s="685" t="str">
        <f>IFERROR(VLOOKUP($C576,Popisy!A:P,MATCH($W$17,Popisy!$A$7:$P$7,0),FALSE),"---------------")</f>
        <v>Karton mit Produktdesign</v>
      </c>
      <c r="X576" s="889" t="str">
        <f t="shared" si="103"/>
        <v/>
      </c>
      <c r="Y576" s="890"/>
      <c r="Z576" s="685" t="str">
        <f>IFERROR(IF(VLOOKUP(C576,[4]List1!$A:$D,4,FALSE)=0,"",VLOOKUP(C576,[4]List1!$A:$D,4,FALSE)),"")</f>
        <v/>
      </c>
      <c r="AA576" s="707"/>
      <c r="AB576" s="911" t="str">
        <f>IFERROR(IF(VLOOKUP(C576,[1]List1!$A:$D,2,FALSE)="VYPRODÁNO",$V$9,IF(VLOOKUP(C576,[1]List1!$A:$D,2,FALSE)="DOCHÁZÍ",$V$3,VLOOKUP(C576,[1]List1!$A:$D,2,FALSE))),"OFFLINE!")</f>
        <v>SKLADEM</v>
      </c>
      <c r="AC576" s="911" t="str">
        <f ca="1">IF(AO576="NE",$V$10,IF(AB576=$V$3,IF(AP576&lt;1,$V$8,$V$2&amp;" "&amp;AP576&amp;" "&amp;$V$1),IF(AB576="SKLADEM",$V$6,IFERROR(IF(OR(AB576-TODAY()&gt;21,VLOOKUP(C576,[1]List1!$A:$E,4,FALSE)=0),AB576,DAY(AB576)&amp;"."&amp;MONTH(AB576)&amp;"."&amp;YEAR(AB576)&amp;" "&amp;$V$4&amp;VLOOKUP(C576,[1]List1!$A:$E,4,FALSE)&amp;" "&amp;$V$1),AB576))))</f>
        <v>AUF LAGER</v>
      </c>
      <c r="AD576" s="686" t="str">
        <f ca="1">_xlfn.IFNA(VLOOKUP(C576,'General price list'!C:AM,MATCH($AD$20,'General price list'!$C$20:$AM$20,0),FALSE),"")</f>
        <v>AUF LAGER</v>
      </c>
      <c r="AE576" s="681">
        <f t="shared" ca="1" si="104"/>
        <v>0</v>
      </c>
      <c r="AF576" s="681">
        <f t="shared" ca="1" si="105"/>
        <v>0</v>
      </c>
      <c r="AG576" s="687">
        <f t="shared" ca="1" si="106"/>
        <v>0</v>
      </c>
      <c r="AH576" s="688">
        <f t="shared" ca="1" si="107"/>
        <v>0</v>
      </c>
      <c r="AI576" s="687" t="str">
        <f t="shared" ca="1" si="108"/>
        <v/>
      </c>
      <c r="AJ576" s="689" t="str">
        <f t="shared" ca="1" si="109"/>
        <v/>
      </c>
      <c r="AK576" s="689" t="str">
        <f t="shared" ca="1" si="110"/>
        <v/>
      </c>
      <c r="AL576" s="689" t="str">
        <f t="shared" ca="1" si="111"/>
        <v/>
      </c>
      <c r="AM576" s="690" t="str">
        <f t="shared" ca="1" si="112"/>
        <v/>
      </c>
      <c r="AN576" s="313"/>
      <c r="AO576" s="314" t="str">
        <f>IF($R$3=1,IF(Y576=AA576,"","NE"),IF(#REF!=$V$10,"NE",""))</f>
        <v/>
      </c>
      <c r="AP576" s="315" t="str">
        <f>IF(AB576=$V$3,IF(VLOOKUP(C576,[1]List1!$A:$E,5,FALSE)=0,1,VLOOKUP(C576,[1]List1!$A:$E,5,FALSE)),"")</f>
        <v/>
      </c>
      <c r="AW576" s="458">
        <f>IFERROR(FIND(VLOOKUP('General price list'!$AB$7,'General price list'!$AC$1:$AD$12,2,FALSE),Q576,1),0)</f>
        <v>0</v>
      </c>
      <c r="AX576" s="458">
        <f>IFERROR(FIND(VLOOKUP('General price list'!$AB$7,'General price list'!$AC$1:$AD$12,2,FALSE),R576,1),0)</f>
        <v>0</v>
      </c>
    </row>
    <row r="577" spans="1:50" ht="15" customHeight="1">
      <c r="A577" s="691" t="str">
        <f>IFERROR(IF(VLOOKUP(C577,#REF!,5,FALSE)=0,"",VLOOKUP(C577,#REF!,5,FALSE)),"")</f>
        <v/>
      </c>
      <c r="B577" s="692">
        <v>556</v>
      </c>
      <c r="C577" s="693" t="s">
        <v>11824</v>
      </c>
      <c r="D577" s="693" t="s">
        <v>13677</v>
      </c>
      <c r="E577" s="694" t="s">
        <v>129</v>
      </c>
      <c r="F577" s="695">
        <f>VLOOKUP(C577,[2]List1!$A:$D,2,FALSE)</f>
        <v>710</v>
      </c>
      <c r="G577" s="696">
        <f t="shared" si="101"/>
        <v>710</v>
      </c>
      <c r="H577" s="697">
        <f t="shared" si="102"/>
        <v>28.9</v>
      </c>
      <c r="I577" s="837">
        <v>1</v>
      </c>
      <c r="J577" s="698"/>
      <c r="K577" s="856"/>
      <c r="L577" s="857"/>
      <c r="M577" s="698"/>
      <c r="N577" s="869" t="str">
        <f>IFERROR(VLOOKUP(C577,[3]List1!$A:$D,4,FALSE),"N/A!")</f>
        <v/>
      </c>
      <c r="O577" s="837" t="str">
        <f>IFERROR(VLOOKUP(C577,[3]List1!$A:$D,3,FALSE),"N/A!")</f>
        <v/>
      </c>
      <c r="P577" s="837">
        <f>IFERROR(VLOOKUP(C577,[3]List1!$A:$D,2,FALSE),"N/A!")</f>
        <v>1500</v>
      </c>
      <c r="Q577" s="698"/>
      <c r="R577" s="698"/>
      <c r="S577" s="698"/>
      <c r="T577" s="695"/>
      <c r="U577" s="874"/>
      <c r="V577" s="699"/>
      <c r="W577" s="700" t="str">
        <f>IFERROR(VLOOKUP($C577,Popisy!A:P,MATCH($W$17,Popisy!$A$7:$P$7,0),FALSE),"---------------")</f>
        <v>Karton mit Produktdesign</v>
      </c>
      <c r="X577" s="891" t="str">
        <f t="shared" si="103"/>
        <v/>
      </c>
      <c r="Y577" s="892"/>
      <c r="Z577" s="700" t="str">
        <f>IFERROR(IF(VLOOKUP(C577,[4]List1!$A:$D,4,FALSE)=0,"",VLOOKUP(C577,[4]List1!$A:$D,4,FALSE)),"")</f>
        <v/>
      </c>
      <c r="AA577" s="707"/>
      <c r="AB577" s="912" t="str">
        <f>IFERROR(IF(VLOOKUP(C577,[1]List1!$A:$D,2,FALSE)="VYPRODÁNO",$V$9,IF(VLOOKUP(C577,[1]List1!$A:$D,2,FALSE)="DOCHÁZÍ",$V$3,VLOOKUP(C577,[1]List1!$A:$D,2,FALSE))),"OFFLINE!")</f>
        <v>SKLADEM</v>
      </c>
      <c r="AC577" s="912" t="str">
        <f ca="1">IF(AO577="NE",$V$10,IF(AB577=$V$3,IF(AP577&lt;1,$V$8,$V$2&amp;" "&amp;AP577&amp;" "&amp;$V$1),IF(AB577="SKLADEM",$V$6,IFERROR(IF(OR(AB577-TODAY()&gt;21,VLOOKUP(C577,[1]List1!$A:$E,4,FALSE)=0),AB577,DAY(AB577)&amp;"."&amp;MONTH(AB577)&amp;"."&amp;YEAR(AB577)&amp;" "&amp;$V$4&amp;VLOOKUP(C577,[1]List1!$A:$E,4,FALSE)&amp;" "&amp;$V$1),AB577))))</f>
        <v>AUF LAGER</v>
      </c>
      <c r="AD577" s="701" t="str">
        <f ca="1">_xlfn.IFNA(VLOOKUP(C577,'General price list'!C:AM,MATCH($AD$20,'General price list'!$C$20:$AM$20,0),FALSE),"")</f>
        <v>AUF LAGER</v>
      </c>
      <c r="AE577" s="695">
        <f t="shared" ca="1" si="104"/>
        <v>0</v>
      </c>
      <c r="AF577" s="695">
        <f t="shared" ca="1" si="105"/>
        <v>0</v>
      </c>
      <c r="AG577" s="702">
        <f t="shared" ca="1" si="106"/>
        <v>0</v>
      </c>
      <c r="AH577" s="703">
        <f t="shared" ca="1" si="107"/>
        <v>0</v>
      </c>
      <c r="AI577" s="702" t="str">
        <f t="shared" ca="1" si="108"/>
        <v/>
      </c>
      <c r="AJ577" s="704" t="str">
        <f t="shared" ca="1" si="109"/>
        <v/>
      </c>
      <c r="AK577" s="704" t="str">
        <f t="shared" ca="1" si="110"/>
        <v/>
      </c>
      <c r="AL577" s="704" t="str">
        <f t="shared" ca="1" si="111"/>
        <v/>
      </c>
      <c r="AM577" s="705" t="str">
        <f t="shared" ca="1" si="112"/>
        <v/>
      </c>
      <c r="AN577" s="382"/>
      <c r="AO577" s="314" t="str">
        <f>IF($R$3=1,IF(Y577=AA577,"","NE"),IF(#REF!=$V$10,"NE",""))</f>
        <v/>
      </c>
      <c r="AP577" s="315" t="str">
        <f>IF(AB577=$V$3,IF(VLOOKUP(C577,[1]List1!$A:$E,5,FALSE)=0,1,VLOOKUP(C577,[1]List1!$A:$E,5,FALSE)),"")</f>
        <v/>
      </c>
      <c r="AW577" s="458">
        <f>IFERROR(FIND(VLOOKUP('General price list'!$AB$7,'General price list'!$AC$1:$AD$12,2,FALSE),Q577,1),0)</f>
        <v>0</v>
      </c>
      <c r="AX577" s="458">
        <f>IFERROR(FIND(VLOOKUP('General price list'!$AB$7,'General price list'!$AC$1:$AD$12,2,FALSE),R577,1),0)</f>
        <v>0</v>
      </c>
    </row>
    <row r="578" spans="1:50" ht="15" customHeight="1">
      <c r="A578" s="677" t="str">
        <f>IFERROR(IF(VLOOKUP(C578,#REF!,5,FALSE)=0,"",VLOOKUP(C578,#REF!,5,FALSE)),"")</f>
        <v/>
      </c>
      <c r="B578" s="678">
        <v>557</v>
      </c>
      <c r="C578" s="679" t="s">
        <v>11825</v>
      </c>
      <c r="D578" s="679" t="s">
        <v>13678</v>
      </c>
      <c r="E578" s="680" t="s">
        <v>129</v>
      </c>
      <c r="F578" s="681">
        <f>VLOOKUP(C578,[2]List1!$A:$D,2,FALSE)</f>
        <v>351</v>
      </c>
      <c r="G578" s="682">
        <f t="shared" si="101"/>
        <v>351</v>
      </c>
      <c r="H578" s="683">
        <f t="shared" si="102"/>
        <v>14.3</v>
      </c>
      <c r="I578" s="836">
        <v>1</v>
      </c>
      <c r="J578" s="680"/>
      <c r="K578" s="854"/>
      <c r="L578" s="855"/>
      <c r="M578" s="680"/>
      <c r="N578" s="868" t="str">
        <f>IFERROR(VLOOKUP(C578,[3]List1!$A:$D,4,FALSE),"N/A!")</f>
        <v/>
      </c>
      <c r="O578" s="836" t="str">
        <f>IFERROR(VLOOKUP(C578,[3]List1!$A:$D,3,FALSE),"N/A!")</f>
        <v/>
      </c>
      <c r="P578" s="836">
        <f>IFERROR(VLOOKUP(C578,[3]List1!$A:$D,2,FALSE),"N/A!")</f>
        <v>1500</v>
      </c>
      <c r="Q578" s="680"/>
      <c r="R578" s="680"/>
      <c r="S578" s="680"/>
      <c r="T578" s="681"/>
      <c r="U578" s="873"/>
      <c r="V578" s="684"/>
      <c r="W578" s="685" t="str">
        <f>IFERROR(VLOOKUP($C578,Popisy!A:P,MATCH($W$17,Popisy!$A$7:$P$7,0),FALSE),"---------------")</f>
        <v>Karton mit Produktdesign</v>
      </c>
      <c r="X578" s="889" t="str">
        <f t="shared" si="103"/>
        <v/>
      </c>
      <c r="Y578" s="890"/>
      <c r="Z578" s="685" t="str">
        <f>IFERROR(IF(VLOOKUP(C578,[4]List1!$A:$D,4,FALSE)=0,"",VLOOKUP(C578,[4]List1!$A:$D,4,FALSE)),"")</f>
        <v/>
      </c>
      <c r="AA578" s="707"/>
      <c r="AB578" s="911" t="str">
        <f>IFERROR(IF(VLOOKUP(C578,[1]List1!$A:$D,2,FALSE)="VYPRODÁNO",$V$9,IF(VLOOKUP(C578,[1]List1!$A:$D,2,FALSE)="DOCHÁZÍ",$V$3,VLOOKUP(C578,[1]List1!$A:$D,2,FALSE))),"OFFLINE!")</f>
        <v>SKLADEM</v>
      </c>
      <c r="AC578" s="911" t="str">
        <f ca="1">IF(AO578="NE",$V$10,IF(AB578=$V$3,IF(AP578&lt;1,$V$8,$V$2&amp;" "&amp;AP578&amp;" "&amp;$V$1),IF(AB578="SKLADEM",$V$6,IFERROR(IF(OR(AB578-TODAY()&gt;21,VLOOKUP(C578,[1]List1!$A:$E,4,FALSE)=0),AB578,DAY(AB578)&amp;"."&amp;MONTH(AB578)&amp;"."&amp;YEAR(AB578)&amp;" "&amp;$V$4&amp;VLOOKUP(C578,[1]List1!$A:$E,4,FALSE)&amp;" "&amp;$V$1),AB578))))</f>
        <v>AUF LAGER</v>
      </c>
      <c r="AD578" s="686">
        <f>_xlfn.IFNA(VLOOKUP(C578,'General price list'!C:AM,MATCH($AD$20,'General price list'!$C$20:$AM$20,0),FALSE),"")</f>
        <v>0</v>
      </c>
      <c r="AE578" s="681">
        <f t="shared" si="104"/>
        <v>0</v>
      </c>
      <c r="AF578" s="681">
        <f t="shared" si="105"/>
        <v>0</v>
      </c>
      <c r="AG578" s="687">
        <f t="shared" si="106"/>
        <v>0</v>
      </c>
      <c r="AH578" s="688">
        <f t="shared" si="107"/>
        <v>0</v>
      </c>
      <c r="AI578" s="687" t="str">
        <f t="shared" si="108"/>
        <v/>
      </c>
      <c r="AJ578" s="689" t="str">
        <f t="shared" si="109"/>
        <v/>
      </c>
      <c r="AK578" s="689" t="str">
        <f t="shared" si="110"/>
        <v/>
      </c>
      <c r="AL578" s="689" t="str">
        <f t="shared" si="111"/>
        <v/>
      </c>
      <c r="AM578" s="690" t="str">
        <f t="shared" si="112"/>
        <v/>
      </c>
      <c r="AN578" s="382"/>
      <c r="AO578" s="314" t="str">
        <f>IF($R$3=1,IF(Y578=AA578,"","NE"),IF(#REF!=$V$10,"NE",""))</f>
        <v/>
      </c>
      <c r="AP578" s="315" t="str">
        <f>IF(AB578=$V$3,IF(VLOOKUP(C578,[1]List1!$A:$E,5,FALSE)=0,1,VLOOKUP(C578,[1]List1!$A:$E,5,FALSE)),"")</f>
        <v/>
      </c>
      <c r="AW578" s="458">
        <f>IFERROR(FIND(VLOOKUP('General price list'!$AB$7,'General price list'!$AC$1:$AD$12,2,FALSE),Q578,1),0)</f>
        <v>0</v>
      </c>
      <c r="AX578" s="458">
        <f>IFERROR(FIND(VLOOKUP('General price list'!$AB$7,'General price list'!$AC$1:$AD$12,2,FALSE),R578,1),0)</f>
        <v>0</v>
      </c>
    </row>
    <row r="579" spans="1:50" ht="15" customHeight="1">
      <c r="A579" s="691" t="str">
        <f>IFERROR(IF(VLOOKUP(C579,#REF!,5,FALSE)=0,"",VLOOKUP(C579,#REF!,5,FALSE)),"")</f>
        <v/>
      </c>
      <c r="B579" s="692">
        <v>558</v>
      </c>
      <c r="C579" s="693" t="s">
        <v>11826</v>
      </c>
      <c r="D579" s="693" t="s">
        <v>13678</v>
      </c>
      <c r="E579" s="694" t="s">
        <v>129</v>
      </c>
      <c r="F579" s="695">
        <f>VLOOKUP(C579,[2]List1!$A:$D,2,FALSE)</f>
        <v>351</v>
      </c>
      <c r="G579" s="696">
        <f t="shared" si="101"/>
        <v>351</v>
      </c>
      <c r="H579" s="697">
        <f t="shared" si="102"/>
        <v>14.3</v>
      </c>
      <c r="I579" s="837">
        <v>1</v>
      </c>
      <c r="J579" s="698"/>
      <c r="K579" s="856"/>
      <c r="L579" s="857"/>
      <c r="M579" s="698"/>
      <c r="N579" s="869" t="str">
        <f>IFERROR(VLOOKUP(C579,[3]List1!$A:$D,4,FALSE),"N/A!")</f>
        <v/>
      </c>
      <c r="O579" s="837" t="str">
        <f>IFERROR(VLOOKUP(C579,[3]List1!$A:$D,3,FALSE),"N/A!")</f>
        <v/>
      </c>
      <c r="P579" s="837">
        <f>IFERROR(VLOOKUP(C579,[3]List1!$A:$D,2,FALSE),"N/A!")</f>
        <v>1500</v>
      </c>
      <c r="Q579" s="698"/>
      <c r="R579" s="698"/>
      <c r="S579" s="698"/>
      <c r="T579" s="695"/>
      <c r="U579" s="874"/>
      <c r="V579" s="699"/>
      <c r="W579" s="700" t="str">
        <f>IFERROR(VLOOKUP($C579,Popisy!A:P,MATCH($W$17,Popisy!$A$7:$P$7,0),FALSE),"---------------")</f>
        <v>Karton mit Produktdesign</v>
      </c>
      <c r="X579" s="891" t="str">
        <f t="shared" si="103"/>
        <v/>
      </c>
      <c r="Y579" s="892"/>
      <c r="Z579" s="700" t="str">
        <f>IFERROR(IF(VLOOKUP(C579,[4]List1!$A:$D,4,FALSE)=0,"",VLOOKUP(C579,[4]List1!$A:$D,4,FALSE)),"")</f>
        <v/>
      </c>
      <c r="AA579" s="707"/>
      <c r="AB579" s="912" t="str">
        <f>IFERROR(IF(VLOOKUP(C579,[1]List1!$A:$D,2,FALSE)="VYPRODÁNO",$V$9,IF(VLOOKUP(C579,[1]List1!$A:$D,2,FALSE)="DOCHÁZÍ",$V$3,VLOOKUP(C579,[1]List1!$A:$D,2,FALSE))),"OFFLINE!")</f>
        <v>SKLADEM</v>
      </c>
      <c r="AC579" s="912" t="str">
        <f ca="1">IF(AO579="NE",$V$10,IF(AB579=$V$3,IF(AP579&lt;1,$V$8,$V$2&amp;" "&amp;AP579&amp;" "&amp;$V$1),IF(AB579="SKLADEM",$V$6,IFERROR(IF(OR(AB579-TODAY()&gt;21,VLOOKUP(C579,[1]List1!$A:$E,4,FALSE)=0),AB579,DAY(AB579)&amp;"."&amp;MONTH(AB579)&amp;"."&amp;YEAR(AB579)&amp;" "&amp;$V$4&amp;VLOOKUP(C579,[1]List1!$A:$E,4,FALSE)&amp;" "&amp;$V$1),AB579))))</f>
        <v>AUF LAGER</v>
      </c>
      <c r="AD579" s="701" t="str">
        <f ca="1">_xlfn.IFNA(VLOOKUP(C579,'General price list'!C:AM,MATCH($AD$20,'General price list'!$C$20:$AM$20,0),FALSE),"")</f>
        <v>AUF LAGER</v>
      </c>
      <c r="AE579" s="695">
        <f t="shared" ca="1" si="104"/>
        <v>0</v>
      </c>
      <c r="AF579" s="695">
        <f t="shared" ca="1" si="105"/>
        <v>0</v>
      </c>
      <c r="AG579" s="702">
        <f t="shared" ca="1" si="106"/>
        <v>0</v>
      </c>
      <c r="AH579" s="703">
        <f t="shared" ca="1" si="107"/>
        <v>0</v>
      </c>
      <c r="AI579" s="702" t="str">
        <f t="shared" ca="1" si="108"/>
        <v/>
      </c>
      <c r="AJ579" s="704" t="str">
        <f t="shared" ca="1" si="109"/>
        <v/>
      </c>
      <c r="AK579" s="704" t="str">
        <f t="shared" ca="1" si="110"/>
        <v/>
      </c>
      <c r="AL579" s="704" t="str">
        <f t="shared" ca="1" si="111"/>
        <v/>
      </c>
      <c r="AM579" s="705" t="str">
        <f t="shared" ca="1" si="112"/>
        <v/>
      </c>
      <c r="AN579" s="381"/>
      <c r="AO579" s="314" t="str">
        <f>IF($R$3=1,IF(Y579=AA579,"","NE"),IF(#REF!=$V$10,"NE",""))</f>
        <v/>
      </c>
      <c r="AP579" s="315" t="str">
        <f>IF(AB579=$V$3,IF(VLOOKUP(C579,[1]List1!$A:$E,5,FALSE)=0,1,VLOOKUP(C579,[1]List1!$A:$E,5,FALSE)),"")</f>
        <v/>
      </c>
      <c r="AW579" s="458">
        <f>IFERROR(FIND(VLOOKUP('General price list'!$AB$7,'General price list'!$AC$1:$AD$12,2,FALSE),Q579,1),0)</f>
        <v>0</v>
      </c>
      <c r="AX579" s="458">
        <f>IFERROR(FIND(VLOOKUP('General price list'!$AB$7,'General price list'!$AC$1:$AD$12,2,FALSE),R579,1),0)</f>
        <v>0</v>
      </c>
    </row>
    <row r="580" spans="1:50" ht="15" customHeight="1">
      <c r="A580" s="677" t="str">
        <f>IFERROR(IF(VLOOKUP(C580,#REF!,5,FALSE)=0,"",VLOOKUP(C580,#REF!,5,FALSE)),"")</f>
        <v/>
      </c>
      <c r="B580" s="678">
        <v>559</v>
      </c>
      <c r="C580" s="679" t="s">
        <v>11827</v>
      </c>
      <c r="D580" s="679" t="s">
        <v>13679</v>
      </c>
      <c r="E580" s="680" t="s">
        <v>129</v>
      </c>
      <c r="F580" s="681">
        <f>VLOOKUP(C580,[2]List1!$A:$D,2,FALSE)</f>
        <v>267</v>
      </c>
      <c r="G580" s="682">
        <f t="shared" si="101"/>
        <v>267</v>
      </c>
      <c r="H580" s="683">
        <f t="shared" si="102"/>
        <v>10.9</v>
      </c>
      <c r="I580" s="836">
        <v>1</v>
      </c>
      <c r="J580" s="680"/>
      <c r="K580" s="854"/>
      <c r="L580" s="855"/>
      <c r="M580" s="680"/>
      <c r="N580" s="868" t="str">
        <f>IFERROR(VLOOKUP(C580,[3]List1!$A:$D,4,FALSE),"N/A!")</f>
        <v/>
      </c>
      <c r="O580" s="836" t="str">
        <f>IFERROR(VLOOKUP(C580,[3]List1!$A:$D,3,FALSE),"N/A!")</f>
        <v/>
      </c>
      <c r="P580" s="836">
        <f>IFERROR(VLOOKUP(C580,[3]List1!$A:$D,2,FALSE),"N/A!")</f>
        <v>1500</v>
      </c>
      <c r="Q580" s="680"/>
      <c r="R580" s="680"/>
      <c r="S580" s="680"/>
      <c r="T580" s="681"/>
      <c r="U580" s="873"/>
      <c r="V580" s="684"/>
      <c r="W580" s="685" t="str">
        <f>IFERROR(VLOOKUP($C580,Popisy!A:P,MATCH($W$17,Popisy!$A$7:$P$7,0),FALSE),"---------------")</f>
        <v>Karton mit Produktdesign</v>
      </c>
      <c r="X580" s="889" t="str">
        <f t="shared" si="103"/>
        <v/>
      </c>
      <c r="Y580" s="890"/>
      <c r="Z580" s="685" t="str">
        <f>IFERROR(IF(VLOOKUP(C580,[4]List1!$A:$D,4,FALSE)=0,"",VLOOKUP(C580,[4]List1!$A:$D,4,FALSE)),"")</f>
        <v/>
      </c>
      <c r="AA580" s="707"/>
      <c r="AB580" s="911" t="str">
        <f>IFERROR(IF(VLOOKUP(C580,[1]List1!$A:$D,2,FALSE)="VYPRODÁNO",$V$9,IF(VLOOKUP(C580,[1]List1!$A:$D,2,FALSE)="DOCHÁZÍ",$V$3,VLOOKUP(C580,[1]List1!$A:$D,2,FALSE))),"OFFLINE!")</f>
        <v>SKLADEM</v>
      </c>
      <c r="AC580" s="911" t="str">
        <f ca="1">IF(AO580="NE",$V$10,IF(AB580=$V$3,IF(AP580&lt;1,$V$8,$V$2&amp;" "&amp;AP580&amp;" "&amp;$V$1),IF(AB580="SKLADEM",$V$6,IFERROR(IF(OR(AB580-TODAY()&gt;21,VLOOKUP(C580,[1]List1!$A:$E,4,FALSE)=0),AB580,DAY(AB580)&amp;"."&amp;MONTH(AB580)&amp;"."&amp;YEAR(AB580)&amp;" "&amp;$V$4&amp;VLOOKUP(C580,[1]List1!$A:$E,4,FALSE)&amp;" "&amp;$V$1),AB580))))</f>
        <v>AUF LAGER</v>
      </c>
      <c r="AD580" s="686" t="str">
        <f ca="1">_xlfn.IFNA(VLOOKUP(C580,'General price list'!C:AM,MATCH($AD$20,'General price list'!$C$20:$AM$20,0),FALSE),"")</f>
        <v>AUF LAGER</v>
      </c>
      <c r="AE580" s="681">
        <f t="shared" ca="1" si="104"/>
        <v>0</v>
      </c>
      <c r="AF580" s="681">
        <f t="shared" ca="1" si="105"/>
        <v>0</v>
      </c>
      <c r="AG580" s="687">
        <f t="shared" ca="1" si="106"/>
        <v>0</v>
      </c>
      <c r="AH580" s="688">
        <f t="shared" ca="1" si="107"/>
        <v>0</v>
      </c>
      <c r="AI580" s="687" t="str">
        <f t="shared" ca="1" si="108"/>
        <v/>
      </c>
      <c r="AJ580" s="689" t="str">
        <f t="shared" ca="1" si="109"/>
        <v/>
      </c>
      <c r="AK580" s="689" t="str">
        <f t="shared" ca="1" si="110"/>
        <v/>
      </c>
      <c r="AL580" s="689" t="str">
        <f t="shared" ca="1" si="111"/>
        <v/>
      </c>
      <c r="AM580" s="690" t="str">
        <f t="shared" ca="1" si="112"/>
        <v/>
      </c>
      <c r="AN580" s="313"/>
      <c r="AO580" s="314" t="str">
        <f>IF($R$3=1,IF(Y580=AA580,"","NE"),IF(#REF!=$V$10,"NE",""))</f>
        <v/>
      </c>
      <c r="AP580" s="315" t="str">
        <f>IF(AB580=$V$3,IF(VLOOKUP(C580,[1]List1!$A:$E,5,FALSE)=0,1,VLOOKUP(C580,[1]List1!$A:$E,5,FALSE)),"")</f>
        <v/>
      </c>
      <c r="AW580" s="458">
        <f>IFERROR(FIND(VLOOKUP('General price list'!$AB$7,'General price list'!$AC$1:$AD$12,2,FALSE),Q580,1),0)</f>
        <v>0</v>
      </c>
      <c r="AX580" s="458">
        <f>IFERROR(FIND(VLOOKUP('General price list'!$AB$7,'General price list'!$AC$1:$AD$12,2,FALSE),R580,1),0)</f>
        <v>0</v>
      </c>
    </row>
    <row r="581" spans="1:50" ht="15" customHeight="1">
      <c r="A581" s="691" t="str">
        <f>IFERROR(IF(VLOOKUP(C581,#REF!,5,FALSE)=0,"",VLOOKUP(C581,#REF!,5,FALSE)),"")</f>
        <v/>
      </c>
      <c r="B581" s="692">
        <v>560</v>
      </c>
      <c r="C581" s="693" t="s">
        <v>12104</v>
      </c>
      <c r="D581" s="693" t="s">
        <v>13680</v>
      </c>
      <c r="E581" s="694" t="s">
        <v>129</v>
      </c>
      <c r="F581" s="695">
        <f>VLOOKUP(C581,[2]List1!$A:$D,2,FALSE)</f>
        <v>522</v>
      </c>
      <c r="G581" s="696">
        <f t="shared" si="101"/>
        <v>522</v>
      </c>
      <c r="H581" s="697">
        <f t="shared" si="102"/>
        <v>21.2</v>
      </c>
      <c r="I581" s="837">
        <v>1</v>
      </c>
      <c r="J581" s="698"/>
      <c r="K581" s="856"/>
      <c r="L581" s="857"/>
      <c r="M581" s="698"/>
      <c r="N581" s="869" t="str">
        <f>IFERROR(VLOOKUP(C581,[3]List1!$A:$D,4,FALSE),"N/A!")</f>
        <v/>
      </c>
      <c r="O581" s="837" t="str">
        <f>IFERROR(VLOOKUP(C581,[3]List1!$A:$D,3,FALSE),"N/A!")</f>
        <v/>
      </c>
      <c r="P581" s="837">
        <f>IFERROR(VLOOKUP(C581,[3]List1!$A:$D,2,FALSE),"N/A!")</f>
        <v>1500</v>
      </c>
      <c r="Q581" s="698"/>
      <c r="R581" s="698"/>
      <c r="S581" s="698"/>
      <c r="T581" s="695"/>
      <c r="U581" s="874"/>
      <c r="V581" s="699"/>
      <c r="W581" s="700" t="str">
        <f>IFERROR(VLOOKUP($C581,Popisy!A:P,MATCH($W$17,Popisy!$A$7:$P$7,0),FALSE),"---------------")</f>
        <v>Karton mit Produktdesign</v>
      </c>
      <c r="X581" s="891" t="str">
        <f t="shared" si="103"/>
        <v/>
      </c>
      <c r="Y581" s="892"/>
      <c r="Z581" s="700" t="str">
        <f>IFERROR(IF(VLOOKUP(C581,[4]List1!$A:$D,4,FALSE)=0,"",VLOOKUP(C581,[4]List1!$A:$D,4,FALSE)),"")</f>
        <v/>
      </c>
      <c r="AA581" s="707"/>
      <c r="AB581" s="912" t="str">
        <f>IFERROR(IF(VLOOKUP(C581,[1]List1!$A:$D,2,FALSE)="VYPRODÁNO",$V$9,IF(VLOOKUP(C581,[1]List1!$A:$D,2,FALSE)="DOCHÁZÍ",$V$3,VLOOKUP(C581,[1]List1!$A:$D,2,FALSE))),"OFFLINE!")</f>
        <v>SKLADEM</v>
      </c>
      <c r="AC581" s="912" t="str">
        <f ca="1">IF(AO581="NE",$V$10,IF(AB581=$V$3,IF(AP581&lt;1,$V$8,$V$2&amp;" "&amp;AP581&amp;" "&amp;$V$1),IF(AB581="SKLADEM",$V$6,IFERROR(IF(OR(AB581-TODAY()&gt;21,VLOOKUP(C581,[1]List1!$A:$E,4,FALSE)=0),AB581,DAY(AB581)&amp;"."&amp;MONTH(AB581)&amp;"."&amp;YEAR(AB581)&amp;" "&amp;$V$4&amp;VLOOKUP(C581,[1]List1!$A:$E,4,FALSE)&amp;" "&amp;$V$1),AB581))))</f>
        <v>AUF LAGER</v>
      </c>
      <c r="AD581" s="701" t="str">
        <f ca="1">_xlfn.IFNA(VLOOKUP(C581,'General price list'!C:AM,MATCH($AD$20,'General price list'!$C$20:$AM$20,0),FALSE),"")</f>
        <v>AUF LAGER</v>
      </c>
      <c r="AE581" s="695">
        <f t="shared" ca="1" si="104"/>
        <v>0</v>
      </c>
      <c r="AF581" s="695">
        <f t="shared" ca="1" si="105"/>
        <v>0</v>
      </c>
      <c r="AG581" s="702">
        <f t="shared" ca="1" si="106"/>
        <v>0</v>
      </c>
      <c r="AH581" s="703">
        <f t="shared" ca="1" si="107"/>
        <v>0</v>
      </c>
      <c r="AI581" s="702" t="str">
        <f t="shared" ca="1" si="108"/>
        <v/>
      </c>
      <c r="AJ581" s="704" t="str">
        <f t="shared" ca="1" si="109"/>
        <v/>
      </c>
      <c r="AK581" s="704" t="str">
        <f t="shared" ca="1" si="110"/>
        <v/>
      </c>
      <c r="AL581" s="704" t="str">
        <f t="shared" ca="1" si="111"/>
        <v/>
      </c>
      <c r="AM581" s="705" t="str">
        <f t="shared" ca="1" si="112"/>
        <v/>
      </c>
      <c r="AN581" s="313"/>
      <c r="AO581" s="314" t="str">
        <f>IF($R$3=1,IF(Y581=AA581,"","NE"),IF(#REF!=$V$10,"NE",""))</f>
        <v/>
      </c>
      <c r="AP581" s="315" t="str">
        <f>IF(AB581=$V$3,IF(VLOOKUP(C581,[1]List1!$A:$E,5,FALSE)=0,1,VLOOKUP(C581,[1]List1!$A:$E,5,FALSE)),"")</f>
        <v/>
      </c>
      <c r="AW581" s="458">
        <f>IFERROR(FIND(VLOOKUP('General price list'!$AB$7,'General price list'!$AC$1:$AD$12,2,FALSE),Q581,1),0)</f>
        <v>0</v>
      </c>
      <c r="AX581" s="458">
        <f>IFERROR(FIND(VLOOKUP('General price list'!$AB$7,'General price list'!$AC$1:$AD$12,2,FALSE),R581,1),0)</f>
        <v>0</v>
      </c>
    </row>
    <row r="582" spans="1:50" ht="15" customHeight="1">
      <c r="A582" s="677" t="str">
        <f>IFERROR(IF(VLOOKUP(C582,#REF!,5,FALSE)=0,"",VLOOKUP(C582,#REF!,5,FALSE)),"")</f>
        <v/>
      </c>
      <c r="B582" s="678">
        <v>561</v>
      </c>
      <c r="C582" s="679" t="s">
        <v>11828</v>
      </c>
      <c r="D582" s="679" t="s">
        <v>13681</v>
      </c>
      <c r="E582" s="680" t="s">
        <v>129</v>
      </c>
      <c r="F582" s="681">
        <f>VLOOKUP(C582,[2]List1!$A:$D,2,FALSE)</f>
        <v>211</v>
      </c>
      <c r="G582" s="682">
        <f t="shared" si="101"/>
        <v>211</v>
      </c>
      <c r="H582" s="683">
        <f t="shared" si="102"/>
        <v>8.6</v>
      </c>
      <c r="I582" s="836">
        <v>1</v>
      </c>
      <c r="J582" s="680"/>
      <c r="K582" s="854"/>
      <c r="L582" s="855"/>
      <c r="M582" s="680"/>
      <c r="N582" s="868" t="str">
        <f>IFERROR(VLOOKUP(C582,[3]List1!$A:$D,4,FALSE),"N/A!")</f>
        <v/>
      </c>
      <c r="O582" s="836" t="str">
        <f>IFERROR(VLOOKUP(C582,[3]List1!$A:$D,3,FALSE),"N/A!")</f>
        <v/>
      </c>
      <c r="P582" s="836">
        <f>IFERROR(VLOOKUP(C582,[3]List1!$A:$D,2,FALSE),"N/A!")</f>
        <v>1500</v>
      </c>
      <c r="Q582" s="680"/>
      <c r="R582" s="680"/>
      <c r="S582" s="680"/>
      <c r="T582" s="681"/>
      <c r="U582" s="873"/>
      <c r="V582" s="684"/>
      <c r="W582" s="685" t="str">
        <f>IFERROR(VLOOKUP($C582,Popisy!A:P,MATCH($W$17,Popisy!$A$7:$P$7,0),FALSE),"---------------")</f>
        <v>Karton mit Produktdesign</v>
      </c>
      <c r="X582" s="889" t="str">
        <f t="shared" si="103"/>
        <v/>
      </c>
      <c r="Y582" s="890"/>
      <c r="Z582" s="685" t="str">
        <f>IFERROR(IF(VLOOKUP(C582,[4]List1!$A:$D,4,FALSE)=0,"",VLOOKUP(C582,[4]List1!$A:$D,4,FALSE)),"")</f>
        <v/>
      </c>
      <c r="AA582" s="707"/>
      <c r="AB582" s="911" t="str">
        <f>IFERROR(IF(VLOOKUP(C582,[1]List1!$A:$D,2,FALSE)="VYPRODÁNO",$V$9,IF(VLOOKUP(C582,[1]List1!$A:$D,2,FALSE)="DOCHÁZÍ",$V$3,VLOOKUP(C582,[1]List1!$A:$D,2,FALSE))),"OFFLINE!")</f>
        <v>SKLADEM</v>
      </c>
      <c r="AC582" s="911" t="str">
        <f ca="1">IF(AO582="NE",$V$10,IF(AB582=$V$3,IF(AP582&lt;1,$V$8,$V$2&amp;" "&amp;AP582&amp;" "&amp;$V$1),IF(AB582="SKLADEM",$V$6,IFERROR(IF(OR(AB582-TODAY()&gt;21,VLOOKUP(C582,[1]List1!$A:$E,4,FALSE)=0),AB582,DAY(AB582)&amp;"."&amp;MONTH(AB582)&amp;"."&amp;YEAR(AB582)&amp;" "&amp;$V$4&amp;VLOOKUP(C582,[1]List1!$A:$E,4,FALSE)&amp;" "&amp;$V$1),AB582))))</f>
        <v>AUF LAGER</v>
      </c>
      <c r="AD582" s="686" t="str">
        <f ca="1">_xlfn.IFNA(VLOOKUP(C582,'General price list'!C:AM,MATCH($AD$20,'General price list'!$C$20:$AM$20,0),FALSE),"")</f>
        <v>AUF LAGER</v>
      </c>
      <c r="AE582" s="681">
        <f t="shared" ca="1" si="104"/>
        <v>0</v>
      </c>
      <c r="AF582" s="681">
        <f t="shared" ca="1" si="105"/>
        <v>0</v>
      </c>
      <c r="AG582" s="687">
        <f t="shared" ca="1" si="106"/>
        <v>0</v>
      </c>
      <c r="AH582" s="688">
        <f t="shared" ca="1" si="107"/>
        <v>0</v>
      </c>
      <c r="AI582" s="687" t="str">
        <f t="shared" ca="1" si="108"/>
        <v/>
      </c>
      <c r="AJ582" s="689" t="str">
        <f t="shared" ca="1" si="109"/>
        <v/>
      </c>
      <c r="AK582" s="689" t="str">
        <f t="shared" ca="1" si="110"/>
        <v/>
      </c>
      <c r="AL582" s="689" t="str">
        <f t="shared" ca="1" si="111"/>
        <v/>
      </c>
      <c r="AM582" s="690" t="str">
        <f t="shared" ca="1" si="112"/>
        <v/>
      </c>
      <c r="AN582" s="313"/>
      <c r="AO582" s="314" t="str">
        <f>IF($R$3=1,IF(Y582=AA582,"","NE"),IF(#REF!=$V$10,"NE",""))</f>
        <v/>
      </c>
      <c r="AP582" s="315" t="str">
        <f>IF(AB582=$V$3,IF(VLOOKUP(C582,[1]List1!$A:$E,5,FALSE)=0,1,VLOOKUP(C582,[1]List1!$A:$E,5,FALSE)),"")</f>
        <v/>
      </c>
      <c r="AW582" s="458">
        <f>IFERROR(FIND(VLOOKUP('General price list'!$AB$7,'General price list'!$AC$1:$AD$12,2,FALSE),Q582,1),0)</f>
        <v>0</v>
      </c>
      <c r="AX582" s="458">
        <f>IFERROR(FIND(VLOOKUP('General price list'!$AB$7,'General price list'!$AC$1:$AD$12,2,FALSE),R582,1),0)</f>
        <v>0</v>
      </c>
    </row>
    <row r="583" spans="1:50" ht="15" customHeight="1">
      <c r="A583" s="691" t="str">
        <f>IFERROR(IF(VLOOKUP(C583,#REF!,5,FALSE)=0,"",VLOOKUP(C583,#REF!,5,FALSE)),"")</f>
        <v/>
      </c>
      <c r="B583" s="692">
        <v>562</v>
      </c>
      <c r="C583" s="693" t="s">
        <v>12105</v>
      </c>
      <c r="D583" s="693" t="s">
        <v>13682</v>
      </c>
      <c r="E583" s="694" t="s">
        <v>129</v>
      </c>
      <c r="F583" s="695">
        <f>VLOOKUP(C583,[2]List1!$A:$D,2,FALSE)</f>
        <v>635</v>
      </c>
      <c r="G583" s="696">
        <f t="shared" si="101"/>
        <v>635</v>
      </c>
      <c r="H583" s="697">
        <f t="shared" si="102"/>
        <v>25.8</v>
      </c>
      <c r="I583" s="837">
        <v>1</v>
      </c>
      <c r="J583" s="698"/>
      <c r="K583" s="856"/>
      <c r="L583" s="857"/>
      <c r="M583" s="698"/>
      <c r="N583" s="869" t="str">
        <f>IFERROR(VLOOKUP(C583,[3]List1!$A:$D,4,FALSE),"N/A!")</f>
        <v/>
      </c>
      <c r="O583" s="837" t="str">
        <f>IFERROR(VLOOKUP(C583,[3]List1!$A:$D,3,FALSE),"N/A!")</f>
        <v/>
      </c>
      <c r="P583" s="837">
        <f>IFERROR(VLOOKUP(C583,[3]List1!$A:$D,2,FALSE),"N/A!")</f>
        <v>1500</v>
      </c>
      <c r="Q583" s="698"/>
      <c r="R583" s="698"/>
      <c r="S583" s="698"/>
      <c r="T583" s="695"/>
      <c r="U583" s="874"/>
      <c r="V583" s="699"/>
      <c r="W583" s="700" t="str">
        <f>IFERROR(VLOOKUP($C583,Popisy!A:P,MATCH($W$17,Popisy!$A$7:$P$7,0),FALSE),"---------------")</f>
        <v>Karton mit Produktdesign</v>
      </c>
      <c r="X583" s="891" t="str">
        <f t="shared" si="103"/>
        <v/>
      </c>
      <c r="Y583" s="892"/>
      <c r="Z583" s="700" t="str">
        <f>IFERROR(IF(VLOOKUP(C583,[4]List1!$A:$D,4,FALSE)=0,"",VLOOKUP(C583,[4]List1!$A:$D,4,FALSE)),"")</f>
        <v/>
      </c>
      <c r="AA583" s="707"/>
      <c r="AB583" s="912" t="str">
        <f>IFERROR(IF(VLOOKUP(C583,[1]List1!$A:$D,2,FALSE)="VYPRODÁNO",$V$9,IF(VLOOKUP(C583,[1]List1!$A:$D,2,FALSE)="DOCHÁZÍ",$V$3,VLOOKUP(C583,[1]List1!$A:$D,2,FALSE))),"OFFLINE!")</f>
        <v>SKLADEM</v>
      </c>
      <c r="AC583" s="912" t="str">
        <f ca="1">IF(AO583="NE",$V$10,IF(AB583=$V$3,IF(AP583&lt;1,$V$8,$V$2&amp;" "&amp;AP583&amp;" "&amp;$V$1),IF(AB583="SKLADEM",$V$6,IFERROR(IF(OR(AB583-TODAY()&gt;21,VLOOKUP(C583,[1]List1!$A:$E,4,FALSE)=0),AB583,DAY(AB583)&amp;"."&amp;MONTH(AB583)&amp;"."&amp;YEAR(AB583)&amp;" "&amp;$V$4&amp;VLOOKUP(C583,[1]List1!$A:$E,4,FALSE)&amp;" "&amp;$V$1),AB583))))</f>
        <v>AUF LAGER</v>
      </c>
      <c r="AD583" s="701" t="str">
        <f ca="1">_xlfn.IFNA(VLOOKUP(C583,'General price list'!C:AM,MATCH($AD$20,'General price list'!$C$20:$AM$20,0),FALSE),"")</f>
        <v>AUF LAGER</v>
      </c>
      <c r="AE583" s="695">
        <f t="shared" ca="1" si="104"/>
        <v>0</v>
      </c>
      <c r="AF583" s="695">
        <f t="shared" ca="1" si="105"/>
        <v>0</v>
      </c>
      <c r="AG583" s="702">
        <f t="shared" ca="1" si="106"/>
        <v>0</v>
      </c>
      <c r="AH583" s="703">
        <f t="shared" ca="1" si="107"/>
        <v>0</v>
      </c>
      <c r="AI583" s="702" t="str">
        <f t="shared" ca="1" si="108"/>
        <v/>
      </c>
      <c r="AJ583" s="704" t="str">
        <f t="shared" ca="1" si="109"/>
        <v/>
      </c>
      <c r="AK583" s="704" t="str">
        <f t="shared" ca="1" si="110"/>
        <v/>
      </c>
      <c r="AL583" s="704" t="str">
        <f t="shared" ca="1" si="111"/>
        <v/>
      </c>
      <c r="AM583" s="705" t="str">
        <f t="shared" ca="1" si="112"/>
        <v/>
      </c>
      <c r="AN583" s="313"/>
      <c r="AO583" s="314" t="str">
        <f>IF($R$3=1,IF(Y583=AA583,"","NE"),IF(#REF!=$V$10,"NE",""))</f>
        <v/>
      </c>
      <c r="AP583" s="315" t="str">
        <f>IF(AB583=$V$3,IF(VLOOKUP(C583,[1]List1!$A:$E,5,FALSE)=0,1,VLOOKUP(C583,[1]List1!$A:$E,5,FALSE)),"")</f>
        <v/>
      </c>
      <c r="AW583" s="458">
        <f>IFERROR(FIND(VLOOKUP('General price list'!$AB$7,'General price list'!$AC$1:$AD$12,2,FALSE),Q583,1),0)</f>
        <v>0</v>
      </c>
      <c r="AX583" s="458">
        <f>IFERROR(FIND(VLOOKUP('General price list'!$AB$7,'General price list'!$AC$1:$AD$12,2,FALSE),R583,1),0)</f>
        <v>0</v>
      </c>
    </row>
    <row r="584" spans="1:50" ht="15" customHeight="1">
      <c r="A584" s="677" t="str">
        <f>IFERROR(IF(VLOOKUP(C584,#REF!,5,FALSE)=0,"",VLOOKUP(C584,#REF!,5,FALSE)),"")</f>
        <v/>
      </c>
      <c r="B584" s="678">
        <v>563</v>
      </c>
      <c r="C584" s="679" t="s">
        <v>11830</v>
      </c>
      <c r="D584" s="679" t="s">
        <v>13683</v>
      </c>
      <c r="E584" s="680" t="s">
        <v>129</v>
      </c>
      <c r="F584" s="681">
        <f>VLOOKUP(C584,[2]List1!$A:$D,2,FALSE)</f>
        <v>208</v>
      </c>
      <c r="G584" s="682">
        <f t="shared" si="101"/>
        <v>208</v>
      </c>
      <c r="H584" s="683">
        <f t="shared" si="102"/>
        <v>8.5</v>
      </c>
      <c r="I584" s="836">
        <v>1</v>
      </c>
      <c r="J584" s="680"/>
      <c r="K584" s="854"/>
      <c r="L584" s="855"/>
      <c r="M584" s="680"/>
      <c r="N584" s="868" t="str">
        <f>IFERROR(VLOOKUP(C584,[3]List1!$A:$D,4,FALSE),"N/A!")</f>
        <v/>
      </c>
      <c r="O584" s="836" t="str">
        <f>IFERROR(VLOOKUP(C584,[3]List1!$A:$D,3,FALSE),"N/A!")</f>
        <v/>
      </c>
      <c r="P584" s="836">
        <f>IFERROR(VLOOKUP(C584,[3]List1!$A:$D,2,FALSE),"N/A!")</f>
        <v>1500</v>
      </c>
      <c r="Q584" s="680"/>
      <c r="R584" s="680"/>
      <c r="S584" s="680"/>
      <c r="T584" s="681"/>
      <c r="U584" s="873"/>
      <c r="V584" s="684"/>
      <c r="W584" s="685" t="str">
        <f>IFERROR(VLOOKUP($C584,Popisy!A:P,MATCH($W$17,Popisy!$A$7:$P$7,0),FALSE),"---------------")</f>
        <v>Karton mit Produktdesign</v>
      </c>
      <c r="X584" s="889" t="str">
        <f t="shared" si="103"/>
        <v/>
      </c>
      <c r="Y584" s="890"/>
      <c r="Z584" s="685" t="str">
        <f>IFERROR(IF(VLOOKUP(C584,[4]List1!$A:$D,4,FALSE)=0,"",VLOOKUP(C584,[4]List1!$A:$D,4,FALSE)),"")</f>
        <v/>
      </c>
      <c r="AA584" s="707"/>
      <c r="AB584" s="911" t="str">
        <f>IFERROR(IF(VLOOKUP(C584,[1]List1!$A:$D,2,FALSE)="VYPRODÁNO",$V$9,IF(VLOOKUP(C584,[1]List1!$A:$D,2,FALSE)="DOCHÁZÍ",$V$3,VLOOKUP(C584,[1]List1!$A:$D,2,FALSE))),"OFFLINE!")</f>
        <v>SKLADEM</v>
      </c>
      <c r="AC584" s="911" t="str">
        <f ca="1">IF(AO584="NE",$V$10,IF(AB584=$V$3,IF(AP584&lt;1,$V$8,$V$2&amp;" "&amp;AP584&amp;" "&amp;$V$1),IF(AB584="SKLADEM",$V$6,IFERROR(IF(OR(AB584-TODAY()&gt;21,VLOOKUP(C584,[1]List1!$A:$E,4,FALSE)=0),AB584,DAY(AB584)&amp;"."&amp;MONTH(AB584)&amp;"."&amp;YEAR(AB584)&amp;" "&amp;$V$4&amp;VLOOKUP(C584,[1]List1!$A:$E,4,FALSE)&amp;" "&amp;$V$1),AB584))))</f>
        <v>AUF LAGER</v>
      </c>
      <c r="AD584" s="686" t="str">
        <f ca="1">_xlfn.IFNA(VLOOKUP(C584,'General price list'!C:AM,MATCH($AD$20,'General price list'!$C$20:$AM$20,0),FALSE),"")</f>
        <v>AUF LAGER</v>
      </c>
      <c r="AE584" s="681">
        <f t="shared" ca="1" si="104"/>
        <v>0</v>
      </c>
      <c r="AF584" s="681">
        <f t="shared" ca="1" si="105"/>
        <v>0</v>
      </c>
      <c r="AG584" s="687">
        <f t="shared" ca="1" si="106"/>
        <v>0</v>
      </c>
      <c r="AH584" s="688">
        <f t="shared" ca="1" si="107"/>
        <v>0</v>
      </c>
      <c r="AI584" s="687" t="str">
        <f t="shared" ca="1" si="108"/>
        <v/>
      </c>
      <c r="AJ584" s="689" t="str">
        <f t="shared" ca="1" si="109"/>
        <v/>
      </c>
      <c r="AK584" s="689" t="str">
        <f t="shared" ca="1" si="110"/>
        <v/>
      </c>
      <c r="AL584" s="689" t="str">
        <f t="shared" ca="1" si="111"/>
        <v/>
      </c>
      <c r="AM584" s="690" t="str">
        <f t="shared" ca="1" si="112"/>
        <v/>
      </c>
      <c r="AN584" s="382"/>
      <c r="AO584" s="314" t="str">
        <f>IF($R$3=1,IF(Y584=AA584,"","NE"),IF(#REF!=$V$10,"NE",""))</f>
        <v/>
      </c>
      <c r="AP584" s="315" t="str">
        <f>IF(AB584=$V$3,IF(VLOOKUP(C584,[1]List1!$A:$E,5,FALSE)=0,1,VLOOKUP(C584,[1]List1!$A:$E,5,FALSE)),"")</f>
        <v/>
      </c>
      <c r="AW584" s="458">
        <f>IFERROR(FIND(VLOOKUP('General price list'!$AB$7,'General price list'!$AC$1:$AD$12,2,FALSE),Q584,1),0)</f>
        <v>0</v>
      </c>
      <c r="AX584" s="458">
        <f>IFERROR(FIND(VLOOKUP('General price list'!$AB$7,'General price list'!$AC$1:$AD$12,2,FALSE),R584,1),0)</f>
        <v>0</v>
      </c>
    </row>
    <row r="585" spans="1:50" ht="15" customHeight="1">
      <c r="A585" s="691" t="str">
        <f>IFERROR(IF(VLOOKUP(C585,#REF!,5,FALSE)=0,"",VLOOKUP(C585,#REF!,5,FALSE)),"")</f>
        <v/>
      </c>
      <c r="B585" s="692">
        <v>564</v>
      </c>
      <c r="C585" s="693" t="s">
        <v>11831</v>
      </c>
      <c r="D585" s="693" t="s">
        <v>13684</v>
      </c>
      <c r="E585" s="694" t="s">
        <v>129</v>
      </c>
      <c r="F585" s="695">
        <f>VLOOKUP(C585,[2]List1!$A:$D,2,FALSE)</f>
        <v>285</v>
      </c>
      <c r="G585" s="696">
        <f t="shared" si="101"/>
        <v>285</v>
      </c>
      <c r="H585" s="697">
        <f t="shared" si="102"/>
        <v>11.6</v>
      </c>
      <c r="I585" s="837">
        <v>1</v>
      </c>
      <c r="J585" s="698"/>
      <c r="K585" s="856"/>
      <c r="L585" s="857"/>
      <c r="M585" s="698"/>
      <c r="N585" s="869" t="str">
        <f>IFERROR(VLOOKUP(C585,[3]List1!$A:$D,4,FALSE),"N/A!")</f>
        <v/>
      </c>
      <c r="O585" s="837" t="str">
        <f>IFERROR(VLOOKUP(C585,[3]List1!$A:$D,3,FALSE),"N/A!")</f>
        <v/>
      </c>
      <c r="P585" s="837">
        <f>IFERROR(VLOOKUP(C585,[3]List1!$A:$D,2,FALSE),"N/A!")</f>
        <v>1500</v>
      </c>
      <c r="Q585" s="698"/>
      <c r="R585" s="698"/>
      <c r="S585" s="698"/>
      <c r="T585" s="695"/>
      <c r="U585" s="874"/>
      <c r="V585" s="699"/>
      <c r="W585" s="700" t="str">
        <f>IFERROR(VLOOKUP($C585,Popisy!A:P,MATCH($W$17,Popisy!$A$7:$P$7,0),FALSE),"---------------")</f>
        <v>Karton mit Produktdesign</v>
      </c>
      <c r="X585" s="891" t="str">
        <f t="shared" si="103"/>
        <v/>
      </c>
      <c r="Y585" s="892"/>
      <c r="Z585" s="700" t="str">
        <f>IFERROR(IF(VLOOKUP(C585,[4]List1!$A:$D,4,FALSE)=0,"",VLOOKUP(C585,[4]List1!$A:$D,4,FALSE)),"")</f>
        <v/>
      </c>
      <c r="AA585" s="707"/>
      <c r="AB585" s="912" t="str">
        <f>IFERROR(IF(VLOOKUP(C585,[1]List1!$A:$D,2,FALSE)="VYPRODÁNO",$V$9,IF(VLOOKUP(C585,[1]List1!$A:$D,2,FALSE)="DOCHÁZÍ",$V$3,VLOOKUP(C585,[1]List1!$A:$D,2,FALSE))),"OFFLINE!")</f>
        <v>SKLADEM</v>
      </c>
      <c r="AC585" s="912" t="str">
        <f ca="1">IF(AO585="NE",$V$10,IF(AB585=$V$3,IF(AP585&lt;1,$V$8,$V$2&amp;" "&amp;AP585&amp;" "&amp;$V$1),IF(AB585="SKLADEM",$V$6,IFERROR(IF(OR(AB585-TODAY()&gt;21,VLOOKUP(C585,[1]List1!$A:$E,4,FALSE)=0),AB585,DAY(AB585)&amp;"."&amp;MONTH(AB585)&amp;"."&amp;YEAR(AB585)&amp;" "&amp;$V$4&amp;VLOOKUP(C585,[1]List1!$A:$E,4,FALSE)&amp;" "&amp;$V$1),AB585))))</f>
        <v>AUF LAGER</v>
      </c>
      <c r="AD585" s="701" t="str">
        <f ca="1">_xlfn.IFNA(VLOOKUP(C585,'General price list'!C:AM,MATCH($AD$20,'General price list'!$C$20:$AM$20,0),FALSE),"")</f>
        <v>AUF LAGER</v>
      </c>
      <c r="AE585" s="695">
        <f t="shared" ca="1" si="104"/>
        <v>0</v>
      </c>
      <c r="AF585" s="695">
        <f t="shared" ca="1" si="105"/>
        <v>0</v>
      </c>
      <c r="AG585" s="702">
        <f t="shared" ca="1" si="106"/>
        <v>0</v>
      </c>
      <c r="AH585" s="703">
        <f t="shared" ca="1" si="107"/>
        <v>0</v>
      </c>
      <c r="AI585" s="702" t="str">
        <f t="shared" ca="1" si="108"/>
        <v/>
      </c>
      <c r="AJ585" s="704" t="str">
        <f t="shared" ca="1" si="109"/>
        <v/>
      </c>
      <c r="AK585" s="704" t="str">
        <f t="shared" ca="1" si="110"/>
        <v/>
      </c>
      <c r="AL585" s="704" t="str">
        <f t="shared" ca="1" si="111"/>
        <v/>
      </c>
      <c r="AM585" s="705" t="str">
        <f t="shared" ca="1" si="112"/>
        <v/>
      </c>
      <c r="AN585" s="313"/>
      <c r="AO585" s="314" t="str">
        <f>IF($R$3=1,IF(Y585=AA585,"","NE"),IF(#REF!=$V$10,"NE",""))</f>
        <v/>
      </c>
      <c r="AP585" s="315" t="str">
        <f>IF(AB585=$V$3,IF(VLOOKUP(C585,[1]List1!$A:$E,5,FALSE)=0,1,VLOOKUP(C585,[1]List1!$A:$E,5,FALSE)),"")</f>
        <v/>
      </c>
      <c r="AW585" s="458">
        <f>IFERROR(FIND(VLOOKUP('General price list'!$AB$7,'General price list'!$AC$1:$AD$12,2,FALSE),Q585,1),0)</f>
        <v>0</v>
      </c>
      <c r="AX585" s="458">
        <f>IFERROR(FIND(VLOOKUP('General price list'!$AB$7,'General price list'!$AC$1:$AD$12,2,FALSE),R585,1),0)</f>
        <v>0</v>
      </c>
    </row>
    <row r="586" spans="1:50" ht="15" customHeight="1">
      <c r="A586" s="677" t="str">
        <f>IFERROR(IF(VLOOKUP(C586,#REF!,5,FALSE)=0,"",VLOOKUP(C586,#REF!,5,FALSE)),"")</f>
        <v/>
      </c>
      <c r="B586" s="678">
        <v>565</v>
      </c>
      <c r="C586" s="679" t="s">
        <v>11832</v>
      </c>
      <c r="D586" s="679" t="s">
        <v>13685</v>
      </c>
      <c r="E586" s="680" t="s">
        <v>129</v>
      </c>
      <c r="F586" s="681">
        <f>VLOOKUP(C586,[2]List1!$A:$D,2,FALSE)</f>
        <v>360</v>
      </c>
      <c r="G586" s="682">
        <f t="shared" si="101"/>
        <v>360</v>
      </c>
      <c r="H586" s="683">
        <f t="shared" si="102"/>
        <v>14.6</v>
      </c>
      <c r="I586" s="836">
        <v>1</v>
      </c>
      <c r="J586" s="680"/>
      <c r="K586" s="854"/>
      <c r="L586" s="855"/>
      <c r="M586" s="680"/>
      <c r="N586" s="868" t="str">
        <f>IFERROR(VLOOKUP(C586,[3]List1!$A:$D,4,FALSE),"N/A!")</f>
        <v/>
      </c>
      <c r="O586" s="836" t="str">
        <f>IFERROR(VLOOKUP(C586,[3]List1!$A:$D,3,FALSE),"N/A!")</f>
        <v/>
      </c>
      <c r="P586" s="836">
        <f>IFERROR(VLOOKUP(C586,[3]List1!$A:$D,2,FALSE),"N/A!")</f>
        <v>1500</v>
      </c>
      <c r="Q586" s="680"/>
      <c r="R586" s="680"/>
      <c r="S586" s="680"/>
      <c r="T586" s="681"/>
      <c r="U586" s="873"/>
      <c r="V586" s="684"/>
      <c r="W586" s="685" t="str">
        <f>IFERROR(VLOOKUP($C586,Popisy!A:P,MATCH($W$17,Popisy!$A$7:$P$7,0),FALSE),"---------------")</f>
        <v>Karton mit Produktdesign</v>
      </c>
      <c r="X586" s="889" t="str">
        <f t="shared" si="103"/>
        <v/>
      </c>
      <c r="Y586" s="890"/>
      <c r="Z586" s="685" t="str">
        <f>IFERROR(IF(VLOOKUP(C586,[4]List1!$A:$D,4,FALSE)=0,"",VLOOKUP(C586,[4]List1!$A:$D,4,FALSE)),"")</f>
        <v/>
      </c>
      <c r="AA586" s="707"/>
      <c r="AB586" s="911" t="str">
        <f>IFERROR(IF(VLOOKUP(C586,[1]List1!$A:$D,2,FALSE)="VYPRODÁNO",$V$9,IF(VLOOKUP(C586,[1]List1!$A:$D,2,FALSE)="DOCHÁZÍ",$V$3,VLOOKUP(C586,[1]List1!$A:$D,2,FALSE))),"OFFLINE!")</f>
        <v>SKLADEM</v>
      </c>
      <c r="AC586" s="911" t="str">
        <f ca="1">IF(AO586="NE",$V$10,IF(AB586=$V$3,IF(AP586&lt;1,$V$8,$V$2&amp;" "&amp;AP586&amp;" "&amp;$V$1),IF(AB586="SKLADEM",$V$6,IFERROR(IF(OR(AB586-TODAY()&gt;21,VLOOKUP(C586,[1]List1!$A:$E,4,FALSE)=0),AB586,DAY(AB586)&amp;"."&amp;MONTH(AB586)&amp;"."&amp;YEAR(AB586)&amp;" "&amp;$V$4&amp;VLOOKUP(C586,[1]List1!$A:$E,4,FALSE)&amp;" "&amp;$V$1),AB586))))</f>
        <v>AUF LAGER</v>
      </c>
      <c r="AD586" s="686" t="str">
        <f ca="1">_xlfn.IFNA(VLOOKUP(C586,'General price list'!C:AM,MATCH($AD$20,'General price list'!$C$20:$AM$20,0),FALSE),"")</f>
        <v>AUF LAGER</v>
      </c>
      <c r="AE586" s="681">
        <f t="shared" ca="1" si="104"/>
        <v>0</v>
      </c>
      <c r="AF586" s="681">
        <f t="shared" ca="1" si="105"/>
        <v>0</v>
      </c>
      <c r="AG586" s="687">
        <f t="shared" ca="1" si="106"/>
        <v>0</v>
      </c>
      <c r="AH586" s="688">
        <f t="shared" ca="1" si="107"/>
        <v>0</v>
      </c>
      <c r="AI586" s="687" t="str">
        <f t="shared" ca="1" si="108"/>
        <v/>
      </c>
      <c r="AJ586" s="689" t="str">
        <f t="shared" ca="1" si="109"/>
        <v/>
      </c>
      <c r="AK586" s="689" t="str">
        <f t="shared" ca="1" si="110"/>
        <v/>
      </c>
      <c r="AL586" s="689" t="str">
        <f t="shared" ca="1" si="111"/>
        <v/>
      </c>
      <c r="AM586" s="690" t="str">
        <f t="shared" ca="1" si="112"/>
        <v/>
      </c>
      <c r="AN586" s="313"/>
      <c r="AO586" s="314" t="str">
        <f>IF($R$3=1,IF(Y586=AA586,"","NE"),IF(#REF!=$V$10,"NE",""))</f>
        <v/>
      </c>
      <c r="AP586" s="315" t="str">
        <f>IF(AB586=$V$3,IF(VLOOKUP(C586,[1]List1!$A:$E,5,FALSE)=0,1,VLOOKUP(C586,[1]List1!$A:$E,5,FALSE)),"")</f>
        <v/>
      </c>
      <c r="AW586" s="458">
        <f>IFERROR(FIND(VLOOKUP('General price list'!$AB$7,'General price list'!$AC$1:$AD$12,2,FALSE),Q586,1),0)</f>
        <v>0</v>
      </c>
      <c r="AX586" s="458">
        <f>IFERROR(FIND(VLOOKUP('General price list'!$AB$7,'General price list'!$AC$1:$AD$12,2,FALSE),R586,1),0)</f>
        <v>0</v>
      </c>
    </row>
    <row r="587" spans="1:50" ht="15" customHeight="1">
      <c r="A587" s="691" t="str">
        <f>IFERROR(IF(VLOOKUP(C587,#REF!,5,FALSE)=0,"",VLOOKUP(C587,#REF!,5,FALSE)),"")</f>
        <v/>
      </c>
      <c r="B587" s="692">
        <v>566</v>
      </c>
      <c r="C587" s="693" t="s">
        <v>11833</v>
      </c>
      <c r="D587" s="693" t="s">
        <v>13686</v>
      </c>
      <c r="E587" s="694" t="s">
        <v>129</v>
      </c>
      <c r="F587" s="695">
        <f>VLOOKUP(C587,[2]List1!$A:$D,2,FALSE)</f>
        <v>369</v>
      </c>
      <c r="G587" s="696">
        <f t="shared" si="101"/>
        <v>369</v>
      </c>
      <c r="H587" s="697">
        <f t="shared" si="102"/>
        <v>15</v>
      </c>
      <c r="I587" s="837">
        <v>1</v>
      </c>
      <c r="J587" s="698"/>
      <c r="K587" s="856"/>
      <c r="L587" s="857"/>
      <c r="M587" s="698"/>
      <c r="N587" s="869" t="str">
        <f>IFERROR(VLOOKUP(C587,[3]List1!$A:$D,4,FALSE),"N/A!")</f>
        <v/>
      </c>
      <c r="O587" s="837" t="str">
        <f>IFERROR(VLOOKUP(C587,[3]List1!$A:$D,3,FALSE),"N/A!")</f>
        <v/>
      </c>
      <c r="P587" s="837">
        <f>IFERROR(VLOOKUP(C587,[3]List1!$A:$D,2,FALSE),"N/A!")</f>
        <v>1500</v>
      </c>
      <c r="Q587" s="698"/>
      <c r="R587" s="698"/>
      <c r="S587" s="698"/>
      <c r="T587" s="695"/>
      <c r="U587" s="874"/>
      <c r="V587" s="699"/>
      <c r="W587" s="700" t="str">
        <f>IFERROR(VLOOKUP($C587,Popisy!A:P,MATCH($W$17,Popisy!$A$7:$P$7,0),FALSE),"---------------")</f>
        <v>Karton mit Produktdesign</v>
      </c>
      <c r="X587" s="891" t="str">
        <f t="shared" si="103"/>
        <v/>
      </c>
      <c r="Y587" s="892"/>
      <c r="Z587" s="700" t="str">
        <f>IFERROR(IF(VLOOKUP(C587,[4]List1!$A:$D,4,FALSE)=0,"",VLOOKUP(C587,[4]List1!$A:$D,4,FALSE)),"")</f>
        <v/>
      </c>
      <c r="AA587" s="707"/>
      <c r="AB587" s="912" t="str">
        <f>IFERROR(IF(VLOOKUP(C587,[1]List1!$A:$D,2,FALSE)="VYPRODÁNO",$V$9,IF(VLOOKUP(C587,[1]List1!$A:$D,2,FALSE)="DOCHÁZÍ",$V$3,VLOOKUP(C587,[1]List1!$A:$D,2,FALSE))),"OFFLINE!")</f>
        <v>SKLADEM</v>
      </c>
      <c r="AC587" s="912" t="str">
        <f ca="1">IF(AO587="NE",$V$10,IF(AB587=$V$3,IF(AP587&lt;1,$V$8,$V$2&amp;" "&amp;AP587&amp;" "&amp;$V$1),IF(AB587="SKLADEM",$V$6,IFERROR(IF(OR(AB587-TODAY()&gt;21,VLOOKUP(C587,[1]List1!$A:$E,4,FALSE)=0),AB587,DAY(AB587)&amp;"."&amp;MONTH(AB587)&amp;"."&amp;YEAR(AB587)&amp;" "&amp;$V$4&amp;VLOOKUP(C587,[1]List1!$A:$E,4,FALSE)&amp;" "&amp;$V$1),AB587))))</f>
        <v>AUF LAGER</v>
      </c>
      <c r="AD587" s="701">
        <f>_xlfn.IFNA(VLOOKUP(C587,'General price list'!C:AM,MATCH($AD$20,'General price list'!$C$20:$AM$20,0),FALSE),"")</f>
        <v>0</v>
      </c>
      <c r="AE587" s="695">
        <f t="shared" si="104"/>
        <v>0</v>
      </c>
      <c r="AF587" s="695">
        <f t="shared" si="105"/>
        <v>0</v>
      </c>
      <c r="AG587" s="702">
        <f t="shared" si="106"/>
        <v>0</v>
      </c>
      <c r="AH587" s="703">
        <f t="shared" si="107"/>
        <v>0</v>
      </c>
      <c r="AI587" s="702" t="str">
        <f t="shared" si="108"/>
        <v/>
      </c>
      <c r="AJ587" s="704" t="str">
        <f t="shared" si="109"/>
        <v/>
      </c>
      <c r="AK587" s="704" t="str">
        <f t="shared" si="110"/>
        <v/>
      </c>
      <c r="AL587" s="704" t="str">
        <f t="shared" si="111"/>
        <v/>
      </c>
      <c r="AM587" s="705" t="str">
        <f t="shared" si="112"/>
        <v/>
      </c>
      <c r="AN587" s="382"/>
      <c r="AO587" s="314" t="str">
        <f>IF($R$3=1,IF(Y587=AA587,"","NE"),IF(#REF!=$V$10,"NE",""))</f>
        <v/>
      </c>
      <c r="AP587" s="315" t="str">
        <f>IF(AB587=$V$3,IF(VLOOKUP(C587,[1]List1!$A:$E,5,FALSE)=0,1,VLOOKUP(C587,[1]List1!$A:$E,5,FALSE)),"")</f>
        <v/>
      </c>
      <c r="AW587" s="458">
        <f>IFERROR(FIND(VLOOKUP('General price list'!$AB$7,'General price list'!$AC$1:$AD$12,2,FALSE),Q587,1),0)</f>
        <v>0</v>
      </c>
      <c r="AX587" s="458">
        <f>IFERROR(FIND(VLOOKUP('General price list'!$AB$7,'General price list'!$AC$1:$AD$12,2,FALSE),R587,1),0)</f>
        <v>0</v>
      </c>
    </row>
    <row r="588" spans="1:50" ht="15" customHeight="1">
      <c r="A588" s="677" t="str">
        <f>IFERROR(IF(VLOOKUP(C588,#REF!,5,FALSE)=0,"",VLOOKUP(C588,#REF!,5,FALSE)),"")</f>
        <v/>
      </c>
      <c r="B588" s="678">
        <v>567</v>
      </c>
      <c r="C588" s="679" t="s">
        <v>13238</v>
      </c>
      <c r="D588" s="679" t="s">
        <v>13687</v>
      </c>
      <c r="E588" s="680" t="s">
        <v>129</v>
      </c>
      <c r="F588" s="681">
        <f>VLOOKUP(C588,[2]List1!$A:$D,2,FALSE)</f>
        <v>859</v>
      </c>
      <c r="G588" s="682">
        <f t="shared" si="101"/>
        <v>859</v>
      </c>
      <c r="H588" s="683">
        <f t="shared" si="102"/>
        <v>34.9</v>
      </c>
      <c r="I588" s="836">
        <v>1</v>
      </c>
      <c r="J588" s="680"/>
      <c r="K588" s="854"/>
      <c r="L588" s="855"/>
      <c r="M588" s="680"/>
      <c r="N588" s="868" t="str">
        <f>IFERROR(VLOOKUP(C588,[3]List1!$A:$D,4,FALSE),"N/A!")</f>
        <v/>
      </c>
      <c r="O588" s="836" t="str">
        <f>IFERROR(VLOOKUP(C588,[3]List1!$A:$D,3,FALSE),"N/A!")</f>
        <v/>
      </c>
      <c r="P588" s="836">
        <f>IFERROR(VLOOKUP(C588,[3]List1!$A:$D,2,FALSE),"N/A!")</f>
        <v>1500</v>
      </c>
      <c r="Q588" s="680"/>
      <c r="R588" s="680"/>
      <c r="S588" s="680"/>
      <c r="T588" s="681"/>
      <c r="U588" s="873"/>
      <c r="V588" s="684"/>
      <c r="W588" s="685" t="str">
        <f>IFERROR(VLOOKUP($C588,Popisy!A:P,MATCH($W$17,Popisy!$A$7:$P$7,0),FALSE),"---------------")</f>
        <v>Karton mit Produktdesign</v>
      </c>
      <c r="X588" s="889" t="str">
        <f t="shared" si="103"/>
        <v/>
      </c>
      <c r="Y588" s="890"/>
      <c r="Z588" s="685" t="str">
        <f>IFERROR(IF(VLOOKUP(C588,[4]List1!$A:$D,4,FALSE)=0,"",VLOOKUP(C588,[4]List1!$A:$D,4,FALSE)),"")</f>
        <v/>
      </c>
      <c r="AA588" s="707"/>
      <c r="AB588" s="911" t="str">
        <f>IFERROR(IF(VLOOKUP(C588,[1]List1!$A:$D,2,FALSE)="VYPRODÁNO",$V$9,IF(VLOOKUP(C588,[1]List1!$A:$D,2,FALSE)="DOCHÁZÍ",$V$3,VLOOKUP(C588,[1]List1!$A:$D,2,FALSE))),"OFFLINE!")</f>
        <v>AUSVERKAUFT</v>
      </c>
      <c r="AC588" s="911" t="str">
        <f ca="1">IF(AO588="NE",$V$10,IF(AB588=$V$3,IF(AP588&lt;1,$V$8,$V$2&amp;" "&amp;AP588&amp;" "&amp;$V$1),IF(AB588="SKLADEM",$V$6,IFERROR(IF(OR(AB588-TODAY()&gt;21,VLOOKUP(C588,[1]List1!$A:$E,4,FALSE)=0),AB588,DAY(AB588)&amp;"."&amp;MONTH(AB588)&amp;"."&amp;YEAR(AB588)&amp;" "&amp;$V$4&amp;VLOOKUP(C588,[1]List1!$A:$E,4,FALSE)&amp;" "&amp;$V$1),AB588))))</f>
        <v>AUSVERKAUFT</v>
      </c>
      <c r="AD588" s="686" t="str">
        <f ca="1">_xlfn.IFNA(VLOOKUP(C588,'General price list'!C:AM,MATCH($AD$20,'General price list'!$C$20:$AM$20,0),FALSE),"")</f>
        <v>AUSVERKAUFT</v>
      </c>
      <c r="AE588" s="681">
        <f t="shared" ca="1" si="104"/>
        <v>0</v>
      </c>
      <c r="AF588" s="681">
        <f t="shared" ca="1" si="105"/>
        <v>0</v>
      </c>
      <c r="AG588" s="687">
        <f t="shared" ca="1" si="106"/>
        <v>0</v>
      </c>
      <c r="AH588" s="688">
        <f t="shared" ca="1" si="107"/>
        <v>0</v>
      </c>
      <c r="AI588" s="687" t="str">
        <f t="shared" ca="1" si="108"/>
        <v/>
      </c>
      <c r="AJ588" s="689" t="str">
        <f t="shared" ca="1" si="109"/>
        <v/>
      </c>
      <c r="AK588" s="689" t="str">
        <f t="shared" ca="1" si="110"/>
        <v/>
      </c>
      <c r="AL588" s="689" t="str">
        <f t="shared" ca="1" si="111"/>
        <v/>
      </c>
      <c r="AM588" s="690" t="str">
        <f t="shared" ca="1" si="112"/>
        <v/>
      </c>
      <c r="AN588" s="382"/>
      <c r="AO588" s="314" t="str">
        <f>IF($R$3=1,IF(Y588=AA588,"","NE"),IF(#REF!=$V$10,"NE",""))</f>
        <v/>
      </c>
      <c r="AP588" s="315" t="str">
        <f>IF(AB588=$V$3,IF(VLOOKUP(C588,[1]List1!$A:$E,5,FALSE)=0,1,VLOOKUP(C588,[1]List1!$A:$E,5,FALSE)),"")</f>
        <v/>
      </c>
      <c r="AW588" s="458">
        <f>IFERROR(FIND(VLOOKUP('General price list'!$AB$7,'General price list'!$AC$1:$AD$12,2,FALSE),Q588,1),0)</f>
        <v>0</v>
      </c>
      <c r="AX588" s="458">
        <f>IFERROR(FIND(VLOOKUP('General price list'!$AB$7,'General price list'!$AC$1:$AD$12,2,FALSE),R588,1),0)</f>
        <v>0</v>
      </c>
    </row>
    <row r="589" spans="1:50" ht="15" customHeight="1">
      <c r="A589" s="691" t="str">
        <f>IFERROR(IF(VLOOKUP(C589,#REF!,5,FALSE)=0,"",VLOOKUP(C589,#REF!,5,FALSE)),"")</f>
        <v/>
      </c>
      <c r="B589" s="692">
        <v>568</v>
      </c>
      <c r="C589" s="693" t="s">
        <v>11835</v>
      </c>
      <c r="D589" s="693" t="s">
        <v>13688</v>
      </c>
      <c r="E589" s="694" t="s">
        <v>129</v>
      </c>
      <c r="F589" s="695">
        <f>VLOOKUP(C589,[2]List1!$A:$D,2,FALSE)</f>
        <v>280</v>
      </c>
      <c r="G589" s="696">
        <f t="shared" si="101"/>
        <v>280</v>
      </c>
      <c r="H589" s="697">
        <f t="shared" si="102"/>
        <v>11.4</v>
      </c>
      <c r="I589" s="837">
        <v>1</v>
      </c>
      <c r="J589" s="698"/>
      <c r="K589" s="856"/>
      <c r="L589" s="857"/>
      <c r="M589" s="698"/>
      <c r="N589" s="869" t="str">
        <f>IFERROR(VLOOKUP(C589,[3]List1!$A:$D,4,FALSE),"N/A!")</f>
        <v/>
      </c>
      <c r="O589" s="837" t="str">
        <f>IFERROR(VLOOKUP(C589,[3]List1!$A:$D,3,FALSE),"N/A!")</f>
        <v/>
      </c>
      <c r="P589" s="837">
        <f>IFERROR(VLOOKUP(C589,[3]List1!$A:$D,2,FALSE),"N/A!")</f>
        <v>1500</v>
      </c>
      <c r="Q589" s="698"/>
      <c r="R589" s="698"/>
      <c r="S589" s="698"/>
      <c r="T589" s="695"/>
      <c r="U589" s="874"/>
      <c r="V589" s="699"/>
      <c r="W589" s="700" t="str">
        <f>IFERROR(VLOOKUP($C589,Popisy!A:P,MATCH($W$17,Popisy!$A$7:$P$7,0),FALSE),"---------------")</f>
        <v>Karton mit Produktdesign</v>
      </c>
      <c r="X589" s="891" t="str">
        <f t="shared" si="103"/>
        <v/>
      </c>
      <c r="Y589" s="892"/>
      <c r="Z589" s="700" t="str">
        <f>IFERROR(IF(VLOOKUP(C589,[4]List1!$A:$D,4,FALSE)=0,"",VLOOKUP(C589,[4]List1!$A:$D,4,FALSE)),"")</f>
        <v/>
      </c>
      <c r="AA589" s="707"/>
      <c r="AB589" s="912" t="str">
        <f>IFERROR(IF(VLOOKUP(C589,[1]List1!$A:$D,2,FALSE)="VYPRODÁNO",$V$9,IF(VLOOKUP(C589,[1]List1!$A:$D,2,FALSE)="DOCHÁZÍ",$V$3,VLOOKUP(C589,[1]List1!$A:$D,2,FALSE))),"OFFLINE!")</f>
        <v>SKLADEM</v>
      </c>
      <c r="AC589" s="912" t="str">
        <f ca="1">IF(AO589="NE",$V$10,IF(AB589=$V$3,IF(AP589&lt;1,$V$8,$V$2&amp;" "&amp;AP589&amp;" "&amp;$V$1),IF(AB589="SKLADEM",$V$6,IFERROR(IF(OR(AB589-TODAY()&gt;21,VLOOKUP(C589,[1]List1!$A:$E,4,FALSE)=0),AB589,DAY(AB589)&amp;"."&amp;MONTH(AB589)&amp;"."&amp;YEAR(AB589)&amp;" "&amp;$V$4&amp;VLOOKUP(C589,[1]List1!$A:$E,4,FALSE)&amp;" "&amp;$V$1),AB589))))</f>
        <v>AUF LAGER</v>
      </c>
      <c r="AD589" s="701" t="str">
        <f ca="1">_xlfn.IFNA(VLOOKUP(C589,'General price list'!C:AM,MATCH($AD$20,'General price list'!$C$20:$AM$20,0),FALSE),"")</f>
        <v>AUF LAGER</v>
      </c>
      <c r="AE589" s="695">
        <f t="shared" ca="1" si="104"/>
        <v>0</v>
      </c>
      <c r="AF589" s="695">
        <f t="shared" ca="1" si="105"/>
        <v>0</v>
      </c>
      <c r="AG589" s="702">
        <f t="shared" ca="1" si="106"/>
        <v>0</v>
      </c>
      <c r="AH589" s="703">
        <f t="shared" ca="1" si="107"/>
        <v>0</v>
      </c>
      <c r="AI589" s="702" t="str">
        <f t="shared" ca="1" si="108"/>
        <v/>
      </c>
      <c r="AJ589" s="704" t="str">
        <f t="shared" ca="1" si="109"/>
        <v/>
      </c>
      <c r="AK589" s="704" t="str">
        <f t="shared" ca="1" si="110"/>
        <v/>
      </c>
      <c r="AL589" s="704" t="str">
        <f t="shared" ca="1" si="111"/>
        <v/>
      </c>
      <c r="AM589" s="705" t="str">
        <f t="shared" ca="1" si="112"/>
        <v/>
      </c>
      <c r="AN589" s="313"/>
      <c r="AO589" s="314" t="str">
        <f>IF($R$3=1,IF(Y589=AA589,"","NE"),IF(#REF!=$V$10,"NE",""))</f>
        <v/>
      </c>
      <c r="AP589" s="315" t="str">
        <f>IF(AB589=$V$3,IF(VLOOKUP(C589,[1]List1!$A:$E,5,FALSE)=0,1,VLOOKUP(C589,[1]List1!$A:$E,5,FALSE)),"")</f>
        <v/>
      </c>
      <c r="AW589" s="458">
        <f>IFERROR(FIND(VLOOKUP('General price list'!$AB$7,'General price list'!$AC$1:$AD$12,2,FALSE),Q589,1),0)</f>
        <v>0</v>
      </c>
      <c r="AX589" s="458">
        <f>IFERROR(FIND(VLOOKUP('General price list'!$AB$7,'General price list'!$AC$1:$AD$12,2,FALSE),R589,1),0)</f>
        <v>0</v>
      </c>
    </row>
    <row r="590" spans="1:50" ht="15" customHeight="1">
      <c r="A590" s="677" t="str">
        <f>IFERROR(IF(VLOOKUP(C590,#REF!,5,FALSE)=0,"",VLOOKUP(C590,#REF!,5,FALSE)),"")</f>
        <v/>
      </c>
      <c r="B590" s="678">
        <v>569</v>
      </c>
      <c r="C590" s="679" t="s">
        <v>12106</v>
      </c>
      <c r="D590" s="679" t="s">
        <v>13689</v>
      </c>
      <c r="E590" s="680" t="s">
        <v>129</v>
      </c>
      <c r="F590" s="681">
        <f>VLOOKUP(C590,[2]List1!$A:$D,2,FALSE)</f>
        <v>359</v>
      </c>
      <c r="G590" s="682">
        <f t="shared" si="101"/>
        <v>359</v>
      </c>
      <c r="H590" s="683">
        <f t="shared" si="102"/>
        <v>14.6</v>
      </c>
      <c r="I590" s="836">
        <v>1</v>
      </c>
      <c r="J590" s="680"/>
      <c r="K590" s="854"/>
      <c r="L590" s="855"/>
      <c r="M590" s="680"/>
      <c r="N590" s="868" t="str">
        <f>IFERROR(VLOOKUP(C590,[3]List1!$A:$D,4,FALSE),"N/A!")</f>
        <v/>
      </c>
      <c r="O590" s="836" t="str">
        <f>IFERROR(VLOOKUP(C590,[3]List1!$A:$D,3,FALSE),"N/A!")</f>
        <v/>
      </c>
      <c r="P590" s="836">
        <f>IFERROR(VLOOKUP(C590,[3]List1!$A:$D,2,FALSE),"N/A!")</f>
        <v>1500</v>
      </c>
      <c r="Q590" s="680"/>
      <c r="R590" s="680"/>
      <c r="S590" s="680"/>
      <c r="T590" s="681"/>
      <c r="U590" s="873"/>
      <c r="V590" s="684"/>
      <c r="W590" s="685" t="str">
        <f>IFERROR(VLOOKUP($C590,Popisy!A:P,MATCH($W$17,Popisy!$A$7:$P$7,0),FALSE),"---------------")</f>
        <v>Karton mit Produktdesign</v>
      </c>
      <c r="X590" s="889" t="str">
        <f t="shared" si="103"/>
        <v/>
      </c>
      <c r="Y590" s="890"/>
      <c r="Z590" s="685" t="str">
        <f>IFERROR(IF(VLOOKUP(C590,[4]List1!$A:$D,4,FALSE)=0,"",VLOOKUP(C590,[4]List1!$A:$D,4,FALSE)),"")</f>
        <v/>
      </c>
      <c r="AA590" s="707"/>
      <c r="AB590" s="911" t="str">
        <f>IFERROR(IF(VLOOKUP(C590,[1]List1!$A:$D,2,FALSE)="VYPRODÁNO",$V$9,IF(VLOOKUP(C590,[1]List1!$A:$D,2,FALSE)="DOCHÁZÍ",$V$3,VLOOKUP(C590,[1]List1!$A:$D,2,FALSE))),"OFFLINE!")</f>
        <v>SKLADEM</v>
      </c>
      <c r="AC590" s="911" t="str">
        <f ca="1">IF(AO590="NE",$V$10,IF(AB590=$V$3,IF(AP590&lt;1,$V$8,$V$2&amp;" "&amp;AP590&amp;" "&amp;$V$1),IF(AB590="SKLADEM",$V$6,IFERROR(IF(OR(AB590-TODAY()&gt;21,VLOOKUP(C590,[1]List1!$A:$E,4,FALSE)=0),AB590,DAY(AB590)&amp;"."&amp;MONTH(AB590)&amp;"."&amp;YEAR(AB590)&amp;" "&amp;$V$4&amp;VLOOKUP(C590,[1]List1!$A:$E,4,FALSE)&amp;" "&amp;$V$1),AB590))))</f>
        <v>AUF LAGER</v>
      </c>
      <c r="AD590" s="686" t="str">
        <f ca="1">_xlfn.IFNA(VLOOKUP(C590,'General price list'!C:AM,MATCH($AD$20,'General price list'!$C$20:$AM$20,0),FALSE),"")</f>
        <v>AUF LAGER</v>
      </c>
      <c r="AE590" s="681">
        <f t="shared" ca="1" si="104"/>
        <v>0</v>
      </c>
      <c r="AF590" s="681">
        <f t="shared" ca="1" si="105"/>
        <v>0</v>
      </c>
      <c r="AG590" s="687">
        <f t="shared" ca="1" si="106"/>
        <v>0</v>
      </c>
      <c r="AH590" s="688">
        <f t="shared" ca="1" si="107"/>
        <v>0</v>
      </c>
      <c r="AI590" s="687" t="str">
        <f t="shared" ca="1" si="108"/>
        <v/>
      </c>
      <c r="AJ590" s="689" t="str">
        <f t="shared" ca="1" si="109"/>
        <v/>
      </c>
      <c r="AK590" s="689" t="str">
        <f t="shared" ca="1" si="110"/>
        <v/>
      </c>
      <c r="AL590" s="689" t="str">
        <f t="shared" ca="1" si="111"/>
        <v/>
      </c>
      <c r="AM590" s="690" t="str">
        <f t="shared" ca="1" si="112"/>
        <v/>
      </c>
      <c r="AN590" s="313"/>
      <c r="AO590" s="314" t="str">
        <f>IF($R$3=1,IF(Y590=AA590,"","NE"),IF(#REF!=$V$10,"NE",""))</f>
        <v/>
      </c>
      <c r="AP590" s="315" t="str">
        <f>IF(AB590=$V$3,IF(VLOOKUP(C590,[1]List1!$A:$E,5,FALSE)=0,1,VLOOKUP(C590,[1]List1!$A:$E,5,FALSE)),"")</f>
        <v/>
      </c>
      <c r="AW590" s="458">
        <f>IFERROR(FIND(VLOOKUP('General price list'!$AB$7,'General price list'!$AC$1:$AD$12,2,FALSE),Q590,1),0)</f>
        <v>0</v>
      </c>
      <c r="AX590" s="458">
        <f>IFERROR(FIND(VLOOKUP('General price list'!$AB$7,'General price list'!$AC$1:$AD$12,2,FALSE),R590,1),0)</f>
        <v>0</v>
      </c>
    </row>
    <row r="591" spans="1:50" ht="15" customHeight="1">
      <c r="A591" s="691" t="str">
        <f>IFERROR(IF(VLOOKUP(C591,#REF!,5,FALSE)=0,"",VLOOKUP(C591,#REF!,5,FALSE)),"")</f>
        <v/>
      </c>
      <c r="B591" s="692">
        <v>570</v>
      </c>
      <c r="C591" s="693" t="s">
        <v>11836</v>
      </c>
      <c r="D591" s="693" t="s">
        <v>13690</v>
      </c>
      <c r="E591" s="694" t="s">
        <v>129</v>
      </c>
      <c r="F591" s="695">
        <f>VLOOKUP(C591,[2]List1!$A:$D,2,FALSE)</f>
        <v>471</v>
      </c>
      <c r="G591" s="696">
        <f t="shared" si="101"/>
        <v>471</v>
      </c>
      <c r="H591" s="697">
        <f t="shared" si="102"/>
        <v>19.2</v>
      </c>
      <c r="I591" s="837">
        <v>1</v>
      </c>
      <c r="J591" s="698"/>
      <c r="K591" s="856"/>
      <c r="L591" s="857"/>
      <c r="M591" s="698"/>
      <c r="N591" s="869" t="str">
        <f>IFERROR(VLOOKUP(C591,[3]List1!$A:$D,4,FALSE),"N/A!")</f>
        <v/>
      </c>
      <c r="O591" s="837" t="str">
        <f>IFERROR(VLOOKUP(C591,[3]List1!$A:$D,3,FALSE),"N/A!")</f>
        <v/>
      </c>
      <c r="P591" s="837">
        <f>IFERROR(VLOOKUP(C591,[3]List1!$A:$D,2,FALSE),"N/A!")</f>
        <v>1500</v>
      </c>
      <c r="Q591" s="698"/>
      <c r="R591" s="698"/>
      <c r="S591" s="698"/>
      <c r="T591" s="695"/>
      <c r="U591" s="874"/>
      <c r="V591" s="699"/>
      <c r="W591" s="700" t="str">
        <f>IFERROR(VLOOKUP($C591,Popisy!A:P,MATCH($W$17,Popisy!$A$7:$P$7,0),FALSE),"---------------")</f>
        <v>Karton mit Produktdesign</v>
      </c>
      <c r="X591" s="891" t="str">
        <f t="shared" si="103"/>
        <v/>
      </c>
      <c r="Y591" s="892"/>
      <c r="Z591" s="700" t="str">
        <f>IFERROR(IF(VLOOKUP(C591,[4]List1!$A:$D,4,FALSE)=0,"",VLOOKUP(C591,[4]List1!$A:$D,4,FALSE)),"")</f>
        <v/>
      </c>
      <c r="AA591" s="707"/>
      <c r="AB591" s="912" t="str">
        <f>IFERROR(IF(VLOOKUP(C591,[1]List1!$A:$D,2,FALSE)="VYPRODÁNO",$V$9,IF(VLOOKUP(C591,[1]List1!$A:$D,2,FALSE)="DOCHÁZÍ",$V$3,VLOOKUP(C591,[1]List1!$A:$D,2,FALSE))),"OFFLINE!")</f>
        <v>SKLADEM</v>
      </c>
      <c r="AC591" s="912" t="str">
        <f ca="1">IF(AO591="NE",$V$10,IF(AB591=$V$3,IF(AP591&lt;1,$V$8,$V$2&amp;" "&amp;AP591&amp;" "&amp;$V$1),IF(AB591="SKLADEM",$V$6,IFERROR(IF(OR(AB591-TODAY()&gt;21,VLOOKUP(C591,[1]List1!$A:$E,4,FALSE)=0),AB591,DAY(AB591)&amp;"."&amp;MONTH(AB591)&amp;"."&amp;YEAR(AB591)&amp;" "&amp;$V$4&amp;VLOOKUP(C591,[1]List1!$A:$E,4,FALSE)&amp;" "&amp;$V$1),AB591))))</f>
        <v>AUF LAGER</v>
      </c>
      <c r="AD591" s="701" t="str">
        <f ca="1">_xlfn.IFNA(VLOOKUP(C591,'General price list'!C:AM,MATCH($AD$20,'General price list'!$C$20:$AM$20,0),FALSE),"")</f>
        <v>AUF LAGER</v>
      </c>
      <c r="AE591" s="695">
        <f t="shared" ca="1" si="104"/>
        <v>0</v>
      </c>
      <c r="AF591" s="695">
        <f t="shared" ca="1" si="105"/>
        <v>0</v>
      </c>
      <c r="AG591" s="702">
        <f t="shared" ca="1" si="106"/>
        <v>0</v>
      </c>
      <c r="AH591" s="703">
        <f t="shared" ca="1" si="107"/>
        <v>0</v>
      </c>
      <c r="AI591" s="702" t="str">
        <f t="shared" ca="1" si="108"/>
        <v/>
      </c>
      <c r="AJ591" s="704" t="str">
        <f t="shared" ca="1" si="109"/>
        <v/>
      </c>
      <c r="AK591" s="704" t="str">
        <f t="shared" ca="1" si="110"/>
        <v/>
      </c>
      <c r="AL591" s="704" t="str">
        <f t="shared" ca="1" si="111"/>
        <v/>
      </c>
      <c r="AM591" s="705" t="str">
        <f t="shared" ca="1" si="112"/>
        <v/>
      </c>
      <c r="AN591" s="381"/>
      <c r="AO591" s="314" t="str">
        <f>IF($R$3=1,IF(Y591=AA591,"","NE"),IF(#REF!=$V$10,"NE",""))</f>
        <v/>
      </c>
      <c r="AP591" s="315" t="str">
        <f>IF(AB591=$V$3,IF(VLOOKUP(C591,[1]List1!$A:$E,5,FALSE)=0,1,VLOOKUP(C591,[1]List1!$A:$E,5,FALSE)),"")</f>
        <v/>
      </c>
      <c r="AW591" s="458">
        <f>IFERROR(FIND(VLOOKUP('General price list'!$AB$7,'General price list'!$AC$1:$AD$12,2,FALSE),Q591,1),0)</f>
        <v>0</v>
      </c>
      <c r="AX591" s="458">
        <f>IFERROR(FIND(VLOOKUP('General price list'!$AB$7,'General price list'!$AC$1:$AD$12,2,FALSE),R591,1),0)</f>
        <v>0</v>
      </c>
    </row>
    <row r="592" spans="1:50" ht="15" customHeight="1">
      <c r="A592" s="677" t="str">
        <f>IFERROR(IF(VLOOKUP(C592,#REF!,5,FALSE)=0,"",VLOOKUP(C592,#REF!,5,FALSE)),"")</f>
        <v/>
      </c>
      <c r="B592" s="678">
        <v>571</v>
      </c>
      <c r="C592" s="679" t="s">
        <v>11838</v>
      </c>
      <c r="D592" s="679" t="s">
        <v>13691</v>
      </c>
      <c r="E592" s="680" t="s">
        <v>129</v>
      </c>
      <c r="F592" s="681">
        <f>VLOOKUP(C592,[2]List1!$A:$D,2,FALSE)</f>
        <v>95</v>
      </c>
      <c r="G592" s="682">
        <f t="shared" si="101"/>
        <v>95</v>
      </c>
      <c r="H592" s="683">
        <f t="shared" si="102"/>
        <v>3.9</v>
      </c>
      <c r="I592" s="836">
        <v>1</v>
      </c>
      <c r="J592" s="680"/>
      <c r="K592" s="854"/>
      <c r="L592" s="855"/>
      <c r="M592" s="680"/>
      <c r="N592" s="868" t="str">
        <f>IFERROR(VLOOKUP(C592,[3]List1!$A:$D,4,FALSE),"N/A!")</f>
        <v/>
      </c>
      <c r="O592" s="836" t="str">
        <f>IFERROR(VLOOKUP(C592,[3]List1!$A:$D,3,FALSE),"N/A!")</f>
        <v/>
      </c>
      <c r="P592" s="836">
        <f>IFERROR(VLOOKUP(C592,[3]List1!$A:$D,2,FALSE),"N/A!")</f>
        <v>1500</v>
      </c>
      <c r="Q592" s="680"/>
      <c r="R592" s="680"/>
      <c r="S592" s="680"/>
      <c r="T592" s="681"/>
      <c r="U592" s="873"/>
      <c r="V592" s="684"/>
      <c r="W592" s="685" t="str">
        <f>IFERROR(VLOOKUP($C592,Popisy!A:P,MATCH($W$17,Popisy!$A$7:$P$7,0),FALSE),"---------------")</f>
        <v>Karton mit Produktdesign</v>
      </c>
      <c r="X592" s="889" t="str">
        <f t="shared" si="103"/>
        <v/>
      </c>
      <c r="Y592" s="890"/>
      <c r="Z592" s="685" t="str">
        <f>IFERROR(IF(VLOOKUP(C592,[4]List1!$A:$D,4,FALSE)=0,"",VLOOKUP(C592,[4]List1!$A:$D,4,FALSE)),"")</f>
        <v/>
      </c>
      <c r="AA592" s="707"/>
      <c r="AB592" s="911" t="str">
        <f>IFERROR(IF(VLOOKUP(C592,[1]List1!$A:$D,2,FALSE)="VYPRODÁNO",$V$9,IF(VLOOKUP(C592,[1]List1!$A:$D,2,FALSE)="DOCHÁZÍ",$V$3,VLOOKUP(C592,[1]List1!$A:$D,2,FALSE))),"OFFLINE!")</f>
        <v>SKLADEM</v>
      </c>
      <c r="AC592" s="911" t="str">
        <f ca="1">IF(AO592="NE",$V$10,IF(AB592=$V$3,IF(AP592&lt;1,$V$8,$V$2&amp;" "&amp;AP592&amp;" "&amp;$V$1),IF(AB592="SKLADEM",$V$6,IFERROR(IF(OR(AB592-TODAY()&gt;21,VLOOKUP(C592,[1]List1!$A:$E,4,FALSE)=0),AB592,DAY(AB592)&amp;"."&amp;MONTH(AB592)&amp;"."&amp;YEAR(AB592)&amp;" "&amp;$V$4&amp;VLOOKUP(C592,[1]List1!$A:$E,4,FALSE)&amp;" "&amp;$V$1),AB592))))</f>
        <v>AUF LAGER</v>
      </c>
      <c r="AD592" s="686" t="str">
        <f ca="1">_xlfn.IFNA(VLOOKUP(C592,'General price list'!C:AM,MATCH($AD$20,'General price list'!$C$20:$AM$20,0),FALSE),"")</f>
        <v>AUF LAGER</v>
      </c>
      <c r="AE592" s="681">
        <f t="shared" ca="1" si="104"/>
        <v>0</v>
      </c>
      <c r="AF592" s="681">
        <f t="shared" ca="1" si="105"/>
        <v>0</v>
      </c>
      <c r="AG592" s="687">
        <f t="shared" ca="1" si="106"/>
        <v>0</v>
      </c>
      <c r="AH592" s="688">
        <f t="shared" ca="1" si="107"/>
        <v>0</v>
      </c>
      <c r="AI592" s="687" t="str">
        <f t="shared" ca="1" si="108"/>
        <v/>
      </c>
      <c r="AJ592" s="689" t="str">
        <f t="shared" ca="1" si="109"/>
        <v/>
      </c>
      <c r="AK592" s="689" t="str">
        <f t="shared" ca="1" si="110"/>
        <v/>
      </c>
      <c r="AL592" s="689" t="str">
        <f t="shared" ca="1" si="111"/>
        <v/>
      </c>
      <c r="AM592" s="690" t="str">
        <f t="shared" ca="1" si="112"/>
        <v/>
      </c>
      <c r="AN592" s="313"/>
      <c r="AO592" s="314" t="str">
        <f>IF($R$3=1,IF(Y592=AA592,"","NE"),IF(#REF!=$V$10,"NE",""))</f>
        <v/>
      </c>
      <c r="AP592" s="315" t="str">
        <f>IF(AB592=$V$3,IF(VLOOKUP(C592,[1]List1!$A:$E,5,FALSE)=0,1,VLOOKUP(C592,[1]List1!$A:$E,5,FALSE)),"")</f>
        <v/>
      </c>
      <c r="AW592" s="458">
        <f>IFERROR(FIND(VLOOKUP('General price list'!$AB$7,'General price list'!$AC$1:$AD$12,2,FALSE),Q592,1),0)</f>
        <v>0</v>
      </c>
      <c r="AX592" s="458">
        <f>IFERROR(FIND(VLOOKUP('General price list'!$AB$7,'General price list'!$AC$1:$AD$12,2,FALSE),R592,1),0)</f>
        <v>0</v>
      </c>
    </row>
    <row r="593" spans="1:50" ht="15" customHeight="1">
      <c r="A593" s="691" t="str">
        <f>IFERROR(IF(VLOOKUP(C593,#REF!,5,FALSE)=0,"",VLOOKUP(C593,#REF!,5,FALSE)),"")</f>
        <v/>
      </c>
      <c r="B593" s="692">
        <v>572</v>
      </c>
      <c r="C593" s="693" t="s">
        <v>11839</v>
      </c>
      <c r="D593" s="693" t="s">
        <v>13692</v>
      </c>
      <c r="E593" s="694" t="s">
        <v>129</v>
      </c>
      <c r="F593" s="695">
        <f>VLOOKUP(C593,[2]List1!$A:$D,2,FALSE)</f>
        <v>95</v>
      </c>
      <c r="G593" s="696">
        <f t="shared" si="101"/>
        <v>95</v>
      </c>
      <c r="H593" s="697">
        <f t="shared" si="102"/>
        <v>3.9</v>
      </c>
      <c r="I593" s="837">
        <v>1</v>
      </c>
      <c r="J593" s="698"/>
      <c r="K593" s="856"/>
      <c r="L593" s="857"/>
      <c r="M593" s="698"/>
      <c r="N593" s="869" t="str">
        <f>IFERROR(VLOOKUP(C593,[3]List1!$A:$D,4,FALSE),"N/A!")</f>
        <v/>
      </c>
      <c r="O593" s="837" t="str">
        <f>IFERROR(VLOOKUP(C593,[3]List1!$A:$D,3,FALSE),"N/A!")</f>
        <v/>
      </c>
      <c r="P593" s="837">
        <f>IFERROR(VLOOKUP(C593,[3]List1!$A:$D,2,FALSE),"N/A!")</f>
        <v>1500</v>
      </c>
      <c r="Q593" s="698"/>
      <c r="R593" s="698"/>
      <c r="S593" s="698"/>
      <c r="T593" s="695"/>
      <c r="U593" s="874"/>
      <c r="V593" s="699"/>
      <c r="W593" s="700" t="str">
        <f>IFERROR(VLOOKUP($C593,Popisy!A:P,MATCH($W$17,Popisy!$A$7:$P$7,0),FALSE),"---------------")</f>
        <v>Karton mit Produktdesign</v>
      </c>
      <c r="X593" s="891" t="str">
        <f t="shared" si="103"/>
        <v/>
      </c>
      <c r="Y593" s="892"/>
      <c r="Z593" s="700" t="str">
        <f>IFERROR(IF(VLOOKUP(C593,[4]List1!$A:$D,4,FALSE)=0,"",VLOOKUP(C593,[4]List1!$A:$D,4,FALSE)),"")</f>
        <v/>
      </c>
      <c r="AA593" s="707"/>
      <c r="AB593" s="912" t="str">
        <f>IFERROR(IF(VLOOKUP(C593,[1]List1!$A:$D,2,FALSE)="VYPRODÁNO",$V$9,IF(VLOOKUP(C593,[1]List1!$A:$D,2,FALSE)="DOCHÁZÍ",$V$3,VLOOKUP(C593,[1]List1!$A:$D,2,FALSE))),"OFFLINE!")</f>
        <v>SKLADEM</v>
      </c>
      <c r="AC593" s="912" t="str">
        <f ca="1">IF(AO593="NE",$V$10,IF(AB593=$V$3,IF(AP593&lt;1,$V$8,$V$2&amp;" "&amp;AP593&amp;" "&amp;$V$1),IF(AB593="SKLADEM",$V$6,IFERROR(IF(OR(AB593-TODAY()&gt;21,VLOOKUP(C593,[1]List1!$A:$E,4,FALSE)=0),AB593,DAY(AB593)&amp;"."&amp;MONTH(AB593)&amp;"."&amp;YEAR(AB593)&amp;" "&amp;$V$4&amp;VLOOKUP(C593,[1]List1!$A:$E,4,FALSE)&amp;" "&amp;$V$1),AB593))))</f>
        <v>AUF LAGER</v>
      </c>
      <c r="AD593" s="701" t="str">
        <f ca="1">_xlfn.IFNA(VLOOKUP(C593,'General price list'!C:AM,MATCH($AD$20,'General price list'!$C$20:$AM$20,0),FALSE),"")</f>
        <v>AUF LAGER</v>
      </c>
      <c r="AE593" s="695">
        <f t="shared" ca="1" si="104"/>
        <v>0</v>
      </c>
      <c r="AF593" s="695">
        <f t="shared" ca="1" si="105"/>
        <v>0</v>
      </c>
      <c r="AG593" s="702">
        <f t="shared" ca="1" si="106"/>
        <v>0</v>
      </c>
      <c r="AH593" s="703">
        <f t="shared" ca="1" si="107"/>
        <v>0</v>
      </c>
      <c r="AI593" s="702" t="str">
        <f t="shared" ca="1" si="108"/>
        <v/>
      </c>
      <c r="AJ593" s="704" t="str">
        <f t="shared" ca="1" si="109"/>
        <v/>
      </c>
      <c r="AK593" s="704" t="str">
        <f t="shared" ca="1" si="110"/>
        <v/>
      </c>
      <c r="AL593" s="704" t="str">
        <f t="shared" ca="1" si="111"/>
        <v/>
      </c>
      <c r="AM593" s="705" t="str">
        <f t="shared" ca="1" si="112"/>
        <v/>
      </c>
      <c r="AN593" s="313"/>
      <c r="AO593" s="314" t="str">
        <f>IF($R$3=1,IF(Y593=AA593,"","NE"),IF(#REF!=$V$10,"NE",""))</f>
        <v/>
      </c>
      <c r="AP593" s="315" t="str">
        <f>IF(AB593=$V$3,IF(VLOOKUP(C593,[1]List1!$A:$E,5,FALSE)=0,1,VLOOKUP(C593,[1]List1!$A:$E,5,FALSE)),"")</f>
        <v/>
      </c>
      <c r="AW593" s="458">
        <f>IFERROR(FIND(VLOOKUP('General price list'!$AB$7,'General price list'!$AC$1:$AD$12,2,FALSE),Q593,1),0)</f>
        <v>0</v>
      </c>
      <c r="AX593" s="458">
        <f>IFERROR(FIND(VLOOKUP('General price list'!$AB$7,'General price list'!$AC$1:$AD$12,2,FALSE),R593,1),0)</f>
        <v>0</v>
      </c>
    </row>
    <row r="594" spans="1:50" ht="15" customHeight="1">
      <c r="A594" s="677" t="str">
        <f>IFERROR(IF(VLOOKUP(C594,#REF!,5,FALSE)=0,"",VLOOKUP(C594,#REF!,5,FALSE)),"")</f>
        <v/>
      </c>
      <c r="B594" s="678">
        <v>573</v>
      </c>
      <c r="C594" s="679" t="s">
        <v>11840</v>
      </c>
      <c r="D594" s="679" t="s">
        <v>13693</v>
      </c>
      <c r="E594" s="680" t="s">
        <v>129</v>
      </c>
      <c r="F594" s="681">
        <f>VLOOKUP(C594,[2]List1!$A:$D,2,FALSE)</f>
        <v>311</v>
      </c>
      <c r="G594" s="682">
        <f t="shared" si="101"/>
        <v>311</v>
      </c>
      <c r="H594" s="683">
        <f t="shared" si="102"/>
        <v>12.7</v>
      </c>
      <c r="I594" s="836">
        <v>1</v>
      </c>
      <c r="J594" s="680"/>
      <c r="K594" s="854"/>
      <c r="L594" s="855"/>
      <c r="M594" s="680"/>
      <c r="N594" s="868" t="str">
        <f>IFERROR(VLOOKUP(C594,[3]List1!$A:$D,4,FALSE),"N/A!")</f>
        <v/>
      </c>
      <c r="O594" s="836" t="str">
        <f>IFERROR(VLOOKUP(C594,[3]List1!$A:$D,3,FALSE),"N/A!")</f>
        <v/>
      </c>
      <c r="P594" s="836">
        <f>IFERROR(VLOOKUP(C594,[3]List1!$A:$D,2,FALSE),"N/A!")</f>
        <v>1500</v>
      </c>
      <c r="Q594" s="680"/>
      <c r="R594" s="680"/>
      <c r="S594" s="680"/>
      <c r="T594" s="681"/>
      <c r="U594" s="873"/>
      <c r="V594" s="684"/>
      <c r="W594" s="685" t="str">
        <f>IFERROR(VLOOKUP($C594,Popisy!A:P,MATCH($W$17,Popisy!$A$7:$P$7,0),FALSE),"---------------")</f>
        <v>Karton mit Produktdesign</v>
      </c>
      <c r="X594" s="889" t="str">
        <f t="shared" si="103"/>
        <v/>
      </c>
      <c r="Y594" s="890"/>
      <c r="Z594" s="685" t="str">
        <f>IFERROR(IF(VLOOKUP(C594,[4]List1!$A:$D,4,FALSE)=0,"",VLOOKUP(C594,[4]List1!$A:$D,4,FALSE)),"")</f>
        <v/>
      </c>
      <c r="AA594" s="707"/>
      <c r="AB594" s="911" t="str">
        <f>IFERROR(IF(VLOOKUP(C594,[1]List1!$A:$D,2,FALSE)="VYPRODÁNO",$V$9,IF(VLOOKUP(C594,[1]List1!$A:$D,2,FALSE)="DOCHÁZÍ",$V$3,VLOOKUP(C594,[1]List1!$A:$D,2,FALSE))),"OFFLINE!")</f>
        <v>SKLADEM</v>
      </c>
      <c r="AC594" s="911" t="str">
        <f ca="1">IF(AO594="NE",$V$10,IF(AB594=$V$3,IF(AP594&lt;1,$V$8,$V$2&amp;" "&amp;AP594&amp;" "&amp;$V$1),IF(AB594="SKLADEM",$V$6,IFERROR(IF(OR(AB594-TODAY()&gt;21,VLOOKUP(C594,[1]List1!$A:$E,4,FALSE)=0),AB594,DAY(AB594)&amp;"."&amp;MONTH(AB594)&amp;"."&amp;YEAR(AB594)&amp;" "&amp;$V$4&amp;VLOOKUP(C594,[1]List1!$A:$E,4,FALSE)&amp;" "&amp;$V$1),AB594))))</f>
        <v>AUF LAGER</v>
      </c>
      <c r="AD594" s="686" t="str">
        <f ca="1">_xlfn.IFNA(VLOOKUP(C594,'General price list'!C:AM,MATCH($AD$20,'General price list'!$C$20:$AM$20,0),FALSE),"")</f>
        <v>AUF LAGER</v>
      </c>
      <c r="AE594" s="681">
        <f t="shared" ca="1" si="104"/>
        <v>0</v>
      </c>
      <c r="AF594" s="681">
        <f t="shared" ca="1" si="105"/>
        <v>0</v>
      </c>
      <c r="AG594" s="687">
        <f t="shared" ca="1" si="106"/>
        <v>0</v>
      </c>
      <c r="AH594" s="688">
        <f t="shared" ca="1" si="107"/>
        <v>0</v>
      </c>
      <c r="AI594" s="687" t="str">
        <f t="shared" ca="1" si="108"/>
        <v/>
      </c>
      <c r="AJ594" s="689" t="str">
        <f t="shared" ca="1" si="109"/>
        <v/>
      </c>
      <c r="AK594" s="689" t="str">
        <f t="shared" ca="1" si="110"/>
        <v/>
      </c>
      <c r="AL594" s="689" t="str">
        <f t="shared" ca="1" si="111"/>
        <v/>
      </c>
      <c r="AM594" s="690" t="str">
        <f t="shared" ca="1" si="112"/>
        <v/>
      </c>
      <c r="AN594" s="313"/>
      <c r="AO594" s="314" t="str">
        <f>IF($R$3=1,IF(Y594=AA594,"","NE"),IF(#REF!=$V$10,"NE",""))</f>
        <v/>
      </c>
      <c r="AP594" s="315" t="str">
        <f>IF(AB594=$V$3,IF(VLOOKUP(C594,[1]List1!$A:$E,5,FALSE)=0,1,VLOOKUP(C594,[1]List1!$A:$E,5,FALSE)),"")</f>
        <v/>
      </c>
      <c r="AW594" s="458">
        <f>IFERROR(FIND(VLOOKUP('General price list'!$AB$7,'General price list'!$AC$1:$AD$12,2,FALSE),Q594,1),0)</f>
        <v>0</v>
      </c>
      <c r="AX594" s="458">
        <f>IFERROR(FIND(VLOOKUP('General price list'!$AB$7,'General price list'!$AC$1:$AD$12,2,FALSE),R594,1),0)</f>
        <v>0</v>
      </c>
    </row>
    <row r="595" spans="1:50" ht="15" customHeight="1">
      <c r="A595" s="691" t="str">
        <f>IFERROR(IF(VLOOKUP(C595,#REF!,5,FALSE)=0,"",VLOOKUP(C595,#REF!,5,FALSE)),"")</f>
        <v/>
      </c>
      <c r="B595" s="692">
        <v>574</v>
      </c>
      <c r="C595" s="693" t="s">
        <v>11841</v>
      </c>
      <c r="D595" s="693" t="s">
        <v>13694</v>
      </c>
      <c r="E595" s="694" t="s">
        <v>129</v>
      </c>
      <c r="F595" s="695">
        <f>VLOOKUP(C595,[2]List1!$A:$D,2,FALSE)</f>
        <v>311</v>
      </c>
      <c r="G595" s="696">
        <f t="shared" si="101"/>
        <v>311</v>
      </c>
      <c r="H595" s="697">
        <f t="shared" si="102"/>
        <v>12.7</v>
      </c>
      <c r="I595" s="837">
        <v>1</v>
      </c>
      <c r="J595" s="698"/>
      <c r="K595" s="856"/>
      <c r="L595" s="857"/>
      <c r="M595" s="698"/>
      <c r="N595" s="869" t="str">
        <f>IFERROR(VLOOKUP(C595,[3]List1!$A:$D,4,FALSE),"N/A!")</f>
        <v/>
      </c>
      <c r="O595" s="837" t="str">
        <f>IFERROR(VLOOKUP(C595,[3]List1!$A:$D,3,FALSE),"N/A!")</f>
        <v/>
      </c>
      <c r="P595" s="837">
        <f>IFERROR(VLOOKUP(C595,[3]List1!$A:$D,2,FALSE),"N/A!")</f>
        <v>1500</v>
      </c>
      <c r="Q595" s="698"/>
      <c r="R595" s="698"/>
      <c r="S595" s="698"/>
      <c r="T595" s="695"/>
      <c r="U595" s="874"/>
      <c r="V595" s="699"/>
      <c r="W595" s="700" t="str">
        <f>IFERROR(VLOOKUP($C595,Popisy!A:P,MATCH($W$17,Popisy!$A$7:$P$7,0),FALSE),"---------------")</f>
        <v>Karton mit Produktdesign</v>
      </c>
      <c r="X595" s="891" t="str">
        <f t="shared" si="103"/>
        <v/>
      </c>
      <c r="Y595" s="892"/>
      <c r="Z595" s="700" t="str">
        <f>IFERROR(IF(VLOOKUP(C595,[4]List1!$A:$D,4,FALSE)=0,"",VLOOKUP(C595,[4]List1!$A:$D,4,FALSE)),"")</f>
        <v/>
      </c>
      <c r="AA595" s="707"/>
      <c r="AB595" s="912" t="str">
        <f>IFERROR(IF(VLOOKUP(C595,[1]List1!$A:$D,2,FALSE)="VYPRODÁNO",$V$9,IF(VLOOKUP(C595,[1]List1!$A:$D,2,FALSE)="DOCHÁZÍ",$V$3,VLOOKUP(C595,[1]List1!$A:$D,2,FALSE))),"OFFLINE!")</f>
        <v>SKLADEM</v>
      </c>
      <c r="AC595" s="912" t="str">
        <f ca="1">IF(AO595="NE",$V$10,IF(AB595=$V$3,IF(AP595&lt;1,$V$8,$V$2&amp;" "&amp;AP595&amp;" "&amp;$V$1),IF(AB595="SKLADEM",$V$6,IFERROR(IF(OR(AB595-TODAY()&gt;21,VLOOKUP(C595,[1]List1!$A:$E,4,FALSE)=0),AB595,DAY(AB595)&amp;"."&amp;MONTH(AB595)&amp;"."&amp;YEAR(AB595)&amp;" "&amp;$V$4&amp;VLOOKUP(C595,[1]List1!$A:$E,4,FALSE)&amp;" "&amp;$V$1),AB595))))</f>
        <v>AUF LAGER</v>
      </c>
      <c r="AD595" s="701">
        <f>_xlfn.IFNA(VLOOKUP(C595,'General price list'!C:AM,MATCH($AD$20,'General price list'!$C$20:$AM$20,0),FALSE),"")</f>
        <v>0</v>
      </c>
      <c r="AE595" s="695">
        <f t="shared" si="104"/>
        <v>0</v>
      </c>
      <c r="AF595" s="695">
        <f t="shared" si="105"/>
        <v>0</v>
      </c>
      <c r="AG595" s="702">
        <f t="shared" si="106"/>
        <v>0</v>
      </c>
      <c r="AH595" s="703">
        <f t="shared" si="107"/>
        <v>0</v>
      </c>
      <c r="AI595" s="702" t="str">
        <f t="shared" si="108"/>
        <v/>
      </c>
      <c r="AJ595" s="704" t="str">
        <f t="shared" si="109"/>
        <v/>
      </c>
      <c r="AK595" s="704" t="str">
        <f t="shared" si="110"/>
        <v/>
      </c>
      <c r="AL595" s="704" t="str">
        <f t="shared" si="111"/>
        <v/>
      </c>
      <c r="AM595" s="705" t="str">
        <f t="shared" si="112"/>
        <v/>
      </c>
      <c r="AN595" s="313"/>
      <c r="AO595" s="314" t="str">
        <f>IF($R$3=1,IF(Y595=AA595,"","NE"),IF(#REF!=$V$10,"NE",""))</f>
        <v/>
      </c>
      <c r="AP595" s="315" t="str">
        <f>IF(AB595=$V$3,IF(VLOOKUP(C595,[1]List1!$A:$E,5,FALSE)=0,1,VLOOKUP(C595,[1]List1!$A:$E,5,FALSE)),"")</f>
        <v/>
      </c>
      <c r="AW595" s="458">
        <f>IFERROR(FIND(VLOOKUP('General price list'!$AB$7,'General price list'!$AC$1:$AD$12,2,FALSE),Q595,1),0)</f>
        <v>0</v>
      </c>
      <c r="AX595" s="458">
        <f>IFERROR(FIND(VLOOKUP('General price list'!$AB$7,'General price list'!$AC$1:$AD$12,2,FALSE),R595,1),0)</f>
        <v>0</v>
      </c>
    </row>
    <row r="596" spans="1:50" ht="15" customHeight="1">
      <c r="A596" s="677" t="str">
        <f>IFERROR(IF(VLOOKUP(C596,#REF!,5,FALSE)=0,"",VLOOKUP(C596,#REF!,5,FALSE)),"")</f>
        <v/>
      </c>
      <c r="B596" s="678">
        <v>575</v>
      </c>
      <c r="C596" s="679" t="s">
        <v>11842</v>
      </c>
      <c r="D596" s="679" t="s">
        <v>13695</v>
      </c>
      <c r="E596" s="680" t="s">
        <v>129</v>
      </c>
      <c r="F596" s="681">
        <f>VLOOKUP(C596,[2]List1!$A:$D,2,FALSE)</f>
        <v>424</v>
      </c>
      <c r="G596" s="682">
        <f t="shared" si="101"/>
        <v>424</v>
      </c>
      <c r="H596" s="683">
        <f t="shared" si="102"/>
        <v>17.3</v>
      </c>
      <c r="I596" s="836">
        <v>1</v>
      </c>
      <c r="J596" s="680"/>
      <c r="K596" s="854"/>
      <c r="L596" s="855"/>
      <c r="M596" s="680"/>
      <c r="N596" s="868" t="str">
        <f>IFERROR(VLOOKUP(C596,[3]List1!$A:$D,4,FALSE),"N/A!")</f>
        <v/>
      </c>
      <c r="O596" s="836" t="str">
        <f>IFERROR(VLOOKUP(C596,[3]List1!$A:$D,3,FALSE),"N/A!")</f>
        <v/>
      </c>
      <c r="P596" s="836">
        <f>IFERROR(VLOOKUP(C596,[3]List1!$A:$D,2,FALSE),"N/A!")</f>
        <v>1500</v>
      </c>
      <c r="Q596" s="680"/>
      <c r="R596" s="680"/>
      <c r="S596" s="680"/>
      <c r="T596" s="681"/>
      <c r="U596" s="873"/>
      <c r="V596" s="684"/>
      <c r="W596" s="685" t="str">
        <f>IFERROR(VLOOKUP($C596,Popisy!A:P,MATCH($W$17,Popisy!$A$7:$P$7,0),FALSE),"---------------")</f>
        <v>Karton mit Produktdesign</v>
      </c>
      <c r="X596" s="889" t="str">
        <f t="shared" si="103"/>
        <v/>
      </c>
      <c r="Y596" s="890"/>
      <c r="Z596" s="685" t="str">
        <f>IFERROR(IF(VLOOKUP(C596,[4]List1!$A:$D,4,FALSE)=0,"",VLOOKUP(C596,[4]List1!$A:$D,4,FALSE)),"")</f>
        <v/>
      </c>
      <c r="AA596" s="707"/>
      <c r="AB596" s="911" t="str">
        <f>IFERROR(IF(VLOOKUP(C596,[1]List1!$A:$D,2,FALSE)="VYPRODÁNO",$V$9,IF(VLOOKUP(C596,[1]List1!$A:$D,2,FALSE)="DOCHÁZÍ",$V$3,VLOOKUP(C596,[1]List1!$A:$D,2,FALSE))),"OFFLINE!")</f>
        <v>SKLADEM</v>
      </c>
      <c r="AC596" s="911" t="str">
        <f ca="1">IF(AO596="NE",$V$10,IF(AB596=$V$3,IF(AP596&lt;1,$V$8,$V$2&amp;" "&amp;AP596&amp;" "&amp;$V$1),IF(AB596="SKLADEM",$V$6,IFERROR(IF(OR(AB596-TODAY()&gt;21,VLOOKUP(C596,[1]List1!$A:$E,4,FALSE)=0),AB596,DAY(AB596)&amp;"."&amp;MONTH(AB596)&amp;"."&amp;YEAR(AB596)&amp;" "&amp;$V$4&amp;VLOOKUP(C596,[1]List1!$A:$E,4,FALSE)&amp;" "&amp;$V$1),AB596))))</f>
        <v>AUF LAGER</v>
      </c>
      <c r="AD596" s="686" t="str">
        <f ca="1">_xlfn.IFNA(VLOOKUP(C596,'General price list'!C:AM,MATCH($AD$20,'General price list'!$C$20:$AM$20,0),FALSE),"")</f>
        <v>AUF LAGER</v>
      </c>
      <c r="AE596" s="681">
        <f t="shared" ca="1" si="104"/>
        <v>0</v>
      </c>
      <c r="AF596" s="681">
        <f t="shared" ca="1" si="105"/>
        <v>0</v>
      </c>
      <c r="AG596" s="687">
        <f t="shared" ca="1" si="106"/>
        <v>0</v>
      </c>
      <c r="AH596" s="688">
        <f t="shared" ca="1" si="107"/>
        <v>0</v>
      </c>
      <c r="AI596" s="687" t="str">
        <f t="shared" ca="1" si="108"/>
        <v/>
      </c>
      <c r="AJ596" s="689" t="str">
        <f t="shared" ca="1" si="109"/>
        <v/>
      </c>
      <c r="AK596" s="689" t="str">
        <f t="shared" ca="1" si="110"/>
        <v/>
      </c>
      <c r="AL596" s="689" t="str">
        <f t="shared" ca="1" si="111"/>
        <v/>
      </c>
      <c r="AM596" s="690" t="str">
        <f t="shared" ca="1" si="112"/>
        <v/>
      </c>
      <c r="AN596" s="382"/>
      <c r="AO596" s="314" t="str">
        <f>IF($R$3=1,IF(Y596=AA596,"","NE"),IF(#REF!=$V$10,"NE",""))</f>
        <v/>
      </c>
      <c r="AP596" s="315" t="str">
        <f>IF(AB596=$V$3,IF(VLOOKUP(C596,[1]List1!$A:$E,5,FALSE)=0,1,VLOOKUP(C596,[1]List1!$A:$E,5,FALSE)),"")</f>
        <v/>
      </c>
      <c r="AW596" s="458">
        <f>IFERROR(FIND(VLOOKUP('General price list'!$AB$7,'General price list'!$AC$1:$AD$12,2,FALSE),Q596,1),0)</f>
        <v>0</v>
      </c>
      <c r="AX596" s="458">
        <f>IFERROR(FIND(VLOOKUP('General price list'!$AB$7,'General price list'!$AC$1:$AD$12,2,FALSE),R596,1),0)</f>
        <v>0</v>
      </c>
    </row>
    <row r="597" spans="1:50" ht="15" customHeight="1">
      <c r="A597" s="691" t="str">
        <f>IFERROR(IF(VLOOKUP(C597,#REF!,5,FALSE)=0,"",VLOOKUP(C597,#REF!,5,FALSE)),"")</f>
        <v/>
      </c>
      <c r="B597" s="692">
        <v>576</v>
      </c>
      <c r="C597" s="693" t="s">
        <v>12107</v>
      </c>
      <c r="D597" s="693" t="s">
        <v>13696</v>
      </c>
      <c r="E597" s="694" t="s">
        <v>129</v>
      </c>
      <c r="F597" s="695">
        <f>VLOOKUP(C597,[2]List1!$A:$D,2,FALSE)</f>
        <v>545</v>
      </c>
      <c r="G597" s="696">
        <f t="shared" si="101"/>
        <v>545</v>
      </c>
      <c r="H597" s="697">
        <f t="shared" si="102"/>
        <v>22.2</v>
      </c>
      <c r="I597" s="837">
        <v>1</v>
      </c>
      <c r="J597" s="698"/>
      <c r="K597" s="856"/>
      <c r="L597" s="857"/>
      <c r="M597" s="698"/>
      <c r="N597" s="869" t="str">
        <f>IFERROR(VLOOKUP(C597,[3]List1!$A:$D,4,FALSE),"N/A!")</f>
        <v/>
      </c>
      <c r="O597" s="837" t="str">
        <f>IFERROR(VLOOKUP(C597,[3]List1!$A:$D,3,FALSE),"N/A!")</f>
        <v/>
      </c>
      <c r="P597" s="837">
        <f>IFERROR(VLOOKUP(C597,[3]List1!$A:$D,2,FALSE),"N/A!")</f>
        <v>1500</v>
      </c>
      <c r="Q597" s="698"/>
      <c r="R597" s="698"/>
      <c r="S597" s="698"/>
      <c r="T597" s="695"/>
      <c r="U597" s="874"/>
      <c r="V597" s="699"/>
      <c r="W597" s="700" t="str">
        <f>IFERROR(VLOOKUP($C597,Popisy!A:P,MATCH($W$17,Popisy!$A$7:$P$7,0),FALSE),"---------------")</f>
        <v>Karton mit Produktdesign</v>
      </c>
      <c r="X597" s="891" t="str">
        <f t="shared" si="103"/>
        <v/>
      </c>
      <c r="Y597" s="892"/>
      <c r="Z597" s="700" t="str">
        <f>IFERROR(IF(VLOOKUP(C597,[4]List1!$A:$D,4,FALSE)=0,"",VLOOKUP(C597,[4]List1!$A:$D,4,FALSE)),"")</f>
        <v/>
      </c>
      <c r="AA597" s="707"/>
      <c r="AB597" s="912" t="str">
        <f>IFERROR(IF(VLOOKUP(C597,[1]List1!$A:$D,2,FALSE)="VYPRODÁNO",$V$9,IF(VLOOKUP(C597,[1]List1!$A:$D,2,FALSE)="DOCHÁZÍ",$V$3,VLOOKUP(C597,[1]List1!$A:$D,2,FALSE))),"OFFLINE!")</f>
        <v>SKLADEM</v>
      </c>
      <c r="AC597" s="912" t="str">
        <f ca="1">IF(AO597="NE",$V$10,IF(AB597=$V$3,IF(AP597&lt;1,$V$8,$V$2&amp;" "&amp;AP597&amp;" "&amp;$V$1),IF(AB597="SKLADEM",$V$6,IFERROR(IF(OR(AB597-TODAY()&gt;21,VLOOKUP(C597,[1]List1!$A:$E,4,FALSE)=0),AB597,DAY(AB597)&amp;"."&amp;MONTH(AB597)&amp;"."&amp;YEAR(AB597)&amp;" "&amp;$V$4&amp;VLOOKUP(C597,[1]List1!$A:$E,4,FALSE)&amp;" "&amp;$V$1),AB597))))</f>
        <v>AUF LAGER</v>
      </c>
      <c r="AD597" s="701" t="str">
        <f ca="1">_xlfn.IFNA(VLOOKUP(C597,'General price list'!C:AM,MATCH($AD$20,'General price list'!$C$20:$AM$20,0),FALSE),"")</f>
        <v>AUF LAGER</v>
      </c>
      <c r="AE597" s="695">
        <f t="shared" ca="1" si="104"/>
        <v>0</v>
      </c>
      <c r="AF597" s="695">
        <f t="shared" ca="1" si="105"/>
        <v>0</v>
      </c>
      <c r="AG597" s="702">
        <f t="shared" ca="1" si="106"/>
        <v>0</v>
      </c>
      <c r="AH597" s="703">
        <f t="shared" ca="1" si="107"/>
        <v>0</v>
      </c>
      <c r="AI597" s="702" t="str">
        <f t="shared" ca="1" si="108"/>
        <v/>
      </c>
      <c r="AJ597" s="704" t="str">
        <f t="shared" ca="1" si="109"/>
        <v/>
      </c>
      <c r="AK597" s="704" t="str">
        <f t="shared" ca="1" si="110"/>
        <v/>
      </c>
      <c r="AL597" s="704" t="str">
        <f t="shared" ca="1" si="111"/>
        <v/>
      </c>
      <c r="AM597" s="705" t="str">
        <f t="shared" ca="1" si="112"/>
        <v/>
      </c>
      <c r="AN597" s="382"/>
      <c r="AO597" s="314" t="str">
        <f>IF($R$3=1,IF(Y597=AA597,"","NE"),IF(#REF!=$V$10,"NE",""))</f>
        <v/>
      </c>
      <c r="AP597" s="315" t="str">
        <f>IF(AB597=$V$3,IF(VLOOKUP(C597,[1]List1!$A:$E,5,FALSE)=0,1,VLOOKUP(C597,[1]List1!$A:$E,5,FALSE)),"")</f>
        <v/>
      </c>
      <c r="AW597" s="458">
        <f>IFERROR(FIND(VLOOKUP('General price list'!$AB$7,'General price list'!$AC$1:$AD$12,2,FALSE),Q597,1),0)</f>
        <v>0</v>
      </c>
      <c r="AX597" s="458">
        <f>IFERROR(FIND(VLOOKUP('General price list'!$AB$7,'General price list'!$AC$1:$AD$12,2,FALSE),R597,1),0)</f>
        <v>0</v>
      </c>
    </row>
    <row r="598" spans="1:50" ht="15" customHeight="1">
      <c r="A598" s="677" t="str">
        <f>IFERROR(IF(VLOOKUP(C598,#REF!,5,FALSE)=0,"",VLOOKUP(C598,#REF!,5,FALSE)),"")</f>
        <v/>
      </c>
      <c r="B598" s="678">
        <v>577</v>
      </c>
      <c r="C598" s="679" t="s">
        <v>13697</v>
      </c>
      <c r="D598" s="679" t="s">
        <v>13239</v>
      </c>
      <c r="E598" s="680" t="s">
        <v>129</v>
      </c>
      <c r="F598" s="681">
        <f>VLOOKUP(C598,[2]List1!$A:$D,2,FALSE)</f>
        <v>57</v>
      </c>
      <c r="G598" s="682">
        <f t="shared" si="101"/>
        <v>57</v>
      </c>
      <c r="H598" s="683">
        <f t="shared" si="102"/>
        <v>2.2999999999999998</v>
      </c>
      <c r="I598" s="836">
        <v>1</v>
      </c>
      <c r="J598" s="680"/>
      <c r="K598" s="854"/>
      <c r="L598" s="855"/>
      <c r="M598" s="680"/>
      <c r="N598" s="868">
        <f>IFERROR(VLOOKUP(C598,[3]List1!$A:$D,4,FALSE),"N/A!")</f>
        <v>0</v>
      </c>
      <c r="O598" s="836">
        <f>IFERROR(VLOOKUP(C598,[3]List1!$A:$D,3,FALSE),"N/A!")</f>
        <v>0</v>
      </c>
      <c r="P598" s="836">
        <f>IFERROR(VLOOKUP(C598,[3]List1!$A:$D,2,FALSE),"N/A!")</f>
        <v>800</v>
      </c>
      <c r="Q598" s="680"/>
      <c r="R598" s="680"/>
      <c r="S598" s="680"/>
      <c r="T598" s="681"/>
      <c r="U598" s="873"/>
      <c r="V598" s="684"/>
      <c r="W598" s="685" t="str">
        <f>IFERROR(VLOOKUP($C598,Popisy!A:P,MATCH($W$17,Popisy!$A$7:$P$7,0),FALSE),"---------------")</f>
        <v>---------------</v>
      </c>
      <c r="X598" s="889" t="str">
        <f t="shared" si="103"/>
        <v/>
      </c>
      <c r="Y598" s="890"/>
      <c r="Z598" s="685" t="str">
        <f>IFERROR(IF(VLOOKUP(C598,[4]List1!$A:$D,4,FALSE)=0,"",VLOOKUP(C598,[4]List1!$A:$D,4,FALSE)),"")</f>
        <v/>
      </c>
      <c r="AA598" s="707"/>
      <c r="AB598" s="911" t="str">
        <f>IFERROR(IF(VLOOKUP(C598,[1]List1!$A:$D,2,FALSE)="VYPRODÁNO",$V$9,IF(VLOOKUP(C598,[1]List1!$A:$D,2,FALSE)="DOCHÁZÍ",$V$3,VLOOKUP(C598,[1]List1!$A:$D,2,FALSE))),"OFFLINE!")</f>
        <v>SKLADEM</v>
      </c>
      <c r="AC598" s="911" t="str">
        <f ca="1">IF(AO598="NE",$V$10,IF(AB598=$V$3,IF(AP598&lt;1,$V$8,$V$2&amp;" "&amp;AP598&amp;" "&amp;$V$1),IF(AB598="SKLADEM",$V$6,IFERROR(IF(OR(AB598-TODAY()&gt;21,VLOOKUP(C598,[1]List1!$A:$E,4,FALSE)=0),AB598,DAY(AB598)&amp;"."&amp;MONTH(AB598)&amp;"."&amp;YEAR(AB598)&amp;" "&amp;$V$4&amp;VLOOKUP(C598,[1]List1!$A:$E,4,FALSE)&amp;" "&amp;$V$1),AB598))))</f>
        <v>AUF LAGER</v>
      </c>
      <c r="AD598" s="686" t="str">
        <f ca="1">_xlfn.IFNA(VLOOKUP(C598,'General price list'!C:AM,MATCH($AD$20,'General price list'!$C$20:$AM$20,0),FALSE),"")</f>
        <v>AUF LAGER</v>
      </c>
      <c r="AE598" s="681">
        <f t="shared" ca="1" si="104"/>
        <v>0</v>
      </c>
      <c r="AF598" s="681">
        <f t="shared" ca="1" si="105"/>
        <v>0</v>
      </c>
      <c r="AG598" s="687">
        <f t="shared" ca="1" si="106"/>
        <v>0</v>
      </c>
      <c r="AH598" s="688">
        <f t="shared" ca="1" si="107"/>
        <v>0</v>
      </c>
      <c r="AI598" s="687">
        <f t="shared" ca="1" si="108"/>
        <v>0</v>
      </c>
      <c r="AJ598" s="689" t="str">
        <f t="shared" ca="1" si="109"/>
        <v/>
      </c>
      <c r="AK598" s="689" t="str">
        <f t="shared" ca="1" si="110"/>
        <v/>
      </c>
      <c r="AL598" s="689" t="str">
        <f t="shared" ca="1" si="111"/>
        <v/>
      </c>
      <c r="AM598" s="690" t="str">
        <f t="shared" ca="1" si="112"/>
        <v/>
      </c>
      <c r="AN598" s="313"/>
      <c r="AO598" s="314" t="str">
        <f>IF($R$3=1,IF(Y598=AA598,"","NE"),IF(#REF!=$V$10,"NE",""))</f>
        <v/>
      </c>
      <c r="AP598" s="315" t="str">
        <f>IF(AB598=$V$3,IF(VLOOKUP(C598,[1]List1!$A:$E,5,FALSE)=0,1,VLOOKUP(C598,[1]List1!$A:$E,5,FALSE)),"")</f>
        <v/>
      </c>
      <c r="AW598" s="458">
        <f>IFERROR(FIND(VLOOKUP('General price list'!$AB$7,'General price list'!$AC$1:$AD$12,2,FALSE),Q598,1),0)</f>
        <v>0</v>
      </c>
      <c r="AX598" s="458">
        <f>IFERROR(FIND(VLOOKUP('General price list'!$AB$7,'General price list'!$AC$1:$AD$12,2,FALSE),R598,1),0)</f>
        <v>0</v>
      </c>
    </row>
    <row r="599" spans="1:50" ht="15" customHeight="1">
      <c r="A599" s="691" t="str">
        <f>IFERROR(IF(VLOOKUP(C599,#REF!,5,FALSE)=0,"",VLOOKUP(C599,#REF!,5,FALSE)),"")</f>
        <v/>
      </c>
      <c r="B599" s="692">
        <v>578</v>
      </c>
      <c r="C599" s="693" t="s">
        <v>11843</v>
      </c>
      <c r="D599" s="693" t="s">
        <v>13698</v>
      </c>
      <c r="E599" s="694" t="s">
        <v>129</v>
      </c>
      <c r="F599" s="695">
        <f>VLOOKUP(C599,[2]List1!$A:$D,2,FALSE)</f>
        <v>443</v>
      </c>
      <c r="G599" s="696">
        <f t="shared" ref="G599:G604" si="113">IFERROR((F599)*$B$19,"")</f>
        <v>443</v>
      </c>
      <c r="H599" s="697">
        <f t="shared" ref="H599:H604" si="114">IFERROR(ROUND(G599/$F$19,1),"")</f>
        <v>18</v>
      </c>
      <c r="I599" s="837">
        <v>1</v>
      </c>
      <c r="J599" s="698"/>
      <c r="K599" s="856"/>
      <c r="L599" s="857"/>
      <c r="M599" s="698"/>
      <c r="N599" s="869" t="str">
        <f>IFERROR(VLOOKUP(C599,[3]List1!$A:$D,4,FALSE),"N/A!")</f>
        <v/>
      </c>
      <c r="O599" s="837" t="str">
        <f>IFERROR(VLOOKUP(C599,[3]List1!$A:$D,3,FALSE),"N/A!")</f>
        <v/>
      </c>
      <c r="P599" s="837">
        <f>IFERROR(VLOOKUP(C599,[3]List1!$A:$D,2,FALSE),"N/A!")</f>
        <v>1500</v>
      </c>
      <c r="Q599" s="698"/>
      <c r="R599" s="698"/>
      <c r="S599" s="698"/>
      <c r="T599" s="695"/>
      <c r="U599" s="874"/>
      <c r="V599" s="699"/>
      <c r="W599" s="700" t="str">
        <f>IFERROR(VLOOKUP($C599,Popisy!A:P,MATCH($W$17,Popisy!$A$7:$P$7,0),FALSE),"---------------")</f>
        <v>Karton mit Produktdesign</v>
      </c>
      <c r="X599" s="891" t="str">
        <f t="shared" ref="X599:X604" si="115">IF(AA599&lt;0.0001,"",AA599)</f>
        <v/>
      </c>
      <c r="Y599" s="892"/>
      <c r="Z599" s="700" t="str">
        <f>IFERROR(IF(VLOOKUP(C599,[4]List1!$A:$D,4,FALSE)=0,"",VLOOKUP(C599,[4]List1!$A:$D,4,FALSE)),"")</f>
        <v/>
      </c>
      <c r="AA599" s="707"/>
      <c r="AB599" s="912" t="str">
        <f>IFERROR(IF(VLOOKUP(C599,[1]List1!$A:$D,2,FALSE)="VYPRODÁNO",$V$9,IF(VLOOKUP(C599,[1]List1!$A:$D,2,FALSE)="DOCHÁZÍ",$V$3,VLOOKUP(C599,[1]List1!$A:$D,2,FALSE))),"OFFLINE!")</f>
        <v>SKLADEM</v>
      </c>
      <c r="AC599" s="912" t="str">
        <f ca="1">IF(AO599="NE",$V$10,IF(AB599=$V$3,IF(AP599&lt;1,$V$8,$V$2&amp;" "&amp;AP599&amp;" "&amp;$V$1),IF(AB599="SKLADEM",$V$6,IFERROR(IF(OR(AB599-TODAY()&gt;21,VLOOKUP(C599,[1]List1!$A:$E,4,FALSE)=0),AB599,DAY(AB599)&amp;"."&amp;MONTH(AB599)&amp;"."&amp;YEAR(AB599)&amp;" "&amp;$V$4&amp;VLOOKUP(C599,[1]List1!$A:$E,4,FALSE)&amp;" "&amp;$V$1),AB599))))</f>
        <v>AUF LAGER</v>
      </c>
      <c r="AD599" s="701" t="str">
        <f ca="1">_xlfn.IFNA(VLOOKUP(C599,'General price list'!C:AM,MATCH($AD$20,'General price list'!$C$20:$AM$20,0),FALSE),"")</f>
        <v>AUF LAGER</v>
      </c>
      <c r="AE599" s="695">
        <f t="shared" ref="AE599:AE604" ca="1" si="116">IFERROR(IF(AD599=$V$10,0,G599*I599*AA599),"")</f>
        <v>0</v>
      </c>
      <c r="AF599" s="695">
        <f t="shared" ref="AF599:AF604" ca="1" si="117">IFERROR(IF($W$17=$AB$8,AG599*1.23,AE599*1.21),"")</f>
        <v>0</v>
      </c>
      <c r="AG599" s="702">
        <f t="shared" ref="AG599:AG604" ca="1" si="118">IFERROR(IF($V$10=AD599,0,H599*I599*AA599),"")</f>
        <v>0</v>
      </c>
      <c r="AH599" s="703">
        <f t="shared" ref="AH599:AH604" ca="1" si="119">IFERROR(IF($V$10=AD599,0,(P599*AA599)/1000),"")</f>
        <v>0</v>
      </c>
      <c r="AI599" s="702" t="str">
        <f t="shared" ref="AI599:AI604" ca="1" si="120">IFERROR(IF($V$10=AD599,0,N599*AA599),"")</f>
        <v/>
      </c>
      <c r="AJ599" s="704" t="str">
        <f t="shared" ref="AJ599:AJ604" ca="1" si="121">IFERROR(IF($V$10=AD599,"",IF(M599="1.1G",(O599/1000)*AA599,"")),0)</f>
        <v/>
      </c>
      <c r="AK599" s="704" t="str">
        <f t="shared" ref="AK599:AK604" ca="1" si="122">IFERROR(IF($V$10=AD599,"",IF(M599="1.3G",(O599/1000)*AA599,"")),0)</f>
        <v/>
      </c>
      <c r="AL599" s="704" t="str">
        <f t="shared" ref="AL599:AL604" ca="1" si="123">IFERROR(IF($V$10=AD599,"",IF(M599="1.4G",(O599/1000)*AA599,"")),0)</f>
        <v/>
      </c>
      <c r="AM599" s="705" t="str">
        <f t="shared" ref="AM599:AM604" ca="1" si="124">IFERROR(IF(SUM(AJ599:AL599)=0,"",SUM(AJ599:AL599)),"")</f>
        <v/>
      </c>
      <c r="AN599" s="313"/>
      <c r="AO599" s="314" t="str">
        <f>IF($R$3=1,IF(Y599=AA599,"","NE"),IF(#REF!=$V$10,"NE",""))</f>
        <v/>
      </c>
      <c r="AP599" s="315" t="str">
        <f>IF(AB599=$V$3,IF(VLOOKUP(C599,[1]List1!$A:$E,5,FALSE)=0,1,VLOOKUP(C599,[1]List1!$A:$E,5,FALSE)),"")</f>
        <v/>
      </c>
      <c r="AW599" s="458">
        <f>IFERROR(FIND(VLOOKUP('General price list'!$AB$7,'General price list'!$AC$1:$AD$12,2,FALSE),Q599,1),0)</f>
        <v>0</v>
      </c>
      <c r="AX599" s="458">
        <f>IFERROR(FIND(VLOOKUP('General price list'!$AB$7,'General price list'!$AC$1:$AD$12,2,FALSE),R599,1),0)</f>
        <v>0</v>
      </c>
    </row>
    <row r="600" spans="1:50" ht="15" customHeight="1">
      <c r="A600" s="677" t="str">
        <f>IFERROR(IF(VLOOKUP(C600,#REF!,5,FALSE)=0,"",VLOOKUP(C600,#REF!,5,FALSE)),"")</f>
        <v/>
      </c>
      <c r="B600" s="678">
        <v>579</v>
      </c>
      <c r="C600" s="679" t="s">
        <v>11845</v>
      </c>
      <c r="D600" s="679" t="s">
        <v>13699</v>
      </c>
      <c r="E600" s="680" t="s">
        <v>129</v>
      </c>
      <c r="F600" s="681">
        <f>VLOOKUP(C600,[2]List1!$A:$D,2,FALSE)</f>
        <v>266</v>
      </c>
      <c r="G600" s="682">
        <f t="shared" si="113"/>
        <v>266</v>
      </c>
      <c r="H600" s="683">
        <f t="shared" si="114"/>
        <v>10.8</v>
      </c>
      <c r="I600" s="836">
        <v>1</v>
      </c>
      <c r="J600" s="680"/>
      <c r="K600" s="854"/>
      <c r="L600" s="855"/>
      <c r="M600" s="680"/>
      <c r="N600" s="868" t="str">
        <f>IFERROR(VLOOKUP(C600,[3]List1!$A:$D,4,FALSE),"N/A!")</f>
        <v/>
      </c>
      <c r="O600" s="836" t="str">
        <f>IFERROR(VLOOKUP(C600,[3]List1!$A:$D,3,FALSE),"N/A!")</f>
        <v/>
      </c>
      <c r="P600" s="836">
        <f>IFERROR(VLOOKUP(C600,[3]List1!$A:$D,2,FALSE),"N/A!")</f>
        <v>1500</v>
      </c>
      <c r="Q600" s="680"/>
      <c r="R600" s="680"/>
      <c r="S600" s="680"/>
      <c r="T600" s="681"/>
      <c r="U600" s="873"/>
      <c r="V600" s="684"/>
      <c r="W600" s="685" t="str">
        <f>IFERROR(VLOOKUP($C600,Popisy!A:P,MATCH($W$17,Popisy!$A$7:$P$7,0),FALSE),"---------------")</f>
        <v>Karton mit Produktdesign</v>
      </c>
      <c r="X600" s="889" t="str">
        <f t="shared" si="115"/>
        <v/>
      </c>
      <c r="Y600" s="890"/>
      <c r="Z600" s="685" t="str">
        <f>IFERROR(IF(VLOOKUP(C600,[4]List1!$A:$D,4,FALSE)=0,"",VLOOKUP(C600,[4]List1!$A:$D,4,FALSE)),"")</f>
        <v/>
      </c>
      <c r="AA600" s="707"/>
      <c r="AB600" s="911" t="str">
        <f>IFERROR(IF(VLOOKUP(C600,[1]List1!$A:$D,2,FALSE)="VYPRODÁNO",$V$9,IF(VLOOKUP(C600,[1]List1!$A:$D,2,FALSE)="DOCHÁZÍ",$V$3,VLOOKUP(C600,[1]List1!$A:$D,2,FALSE))),"OFFLINE!")</f>
        <v>SKLADEM</v>
      </c>
      <c r="AC600" s="911" t="str">
        <f ca="1">IF(AO600="NE",$V$10,IF(AB600=$V$3,IF(AP600&lt;1,$V$8,$V$2&amp;" "&amp;AP600&amp;" "&amp;$V$1),IF(AB600="SKLADEM",$V$6,IFERROR(IF(OR(AB600-TODAY()&gt;21,VLOOKUP(C600,[1]List1!$A:$E,4,FALSE)=0),AB600,DAY(AB600)&amp;"."&amp;MONTH(AB600)&amp;"."&amp;YEAR(AB600)&amp;" "&amp;$V$4&amp;VLOOKUP(C600,[1]List1!$A:$E,4,FALSE)&amp;" "&amp;$V$1),AB600))))</f>
        <v>AUF LAGER</v>
      </c>
      <c r="AD600" s="686" t="str">
        <f ca="1">_xlfn.IFNA(VLOOKUP(C600,'General price list'!C:AM,MATCH($AD$20,'General price list'!$C$20:$AM$20,0),FALSE),"")</f>
        <v>AUF LAGER</v>
      </c>
      <c r="AE600" s="681">
        <f t="shared" ca="1" si="116"/>
        <v>0</v>
      </c>
      <c r="AF600" s="681">
        <f t="shared" ca="1" si="117"/>
        <v>0</v>
      </c>
      <c r="AG600" s="687">
        <f t="shared" ca="1" si="118"/>
        <v>0</v>
      </c>
      <c r="AH600" s="688">
        <f t="shared" ca="1" si="119"/>
        <v>0</v>
      </c>
      <c r="AI600" s="687" t="str">
        <f t="shared" ca="1" si="120"/>
        <v/>
      </c>
      <c r="AJ600" s="689" t="str">
        <f t="shared" ca="1" si="121"/>
        <v/>
      </c>
      <c r="AK600" s="689" t="str">
        <f t="shared" ca="1" si="122"/>
        <v/>
      </c>
      <c r="AL600" s="689" t="str">
        <f t="shared" ca="1" si="123"/>
        <v/>
      </c>
      <c r="AM600" s="690" t="str">
        <f t="shared" ca="1" si="124"/>
        <v/>
      </c>
      <c r="AN600" s="382"/>
      <c r="AO600" s="314" t="str">
        <f>IF($R$3=1,IF(Y600=AA600,"","NE"),IF(#REF!=$V$10,"NE",""))</f>
        <v/>
      </c>
      <c r="AP600" s="292" t="str">
        <f>IF(AB600=$V$3,IF(VLOOKUP(C600,[1]List1!$A:$E,5,FALSE)=0,1,VLOOKUP(C600,[1]List1!$A:$E,5,FALSE)),"")</f>
        <v/>
      </c>
      <c r="AW600" s="458">
        <f>IFERROR(FIND(VLOOKUP('General price list'!$AB$7,'General price list'!$AC$1:$AD$12,2,FALSE),Q600,1),0)</f>
        <v>0</v>
      </c>
      <c r="AX600" s="458">
        <f>IFERROR(FIND(VLOOKUP('General price list'!$AB$7,'General price list'!$AC$1:$AD$12,2,FALSE),R600,1),0)</f>
        <v>0</v>
      </c>
    </row>
    <row r="601" spans="1:50" ht="15" customHeight="1">
      <c r="A601" s="691" t="str">
        <f>IFERROR(IF(VLOOKUP(C601,#REF!,5,FALSE)=0,"",VLOOKUP(C601,#REF!,5,FALSE)),"")</f>
        <v/>
      </c>
      <c r="B601" s="692">
        <v>580</v>
      </c>
      <c r="C601" s="693" t="s">
        <v>11846</v>
      </c>
      <c r="D601" s="693" t="s">
        <v>13700</v>
      </c>
      <c r="E601" s="694" t="s">
        <v>129</v>
      </c>
      <c r="F601" s="695">
        <f>VLOOKUP(C601,[2]List1!$A:$D,2,FALSE)</f>
        <v>266</v>
      </c>
      <c r="G601" s="696">
        <f t="shared" si="113"/>
        <v>266</v>
      </c>
      <c r="H601" s="697">
        <f t="shared" si="114"/>
        <v>10.8</v>
      </c>
      <c r="I601" s="837">
        <v>1</v>
      </c>
      <c r="J601" s="698"/>
      <c r="K601" s="856"/>
      <c r="L601" s="857"/>
      <c r="M601" s="698"/>
      <c r="N601" s="869" t="str">
        <f>IFERROR(VLOOKUP(C601,[3]List1!$A:$D,4,FALSE),"N/A!")</f>
        <v/>
      </c>
      <c r="O601" s="837" t="str">
        <f>IFERROR(VLOOKUP(C601,[3]List1!$A:$D,3,FALSE),"N/A!")</f>
        <v/>
      </c>
      <c r="P601" s="837">
        <f>IFERROR(VLOOKUP(C601,[3]List1!$A:$D,2,FALSE),"N/A!")</f>
        <v>1500</v>
      </c>
      <c r="Q601" s="698"/>
      <c r="R601" s="698"/>
      <c r="S601" s="698"/>
      <c r="T601" s="695"/>
      <c r="U601" s="874"/>
      <c r="V601" s="699"/>
      <c r="W601" s="700" t="str">
        <f>IFERROR(VLOOKUP($C601,Popisy!A:P,MATCH($W$17,Popisy!$A$7:$P$7,0),FALSE),"---------------")</f>
        <v>Karton mit Produktdesign</v>
      </c>
      <c r="X601" s="891" t="str">
        <f t="shared" si="115"/>
        <v/>
      </c>
      <c r="Y601" s="892"/>
      <c r="Z601" s="700" t="str">
        <f>IFERROR(IF(VLOOKUP(C601,[4]List1!$A:$D,4,FALSE)=0,"",VLOOKUP(C601,[4]List1!$A:$D,4,FALSE)),"")</f>
        <v/>
      </c>
      <c r="AA601" s="707"/>
      <c r="AB601" s="912" t="str">
        <f>IFERROR(IF(VLOOKUP(C601,[1]List1!$A:$D,2,FALSE)="VYPRODÁNO",$V$9,IF(VLOOKUP(C601,[1]List1!$A:$D,2,FALSE)="DOCHÁZÍ",$V$3,VLOOKUP(C601,[1]List1!$A:$D,2,FALSE))),"OFFLINE!")</f>
        <v>SKLADEM</v>
      </c>
      <c r="AC601" s="912" t="str">
        <f ca="1">IF(AO601="NE",$V$10,IF(AB601=$V$3,IF(AP601&lt;1,$V$8,$V$2&amp;" "&amp;AP601&amp;" "&amp;$V$1),IF(AB601="SKLADEM",$V$6,IFERROR(IF(OR(AB601-TODAY()&gt;21,VLOOKUP(C601,[1]List1!$A:$E,4,FALSE)=0),AB601,DAY(AB601)&amp;"."&amp;MONTH(AB601)&amp;"."&amp;YEAR(AB601)&amp;" "&amp;$V$4&amp;VLOOKUP(C601,[1]List1!$A:$E,4,FALSE)&amp;" "&amp;$V$1),AB601))))</f>
        <v>AUF LAGER</v>
      </c>
      <c r="AD601" s="701">
        <f>_xlfn.IFNA(VLOOKUP(C601,'General price list'!C:AM,MATCH($AD$20,'General price list'!$C$20:$AM$20,0),FALSE),"")</f>
        <v>0</v>
      </c>
      <c r="AE601" s="695">
        <f t="shared" si="116"/>
        <v>0</v>
      </c>
      <c r="AF601" s="695">
        <f t="shared" si="117"/>
        <v>0</v>
      </c>
      <c r="AG601" s="702">
        <f t="shared" si="118"/>
        <v>0</v>
      </c>
      <c r="AH601" s="703">
        <f t="shared" si="119"/>
        <v>0</v>
      </c>
      <c r="AI601" s="702" t="str">
        <f t="shared" si="120"/>
        <v/>
      </c>
      <c r="AJ601" s="704" t="str">
        <f t="shared" si="121"/>
        <v/>
      </c>
      <c r="AK601" s="704" t="str">
        <f t="shared" si="122"/>
        <v/>
      </c>
      <c r="AL601" s="704" t="str">
        <f t="shared" si="123"/>
        <v/>
      </c>
      <c r="AM601" s="705" t="str">
        <f t="shared" si="124"/>
        <v/>
      </c>
      <c r="AN601" s="313"/>
      <c r="AO601" s="314" t="str">
        <f>IF($R$3=1,IF(Y601=AA601,"","NE"),IF(#REF!=$V$10,"NE",""))</f>
        <v/>
      </c>
      <c r="AP601" s="315" t="str">
        <f>IF(AB601=$V$3,IF(VLOOKUP(C601,[1]List1!$A:$E,5,FALSE)=0,1,VLOOKUP(C601,[1]List1!$A:$E,5,FALSE)),"")</f>
        <v/>
      </c>
      <c r="AW601" s="458">
        <f>IFERROR(FIND(VLOOKUP('General price list'!$AB$7,'General price list'!$AC$1:$AD$12,2,FALSE),Q601,1),0)</f>
        <v>0</v>
      </c>
      <c r="AX601" s="458">
        <f>IFERROR(FIND(VLOOKUP('General price list'!$AB$7,'General price list'!$AC$1:$AD$12,2,FALSE),R601,1),0)</f>
        <v>0</v>
      </c>
    </row>
    <row r="602" spans="1:50" ht="15" customHeight="1">
      <c r="A602" s="677" t="str">
        <f>IFERROR(IF(VLOOKUP(C602,#REF!,5,FALSE)=0,"",VLOOKUP(C602,#REF!,5,FALSE)),"")</f>
        <v/>
      </c>
      <c r="B602" s="678">
        <v>581</v>
      </c>
      <c r="C602" s="679" t="s">
        <v>11847</v>
      </c>
      <c r="D602" s="679" t="s">
        <v>13701</v>
      </c>
      <c r="E602" s="680" t="s">
        <v>129</v>
      </c>
      <c r="F602" s="681">
        <f>VLOOKUP(C602,[2]List1!$A:$D,2,FALSE)</f>
        <v>311</v>
      </c>
      <c r="G602" s="682">
        <f t="shared" si="113"/>
        <v>311</v>
      </c>
      <c r="H602" s="683">
        <f t="shared" si="114"/>
        <v>12.7</v>
      </c>
      <c r="I602" s="836">
        <v>1</v>
      </c>
      <c r="J602" s="680"/>
      <c r="K602" s="854"/>
      <c r="L602" s="855"/>
      <c r="M602" s="680"/>
      <c r="N602" s="868" t="str">
        <f>IFERROR(VLOOKUP(C602,[3]List1!$A:$D,4,FALSE),"N/A!")</f>
        <v/>
      </c>
      <c r="O602" s="836" t="str">
        <f>IFERROR(VLOOKUP(C602,[3]List1!$A:$D,3,FALSE),"N/A!")</f>
        <v/>
      </c>
      <c r="P602" s="836">
        <f>IFERROR(VLOOKUP(C602,[3]List1!$A:$D,2,FALSE),"N/A!")</f>
        <v>1500</v>
      </c>
      <c r="Q602" s="680"/>
      <c r="R602" s="680"/>
      <c r="S602" s="680"/>
      <c r="T602" s="681"/>
      <c r="U602" s="873"/>
      <c r="V602" s="684"/>
      <c r="W602" s="685" t="str">
        <f>IFERROR(VLOOKUP($C602,Popisy!A:P,MATCH($W$17,Popisy!$A$7:$P$7,0),FALSE),"---------------")</f>
        <v>Karton mit Produktdesign</v>
      </c>
      <c r="X602" s="889" t="str">
        <f t="shared" si="115"/>
        <v/>
      </c>
      <c r="Y602" s="890"/>
      <c r="Z602" s="685" t="str">
        <f>IFERROR(IF(VLOOKUP(C602,[4]List1!$A:$D,4,FALSE)=0,"",VLOOKUP(C602,[4]List1!$A:$D,4,FALSE)),"")</f>
        <v/>
      </c>
      <c r="AA602" s="707"/>
      <c r="AB602" s="911" t="str">
        <f>IFERROR(IF(VLOOKUP(C602,[1]List1!$A:$D,2,FALSE)="VYPRODÁNO",$V$9,IF(VLOOKUP(C602,[1]List1!$A:$D,2,FALSE)="DOCHÁZÍ",$V$3,VLOOKUP(C602,[1]List1!$A:$D,2,FALSE))),"OFFLINE!")</f>
        <v>SKLADEM</v>
      </c>
      <c r="AC602" s="911" t="str">
        <f ca="1">IF(AO602="NE",$V$10,IF(AB602=$V$3,IF(AP602&lt;1,$V$8,$V$2&amp;" "&amp;AP602&amp;" "&amp;$V$1),IF(AB602="SKLADEM",$V$6,IFERROR(IF(OR(AB602-TODAY()&gt;21,VLOOKUP(C602,[1]List1!$A:$E,4,FALSE)=0),AB602,DAY(AB602)&amp;"."&amp;MONTH(AB602)&amp;"."&amp;YEAR(AB602)&amp;" "&amp;$V$4&amp;VLOOKUP(C602,[1]List1!$A:$E,4,FALSE)&amp;" "&amp;$V$1),AB602))))</f>
        <v>AUF LAGER</v>
      </c>
      <c r="AD602" s="686" t="str">
        <f ca="1">_xlfn.IFNA(VLOOKUP(C602,'General price list'!C:AM,MATCH($AD$20,'General price list'!$C$20:$AM$20,0),FALSE),"")</f>
        <v>AUF LAGER</v>
      </c>
      <c r="AE602" s="681">
        <f t="shared" ca="1" si="116"/>
        <v>0</v>
      </c>
      <c r="AF602" s="681">
        <f t="shared" ca="1" si="117"/>
        <v>0</v>
      </c>
      <c r="AG602" s="687">
        <f t="shared" ca="1" si="118"/>
        <v>0</v>
      </c>
      <c r="AH602" s="688">
        <f t="shared" ca="1" si="119"/>
        <v>0</v>
      </c>
      <c r="AI602" s="687" t="str">
        <f t="shared" ca="1" si="120"/>
        <v/>
      </c>
      <c r="AJ602" s="689" t="str">
        <f t="shared" ca="1" si="121"/>
        <v/>
      </c>
      <c r="AK602" s="689" t="str">
        <f t="shared" ca="1" si="122"/>
        <v/>
      </c>
      <c r="AL602" s="689" t="str">
        <f t="shared" ca="1" si="123"/>
        <v/>
      </c>
      <c r="AM602" s="690" t="str">
        <f t="shared" ca="1" si="124"/>
        <v/>
      </c>
      <c r="AN602" s="381"/>
      <c r="AO602" s="314" t="str">
        <f>IF($R$3=1,IF(Y602=AA602,"","NE"),IF(#REF!=$V$10,"NE",""))</f>
        <v/>
      </c>
      <c r="AP602" s="315" t="str">
        <f>IF(AB602=$V$3,IF(VLOOKUP(C602,[1]List1!$A:$E,5,FALSE)=0,1,VLOOKUP(C602,[1]List1!$A:$E,5,FALSE)),"")</f>
        <v/>
      </c>
      <c r="AW602" s="458">
        <f>IFERROR(FIND(VLOOKUP('General price list'!$AB$7,'General price list'!$AC$1:$AD$12,2,FALSE),Q602,1),0)</f>
        <v>0</v>
      </c>
      <c r="AX602" s="458">
        <f>IFERROR(FIND(VLOOKUP('General price list'!$AB$7,'General price list'!$AC$1:$AD$12,2,FALSE),R602,1),0)</f>
        <v>0</v>
      </c>
    </row>
    <row r="603" spans="1:50" ht="15" customHeight="1">
      <c r="A603" s="691" t="str">
        <f>IFERROR(IF(VLOOKUP(C603,#REF!,5,FALSE)=0,"",VLOOKUP(C603,#REF!,5,FALSE)),"")</f>
        <v/>
      </c>
      <c r="B603" s="692">
        <v>582</v>
      </c>
      <c r="C603" s="693" t="s">
        <v>11848</v>
      </c>
      <c r="D603" s="693" t="s">
        <v>13702</v>
      </c>
      <c r="E603" s="694" t="s">
        <v>129</v>
      </c>
      <c r="F603" s="695">
        <f>VLOOKUP(C603,[2]List1!$A:$D,2,FALSE)</f>
        <v>150</v>
      </c>
      <c r="G603" s="696">
        <f t="shared" si="113"/>
        <v>150</v>
      </c>
      <c r="H603" s="697">
        <f t="shared" si="114"/>
        <v>6.1</v>
      </c>
      <c r="I603" s="837">
        <v>1</v>
      </c>
      <c r="J603" s="698"/>
      <c r="K603" s="856"/>
      <c r="L603" s="857"/>
      <c r="M603" s="698"/>
      <c r="N603" s="869" t="str">
        <f>IFERROR(VLOOKUP(C603,[3]List1!$A:$D,4,FALSE),"N/A!")</f>
        <v/>
      </c>
      <c r="O603" s="837" t="str">
        <f>IFERROR(VLOOKUP(C603,[3]List1!$A:$D,3,FALSE),"N/A!")</f>
        <v/>
      </c>
      <c r="P603" s="837">
        <f>IFERROR(VLOOKUP(C603,[3]List1!$A:$D,2,FALSE),"N/A!")</f>
        <v>1500</v>
      </c>
      <c r="Q603" s="698"/>
      <c r="R603" s="698"/>
      <c r="S603" s="698"/>
      <c r="T603" s="695"/>
      <c r="U603" s="874"/>
      <c r="V603" s="699"/>
      <c r="W603" s="700" t="str">
        <f>IFERROR(VLOOKUP($C603,Popisy!A:P,MATCH($W$17,Popisy!$A$7:$P$7,0),FALSE),"---------------")</f>
        <v>Karton mit Produktdesign</v>
      </c>
      <c r="X603" s="891" t="str">
        <f t="shared" si="115"/>
        <v/>
      </c>
      <c r="Y603" s="892"/>
      <c r="Z603" s="700" t="str">
        <f>IFERROR(IF(VLOOKUP(C603,[4]List1!$A:$D,4,FALSE)=0,"",VLOOKUP(C603,[4]List1!$A:$D,4,FALSE)),"")</f>
        <v/>
      </c>
      <c r="AA603" s="707"/>
      <c r="AB603" s="912" t="str">
        <f>IFERROR(IF(VLOOKUP(C603,[1]List1!$A:$D,2,FALSE)="VYPRODÁNO",$V$9,IF(VLOOKUP(C603,[1]List1!$A:$D,2,FALSE)="DOCHÁZÍ",$V$3,VLOOKUP(C603,[1]List1!$A:$D,2,FALSE))),"OFFLINE!")</f>
        <v>SKLADEM</v>
      </c>
      <c r="AC603" s="912" t="str">
        <f ca="1">IF(AO603="NE",$V$10,IF(AB603=$V$3,IF(AP603&lt;1,$V$8,$V$2&amp;" "&amp;AP603&amp;" "&amp;$V$1),IF(AB603="SKLADEM",$V$6,IFERROR(IF(OR(AB603-TODAY()&gt;21,VLOOKUP(C603,[1]List1!$A:$E,4,FALSE)=0),AB603,DAY(AB603)&amp;"."&amp;MONTH(AB603)&amp;"."&amp;YEAR(AB603)&amp;" "&amp;$V$4&amp;VLOOKUP(C603,[1]List1!$A:$E,4,FALSE)&amp;" "&amp;$V$1),AB603))))</f>
        <v>AUF LAGER</v>
      </c>
      <c r="AD603" s="701" t="str">
        <f ca="1">_xlfn.IFNA(VLOOKUP(C603,'General price list'!C:AM,MATCH($AD$20,'General price list'!$C$20:$AM$20,0),FALSE),"")</f>
        <v>AUF LAGER</v>
      </c>
      <c r="AE603" s="695">
        <f t="shared" ca="1" si="116"/>
        <v>0</v>
      </c>
      <c r="AF603" s="695">
        <f t="shared" ca="1" si="117"/>
        <v>0</v>
      </c>
      <c r="AG603" s="702">
        <f t="shared" ca="1" si="118"/>
        <v>0</v>
      </c>
      <c r="AH603" s="703">
        <f t="shared" ca="1" si="119"/>
        <v>0</v>
      </c>
      <c r="AI603" s="702" t="str">
        <f t="shared" ca="1" si="120"/>
        <v/>
      </c>
      <c r="AJ603" s="704" t="str">
        <f t="shared" ca="1" si="121"/>
        <v/>
      </c>
      <c r="AK603" s="704" t="str">
        <f t="shared" ca="1" si="122"/>
        <v/>
      </c>
      <c r="AL603" s="704" t="str">
        <f t="shared" ca="1" si="123"/>
        <v/>
      </c>
      <c r="AM603" s="705" t="str">
        <f t="shared" ca="1" si="124"/>
        <v/>
      </c>
      <c r="AN603" s="313"/>
      <c r="AO603" s="314" t="str">
        <f>IF($R$3=1,IF(Y603=AA603,"","NE"),IF(#REF!=$V$10,"NE",""))</f>
        <v/>
      </c>
      <c r="AP603" s="315" t="str">
        <f>IF(AB603=$V$3,IF(VLOOKUP(C603,[1]List1!$A:$E,5,FALSE)=0,1,VLOOKUP(C603,[1]List1!$A:$E,5,FALSE)),"")</f>
        <v/>
      </c>
      <c r="AW603" s="458">
        <f>IFERROR(FIND(VLOOKUP('General price list'!$AB$7,'General price list'!$AC$1:$AD$12,2,FALSE),Q603,1),0)</f>
        <v>0</v>
      </c>
      <c r="AX603" s="458">
        <f>IFERROR(FIND(VLOOKUP('General price list'!$AB$7,'General price list'!$AC$1:$AD$12,2,FALSE),R603,1),0)</f>
        <v>0</v>
      </c>
    </row>
    <row r="604" spans="1:50" ht="15" customHeight="1" thickBot="1">
      <c r="A604" s="1047" t="str">
        <f>IFERROR(IF(VLOOKUP(C604,#REF!,5,FALSE)=0,"",VLOOKUP(C604,#REF!,5,FALSE)),"")</f>
        <v/>
      </c>
      <c r="B604" s="1048">
        <v>583</v>
      </c>
      <c r="C604" s="1049" t="s">
        <v>11849</v>
      </c>
      <c r="D604" s="1049" t="s">
        <v>13703</v>
      </c>
      <c r="E604" s="1050" t="s">
        <v>129</v>
      </c>
      <c r="F604" s="1051">
        <f>VLOOKUP(C604,[2]List1!$A:$D,2,FALSE)</f>
        <v>143</v>
      </c>
      <c r="G604" s="1052">
        <f t="shared" si="113"/>
        <v>143</v>
      </c>
      <c r="H604" s="1053">
        <f t="shared" si="114"/>
        <v>5.8</v>
      </c>
      <c r="I604" s="1054">
        <v>1</v>
      </c>
      <c r="J604" s="1050"/>
      <c r="K604" s="1055"/>
      <c r="L604" s="1056"/>
      <c r="M604" s="1050"/>
      <c r="N604" s="1057" t="str">
        <f>IFERROR(VLOOKUP(C604,[3]List1!$A:$D,4,FALSE),"N/A!")</f>
        <v/>
      </c>
      <c r="O604" s="1054" t="str">
        <f>IFERROR(VLOOKUP(C604,[3]List1!$A:$D,3,FALSE),"N/A!")</f>
        <v/>
      </c>
      <c r="P604" s="1054">
        <f>IFERROR(VLOOKUP(C604,[3]List1!$A:$D,2,FALSE),"N/A!")</f>
        <v>1500</v>
      </c>
      <c r="Q604" s="1050"/>
      <c r="R604" s="1050"/>
      <c r="S604" s="1050"/>
      <c r="T604" s="1051"/>
      <c r="U604" s="1058"/>
      <c r="V604" s="1059"/>
      <c r="W604" s="1060" t="str">
        <f>IFERROR(VLOOKUP($C604,Popisy!A:P,MATCH($W$17,Popisy!$A$7:$P$7,0),FALSE),"---------------")</f>
        <v>Karton mit Produktdesign</v>
      </c>
      <c r="X604" s="1061" t="str">
        <f t="shared" si="115"/>
        <v/>
      </c>
      <c r="Y604" s="1062"/>
      <c r="Z604" s="1060" t="str">
        <f>IFERROR(IF(VLOOKUP(C604,[4]List1!$A:$D,4,FALSE)=0,"",VLOOKUP(C604,[4]List1!$A:$D,4,FALSE)),"")</f>
        <v/>
      </c>
      <c r="AA604" s="1063"/>
      <c r="AB604" s="1064" t="str">
        <f>IFERROR(IF(VLOOKUP(C604,[1]List1!$A:$D,2,FALSE)="VYPRODÁNO",$V$9,IF(VLOOKUP(C604,[1]List1!$A:$D,2,FALSE)="DOCHÁZÍ",$V$3,VLOOKUP(C604,[1]List1!$A:$D,2,FALSE))),"OFFLINE!")</f>
        <v>SKLADEM</v>
      </c>
      <c r="AC604" s="1064" t="str">
        <f ca="1">IF(AO604="NE",$V$10,IF(AB604=$V$3,IF(AP604&lt;1,$V$8,$V$2&amp;" "&amp;AP604&amp;" "&amp;$V$1),IF(AB604="SKLADEM",$V$6,IFERROR(IF(OR(AB604-TODAY()&gt;21,VLOOKUP(C604,[1]List1!$A:$E,4,FALSE)=0),AB604,DAY(AB604)&amp;"."&amp;MONTH(AB604)&amp;"."&amp;YEAR(AB604)&amp;" "&amp;$V$4&amp;VLOOKUP(C604,[1]List1!$A:$E,4,FALSE)&amp;" "&amp;$V$1),AB604))))</f>
        <v>AUF LAGER</v>
      </c>
      <c r="AD604" s="1065" t="str">
        <f ca="1">_xlfn.IFNA(VLOOKUP(C604,'General price list'!C:AM,MATCH($AD$20,'General price list'!$C$20:$AM$20,0),FALSE),"")</f>
        <v>AUF LAGER</v>
      </c>
      <c r="AE604" s="1051">
        <f t="shared" ca="1" si="116"/>
        <v>0</v>
      </c>
      <c r="AF604" s="1051">
        <f t="shared" ca="1" si="117"/>
        <v>0</v>
      </c>
      <c r="AG604" s="1066">
        <f t="shared" ca="1" si="118"/>
        <v>0</v>
      </c>
      <c r="AH604" s="1067">
        <f t="shared" ca="1" si="119"/>
        <v>0</v>
      </c>
      <c r="AI604" s="1066" t="str">
        <f t="shared" ca="1" si="120"/>
        <v/>
      </c>
      <c r="AJ604" s="1068" t="str">
        <f t="shared" ca="1" si="121"/>
        <v/>
      </c>
      <c r="AK604" s="1068" t="str">
        <f t="shared" ca="1" si="122"/>
        <v/>
      </c>
      <c r="AL604" s="1068" t="str">
        <f t="shared" ca="1" si="123"/>
        <v/>
      </c>
      <c r="AM604" s="1069" t="str">
        <f t="shared" ca="1" si="124"/>
        <v/>
      </c>
      <c r="AN604" s="313"/>
      <c r="AO604" s="314" t="str">
        <f>IF($R$3=1,IF(Y604=AA604,"","NE"),IF(#REF!=$V$10,"NE",""))</f>
        <v/>
      </c>
      <c r="AP604" s="315" t="str">
        <f>IF(AB604=$V$3,IF(VLOOKUP(C604,[1]List1!$A:$E,5,FALSE)=0,1,VLOOKUP(C604,[1]List1!$A:$E,5,FALSE)),"")</f>
        <v/>
      </c>
      <c r="AW604" s="458">
        <f>IFERROR(FIND(VLOOKUP('General price list'!$AB$7,'General price list'!$AC$1:$AD$12,2,FALSE),Q604,1),0)</f>
        <v>0</v>
      </c>
      <c r="AX604" s="458">
        <f>IFERROR(FIND(VLOOKUP('General price list'!$AB$7,'General price list'!$AC$1:$AD$12,2,FALSE),R604,1),0)</f>
        <v>0</v>
      </c>
    </row>
    <row r="605" spans="1:50" ht="15" customHeight="1" thickTop="1" thickBot="1">
      <c r="A605" s="319"/>
      <c r="B605" s="266"/>
      <c r="C605" s="320"/>
      <c r="D605" s="321"/>
      <c r="E605" s="322"/>
      <c r="F605" s="323"/>
      <c r="G605" s="324"/>
      <c r="H605" s="325"/>
      <c r="I605" s="838"/>
      <c r="J605" s="326"/>
      <c r="K605" s="858"/>
      <c r="L605" s="859"/>
      <c r="M605" s="328"/>
      <c r="Q605" s="329"/>
      <c r="R605" s="328"/>
      <c r="S605" s="328"/>
      <c r="T605" s="328"/>
      <c r="U605" s="875"/>
      <c r="V605" s="322"/>
      <c r="X605" s="893"/>
      <c r="Y605" s="894"/>
      <c r="Z605" s="291"/>
      <c r="AA605" s="291"/>
      <c r="AB605" s="913"/>
      <c r="AC605" s="913"/>
      <c r="AD605" s="331"/>
      <c r="AE605" s="332"/>
      <c r="AF605" s="332"/>
      <c r="AG605" s="333"/>
      <c r="AH605" s="291"/>
      <c r="AI605" s="334"/>
      <c r="AJ605" s="291"/>
      <c r="AK605" s="291"/>
      <c r="AL605" s="291"/>
      <c r="AM605" s="335"/>
      <c r="AN605" s="382"/>
      <c r="AO605" s="291"/>
      <c r="AP605" s="291"/>
    </row>
    <row r="606" spans="1:50" ht="15" customHeight="1">
      <c r="A606" s="319"/>
      <c r="B606" s="266"/>
      <c r="C606" s="320"/>
      <c r="D606" s="432" t="str">
        <f>IF($W$17=$AB$1,"Jako plátci DPH účtujeme k uvedeným cenám 21% DPH.",IFERROR(VLOOKUP("Jako plátci DPH účtujeme k uvedeným cenám 21% DPH.",Jazyky_ceník!A:Q,MATCH(W17,Jazyky_ceník!A1:Q1,0),FALSE),"!!!"))</f>
        <v>Als Mehrwertsteuerzahler berechnen wir 21% Mehrwertsteuer auf die oben genannten Preise.</v>
      </c>
      <c r="E606" s="327"/>
      <c r="F606" s="334"/>
      <c r="G606" s="433"/>
      <c r="H606" s="291"/>
      <c r="I606" s="839"/>
      <c r="J606" s="434"/>
      <c r="L606" s="858"/>
      <c r="M606" s="327"/>
      <c r="Q606" s="327"/>
      <c r="R606" s="291"/>
      <c r="S606" s="291"/>
      <c r="T606" s="334"/>
      <c r="V606" s="322"/>
      <c r="W606" s="291"/>
      <c r="X606" s="895"/>
      <c r="Y606" s="894"/>
      <c r="Z606" s="336"/>
      <c r="AA606" s="291"/>
      <c r="AB606" s="914"/>
      <c r="AD606" s="291"/>
      <c r="AE606" s="291"/>
      <c r="AF606" s="291"/>
      <c r="AG606" s="291"/>
      <c r="AH606" s="291"/>
      <c r="AI606" s="291"/>
      <c r="AJ606" s="291"/>
      <c r="AK606" s="291"/>
      <c r="AL606" s="291"/>
      <c r="AM606" s="291"/>
      <c r="AN606" s="382"/>
      <c r="AO606" s="291"/>
      <c r="AP606" s="291"/>
    </row>
    <row r="607" spans="1:50" ht="15" hidden="1" customHeight="1">
      <c r="A607" s="319"/>
      <c r="B607" s="266"/>
      <c r="C607" s="320"/>
      <c r="D607" s="1099" t="str">
        <f>IF($W$17=$AB$1,"Touto barvou jsou označeny novinky 2022.",IFERROR(VLOOKUP("Touto barvou jsou označeny novinky 2022.",Jazyky_ceník!A:Q,MATCH(W17,Jazyky_ceník!A1:Q1,0),FALSE),"!!!"))</f>
        <v>!!!</v>
      </c>
      <c r="E607" s="1099"/>
      <c r="F607" s="1099"/>
      <c r="G607" s="1099"/>
      <c r="H607" s="291"/>
      <c r="I607" s="840"/>
      <c r="J607" s="434"/>
      <c r="M607" s="291"/>
      <c r="Q607" s="327"/>
      <c r="R607" s="291"/>
      <c r="S607" s="291"/>
      <c r="T607" s="334"/>
      <c r="V607" s="322"/>
      <c r="W607" s="291"/>
      <c r="X607" s="895"/>
      <c r="Y607" s="894"/>
      <c r="Z607" s="291"/>
      <c r="AA607" s="291"/>
      <c r="AB607" s="915"/>
      <c r="AD607" s="291"/>
      <c r="AE607" s="291"/>
      <c r="AF607" s="291"/>
      <c r="AG607" s="291"/>
      <c r="AH607" s="291"/>
      <c r="AI607" s="291"/>
      <c r="AJ607" s="291"/>
      <c r="AK607" s="291"/>
      <c r="AL607" s="291"/>
      <c r="AM607" s="291"/>
      <c r="AN607" s="382"/>
      <c r="AO607" s="291"/>
      <c r="AP607" s="291"/>
    </row>
    <row r="608" spans="1:50" ht="15" customHeight="1">
      <c r="A608" s="319"/>
      <c r="B608" s="266"/>
      <c r="C608" s="320"/>
      <c r="D608" s="435" t="str">
        <f>IF($W$17=$AB$1,"Pro nákup KAT. F4 a T2 je potřebný průkaz osoby odborně způsobilé, resp. odpalovače ohňostrojů!",IFERROR(VLOOKUP("Pro nákup KAT. F4 a T2 je potřebný průkaz osoby odborně způsobilé, resp. odpalovače ohňostrojů!",Jazyky_ceník!A:Q,MATCH(W17,Jazyky_ceník!A1:Q1,0),FALSE),"!!!"))</f>
        <v>Für den Kauf von KAT F4 und T2 ist eine Lizenz einer fachkundigen Person erforderlich!</v>
      </c>
      <c r="E608" s="327"/>
      <c r="F608" s="436"/>
      <c r="G608" s="433"/>
      <c r="H608" s="327"/>
      <c r="I608" s="841"/>
      <c r="J608" s="318"/>
      <c r="K608" s="859"/>
      <c r="L608" s="859"/>
      <c r="M608" s="327"/>
      <c r="Q608" s="327"/>
      <c r="R608" s="291"/>
      <c r="S608" s="291"/>
      <c r="T608" s="334"/>
      <c r="V608" s="322"/>
      <c r="W608" s="475"/>
      <c r="X608" s="896"/>
      <c r="Y608" s="894"/>
      <c r="Z608" s="267"/>
      <c r="AA608" s="477"/>
      <c r="AB608" s="915"/>
      <c r="AD608" s="291"/>
      <c r="AE608" s="291"/>
      <c r="AF608" s="291"/>
      <c r="AG608" s="291"/>
      <c r="AH608" s="291"/>
      <c r="AI608" s="291"/>
      <c r="AJ608" s="291"/>
      <c r="AK608" s="291"/>
      <c r="AL608" s="291"/>
      <c r="AM608" s="291"/>
      <c r="AN608" s="382"/>
      <c r="AO608" s="291"/>
      <c r="AP608" s="291"/>
    </row>
    <row r="609" spans="1:42" ht="23.25" customHeight="1">
      <c r="A609" s="319"/>
      <c r="B609" s="266"/>
      <c r="C609" s="320"/>
      <c r="D609" s="437" t="str">
        <f>IF($W$17=$AB$1,"Pro zákazníky, kteří mají slevu více než 50% platí minimální jednorázový odběr 10.000Kč",IFERROR(VLOOKUP("Pro zákazníky, kteří mají slevu více než 50% platí minimální jednorázový odběr 10.000Kč",Jazyky_ceník!A:Q,MATCH(W17,Jazyky_ceník!A1:Q1,0),FALSE),"!!!"))</f>
        <v>Für Kunden mit einem Rabatt von mehr als 50% beträgt der Mindesteinkauf 10.000 CZK.</v>
      </c>
      <c r="E609" s="327"/>
      <c r="F609" s="334"/>
      <c r="G609" s="433"/>
      <c r="H609" s="291"/>
      <c r="I609" s="839"/>
      <c r="J609" s="434"/>
      <c r="L609" s="858"/>
      <c r="M609" s="327"/>
      <c r="Q609" s="327"/>
      <c r="R609" s="291"/>
      <c r="S609" s="291"/>
      <c r="T609" s="334"/>
      <c r="V609" s="322"/>
      <c r="W609" s="476"/>
      <c r="X609" s="897"/>
      <c r="Y609" s="894"/>
      <c r="Z609" s="267"/>
      <c r="AA609" s="291"/>
      <c r="AD609" s="463"/>
      <c r="AE609" s="332"/>
      <c r="AF609" s="332"/>
      <c r="AG609" s="333"/>
      <c r="AH609" s="291"/>
      <c r="AI609" s="334"/>
      <c r="AJ609" s="291"/>
      <c r="AK609" s="291"/>
      <c r="AL609" s="291"/>
      <c r="AM609" s="291"/>
      <c r="AN609" s="382"/>
      <c r="AO609" s="291"/>
      <c r="AP609" s="291"/>
    </row>
    <row r="610" spans="1:42" ht="15" customHeight="1">
      <c r="A610" s="319"/>
      <c r="B610" s="266"/>
      <c r="C610" s="352"/>
      <c r="D610" s="438" t="str">
        <f>IF($W$17=$AB$1,"Všechny ceny uvedené v tomto ceníku jsou bez dopravy (EXW Incoterms 2010) tzn., že si zákazník dopravu musí uhradit sám.",IFERROR(VLOOKUP("Všechny ceny uvedené v tomto ceníku jsou bez dopravy (EXW Incoterms 2010) tzn., že si zákazník dopravu musí uhradit sám.",Jazyky_ceník!A:Q,MATCH(W17,Jazyky_ceník!A1:Q1,0),FALSE),"!!!"))</f>
        <v>Alle Preise in dieser Preisliste verstehen sich ohne Versand (EXW Incoterms 2010), dh der Kunde muss den Transport selbst bezahlen.</v>
      </c>
      <c r="E610" s="327"/>
      <c r="F610" s="334"/>
      <c r="G610" s="433"/>
      <c r="H610" s="291"/>
      <c r="I610" s="839"/>
      <c r="J610" s="434"/>
      <c r="L610" s="858"/>
      <c r="M610" s="327"/>
      <c r="Q610" s="327"/>
      <c r="R610" s="291"/>
      <c r="S610" s="291"/>
      <c r="T610" s="334"/>
      <c r="V610" s="322"/>
      <c r="W610" s="464"/>
      <c r="X610" s="898"/>
      <c r="Y610" s="899"/>
      <c r="Z610" s="291"/>
      <c r="AA610" s="461"/>
      <c r="AB610" s="916"/>
      <c r="AC610" s="917"/>
      <c r="AD610" s="462"/>
      <c r="AE610" s="291"/>
      <c r="AF610" s="291"/>
      <c r="AG610" s="291"/>
      <c r="AH610" s="291"/>
      <c r="AI610" s="291"/>
      <c r="AJ610" s="291"/>
      <c r="AK610" s="291"/>
      <c r="AL610" s="291"/>
      <c r="AM610" s="291"/>
      <c r="AN610" s="382"/>
      <c r="AO610" s="291"/>
      <c r="AP610" s="291"/>
    </row>
    <row r="611" spans="1:42" ht="15" customHeight="1">
      <c r="A611" s="319"/>
      <c r="B611" s="266"/>
      <c r="C611" s="352"/>
      <c r="D611" s="437" t="str">
        <f>IF($W$17=$AB$1,"Je možno objednávat pouze celé exportní kartony.",IFERROR(VLOOKUP("Je možno objednávat pouze celé exportní kartony.",Jazyky_ceník!A:Q,MATCH(W17,Jazyky_ceník!A1:Q1,0),FALSE),"!!!"))</f>
        <v>Es können nur ganze Exportkartons bestellt werden.</v>
      </c>
      <c r="E611" s="327"/>
      <c r="F611" s="334"/>
      <c r="G611" s="433"/>
      <c r="H611" s="291"/>
      <c r="I611" s="839"/>
      <c r="J611" s="434"/>
      <c r="L611" s="858"/>
      <c r="M611" s="327"/>
      <c r="Q611" s="327"/>
      <c r="R611" s="291"/>
      <c r="S611" s="291"/>
      <c r="T611" s="291"/>
      <c r="V611" s="291"/>
      <c r="W611" s="291"/>
      <c r="Y611" s="899"/>
      <c r="Z611" s="291"/>
      <c r="AA611" s="334"/>
      <c r="AB611" s="918"/>
      <c r="AC611" s="919"/>
      <c r="AD611" s="463"/>
      <c r="AE611" s="291"/>
      <c r="AF611" s="291"/>
      <c r="AG611" s="291"/>
      <c r="AH611" s="291"/>
      <c r="AI611" s="291"/>
      <c r="AJ611" s="291"/>
      <c r="AK611" s="291"/>
      <c r="AL611" s="291"/>
      <c r="AM611" s="291"/>
      <c r="AN611" s="382"/>
      <c r="AO611" s="291"/>
      <c r="AP611" s="291"/>
    </row>
    <row r="612" spans="1:42" ht="15" hidden="1" customHeight="1">
      <c r="A612" s="319"/>
      <c r="B612" s="266"/>
      <c r="C612" s="352"/>
      <c r="D612" s="439" t="str">
        <f>IF($W$17=$AB$1,"Položky označené ve sloupci A jako ANO - je možno objednávat také po baleních za příplatek 20%",IFERROR(VLOOKUP("Položky označené ve sloupci A jako ANO - je možno objednávat také po baleních za příplatek 20%",Jazyky_ceník!A:Q,MATCH(W17,Jazyky_ceník!A1:Q1,0),FALSE),"!!!"))</f>
        <v>Artikel, die in Spalte A mit JA gekennzeichnet sind, können gegen einen Aufpreis von 20% auch in Paketen bestellt werden.</v>
      </c>
      <c r="E612" s="327"/>
      <c r="F612" s="334"/>
      <c r="G612" s="433"/>
      <c r="H612" s="291"/>
      <c r="I612" s="839"/>
      <c r="J612" s="434"/>
      <c r="L612" s="858"/>
      <c r="M612" s="327"/>
      <c r="Q612" s="327"/>
      <c r="R612" s="291"/>
      <c r="S612" s="291"/>
      <c r="T612" s="291"/>
      <c r="V612" s="291"/>
      <c r="W612" s="291"/>
      <c r="Y612" s="899"/>
      <c r="Z612" s="291"/>
      <c r="AA612" s="334"/>
      <c r="AB612" s="920"/>
      <c r="AC612" s="921"/>
      <c r="AD612" s="466"/>
      <c r="AE612" s="467"/>
      <c r="AF612" s="291"/>
      <c r="AG612" s="353"/>
      <c r="AH612" s="354"/>
      <c r="AI612" s="354"/>
      <c r="AJ612" s="355"/>
      <c r="AK612" s="355"/>
      <c r="AL612" s="355"/>
      <c r="AM612" s="468"/>
      <c r="AN612" s="382"/>
      <c r="AO612" s="291"/>
      <c r="AP612" s="291"/>
    </row>
    <row r="613" spans="1:42" ht="15" customHeight="1">
      <c r="A613" s="319"/>
      <c r="B613" s="266"/>
      <c r="C613" s="352"/>
      <c r="D613" s="440" t="str">
        <f>IF($W$17=$AB$1,"Položky, které nejsou aktuálně skladem, nelze objednat. Objednací pole je podbarveno černě.",IFERROR(VLOOKUP("Položky, které nejsou aktuálně skladem, nelze objednat. Objednací pole je podbarveno černě.",Jazyky_ceník!A:Q,MATCH(W17,Jazyky_ceník!A1:Q1,0),FALSE),"!!!"))</f>
        <v>Artikel, die derzeit nicht auf Lager sind, können nicht bestellt werden. Das Bestellfeld ist schwarz hervorgehoben.</v>
      </c>
      <c r="E613" s="327"/>
      <c r="F613" s="334"/>
      <c r="G613" s="433"/>
      <c r="H613" s="291"/>
      <c r="I613" s="839"/>
      <c r="J613" s="434"/>
      <c r="L613" s="858"/>
      <c r="M613" s="327"/>
      <c r="Q613" s="327"/>
      <c r="R613" s="291"/>
      <c r="S613" s="291"/>
      <c r="T613" s="291"/>
      <c r="V613" s="291"/>
      <c r="W613" s="291"/>
      <c r="Y613" s="899"/>
      <c r="Z613" s="291"/>
      <c r="AA613" s="476"/>
      <c r="AD613" s="291"/>
      <c r="AE613" s="291"/>
      <c r="AF613" s="334"/>
      <c r="AG613" s="334"/>
      <c r="AH613" s="334"/>
      <c r="AI613" s="334"/>
      <c r="AJ613" s="469"/>
      <c r="AK613" s="469"/>
      <c r="AL613" s="469"/>
      <c r="AM613" s="469"/>
      <c r="AN613" s="382"/>
      <c r="AO613" s="291"/>
      <c r="AP613" s="291"/>
    </row>
    <row r="614" spans="1:42" ht="15" customHeight="1">
      <c r="A614" s="319"/>
      <c r="B614" s="266"/>
      <c r="C614" s="352"/>
      <c r="D614" s="431" t="str">
        <f>D9</f>
        <v>Rabatte bei ganzjährigem Kauf vom 01.09.2023 bis 31.08.2024</v>
      </c>
      <c r="E614" s="356"/>
      <c r="F614" s="357"/>
      <c r="G614" s="441"/>
      <c r="H614" s="291"/>
      <c r="I614" s="839"/>
      <c r="J614" s="434"/>
      <c r="L614" s="858"/>
      <c r="M614" s="327"/>
      <c r="Q614" s="327"/>
      <c r="R614" s="291"/>
      <c r="S614" s="291"/>
      <c r="T614" s="358"/>
      <c r="V614" s="291"/>
      <c r="W614" s="291"/>
      <c r="Y614" s="899"/>
      <c r="Z614" s="291"/>
      <c r="AA614" s="465"/>
      <c r="AB614" s="922"/>
      <c r="AC614" s="923"/>
      <c r="AD614" s="470"/>
      <c r="AE614" s="470"/>
      <c r="AF614" s="478"/>
      <c r="AG614" s="478"/>
      <c r="AH614" s="479"/>
      <c r="AI614" s="479"/>
      <c r="AJ614" s="471"/>
      <c r="AK614" s="469"/>
      <c r="AL614" s="469"/>
      <c r="AM614" s="469"/>
      <c r="AN614" s="382"/>
      <c r="AO614" s="291"/>
      <c r="AP614" s="291"/>
    </row>
    <row r="615" spans="1:42" ht="15" customHeight="1">
      <c r="A615" s="319"/>
      <c r="B615" s="266"/>
      <c r="C615" s="352"/>
      <c r="D615" s="431" t="str">
        <f>D10</f>
        <v>Jeder Kunde erhält einen Rabatt basierend auf einem Einkauf vom 01.09.2022 bis 31.08.2023.</v>
      </c>
      <c r="E615" s="356"/>
      <c r="F615" s="357"/>
      <c r="G615" s="441"/>
      <c r="H615" s="291"/>
      <c r="I615" s="839"/>
      <c r="J615" s="434"/>
      <c r="L615" s="858"/>
      <c r="M615" s="327"/>
      <c r="Q615" s="327"/>
      <c r="R615" s="291"/>
      <c r="S615" s="291"/>
      <c r="T615" s="358"/>
      <c r="V615" s="291"/>
      <c r="W615" s="291"/>
      <c r="Y615" s="899"/>
      <c r="Z615" s="291"/>
      <c r="AA615" s="465"/>
      <c r="AB615" s="922"/>
      <c r="AC615" s="924"/>
      <c r="AD615" s="472"/>
      <c r="AE615" s="472"/>
      <c r="AF615" s="478"/>
      <c r="AG615" s="478"/>
      <c r="AH615" s="479"/>
      <c r="AI615" s="479"/>
      <c r="AJ615" s="473"/>
      <c r="AK615" s="469"/>
      <c r="AL615" s="469"/>
      <c r="AM615" s="469"/>
      <c r="AN615" s="382"/>
      <c r="AO615" s="291"/>
      <c r="AP615" s="291"/>
    </row>
    <row r="616" spans="1:42" ht="15" customHeight="1">
      <c r="A616" s="319"/>
      <c r="B616" s="266"/>
      <c r="C616" s="352"/>
      <c r="D616" s="431" t="str">
        <f>D11</f>
        <v>Sie haben Ihren Rabatt aufgebraucht, indem Sie Ihre Einkaufslimits überschritten haben (Wareneinkäufe summieren sich),</v>
      </c>
      <c r="E616" s="356"/>
      <c r="F616" s="357"/>
      <c r="G616" s="441"/>
      <c r="H616" s="291"/>
      <c r="I616" s="839"/>
      <c r="J616" s="434"/>
      <c r="L616" s="858"/>
      <c r="M616" s="327"/>
      <c r="Q616" s="327"/>
      <c r="R616" s="291"/>
      <c r="S616" s="291"/>
      <c r="T616" s="358"/>
      <c r="V616" s="322"/>
      <c r="W616" s="291"/>
      <c r="Y616" s="899"/>
      <c r="Z616" s="291"/>
      <c r="AA616" s="465"/>
      <c r="AB616" s="922"/>
      <c r="AC616" s="923"/>
      <c r="AD616" s="470"/>
      <c r="AE616" s="470"/>
      <c r="AF616" s="478"/>
      <c r="AG616" s="478"/>
      <c r="AH616" s="479"/>
      <c r="AI616" s="479"/>
      <c r="AJ616" s="471"/>
      <c r="AK616" s="469"/>
      <c r="AL616" s="469"/>
      <c r="AM616" s="469"/>
      <c r="AN616" s="382"/>
      <c r="AO616" s="291"/>
      <c r="AP616" s="291"/>
    </row>
    <row r="617" spans="1:42" ht="15" customHeight="1">
      <c r="A617" s="319"/>
      <c r="B617" s="266"/>
      <c r="C617" s="352"/>
      <c r="D617" s="431" t="str">
        <f>D12</f>
        <v xml:space="preserve">Sie erhalten den entsprechenden Rabatt für den angegebenen Zeitraum zurück. Warenkauf bedeutet den Betrag ohne Mehrwertsteuer nach Abzug des Skontos. </v>
      </c>
      <c r="E617" s="356"/>
      <c r="F617" s="357"/>
      <c r="G617" s="441"/>
      <c r="H617" s="291"/>
      <c r="I617" s="839"/>
      <c r="J617" s="434"/>
      <c r="L617" s="858"/>
      <c r="M617" s="327"/>
      <c r="Q617" s="327"/>
      <c r="R617" s="291"/>
      <c r="S617" s="291"/>
      <c r="T617" s="358"/>
      <c r="V617" s="322"/>
      <c r="W617" s="291"/>
      <c r="Y617" s="899"/>
      <c r="Z617" s="291"/>
      <c r="AA617" s="465"/>
      <c r="AB617" s="922"/>
      <c r="AC617" s="924"/>
      <c r="AD617" s="472"/>
      <c r="AE617" s="472"/>
      <c r="AF617" s="478"/>
      <c r="AG617" s="478"/>
      <c r="AH617" s="479"/>
      <c r="AI617" s="479"/>
      <c r="AJ617" s="473"/>
      <c r="AK617" s="469"/>
      <c r="AL617" s="469"/>
      <c r="AM617" s="469"/>
      <c r="AN617" s="382"/>
      <c r="AO617" s="291"/>
      <c r="AP617" s="291"/>
    </row>
    <row r="618" spans="1:42" ht="15" customHeight="1">
      <c r="A618" s="319"/>
      <c r="B618" s="266"/>
      <c r="C618" s="352"/>
      <c r="D618" s="431" t="str">
        <f>D13</f>
        <v>Geben Sie Ihren Rabatt in die Zelle D19 ein, die Preisliste wird automatisch neu berechnet. Der Rabatt berechnet sich auch selbst nach der aktuellen Bestellung.</v>
      </c>
      <c r="E618" s="356"/>
      <c r="F618" s="357"/>
      <c r="G618" s="441"/>
      <c r="H618" s="291"/>
      <c r="I618" s="839"/>
      <c r="J618" s="434"/>
      <c r="L618" s="858"/>
      <c r="M618" s="327"/>
      <c r="Q618" s="327"/>
      <c r="R618" s="291"/>
      <c r="S618" s="291"/>
      <c r="T618" s="291"/>
      <c r="V618" s="322"/>
      <c r="W618" s="291"/>
      <c r="Y618" s="899"/>
      <c r="Z618" s="291"/>
      <c r="AA618" s="465"/>
      <c r="AB618" s="922"/>
      <c r="AC618" s="923"/>
      <c r="AD618" s="474"/>
      <c r="AE618" s="474"/>
      <c r="AF618" s="478"/>
      <c r="AG618" s="478"/>
      <c r="AH618" s="479"/>
      <c r="AI618" s="479"/>
      <c r="AJ618" s="471"/>
      <c r="AK618" s="469"/>
      <c r="AL618" s="469"/>
      <c r="AM618" s="469"/>
      <c r="AN618" s="382"/>
      <c r="AO618" s="291"/>
      <c r="AP618" s="291"/>
    </row>
    <row r="619" spans="1:42" ht="15" customHeight="1">
      <c r="A619" s="319"/>
      <c r="B619" s="266"/>
      <c r="C619" s="352"/>
      <c r="D619" s="442" t="str">
        <f>IF($W$17=$AB$1,"Jelikož ceny dopravy a zboží jsou velice nestabilní, vyhrazujeme si právo na změnu cen i během období platnosti ceníku.",IFERROR(VLOOKUP("Jelikož ceny dopravy a zboží jsou velice nestabilní, vyhrazujeme si právo na změnu cen i během období platnosti ceníku.",Jazyky_ceník!A:Q,MATCH(W17,Jazyky_ceník!A1:Q1,0),FALSE),"---------------"))</f>
        <v xml:space="preserve">Transport- und Güterpreise sind sehr volatil. Preisänderungen (auch während der Geltungsdauer der Preisliste) behalten wir uns vor. </v>
      </c>
      <c r="E619" s="359"/>
      <c r="F619" s="360"/>
      <c r="G619" s="359"/>
      <c r="H619" s="291"/>
      <c r="I619" s="839"/>
      <c r="J619" s="434"/>
      <c r="L619" s="858"/>
      <c r="M619" s="327"/>
      <c r="Q619" s="327"/>
      <c r="R619" s="291"/>
      <c r="S619" s="291"/>
      <c r="T619" s="291"/>
      <c r="V619" s="322"/>
      <c r="W619" s="291"/>
      <c r="Y619" s="899"/>
      <c r="Z619" s="291"/>
      <c r="AA619" s="465"/>
      <c r="AB619" s="922"/>
      <c r="AC619" s="924"/>
      <c r="AD619" s="472"/>
      <c r="AE619" s="472"/>
      <c r="AF619" s="478"/>
      <c r="AG619" s="478"/>
      <c r="AH619" s="479"/>
      <c r="AI619" s="479"/>
      <c r="AJ619" s="473"/>
      <c r="AK619" s="469"/>
      <c r="AL619" s="469"/>
      <c r="AM619" s="469"/>
      <c r="AN619" s="382"/>
      <c r="AO619" s="291"/>
      <c r="AP619" s="291"/>
    </row>
    <row r="620" spans="1:42">
      <c r="A620" s="361"/>
      <c r="B620" s="266"/>
      <c r="C620" s="362"/>
      <c r="D620" s="363"/>
      <c r="E620" s="364"/>
      <c r="F620" s="365"/>
      <c r="G620" s="366"/>
      <c r="H620" s="367"/>
      <c r="I620" s="838"/>
      <c r="J620" s="368"/>
      <c r="K620" s="858"/>
      <c r="L620" s="859"/>
      <c r="M620" s="369"/>
      <c r="Q620" s="370"/>
      <c r="R620" s="369"/>
      <c r="S620" s="369"/>
      <c r="T620" s="369"/>
      <c r="U620" s="875"/>
      <c r="V620" s="364"/>
      <c r="W620" s="371"/>
      <c r="Y620" s="899"/>
      <c r="Z620" s="264"/>
      <c r="AA620" s="372" t="s">
        <v>2748</v>
      </c>
      <c r="AB620" s="913" t="s">
        <v>2748</v>
      </c>
      <c r="AC620" s="913"/>
      <c r="AD620" s="373"/>
      <c r="AE620" s="374"/>
      <c r="AF620" s="374"/>
      <c r="AG620" s="375"/>
      <c r="AH620" s="371"/>
      <c r="AI620" s="372"/>
      <c r="AJ620" s="371"/>
      <c r="AK620" s="371"/>
      <c r="AL620" s="371"/>
      <c r="AM620" s="376"/>
      <c r="AN620" s="382"/>
      <c r="AO620" s="291"/>
      <c r="AP620" s="291"/>
    </row>
  </sheetData>
  <sheetProtection algorithmName="SHA-512" hashValue="low9rowD7911oRrcgJrjIYPgrDfkBPT1FRGHrH2cEHfUFvHFeZ3o0Xes+chEG4sjMYeNyDtM+hBGpVqRahorpg==" saltValue="czEsXp1cKrYdT1KsfZdxow==" spinCount="100000" sheet="1" autoFilter="0"/>
  <protectedRanges>
    <protectedRange sqref="D19" name="RABAT" securityDescriptor="O:WDG:WDD:(A;;CC;;;WD)"/>
    <protectedRange sqref="AA22:AA604" name="Objednávka" securityDescriptor="O:WDG:WDD:(A;;CC;;;WD)"/>
  </protectedRanges>
  <autoFilter ref="A20:AM604" xr:uid="{00000000-0001-0000-0000-000000000000}"/>
  <mergeCells count="38">
    <mergeCell ref="A7:C8"/>
    <mergeCell ref="AD4:AD5"/>
    <mergeCell ref="D1:D2"/>
    <mergeCell ref="E1:G2"/>
    <mergeCell ref="K1:L1"/>
    <mergeCell ref="M1:O1"/>
    <mergeCell ref="D3:F3"/>
    <mergeCell ref="AC6:AE6"/>
    <mergeCell ref="A17:A18"/>
    <mergeCell ref="C17:C18"/>
    <mergeCell ref="D17:D18"/>
    <mergeCell ref="E17:E18"/>
    <mergeCell ref="J17:J18"/>
    <mergeCell ref="AM7:AM8"/>
    <mergeCell ref="AL17:AL19"/>
    <mergeCell ref="AM17:AM19"/>
    <mergeCell ref="G19:J19"/>
    <mergeCell ref="M19:Q19"/>
    <mergeCell ref="R19:V19"/>
    <mergeCell ref="AD8:AD9"/>
    <mergeCell ref="AJ17:AJ19"/>
    <mergeCell ref="AK17:AK19"/>
    <mergeCell ref="AF7:AI8"/>
    <mergeCell ref="AJ7:AJ8"/>
    <mergeCell ref="AK7:AK8"/>
    <mergeCell ref="AL7:AL8"/>
    <mergeCell ref="AA17:AA19"/>
    <mergeCell ref="M17:M18"/>
    <mergeCell ref="Q17:R17"/>
    <mergeCell ref="D607:G607"/>
    <mergeCell ref="AC17:AC19"/>
    <mergeCell ref="AD17:AD19"/>
    <mergeCell ref="AH17:AH19"/>
    <mergeCell ref="AI17:AI19"/>
    <mergeCell ref="U17:U18"/>
    <mergeCell ref="V17:V18"/>
    <mergeCell ref="W17:W18"/>
    <mergeCell ref="Z17:Z19"/>
  </mergeCells>
  <conditionalFormatting sqref="A22:AM35 B36:AM36 A37:AM46 B47:AM47 A48:AM50 B51:AM51 A52:AM60 B61:AM61 A62:AM68 B69:AM69 A70:AM89 B90:AM90 A91:AM98 B99:AM99 A100:AM106 B107:AM107 A108:AM113 B114:AM114 A115:AM116 B117:AM117 A118:AM126 B127:AM127 A128:AM133 B134:AM134 A135:AM137 B138:AM138 A139:AM140 B141:AM141 A142:AM148 B149:AM149 A150:AM150 B151:AM151 A152:AM152 B153:AM153 A154:AM156 B157:AM157 A158:AM158 B159:AM159 A160:AM160 B161:AM161 A162:AM162 B163:AM163 A164:AM164 B165:AM165 A166:AM170 B171:AM171 A172:AM173 B174:AM174 A175:AM180 B181:AM181 A182:AM186 B187:AM187 A188:AM213 B214:AM214 A215:AM228 B229:AM229 A230:AM230 B231:AM231 A232:AM235 B236:AM236 A237:AM237 B238:AM238 A239:AM239 B240:AM240 A241:AM241 B242:AM242 A243:AM244 B245:AM245 A246:AM253 B254:AM254 A255:AM258 B259:AM259 A260:AM267 B268:AM268 A269:AM271 B272:AM272 A273:AM275 B276:AM276 A277:AM279 B280:AM280 A281:AM284 B285:AM285 A286:AM286 B287:AM287 A288:AM290 B291:AM291 A292:AM293 B294:AM294 A295:AM296 B297:AM297 A298:AM299 B300:AM300 A301:AM304 B305:AM305 A306:AM309 B310:AM310 A311:AM312 B313:AM313 A314:AM322 B323:AM323 A324:AM327 B328:AM328 A329:AM331 B332:AM332 A333:AM334 B335:AM335 A336:AM338 B339:AM339 A340:AM340 B341:AM341 A342:AM344 B345:AM345 A346:AM348 B349:AM349 A350:AM350 B351:AM351 A352:AM358 B359:AM359 A360:AM366 B367:AM367 A368:AM368 B369:AM369 A370:AM375 B376:AM376 A377:AM381 B382:AM382 A383:AM388 B389:AM389 A390:AM390 B391:AM391 A392:AM394 B395:AM395 A396:AM396 B397:AM397 A398:AM400 B401:AM401 A402:AM404 B405:AM405 A406:AM416 B417:AM417 A418:AM418 B419:AM419 A420:AM420 B421:AM421 A422:AM422 B423:AM423 A424:AM425 B426:AM426 A427:AM436 B437:AM437 A438:AM438 B439:AM439 A440:AM444 B445:AM445 A446:AM446 B447:AM447 A448:AM461 B462:AM462 A463:AM466 B467:AM467 A468:AM468 B469:AM469 A470:AM472 B473:AM473 A474:AM478 B479:AM479 A480:AM483 B484:AM484 A485:AM489 B490:AM490 A491:AM491 B492:AM492 A493:AM493 B494:AM494 A495:AM496 B497:AM497 A498:AM498 B499:AM499 A500:AM500 B501:AM501 A502:AM502 B503:AM503 A504:AM504 B505:AM505 A506:AM507 B508:AM508 A509:AM509 B510:AM510 A511:AM512 B513:AM513 A514:AM514 B515:AM515 A516:AM516 B517:AM517 A518:AM518 B519:AM519 A520:AM521 B522:AM522 A523:AM523 B524:AM524 A525:AM525 B526:AM526 A527:AM527 B528:AM528 A529:AM529 B530:AM530 A531:AM531 B532:AM532 A533:AM533 B534:AM534 A535:AM535 B536:AM536 A537:AM537 B538:AM538 A539:AM540 B541:AM541 A542:AM542 B543:AM543 A544:AM604">
    <cfRule type="expression" dxfId="19" priority="4">
      <formula>$D22="xxx"</formula>
    </cfRule>
    <cfRule type="expression" dxfId="18" priority="6">
      <formula>$C22=""</formula>
    </cfRule>
  </conditionalFormatting>
  <conditionalFormatting sqref="C22:C800">
    <cfRule type="expression" dxfId="17" priority="8">
      <formula>$K22=4</formula>
    </cfRule>
    <cfRule type="expression" dxfId="16" priority="9">
      <formula>$K22=5</formula>
    </cfRule>
  </conditionalFormatting>
  <conditionalFormatting sqref="C22:Z604 AE22:AM604">
    <cfRule type="expression" dxfId="15" priority="11">
      <formula>$AD22=$V$10</formula>
    </cfRule>
  </conditionalFormatting>
  <conditionalFormatting sqref="F22:F800">
    <cfRule type="expression" dxfId="14" priority="3">
      <formula>$K22=$B$2</formula>
    </cfRule>
  </conditionalFormatting>
  <conditionalFormatting sqref="Q22:Q604">
    <cfRule type="expression" dxfId="13" priority="2">
      <formula>$AW22=0</formula>
    </cfRule>
  </conditionalFormatting>
  <conditionalFormatting sqref="R22:R604">
    <cfRule type="expression" dxfId="12" priority="1">
      <formula>$AX22=0</formula>
    </cfRule>
  </conditionalFormatting>
  <conditionalFormatting sqref="AC22:AC604">
    <cfRule type="expression" dxfId="11" priority="12">
      <formula>$AC22=$V$10</formula>
    </cfRule>
  </conditionalFormatting>
  <conditionalFormatting sqref="AD22:AD604">
    <cfRule type="expression" dxfId="10" priority="7">
      <formula>$AD22=$V$10</formula>
    </cfRule>
  </conditionalFormatting>
  <dataValidations count="1">
    <dataValidation type="whole" operator="greaterThan" allowBlank="1" showInputMessage="1" showErrorMessage="1" errorTitle="POZOR!! / ATTENTION!!!" error="Tuto položku lze objednat pouze po celých kartonech!_x000a__x000a_This item can only be ordered in whole cartons!_x000a__x000a_Mặt hàng này chỉ có thể được đặt hàng trong cả thùng!_x000a_" sqref="AA22:AA604" xr:uid="{E0D7B326-EA86-4C04-93A1-B6B601237EE1}">
      <formula1>0</formula1>
    </dataValidation>
  </dataValidations>
  <hyperlinks>
    <hyperlink ref="E8" r:id="rId1" display="info@klasekpyrotechnics.cz" xr:uid="{39D12D29-0606-4133-8488-D4508BC579AC}"/>
  </hyperlinks>
  <pageMargins left="0.7" right="0.7" top="0.78740157499999996" bottom="0.78740157499999996" header="0.3" footer="0.3"/>
  <pageSetup paperSize="9" orientation="portrait" r:id="rId2"/>
  <drawing r:id="rId3"/>
  <legacyDrawing r:id="rId4"/>
  <mc:AlternateContent xmlns:mc="http://schemas.openxmlformats.org/markup-compatibility/2006">
    <mc:Choice Requires="x14">
      <controls>
        <mc:AlternateContent xmlns:mc="http://schemas.openxmlformats.org/markup-compatibility/2006">
          <mc:Choice Requires="x14">
            <control shapeId="110593" r:id="rId5" name="Drop Down 1">
              <controlPr locked="0" defaultSize="0" autoLine="0" autoPict="0">
                <anchor moveWithCells="1">
                  <from>
                    <xdr:col>28</xdr:col>
                    <xdr:colOff>1028700</xdr:colOff>
                    <xdr:row>8</xdr:row>
                    <xdr:rowOff>152400</xdr:rowOff>
                  </from>
                  <to>
                    <xdr:col>29</xdr:col>
                    <xdr:colOff>1628775</xdr:colOff>
                    <xdr:row>11</xdr:row>
                    <xdr:rowOff>38100</xdr:rowOff>
                  </to>
                </anchor>
              </controlPr>
            </control>
          </mc:Choice>
        </mc:AlternateContent>
        <mc:AlternateContent xmlns:mc="http://schemas.openxmlformats.org/markup-compatibility/2006">
          <mc:Choice Requires="x14">
            <control shapeId="111609" r:id="rId6" name="Option Button 1017">
              <controlPr locked="0" defaultSize="0" autoFill="0" autoLine="0" autoPict="0">
                <anchor>
                  <from>
                    <xdr:col>32</xdr:col>
                    <xdr:colOff>476250</xdr:colOff>
                    <xdr:row>9</xdr:row>
                    <xdr:rowOff>123825</xdr:rowOff>
                  </from>
                  <to>
                    <xdr:col>32</xdr:col>
                    <xdr:colOff>723900</xdr:colOff>
                    <xdr:row>10</xdr:row>
                    <xdr:rowOff>123825</xdr:rowOff>
                  </to>
                </anchor>
              </controlPr>
            </control>
          </mc:Choice>
        </mc:AlternateContent>
        <mc:AlternateContent xmlns:mc="http://schemas.openxmlformats.org/markup-compatibility/2006">
          <mc:Choice Requires="x14">
            <control shapeId="111610" r:id="rId7" name="Option Button 1018">
              <controlPr locked="0" defaultSize="0" autoFill="0" autoLine="0" autoPict="0">
                <anchor moveWithCells="1">
                  <from>
                    <xdr:col>33</xdr:col>
                    <xdr:colOff>542925</xdr:colOff>
                    <xdr:row>9</xdr:row>
                    <xdr:rowOff>123825</xdr:rowOff>
                  </from>
                  <to>
                    <xdr:col>33</xdr:col>
                    <xdr:colOff>752475</xdr:colOff>
                    <xdr:row>10</xdr:row>
                    <xdr:rowOff>123825</xdr:rowOff>
                  </to>
                </anchor>
              </controlPr>
            </control>
          </mc:Choice>
        </mc:AlternateContent>
        <mc:AlternateContent xmlns:mc="http://schemas.openxmlformats.org/markup-compatibility/2006">
          <mc:Choice Requires="x14">
            <control shapeId="111611" r:id="rId8" name="Option Button 1019">
              <controlPr locked="0" defaultSize="0" autoFill="0" autoLine="0" autoPict="0">
                <anchor moveWithCells="1">
                  <from>
                    <xdr:col>35</xdr:col>
                    <xdr:colOff>323850</xdr:colOff>
                    <xdr:row>9</xdr:row>
                    <xdr:rowOff>123825</xdr:rowOff>
                  </from>
                  <to>
                    <xdr:col>35</xdr:col>
                    <xdr:colOff>552450</xdr:colOff>
                    <xdr:row>10</xdr:row>
                    <xdr:rowOff>123825</xdr:rowOff>
                  </to>
                </anchor>
              </controlPr>
            </control>
          </mc:Choice>
        </mc:AlternateContent>
        <mc:AlternateContent xmlns:mc="http://schemas.openxmlformats.org/markup-compatibility/2006">
          <mc:Choice Requires="x14">
            <control shapeId="111612" r:id="rId9" name="Option Button 1020">
              <controlPr locked="0" defaultSize="0" autoFill="0" autoLine="0" autoPict="0">
                <anchor moveWithCells="1">
                  <from>
                    <xdr:col>34</xdr:col>
                    <xdr:colOff>104775</xdr:colOff>
                    <xdr:row>9</xdr:row>
                    <xdr:rowOff>123825</xdr:rowOff>
                  </from>
                  <to>
                    <xdr:col>34</xdr:col>
                    <xdr:colOff>333375</xdr:colOff>
                    <xdr:row>10</xdr:row>
                    <xdr:rowOff>123825</xdr:rowOff>
                  </to>
                </anchor>
              </controlPr>
            </control>
          </mc:Choice>
        </mc:AlternateContent>
        <mc:AlternateContent xmlns:mc="http://schemas.openxmlformats.org/markup-compatibility/2006">
          <mc:Choice Requires="x14">
            <control shapeId="111613" r:id="rId10" name="Option Button 1021">
              <controlPr locked="0" defaultSize="0" autoFill="0" autoLine="0" autoPict="0">
                <anchor moveWithCells="1">
                  <from>
                    <xdr:col>34</xdr:col>
                    <xdr:colOff>762000</xdr:colOff>
                    <xdr:row>9</xdr:row>
                    <xdr:rowOff>123825</xdr:rowOff>
                  </from>
                  <to>
                    <xdr:col>35</xdr:col>
                    <xdr:colOff>219075</xdr:colOff>
                    <xdr:row>10</xdr:row>
                    <xdr:rowOff>123825</xdr:rowOff>
                  </to>
                </anchor>
              </controlPr>
            </control>
          </mc:Choice>
        </mc:AlternateContent>
        <mc:AlternateContent xmlns:mc="http://schemas.openxmlformats.org/markup-compatibility/2006">
          <mc:Choice Requires="x14">
            <control shapeId="111614" r:id="rId11" name="Option Button 1022">
              <controlPr locked="0" defaultSize="0" autoFill="0" autoLine="0" autoPict="0">
                <anchor moveWithCells="1">
                  <from>
                    <xdr:col>34</xdr:col>
                    <xdr:colOff>438150</xdr:colOff>
                    <xdr:row>9</xdr:row>
                    <xdr:rowOff>123825</xdr:rowOff>
                  </from>
                  <to>
                    <xdr:col>34</xdr:col>
                    <xdr:colOff>647700</xdr:colOff>
                    <xdr:row>10</xdr:row>
                    <xdr:rowOff>123825</xdr:rowOff>
                  </to>
                </anchor>
              </controlPr>
            </control>
          </mc:Choice>
        </mc:AlternateContent>
        <mc:AlternateContent xmlns:mc="http://schemas.openxmlformats.org/markup-compatibility/2006">
          <mc:Choice Requires="x14">
            <control shapeId="111615" r:id="rId12" name="Option Button 1023">
              <controlPr locked="0" defaultSize="0" autoFill="0" autoLine="0" autoPict="0">
                <anchor moveWithCells="1">
                  <from>
                    <xdr:col>32</xdr:col>
                    <xdr:colOff>800100</xdr:colOff>
                    <xdr:row>9</xdr:row>
                    <xdr:rowOff>123825</xdr:rowOff>
                  </from>
                  <to>
                    <xdr:col>33</xdr:col>
                    <xdr:colOff>95250</xdr:colOff>
                    <xdr:row>10</xdr:row>
                    <xdr:rowOff>123825</xdr:rowOff>
                  </to>
                </anchor>
              </controlPr>
            </control>
          </mc:Choice>
        </mc:AlternateContent>
        <mc:AlternateContent xmlns:mc="http://schemas.openxmlformats.org/markup-compatibility/2006">
          <mc:Choice Requires="x14">
            <control shapeId="141312" r:id="rId13" name="Option Button 1024">
              <controlPr locked="0" defaultSize="0" autoFill="0" autoLine="0" autoPict="0">
                <anchor moveWithCells="1">
                  <from>
                    <xdr:col>33</xdr:col>
                    <xdr:colOff>200025</xdr:colOff>
                    <xdr:row>9</xdr:row>
                    <xdr:rowOff>123825</xdr:rowOff>
                  </from>
                  <to>
                    <xdr:col>33</xdr:col>
                    <xdr:colOff>438150</xdr:colOff>
                    <xdr:row>10</xdr:row>
                    <xdr:rowOff>123825</xdr:rowOff>
                  </to>
                </anchor>
              </controlPr>
            </control>
          </mc:Choice>
        </mc:AlternateContent>
        <mc:AlternateContent xmlns:mc="http://schemas.openxmlformats.org/markup-compatibility/2006">
          <mc:Choice Requires="x14">
            <control shapeId="141313" r:id="rId14" name="Option Button 1025">
              <controlPr locked="0" defaultSize="0" autoFill="0" autoLine="0" autoPict="0">
                <anchor moveWithCells="1">
                  <from>
                    <xdr:col>36</xdr:col>
                    <xdr:colOff>219075</xdr:colOff>
                    <xdr:row>9</xdr:row>
                    <xdr:rowOff>123825</xdr:rowOff>
                  </from>
                  <to>
                    <xdr:col>36</xdr:col>
                    <xdr:colOff>466725</xdr:colOff>
                    <xdr:row>10</xdr:row>
                    <xdr:rowOff>123825</xdr:rowOff>
                  </to>
                </anchor>
              </controlPr>
            </control>
          </mc:Choice>
        </mc:AlternateContent>
        <mc:AlternateContent xmlns:mc="http://schemas.openxmlformats.org/markup-compatibility/2006">
          <mc:Choice Requires="x14">
            <control shapeId="141314" r:id="rId15" name="Option Button 1026">
              <controlPr locked="0" defaultSize="0" autoFill="0" autoLine="0" autoPict="0">
                <anchor>
                  <from>
                    <xdr:col>35</xdr:col>
                    <xdr:colOff>647700</xdr:colOff>
                    <xdr:row>9</xdr:row>
                    <xdr:rowOff>123825</xdr:rowOff>
                  </from>
                  <to>
                    <xdr:col>36</xdr:col>
                    <xdr:colOff>104775</xdr:colOff>
                    <xdr:row>10</xdr:row>
                    <xdr:rowOff>123825</xdr:rowOff>
                  </to>
                </anchor>
              </controlPr>
            </control>
          </mc:Choice>
        </mc:AlternateContent>
        <mc:AlternateContent xmlns:mc="http://schemas.openxmlformats.org/markup-compatibility/2006">
          <mc:Choice Requires="x14">
            <control shapeId="141315" r:id="rId16" name="Option Button 1027">
              <controlPr locked="0" defaultSize="0" autoFill="0" autoLine="0" autoPict="0">
                <anchor moveWithCells="1">
                  <from>
                    <xdr:col>36</xdr:col>
                    <xdr:colOff>571500</xdr:colOff>
                    <xdr:row>9</xdr:row>
                    <xdr:rowOff>123825</xdr:rowOff>
                  </from>
                  <to>
                    <xdr:col>37</xdr:col>
                    <xdr:colOff>76200</xdr:colOff>
                    <xdr:row>10</xdr:row>
                    <xdr:rowOff>123825</xdr:rowOff>
                  </to>
                </anchor>
              </controlPr>
            </control>
          </mc:Choice>
        </mc:AlternateContent>
        <mc:AlternateContent xmlns:mc="http://schemas.openxmlformats.org/markup-compatibility/2006">
          <mc:Choice Requires="x14">
            <control shapeId="141316" r:id="rId17" name="Option Button 1028">
              <controlPr locked="0" defaultSize="0" autoFill="0" autoLine="0" autoPict="0">
                <anchor moveWithCells="1">
                  <from>
                    <xdr:col>37</xdr:col>
                    <xdr:colOff>152400</xdr:colOff>
                    <xdr:row>9</xdr:row>
                    <xdr:rowOff>123825</xdr:rowOff>
                  </from>
                  <to>
                    <xdr:col>37</xdr:col>
                    <xdr:colOff>400050</xdr:colOff>
                    <xdr:row>10</xdr:row>
                    <xdr:rowOff>123825</xdr:rowOff>
                  </to>
                </anchor>
              </controlPr>
            </control>
          </mc:Choice>
        </mc:AlternateContent>
        <mc:AlternateContent xmlns:mc="http://schemas.openxmlformats.org/markup-compatibility/2006">
          <mc:Choice Requires="x14">
            <control shapeId="141840" r:id="rId18" name="Check Box 1552">
              <controlPr defaultSize="0" autoFill="0" autoLine="0" autoPict="0">
                <anchor moveWithCells="1">
                  <from>
                    <xdr:col>3</xdr:col>
                    <xdr:colOff>2600325</xdr:colOff>
                    <xdr:row>4</xdr:row>
                    <xdr:rowOff>133350</xdr:rowOff>
                  </from>
                  <to>
                    <xdr:col>4</xdr:col>
                    <xdr:colOff>47625</xdr:colOff>
                    <xdr:row>6</xdr:row>
                    <xdr:rowOff>57150</xdr:rowOff>
                  </to>
                </anchor>
              </controlPr>
            </control>
          </mc:Choice>
        </mc:AlternateContent>
        <mc:AlternateContent xmlns:mc="http://schemas.openxmlformats.org/markup-compatibility/2006">
          <mc:Choice Requires="x14">
            <control shapeId="142142" r:id="rId19" name="Drop Down 1854">
              <controlPr locked="0" defaultSize="0" autoLine="0" autoPict="0">
                <anchor moveWithCells="1">
                  <from>
                    <xdr:col>30</xdr:col>
                    <xdr:colOff>171450</xdr:colOff>
                    <xdr:row>9</xdr:row>
                    <xdr:rowOff>19050</xdr:rowOff>
                  </from>
                  <to>
                    <xdr:col>31</xdr:col>
                    <xdr:colOff>895350</xdr:colOff>
                    <xdr:row>11</xdr:row>
                    <xdr:rowOff>57150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83032D-5916-4D73-B8C5-7183ABA61275}">
  <sheetPr>
    <tabColor rgb="FFFF0000"/>
    <pageSetUpPr fitToPage="1"/>
  </sheetPr>
  <dimension ref="A1:X144"/>
  <sheetViews>
    <sheetView topLeftCell="B71" workbookViewId="0">
      <selection activeCell="F112" sqref="F112"/>
    </sheetView>
  </sheetViews>
  <sheetFormatPr defaultColWidth="9.140625" defaultRowHeight="15" customHeight="1"/>
  <cols>
    <col min="1" max="1" width="3.7109375" style="6" hidden="1" customWidth="1"/>
    <col min="2" max="2" width="23.140625" style="399" bestFit="1" customWidth="1"/>
    <col min="3" max="3" width="21.140625" style="6" customWidth="1"/>
    <col min="4" max="4" width="14.5703125" style="6" customWidth="1"/>
    <col min="5" max="5" width="16.140625" style="6" customWidth="1"/>
    <col min="6" max="6" width="15.7109375" style="6" customWidth="1"/>
    <col min="7" max="21" width="9.140625" style="6"/>
    <col min="22" max="22" width="18.5703125" style="6" bestFit="1" customWidth="1"/>
    <col min="23" max="16384" width="9.140625" style="6"/>
  </cols>
  <sheetData>
    <row r="1" spans="1:6">
      <c r="A1" s="6">
        <v>1</v>
      </c>
      <c r="B1" s="656" t="str">
        <f>VLOOKUP(A1,info_all!$A:$M,MATCH('General price list'!$W$17,info_all!$A$2:$M$2,0),FALSE)</f>
        <v>NOTIZ!</v>
      </c>
      <c r="C1" s="657"/>
      <c r="D1" s="657"/>
      <c r="E1" s="657"/>
    </row>
    <row r="2" spans="1:6">
      <c r="A2" s="6">
        <v>2</v>
      </c>
      <c r="B2" s="395" t="str">
        <f>VLOOKUP(A2,info_all!$A:$M,MATCH('General price list'!$W$17,info_all!$A$2:$M$2,0),FALSE)</f>
        <v>Wir haben ein kleines Problem gefunden, das mit den neuen Preislisten auftritt = Reservierungspreisliste und Preisliste, in denen nur Waren auf Lager sind</v>
      </c>
      <c r="C2" s="657"/>
      <c r="D2" s="657"/>
      <c r="E2" s="657"/>
    </row>
    <row r="3" spans="1:6">
      <c r="A3" s="6">
        <v>3</v>
      </c>
      <c r="B3" s="658" t="str">
        <f>VLOOKUP(A3,info_all!$A:$M,MATCH('General price list'!$W$17,info_all!$A$2:$M$2,0),FALSE)</f>
        <v>Diese Preislisten werden mehrmals täglich aktualisiert und Sie müssen die Bestellung sofort abschließen und an uns senden.</v>
      </c>
      <c r="C3" s="657"/>
      <c r="D3" s="657"/>
      <c r="E3" s="657"/>
    </row>
    <row r="4" spans="1:6">
      <c r="A4" s="6">
        <v>4</v>
      </c>
      <c r="B4" s="395" t="str">
        <f>VLOOKUP(A4,info_all!$A:$M,MATCH('General price list'!$W$17,info_all!$A$2:$M$2,0),FALSE)</f>
        <v>Wenn Sie eine Bestellung für z.B. 2 Tage aufgeben = die Preislisten werden in der Zwischenzeit aktualisiert und die Zeilen werden verstreut und Sie senden uns daher eine Bestellung für ein anderes Produkt als Sie ursprünglich bestellen wollten! Dies liegt an der Aktualisierung der Daten und es kann zu einer automatischen Verschiebung der Zeilen, also einer Gesamtänderung der bestellten Ware kommen.</v>
      </c>
      <c r="C4" s="657"/>
      <c r="E4" s="657"/>
    </row>
    <row r="5" spans="1:6">
      <c r="A5" s="6">
        <v>5</v>
      </c>
      <c r="B5" s="396" t="str">
        <f>VLOOKUP(A5,info_all!$A:$M,MATCH('General price list'!$W$17,info_all!$A$2:$M$2,0),FALSE)</f>
        <v>Wenn Sie die Bestellung fortlaufend ausfüllen möchten, müssen Sie die allgemeine IPreisliste verwenden!</v>
      </c>
      <c r="C5" s="657"/>
      <c r="D5" s="657"/>
      <c r="E5" s="657"/>
    </row>
    <row r="6" spans="1:6">
      <c r="A6" s="6">
        <v>6</v>
      </c>
      <c r="B6" s="396" t="str">
        <f>VLOOKUP(A6,info_all!$A:$M,MATCH('General price list'!$W$17,info_all!$A$2:$M$2,0),FALSE)</f>
        <v>Verwenden Sie die Reservierungs- und Preisliste mit Lagerware nur, wenn Sie eine Bestellung aufgeben und sofort versenden möchten.</v>
      </c>
      <c r="C6" s="657"/>
      <c r="D6" s="657"/>
      <c r="E6" s="657"/>
    </row>
    <row r="7" spans="1:6" hidden="1">
      <c r="A7" s="6">
        <v>7</v>
      </c>
      <c r="B7" s="396" t="str">
        <f>VLOOKUP(A7,info_all!$A:$M,MATCH('General price list'!$W$17,info_all!$A$2:$M$2,0),FALSE)</f>
        <v>Was tun, wenn Hyperlinks in älterem Excel nicht funktionieren?</v>
      </c>
      <c r="C7" s="657"/>
      <c r="D7" s="657"/>
      <c r="E7" s="657"/>
    </row>
    <row r="8" spans="1:6">
      <c r="A8" s="6">
        <v>8</v>
      </c>
      <c r="B8" s="659" t="str">
        <f>VLOOKUP(A8,info_all!$A:$M,MATCH('General price list'!$W$17,info_all!$A$2:$M$2,0),FALSE)</f>
        <v>Vorgehensweise beim Versenden von Bestellungen:</v>
      </c>
      <c r="C8" s="657"/>
      <c r="D8" s="657"/>
      <c r="E8" s="657"/>
    </row>
    <row r="9" spans="1:6">
      <c r="A9" s="6">
        <v>9</v>
      </c>
      <c r="B9" s="396" t="str">
        <f>VLOOKUP(A9,info_all!$A:$M,MATCH('General price list'!$W$17,info_all!$A$2:$M$2,0),FALSE)</f>
        <v>Bevor Sie mit der Arbeit mit unserer I-Preisliste beginnen, sehen Sie sich diese Videoanleitung an, damit Sie unsere I-Preisliste verstehen:</v>
      </c>
      <c r="C9" s="657"/>
      <c r="D9" s="657"/>
      <c r="E9" s="657"/>
    </row>
    <row r="10" spans="1:6">
      <c r="A10" s="6">
        <v>10</v>
      </c>
      <c r="B10" s="660" t="s">
        <v>12033</v>
      </c>
      <c r="C10" s="657"/>
      <c r="D10" s="657"/>
      <c r="E10" s="657"/>
    </row>
    <row r="11" spans="1:6">
      <c r="A11" s="6">
        <v>11</v>
      </c>
      <c r="B11" s="658" t="str">
        <f>VLOOKUP(A11,info_all!$A:$M,MATCH('General price list'!$W$17,info_all!$A$2:$M$2,0),FALSE)</f>
        <v>1. Der Kunde sendet seine in unserer elektronischen Preisliste ausgefüllte Bestellung (anderes Format wird nicht akzeptiert) an die E-Mail-Adresse info@klasektrading.cz mit Informationen über die Art des Ladens der Waren, d. H. auf Paletten oder frei Karton (siehe Zellennummer 1424), Transportart und möglicherweise Lieferadresse.</v>
      </c>
      <c r="C11" s="657"/>
      <c r="D11" s="657"/>
      <c r="E11" s="657"/>
    </row>
    <row r="12" spans="1:6">
      <c r="A12" s="6">
        <v>12</v>
      </c>
      <c r="B12" s="395" t="str">
        <f>VLOOKUP(A12,info_all!$A:$M,MATCH('General price list'!$W$17,info_all!$A$2:$M$2,0),FALSE)</f>
        <v>Die Neuheit ist die Online-Verfügbarkeit des Lagers, dh. Alles, was Sie tun müssen, ist online zu sein und die Option "Bearbeitung zulassen" und "Inhalt zulassen" zu bestätigen. Nach jedem Öffnen der Preisliste können Sie sehen, welche Waren auf Lager sind oder wann sie auf Lager sein werden !!!</v>
      </c>
      <c r="C12" s="21"/>
      <c r="D12" s="21"/>
      <c r="E12" s="21"/>
      <c r="F12" s="8"/>
    </row>
    <row r="13" spans="1:6">
      <c r="A13" s="6">
        <v>13</v>
      </c>
      <c r="B13" s="396" t="str">
        <f>VLOOKUP(A13,info_all!$A:$M,MATCH('General price list'!$W$17,info_all!$A$2:$M$2,0),FALSE)</f>
        <v>Es ist nicht möglich, schwarz markierte Artikel zu bestellen, die am Tag der Bestellung nicht auf Lager sind !!! Dies garantiert, dass der Kunde nur Artikel bestellt, die auf Lager sind, wodurch der Abschluss der Bestellung erheblich beschleunigt wird.</v>
      </c>
      <c r="C13" s="21"/>
      <c r="D13" s="21"/>
      <c r="E13" s="21"/>
      <c r="F13" s="8"/>
    </row>
    <row r="14" spans="1:6">
      <c r="A14" s="6">
        <v>14</v>
      </c>
      <c r="B14" s="396" t="str">
        <f>VLOOKUP(A14,info_all!$A:$M,MATCH('General price list'!$W$17,info_all!$A$2:$M$2,0),FALSE)</f>
        <v>2. Unser Mitarbeiter wird herausfinden, welche Artikel möglicherweise nicht auf Lager sind, und den Kunden per E-Mail darüber informieren.</v>
      </c>
      <c r="C14" s="657"/>
      <c r="D14" s="657"/>
      <c r="E14" s="657"/>
    </row>
    <row r="15" spans="1:6">
      <c r="A15" s="6">
        <v>15</v>
      </c>
      <c r="B15" s="398" t="str">
        <f>VLOOKUP(A15,info_all!$A:$M,MATCH('General price list'!$W$17,info_all!$A$2:$M$2,0),FALSE)</f>
        <v>3. Der Kunde entscheidet, ob er auf die Ware warten möchte (falls diese nicht auf Lager ist) oder ob er die ausverkaufte Ware ersetzen möchte und sendet seine endgültige Bestellung per E-Mail, die nur die Ware enthält die Waren, die derzeit verfügbar sind.</v>
      </c>
      <c r="C15" s="22"/>
      <c r="D15" s="22"/>
      <c r="E15" s="22"/>
      <c r="F15" s="23"/>
    </row>
    <row r="16" spans="1:6">
      <c r="A16" s="6">
        <v>16</v>
      </c>
      <c r="B16" s="398" t="str">
        <f>VLOOKUP(A16,info_all!$A:$M,MATCH('General price list'!$W$17,info_all!$A$2:$M$2,0),FALSE)</f>
        <v>4. Unser Mitarbeiter lädt diese endgültige Bestellung (siehe Punkt 3) in unser System hoch und informiert den Kunden über das Datum, an dem die Ware versendet oder zur Abholung bereit ist.</v>
      </c>
      <c r="C16" s="657"/>
      <c r="D16" s="657"/>
      <c r="E16" s="657"/>
    </row>
    <row r="17" spans="1:24">
      <c r="A17" s="6">
        <v>17</v>
      </c>
      <c r="B17" s="397" t="str">
        <f>VLOOKUP(A17,info_all!$A:$M,MATCH('General price list'!$W$17,info_all!$A$2:$M$2,0),FALSE)</f>
        <v xml:space="preserve">Nur aufgrund dieser Bestätigung kann der Kunde die Ware abholen. </v>
      </c>
      <c r="C17" s="22"/>
      <c r="D17" s="22"/>
      <c r="E17" s="22"/>
      <c r="F17" s="23"/>
    </row>
    <row r="18" spans="1:24">
      <c r="A18" s="6">
        <v>18</v>
      </c>
      <c r="B18" s="650" t="str">
        <f>VLOOKUP(A18,info_all!$A:$M,MATCH('General price list'!$W$17,info_all!$A$2:$M$2,0),FALSE)</f>
        <v>Die Bestellung wird in unserem System erst aufgegeben, wenn die Zahlung zu 100% auf unserem Konto eingegangen ist (sofern er keinen offenen Kredit bei uns hat, der ihn zur Aufnahme mit aufgeschobener Laufzeit berechtigt).</v>
      </c>
      <c r="C18" s="657"/>
      <c r="D18" s="657"/>
      <c r="E18" s="657"/>
    </row>
    <row r="19" spans="1:24">
      <c r="A19" s="6">
        <v>19</v>
      </c>
      <c r="B19" s="396" t="str">
        <f>VLOOKUP(A19,info_all!$A:$M,MATCH('General price list'!$W$17,info_all!$A$2:$M$2,0),FALSE)</f>
        <v>Kunden, die die Bestellung nicht in Übereinstimmung mit den oben genannten Angaben ausführen und die Ware ohne Bestätigung unseres Mitarbeiters abholen, wird die Ware nicht verladen.</v>
      </c>
      <c r="C19" s="657"/>
      <c r="D19" s="657"/>
      <c r="E19" s="657"/>
    </row>
    <row r="20" spans="1:24">
      <c r="A20" s="6">
        <v>20</v>
      </c>
      <c r="B20" s="661" t="str">
        <f>VLOOKUP(A20,info_all!$A:$M,MATCH('General price list'!$W$17,info_all!$A$2:$M$2,0),FALSE)</f>
        <v>Mit dem Absenden der Bestellung bestätigt der Kunde auch, dass er alle Geschäftsbedingungen, die auf dieser Seite geschrieben sind, gelesen hat und mit ihnen einverstanden ist.</v>
      </c>
      <c r="C20" s="657"/>
      <c r="D20" s="657"/>
      <c r="E20" s="657"/>
    </row>
    <row r="21" spans="1:24">
      <c r="A21" s="6">
        <v>21</v>
      </c>
      <c r="B21" s="661" t="str">
        <f>VLOOKUP(A21,info_all!$A:$M,MATCH('General price list'!$W$17,info_all!$A$2:$M$2,0),FALSE)</f>
        <v>Ihre Bestellung wird nach Erhalt zur sofortigen Vorbereitung an das Lager übergeben, und es ist nicht mehr möglich, der Bestellung in irgendeiner Form etwas hinzuzufügen. Wenn der Kunde die Bestellung (oder einen Teil davon) storniert, wird ihm eine Bearbeitungsgebühr von 50% des Wertes der stornierten Ware berechnet.</v>
      </c>
      <c r="C21" s="657"/>
      <c r="D21" s="657"/>
      <c r="E21" s="657"/>
    </row>
    <row r="22" spans="1:24">
      <c r="A22" s="6">
        <v>22</v>
      </c>
      <c r="B22" s="396" t="str">
        <f>VLOOKUP(A22,info_all!$A:$M,MATCH('General price list'!$W$17,info_all!$A$2:$M$2,0),FALSE)</f>
        <v>Wenn Sie Waren bestellen möchten, müssen Sie eine neue Bestellung in unserer elektronischen Preisliste erstellen und diese erneut per E-Mail senden. Schreiben Sie nur die Waren, die Sie bestellen möchten, in diese Bestellung.</v>
      </c>
      <c r="C22" s="657"/>
      <c r="D22" s="657"/>
      <c r="E22" s="657"/>
    </row>
    <row r="23" spans="1:24">
      <c r="A23" s="6">
        <v>23</v>
      </c>
      <c r="B23" s="396" t="str">
        <f>VLOOKUP(A23,info_all!$A:$M,MATCH('General price list'!$W$17,info_all!$A$2:$M$2,0),FALSE)</f>
        <v>Wir können nicht garantieren, dass die bestellte Ware zusammen mit der ursprünglich bestellten Ware verschickt wird!</v>
      </c>
      <c r="C23" s="657"/>
      <c r="D23" s="657"/>
      <c r="E23" s="657"/>
    </row>
    <row r="24" spans="1:24">
      <c r="A24" s="6">
        <v>146</v>
      </c>
      <c r="B24" s="661" t="str">
        <f>VLOOKUP(A24,info_all!$A:$M,MATCH('General price list'!$W$17,info_all!$A$2:$M$2,0),FALSE)</f>
        <v>Jede vom Kunden gesendete Bestellung muss vollständig mit der Kapazität des Autos kompatibel sein, in das der Kunde die Bestellung laden möchte, d.h. Jede Bestellung wird auf einmal geladen.</v>
      </c>
      <c r="C24" s="657"/>
      <c r="D24" s="657"/>
      <c r="E24" s="657"/>
      <c r="X24" s="657"/>
    </row>
    <row r="25" spans="1:24">
      <c r="A25" s="6">
        <v>147</v>
      </c>
      <c r="B25" s="661" t="str">
        <f>VLOOKUP(A25,info_all!$A:$M,MATCH('General price list'!$W$17,info_all!$A$2:$M$2,0),FALSE)</f>
        <v>Wenn das Auto nicht über die Kapazität verfügt, dass der Kunde seine gesamte Bestellung laden kann, und nur ein Teil der bestellten Ware geladen wird, berechnen wir eine Bearbeitungsgebühr von 10.000 CZK.</v>
      </c>
      <c r="C25" s="657"/>
      <c r="D25" s="657"/>
      <c r="E25" s="657"/>
    </row>
    <row r="26" spans="1:24">
      <c r="A26" s="6">
        <v>148</v>
      </c>
      <c r="B26" s="661" t="str">
        <f>VLOOKUP(A26,info_all!$A:$M,MATCH('General price list'!$W$17,info_all!$A$2:$M$2,0),FALSE)</f>
        <v>Eine Gebühr von 10.000 CZK deckt alle Schäden ab, die durch Handhabung, doppelte Bearbeitung von Dokumenten, Lagergebühren usw. verursacht werden, und es spielt keine Rolle, ob es sich um 1 Karton oder 100 Kartons handelt. Außerdem wird für diese Ware eine Lagergebühr erhoben</v>
      </c>
      <c r="C26" s="657"/>
      <c r="D26" s="657"/>
      <c r="E26" s="657"/>
    </row>
    <row r="27" spans="1:24">
      <c r="A27" s="6">
        <v>24</v>
      </c>
      <c r="B27" s="396"/>
      <c r="C27" s="657"/>
      <c r="D27" s="657"/>
      <c r="E27" s="657"/>
    </row>
    <row r="28" spans="1:24">
      <c r="A28" s="6">
        <v>25</v>
      </c>
      <c r="B28" s="400" t="str">
        <f>VLOOKUP(A28,info_all!$A:$M,MATCH('General price list'!$W$17,info_all!$A$2:$M$2,0),FALSE)</f>
        <v>Verkauft in Packungen</v>
      </c>
      <c r="C28" s="657"/>
      <c r="D28" s="657"/>
      <c r="E28" s="657"/>
    </row>
    <row r="29" spans="1:24">
      <c r="A29" s="6">
        <v>26</v>
      </c>
      <c r="B29" s="396" t="str">
        <f>VLOOKUP(A29,info_all!$A:$M,MATCH('General price list'!$W$17,info_all!$A$2:$M$2,0),FALSE)</f>
        <v>Es ist möglich, aus der "Goods wich is only on shop.xlsx"-Preisliste kleinere Mengen als den Exportkarton zu bestellen.</v>
      </c>
      <c r="C29" s="657"/>
      <c r="D29" s="657"/>
      <c r="E29" s="657"/>
    </row>
    <row r="30" spans="1:24">
      <c r="A30" s="6">
        <v>27</v>
      </c>
      <c r="B30" s="396" t="str">
        <f>VLOOKUP(A30,info_all!$A:$M,MATCH('General price list'!$W$17,info_all!$A$2:$M$2,0),FALSE)</f>
        <v>Wenn Sie Waren in Stücken bestellen möchten, müssen Sie für diese Waren eine separate Bestellung aufgeben, die nur die Artikel enthält, die Sie in Stücken bestellen möchten (es muss immer die kleinste Verkaufsverpackung bestellt werden).</v>
      </c>
      <c r="C30" s="657"/>
      <c r="D30" s="657"/>
      <c r="E30" s="657"/>
    </row>
    <row r="31" spans="1:24">
      <c r="A31" s="6">
        <v>28</v>
      </c>
      <c r="B31" s="396" t="str">
        <f>VLOOKUP(A31,info_all!$A:$M,MATCH('General price list'!$W$17,info_all!$A$2:$M$2,0),FALSE)</f>
        <v>Für stückweise bestellte Ware, d.h. Ihr Rabatt x 1,2 = der Preis der Ware, die Sie stückweise bestellen, wird vom Grundpreis abgezogen.</v>
      </c>
      <c r="C31" s="657"/>
      <c r="D31" s="657"/>
      <c r="E31" s="657"/>
    </row>
    <row r="32" spans="1:24">
      <c r="A32" s="6">
        <v>29</v>
      </c>
      <c r="B32" s="662" t="str">
        <f>VLOOKUP(A32,info_all!$A:$M,MATCH('General price list'!$W$17,info_all!$A$2:$M$2,0),FALSE)</f>
        <v>In dieser Preisliste werden nur Artikel angezeigt, die nur in der Filiale und nicht mehr im Hauptlager vorrätig sind.</v>
      </c>
      <c r="C32" s="657"/>
      <c r="D32" s="657"/>
      <c r="E32" s="657"/>
    </row>
    <row r="33" spans="1:5">
      <c r="A33" s="6">
        <v>30</v>
      </c>
      <c r="B33" s="663" t="str">
        <f>VLOOKUP(A33,info_all!$A:$M,MATCH('General price list'!$W$17,info_all!$A$2:$M$2,0),FALSE)</f>
        <v>Beispiele für das Ausfüllen einer Bestellung in der Preisliste "Goods wich is only on shop.xlsx":</v>
      </c>
      <c r="C33" s="657"/>
      <c r="D33" s="657"/>
      <c r="E33" s="657"/>
    </row>
    <row r="34" spans="1:5">
      <c r="A34" s="6">
        <v>31</v>
      </c>
      <c r="B34" s="396" t="str">
        <f>VLOOKUP(A34,info_all!$A:$M,MATCH('General price list'!$W$17,info_all!$A$2:$M$2,0),FALSE)</f>
        <v>Sie möchten 5 Packungen des Artikels DP1R bestellen, der 25/20/6 verpackt ist, also bestellen Sie 0,2 Kartons</v>
      </c>
      <c r="C34" s="657"/>
      <c r="D34" s="657"/>
      <c r="E34" s="657"/>
    </row>
    <row r="35" spans="1:5">
      <c r="A35" s="6">
        <v>32</v>
      </c>
      <c r="B35" s="396" t="str">
        <f>VLOOKUP(A35,info_all!$A:$M,MATCH('General price list'!$W$17,info_all!$A$2:$M$2,0),FALSE)</f>
        <v>Sie möchten 1 Stück des Artikels C1625B bestellen, der 12/1 verpackt ist, also bestellen Sie 0,0833 Karton</v>
      </c>
      <c r="C35" s="657"/>
      <c r="D35" s="657"/>
      <c r="E35" s="657"/>
    </row>
    <row r="36" spans="1:5">
      <c r="A36" s="6">
        <v>33</v>
      </c>
      <c r="B36" s="396"/>
      <c r="C36" s="657"/>
      <c r="D36" s="657"/>
      <c r="E36" s="657"/>
    </row>
    <row r="37" spans="1:5">
      <c r="A37" s="6">
        <v>34</v>
      </c>
      <c r="B37" s="396" t="str">
        <f>VLOOKUP(A37,info_all!$A:$M,MATCH('General price list'!$W$17,info_all!$A$2:$M$2,0),FALSE)</f>
        <v>Wir glauben, dass dieser Schritt die Verfügbarkeit unserer Waren auch für kleinere Kunden erweitert, die einige Artikel nicht in ganzen Exportkartons bestellen können.</v>
      </c>
      <c r="C37" s="657"/>
      <c r="D37" s="657"/>
      <c r="E37" s="657"/>
    </row>
    <row r="38" spans="1:5">
      <c r="A38" s="6">
        <v>35</v>
      </c>
      <c r="B38" s="409"/>
      <c r="C38" s="657"/>
      <c r="D38" s="657"/>
      <c r="E38" s="657"/>
    </row>
    <row r="39" spans="1:5">
      <c r="A39" s="6">
        <v>36</v>
      </c>
      <c r="B39" s="400" t="str">
        <f>VLOOKUP(A39,info_all!$A:$M,MATCH('General price list'!$W$17,info_all!$A$2:$M$2,0),FALSE)</f>
        <v>Warenreservierung</v>
      </c>
      <c r="C39" s="657"/>
      <c r="D39" s="657"/>
      <c r="E39" s="657"/>
    </row>
    <row r="40" spans="1:5">
      <c r="A40" s="6">
        <v>37</v>
      </c>
      <c r="B40" s="401"/>
      <c r="C40" s="657"/>
      <c r="D40" s="657"/>
      <c r="E40" s="657"/>
    </row>
    <row r="41" spans="1:5">
      <c r="A41" s="6">
        <v>38</v>
      </c>
      <c r="B41" s="401" t="str">
        <f>VLOOKUP(A41,info_all!$A:$M,MATCH('General price list'!$W$17,info_all!$A$2:$M$2,0),FALSE)</f>
        <v>Aufgrund zahlreicher Kundenwünsche haben wir uns entschlossen, das Buchungssystem in unserem Lager zur Verfügung zu stellen. Für eine bessere Idee werde ich ein System vorstellen, das von unseren ausländischen Kunden weit verbreitet ist.</v>
      </c>
      <c r="C41" s="657"/>
      <c r="D41" s="657"/>
      <c r="E41" s="657"/>
    </row>
    <row r="42" spans="1:5">
      <c r="A42" s="6">
        <v>39</v>
      </c>
      <c r="B42" s="401" t="str">
        <f>VLOOKUP(A42,info_all!$A:$M,MATCH('General price list'!$W$17,info_all!$A$2:$M$2,0),FALSE)</f>
        <v>Händler, die über eigene Geschäfte verfügen, bestellen beispielsweise bei uns Waren unmittelbar im September nach Erscheinen der Preisliste und möchten die Waren am 15. Dezember ausliefern.</v>
      </c>
      <c r="C42" s="657"/>
      <c r="D42" s="657"/>
      <c r="E42" s="657"/>
    </row>
    <row r="43" spans="1:5">
      <c r="A43" s="6">
        <v>40</v>
      </c>
      <c r="B43" s="401" t="str">
        <f>VLOOKUP(A43,info_all!$A:$M,MATCH('General price list'!$W$17,info_all!$A$2:$M$2,0),FALSE)</f>
        <v>Dies garantiert, dass sie alles bekommen, was sie wollen, und die Waren nirgendwo aufbewahren müssen oder sich Sorgen machen müssen, ob der Artikel, auf den sie zählen, zum Beispiel in der Packungsbeilage, nicht ausverkauft ist. Am vereinbarten Tag erhält der Kunde die von ihm bestellte Ware…</v>
      </c>
      <c r="C43" s="657"/>
      <c r="D43" s="657"/>
      <c r="E43" s="657"/>
    </row>
    <row r="44" spans="1:5">
      <c r="A44" s="6">
        <v>41</v>
      </c>
      <c r="B44" s="401"/>
      <c r="C44" s="657"/>
      <c r="D44" s="657"/>
      <c r="E44" s="657"/>
    </row>
    <row r="45" spans="1:5">
      <c r="A45" s="6">
        <v>42</v>
      </c>
      <c r="B45" s="506" t="str">
        <f>VLOOKUP(A45,info_all!$A:$M,MATCH('General price list'!$W$17,info_all!$A$2:$M$2,0),FALSE)</f>
        <v>Nachfolgend finden Sie die Regeln, nach denen Waren in unserem Lager gebucht werden können:</v>
      </c>
      <c r="C45" s="657"/>
      <c r="D45" s="657"/>
      <c r="E45" s="657"/>
    </row>
    <row r="46" spans="1:5">
      <c r="A46" s="6">
        <v>43</v>
      </c>
      <c r="B46" s="401" t="str">
        <f>VLOOKUP(A46,info_all!$A:$M,MATCH('General price list'!$W$17,info_all!$A$2:$M$2,0),FALSE)</f>
        <v>Ablauf für die Buchung von Lagerware:</v>
      </c>
      <c r="C46" s="657"/>
      <c r="D46" s="657"/>
      <c r="E46" s="657"/>
    </row>
    <row r="47" spans="1:5">
      <c r="A47" s="6">
        <v>44</v>
      </c>
      <c r="B47" s="401" t="str">
        <f>VLOOKUP(A47,info_all!$A:$M,MATCH('General price list'!$W$17,info_all!$A$2:$M$2,0),FALSE)</f>
        <v>○        Der Kunde gibt nur eine Bestellung für die Waren auf, die er reservieren möchte (nur die Waren, die derzeit auf Lager sind, können gebucht werden).</v>
      </c>
      <c r="C47" s="657"/>
      <c r="D47" s="657"/>
      <c r="E47" s="657"/>
    </row>
    <row r="48" spans="1:5">
      <c r="A48" s="6">
        <v>45</v>
      </c>
      <c r="B48" s="401" t="str">
        <f>VLOOKUP(A48,info_all!$A:$M,MATCH('General price list'!$W$17,info_all!$A$2:$M$2,0),FALSE)</f>
        <v>○        Für gebuchte Waren wird eine Vorabrechnung über 100% des Wertes der gebuchten Ware ausgestellt, und die Ware wird erst nach Zahlung dieses Vorschusses auf unserem Konto gebucht (Wenn der Kunde bei uns kein offenes Guthaben hat).</v>
      </c>
      <c r="C48" s="657"/>
      <c r="D48" s="657"/>
      <c r="E48" s="657"/>
    </row>
    <row r="49" spans="1:6">
      <c r="A49" s="6">
        <v>46</v>
      </c>
      <c r="B49" s="505" t="str">
        <f>VLOOKUP(A49,info_all!$A:$M,MATCH('General price list'!$W$17,info_all!$A$2:$M$2,0),FALSE)</f>
        <v>○        Die Ware wird physisch für Paletten mit einer Größe von 120 x 80 cm und einer Höhe von 180 cm und einem Gewicht von bis zu 750 kg vorbereitet, damit sich die reservierten Waren auf möglichst wenigen Paletten befinden, jedoch mit der oben genannten Größe. Wenn eine kleine Menge von beispielsweise 2 Kartons bestellt wird, werden diese auf die Euro-Palette gelegt und die folgende Gebühr wird erhoben.</v>
      </c>
      <c r="C49" s="657"/>
      <c r="D49" s="657"/>
      <c r="E49" s="657"/>
    </row>
    <row r="50" spans="1:6">
      <c r="A50" s="6">
        <v>47</v>
      </c>
      <c r="B50" s="401" t="str">
        <f>VLOOKUP(A50,info_all!$A:$M,MATCH('General price list'!$W$17,info_all!$A$2:$M$2,0),FALSE)</f>
        <v>○        Die Ware wird vom Datum der Vorbereitung bis zum erforderlichen Versand gegen eine Gebühr von 9 CZK / 1 Euro Palette / 1 Tag in unserem Lager gelagert.</v>
      </c>
      <c r="C50" s="657"/>
      <c r="D50" s="657"/>
      <c r="E50" s="657"/>
    </row>
    <row r="51" spans="1:6">
      <c r="A51" s="6">
        <v>48</v>
      </c>
      <c r="B51" s="401" t="str">
        <f>VLOOKUP(A51,info_all!$A:$M,MATCH('General price list'!$W$17,info_all!$A$2:$M$2,0),FALSE)</f>
        <v>○        Am Tag des Versands wird berechnet, wie viele Tage die Palette gelagert wurde, und der Lagerungsbetrag wird der endgültigen Rechnung für die Ware hinzugefügt.</v>
      </c>
      <c r="C51" s="657"/>
      <c r="D51" s="657"/>
      <c r="E51" s="657"/>
    </row>
    <row r="52" spans="1:6">
      <c r="A52" s="6">
        <v>49</v>
      </c>
      <c r="B52" s="506" t="str">
        <f>VLOOKUP(A52,info_all!$A:$M,MATCH('General price list'!$W$17,info_all!$A$2:$M$2,0),FALSE)</f>
        <v>Regeln:</v>
      </c>
      <c r="C52" s="657"/>
      <c r="D52" s="657"/>
      <c r="E52" s="657"/>
    </row>
    <row r="53" spans="1:6">
      <c r="A53" s="6">
        <v>50</v>
      </c>
      <c r="B53" s="401" t="str">
        <f>VLOOKUP(A53,info_all!$A:$M,MATCH('General price list'!$W$17,info_all!$A$2:$M$2,0),FALSE)</f>
        <v>○        Reservierung kann nicht geändert werden! Wenn der Kunde nicht die gesamte bestellte Ware abholt, beträgt die Stornogebühr 50% des Wertes der vom Kunden bestellten Ware, wurde jedoch nicht übernommen.</v>
      </c>
      <c r="C53" s="657"/>
      <c r="D53" s="657"/>
      <c r="E53" s="657"/>
    </row>
    <row r="54" spans="1:6">
      <c r="A54" s="6">
        <v>51</v>
      </c>
      <c r="B54" s="401" t="str">
        <f>VLOOKUP(A54,info_all!$A:$M,MATCH('General price list'!$W$17,info_all!$A$2:$M$2,0),FALSE)</f>
        <v>○        Jede Reservierung muss vollständig versandt werden (nur ein Teil der reservierten Waren kann nicht entgegengenommen werden). Dies bedeutet, dass alle reservierten Euro-Paletten auf einmal abgeholt werden.</v>
      </c>
      <c r="C54" s="657"/>
      <c r="D54" s="657"/>
      <c r="E54" s="657"/>
    </row>
    <row r="55" spans="1:6">
      <c r="A55" s="6">
        <v>52</v>
      </c>
      <c r="B55" s="401" t="str">
        <f>VLOOKUP(A55,info_all!$A:$M,MATCH('General price list'!$W$17,info_all!$A$2:$M$2,0),FALSE)</f>
        <v>○        Reservierte Waren werden nur auf Paletten versendet.</v>
      </c>
      <c r="C55" s="657"/>
      <c r="D55" s="657"/>
      <c r="E55" s="657"/>
    </row>
    <row r="56" spans="1:6">
      <c r="A56" s="6">
        <v>53</v>
      </c>
      <c r="B56" s="506" t="str">
        <f>VLOOKUP(A56,info_all!$A:$M,MATCH('General price list'!$W$17,info_all!$A$2:$M$2,0),FALSE)</f>
        <v>Vorgehensweise bei der Reservierung von nicht vorrätiger Ware:</v>
      </c>
      <c r="C56" s="657"/>
      <c r="D56" s="657"/>
      <c r="E56" s="657"/>
    </row>
    <row r="57" spans="1:6" ht="13.9" customHeight="1">
      <c r="A57" s="6">
        <v>54</v>
      </c>
      <c r="B57" s="401" t="str">
        <f>VLOOKUP(A57,info_all!$A:$M,MATCH('General price list'!$W$17,info_all!$A$2:$M$2,0),FALSE)</f>
        <v>○        es ist auch möglich, Waren zu buchen, die noch unterwegs sind (nicht auf Lager)</v>
      </c>
      <c r="C57" s="657"/>
      <c r="D57" s="657"/>
      <c r="E57" s="657"/>
      <c r="F57" s="24"/>
    </row>
    <row r="58" spans="1:6">
      <c r="A58" s="6">
        <v>55</v>
      </c>
      <c r="B58" s="506" t="str">
        <f>VLOOKUP(A58,info_all!$A:$M,MATCH('General price list'!$W$17,info_all!$A$2:$M$2,0),FALSE)</f>
        <v>○        Es ist möglich, nur solche Waren zu buchen, die innerhalb von 20 Tagen ins Lager kommen - Das gesamte Angebot dieser Artikel befindet sich in der Preisliste "Reservation form"</v>
      </c>
      <c r="C58" s="657"/>
      <c r="D58" s="664"/>
      <c r="E58" s="657"/>
    </row>
    <row r="59" spans="1:6">
      <c r="A59" s="6">
        <v>56</v>
      </c>
      <c r="B59" s="401" t="str">
        <f>VLOOKUP(A59,info_all!$A:$M,MATCH('General price list'!$W$17,info_all!$A$2:$M$2,0),FALSE)</f>
        <v>○        Es ist nicht möglich, andere Waren zu reservieren als die, die auf der Registerkarte „Reservierung“ aufgeführt sind</v>
      </c>
      <c r="C59" s="657"/>
      <c r="D59" s="664"/>
      <c r="E59" s="657"/>
    </row>
    <row r="60" spans="1:6">
      <c r="A60" s="6">
        <v>57</v>
      </c>
      <c r="B60" s="401" t="str">
        <f>VLOOKUP(A60,info_all!$A:$M,MATCH('General price list'!$W$17,info_all!$A$2:$M$2,0),FALSE)</f>
        <v>○        Innerhalb einer Reservierung ist es möglich, nur Waren mit demselben Lieferdatum in unser Lager zu buchen</v>
      </c>
      <c r="C60" s="657"/>
      <c r="D60" s="664"/>
      <c r="E60" s="664"/>
      <c r="F60" s="665"/>
    </row>
    <row r="61" spans="1:6">
      <c r="A61" s="6">
        <v>58</v>
      </c>
      <c r="B61" s="506" t="str">
        <f>VLOOKUP(A61,info_all!$A:$M,MATCH('General price list'!$W$17,info_all!$A$2:$M$2,0),FALSE)</f>
        <v>○        die auf der Registerkarte „Reservierung“ aufgeführten Preise gelten für Reservierungen und bitte beachten Sie, dass diese Preise 8 % über unseren Standardpreisen liegen</v>
      </c>
      <c r="C61" s="657"/>
      <c r="D61" s="664"/>
      <c r="E61" s="666"/>
      <c r="F61" s="667"/>
    </row>
    <row r="62" spans="1:6">
      <c r="A62" s="6">
        <v>145</v>
      </c>
      <c r="B62" s="401" t="str">
        <f>VLOOKUP(A62,info_all!$A:$M,MATCH('General price list'!$W$17,info_all!$A$2:$M$2,0),FALSE)</f>
        <v>○        Wenn der Kunde die Palette persönlich zurückliefert, wird ihm für diese Paletten eine Gutschrift zum gleichen Preis ausgestellt, zu dem ihm die Paletten in Rechnung gestellt wurden (350 CZK).</v>
      </c>
      <c r="C62" s="657"/>
      <c r="D62" s="657"/>
      <c r="E62" s="657"/>
    </row>
    <row r="63" spans="1:6">
      <c r="A63" s="6">
        <v>59</v>
      </c>
      <c r="B63" s="401" t="str">
        <f>VLOOKUP(A63,info_all!$A:$M,MATCH('General price list'!$W$17,info_all!$A$2:$M$2,0),FALSE)</f>
        <v>○        bei Eingang des Vorbehalts wird eine Vorausrechnung über 100 % des Warenwertes mit einer Laufzeit von 1 Tag (sofern der Kunde bei uns kein offenes Guthaben hat, das ihn zur Abnahme mit aufgeschobener Fälligkeit berechtigt) ausgestellt ).</v>
      </c>
      <c r="C63" s="657"/>
      <c r="D63" s="657"/>
      <c r="E63" s="657"/>
    </row>
    <row r="64" spans="1:6">
      <c r="A64" s="6">
        <v>60</v>
      </c>
      <c r="B64" s="401" t="str">
        <f>VLOOKUP(A64,info_all!$A:$M,MATCH('General price list'!$W$17,info_all!$A$2:$M$2,0),FALSE)</f>
        <v>○        Die Vorbehaltsware wird erst nach Zusendung der Zahlungsbestätigung durch den Kunden tatsächlich reserviert.</v>
      </c>
      <c r="C64" s="657"/>
      <c r="D64" s="657"/>
      <c r="E64" s="657"/>
    </row>
    <row r="65" spans="1:6">
      <c r="A65" s="6">
        <v>61</v>
      </c>
      <c r="B65" s="401"/>
      <c r="C65" s="657"/>
      <c r="D65" s="657"/>
      <c r="E65" s="657"/>
    </row>
    <row r="66" spans="1:6">
      <c r="A66" s="6">
        <v>62</v>
      </c>
      <c r="B66" s="400" t="str">
        <f>VLOOKUP(A66,info_all!$A:$M,MATCH('General price list'!$W$17,info_all!$A$2:$M$2,0),FALSE)</f>
        <v>Paletten</v>
      </c>
      <c r="C66" s="657"/>
      <c r="D66" s="657"/>
      <c r="E66" s="657"/>
    </row>
    <row r="67" spans="1:6">
      <c r="A67" s="6">
        <v>63</v>
      </c>
      <c r="B67" s="402" t="str">
        <f>VLOOKUP(A67,info_all!$A:$M,MATCH('General price list'!$W$17,info_all!$A$2:$M$2,0),FALSE)</f>
        <v>○        Wenn die Ware auf einer Palette an den Kunden gesendet wird, sind diese Paletten Teil der Rechnung für die Ware. (350 CZK)</v>
      </c>
      <c r="C67" s="657"/>
      <c r="D67" s="664"/>
      <c r="E67" s="21"/>
      <c r="F67" s="7"/>
    </row>
    <row r="68" spans="1:6">
      <c r="A68" s="6">
        <v>64</v>
      </c>
      <c r="B68" s="402" t="str">
        <f>VLOOKUP(A68,info_all!$A:$M,MATCH('General price list'!$W$17,info_all!$A$2:$M$2,0),FALSE)</f>
        <v>○        Die Höhe einer Palette darf 180 cm nicht überschreiten. Will der Kunde das Transportmittel optimal nutzen, muss er die beurlaubte Ware bestellen.</v>
      </c>
      <c r="C68" s="657"/>
      <c r="D68" s="657"/>
      <c r="E68" s="657"/>
    </row>
    <row r="69" spans="1:6">
      <c r="A69" s="6">
        <v>65</v>
      </c>
      <c r="B69" s="402" t="str">
        <f>VLOOKUP(A69,info_all!$A:$M,MATCH('General price list'!$W$17,info_all!$A$2:$M$2,0),FALSE)</f>
        <v>○        Lässt der Kunde die Ware auf Paletten verpacken, ist er verpflichtet, die Ware auf der Palette aus dem Lager abzuholen. Eine freie Verladung ist nicht möglich, wenn sich die Ware auf Paletten befindet.</v>
      </c>
      <c r="C69" s="657"/>
      <c r="D69" s="657"/>
      <c r="E69" s="657"/>
    </row>
    <row r="70" spans="1:6">
      <c r="A70" s="6">
        <v>66</v>
      </c>
      <c r="B70" s="402" t="str">
        <f>VLOOKUP(A70,info_all!$A:$M,MATCH('General price list'!$W$17,info_all!$A$2:$M$2,0),FALSE)</f>
        <v>○        Wenn der Kunde die Palette persönlich zurückliefert, wird für diese Paletten eine Gutschrift zum gleichen Preis ausgestellt, zu dem die Paletten in Rechnung gestellt wurden.</v>
      </c>
      <c r="C70" s="657"/>
      <c r="D70" s="657"/>
      <c r="E70" s="657"/>
    </row>
    <row r="71" spans="1:6">
      <c r="A71" s="6">
        <v>67</v>
      </c>
      <c r="B71" s="402" t="str">
        <f>VLOOKUP(A71,info_all!$A:$M,MATCH('General price list'!$W$17,info_all!$A$2:$M$2,0),FALSE)</f>
        <v>○        Der Kunde kann die Paletten auch per Speditionsservice (auf eigene Kosten) zurücksenden. Nach Lieferung der Paletten an unser Lager wird ihm eine Gutschrift ausgestellt.</v>
      </c>
      <c r="C71" s="657"/>
      <c r="D71" s="657"/>
      <c r="E71" s="657"/>
    </row>
    <row r="72" spans="1:6">
      <c r="A72" s="6">
        <v>68</v>
      </c>
      <c r="B72" s="402" t="str">
        <f>VLOOKUP(A72,info_all!$A:$M,MATCH('General price list'!$W$17,info_all!$A$2:$M$2,0),FALSE)</f>
        <v>○        Es ist nicht möglich, Paletten an den Fahrer / Speditionsdienst zurückzusenden, der die Waren importiert hat!</v>
      </c>
      <c r="C72" s="657"/>
      <c r="D72" s="657"/>
      <c r="E72" s="657"/>
    </row>
    <row r="73" spans="1:6">
      <c r="A73" s="6">
        <v>69</v>
      </c>
      <c r="B73" s="402"/>
      <c r="C73" s="657"/>
      <c r="D73" s="657"/>
      <c r="E73" s="657"/>
    </row>
    <row r="74" spans="1:6">
      <c r="A74" s="6">
        <v>70</v>
      </c>
      <c r="B74" s="400" t="str">
        <f>VLOOKUP(A74,info_all!$A:$M,MATCH('General price list'!$W$17,info_all!$A$2:$M$2,0),FALSE)</f>
        <v>Transport</v>
      </c>
      <c r="C74" s="657"/>
      <c r="D74" s="657"/>
      <c r="E74" s="657"/>
    </row>
    <row r="75" spans="1:6">
      <c r="A75" s="6">
        <v>71</v>
      </c>
      <c r="B75" s="402" t="str">
        <f>VLOOKUP(A75,info_all!$A:$M,MATCH('General price list'!$W$17,info_all!$A$2:$M$2,0),FALSE)</f>
        <v>Für den Palettentransport beträgt der Preis für den Transport in der Tschechischen Republik etwa 2000 CZK/Palette, und es wird immer die billigste auf dem Markt verfügbare Option gewählt.</v>
      </c>
      <c r="C75" s="25"/>
      <c r="D75" s="25"/>
      <c r="E75" s="25"/>
      <c r="F75" s="25"/>
    </row>
    <row r="76" spans="1:6">
      <c r="A76" s="6">
        <v>72</v>
      </c>
      <c r="B76" s="668" t="str">
        <f>VLOOKUP(A76,info_all!$A:$M,MATCH('General price list'!$W$17,info_all!$A$2:$M$2,0),FALSE)</f>
        <v>Wenn der Kunde den Transport von uns arrangieren möchte, können wir nicht auf die Preisbestätigung des Kunden warten und wählen automatisch die günstigste Option und versenden die Ware.</v>
      </c>
      <c r="C76" s="657"/>
      <c r="D76" s="657"/>
      <c r="E76" s="657"/>
    </row>
    <row r="77" spans="1:6">
      <c r="A77" s="6">
        <v>78</v>
      </c>
      <c r="B77" s="403" t="str">
        <f>VLOOKUP(A77,info_all!$A:$M,MATCH('General price list'!$W$17,info_all!$A$2:$M$2,0),FALSE)</f>
        <v>Beim Versand von Waren mit unserem ADR-Fahrzeug (Tragfähigkeit 1.450 kg) berechnen wir eine Transportgebühr von 18 CZK/km für die Hin- und Rückfahrt.</v>
      </c>
      <c r="C77" s="657"/>
      <c r="D77" s="657"/>
      <c r="E77" s="657"/>
    </row>
    <row r="78" spans="1:6">
      <c r="A78" s="6">
        <v>79</v>
      </c>
      <c r="B78" s="403" t="str">
        <f>VLOOKUP(A78,info_all!$A:$M,MATCH('General price list'!$W$17,info_all!$A$2:$M$2,0),FALSE)</f>
        <v>Bei Versendung der Ware per ADR-LKW (Tragfähigkeit 24.000 kg) kann der Kunde die Ware an einem Ort kostenfrei, maximal 4 Stunden, entladen. Bei längerem Entladen beträgt der berechnete Preis 800 CZK / Stunde Wartezeit, beim Umzug in ein anderes Lager werden 100 CZK / km berechnet.</v>
      </c>
      <c r="C78" s="25"/>
      <c r="D78" s="25"/>
      <c r="E78" s="25"/>
      <c r="F78" s="25"/>
    </row>
    <row r="79" spans="1:6">
      <c r="A79" s="6">
        <v>80</v>
      </c>
      <c r="B79" s="403"/>
      <c r="C79" s="25"/>
      <c r="D79" s="25"/>
      <c r="E79" s="25"/>
      <c r="F79" s="25"/>
    </row>
    <row r="80" spans="1:6">
      <c r="A80" s="6">
        <v>81</v>
      </c>
      <c r="B80" s="400" t="str">
        <f>VLOOKUP(A80,info_all!$A:$M,MATCH('General price list'!$W$17,info_all!$A$2:$M$2,0),FALSE)</f>
        <v>Beschwerdeverfahren</v>
      </c>
      <c r="C80" s="25"/>
      <c r="D80" s="25"/>
      <c r="E80" s="25"/>
      <c r="F80" s="25"/>
    </row>
    <row r="81" spans="1:6">
      <c r="A81" s="6">
        <v>82</v>
      </c>
      <c r="B81" s="507" t="str">
        <f>VLOOKUP(A81,info_all!$A:$M,MATCH('General price list'!$W$17,info_all!$A$2:$M$2,0),FALSE)</f>
        <v>Dies ist ein Verfahren zur Lösung der Beschwerde über ungebrannte Presslinge. Leider können diese Beschwerden trotz Qualitätskontrolle nicht in großem Umfang verhindert werden.</v>
      </c>
      <c r="C81" s="25"/>
      <c r="D81" s="25"/>
      <c r="E81" s="25"/>
      <c r="F81" s="25"/>
    </row>
    <row r="82" spans="1:6">
      <c r="A82" s="6">
        <v>83</v>
      </c>
      <c r="B82" s="403" t="str">
        <f>VLOOKUP(A82,info_all!$A:$M,MATCH('General price list'!$W$17,info_all!$A$2:$M$2,0),FALSE)</f>
        <v>Wenn weniger als 30% des Produkts gebrannt werden, ersetzen wir das Produkt durch ein neues für den Kunden, bringen das ungebrannte Teil zu uns und es wird ersetzt.</v>
      </c>
      <c r="C82" s="25"/>
      <c r="D82" s="25"/>
      <c r="E82" s="25"/>
      <c r="F82" s="25"/>
    </row>
    <row r="83" spans="1:6">
      <c r="A83" s="6">
        <v>84</v>
      </c>
      <c r="B83" s="403" t="str">
        <f>VLOOKUP(A83,info_all!$A:$M,MATCH('General price list'!$W$17,info_all!$A$2:$M$2,0),FALSE)</f>
        <v xml:space="preserve">
Wenn 30-50% des Produkts abgefeuert werden, wird es dem Kunden durch ein neues Stück mit einem Zuschlag von 30-50% des Kaufpreises ersetzt, je nachdem, wie viele Schüsse der Kunde abgefeuert hat.</v>
      </c>
      <c r="C83" s="25"/>
      <c r="D83" s="25"/>
      <c r="E83" s="25"/>
      <c r="F83" s="25"/>
    </row>
    <row r="84" spans="1:6">
      <c r="A84" s="6">
        <v>85</v>
      </c>
      <c r="B84" s="403" t="str">
        <f>VLOOKUP(A84,info_all!$A:$M,MATCH('General price list'!$W$17,info_all!$A$2:$M$2,0),FALSE)</f>
        <v>Wenn 50-80% des Produkts abgefeuert werden, wird es dem Kunden durch ein neues Stück mit einem Zuschlag von 50-80% des Kaufpreises ersetzt, je nachdem, wie viele Schüsse der Kunde abgefeuert hat.</v>
      </c>
      <c r="C84" s="25"/>
      <c r="D84" s="25"/>
      <c r="E84" s="25"/>
      <c r="F84" s="25"/>
    </row>
    <row r="85" spans="1:6">
      <c r="A85" s="6">
        <v>86</v>
      </c>
      <c r="B85" s="403" t="str">
        <f>VLOOKUP(A85,info_all!$A:$M,MATCH('General price list'!$W$17,info_all!$A$2:$M$2,0),FALSE)</f>
        <v>Wir wollen Ordnung in die Beschwerdelösung bringen, wenn es uns passiert, dass der Kunde zum Beispiel 100 Schüsse kompakt bringt, von denen 90 Schüsse abgefeuert werden und ein neues Stück wollen.</v>
      </c>
      <c r="C85" s="657"/>
      <c r="D85" s="657"/>
      <c r="E85" s="657"/>
    </row>
    <row r="86" spans="1:6">
      <c r="A86" s="6">
        <v>87</v>
      </c>
      <c r="B86" s="403" t="str">
        <f>VLOOKUP(A86,info_all!$A:$M,MATCH('General price list'!$W$17,info_all!$A$2:$M$2,0),FALSE)</f>
        <v>Wir akzeptieren die Reklamation für 12 Monate ab Kauf des Produkts. Und nur wenn beide Anzündern leuchten.</v>
      </c>
      <c r="C86" s="657"/>
      <c r="D86" s="657"/>
      <c r="E86" s="657"/>
    </row>
    <row r="87" spans="1:6">
      <c r="A87" s="6">
        <v>88</v>
      </c>
      <c r="B87" s="650" t="str">
        <f>VLOOKUP(A87,info_all!$A:$M,MATCH('General price list'!$W$17,info_all!$A$2:$M$2,0),FALSE)</f>
        <v>Konische Vulkane (F100, F250, F500, F1000, F1500) können nicht als Teil der Rückgabe nach der Saison beansprucht oder zurückgegeben werden - die in der E-Mail vom 28.1.2019 beschriebenen Gründe.</v>
      </c>
      <c r="C87" s="657"/>
      <c r="D87" s="657"/>
      <c r="E87" s="657"/>
    </row>
    <row r="88" spans="1:6">
      <c r="A88" s="6">
        <v>89</v>
      </c>
      <c r="B88" s="399" t="str">
        <f>VLOOKUP(A88,info_all!$A:$M,MATCH('General price list'!$W$17,info_all!$A$2:$M$2,0),FALSE)</f>
        <v>Beschädigte Exportkartons für gefaltete Feuerwerkskörper können nicht beansprucht werden. Farbiger Exportkarton beeinträchtigt die Funktion des Produkts nicht und dient nur zum Schutz des Produkts während des Transports.</v>
      </c>
      <c r="C88" s="657"/>
      <c r="D88" s="657"/>
      <c r="E88" s="657"/>
    </row>
    <row r="89" spans="1:6">
      <c r="A89" s="6">
        <v>90</v>
      </c>
      <c r="B89" s="399" t="str">
        <f>VLOOKUP(A89,info_all!$A:$M,MATCH('General price list'!$W$17,info_all!$A$2:$M$2,0),FALSE)</f>
        <v>Der Kunde, der nur perfekte Kartons haben möchte, muss Produkte kaufen, die in einem Schutzkarton verpackt sind (Produktcode endet (T)) oder dafür sorgen, dass die Waren bei uns abgeholt werden, wenn sie aus unserem Lager entnommen werden. Nachfolgende Beschwerden werden nicht gestellt berücksichtigt.</v>
      </c>
      <c r="C89" s="657"/>
      <c r="D89" s="657"/>
      <c r="E89" s="657"/>
    </row>
    <row r="90" spans="1:6">
      <c r="A90" s="6">
        <v>91</v>
      </c>
      <c r="B90" s="399" t="str">
        <f>VLOOKUP(A90,info_all!$A:$M,MATCH('General price list'!$W$17,info_all!$A$2:$M$2,0),FALSE)</f>
        <v>Für Batterien und Verbundfeuerwerkskörper können keine kürzeren Laufzeiten geltend gemacht werden. Viele Prozesse, die nicht unter unserer Kontrolle stehen (Entladung beim Kunden, Lagerung im Lager des Kunden, Handling der eingekauften Ware, etc.) können die Produkte beschädigen. Das Explosivstoff wird auf den Boden der Batterie geworfen und dies beschleunigt die Wirkungsdauer, wenn die einzelnen Schüsse mit höherer Geschwindigkeit abgefeuert werden.</v>
      </c>
      <c r="C90" s="657"/>
      <c r="D90" s="657"/>
      <c r="E90" s="657"/>
    </row>
    <row r="91" spans="1:6">
      <c r="A91" s="6">
        <v>92</v>
      </c>
      <c r="B91" s="399" t="str">
        <f>VLOOKUP(A91,info_all!$A:$M,MATCH('General price list'!$W$17,info_all!$A$2:$M$2,0),FALSE)</f>
        <v>Im Falle einer Totalexplosion der Batterie oder des Verbundfeuerwerks wird die Reklamation nur nach Vorlage einer ausführlichen Fotodokumentation unmittelbar nach dem Vorfall akzeptiert, aus der hervorgeht, was mit dem Produkt passiert ist.</v>
      </c>
      <c r="C91" s="657"/>
      <c r="D91" s="657"/>
      <c r="E91" s="657"/>
    </row>
    <row r="92" spans="1:6">
      <c r="A92" s="6">
        <v>93</v>
      </c>
      <c r="B92" s="399" t="str">
        <f>VLOOKUP(A92,info_all!$A:$M,MATCH('General price list'!$W$17,info_all!$A$2:$M$2,0),FALSE)</f>
        <v>Ein Video, das nur den Ausfall des Produkts während der Aufnahme zeigt, wird nicht erkannt und es ist nicht möglich, zu erkennen, um welches Produkt es sich handelt!</v>
      </c>
      <c r="C92" s="657"/>
      <c r="D92" s="657"/>
      <c r="E92" s="657"/>
    </row>
    <row r="93" spans="1:6">
      <c r="A93" s="6">
        <v>94</v>
      </c>
      <c r="B93" s="399" t="str">
        <f>VLOOKUP(A93,info_all!$A:$M,MATCH('General price list'!$W$17,info_all!$A$2:$M$2,0),FALSE)</f>
        <v>Eingerissene rote Deckfolie kann nicht für Batterien reklamiert werden. Wenn Sie diese Art von Oberseite (sehr reißanfällig) nicht wünschen, bestellen Sie diese Art von Produkt nicht. Stattdessen wählt es die Oberseite des Papiers (mit Design). In der Preisliste sind diese Produkte gekennzeichnet mit F = Folie / D = Design</v>
      </c>
      <c r="C93" s="657"/>
      <c r="D93" s="657"/>
      <c r="E93" s="657"/>
    </row>
    <row r="94" spans="1:6">
      <c r="A94" s="6">
        <v>95</v>
      </c>
      <c r="B94" s="399" t="str">
        <f>VLOOKUP(A94,info_all!$A:$M,MATCH('General price list'!$W$17,info_all!$A$2:$M$2,0),FALSE)</f>
        <v>Will der Kunde die gelieferte Warenmenge reklamieren, muss er dies beim Entladen der Ware tun und dies im CMR-Frachtbrief vermerken. Spätere Reklamationen werden nicht berücksichtigt.</v>
      </c>
      <c r="C94" s="657"/>
      <c r="D94" s="657"/>
      <c r="E94" s="657"/>
    </row>
    <row r="95" spans="1:6">
      <c r="A95" s="6">
        <v>96</v>
      </c>
      <c r="B95" s="396"/>
      <c r="C95" s="657"/>
      <c r="D95" s="657"/>
      <c r="E95" s="657"/>
    </row>
    <row r="96" spans="1:6">
      <c r="A96" s="6">
        <v>97</v>
      </c>
      <c r="B96" s="400" t="str">
        <f>VLOOKUP(A96,info_all!$A:$M,MATCH('General price list'!$W$17,info_all!$A$2:$M$2,0),FALSE)</f>
        <v>Gebrauchsanweisung der elektronischen Preisliste</v>
      </c>
      <c r="C96" s="657"/>
      <c r="D96" s="657"/>
      <c r="E96" s="657"/>
      <c r="F96" s="24"/>
    </row>
    <row r="97" spans="1:6">
      <c r="A97" s="6">
        <v>98</v>
      </c>
      <c r="B97" s="404"/>
      <c r="C97" s="657"/>
      <c r="D97" s="657"/>
      <c r="E97" s="657"/>
      <c r="F97" s="24"/>
    </row>
    <row r="98" spans="1:6">
      <c r="A98" s="6">
        <v>99</v>
      </c>
      <c r="B98" s="404" t="str">
        <f>VLOOKUP(A98,info_all!$A:$M,MATCH('General price list'!$W$17,info_all!$A$2:$M$2,0),FALSE)</f>
        <v>Neu ist das Rabattberechnungssystem. Wenn Sie ein Neukunde sind, berechnet die Preisliste selbst Ihren Rabatt basierend auf der Höhe Ihres Abonnements (für bestehende Kunden gelten die zugewiesenen Rabatte, die der Kunde in Zelle D19 schreibt).</v>
      </c>
      <c r="C98" s="657"/>
      <c r="D98" s="657"/>
      <c r="E98" s="657"/>
      <c r="F98" s="24"/>
    </row>
    <row r="99" spans="1:6">
      <c r="A99" s="6">
        <v>100</v>
      </c>
      <c r="B99" s="404"/>
      <c r="C99" s="657"/>
      <c r="F99" s="24"/>
    </row>
    <row r="100" spans="1:6">
      <c r="A100" s="6">
        <v>101</v>
      </c>
      <c r="B100" s="399" t="str">
        <f>VLOOKUP(A100,info_all!$A:$M,MATCH('General price list'!$W$17,info_all!$A$2:$M$2,0),FALSE)</f>
        <v>Preisliste ist interaktiv, dh. dass es den Rabatt neu berechnet (es ist notwendig, seinen Betrag in das entsprechende Feld einzugeben), die Preisinformationen in CZK und EUR, berechnet auch das Gewicht in kg, das Warenvolumen in m3 und das Nettogewicht pyrotechnischer Zusammensetzungen.</v>
      </c>
      <c r="C100" s="657"/>
      <c r="D100" s="657"/>
    </row>
    <row r="101" spans="1:6">
      <c r="A101" s="6">
        <v>102</v>
      </c>
      <c r="C101" s="657"/>
      <c r="F101" s="24"/>
    </row>
    <row r="102" spans="1:6">
      <c r="A102" s="6">
        <v>103</v>
      </c>
      <c r="B102" s="404" t="str">
        <f>VLOOKUP(A102,info_all!$A:$M,MATCH('General price list'!$W$17,info_all!$A$2:$M$2,0),FALSE)</f>
        <v>Orangefarbene Linien zeigen Neuigkeiten für 2024 an.</v>
      </c>
      <c r="C102" s="657"/>
      <c r="D102" s="669"/>
      <c r="F102" s="24"/>
    </row>
    <row r="103" spans="1:6">
      <c r="A103" s="6">
        <v>104</v>
      </c>
      <c r="B103" s="404" t="str">
        <f>VLOOKUP(A103,info_all!$A:$M,MATCH('General price list'!$W$17,info_all!$A$2:$M$2,0),FALSE)</f>
        <v>Die meistverkauften Produkte sind in Spalte A wie folgt gekennzeichnet:</v>
      </c>
      <c r="C103" s="657"/>
      <c r="D103" s="670"/>
      <c r="F103" s="24"/>
    </row>
    <row r="104" spans="1:6">
      <c r="A104" s="6">
        <v>105</v>
      </c>
      <c r="B104" s="404" t="str">
        <f>VLOOKUP(A104,info_all!$A:$M,MATCH('General price list'!$W$17,info_all!$A$2:$M$2,0),FALSE)</f>
        <v>Aktionspreise sind wie folgt gekennzeichnet:</v>
      </c>
      <c r="C104" s="657"/>
      <c r="D104" s="671">
        <v>100</v>
      </c>
      <c r="F104" s="24"/>
    </row>
    <row r="105" spans="1:6">
      <c r="A105" s="6">
        <v>106</v>
      </c>
      <c r="B105" s="508"/>
      <c r="C105" s="657"/>
      <c r="D105" s="657"/>
      <c r="E105" s="657"/>
      <c r="F105" s="24"/>
    </row>
    <row r="106" spans="1:6">
      <c r="A106" s="6">
        <v>107</v>
      </c>
      <c r="B106" s="404" t="str">
        <f>VLOOKUP(A106,info_all!$A:$M,MATCH('General price list'!$W$17,info_all!$A$2:$M$2,0),FALSE)</f>
        <v>Wenn der gewünschte Artikel nicht auf Lager ist, können Sie den Filter verwenden, um ähnliche Artikel in Spalte C zu finden, in der alle ähnlichen Artikel mit derselben Nummer gekennzeichnet sind.</v>
      </c>
      <c r="C106" s="657"/>
      <c r="D106" s="657"/>
      <c r="E106" s="657"/>
      <c r="F106" s="24"/>
    </row>
    <row r="107" spans="1:6">
      <c r="A107" s="6">
        <v>108</v>
      </c>
      <c r="B107" s="404"/>
      <c r="C107" s="657"/>
      <c r="D107" s="657"/>
      <c r="E107" s="657"/>
      <c r="F107" s="24"/>
    </row>
    <row r="108" spans="1:6">
      <c r="A108" s="6">
        <v>109</v>
      </c>
      <c r="B108" s="405" t="str">
        <f>VLOOKUP(A108,info_all!$A:$M,MATCH('General price list'!$W$17,info_all!$A$2:$M$2,0),FALSE)</f>
        <v>In Spalte F gelten die Preise vor Rabatt in CZK ab dem 1.1.2024.</v>
      </c>
      <c r="C108" s="657"/>
      <c r="D108" s="657"/>
      <c r="E108" s="657"/>
      <c r="F108" s="24"/>
    </row>
    <row r="109" spans="1:6">
      <c r="A109" s="6">
        <v>110</v>
      </c>
      <c r="B109" s="404"/>
      <c r="C109" s="657"/>
      <c r="D109" s="657"/>
      <c r="E109" s="657"/>
      <c r="F109" s="24"/>
    </row>
    <row r="110" spans="1:6">
      <c r="A110" s="6">
        <v>111</v>
      </c>
      <c r="B110" s="408" t="str">
        <f>VLOOKUP(A110,info_all!$A:$M,MATCH('General price list'!$W$17,info_all!$A$2:$M$2,0),FALSE)</f>
        <v>In Spalte I gelten die Preise nach Rabatt in CZK ab dem 1.1.2024.</v>
      </c>
      <c r="C110" s="657"/>
      <c r="D110" s="657"/>
      <c r="E110" s="657"/>
      <c r="F110" s="24"/>
    </row>
    <row r="111" spans="1:6">
      <c r="A111" s="6">
        <v>112</v>
      </c>
      <c r="B111" s="404" t="str">
        <f>VLOOKUP(A111,info_all!$A:$M,MATCH('General price list'!$W$17,info_all!$A$2:$M$2,0),FALSE)</f>
        <v>Diese Spalte ist die Grundlage für Berechnungen in EUR.</v>
      </c>
      <c r="C111" s="657"/>
      <c r="D111" s="657"/>
      <c r="E111" s="657"/>
      <c r="F111" s="24"/>
    </row>
    <row r="112" spans="1:6">
      <c r="A112" s="6">
        <v>113</v>
      </c>
      <c r="B112" s="404"/>
      <c r="C112" s="657"/>
      <c r="D112" s="657"/>
      <c r="E112" s="657"/>
      <c r="F112" s="24"/>
    </row>
    <row r="113" spans="1:6">
      <c r="A113" s="6">
        <v>114</v>
      </c>
      <c r="B113" s="404" t="str">
        <f>VLOOKUP(A113,info_all!$A:$M,MATCH('General price list'!$W$17,info_all!$A$2:$M$2,0),FALSE)</f>
        <v>In Zelle F20 wird automatisch der aktuelle Wechselkurs auf der folgenden Seite angezeigt (der maximale Wechselkurs, zu dem wir EUR akzeptieren, beträgt 26 CZK / 1 EUR).</v>
      </c>
      <c r="C113" s="657"/>
      <c r="D113" s="657"/>
      <c r="E113" s="657"/>
      <c r="F113" s="24"/>
    </row>
    <row r="114" spans="1:6">
      <c r="A114" s="6">
        <v>115</v>
      </c>
      <c r="B114" s="660" t="str">
        <f>IF('General price list'!$W$17='General price list'!$AE$1,info_all!B118,VLOOKUP(A114,info_all!A:Q,MATCH('General price list'!$W$17,info_all!$A$2:$Q$2,0)))</f>
        <v>https://www.kb.cz/en/exchange-rates</v>
      </c>
      <c r="C114" s="657"/>
      <c r="D114" s="657"/>
      <c r="E114" s="657"/>
      <c r="F114" s="24"/>
    </row>
    <row r="115" spans="1:6">
      <c r="A115" s="6">
        <v>116</v>
      </c>
      <c r="B115" s="406"/>
      <c r="C115" s="657"/>
      <c r="D115" s="657"/>
      <c r="E115" s="657"/>
      <c r="F115" s="24"/>
    </row>
    <row r="116" spans="1:6">
      <c r="A116" s="6">
        <v>117</v>
      </c>
      <c r="B116" s="404" t="str">
        <f>VLOOKUP(A116,info_all!$A:$M,MATCH('General price list'!$W$17,info_all!$A$2:$M$2,0),FALSE)</f>
        <v>In column J you will find information about the danger category to which the product belongs.</v>
      </c>
      <c r="C116" s="657"/>
      <c r="D116" s="657"/>
      <c r="E116" s="657"/>
      <c r="F116" s="24"/>
    </row>
    <row r="117" spans="1:6">
      <c r="A117" s="6">
        <v>118</v>
      </c>
      <c r="B117" s="404"/>
      <c r="C117" s="657"/>
      <c r="D117" s="657"/>
      <c r="E117" s="657"/>
      <c r="F117" s="24"/>
    </row>
    <row r="118" spans="1:6">
      <c r="A118" s="6">
        <v>119</v>
      </c>
      <c r="B118" s="404" t="str">
        <f>VLOOKUP(A118,info_all!$A:$M,MATCH('General price list'!$W$17,info_all!$A$2:$M$2,0),FALSE)</f>
        <v>In column Z write your order - write only a number expressing the number of ordered cartons.</v>
      </c>
      <c r="C118" s="657"/>
      <c r="D118" s="657"/>
      <c r="E118" s="657"/>
      <c r="F118" s="24"/>
    </row>
    <row r="119" spans="1:6">
      <c r="A119" s="6">
        <v>120</v>
      </c>
      <c r="B119" s="404"/>
      <c r="C119" s="657"/>
      <c r="D119" s="657"/>
      <c r="E119" s="657"/>
      <c r="F119" s="24"/>
    </row>
    <row r="120" spans="1:6">
      <c r="A120" s="6">
        <v>121</v>
      </c>
      <c r="B120" s="404" t="str">
        <f>VLOOKUP(A120,info_all!$A:$M,MATCH('General price list'!$W$17,info_all!$A$2:$M$2,0),FALSE)</f>
        <v>In column AD you can find current stock availability.</v>
      </c>
      <c r="C120" s="657"/>
      <c r="D120" s="657"/>
      <c r="E120" s="657"/>
      <c r="F120" s="24"/>
    </row>
    <row r="121" spans="1:6">
      <c r="A121" s="6">
        <v>122</v>
      </c>
      <c r="B121" s="404" t="str">
        <f>VLOOKUP(A121,info_all!$A:$M,MATCH('General price list'!$W$17,info_all!$A$2:$M$2,0),FALSE)</f>
        <v>Spalte S - hier finden Sie Informationen darüber, aus welchem ​​Material die Oberseite der Batterie besteht, Erläuterung siehe Zeile 89.</v>
      </c>
      <c r="C121" s="657"/>
      <c r="D121" s="657"/>
      <c r="E121" s="657"/>
      <c r="F121" s="24"/>
    </row>
    <row r="122" spans="1:6">
      <c r="A122" s="6">
        <v>123</v>
      </c>
      <c r="B122" s="404" t="str">
        <f>VLOOKUP(A122,info_all!$A:$M,MATCH('General price list'!$W$17,info_all!$A$2:$M$2,0),FALSE)</f>
        <v>Q + R - Spalte - hier finden Sie Informationen, in welcher Sprache die Produktanweisungen sind</v>
      </c>
      <c r="C122" s="657"/>
      <c r="D122" s="657"/>
      <c r="E122" s="657"/>
      <c r="F122" s="24"/>
    </row>
    <row r="123" spans="1:6">
      <c r="A123" s="6">
        <v>124</v>
      </c>
      <c r="B123" s="404"/>
      <c r="C123" s="657"/>
      <c r="D123" s="657"/>
      <c r="E123" s="657"/>
      <c r="F123" s="24"/>
    </row>
    <row r="124" spans="1:6">
      <c r="A124" s="6">
        <v>125</v>
      </c>
      <c r="B124" s="404" t="str">
        <f>VLOOKUP(A124,info_all!$A:$M,MATCH('General price list'!$W$17,info_all!$A$2:$M$2,0),FALSE)</f>
        <v>After you place an order, you'll see this information in the following columns:</v>
      </c>
      <c r="C124" s="657"/>
      <c r="D124" s="657"/>
      <c r="E124" s="657"/>
      <c r="F124" s="24"/>
    </row>
    <row r="125" spans="1:6">
      <c r="A125" s="6">
        <v>126</v>
      </c>
      <c r="B125" s="404"/>
      <c r="C125" s="657"/>
      <c r="D125" s="657"/>
      <c r="E125" s="657"/>
      <c r="F125" s="24"/>
    </row>
    <row r="126" spans="1:6">
      <c r="A126" s="6">
        <v>127</v>
      </c>
      <c r="B126" s="404" t="str">
        <f>VLOOKUP(A126,info_all!$A:$M,MATCH('General price list'!$W$17,info_all!$A$2:$M$2,0),FALSE)</f>
        <v>Spalte AE → Preis pro Artikel in CZK exkl. MwSt.</v>
      </c>
      <c r="C126" s="657"/>
      <c r="D126" s="657"/>
      <c r="E126" s="657"/>
      <c r="F126" s="24"/>
    </row>
    <row r="127" spans="1:6">
      <c r="A127" s="6">
        <v>128</v>
      </c>
      <c r="B127" s="406" t="str">
        <f>VLOOKUP(A127,info_all!$A:$M,MATCH('General price list'!$W$17,info_all!$A$2:$M$2,0),FALSE)</f>
        <v>Spalte AF → Preis pro Artikel in CZK inkl. Gesetzl. MwSt.</v>
      </c>
      <c r="C127" s="657"/>
      <c r="D127" s="657"/>
      <c r="E127" s="657"/>
      <c r="F127" s="24"/>
    </row>
    <row r="128" spans="1:6">
      <c r="A128" s="6">
        <v>129</v>
      </c>
      <c r="B128" s="404" t="str">
        <f>VLOOKUP(A128,info_all!$A:$M,MATCH('General price list'!$W$17,info_all!$A$2:$M$2,0),FALSE)</f>
        <v>Spalte AG → Preis pro Artikel in EUR ohne MwSt.</v>
      </c>
      <c r="C128" s="657"/>
      <c r="D128" s="657"/>
      <c r="E128" s="657"/>
      <c r="F128" s="24"/>
    </row>
    <row r="129" spans="1:6">
      <c r="A129" s="6">
        <v>130</v>
      </c>
      <c r="B129" s="404" t="str">
        <f>VLOOKUP(A129,info_all!$A:$M,MATCH('General price list'!$W$17,info_all!$A$2:$M$2,0),FALSE)</f>
        <v>Säule AH → Gewicht pro Artikel in kg.</v>
      </c>
      <c r="C129" s="657"/>
      <c r="D129" s="657"/>
      <c r="E129" s="657"/>
      <c r="F129" s="24"/>
    </row>
    <row r="130" spans="1:6">
      <c r="A130" s="6">
        <v>131</v>
      </c>
      <c r="B130" s="404" t="str">
        <f>VLOOKUP(A130,info_all!$A:$M,MATCH('General price list'!$W$17,info_all!$A$2:$M$2,0),FALSE)</f>
        <v>Spalte AI → Volumen pro Artikel in m3.</v>
      </c>
      <c r="C130" s="657"/>
      <c r="D130" s="657"/>
      <c r="E130" s="657"/>
      <c r="F130" s="24"/>
    </row>
    <row r="131" spans="1:6">
      <c r="A131" s="6">
        <v>132</v>
      </c>
      <c r="B131" s="404" t="str">
        <f>VLOOKUP(A131,info_all!$A:$M,MATCH('General price list'!$W$17,info_all!$A$2:$M$2,0),FALSE)</f>
        <v>Säule AJ → NEC - Nettogewicht pyrotechnischer Zusammensetzungen von Gegenständen der ADR-Klasse 1.1G.</v>
      </c>
      <c r="C131" s="657"/>
      <c r="D131" s="657"/>
      <c r="E131" s="657"/>
      <c r="F131" s="24"/>
    </row>
    <row r="132" spans="1:6">
      <c r="A132" s="6">
        <v>133</v>
      </c>
      <c r="B132" s="407" t="str">
        <f>VLOOKUP(A132,info_all!$A:$M,MATCH('General price list'!$W$17,info_all!$A$2:$M$2,0),FALSE)</f>
        <v>Spalte AK → NEC - Nettogewicht der pyrotechnischen Zusammensetzungen von Gegenständen der ADR-Klasse 1.3G.</v>
      </c>
      <c r="C132" s="657"/>
      <c r="D132" s="657"/>
      <c r="E132" s="657"/>
      <c r="F132" s="24"/>
    </row>
    <row r="133" spans="1:6">
      <c r="A133" s="6">
        <v>134</v>
      </c>
      <c r="B133" s="407" t="str">
        <f>VLOOKUP(A133,info_all!$A:$M,MATCH('General price list'!$W$17,info_all!$A$2:$M$2,0),FALSE)</f>
        <v>Säule AL → NEC - Nettogewicht pyrotechnischer Zusammensetzungen von Gegenständen der ADR-Klasse 1.4G.</v>
      </c>
      <c r="C133" s="657"/>
      <c r="D133" s="657"/>
      <c r="E133" s="657"/>
      <c r="F133" s="24"/>
    </row>
    <row r="134" spans="1:6">
      <c r="A134" s="6">
        <v>135</v>
      </c>
      <c r="B134" s="407" t="str">
        <f>VLOOKUP(A134,info_all!$A:$M,MATCH('General price list'!$W$17,info_all!$A$2:$M$2,0),FALSE)</f>
        <v>Spalte AM → NEC - Nettogewicht der pyrotechnischen Gegenstände zusammen für alle ADR-Klassen.</v>
      </c>
      <c r="C134" s="657"/>
      <c r="D134" s="657"/>
      <c r="E134" s="657"/>
      <c r="F134" s="24"/>
    </row>
    <row r="135" spans="1:6">
      <c r="A135" s="6">
        <v>136</v>
      </c>
      <c r="B135" s="407"/>
      <c r="C135" s="657"/>
      <c r="D135" s="657"/>
      <c r="E135" s="657"/>
      <c r="F135" s="24"/>
    </row>
    <row r="136" spans="1:6">
      <c r="A136" s="6">
        <v>137</v>
      </c>
      <c r="B136" s="407" t="str">
        <f>VLOOKUP(A136,info_all!$A:$M,MATCH('General price list'!$W$17,info_all!$A$2:$M$2,0),FALSE)</f>
        <v>Eine vollständige Zusammenfassung Ihrer Bestellung finden Sie in Zeile 1422 für die folgenden Informationen:</v>
      </c>
      <c r="C136" s="657"/>
      <c r="D136" s="657"/>
      <c r="E136" s="657"/>
      <c r="F136" s="24"/>
    </row>
    <row r="137" spans="1:6">
      <c r="A137" s="6">
        <v>138</v>
      </c>
      <c r="B137" s="407" t="str">
        <f>VLOOKUP(A137,info_all!$A:$M,MATCH('General price list'!$W$17,info_all!$A$2:$M$2,0),FALSE)</f>
        <v>Gesamtpreis in CZK exkl. MwSt.</v>
      </c>
      <c r="C137" s="657"/>
      <c r="D137" s="657"/>
      <c r="E137" s="657"/>
      <c r="F137" s="24"/>
    </row>
    <row r="138" spans="1:6" ht="15" customHeight="1">
      <c r="A138" s="6">
        <v>139</v>
      </c>
      <c r="B138" s="407" t="str">
        <f>VLOOKUP(A138,info_all!$A:$M,MATCH('General price list'!$W$17,info_all!$A$2:$M$2,0),FALSE)</f>
        <v>Gesamtpreis in CZK inkl. Gesetzl. MwSt.</v>
      </c>
    </row>
    <row r="139" spans="1:6" ht="15" customHeight="1">
      <c r="A139" s="6">
        <v>140</v>
      </c>
      <c r="B139" s="407" t="str">
        <f>VLOOKUP(A139,info_all!$A:$M,MATCH('General price list'!$W$17,info_all!$A$2:$M$2,0),FALSE)</f>
        <v>Gesamtpreis in EUR exkl. MwSt.</v>
      </c>
    </row>
    <row r="140" spans="1:6" ht="15" customHeight="1">
      <c r="A140" s="6">
        <v>141</v>
      </c>
      <c r="B140" s="407" t="str">
        <f>VLOOKUP(A140,info_all!$A:$M,MATCH('General price list'!$W$17,info_all!$A$2:$M$2,0),FALSE)</f>
        <v>Gesamtvolumen in m3.</v>
      </c>
    </row>
    <row r="141" spans="1:6" ht="15" customHeight="1">
      <c r="A141" s="6">
        <v>142</v>
      </c>
      <c r="B141" s="407" t="str">
        <f>VLOOKUP(A141,info_all!$A:$M,MATCH('General price list'!$W$17,info_all!$A$2:$M$2,0),FALSE)</f>
        <v>Gesamtgewicht in kg.</v>
      </c>
    </row>
    <row r="142" spans="1:6" ht="15" customHeight="1">
      <c r="A142" s="6">
        <v>143</v>
      </c>
      <c r="B142" s="407" t="str">
        <f>VLOOKUP(A142,info_all!$A:$M,MATCH('General price list'!$W$17,info_all!$A$2:$M$2,0),FALSE)</f>
        <v>Gesamt-NEC-Nettogewicht der pyrotechnischen Zusammensetzungen geteilt durch ADR-Klassen.</v>
      </c>
    </row>
    <row r="143" spans="1:6" ht="15" customHeight="1">
      <c r="A143" s="6">
        <v>144</v>
      </c>
      <c r="B143" s="407" t="str">
        <f>VLOOKUP(A143,info_all!$A:$M,MATCH('General price list'!$W$17,info_all!$A$2:$M$2,0),FALSE)</f>
        <v>Das Gesamt-NEC-Nettogewicht der pyrotechnischen Zusammensetzung für alle ADR-Klassen.</v>
      </c>
    </row>
    <row r="144" spans="1:6" ht="15" customHeight="1">
      <c r="B144" s="407"/>
    </row>
  </sheetData>
  <sheetProtection algorithmName="SHA-512" hashValue="Q+o98qxpGEaNvGPvDPK70/Yf/7D/xm4WMTquF5I1xAu2dEIkxXWVuDXE8YAz/EMgRsP5spNkCIN9Hn8NY+wHYQ==" saltValue="bv1nKbvZEwRw4djBdPVC4g==" spinCount="100000" sheet="1" objects="1" scenarios="1"/>
  <conditionalFormatting sqref="D104">
    <cfRule type="expression" dxfId="9" priority="1">
      <formula>$K101=$B$2</formula>
    </cfRule>
  </conditionalFormatting>
  <hyperlinks>
    <hyperlink ref="B3" r:id="rId1" display="https://youtu.be/7VjovCRBPv4" xr:uid="{7E0395EB-D845-466F-861E-EA2A74492EF8}"/>
    <hyperlink ref="B106" r:id="rId2" display="http://www.kb.cz/kurzovni-listek/cs/rl/index.x" xr:uid="{D2787987-BAF2-4B64-BF3F-363B8B0AC82D}"/>
    <hyperlink ref="B10" r:id="rId3" xr:uid="{49F6FFF0-FB11-4F5C-990F-877118EBE8FB}"/>
  </hyperlinks>
  <pageMargins left="0.7" right="0.7" top="0.78740157499999996" bottom="0.78740157499999996" header="0.3" footer="0.3"/>
  <pageSetup paperSize="9" scale="39" fitToWidth="0" orientation="portrait" horizontalDpi="4294967293" r:id="rId4"/>
  <legacyDrawing r:id="rId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63F23B-5EAB-42DC-9BC4-BBB0DA0E8587}">
  <sheetPr>
    <tabColor theme="1"/>
  </sheetPr>
  <dimension ref="A1:F22"/>
  <sheetViews>
    <sheetView workbookViewId="0">
      <selection activeCell="E38" sqref="E38"/>
    </sheetView>
  </sheetViews>
  <sheetFormatPr defaultColWidth="9.140625" defaultRowHeight="15"/>
  <cols>
    <col min="1" max="1" width="14.42578125" style="1001" customWidth="1"/>
    <col min="2" max="2" width="9.140625" style="1001"/>
    <col min="3" max="3" width="18.7109375" style="1001" bestFit="1" customWidth="1"/>
    <col min="4" max="4" width="24.85546875" style="1001" bestFit="1" customWidth="1"/>
    <col min="5" max="5" width="11.28515625" style="1001" customWidth="1"/>
    <col min="6" max="6" width="13.42578125" style="1001" customWidth="1"/>
    <col min="7" max="16384" width="9.140625" style="1000"/>
  </cols>
  <sheetData>
    <row r="1" spans="1:6">
      <c r="A1" s="1163" t="s">
        <v>13522</v>
      </c>
      <c r="B1" s="1164"/>
      <c r="C1" s="1164"/>
      <c r="D1" s="1164"/>
      <c r="E1" s="1164"/>
      <c r="F1" s="1165"/>
    </row>
    <row r="2" spans="1:6">
      <c r="A2" s="1166"/>
      <c r="B2" s="1167"/>
      <c r="C2" s="1167"/>
      <c r="D2" s="1167"/>
      <c r="E2" s="1167"/>
      <c r="F2" s="1168"/>
    </row>
    <row r="3" spans="1:6">
      <c r="A3" s="1002"/>
      <c r="B3" s="9"/>
      <c r="C3" s="9"/>
      <c r="D3" s="9"/>
      <c r="E3" s="9"/>
      <c r="F3" s="1003"/>
    </row>
    <row r="4" spans="1:6" ht="18.75">
      <c r="A4" s="1171" t="s">
        <v>13940</v>
      </c>
      <c r="B4" s="1172"/>
      <c r="C4" s="1172"/>
      <c r="D4" s="1172"/>
      <c r="E4" s="1172"/>
      <c r="F4" s="1173"/>
    </row>
    <row r="5" spans="1:6">
      <c r="A5" s="1169"/>
      <c r="B5" s="1170"/>
      <c r="C5" s="1004"/>
      <c r="D5" s="1005"/>
      <c r="E5" s="9" t="s">
        <v>13520</v>
      </c>
      <c r="F5" s="1003" t="s">
        <v>13523</v>
      </c>
    </row>
    <row r="6" spans="1:6">
      <c r="A6" s="1006" t="s">
        <v>11646</v>
      </c>
      <c r="B6" s="1007" t="s">
        <v>13510</v>
      </c>
      <c r="C6" s="1007" t="s">
        <v>13511</v>
      </c>
      <c r="D6" s="1007" t="s">
        <v>13519</v>
      </c>
      <c r="E6" s="1008" t="s">
        <v>2261</v>
      </c>
      <c r="F6" s="1009" t="s">
        <v>13511</v>
      </c>
    </row>
    <row r="7" spans="1:6">
      <c r="A7" s="1006">
        <v>-0.3</v>
      </c>
      <c r="B7" s="1010">
        <v>4000</v>
      </c>
      <c r="C7" s="1008" t="s">
        <v>13513</v>
      </c>
      <c r="D7" s="1008" t="s">
        <v>13942</v>
      </c>
      <c r="E7" s="1008">
        <v>2</v>
      </c>
      <c r="F7" s="1009">
        <v>300</v>
      </c>
    </row>
    <row r="8" spans="1:6">
      <c r="A8" s="1006">
        <v>-0.45</v>
      </c>
      <c r="B8" s="1010">
        <v>10000</v>
      </c>
      <c r="C8" s="1008" t="s">
        <v>13514</v>
      </c>
      <c r="D8" s="1008" t="s">
        <v>13942</v>
      </c>
      <c r="E8" s="1008">
        <v>5</v>
      </c>
      <c r="F8" s="1009">
        <v>700</v>
      </c>
    </row>
    <row r="9" spans="1:6">
      <c r="A9" s="1006">
        <v>-0.48</v>
      </c>
      <c r="B9" s="1010">
        <v>15000</v>
      </c>
      <c r="C9" s="1008" t="s">
        <v>13515</v>
      </c>
      <c r="D9" s="1008" t="s">
        <v>13942</v>
      </c>
      <c r="E9" s="1008">
        <v>7</v>
      </c>
      <c r="F9" s="1009">
        <v>910</v>
      </c>
    </row>
    <row r="10" spans="1:6">
      <c r="A10" s="1006">
        <v>-0.5</v>
      </c>
      <c r="B10" s="1010">
        <v>30000</v>
      </c>
      <c r="C10" s="1008" t="s">
        <v>13516</v>
      </c>
      <c r="D10" s="1008" t="s">
        <v>13942</v>
      </c>
      <c r="E10" s="1008">
        <v>15</v>
      </c>
      <c r="F10" s="1009">
        <v>1800</v>
      </c>
    </row>
    <row r="11" spans="1:6">
      <c r="A11" s="1006">
        <v>-0.52</v>
      </c>
      <c r="B11" s="1010">
        <v>40000</v>
      </c>
      <c r="C11" s="1008" t="s">
        <v>13517</v>
      </c>
      <c r="D11" s="1008" t="s">
        <v>13942</v>
      </c>
      <c r="E11" s="1008">
        <v>20</v>
      </c>
      <c r="F11" s="1009">
        <v>2200</v>
      </c>
    </row>
    <row r="12" spans="1:6">
      <c r="A12" s="1006">
        <v>-0.54</v>
      </c>
      <c r="B12" s="1010">
        <v>60000</v>
      </c>
      <c r="C12" s="1008" t="s">
        <v>13518</v>
      </c>
      <c r="D12" s="1008" t="s">
        <v>13942</v>
      </c>
      <c r="E12" s="1008">
        <v>30</v>
      </c>
      <c r="F12" s="1009">
        <v>3000</v>
      </c>
    </row>
    <row r="13" spans="1:6">
      <c r="A13" s="1002"/>
      <c r="B13" s="9"/>
      <c r="C13" s="9"/>
      <c r="D13" s="9"/>
      <c r="E13" s="9"/>
      <c r="F13" s="1003"/>
    </row>
    <row r="14" spans="1:6" ht="18.75">
      <c r="A14" s="1171" t="s">
        <v>13941</v>
      </c>
      <c r="B14" s="1172"/>
      <c r="C14" s="1172"/>
      <c r="D14" s="1172"/>
      <c r="E14" s="1172"/>
      <c r="F14" s="1173"/>
    </row>
    <row r="15" spans="1:6">
      <c r="A15" s="1002"/>
      <c r="B15" s="9"/>
      <c r="C15" s="9"/>
      <c r="D15" s="9"/>
      <c r="E15" s="9"/>
      <c r="F15" s="1003"/>
    </row>
    <row r="16" spans="1:6">
      <c r="A16" s="1006" t="s">
        <v>11646</v>
      </c>
      <c r="B16" s="1007" t="s">
        <v>13510</v>
      </c>
      <c r="C16" s="1007" t="s">
        <v>13511</v>
      </c>
      <c r="D16" s="1007" t="s">
        <v>13519</v>
      </c>
      <c r="E16" s="9"/>
      <c r="F16" s="1003"/>
    </row>
    <row r="17" spans="1:6">
      <c r="A17" s="1006">
        <v>-0.36</v>
      </c>
      <c r="B17" s="1011">
        <v>10000</v>
      </c>
      <c r="C17" s="1008" t="s">
        <v>13512</v>
      </c>
      <c r="D17" s="1008" t="s">
        <v>13942</v>
      </c>
      <c r="E17" s="9"/>
      <c r="F17" s="1003"/>
    </row>
    <row r="18" spans="1:6">
      <c r="A18" s="1006">
        <v>-0.4</v>
      </c>
      <c r="B18" s="1011">
        <v>15000</v>
      </c>
      <c r="C18" s="1008" t="s">
        <v>13512</v>
      </c>
      <c r="D18" s="1008" t="s">
        <v>13942</v>
      </c>
      <c r="E18" s="9"/>
      <c r="F18" s="1003"/>
    </row>
    <row r="19" spans="1:6">
      <c r="A19" s="1006">
        <v>-0.44</v>
      </c>
      <c r="B19" s="1011">
        <v>30000</v>
      </c>
      <c r="C19" s="1008" t="s">
        <v>13512</v>
      </c>
      <c r="D19" s="1008" t="s">
        <v>13942</v>
      </c>
      <c r="E19" s="9"/>
      <c r="F19" s="1003"/>
    </row>
    <row r="20" spans="1:6">
      <c r="A20" s="1006">
        <v>-0.46</v>
      </c>
      <c r="B20" s="1011">
        <v>40000</v>
      </c>
      <c r="C20" s="1008" t="s">
        <v>13512</v>
      </c>
      <c r="D20" s="1008" t="s">
        <v>13942</v>
      </c>
      <c r="E20" s="9"/>
      <c r="F20" s="1003"/>
    </row>
    <row r="21" spans="1:6">
      <c r="A21" s="1006">
        <v>-0.48</v>
      </c>
      <c r="B21" s="1011">
        <v>60000</v>
      </c>
      <c r="C21" s="1008" t="s">
        <v>13512</v>
      </c>
      <c r="D21" s="1008" t="s">
        <v>13942</v>
      </c>
      <c r="E21" s="9"/>
      <c r="F21" s="1003"/>
    </row>
    <row r="22" spans="1:6" ht="15.75" thickBot="1">
      <c r="A22" s="1012"/>
      <c r="B22" s="1013"/>
      <c r="C22" s="1013"/>
      <c r="D22" s="1013"/>
      <c r="E22" s="1013"/>
      <c r="F22" s="1014"/>
    </row>
  </sheetData>
  <sheetProtection algorithmName="SHA-512" hashValue="JyFiyyH6I/mew7FUJmZPV0Xs/wqPJGDRotCy1wgjZiyj1+0rW3m2DyY2wuk9LAgOw+hUyouCFgQP6Hsvr+94xQ==" saltValue="+bR6yyAtqUdQ7smGnMg/IA==" spinCount="100000" sheet="1" objects="1" scenarios="1"/>
  <mergeCells count="4">
    <mergeCell ref="A1:F2"/>
    <mergeCell ref="A5:B5"/>
    <mergeCell ref="A14:F14"/>
    <mergeCell ref="A4:F4"/>
  </mergeCells>
  <pageMargins left="0.25" right="0.25"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List2">
    <tabColor theme="9" tint="-0.249977111117893"/>
  </sheetPr>
  <dimension ref="A1:AU621"/>
  <sheetViews>
    <sheetView showGridLines="0" zoomScale="86" zoomScaleNormal="86" workbookViewId="0">
      <pane xSplit="3" ySplit="20" topLeftCell="D21" activePane="bottomRight" state="frozen"/>
      <selection pane="topRight" activeCell="D1" sqref="D1"/>
      <selection pane="bottomLeft" activeCell="A21" sqref="A21"/>
      <selection pane="bottomRight" activeCell="W612" sqref="W612"/>
    </sheetView>
  </sheetViews>
  <sheetFormatPr defaultColWidth="9.140625" defaultRowHeight="15" customHeight="1"/>
  <cols>
    <col min="1" max="1" width="4.140625" style="292" customWidth="1"/>
    <col min="2" max="2" width="2.28515625" style="292" customWidth="1"/>
    <col min="3" max="3" width="17.140625" style="292" customWidth="1"/>
    <col min="4" max="4" width="36.7109375" style="292" customWidth="1"/>
    <col min="5" max="5" width="11" style="292" customWidth="1"/>
    <col min="6" max="6" width="7.85546875" style="377" customWidth="1"/>
    <col min="7" max="8" width="7.85546875" style="292" customWidth="1"/>
    <col min="9" max="9" width="10.140625" style="292" customWidth="1"/>
    <col min="10" max="10" width="8.85546875" style="292" customWidth="1"/>
    <col min="11" max="12" width="11" style="292" customWidth="1"/>
    <col min="13" max="13" width="4.7109375" style="292" customWidth="1"/>
    <col min="14" max="16" width="11" style="292" customWidth="1"/>
    <col min="17" max="17" width="23.42578125" style="378" customWidth="1"/>
    <col min="18" max="18" width="15.42578125" style="292" customWidth="1"/>
    <col min="19" max="19" width="10.5703125" style="292" customWidth="1"/>
    <col min="20" max="20" width="9.42578125" style="292" customWidth="1"/>
    <col min="21" max="22" width="4.140625" style="292" customWidth="1"/>
    <col min="23" max="23" width="42.85546875" style="292" customWidth="1"/>
    <col min="24" max="24" width="42" style="292" customWidth="1"/>
    <col min="25" max="25" width="11" style="292" customWidth="1"/>
    <col min="26" max="26" width="8" style="292" customWidth="1"/>
    <col min="27" max="27" width="10.28515625" style="292" customWidth="1"/>
    <col min="28" max="28" width="13" style="292" customWidth="1"/>
    <col min="29" max="29" width="24.42578125" style="292" customWidth="1"/>
    <col min="30" max="30" width="24.5703125" style="292" customWidth="1"/>
    <col min="31" max="33" width="13.7109375" style="292" customWidth="1"/>
    <col min="34" max="35" width="11.5703125" style="292" customWidth="1"/>
    <col min="36" max="39" width="11.28515625" style="292" customWidth="1"/>
    <col min="40" max="40" width="12.140625" style="383" customWidth="1"/>
    <col min="41" max="42" width="9.140625" style="292" customWidth="1"/>
    <col min="43" max="43" width="16.85546875" style="292" customWidth="1"/>
    <col min="44" max="44" width="10.85546875" style="292" customWidth="1"/>
    <col min="45" max="45" width="9.140625" style="292" customWidth="1"/>
    <col min="46" max="47" width="18.85546875" style="292" bestFit="1" customWidth="1"/>
    <col min="48" max="16384" width="9.140625" style="292"/>
  </cols>
  <sheetData>
    <row r="1" spans="1:40" s="535" customFormat="1" ht="12.95" customHeight="1">
      <c r="A1" s="526" t="s">
        <v>11473</v>
      </c>
      <c r="B1" s="527"/>
      <c r="C1" s="574"/>
      <c r="D1" s="1213" t="str">
        <f>UPPER(IF($W$17=$AE$1,"interaktivní",IFERROR(VLOOKUP("interaktivní",Jazyky_ceník!A:Q,MATCH(W17,Jazyky_ceník!A1:Q1,0),FALSE),"---------------")))</f>
        <v>INTERAKTIV</v>
      </c>
      <c r="E1" s="1214" t="str">
        <f>"i-"&amp;PROPER(IF($W$17=$AE$1,"ceník",IFERROR(VLOOKUP("ceník",Jazyky_ceník!A:Q,MATCH(W17,Jazyky_ceník!A1:Q1,0),FALSE),"---------------")))&amp;" 2022"</f>
        <v>i-Preisliste 2022</v>
      </c>
      <c r="F1" s="1214"/>
      <c r="G1" s="1214"/>
      <c r="I1" s="709"/>
      <c r="J1" s="710" t="str">
        <f>IF($W$17=$AE$1,"Odběr nad",IFERROR(VLOOKUP("Odběr nad",Jazyky_ceník!A:Q,MATCH(W17,Jazyky_ceník!A1:Q1,0),FALSE),"---------------"))</f>
        <v>Wert oben</v>
      </c>
      <c r="K1" s="1215" t="s">
        <v>11471</v>
      </c>
      <c r="L1" s="1216"/>
      <c r="M1" s="1207" t="str">
        <f>C19</f>
        <v>Rabatt</v>
      </c>
      <c r="N1" s="1208"/>
      <c r="O1" s="1207"/>
      <c r="P1" s="711">
        <v>0</v>
      </c>
      <c r="Q1" s="712"/>
      <c r="V1" s="713" t="str">
        <f>IF($W$17=$AE$1,"VK",IFERROR(VLOOKUP("VK",Jazyky_ceník!A:Q,MATCH(W17,Jazyky_ceník!A1:Q1,0),FALSE),"!!!"))</f>
        <v>KTN</v>
      </c>
      <c r="Y1" s="714" t="s">
        <v>11932</v>
      </c>
      <c r="Z1" s="540"/>
      <c r="AB1" s="570" t="str">
        <f>IF($W$17=$AE$1,"KLIKNUTÍM ZDE VYBERTE MOŽNOST!",IFERROR(VLOOKUP("KLIKNUTÍM ZDE VYBERTE MOŽNOST!",Jazyky_ceník!A:Q,MATCH(W17,Jazyky_ceník!A1:Q1,0),FALSE),"!!!"))</f>
        <v>KLICKEN UM EINE OPTION AUSZUWÄHLEN!</v>
      </c>
      <c r="AC1" s="715">
        <v>1</v>
      </c>
      <c r="AD1" s="716" t="s">
        <v>18</v>
      </c>
      <c r="AE1" s="532" t="s">
        <v>2861</v>
      </c>
      <c r="AF1" s="532"/>
      <c r="AG1" s="533"/>
      <c r="AH1" s="527"/>
      <c r="AI1" s="532"/>
      <c r="AJ1" s="529"/>
      <c r="AK1" s="529" t="str">
        <f>D1&amp;" "&amp;E1</f>
        <v>INTERAKTIV i-Preisliste 2022</v>
      </c>
      <c r="AM1" s="529"/>
      <c r="AN1" s="534"/>
    </row>
    <row r="2" spans="1:40" s="535" customFormat="1" ht="12.95" customHeight="1">
      <c r="A2" s="526"/>
      <c r="B2" s="527"/>
      <c r="C2" s="574"/>
      <c r="D2" s="1213"/>
      <c r="E2" s="1214"/>
      <c r="F2" s="1214"/>
      <c r="G2" s="1214"/>
      <c r="I2" s="717"/>
      <c r="J2" s="717">
        <v>2000</v>
      </c>
      <c r="K2" s="718"/>
      <c r="L2" s="718"/>
      <c r="M2" s="719">
        <v>-0.05</v>
      </c>
      <c r="N2" s="720">
        <f t="shared" ref="N2:N12" si="0">(J2/(100-O2))*100</f>
        <v>2105.2631578947371</v>
      </c>
      <c r="O2" s="721">
        <v>5</v>
      </c>
      <c r="P2" s="711">
        <f>IF(AB2&gt;=2000,O2,P1)</f>
        <v>0</v>
      </c>
      <c r="Q2" s="712"/>
      <c r="U2" s="711"/>
      <c r="V2" s="713" t="str">
        <f>IF($W$17=$AE$1,"POSLEDNÍCH",IFERROR(VLOOKUP("POSLEDNÍCH",Jazyky_ceník!A:Q,MATCH(W17,Jazyky_ceník!A1:Q1,0),FALSE),"!!!"))</f>
        <v>LETZTE</v>
      </c>
      <c r="Y2" s="714" t="s">
        <v>11933</v>
      </c>
      <c r="Z2" s="540"/>
      <c r="AB2" s="712">
        <f>SUMPRODUCT(F22:F604,I22:I604,Y22:Y604)</f>
        <v>0</v>
      </c>
      <c r="AC2" s="715">
        <v>2</v>
      </c>
      <c r="AD2" s="716" t="s">
        <v>13493</v>
      </c>
      <c r="AE2" s="532" t="s">
        <v>2863</v>
      </c>
      <c r="AF2" s="532"/>
      <c r="AG2" s="533"/>
      <c r="AH2" s="527"/>
      <c r="AI2" s="532"/>
      <c r="AJ2" s="529"/>
      <c r="AK2" s="529" t="str">
        <f>IF($W$17=$AE$1,"REZERVAČNÍ ceník",IFERROR(VLOOKUP("REZERVAČNÍ ceník",Jazyky_ceník!A:Q,MATCH(W17,Jazyky_ceník!A1:Q1,0),FALSE),"---------------"))</f>
        <v>RESERVIERUNGSPREISLISTE</v>
      </c>
      <c r="AM2" s="529"/>
      <c r="AN2" s="534"/>
    </row>
    <row r="3" spans="1:40" s="535" customFormat="1" ht="12.95" customHeight="1">
      <c r="A3" s="526"/>
      <c r="B3" s="527"/>
      <c r="C3" s="574"/>
      <c r="D3" s="1212" t="s">
        <v>11474</v>
      </c>
      <c r="E3" s="1212"/>
      <c r="F3" s="1212"/>
      <c r="I3" s="717"/>
      <c r="J3" s="717">
        <v>5000</v>
      </c>
      <c r="K3" s="718"/>
      <c r="L3" s="718"/>
      <c r="M3" s="719">
        <v>-0.1</v>
      </c>
      <c r="N3" s="720">
        <f t="shared" si="0"/>
        <v>5555.5555555555557</v>
      </c>
      <c r="O3" s="721">
        <v>10</v>
      </c>
      <c r="P3" s="711">
        <f t="shared" ref="P3:P11" si="1">IF($AB$2&gt;N3,O3,P2)</f>
        <v>0</v>
      </c>
      <c r="Q3" s="712"/>
      <c r="U3" s="711"/>
      <c r="V3" s="713" t="str">
        <f>IF($W$17=$AE$1,"DOCHÁZÍ",IFERROR(VLOOKUP("DOCHÁZÍ",Jazyky_ceník!A:Q,MATCH(W17,Jazyky_ceník!A1:Q1,0),FALSE),"!!!"))</f>
        <v>LETZTE STÜCKE</v>
      </c>
      <c r="Y3" s="714"/>
      <c r="Z3" s="540"/>
      <c r="AB3" s="712">
        <f>IF(AB2&gt;N12,O12,P11)</f>
        <v>0</v>
      </c>
      <c r="AC3" s="715">
        <v>3</v>
      </c>
      <c r="AD3" s="716" t="s">
        <v>9589</v>
      </c>
      <c r="AE3" s="532" t="s">
        <v>8685</v>
      </c>
      <c r="AF3" s="532"/>
      <c r="AG3" s="533"/>
      <c r="AH3" s="527"/>
      <c r="AI3" s="532"/>
      <c r="AJ3" s="529"/>
      <c r="AK3" s="536">
        <v>1</v>
      </c>
      <c r="AM3" s="529"/>
      <c r="AN3" s="534"/>
    </row>
    <row r="4" spans="1:40" s="535" customFormat="1" ht="12.95" customHeight="1">
      <c r="A4" s="526"/>
      <c r="B4" s="527"/>
      <c r="C4" s="574"/>
      <c r="E4" s="711"/>
      <c r="F4" s="574"/>
      <c r="I4" s="717"/>
      <c r="J4" s="717">
        <v>20000</v>
      </c>
      <c r="K4" s="718"/>
      <c r="L4" s="718"/>
      <c r="M4" s="719">
        <v>-0.2</v>
      </c>
      <c r="N4" s="720">
        <f t="shared" si="0"/>
        <v>25000</v>
      </c>
      <c r="O4" s="721">
        <v>20</v>
      </c>
      <c r="P4" s="711">
        <f t="shared" si="1"/>
        <v>0</v>
      </c>
      <c r="Q4" s="712"/>
      <c r="U4" s="711"/>
      <c r="V4" s="722" t="str">
        <f>IF($W$17=$AE$1,"DORAZÍ",IFERROR(VLOOKUP("DORAZÍ",Jazyky_ceník!A:Q,MATCH(W17,Jazyky_ceník!A1:Q1,0),FALSE),"!!!"))&amp;" "</f>
        <v xml:space="preserve">KOMMT </v>
      </c>
      <c r="Y4" s="714"/>
      <c r="Z4" s="540"/>
      <c r="AB4" s="570" t="str">
        <f>IF($W$17=$AE$1,"NA VOLNO",IFERROR(VLOOKUP("NA VOLNO",Jazyky_ceník!A:Q,MATCH(W17,Jazyky_ceník!A1:Q1,0),FALSE),"!!!"))</f>
        <v>!!!</v>
      </c>
      <c r="AC4" s="715">
        <v>4</v>
      </c>
      <c r="AD4" s="716" t="s">
        <v>2569</v>
      </c>
      <c r="AE4" s="532" t="s">
        <v>2862</v>
      </c>
      <c r="AF4" s="532"/>
      <c r="AG4" s="533"/>
      <c r="AH4" s="527"/>
      <c r="AI4" s="532"/>
      <c r="AJ4" s="529"/>
      <c r="AK4" s="538" t="s">
        <v>12138</v>
      </c>
      <c r="AL4" s="529"/>
      <c r="AM4" s="529"/>
      <c r="AN4" s="534"/>
    </row>
    <row r="5" spans="1:40" s="535" customFormat="1" ht="12.95" customHeight="1">
      <c r="A5" s="526"/>
      <c r="B5" s="527"/>
      <c r="C5" s="723"/>
      <c r="D5" s="723"/>
      <c r="E5" s="723"/>
      <c r="F5" s="723"/>
      <c r="G5" s="723"/>
      <c r="I5" s="717"/>
      <c r="J5" s="717">
        <v>50000</v>
      </c>
      <c r="K5" s="718"/>
      <c r="L5" s="718"/>
      <c r="M5" s="719">
        <v>-0.25</v>
      </c>
      <c r="N5" s="720">
        <f t="shared" si="0"/>
        <v>66666.666666666657</v>
      </c>
      <c r="O5" s="721">
        <v>25</v>
      </c>
      <c r="P5" s="711">
        <f t="shared" si="1"/>
        <v>0</v>
      </c>
      <c r="Q5" s="712"/>
      <c r="U5" s="711"/>
      <c r="V5" s="722" t="str">
        <f>IF($W$17=$AE$1,"DATUM",IFERROR(VLOOKUP("DATUM",Jazyky_ceník!A:Q,MATCH(W17,Jazyky_ceník!A1:Q1,0),FALSE),"!!!"))</f>
        <v>Datum</v>
      </c>
      <c r="W5" s="535" t="str">
        <f>IF($W$17=$AE$1,"Termín další dostupnosti zboží",IFERROR(VLOOKUP("Termín další dostupnosti zboží",Jazyky_ceník!A:Q,MATCH(W17,Jazyky_ceník!A1:Q1,0),FALSE),"!!!"))</f>
        <v>Das Datum der weiteren Warenverfügbarkeit</v>
      </c>
      <c r="Y5" s="714"/>
      <c r="Z5" s="540"/>
      <c r="AB5" s="570" t="str">
        <f>IF($W$17=$AE$1,"NA PALETÁCH",IFERROR(VLOOKUP("NA PALETÁCH",Jazyky_ceník!A:Q,MATCH(W17,Jazyky_ceník!A1:Q1,0),FALSE),"!!!"))</f>
        <v>AUF PALETTEN</v>
      </c>
      <c r="AC5" s="715">
        <v>5</v>
      </c>
      <c r="AD5" s="716" t="s">
        <v>13494</v>
      </c>
      <c r="AE5" s="532" t="s">
        <v>8332</v>
      </c>
      <c r="AF5" s="532"/>
      <c r="AG5" s="533"/>
      <c r="AH5" s="527"/>
      <c r="AI5" s="532"/>
      <c r="AJ5" s="529"/>
      <c r="AK5" s="538" t="s">
        <v>12139</v>
      </c>
      <c r="AL5" s="529"/>
      <c r="AM5" s="529"/>
      <c r="AN5" s="534"/>
    </row>
    <row r="6" spans="1:40" s="535" customFormat="1" ht="12.95" customHeight="1">
      <c r="A6" s="526"/>
      <c r="B6" s="527"/>
      <c r="D6" s="724" t="s">
        <v>13197</v>
      </c>
      <c r="F6" s="578"/>
      <c r="I6" s="717"/>
      <c r="J6" s="717">
        <v>80000</v>
      </c>
      <c r="K6" s="718"/>
      <c r="L6" s="718"/>
      <c r="M6" s="719">
        <v>-0.3</v>
      </c>
      <c r="N6" s="720">
        <f t="shared" si="0"/>
        <v>114285.71428571429</v>
      </c>
      <c r="O6" s="721">
        <v>30</v>
      </c>
      <c r="P6" s="711">
        <f t="shared" si="1"/>
        <v>0</v>
      </c>
      <c r="Q6" s="712"/>
      <c r="U6" s="711"/>
      <c r="V6" s="713" t="str">
        <f>IF($W$17=$AE$1,"SKLADEM",IFERROR(VLOOKUP("SKLADEM",Jazyky_ceník!A:Q,MATCH(W17,Jazyky_ceník!A1:Q1,0),FALSE),"!!!"))</f>
        <v>AUF LAGER</v>
      </c>
      <c r="W6" s="725" t="str">
        <f>IF($W$17=$AE$1,"Lze objednat libovolný počet.",IFERROR(VLOOKUP("Lze objednat libovolný počet.",Jazyky_ceník!A:Q,MATCH(W17,Jazyky_ceník!A1:Q1,0),FALSE),"!!!"))</f>
        <v xml:space="preserve">Es kann jede beliebige Nummer bestellt werden. </v>
      </c>
      <c r="X6" s="725"/>
      <c r="Y6" s="714"/>
      <c r="Z6" s="540"/>
      <c r="AB6" s="726">
        <v>2</v>
      </c>
      <c r="AC6" s="715">
        <v>6</v>
      </c>
      <c r="AD6" s="716" t="s">
        <v>6492</v>
      </c>
      <c r="AE6" s="532" t="s">
        <v>8329</v>
      </c>
      <c r="AF6" s="532"/>
      <c r="AG6" s="533"/>
      <c r="AH6" s="527"/>
      <c r="AI6" s="532"/>
      <c r="AJ6" s="529"/>
      <c r="AK6" s="538" t="s">
        <v>12140</v>
      </c>
      <c r="AL6" s="529"/>
      <c r="AM6" s="529"/>
      <c r="AN6" s="534"/>
    </row>
    <row r="7" spans="1:40" s="535" customFormat="1" ht="12.95" customHeight="1">
      <c r="A7" s="1195"/>
      <c r="B7" s="1195"/>
      <c r="C7" s="1196"/>
      <c r="D7" s="727" t="str">
        <f>IF($W$17=$AE$1,Jazyky_ceník!A85,IFERROR(VLOOKUP(Jazyky_ceník!A85,Jazyky_ceník!A:Q,MATCH($W$17,Jazyky_ceník!$A$1:$Q$1,0),FALSE),"---------------"))</f>
        <v>SENDEN SIE ALLE BESTELLUNGEN NUR AN DIE E-MAIL-ADRESSE:</v>
      </c>
      <c r="E7" s="727"/>
      <c r="F7" s="574"/>
      <c r="I7" s="717"/>
      <c r="J7" s="717">
        <v>100000</v>
      </c>
      <c r="K7" s="718"/>
      <c r="L7" s="718"/>
      <c r="M7" s="719">
        <v>-0.4</v>
      </c>
      <c r="N7" s="720">
        <f t="shared" si="0"/>
        <v>166666.66666666669</v>
      </c>
      <c r="O7" s="721">
        <v>40</v>
      </c>
      <c r="P7" s="711">
        <f t="shared" si="1"/>
        <v>0</v>
      </c>
      <c r="Q7" s="712"/>
      <c r="S7" s="535" t="s">
        <v>11931</v>
      </c>
      <c r="U7" s="711"/>
      <c r="V7" s="713" t="str">
        <f>V2&amp;" … "&amp;V1</f>
        <v>LETZTE … KTN</v>
      </c>
      <c r="W7" s="725" t="str">
        <f>IF($W$17=$AE$1,"Lze objednat maximálně toto množství.",IFERROR(VLOOKUP("Lze objednat maximálně toto množství.",Jazyky_ceník!A:Q,MATCH(W17,Jazyky_ceník!A1:Q1,0),FALSE),"!!!"))</f>
        <v xml:space="preserve">Maximal kann diese Menge bestellt werden. </v>
      </c>
      <c r="X7" s="725"/>
      <c r="Y7" s="714"/>
      <c r="Z7" s="540"/>
      <c r="AB7" s="982">
        <f>'Deutsche Markt'!$Z$7</f>
        <v>2</v>
      </c>
      <c r="AC7" s="715">
        <v>7</v>
      </c>
      <c r="AD7" s="716" t="s">
        <v>6493</v>
      </c>
      <c r="AE7" s="532" t="s">
        <v>2864</v>
      </c>
      <c r="AF7" s="532"/>
      <c r="AG7" s="533"/>
      <c r="AH7" s="527"/>
      <c r="AI7" s="532"/>
      <c r="AJ7" s="529"/>
      <c r="AK7" s="529"/>
      <c r="AL7" s="529"/>
      <c r="AM7" s="529"/>
      <c r="AN7" s="534"/>
    </row>
    <row r="8" spans="1:40" s="535" customFormat="1" ht="12.95" customHeight="1">
      <c r="A8" s="1195"/>
      <c r="B8" s="1195"/>
      <c r="C8" s="1196"/>
      <c r="E8" s="728" t="str">
        <f>IF($W$17=$AE$1,"info@klasekpyrotechnics.cz",IFERROR(VLOOKUP("info@klasekpyrotechnics.cz",Jazyky_ceník!A:Q,MATCH(W17,Jazyky_ceník!A1:Q1,0),FALSE),"---------------"))</f>
        <v>info@klasekpyrotechnics.cz</v>
      </c>
      <c r="F8" s="574"/>
      <c r="I8" s="717"/>
      <c r="J8" s="717">
        <v>175000</v>
      </c>
      <c r="K8" s="718"/>
      <c r="L8" s="718"/>
      <c r="M8" s="719">
        <v>-0.45</v>
      </c>
      <c r="N8" s="720">
        <f t="shared" si="0"/>
        <v>318181.81818181818</v>
      </c>
      <c r="O8" s="721">
        <v>45</v>
      </c>
      <c r="P8" s="711">
        <f t="shared" si="1"/>
        <v>0</v>
      </c>
      <c r="Q8" s="712"/>
      <c r="U8" s="711"/>
      <c r="V8" s="713" t="str">
        <f>IF($W$17=$AE$1,"MÉNĚ NEŽ 1 VK!",IFERROR(VLOOKUP("MÉNĚ NEŽ 1 VK!",Jazyky_ceník!A:Q,MATCH(W17,Jazyky_ceník!A1:Q1,0),FALSE),"!!!"))</f>
        <v>WENIGER ALS 1 KTN!</v>
      </c>
      <c r="W8" s="725" t="str">
        <f>IF($W$17=$AE$1,"Posledních pár kousků skladem.",IFERROR(VLOOKUP("Posledních pár kousků skladem.",Jazyky_ceník!A:Q,MATCH(W17,Jazyky_ceník!A1:Q1,0),FALSE),"!!!"))</f>
        <v xml:space="preserve">Die letzten Stück auf Lager. </v>
      </c>
      <c r="X8" s="725"/>
      <c r="Y8" s="714"/>
      <c r="Z8" s="540"/>
      <c r="AA8" s="570"/>
      <c r="AB8" s="712" t="str">
        <f>IF($W$17=$AE$1,"Máte objednáno",IFERROR(VLOOKUP("Máte objednáno",Jazyky_ceník!A:Q,MATCH(W17,Jazyky_ceník!A1:Q1,0),FALSE),"!!!"))</f>
        <v>Sie bestellen</v>
      </c>
      <c r="AC8" s="715">
        <v>8</v>
      </c>
      <c r="AD8" s="716" t="s">
        <v>2568</v>
      </c>
      <c r="AE8" s="532" t="s">
        <v>8740</v>
      </c>
      <c r="AF8" s="532">
        <v>2</v>
      </c>
      <c r="AG8" s="533"/>
      <c r="AH8" s="527"/>
      <c r="AI8" s="532"/>
      <c r="AJ8" s="529"/>
      <c r="AK8" s="529"/>
      <c r="AL8" s="529"/>
      <c r="AM8" s="529"/>
      <c r="AN8" s="534"/>
    </row>
    <row r="9" spans="1:40" s="535" customFormat="1" ht="12.95" customHeight="1">
      <c r="A9" s="526"/>
      <c r="B9" s="527"/>
      <c r="D9" s="723" t="str">
        <f>IF($W$17=$AE$1,Jazyky_ceník!A80,IFERROR(VLOOKUP(Jazyky_ceník!A80,Jazyky_ceník!A:Q,MATCH($W$17,Jazyky_ceník!$A$1:$Q$1,0),FALSE),"---------------"))</f>
        <v>Rabatte bei ganzjährigem Kauf vom 01.09.2023 bis 31.08.2024</v>
      </c>
      <c r="E9" s="723"/>
      <c r="F9" s="723"/>
      <c r="G9" s="723"/>
      <c r="H9" s="723"/>
      <c r="I9" s="717"/>
      <c r="J9" s="717">
        <v>250000</v>
      </c>
      <c r="K9" s="718"/>
      <c r="L9" s="718"/>
      <c r="M9" s="719">
        <v>-0.48</v>
      </c>
      <c r="N9" s="720">
        <f t="shared" si="0"/>
        <v>480769.23076923075</v>
      </c>
      <c r="O9" s="721">
        <v>48</v>
      </c>
      <c r="P9" s="711">
        <f t="shared" si="1"/>
        <v>0</v>
      </c>
      <c r="Q9" s="712"/>
      <c r="U9" s="711"/>
      <c r="V9" s="713" t="str">
        <f>IF($W$17=$AE$1,"VYPRODÁNO",IFERROR(VLOOKUP("VYPRODÁNO",Jazyky_ceník!A:Q,MATCH(W17,Jazyky_ceník!A1:Q1,0),FALSE),"!!!"))</f>
        <v>AUSVERKAUFT</v>
      </c>
      <c r="W9" s="725" t="str">
        <f>IF($W$17=$AE$1,"Nelze v tuto chvíli objednat.",IFERROR(VLOOKUP("Nelze v tuto chvíli objednat.",Jazyky_ceník!A:Q,MATCH(W17,Jazyky_ceník!A1:Q1,0),FALSE),"!!!"))</f>
        <v>Kann derzeit nicht bestellen.</v>
      </c>
      <c r="X9" s="725"/>
      <c r="Y9" s="714"/>
      <c r="Z9" s="540"/>
      <c r="AA9" s="729"/>
      <c r="AB9" s="712" t="str">
        <f>IF($W$17=$AE$1,"kartonů, které zabalíme na palety.",IFERROR(VLOOKUP("kartonů, které zabalíme na palety.",Jazyky_ceník!A:Q,MATCH(W17,Jazyky_ceník!A1:Q1,0),FALSE),"!!!"))</f>
        <v>Warenkartons, die wir auf Paletten verpacken.</v>
      </c>
      <c r="AC9" s="715">
        <v>9</v>
      </c>
      <c r="AD9" s="716" t="s">
        <v>6495</v>
      </c>
      <c r="AE9" s="532" t="s">
        <v>2865</v>
      </c>
      <c r="AF9" s="532"/>
      <c r="AG9" s="533"/>
      <c r="AH9" s="527"/>
      <c r="AI9" s="532"/>
      <c r="AJ9" s="529"/>
      <c r="AK9" s="529"/>
      <c r="AL9" s="529"/>
      <c r="AM9" s="529"/>
      <c r="AN9" s="534"/>
    </row>
    <row r="10" spans="1:40" s="535" customFormat="1" ht="12.95" customHeight="1">
      <c r="A10" s="526"/>
      <c r="B10" s="527"/>
      <c r="D10" s="723" t="str">
        <f>IF($W$17=$AE$1,Jazyky_ceník!A81,IFERROR(VLOOKUP(Jazyky_ceník!A81,Jazyky_ceník!A:Q,MATCH($W$17,Jazyky_ceník!$A$1:$Q$1,0),FALSE),"---------------"))</f>
        <v>Jeder Kunde erhält einen Rabatt basierend auf einem Einkauf vom 01.09.2022 bis 31.08.2023.</v>
      </c>
      <c r="E10" s="723"/>
      <c r="F10" s="723"/>
      <c r="G10" s="723"/>
      <c r="H10" s="723"/>
      <c r="I10" s="717"/>
      <c r="J10" s="717">
        <v>500000</v>
      </c>
      <c r="K10" s="718"/>
      <c r="L10" s="718"/>
      <c r="M10" s="719">
        <v>-0.5</v>
      </c>
      <c r="N10" s="720">
        <f t="shared" si="0"/>
        <v>1000000</v>
      </c>
      <c r="O10" s="721">
        <v>50</v>
      </c>
      <c r="P10" s="711">
        <f t="shared" si="1"/>
        <v>0</v>
      </c>
      <c r="Q10" s="712"/>
      <c r="U10" s="711"/>
      <c r="V10" s="713" t="str">
        <f>IF($W$17=$AE$1,"NELZE OBJEDNAT!",IFERROR(VLOOKUP("NELZE OBJEDNAT!",Jazyky_ceník!A:Q,MATCH(W17,Jazyky_ceník!A1:Q1,0),FALSE),"!!!"))</f>
        <v>UNMÖGLICH!</v>
      </c>
      <c r="W10" s="730" t="str">
        <f>IF($W$17=$AE$1,"Nelze v tuto chvíli objednat.",IFERROR(VLOOKUP("Nelze v tuto chvíli objednat.",Jazyky_ceník!A:Q,MATCH(W17,Jazyky_ceník!A1:Q1,0),FALSE),"!!!"))</f>
        <v>Kann derzeit nicht bestellen.</v>
      </c>
      <c r="X10" s="730"/>
      <c r="Y10" s="714"/>
      <c r="Z10" s="540"/>
      <c r="AA10" s="570"/>
      <c r="AB10" s="712" t="str">
        <f>IF($W$17=$AE$1,"kartonů zboží s nakládkou na volno.",IFERROR(VLOOKUP("kartonů zboží s nakládkou na volno.",Jazyky_ceník!A:Q,MATCH(W17,Jazyky_ceník!A1:Q1,0),FALSE),"!!!"))</f>
        <v>Warenkartons mit lose verlegt Einladung bestellt.</v>
      </c>
      <c r="AC10" s="715">
        <v>10</v>
      </c>
      <c r="AD10" s="716" t="s">
        <v>6494</v>
      </c>
      <c r="AE10" s="532" t="s">
        <v>9604</v>
      </c>
      <c r="AF10" s="532"/>
      <c r="AG10" s="533"/>
      <c r="AH10" s="527"/>
      <c r="AI10" s="532"/>
      <c r="AJ10" s="529"/>
      <c r="AK10" s="529"/>
      <c r="AL10" s="529"/>
      <c r="AM10" s="529"/>
      <c r="AN10" s="534"/>
    </row>
    <row r="11" spans="1:40" s="535" customFormat="1" ht="12.95" customHeight="1">
      <c r="A11" s="526"/>
      <c r="B11" s="527"/>
      <c r="D11" s="723" t="str">
        <f>IF($W$17=$AE$1,Jazyky_ceník!A82,IFERROR(VLOOKUP(Jazyky_ceník!A82,Jazyky_ceník!A:Q,MATCH($W$17,Jazyky_ceník!$A$1:$Q$1,0),FALSE),"---------------"))</f>
        <v>Sie haben Ihren Rabatt aufgebraucht, indem Sie Ihre Einkaufslimits überschritten haben (Wareneinkäufe summieren sich),</v>
      </c>
      <c r="E11" s="723"/>
      <c r="F11" s="723"/>
      <c r="G11" s="723"/>
      <c r="H11" s="723"/>
      <c r="I11" s="717"/>
      <c r="J11" s="717">
        <v>750000</v>
      </c>
      <c r="K11" s="718"/>
      <c r="L11" s="718"/>
      <c r="M11" s="719">
        <v>-0.52</v>
      </c>
      <c r="N11" s="720">
        <f t="shared" si="0"/>
        <v>1562500</v>
      </c>
      <c r="O11" s="721">
        <v>52</v>
      </c>
      <c r="P11" s="711">
        <f t="shared" si="1"/>
        <v>0</v>
      </c>
      <c r="Q11" s="712"/>
      <c r="U11" s="711"/>
      <c r="V11" s="713"/>
      <c r="W11" s="712" t="s">
        <v>2914</v>
      </c>
      <c r="X11" s="712"/>
      <c r="Y11" s="714"/>
      <c r="Z11" s="540"/>
      <c r="AA11" s="570"/>
      <c r="AB11" s="712" t="str">
        <f>IF($W$17=$AE$1,"Objednáváte položky",IFERROR(VLOOKUP("Objednáváte položky",Jazyky_ceník!A:Q,MATCH(W17,Jazyky_ceník!A1:Q1,0),FALSE),"!!!"))</f>
        <v>Sie bestellen eine Artikeln</v>
      </c>
      <c r="AC11" s="715">
        <v>11</v>
      </c>
      <c r="AD11" s="716" t="s">
        <v>9606</v>
      </c>
      <c r="AE11" s="532" t="s">
        <v>9605</v>
      </c>
      <c r="AF11" s="532"/>
      <c r="AG11" s="533"/>
      <c r="AH11" s="527"/>
      <c r="AI11" s="532"/>
      <c r="AJ11" s="529"/>
      <c r="AK11" s="529"/>
      <c r="AL11" s="529"/>
      <c r="AM11" s="529"/>
      <c r="AN11" s="534"/>
    </row>
    <row r="12" spans="1:40" s="535" customFormat="1" ht="12.95" customHeight="1">
      <c r="A12" s="526"/>
      <c r="B12" s="527"/>
      <c r="D12" s="723" t="str">
        <f>IF($W$17=$AE$1,Jazyky_ceník!A83,IFERROR(VLOOKUP(Jazyky_ceník!A83,Jazyky_ceník!A:Q,MATCH($W$17,Jazyky_ceník!$A$1:$Q$1,0),FALSE),"---------------"))</f>
        <v xml:space="preserve">Sie erhalten den entsprechenden Rabatt für den angegebenen Zeitraum zurück. Warenkauf bedeutet den Betrag ohne Mehrwertsteuer nach Abzug des Skontos. </v>
      </c>
      <c r="E12" s="723"/>
      <c r="F12" s="723"/>
      <c r="G12" s="723"/>
      <c r="H12" s="723"/>
      <c r="I12" s="717"/>
      <c r="J12" s="717">
        <v>1000000</v>
      </c>
      <c r="K12" s="718"/>
      <c r="L12" s="718"/>
      <c r="M12" s="719">
        <v>-0.54</v>
      </c>
      <c r="N12" s="720">
        <f t="shared" si="0"/>
        <v>2173913.0434782607</v>
      </c>
      <c r="O12" s="721">
        <v>54</v>
      </c>
      <c r="P12" s="711">
        <f>IF($AB$2&gt;N12,O12,P11)</f>
        <v>0</v>
      </c>
      <c r="Q12" s="712"/>
      <c r="U12" s="711"/>
      <c r="V12" s="713"/>
      <c r="W12" s="712" t="s">
        <v>2914</v>
      </c>
      <c r="X12" s="712"/>
      <c r="Y12" s="714"/>
      <c r="Z12" s="540"/>
      <c r="AA12" s="570"/>
      <c r="AB12" s="712" t="str">
        <f>IF($W$17=$AE$1,"které nejsou skladem, ostraňte je z objednávky!",IFERROR(VLOOKUP("které nejsou skladem, ostraňte je z objednávky!",Jazyky_ceník!A:Q,MATCH(W17,Jazyky_ceník!A1:Q1,0),FALSE),"!!!"))</f>
        <v>die nicht auf Lager sind, entfernen Sie sie aus der Bestellung!</v>
      </c>
      <c r="AC12" s="715">
        <v>12</v>
      </c>
      <c r="AD12" s="716" t="s">
        <v>13495</v>
      </c>
      <c r="AE12" s="532" t="s">
        <v>9603</v>
      </c>
      <c r="AF12" s="532" t="s">
        <v>2186</v>
      </c>
      <c r="AG12" s="533"/>
      <c r="AH12" s="527"/>
      <c r="AI12" s="532"/>
      <c r="AJ12" s="529"/>
      <c r="AK12" s="529"/>
      <c r="AL12" s="529"/>
      <c r="AM12" s="587"/>
      <c r="AN12" s="534"/>
    </row>
    <row r="13" spans="1:40" s="535" customFormat="1" ht="12.95" customHeight="1">
      <c r="A13" s="526"/>
      <c r="B13" s="527"/>
      <c r="D13" s="723" t="str">
        <f>IF($W$17=$AE$1,Jazyky_ceník!A84,IFERROR(VLOOKUP(Jazyky_ceník!A84,Jazyky_ceník!A:Q,MATCH($W$17,Jazyky_ceník!$A$1:$Q$1,0),FALSE),"---------------"))</f>
        <v>Geben Sie Ihren Rabatt in die Zelle D19 ein, die Preisliste wird automatisch neu berechnet. Der Rabatt berechnet sich auch selbst nach der aktuellen Bestellung.</v>
      </c>
      <c r="E13" s="723"/>
      <c r="F13" s="723"/>
      <c r="G13" s="723"/>
      <c r="H13" s="723"/>
      <c r="I13" s="731"/>
      <c r="J13" s="732"/>
      <c r="K13" s="733" t="s">
        <v>2857</v>
      </c>
      <c r="L13" s="733"/>
      <c r="M13" s="574"/>
      <c r="O13" s="578"/>
      <c r="P13" s="578"/>
      <c r="Q13" s="714"/>
      <c r="R13" s="711"/>
      <c r="S13" s="711"/>
      <c r="T13" s="711"/>
      <c r="U13" s="711"/>
      <c r="V13" s="711"/>
      <c r="W13" s="712" t="s">
        <v>2925</v>
      </c>
      <c r="X13" s="712"/>
      <c r="Y13" s="714"/>
      <c r="Z13" s="540"/>
      <c r="AA13" s="570"/>
      <c r="AB13" s="734" t="s">
        <v>11850</v>
      </c>
      <c r="AC13" s="715">
        <v>13</v>
      </c>
      <c r="AD13" s="716"/>
      <c r="AE13" s="532"/>
      <c r="AF13" s="532" t="s">
        <v>2658</v>
      </c>
      <c r="AG13" s="533" t="s">
        <v>2235</v>
      </c>
      <c r="AH13" s="527"/>
      <c r="AI13" s="532"/>
      <c r="AJ13" s="529"/>
      <c r="AK13" s="529"/>
      <c r="AL13" s="529"/>
      <c r="AM13" s="529"/>
      <c r="AN13" s="534"/>
    </row>
    <row r="14" spans="1:40" s="535" customFormat="1" ht="15" customHeight="1">
      <c r="A14" s="540"/>
      <c r="B14" s="527"/>
      <c r="E14" s="530"/>
      <c r="F14" s="537"/>
      <c r="G14" s="528"/>
      <c r="H14" s="541"/>
      <c r="I14" s="542"/>
      <c r="J14" s="537"/>
      <c r="K14" s="543"/>
      <c r="L14" s="527"/>
      <c r="M14" s="537"/>
      <c r="N14" s="529"/>
      <c r="O14" s="536"/>
      <c r="P14" s="536"/>
      <c r="Q14" s="544"/>
      <c r="R14" s="545"/>
      <c r="S14" s="545"/>
      <c r="T14" s="545"/>
      <c r="U14" s="545"/>
      <c r="V14" s="545"/>
      <c r="W14" s="546"/>
      <c r="X14" s="546"/>
      <c r="Y14" s="544"/>
      <c r="Z14" s="547"/>
      <c r="AA14" s="548"/>
      <c r="AB14" s="549"/>
      <c r="AC14" s="550">
        <v>14</v>
      </c>
      <c r="AD14" s="551"/>
      <c r="AE14" s="548"/>
      <c r="AF14" s="548" t="s">
        <v>2659</v>
      </c>
      <c r="AG14" s="552" t="s">
        <v>2657</v>
      </c>
      <c r="AH14" s="527"/>
      <c r="AI14" s="532"/>
      <c r="AN14" s="553"/>
    </row>
    <row r="15" spans="1:40" s="535" customFormat="1" ht="15" customHeight="1">
      <c r="A15" s="540"/>
      <c r="B15" s="527"/>
      <c r="C15" s="530"/>
      <c r="E15" s="530"/>
      <c r="F15" s="537"/>
      <c r="G15" s="528"/>
      <c r="H15" s="541"/>
      <c r="I15" s="542"/>
      <c r="J15" s="537"/>
      <c r="K15" s="543"/>
      <c r="L15" s="527"/>
      <c r="M15" s="531" t="s">
        <v>2746</v>
      </c>
      <c r="N15" s="529"/>
      <c r="O15" s="536"/>
      <c r="P15" s="536"/>
      <c r="Q15" s="544" t="s">
        <v>2747</v>
      </c>
      <c r="R15" s="545"/>
      <c r="S15" s="545"/>
      <c r="T15" s="545"/>
      <c r="U15" s="545"/>
      <c r="V15" s="545"/>
      <c r="W15" s="546"/>
      <c r="X15" s="546"/>
      <c r="Y15" s="588"/>
      <c r="Z15" s="547"/>
      <c r="AA15" s="548"/>
      <c r="AB15" s="554"/>
      <c r="AC15" s="554"/>
      <c r="AD15" s="555"/>
      <c r="AE15" s="548"/>
      <c r="AF15" s="548"/>
      <c r="AG15" s="552"/>
      <c r="AH15" s="527"/>
      <c r="AI15" s="532"/>
      <c r="AN15" s="553"/>
    </row>
    <row r="16" spans="1:40" ht="15" customHeight="1">
      <c r="A16" s="556" t="s">
        <v>11709</v>
      </c>
      <c r="B16" s="557"/>
      <c r="C16" s="714" t="str">
        <f>A17</f>
        <v>Verkauf pro Verpackung</v>
      </c>
      <c r="E16" s="735"/>
      <c r="F16" s="736" t="str">
        <f>D7</f>
        <v>SENDEN SIE ALLE BESTELLUNGEN NUR AN DIE E-MAIL-ADRESSE:</v>
      </c>
      <c r="G16" s="737" t="str">
        <f>E8</f>
        <v>info@klasekpyrotechnics.cz</v>
      </c>
      <c r="H16" s="738"/>
      <c r="I16" s="739"/>
      <c r="J16" s="574"/>
      <c r="K16" s="740"/>
      <c r="L16" s="741"/>
      <c r="M16" s="742" t="str">
        <f>IF($W$17=$AE$1,"Slevový systém na řádku 1509",IFERROR(VLOOKUP("Slevový systém na řádku 1509",Jazyky_ceník!A:Q,MATCH(W17,Jazyky_ceník!A1:Q1,0),FALSE),"---------------"))</f>
        <v>Rabattsystem auf Linie 1509</v>
      </c>
      <c r="N16" s="724"/>
      <c r="O16" s="743"/>
      <c r="P16" s="744"/>
      <c r="Q16" s="714"/>
      <c r="R16" s="711"/>
      <c r="S16" s="711"/>
      <c r="T16" s="735"/>
      <c r="U16" s="735"/>
      <c r="V16" s="573"/>
      <c r="W16" s="741"/>
      <c r="X16" s="741"/>
      <c r="Y16" s="737"/>
      <c r="Z16" s="540"/>
      <c r="AA16" s="745"/>
      <c r="AB16" s="746"/>
      <c r="AC16" s="586"/>
      <c r="AD16" s="747"/>
      <c r="AE16" s="559"/>
      <c r="AF16" s="559"/>
      <c r="AG16" s="560"/>
      <c r="AH16" s="558"/>
      <c r="AI16" s="561"/>
      <c r="AN16" s="534"/>
    </row>
    <row r="17" spans="1:47" ht="15" customHeight="1">
      <c r="A17" s="1204" t="str">
        <f>IF($W$17=$AE$1,"Prodej po kusech",IFERROR(VLOOKUP("Prodej po kusech",Jazyky_ceník!A:Q,MATCH($W$17,Jazyky_ceník!A1:Q1,0),FALSE),"---------------"))</f>
        <v>Verkauf pro Verpackung</v>
      </c>
      <c r="B17" s="557" t="s">
        <v>12031</v>
      </c>
      <c r="C17" s="1210" t="str">
        <f>IF($W$17=$AE$1,Jazyky_ceník!A25,IFERROR(VLOOKUP(Jazyky_ceník!A25,Jazyky_ceník!A:Q,MATCH(W17,Jazyky_ceník!A1:Q1,0),FALSE),"---------------"))</f>
        <v>Katalognummer</v>
      </c>
      <c r="D17" s="1178" t="str">
        <f>IF($W$17=$AE$1,"Název produktu",IFERROR(VLOOKUP("Název produktu",Jazyky_ceník!A:Q,MATCH(W17,Jazyky_ceník!A1:Q1,0),FALSE),"---------------"))</f>
        <v>Produktname</v>
      </c>
      <c r="E17" s="1210" t="str">
        <f>IF($W$17=$AE$1,"Balení v kartonu",IFERROR(VLOOKUP("Balení v kartonu",Jazyky_ceník!A:Q,MATCH(W17,Jazyky_ceník!A1:Q1,0),FALSE),"---------------"))</f>
        <v>Verpackung im Karton</v>
      </c>
      <c r="F17" s="748" t="str">
        <f>IF($W$17=$AE$1,"Cena v CZK",IFERROR(VLOOKUP("Cena v CZK",Jazyky_ceník!A:Q,MATCH(W17,Jazyky_ceník!A1:Q1,0),FALSE),"!!!"))</f>
        <v>Preis in CZK</v>
      </c>
      <c r="G17" s="749" t="str">
        <f>IF($W$17=$AE$1,"Cena v CZK",IFERROR(VLOOKUP("Cena v CZK",Jazyky_ceník!A:Q,MATCH(W17,Jazyky_ceník!A1:Q1,0),FALSE),"!!!"))</f>
        <v>Preis in CZK</v>
      </c>
      <c r="H17" s="750" t="str">
        <f>IF($W$17=$AE$1,"Cena EUR",IFERROR(VLOOKUP("Cena EUR",Jazyky_ceník!A:Q,MATCH(W17,Jazyky_ceník!A1:Q1,0),FALSE),"!!!"))</f>
        <v>Preis in EUR</v>
      </c>
      <c r="I17" s="749" t="s">
        <v>2182</v>
      </c>
      <c r="J17" s="1204" t="str">
        <f>IF($W$17=$AE$1,"Kategorie",IFERROR(VLOOKUP("Kategorie",Jazyky_ceník!A:Q,MATCH(W17,Jazyky_ceník!A1:Q1,0),FALSE),"---------------"))</f>
        <v>Kat.</v>
      </c>
      <c r="K17" s="751" t="s">
        <v>11613</v>
      </c>
      <c r="L17" s="751" t="s">
        <v>2223</v>
      </c>
      <c r="M17" s="1204" t="s">
        <v>12098</v>
      </c>
      <c r="N17" s="553" t="s">
        <v>3</v>
      </c>
      <c r="O17" s="553" t="s">
        <v>4</v>
      </c>
      <c r="P17" s="553" t="s">
        <v>2216</v>
      </c>
      <c r="Q17" s="1178" t="str">
        <f>IF($W$17=$AE$1,"Jazykové mutace",IFERROR(VLOOKUP("Jazykové mutace",Jazyky_ceník!A:Q,MATCH(W17,Jazyky_ceník!A1:Q1,0),FALSE),"---------------"))</f>
        <v>Sprachmutation Anwiesung</v>
      </c>
      <c r="R17" s="1178"/>
      <c r="S17" s="553" t="str">
        <f>IF($W$17=$AE$1,"Vrchní strana",IFERROR(VLOOKUP("Design",Jazyky_ceník!A:Q,MATCH(W17,Jazyky_ceník!A1:Q1,0),FALSE),"!!!"))</f>
        <v>Entwurf</v>
      </c>
      <c r="T17" s="553" t="str">
        <f>IF($W$17=$AE$1,"Trvání efektu",IFERROR(VLOOKUP("Trvání efektu",Jazyky_ceník!A:Q,MATCH(W17,Jazyky_ceník!A1:Q1,0),FALSE),"!!!"))</f>
        <v>Dauerzeit</v>
      </c>
      <c r="U17" s="1178" t="s">
        <v>2254</v>
      </c>
      <c r="V17" s="1178" t="s">
        <v>7</v>
      </c>
      <c r="W17" s="1211" t="str">
        <f>LOWER(VLOOKUP(AB7,AC1:AE14,3,FALSE))</f>
        <v>deutsch</v>
      </c>
      <c r="X17" s="752"/>
      <c r="Y17" s="553"/>
      <c r="Z17" s="1204" t="str">
        <f>IF($W$17=$AE$1,"Počet kartonů na paletě",IFERROR(VLOOKUP("Počet kartonů na paletě",Jazyky_ceník!A:Q,MATCH(W17,Jazyky_ceník!A1:Q1,0),FALSE),"---------------"))</f>
        <v>Karton menge
pro
Palette</v>
      </c>
      <c r="AA17" s="1210" t="str">
        <f>IF($W$17=$AE$1,"Objednáno kartonů",IFERROR(VLOOKUP("Objednáno kartonů",Jazyky_ceník!A:Q,MATCH(W17,Jazyky_ceník!A1:Q1,0),FALSE),"---------------"))</f>
        <v>Bestellte Kartons</v>
      </c>
      <c r="AB17" s="590" t="s">
        <v>2184</v>
      </c>
      <c r="AC17" s="1210" t="str">
        <f>IF($W$17=$AE$1,"Skladová dostupnost",IFERROR(VLOOKUP("Skladová dostupnost",Jazyky_ceník!A:Q,MATCH(W17,Jazyky_ceník!A1:Q1,0),FALSE),"---------------"))</f>
        <v>Verfügbar im Lager</v>
      </c>
      <c r="AD17" s="1178" t="str">
        <f>IF($W$17=$AE$1,"Skladová dostupnost",IFERROR(VLOOKUP("Skladová dostupnost",Jazyky_ceník!A:Q,MATCH(W17,Jazyky_ceník!A1:Q1,0),FALSE),"---------------"))</f>
        <v>Verfügbar im Lager</v>
      </c>
      <c r="AE17" s="589" t="str">
        <f>IF($W$17=$AE$1,"celkem",IFERROR(VLOOKUP("celkem",Jazyky_ceník!A:Q,MATCH(W17,Jazyky_ceník!A1:Q1,0),FALSE),"!!!"))</f>
        <v>insgesamt</v>
      </c>
      <c r="AF17" s="589" t="str">
        <f>IF($W$17=$AE$1,"celkem",IFERROR(VLOOKUP("celkem",Jazyky_ceník!A:Q,MATCH(W17,Jazyky_ceník!A1:Q1,0),FALSE),"!!!"))</f>
        <v>insgesamt</v>
      </c>
      <c r="AG17" s="591" t="str">
        <f>IF($W$17=$AE$1,"celkem",IFERROR(VLOOKUP("celkem",Jazyky_ceník!A:Q,MATCH(W17,Jazyky_ceník!A1:Q1,0),FALSE),"!!!"))</f>
        <v>insgesamt</v>
      </c>
      <c r="AH17" s="1205" t="str">
        <f>IF($W$17=$AE$1,"celkem",IFERROR(VLOOKUP("celkem",Jazyky_ceník!A:Q,MATCH($W$17,Jazyky_ceník!A1:Q1,0),FALSE),"---------------"))&amp;" "&amp;AH609</f>
        <v>insgesamt [kg]</v>
      </c>
      <c r="AI17" s="1205" t="str">
        <f>IF($W$17=$AE$1,"celkem",IFERROR(VLOOKUP("celkem",Jazyky_ceník!A:Q,MATCH($W$17,Jazyky_ceník!A1:Q1,0),FALSE),"---------------"))&amp;" "&amp;AI609</f>
        <v>insgesamt [m3]</v>
      </c>
      <c r="AJ17" s="1205" t="s">
        <v>2906</v>
      </c>
      <c r="AK17" s="1205" t="s">
        <v>2907</v>
      </c>
      <c r="AL17" s="1205" t="s">
        <v>2908</v>
      </c>
      <c r="AM17" s="1205" t="str">
        <f>IF($W$17=$AE$1,"Celkem
NEM [kg]",IFERROR(VLOOKUP("Celkem
NEM [kg]",Jazyky_ceník!A:Q,MATCH(W17,Jazyky_ceník!A1:Q1,0),FALSE),"---------------"))</f>
        <v>insgesamt
NEM [kg]</v>
      </c>
      <c r="AN17" s="534"/>
      <c r="AO17" s="553"/>
      <c r="AP17" s="553"/>
    </row>
    <row r="18" spans="1:47" ht="15" customHeight="1">
      <c r="A18" s="1204"/>
      <c r="B18" s="557" t="s">
        <v>15</v>
      </c>
      <c r="C18" s="1210"/>
      <c r="D18" s="1178"/>
      <c r="E18" s="1210"/>
      <c r="F18" s="748" t="str">
        <f>IF($W$17=$AE$1,"před slevou",IFERROR(VLOOKUP("před slevou",Jazyky_ceník!A:Q,MATCH(W17,Jazyky_ceník!A1:Q1,0),FALSE),"!!!"))</f>
        <v>vor dem Rabatt</v>
      </c>
      <c r="G18" s="749" t="str">
        <f>IF($W$17=$AE$1,"po slevě",IFERROR(VLOOKUP("po slevě",Jazyky_ceník!A:Q,MATCH(W17,Jazyky_ceník!A1:Q1,0),FALSE),"!!!"))</f>
        <v>nach dem Rabatt</v>
      </c>
      <c r="H18" s="750" t="str">
        <f>IF($W$17=$AE$1,"po slevě",IFERROR(VLOOKUP("po slevě",Jazyky_ceník!A:Q,MATCH(W17,Jazyky_ceník!A1:Q1,0),FALSE),"!!!"))</f>
        <v>nach dem Rabatt</v>
      </c>
      <c r="I18" s="749" t="s">
        <v>2183</v>
      </c>
      <c r="J18" s="1204"/>
      <c r="K18" s="751" t="s">
        <v>11614</v>
      </c>
      <c r="L18" s="751" t="s">
        <v>17</v>
      </c>
      <c r="M18" s="1204"/>
      <c r="N18" s="553" t="s">
        <v>2214</v>
      </c>
      <c r="O18" s="553" t="s">
        <v>2215</v>
      </c>
      <c r="P18" s="553" t="s">
        <v>2217</v>
      </c>
      <c r="Q18" s="553" t="str">
        <f>IF($W$17=$AE$1,"velkého balení",IFERROR(VLOOKUP("velkého balení",Jazyky_ceník!A:Q,MATCH(W17,Jazyky_ceník!A1:Q1,0),FALSE),"!!!"))</f>
        <v>an der grosser Pack</v>
      </c>
      <c r="R18" s="553" t="str">
        <f>IF($W$17=$AE$1,"malého balení",IFERROR(VLOOKUP("malého balení",Jazyky_ceník!A:Q,MATCH(W17,Jazyky_ceník!A1:Q1,0),FALSE),"!!!"))</f>
        <v>an der kleiner Pack</v>
      </c>
      <c r="S18" s="553" t="str">
        <f>IF($W$17=$AE$1,"baterie",IFERROR(VLOOKUP("horního víka",Jazyky_ceník!A:Q,MATCH(W17,Jazyky_ceník!A1:Q1,0),FALSE),"!!!"))</f>
        <v>Oberseite</v>
      </c>
      <c r="T18" s="553" t="str">
        <f>IF($W$17=$AE$1,"čas v sekundách",IFERROR(VLOOKUP("čas v sekundách",Jazyky_ceník!A:Q,MATCH(W17,Jazyky_ceník!A1:Q1,0),FALSE),"!!!"))</f>
        <v>in s</v>
      </c>
      <c r="U18" s="1178"/>
      <c r="V18" s="1178"/>
      <c r="W18" s="1211"/>
      <c r="X18" s="752"/>
      <c r="Y18" s="553"/>
      <c r="Z18" s="1204"/>
      <c r="AA18" s="1210"/>
      <c r="AB18" s="590" t="s">
        <v>2185</v>
      </c>
      <c r="AC18" s="1210"/>
      <c r="AD18" s="1178"/>
      <c r="AE18" s="589" t="s">
        <v>2658</v>
      </c>
      <c r="AF18" s="589" t="str">
        <f>IF(W17=AE8,"PLN","CZK")</f>
        <v>CZK</v>
      </c>
      <c r="AG18" s="591" t="str">
        <f>IF(W17=AE8,"PLN","EUR")</f>
        <v>EUR</v>
      </c>
      <c r="AH18" s="1206"/>
      <c r="AI18" s="1205"/>
      <c r="AJ18" s="1206"/>
      <c r="AK18" s="1206"/>
      <c r="AL18" s="1206"/>
      <c r="AM18" s="1206"/>
      <c r="AN18" s="534"/>
      <c r="AO18" s="553"/>
      <c r="AP18" s="553"/>
    </row>
    <row r="19" spans="1:47" ht="15" customHeight="1">
      <c r="A19" s="592" t="s">
        <v>2676</v>
      </c>
      <c r="B19" s="547">
        <f>(100-D19)/100</f>
        <v>1</v>
      </c>
      <c r="C19" s="750" t="str">
        <f>IF($W$17=$AE$1,"Sleva v %",IFERROR(VLOOKUP("Sleva v %",Jazyky_ceník!A:Q,MATCH(W17,Jazyky_ceník!A1:Q1,0),FALSE),"!!!"))</f>
        <v>Rabatt</v>
      </c>
      <c r="D19" s="753">
        <f>Q12</f>
        <v>0</v>
      </c>
      <c r="E19" s="754" t="str">
        <f>IF($W$17=$AE$1,"Kurz",IFERROR(VLOOKUP("Kurz",Jazyky_ceník!A:Q,MATCH(W17,Jazyky_ceník!A1:Q1,0),FALSE),"!!!"))&amp;":"</f>
        <v>Kurs:</v>
      </c>
      <c r="F19" s="755">
        <f>Act_Kurs!F1</f>
        <v>24.579000000000001</v>
      </c>
      <c r="G19" s="1202" t="str">
        <f>IF($W$17=$AE$1,"(vyplňuje se automaticky)",IFERROR(VLOOKUP("(vyplňuje se automaticky)",Jazyky_ceník!A:Q,MATCH(W17,Jazyky_ceník!A1:Q1,0),FALSE),"---------------"))</f>
        <v>(wird automatisch ausgefüllt)</v>
      </c>
      <c r="H19" s="1202"/>
      <c r="I19" s="1202"/>
      <c r="J19" s="1202"/>
      <c r="K19" s="756"/>
      <c r="L19" s="756"/>
      <c r="M19" s="1201" t="str">
        <f>IF($W$17=$AE$1,"Datum aktualizace ceníku:",IFERROR(VLOOKUP("Datum aktualizace ceníku:",Jazyky_ceník!A:Q,MATCH(W17,Jazyky_ceník!A1:Q1,0),FALSE),"---------------"))</f>
        <v>Aktualisierungsdatum der Preisliste:</v>
      </c>
      <c r="N19" s="1201"/>
      <c r="O19" s="1201"/>
      <c r="P19" s="1201"/>
      <c r="Q19" s="1201"/>
      <c r="R19" s="1203">
        <f>IFERROR(VLOOKUP("Datum:",[1]List1!$A:$D,2,FALSE),"Pozor! Ceník je offline!")</f>
        <v>45343.466064814813</v>
      </c>
      <c r="S19" s="1203"/>
      <c r="T19" s="1203"/>
      <c r="U19" s="1203"/>
      <c r="V19" s="1203"/>
      <c r="W19" s="553" t="str">
        <f>IF($W$17=$AE$1,"Popis efektu",IFERROR(VLOOKUP("Popis efektu",Jazyky_ceník!A:Q,MATCH(W17,Jazyky_ceník!A1:Q1,0),FALSE),"!!!"))</f>
        <v>Effekte Beschreibung</v>
      </c>
      <c r="X19" s="553"/>
      <c r="Y19" s="757"/>
      <c r="Z19" s="1204"/>
      <c r="AA19" s="1210"/>
      <c r="AB19" s="593"/>
      <c r="AC19" s="1210"/>
      <c r="AD19" s="1178"/>
      <c r="AE19" s="594" t="str">
        <f>IF($W$17=$AE$1,"(bez DPH)",IFERROR(VLOOKUP("(bez DPH)",Jazyky_ceník!A:Q,MATCH(W17,Jazyky_ceník!A1:Q1,0),FALSE),"!!!"))</f>
        <v>(ohne MWSt.)</v>
      </c>
      <c r="AF19" s="594" t="str">
        <f>IF($W$17=$AE$1,"(vč. DPH)",IFERROR(VLOOKUP("(vč. DPH)",Jazyky_ceník!A:Q,MATCH(W17,Jazyky_ceník!A1:Q1,0),FALSE),"!!!"))</f>
        <v>(mit MWSt.)</v>
      </c>
      <c r="AG19" s="594" t="str">
        <f>IF($W$17=$AE$1,"(bez DPH)",IFERROR(VLOOKUP("(bez DPH)",Jazyky_ceník!A:Q,MATCH(W17,Jazyky_ceník!A1:Q1,0),FALSE),"!!!"))</f>
        <v>(ohne MWSt.)</v>
      </c>
      <c r="AH19" s="1206"/>
      <c r="AI19" s="1205"/>
      <c r="AJ19" s="1206"/>
      <c r="AK19" s="1206"/>
      <c r="AL19" s="1206"/>
      <c r="AM19" s="1206"/>
      <c r="AN19" s="562"/>
      <c r="AO19" s="563"/>
      <c r="AP19" s="563"/>
    </row>
    <row r="20" spans="1:47" ht="13.5" customHeight="1">
      <c r="A20" s="595"/>
      <c r="B20" s="595"/>
      <c r="C20" s="651"/>
      <c r="D20" s="652" t="s">
        <v>12143</v>
      </c>
      <c r="E20" s="653" t="s">
        <v>12144</v>
      </c>
      <c r="F20" s="595" t="s">
        <v>2658</v>
      </c>
      <c r="G20" s="597" t="s">
        <v>12145</v>
      </c>
      <c r="H20" s="597" t="s">
        <v>12146</v>
      </c>
      <c r="I20" s="652" t="s">
        <v>12162</v>
      </c>
      <c r="J20" s="654" t="s">
        <v>12147</v>
      </c>
      <c r="K20" s="653" t="s">
        <v>12163</v>
      </c>
      <c r="L20" s="653"/>
      <c r="M20" s="653" t="s">
        <v>12098</v>
      </c>
      <c r="N20" s="597" t="s">
        <v>3</v>
      </c>
      <c r="O20" s="597" t="s">
        <v>12164</v>
      </c>
      <c r="P20" s="597" t="s">
        <v>12165</v>
      </c>
      <c r="Q20" s="653" t="s">
        <v>12148</v>
      </c>
      <c r="R20" s="655" t="s">
        <v>12149</v>
      </c>
      <c r="S20" s="655" t="s">
        <v>12150</v>
      </c>
      <c r="T20" s="655" t="s">
        <v>12151</v>
      </c>
      <c r="U20" s="598" t="s">
        <v>12152</v>
      </c>
      <c r="V20" s="655" t="s">
        <v>13195</v>
      </c>
      <c r="W20" s="595" t="s">
        <v>12154</v>
      </c>
      <c r="X20" s="595"/>
      <c r="Y20" s="595"/>
      <c r="Z20" s="597" t="s">
        <v>12155</v>
      </c>
      <c r="AA20" s="595"/>
      <c r="AB20" s="598" t="s">
        <v>12166</v>
      </c>
      <c r="AC20" s="598"/>
      <c r="AD20" s="597" t="s">
        <v>12142</v>
      </c>
      <c r="AE20" s="595" t="s">
        <v>12156</v>
      </c>
      <c r="AF20" s="595" t="s">
        <v>12157</v>
      </c>
      <c r="AG20" s="596" t="s">
        <v>12158</v>
      </c>
      <c r="AH20" s="595" t="s">
        <v>12159</v>
      </c>
      <c r="AI20" s="595" t="s">
        <v>12160</v>
      </c>
      <c r="AJ20" s="595">
        <v>11</v>
      </c>
      <c r="AK20" s="595">
        <v>13</v>
      </c>
      <c r="AL20" s="595">
        <v>14</v>
      </c>
      <c r="AM20" s="595" t="s">
        <v>12161</v>
      </c>
      <c r="AN20" s="564"/>
      <c r="AO20" s="565" t="s">
        <v>12135</v>
      </c>
      <c r="AP20" s="565" t="s">
        <v>12136</v>
      </c>
      <c r="AQ20" s="292" t="s">
        <v>12137</v>
      </c>
    </row>
    <row r="21" spans="1:47" s="958" customFormat="1" ht="15.75" customHeight="1">
      <c r="A21" s="959" t="str">
        <f>Kat.!$B$1&amp;Kat.!B21</f>
        <v>Kinder - Pyrotechnik</v>
      </c>
      <c r="B21" s="955"/>
      <c r="C21" s="955"/>
      <c r="D21" s="955"/>
      <c r="E21" s="955"/>
      <c r="F21" s="956"/>
      <c r="G21" s="955"/>
      <c r="H21" s="955"/>
      <c r="I21" s="955"/>
      <c r="J21" s="955"/>
      <c r="K21" s="955"/>
      <c r="L21" s="955"/>
      <c r="M21" s="955"/>
      <c r="N21" s="955"/>
      <c r="O21" s="955"/>
      <c r="P21" s="955"/>
      <c r="Q21" s="955"/>
      <c r="R21" s="955"/>
      <c r="S21" s="955"/>
      <c r="T21" s="955"/>
      <c r="U21" s="955"/>
      <c r="V21" s="955"/>
      <c r="W21" s="955"/>
      <c r="X21" s="955"/>
      <c r="Y21" s="955"/>
      <c r="Z21" s="955"/>
      <c r="AA21" s="955"/>
      <c r="AB21" s="955"/>
      <c r="AC21" s="955"/>
      <c r="AD21" s="955"/>
      <c r="AE21" s="955"/>
      <c r="AF21" s="955"/>
      <c r="AG21" s="955"/>
      <c r="AH21" s="955"/>
      <c r="AI21" s="955"/>
      <c r="AJ21" s="955"/>
      <c r="AK21" s="955"/>
      <c r="AL21" s="955"/>
      <c r="AM21" s="955"/>
      <c r="AN21" s="957"/>
      <c r="AR21" s="958" t="e">
        <f>VLOOKUP("X",$AR$22:$AS$604,2,FALSE)</f>
        <v>#N/A</v>
      </c>
      <c r="AT21" s="958" t="str">
        <f>IF(AND($AK$3=2,AQ22="",AA22&lt;&gt;""),AC22,"")</f>
        <v/>
      </c>
    </row>
    <row r="22" spans="1:47" ht="15" customHeight="1">
      <c r="A22" s="601" t="str">
        <f>Kat.!B22</f>
        <v/>
      </c>
      <c r="B22" s="601">
        <f>IF(OR(L22="ZUGEWIESEN",AND(C22&lt;&gt;"",M22="")),1,IF(AB22=$V$3,1,0))</f>
        <v>1</v>
      </c>
      <c r="C22" s="758" t="s">
        <v>20</v>
      </c>
      <c r="D22" s="759"/>
      <c r="E22" s="760"/>
      <c r="F22" s="761"/>
      <c r="G22" s="762"/>
      <c r="H22" s="596"/>
      <c r="I22" s="763"/>
      <c r="J22" s="764"/>
      <c r="K22" s="954"/>
      <c r="L22" s="766"/>
      <c r="M22" s="764"/>
      <c r="N22" s="767"/>
      <c r="O22" s="763"/>
      <c r="P22" s="763"/>
      <c r="Q22" s="764"/>
      <c r="R22" s="764"/>
      <c r="S22" s="764"/>
      <c r="T22" s="761"/>
      <c r="U22" s="768"/>
      <c r="V22" s="768"/>
      <c r="W22" s="769" t="str">
        <f>IFERROR(VLOOKUP($C22,Popisy!A:P,MATCH($W$17,Popisy!$A$7:$P$7,0),FALSE),"---------------")</f>
        <v>Rotierender rot-grün-gelber Effekt - Bodeneffekt</v>
      </c>
      <c r="X22" s="769" t="str">
        <f t="shared" ref="X22:X55" si="2">IF(AA22&lt;0.0001,"",AA22)</f>
        <v/>
      </c>
      <c r="Y22" s="1027">
        <f>IF(OR(AP22&lt;AA22,AND(NOT(OR(LEFT(AB22,3)="SKL",LEFT(AB22,3)=LEFT($V$2,3))),AA22&gt;0),AND('Deutsche Markt'!$AH$1=FALSE,J22="F4",AA22&gt;0)),"",AA22)</f>
        <v>0</v>
      </c>
      <c r="Z22" s="769"/>
      <c r="AA22" s="771">
        <f>'Deutsche Markt'!AA22</f>
        <v>0</v>
      </c>
      <c r="AB22" s="772" t="str">
        <f>IFERROR(IF(VLOOKUP(C22,[1]List1!$A:$D,2,FALSE)="VYPRODÁNO",$V$9,IF(VLOOKUP(C22,[1]List1!$A:$D,2,FALSE)="DOCHÁZÍ",$V$3,VLOOKUP(C22,[1]List1!$A:$D,2,FALSE))),"OFFLINE!")</f>
        <v>15.03.2024</v>
      </c>
      <c r="AC22" s="772" t="str">
        <f ca="1">IF(AO22="NE",$V$10,IF(AB22=$V$3,IF(AP22&lt;1,$V$8,$V$2&amp;" "&amp;AP22&amp;" "&amp;$V$1),IF(AB22="SKLADEM",$V$6,IFERROR(IF(OR(AB22-TODAY()&gt;21,VLOOKUP(C22,[1]List1!$A:$E,4,FALSE)=0),AB22,DAY(AB22)&amp;"."&amp;MONTH(AB22)&amp;"."&amp;YEAR(AB22)&amp;" "&amp;$V$4&amp;VLOOKUP(C22,[1]List1!$A:$E,4,FALSE)&amp;" "&amp;$V$1),AB22))))</f>
        <v>15.3.2024 KOMMT 100+ KTN</v>
      </c>
      <c r="AD22" s="772" t="str">
        <f ca="1">IFERROR(IF(AU22&lt;&gt;"",AU22,AC22),AC22)</f>
        <v>15.3.2024 KOMMT 100+ KTN</v>
      </c>
      <c r="AE22" s="605"/>
      <c r="AF22" s="605"/>
      <c r="AG22" s="615"/>
      <c r="AH22" s="616"/>
      <c r="AI22" s="615"/>
      <c r="AJ22" s="617"/>
      <c r="AK22" s="617"/>
      <c r="AL22" s="617"/>
      <c r="AM22" s="617"/>
      <c r="AO22" s="567" t="str">
        <f t="shared" ref="AO22:AO55" si="3">IF($AK$3=1,IF(Y22=AA22,"","NE"),IF(AQ22=$V$10,"NE",""))</f>
        <v/>
      </c>
      <c r="AP22" s="568" t="str">
        <f>IF(AB22=$V$3,IF(VLOOKUP(C22,[1]List1!$A:$E,5,FALSE)=0,1,VLOOKUP(C22,[1]List1!$A:$E,5,FALSE)),"")</f>
        <v/>
      </c>
      <c r="AQ22" s="292" t="str">
        <f t="shared" ref="AQ22:AQ55" si="4">IF($AK$3=1,"",IF(OR(AA22&lt;&gt;"",AA22&lt;&gt;0),IF(OR(AB22=$V$6,AB22=$V$3,AB22=$V$9),$V$10,""),""))</f>
        <v/>
      </c>
      <c r="AR22" s="618" t="str">
        <f t="shared" ref="AR22:AR55" si="5">IF(AS22&lt;&gt;"","X","")</f>
        <v/>
      </c>
      <c r="AS22" s="619" t="str">
        <f t="shared" ref="AS22:AS55" si="6">IF(AND($AK$3=2,AQ22="",AA22&lt;&gt;""),AC22,"")</f>
        <v/>
      </c>
      <c r="AT22" s="377" t="e">
        <f t="shared" ref="AT22:AT55" si="7">IF(AS22=$AR$21,AA22,"")</f>
        <v>#N/A</v>
      </c>
      <c r="AU22" s="292" t="e">
        <f>IF(OR(AA22="",AND(AS22&lt;&gt;"",AT22&lt;&gt;"")),"",$V$10)</f>
        <v>#N/A</v>
      </c>
    </row>
    <row r="23" spans="1:47" ht="15" customHeight="1">
      <c r="A23" s="601" t="str">
        <f>Kat.!B23</f>
        <v>x</v>
      </c>
      <c r="B23" s="601">
        <f t="shared" ref="B23:B86" si="8">IF(OR(L23="ZUGEWIESEN",AND(C23&lt;&gt;"",M23="")),1,IF(AB23=$V$3,1,0))</f>
        <v>1</v>
      </c>
      <c r="C23" s="758" t="s">
        <v>29</v>
      </c>
      <c r="D23" s="759"/>
      <c r="E23" s="760"/>
      <c r="F23" s="761"/>
      <c r="G23" s="762"/>
      <c r="H23" s="596"/>
      <c r="I23" s="763"/>
      <c r="J23" s="764"/>
      <c r="K23" s="773"/>
      <c r="L23" s="766"/>
      <c r="M23" s="764"/>
      <c r="N23" s="767"/>
      <c r="O23" s="763"/>
      <c r="P23" s="763"/>
      <c r="Q23" s="764"/>
      <c r="R23" s="764"/>
      <c r="S23" s="764"/>
      <c r="T23" s="761"/>
      <c r="U23" s="768"/>
      <c r="V23" s="768"/>
      <c r="W23" s="769" t="str">
        <f>IFERROR(VLOOKUP('General price list'!$C23,Popisy!A:P,MATCH($W$17,Popisy!$A$7:$P$7,0),FALSE),"---------------")</f>
        <v>Rotierender rot-grün-gelber Effekt - Bodeneffekt</v>
      </c>
      <c r="X23" s="769" t="str">
        <f t="shared" si="2"/>
        <v/>
      </c>
      <c r="Y23" s="1027">
        <f>IF(OR(AP23&lt;AA23,AND(NOT(OR(LEFT(AB23,3)="SKL",LEFT(AB23,3)=LEFT($V$2,3))),AA23&gt;0),AND('Deutsche Markt'!$AH$1=FALSE,J23="F4",AA23&gt;0)),"",AA23)</f>
        <v>0</v>
      </c>
      <c r="Z23" s="769"/>
      <c r="AA23" s="771">
        <f>'Deutsche Markt'!AA23</f>
        <v>0</v>
      </c>
      <c r="AB23" s="772" t="str">
        <f>IFERROR(IF(VLOOKUP(C23,[1]List1!$A:$D,2,FALSE)="VYPRODÁNO",$V$9,IF(VLOOKUP(C23,[1]List1!$A:$D,2,FALSE)="DOCHÁZÍ",$V$3,VLOOKUP(C23,[1]List1!$A:$D,2,FALSE))),"OFFLINE!")</f>
        <v>15.03.2024</v>
      </c>
      <c r="AC23" s="772" t="str">
        <f ca="1">IF(AO23="NE",$V$10,IF(AB23=$V$3,IF(AP23&lt;1,$V$8,$V$2&amp;" "&amp;AP23&amp;" "&amp;$V$1),IF(AB23="SKLADEM",$V$6,IFERROR(IF(OR(AB23-TODAY()&gt;21,VLOOKUP(C23,[1]List1!$A:$E,4,FALSE)=0),AB23,DAY(AB23)&amp;"."&amp;MONTH(AB23)&amp;"."&amp;YEAR(AB23)&amp;" "&amp;$V$4&amp;VLOOKUP(C23,[1]List1!$A:$E,4,FALSE)&amp;" "&amp;$V$1),AB23))))</f>
        <v>15.3.2024 KOMMT 50 KTN</v>
      </c>
      <c r="AD23" s="772" t="str">
        <f t="shared" ref="AD23:AD55" ca="1" si="9">IFERROR(IF(AU23&lt;&gt;"",AU23,AC23),AC23)</f>
        <v>15.3.2024 KOMMT 50 KTN</v>
      </c>
      <c r="AE23" s="605"/>
      <c r="AF23" s="605"/>
      <c r="AG23" s="615"/>
      <c r="AH23" s="616"/>
      <c r="AI23" s="615"/>
      <c r="AJ23" s="617"/>
      <c r="AK23" s="617"/>
      <c r="AL23" s="617"/>
      <c r="AM23" s="617"/>
      <c r="AO23" s="567" t="str">
        <f t="shared" si="3"/>
        <v/>
      </c>
      <c r="AP23" s="568" t="str">
        <f>IF(AB23=$V$3,IF(VLOOKUP(C23,[1]List1!$A:$E,5,FALSE)=0,1,VLOOKUP(C23,[1]List1!$A:$E,5,FALSE)),"")</f>
        <v/>
      </c>
      <c r="AQ23" s="292" t="str">
        <f t="shared" si="4"/>
        <v/>
      </c>
      <c r="AR23" s="618" t="str">
        <f t="shared" si="5"/>
        <v/>
      </c>
      <c r="AS23" s="292" t="str">
        <f t="shared" si="6"/>
        <v/>
      </c>
      <c r="AT23" s="377" t="e">
        <f t="shared" si="7"/>
        <v>#N/A</v>
      </c>
      <c r="AU23" s="292" t="e">
        <f t="shared" ref="AU23:AU55" si="10">IF(OR(AA23="",AND(AS23&lt;&gt;"",AT23&lt;&gt;"")),"",$V$10)</f>
        <v>#N/A</v>
      </c>
    </row>
    <row r="24" spans="1:47" ht="15" customHeight="1">
      <c r="A24" s="601" t="str">
        <f>Kat.!B24</f>
        <v/>
      </c>
      <c r="B24" s="601">
        <f t="shared" si="8"/>
        <v>1</v>
      </c>
      <c r="C24" s="758" t="s">
        <v>30</v>
      </c>
      <c r="D24" s="759"/>
      <c r="E24" s="760"/>
      <c r="F24" s="761"/>
      <c r="G24" s="762"/>
      <c r="H24" s="596"/>
      <c r="I24" s="763"/>
      <c r="J24" s="764"/>
      <c r="K24" s="774"/>
      <c r="L24" s="766"/>
      <c r="M24" s="764"/>
      <c r="N24" s="767"/>
      <c r="O24" s="763"/>
      <c r="P24" s="763"/>
      <c r="Q24" s="764"/>
      <c r="R24" s="764"/>
      <c r="S24" s="764"/>
      <c r="T24" s="761"/>
      <c r="U24" s="768"/>
      <c r="V24" s="768"/>
      <c r="W24" s="769" t="str">
        <f>IFERROR(VLOOKUP('General price list'!$C24,Popisy!A:P,MATCH($W$17,Popisy!$A$7:$P$7,0),FALSE),"---------------")</f>
        <v>Größe rotierender rot-grün-gelber Effekt - Bodeneffekt</v>
      </c>
      <c r="X24" s="769" t="str">
        <f t="shared" si="2"/>
        <v/>
      </c>
      <c r="Y24" s="1027">
        <f>IF(OR(AP24&lt;AA24,AND(NOT(OR(LEFT(AB24,3)="SKL",LEFT(AB24,3)=LEFT($V$2,3))),AA24&gt;0),AND('Deutsche Markt'!$AH$1=FALSE,J24="F4",AA24&gt;0)),"",AA24)</f>
        <v>0</v>
      </c>
      <c r="Z24" s="769"/>
      <c r="AA24" s="771">
        <f>'Deutsche Markt'!AA24</f>
        <v>0</v>
      </c>
      <c r="AB24" s="772" t="str">
        <f>IFERROR(IF(VLOOKUP(C24,[1]List1!$A:$D,2,FALSE)="VYPRODÁNO",$V$9,IF(VLOOKUP(C24,[1]List1!$A:$D,2,FALSE)="DOCHÁZÍ",$V$3,VLOOKUP(C24,[1]List1!$A:$D,2,FALSE))),"OFFLINE!")</f>
        <v>15.09.2024</v>
      </c>
      <c r="AC24" s="772" t="str">
        <f ca="1">IF(AO24="NE",$V$10,IF(AB24=$V$3,IF(AP24&lt;1,$V$8,$V$2&amp;" "&amp;AP24&amp;" "&amp;$V$1),IF(AB24="SKLADEM",$V$6,IFERROR(IF(OR(AB24-TODAY()&gt;21,VLOOKUP(C24,[1]List1!$A:$E,4,FALSE)=0),AB24,DAY(AB24)&amp;"."&amp;MONTH(AB24)&amp;"."&amp;YEAR(AB24)&amp;" "&amp;$V$4&amp;VLOOKUP(C24,[1]List1!$A:$E,4,FALSE)&amp;" "&amp;$V$1),AB24))))</f>
        <v>15.09.2024</v>
      </c>
      <c r="AD24" s="772" t="str">
        <f t="shared" ca="1" si="9"/>
        <v>15.09.2024</v>
      </c>
      <c r="AE24" s="605"/>
      <c r="AF24" s="605"/>
      <c r="AG24" s="615"/>
      <c r="AH24" s="616"/>
      <c r="AI24" s="615"/>
      <c r="AJ24" s="617"/>
      <c r="AK24" s="617"/>
      <c r="AL24" s="617"/>
      <c r="AM24" s="617"/>
      <c r="AO24" s="567" t="str">
        <f t="shared" si="3"/>
        <v/>
      </c>
      <c r="AP24" s="568" t="str">
        <f>IF(AB24=$V$3,IF(VLOOKUP(C24,[1]List1!$A:$E,5,FALSE)=0,1,VLOOKUP(C24,[1]List1!$A:$E,5,FALSE)),"")</f>
        <v/>
      </c>
      <c r="AQ24" s="292" t="str">
        <f t="shared" si="4"/>
        <v/>
      </c>
      <c r="AR24" s="618" t="str">
        <f t="shared" si="5"/>
        <v/>
      </c>
      <c r="AS24" s="292" t="str">
        <f t="shared" si="6"/>
        <v/>
      </c>
      <c r="AT24" s="377" t="e">
        <f t="shared" si="7"/>
        <v>#N/A</v>
      </c>
      <c r="AU24" s="292" t="e">
        <f t="shared" si="10"/>
        <v>#N/A</v>
      </c>
    </row>
    <row r="25" spans="1:47" ht="15" customHeight="1">
      <c r="A25" s="601" t="str">
        <f>Kat.!B25</f>
        <v/>
      </c>
      <c r="B25" s="601">
        <f t="shared" si="8"/>
        <v>1</v>
      </c>
      <c r="C25" s="758" t="s">
        <v>36</v>
      </c>
      <c r="D25" s="759"/>
      <c r="E25" s="760"/>
      <c r="F25" s="761"/>
      <c r="G25" s="762"/>
      <c r="H25" s="596"/>
      <c r="I25" s="763"/>
      <c r="J25" s="764"/>
      <c r="K25" s="773"/>
      <c r="L25" s="766"/>
      <c r="M25" s="764"/>
      <c r="N25" s="767"/>
      <c r="O25" s="763"/>
      <c r="P25" s="763"/>
      <c r="Q25" s="764"/>
      <c r="R25" s="764"/>
      <c r="S25" s="764"/>
      <c r="T25" s="761"/>
      <c r="U25" s="768"/>
      <c r="V25" s="768"/>
      <c r="W25" s="769" t="str">
        <f>IFERROR(VLOOKUP('General price list'!$C25,Popisy!A:P,MATCH($W$17,Popisy!$A$7:$P$7,0),FALSE),"---------------")</f>
        <v>Rotierender roter knallender Effekt - Bodeneffekt</v>
      </c>
      <c r="X25" s="769" t="str">
        <f t="shared" si="2"/>
        <v/>
      </c>
      <c r="Y25" s="1027">
        <f>IF(OR(AP25&lt;AA25,AND(NOT(OR(LEFT(AB25,3)="SKL",LEFT(AB25,3)=LEFT($V$2,3))),AA25&gt;0),AND('Deutsche Markt'!$AH$1=FALSE,J25="F4",AA25&gt;0)),"",AA25)</f>
        <v>0</v>
      </c>
      <c r="Z25" s="769"/>
      <c r="AA25" s="771">
        <f>'Deutsche Markt'!AA25</f>
        <v>0</v>
      </c>
      <c r="AB25" s="772" t="str">
        <f>IFERROR(IF(VLOOKUP(C25,[1]List1!$A:$D,2,FALSE)="VYPRODÁNO",$V$9,IF(VLOOKUP(C25,[1]List1!$A:$D,2,FALSE)="DOCHÁZÍ",$V$3,VLOOKUP(C25,[1]List1!$A:$D,2,FALSE))),"OFFLINE!")</f>
        <v>20.06.2024</v>
      </c>
      <c r="AC25" s="772" t="str">
        <f ca="1">IF(AO25="NE",$V$10,IF(AB25=$V$3,IF(AP25&lt;1,$V$8,$V$2&amp;" "&amp;AP25&amp;" "&amp;$V$1),IF(AB25="SKLADEM",$V$6,IFERROR(IF(OR(AB25-TODAY()&gt;21,VLOOKUP(C25,[1]List1!$A:$E,4,FALSE)=0),AB25,DAY(AB25)&amp;"."&amp;MONTH(AB25)&amp;"."&amp;YEAR(AB25)&amp;" "&amp;$V$4&amp;VLOOKUP(C25,[1]List1!$A:$E,4,FALSE)&amp;" "&amp;$V$1),AB25))))</f>
        <v>20.06.2024</v>
      </c>
      <c r="AD25" s="772" t="str">
        <f t="shared" ca="1" si="9"/>
        <v>20.06.2024</v>
      </c>
      <c r="AE25" s="605"/>
      <c r="AF25" s="605"/>
      <c r="AG25" s="615"/>
      <c r="AH25" s="616"/>
      <c r="AI25" s="615"/>
      <c r="AJ25" s="617"/>
      <c r="AK25" s="617"/>
      <c r="AL25" s="617"/>
      <c r="AM25" s="617"/>
      <c r="AO25" s="567" t="str">
        <f t="shared" si="3"/>
        <v/>
      </c>
      <c r="AP25" s="568" t="str">
        <f>IF(AB25=$V$3,IF(VLOOKUP(C25,[1]List1!$A:$E,5,FALSE)=0,1,VLOOKUP(C25,[1]List1!$A:$E,5,FALSE)),"")</f>
        <v/>
      </c>
      <c r="AQ25" s="292" t="str">
        <f t="shared" si="4"/>
        <v/>
      </c>
      <c r="AR25" s="618" t="str">
        <f t="shared" si="5"/>
        <v/>
      </c>
      <c r="AS25" s="292" t="str">
        <f t="shared" si="6"/>
        <v/>
      </c>
      <c r="AT25" s="377" t="e">
        <f t="shared" si="7"/>
        <v>#N/A</v>
      </c>
      <c r="AU25" s="292" t="e">
        <f t="shared" si="10"/>
        <v>#N/A</v>
      </c>
    </row>
    <row r="26" spans="1:47" s="828" customFormat="1" ht="15" customHeight="1">
      <c r="A26" s="1015" t="str">
        <f>Kat.!B26</f>
        <v/>
      </c>
      <c r="B26" s="1015">
        <f t="shared" si="8"/>
        <v>1</v>
      </c>
      <c r="C26" s="1016" t="s">
        <v>42</v>
      </c>
      <c r="D26" s="1017"/>
      <c r="E26" s="1018"/>
      <c r="F26" s="1019"/>
      <c r="G26" s="652"/>
      <c r="H26" s="651"/>
      <c r="I26" s="1020"/>
      <c r="J26" s="1021"/>
      <c r="K26" s="1022"/>
      <c r="L26" s="1023"/>
      <c r="M26" s="1021"/>
      <c r="N26" s="1024"/>
      <c r="O26" s="1020"/>
      <c r="P26" s="1020"/>
      <c r="Q26" s="1021"/>
      <c r="R26" s="1021"/>
      <c r="S26" s="1021"/>
      <c r="T26" s="1019"/>
      <c r="U26" s="1025"/>
      <c r="V26" s="1025"/>
      <c r="W26" s="1026" t="str">
        <f>IFERROR(VLOOKUP('General price list'!$C26,Popisy!A:P,MATCH($W$17,Popisy!$A$7:$P$7,0),FALSE),"---------------")</f>
        <v xml:space="preserve">Knallender Effekt, Länge 20 cm, </v>
      </c>
      <c r="X26" s="1026" t="str">
        <f t="shared" si="2"/>
        <v/>
      </c>
      <c r="Y26" s="1027">
        <f>IF(OR(AP26&lt;AA26,AND(NOT(OR(LEFT(AB26,3)="SKL",LEFT(AB26,3)=LEFT($V$2,3))),AA26&gt;0),AND('Deutsche Markt'!$AH$1=FALSE,J26="F4",AA26&gt;0)),"",AA26)</f>
        <v>0</v>
      </c>
      <c r="Z26" s="1026"/>
      <c r="AA26" s="771">
        <f>'Deutsche Markt'!AA26</f>
        <v>0</v>
      </c>
      <c r="AB26" s="1028" t="str">
        <f>IFERROR(IF(VLOOKUP(C26,[1]List1!$A:$D,2,FALSE)="VYPRODÁNO",$V$9,IF(VLOOKUP(C26,[1]List1!$A:$D,2,FALSE)="DOCHÁZÍ",$V$3,VLOOKUP(C26,[1]List1!$A:$D,2,FALSE))),"OFFLINE!")</f>
        <v>15.03.2024</v>
      </c>
      <c r="AC26" s="1028" t="str">
        <f ca="1">IF(AO26="NE",$V$10,IF(AB26=$V$3,IF(AP26&lt;1,$V$8,$V$2&amp;" "&amp;AP26&amp;" "&amp;$V$1),IF(AB26="SKLADEM",$V$6,IFERROR(IF(OR(AB26-TODAY()&gt;21,VLOOKUP(C26,[1]List1!$A:$E,4,FALSE)=0),AB26,DAY(AB26)&amp;"."&amp;MONTH(AB26)&amp;"."&amp;YEAR(AB26)&amp;" "&amp;$V$4&amp;VLOOKUP(C26,[1]List1!$A:$E,4,FALSE)&amp;" "&amp;$V$1),AB26))))</f>
        <v>15.3.2024 KOMMT 100+ KTN</v>
      </c>
      <c r="AD26" s="1028" t="str">
        <f t="shared" ca="1" si="9"/>
        <v>15.3.2024 KOMMT 100+ KTN</v>
      </c>
      <c r="AE26" s="1029"/>
      <c r="AF26" s="1029"/>
      <c r="AG26" s="1030"/>
      <c r="AH26" s="1031"/>
      <c r="AI26" s="1030"/>
      <c r="AJ26" s="1032"/>
      <c r="AK26" s="1032"/>
      <c r="AL26" s="1032"/>
      <c r="AM26" s="1032"/>
      <c r="AO26" s="1033" t="str">
        <f t="shared" si="3"/>
        <v/>
      </c>
      <c r="AP26" s="1034" t="str">
        <f>IF(AB26=$V$3,IF(VLOOKUP(C26,[1]List1!$A:$E,5,FALSE)=0,1,VLOOKUP(C26,[1]List1!$A:$E,5,FALSE)),"")</f>
        <v/>
      </c>
      <c r="AQ26" s="828" t="str">
        <f t="shared" si="4"/>
        <v/>
      </c>
      <c r="AR26" s="1035" t="str">
        <f t="shared" si="5"/>
        <v/>
      </c>
      <c r="AS26" s="828" t="str">
        <f t="shared" si="6"/>
        <v/>
      </c>
      <c r="AT26" s="1036" t="e">
        <f t="shared" si="7"/>
        <v>#N/A</v>
      </c>
      <c r="AU26" s="828" t="e">
        <f t="shared" si="10"/>
        <v>#N/A</v>
      </c>
    </row>
    <row r="27" spans="1:47" ht="15" customHeight="1">
      <c r="A27" s="601" t="str">
        <f>Kat.!B27</f>
        <v/>
      </c>
      <c r="B27" s="601">
        <f t="shared" si="8"/>
        <v>1</v>
      </c>
      <c r="C27" s="758" t="s">
        <v>11760</v>
      </c>
      <c r="D27" s="759"/>
      <c r="E27" s="760"/>
      <c r="F27" s="761"/>
      <c r="G27" s="762"/>
      <c r="H27" s="596"/>
      <c r="I27" s="763"/>
      <c r="J27" s="764"/>
      <c r="K27" s="773"/>
      <c r="L27" s="766"/>
      <c r="M27" s="764"/>
      <c r="N27" s="767"/>
      <c r="O27" s="763"/>
      <c r="P27" s="763"/>
      <c r="Q27" s="764"/>
      <c r="R27" s="764"/>
      <c r="S27" s="764"/>
      <c r="T27" s="761"/>
      <c r="U27" s="768"/>
      <c r="V27" s="768"/>
      <c r="W27" s="769" t="str">
        <f>IFERROR(VLOOKUP('General price list'!$C27,Popisy!A:P,MATCH($W$17,Popisy!$A$7:$P$7,0),FALSE),"---------------")</f>
        <v>Knallender Effekt, Länge 50 cm</v>
      </c>
      <c r="X27" s="769" t="str">
        <f t="shared" si="2"/>
        <v/>
      </c>
      <c r="Y27" s="1027">
        <f>IF(OR(AP27&lt;AA27,AND(NOT(OR(LEFT(AB27,3)="SKL",LEFT(AB27,3)=LEFT($V$2,3))),AA27&gt;0),AND('Deutsche Markt'!$AH$1=FALSE,J27="F4",AA27&gt;0)),"",AA27)</f>
        <v>0</v>
      </c>
      <c r="Z27" s="769"/>
      <c r="AA27" s="771">
        <f>'Deutsche Markt'!AA27</f>
        <v>0</v>
      </c>
      <c r="AB27" s="772" t="str">
        <f>IFERROR(IF(VLOOKUP(C27,[1]List1!$A:$D,2,FALSE)="VYPRODÁNO",$V$9,IF(VLOOKUP(C27,[1]List1!$A:$D,2,FALSE)="DOCHÁZÍ",$V$3,VLOOKUP(C27,[1]List1!$A:$D,2,FALSE))),"OFFLINE!")</f>
        <v>SKLADEM</v>
      </c>
      <c r="AC27" s="772" t="str">
        <f ca="1">IF(AO27="NE",$V$10,IF(AB27=$V$3,IF(AP27&lt;1,$V$8,$V$2&amp;" "&amp;AP27&amp;" "&amp;$V$1),IF(AB27="SKLADEM",$V$6,IFERROR(IF(OR(AB27-TODAY()&gt;21,VLOOKUP(C27,[1]List1!$A:$E,4,FALSE)=0),AB27,DAY(AB27)&amp;"."&amp;MONTH(AB27)&amp;"."&amp;YEAR(AB27)&amp;" "&amp;$V$4&amp;VLOOKUP(C27,[1]List1!$A:$E,4,FALSE)&amp;" "&amp;$V$1),AB27))))</f>
        <v>AUF LAGER</v>
      </c>
      <c r="AD27" s="772" t="str">
        <f t="shared" ca="1" si="9"/>
        <v>AUF LAGER</v>
      </c>
      <c r="AE27" s="605"/>
      <c r="AF27" s="605"/>
      <c r="AG27" s="615"/>
      <c r="AH27" s="616"/>
      <c r="AI27" s="615"/>
      <c r="AJ27" s="617"/>
      <c r="AK27" s="617"/>
      <c r="AL27" s="617"/>
      <c r="AM27" s="617"/>
      <c r="AN27" s="292"/>
      <c r="AO27" s="567" t="str">
        <f t="shared" si="3"/>
        <v/>
      </c>
      <c r="AP27" s="568" t="str">
        <f>IF(AB27=$V$3,IF(VLOOKUP(C27,[1]List1!$A:$E,5,FALSE)=0,1,VLOOKUP(C27,[1]List1!$A:$E,5,FALSE)),"")</f>
        <v/>
      </c>
      <c r="AQ27" s="292" t="str">
        <f t="shared" si="4"/>
        <v/>
      </c>
      <c r="AR27" s="618" t="str">
        <f t="shared" si="5"/>
        <v/>
      </c>
      <c r="AS27" s="292" t="str">
        <f t="shared" si="6"/>
        <v/>
      </c>
      <c r="AT27" s="377" t="e">
        <f t="shared" si="7"/>
        <v>#N/A</v>
      </c>
      <c r="AU27" s="292" t="e">
        <f t="shared" si="10"/>
        <v>#N/A</v>
      </c>
    </row>
    <row r="28" spans="1:47" ht="15" customHeight="1">
      <c r="A28" s="601" t="str">
        <f>Kat.!B28</f>
        <v/>
      </c>
      <c r="B28" s="601">
        <f t="shared" si="8"/>
        <v>1</v>
      </c>
      <c r="C28" s="758" t="s">
        <v>80</v>
      </c>
      <c r="D28" s="759"/>
      <c r="E28" s="760"/>
      <c r="F28" s="761"/>
      <c r="G28" s="762"/>
      <c r="H28" s="596"/>
      <c r="I28" s="763"/>
      <c r="J28" s="764"/>
      <c r="K28" s="774"/>
      <c r="L28" s="766"/>
      <c r="M28" s="764"/>
      <c r="N28" s="767"/>
      <c r="O28" s="763"/>
      <c r="P28" s="763"/>
      <c r="Q28" s="764"/>
      <c r="R28" s="764"/>
      <c r="S28" s="764"/>
      <c r="T28" s="761"/>
      <c r="U28" s="768"/>
      <c r="V28" s="768"/>
      <c r="W28" s="769" t="str">
        <f>IFERROR(VLOOKUP('General price list'!$C28,Popisy!A:P,MATCH($W$17,Popisy!$A$7:$P$7,0),FALSE),"---------------")</f>
        <v>Knallende Farbkerne</v>
      </c>
      <c r="X28" s="769" t="str">
        <f t="shared" si="2"/>
        <v/>
      </c>
      <c r="Y28" s="1027">
        <f>IF(OR(AP28&lt;AA28,AND(NOT(OR(LEFT(AB28,3)="SKL",LEFT(AB28,3)=LEFT($V$2,3))),AA28&gt;0),AND('Deutsche Markt'!$AH$1=FALSE,J28="F4",AA28&gt;0)),"",AA28)</f>
        <v>0</v>
      </c>
      <c r="Z28" s="769"/>
      <c r="AA28" s="771">
        <f>'Deutsche Markt'!AA28</f>
        <v>0</v>
      </c>
      <c r="AB28" s="772" t="str">
        <f>IFERROR(IF(VLOOKUP(C28,[1]List1!$A:$D,2,FALSE)="VYPRODÁNO",$V$9,IF(VLOOKUP(C28,[1]List1!$A:$D,2,FALSE)="DOCHÁZÍ",$V$3,VLOOKUP(C28,[1]List1!$A:$D,2,FALSE))),"OFFLINE!")</f>
        <v>SKLADEM</v>
      </c>
      <c r="AC28" s="772" t="str">
        <f ca="1">IF(AO28="NE",$V$10,IF(AB28=$V$3,IF(AP28&lt;1,$V$8,$V$2&amp;" "&amp;AP28&amp;" "&amp;$V$1),IF(AB28="SKLADEM",$V$6,IFERROR(IF(OR(AB28-TODAY()&gt;21,VLOOKUP(C28,[1]List1!$A:$E,4,FALSE)=0),AB28,DAY(AB28)&amp;"."&amp;MONTH(AB28)&amp;"."&amp;YEAR(AB28)&amp;" "&amp;$V$4&amp;VLOOKUP(C28,[1]List1!$A:$E,4,FALSE)&amp;" "&amp;$V$1),AB28))))</f>
        <v>AUF LAGER</v>
      </c>
      <c r="AD28" s="772" t="str">
        <f t="shared" ca="1" si="9"/>
        <v>AUF LAGER</v>
      </c>
      <c r="AE28" s="605"/>
      <c r="AF28" s="605"/>
      <c r="AG28" s="615"/>
      <c r="AH28" s="616"/>
      <c r="AI28" s="615"/>
      <c r="AJ28" s="617"/>
      <c r="AK28" s="617"/>
      <c r="AL28" s="617"/>
      <c r="AM28" s="617"/>
      <c r="AO28" s="567" t="str">
        <f t="shared" si="3"/>
        <v/>
      </c>
      <c r="AP28" s="568" t="str">
        <f>IF(AB28=$V$3,IF(VLOOKUP(C28,[1]List1!$A:$E,5,FALSE)=0,1,VLOOKUP(C28,[1]List1!$A:$E,5,FALSE)),"")</f>
        <v/>
      </c>
      <c r="AQ28" s="292" t="str">
        <f t="shared" si="4"/>
        <v/>
      </c>
      <c r="AR28" s="618" t="str">
        <f t="shared" si="5"/>
        <v/>
      </c>
      <c r="AS28" s="292" t="str">
        <f t="shared" si="6"/>
        <v/>
      </c>
      <c r="AT28" s="377" t="e">
        <f t="shared" si="7"/>
        <v>#N/A</v>
      </c>
      <c r="AU28" s="292" t="e">
        <f t="shared" si="10"/>
        <v>#N/A</v>
      </c>
    </row>
    <row r="29" spans="1:47" ht="15" customHeight="1">
      <c r="A29" s="601" t="str">
        <f>Kat.!B29</f>
        <v/>
      </c>
      <c r="B29" s="601">
        <f t="shared" si="8"/>
        <v>1</v>
      </c>
      <c r="C29" s="758" t="s">
        <v>86</v>
      </c>
      <c r="D29" s="759"/>
      <c r="E29" s="760"/>
      <c r="F29" s="761"/>
      <c r="G29" s="762"/>
      <c r="H29" s="596"/>
      <c r="I29" s="763"/>
      <c r="J29" s="764"/>
      <c r="K29" s="773"/>
      <c r="L29" s="766"/>
      <c r="M29" s="764"/>
      <c r="N29" s="767"/>
      <c r="O29" s="763"/>
      <c r="P29" s="763"/>
      <c r="Q29" s="764"/>
      <c r="R29" s="764"/>
      <c r="S29" s="764"/>
      <c r="T29" s="761"/>
      <c r="U29" s="768"/>
      <c r="V29" s="768"/>
      <c r="W29" s="769" t="str">
        <f>IFERROR(VLOOKUP('General price list'!$C29,Popisy!A:P,MATCH($W$17,Popisy!$A$7:$P$7,0),FALSE),"---------------")</f>
        <v>Knallende Ballone 1 g, Durchmesser 23mm</v>
      </c>
      <c r="X29" s="769" t="str">
        <f t="shared" si="2"/>
        <v/>
      </c>
      <c r="Y29" s="1027">
        <f>IF(OR(AP29&lt;AA29,AND(NOT(OR(LEFT(AB29,3)="SKL",LEFT(AB29,3)=LEFT($V$2,3))),AA29&gt;0),AND('Deutsche Markt'!$AH$1=FALSE,J29="F4",AA29&gt;0)),"",AA29)</f>
        <v>0</v>
      </c>
      <c r="Z29" s="769"/>
      <c r="AA29" s="771">
        <f>'Deutsche Markt'!AA29</f>
        <v>0</v>
      </c>
      <c r="AB29" s="772" t="str">
        <f>IFERROR(IF(VLOOKUP(C29,[1]List1!$A:$D,2,FALSE)="VYPRODÁNO",$V$9,IF(VLOOKUP(C29,[1]List1!$A:$D,2,FALSE)="DOCHÁZÍ",$V$3,VLOOKUP(C29,[1]List1!$A:$D,2,FALSE))),"OFFLINE!")</f>
        <v>SKLADEM</v>
      </c>
      <c r="AC29" s="772" t="str">
        <f ca="1">IF(AO29="NE",$V$10,IF(AB29=$V$3,IF(AP29&lt;1,$V$8,$V$2&amp;" "&amp;AP29&amp;" "&amp;$V$1),IF(AB29="SKLADEM",$V$6,IFERROR(IF(OR(AB29-TODAY()&gt;21,VLOOKUP(C29,[1]List1!$A:$E,4,FALSE)=0),AB29,DAY(AB29)&amp;"."&amp;MONTH(AB29)&amp;"."&amp;YEAR(AB29)&amp;" "&amp;$V$4&amp;VLOOKUP(C29,[1]List1!$A:$E,4,FALSE)&amp;" "&amp;$V$1),AB29))))</f>
        <v>AUF LAGER</v>
      </c>
      <c r="AD29" s="772" t="str">
        <f t="shared" ca="1" si="9"/>
        <v>AUF LAGER</v>
      </c>
      <c r="AE29" s="605"/>
      <c r="AF29" s="605"/>
      <c r="AG29" s="615"/>
      <c r="AH29" s="616"/>
      <c r="AI29" s="615"/>
      <c r="AJ29" s="617"/>
      <c r="AK29" s="617"/>
      <c r="AL29" s="617"/>
      <c r="AM29" s="617"/>
      <c r="AN29" s="292"/>
      <c r="AO29" s="567" t="str">
        <f t="shared" si="3"/>
        <v/>
      </c>
      <c r="AP29" s="568" t="str">
        <f>IF(AB29=$V$3,IF(VLOOKUP(C29,[1]List1!$A:$E,5,FALSE)=0,1,VLOOKUP(C29,[1]List1!$A:$E,5,FALSE)),"")</f>
        <v/>
      </c>
      <c r="AQ29" s="292" t="str">
        <f t="shared" si="4"/>
        <v/>
      </c>
      <c r="AR29" s="618" t="str">
        <f t="shared" si="5"/>
        <v/>
      </c>
      <c r="AS29" s="292" t="str">
        <f t="shared" si="6"/>
        <v/>
      </c>
      <c r="AT29" s="377" t="e">
        <f t="shared" si="7"/>
        <v>#N/A</v>
      </c>
      <c r="AU29" s="292" t="e">
        <f t="shared" si="10"/>
        <v>#N/A</v>
      </c>
    </row>
    <row r="30" spans="1:47" ht="15" customHeight="1">
      <c r="A30" s="601" t="str">
        <f>Kat.!B30</f>
        <v>x</v>
      </c>
      <c r="B30" s="601">
        <f t="shared" si="8"/>
        <v>1</v>
      </c>
      <c r="C30" s="758" t="s">
        <v>92</v>
      </c>
      <c r="D30" s="759"/>
      <c r="E30" s="760"/>
      <c r="F30" s="761"/>
      <c r="G30" s="762"/>
      <c r="H30" s="596"/>
      <c r="I30" s="763"/>
      <c r="J30" s="764"/>
      <c r="K30" s="774"/>
      <c r="L30" s="766"/>
      <c r="M30" s="764"/>
      <c r="N30" s="767"/>
      <c r="O30" s="763"/>
      <c r="P30" s="763"/>
      <c r="Q30" s="764"/>
      <c r="R30" s="764"/>
      <c r="S30" s="764"/>
      <c r="T30" s="761"/>
      <c r="U30" s="768"/>
      <c r="V30" s="768"/>
      <c r="W30" s="769" t="str">
        <f>IFERROR(VLOOKUP('General price list'!$C30,Popisy!A:P,MATCH($W$17,Popisy!$A$7:$P$7,0),FALSE),"---------------")</f>
        <v>Knallende Ballone 1 g, Durchmesser 23mm</v>
      </c>
      <c r="X30" s="769" t="str">
        <f t="shared" si="2"/>
        <v/>
      </c>
      <c r="Y30" s="1027">
        <f>IF(OR(AP30&lt;AA30,AND(NOT(OR(LEFT(AB30,3)="SKL",LEFT(AB30,3)=LEFT($V$2,3))),AA30&gt;0),AND('Deutsche Markt'!$AH$1=FALSE,J30="F4",AA30&gt;0)),"",AA30)</f>
        <v>0</v>
      </c>
      <c r="Z30" s="769"/>
      <c r="AA30" s="771">
        <f>'Deutsche Markt'!AA30</f>
        <v>0</v>
      </c>
      <c r="AB30" s="772" t="str">
        <f>IFERROR(IF(VLOOKUP(C30,[1]List1!$A:$D,2,FALSE)="VYPRODÁNO",$V$9,IF(VLOOKUP(C30,[1]List1!$A:$D,2,FALSE)="DOCHÁZÍ",$V$3,VLOOKUP(C30,[1]List1!$A:$D,2,FALSE))),"OFFLINE!")</f>
        <v>SKLADEM</v>
      </c>
      <c r="AC30" s="772" t="str">
        <f ca="1">IF(AO30="NE",$V$10,IF(AB30=$V$3,IF(AP30&lt;1,$V$8,$V$2&amp;" "&amp;AP30&amp;" "&amp;$V$1),IF(AB30="SKLADEM",$V$6,IFERROR(IF(OR(AB30-TODAY()&gt;21,VLOOKUP(C30,[1]List1!$A:$E,4,FALSE)=0),AB30,DAY(AB30)&amp;"."&amp;MONTH(AB30)&amp;"."&amp;YEAR(AB30)&amp;" "&amp;$V$4&amp;VLOOKUP(C30,[1]List1!$A:$E,4,FALSE)&amp;" "&amp;$V$1),AB30))))</f>
        <v>AUF LAGER</v>
      </c>
      <c r="AD30" s="772" t="str">
        <f t="shared" ca="1" si="9"/>
        <v>AUF LAGER</v>
      </c>
      <c r="AE30" s="605"/>
      <c r="AF30" s="605"/>
      <c r="AG30" s="615"/>
      <c r="AH30" s="616"/>
      <c r="AI30" s="615"/>
      <c r="AJ30" s="617"/>
      <c r="AK30" s="617"/>
      <c r="AL30" s="617"/>
      <c r="AM30" s="617"/>
      <c r="AN30" s="292"/>
      <c r="AO30" s="567" t="str">
        <f t="shared" si="3"/>
        <v/>
      </c>
      <c r="AP30" s="568" t="str">
        <f>IF(AB30=$V$3,IF(VLOOKUP(C30,[1]List1!$A:$E,5,FALSE)=0,1,VLOOKUP(C30,[1]List1!$A:$E,5,FALSE)),"")</f>
        <v/>
      </c>
      <c r="AQ30" s="292" t="str">
        <f t="shared" si="4"/>
        <v/>
      </c>
      <c r="AR30" s="618" t="str">
        <f t="shared" si="5"/>
        <v/>
      </c>
      <c r="AS30" s="292" t="str">
        <f t="shared" si="6"/>
        <v/>
      </c>
      <c r="AT30" s="377" t="e">
        <f t="shared" si="7"/>
        <v>#N/A</v>
      </c>
      <c r="AU30" s="292" t="e">
        <f t="shared" si="10"/>
        <v>#N/A</v>
      </c>
    </row>
    <row r="31" spans="1:47" ht="15" customHeight="1">
      <c r="A31" s="601" t="str">
        <f>Kat.!B31</f>
        <v/>
      </c>
      <c r="B31" s="601">
        <f t="shared" si="8"/>
        <v>1</v>
      </c>
      <c r="C31" s="758" t="s">
        <v>4343</v>
      </c>
      <c r="D31" s="759"/>
      <c r="E31" s="760"/>
      <c r="F31" s="761"/>
      <c r="G31" s="762"/>
      <c r="H31" s="596"/>
      <c r="I31" s="763"/>
      <c r="J31" s="764"/>
      <c r="K31" s="773"/>
      <c r="L31" s="766"/>
      <c r="M31" s="764"/>
      <c r="N31" s="767"/>
      <c r="O31" s="763"/>
      <c r="P31" s="763"/>
      <c r="Q31" s="764"/>
      <c r="R31" s="764"/>
      <c r="S31" s="764"/>
      <c r="T31" s="761"/>
      <c r="U31" s="768"/>
      <c r="V31" s="768"/>
      <c r="W31" s="769" t="str">
        <f>IFERROR(VLOOKUP('General price list'!$C31,Popisy!A:P,MATCH($W$17,Popisy!$A$7:$P$7,0),FALSE),"---------------")</f>
        <v>Knallende Ballone 3 g, Durchmesser 38mm</v>
      </c>
      <c r="X31" s="769" t="str">
        <f t="shared" si="2"/>
        <v/>
      </c>
      <c r="Y31" s="1027">
        <f>IF(OR(AP31&lt;AA31,AND(NOT(OR(LEFT(AB31,3)="SKL",LEFT(AB31,3)=LEFT($V$2,3))),AA31&gt;0),AND('Deutsche Markt'!$AH$1=FALSE,J31="F4",AA31&gt;0)),"",AA31)</f>
        <v>0</v>
      </c>
      <c r="Z31" s="769"/>
      <c r="AA31" s="771">
        <f>'Deutsche Markt'!AA31</f>
        <v>0</v>
      </c>
      <c r="AB31" s="772" t="str">
        <f>IFERROR(IF(VLOOKUP(C31,[1]List1!$A:$D,2,FALSE)="VYPRODÁNO",$V$9,IF(VLOOKUP(C31,[1]List1!$A:$D,2,FALSE)="DOCHÁZÍ",$V$3,VLOOKUP(C31,[1]List1!$A:$D,2,FALSE))),"OFFLINE!")</f>
        <v>SKLADEM</v>
      </c>
      <c r="AC31" s="772" t="str">
        <f ca="1">IF(AO31="NE",$V$10,IF(AB31=$V$3,IF(AP31&lt;1,$V$8,$V$2&amp;" "&amp;AP31&amp;" "&amp;$V$1),IF(AB31="SKLADEM",$V$6,IFERROR(IF(OR(AB31-TODAY()&gt;21,VLOOKUP(C31,[1]List1!$A:$E,4,FALSE)=0),AB31,DAY(AB31)&amp;"."&amp;MONTH(AB31)&amp;"."&amp;YEAR(AB31)&amp;" "&amp;$V$4&amp;VLOOKUP(C31,[1]List1!$A:$E,4,FALSE)&amp;" "&amp;$V$1),AB31))))</f>
        <v>AUF LAGER</v>
      </c>
      <c r="AD31" s="772" t="str">
        <f t="shared" ca="1" si="9"/>
        <v>AUF LAGER</v>
      </c>
      <c r="AE31" s="605"/>
      <c r="AF31" s="605"/>
      <c r="AG31" s="615"/>
      <c r="AH31" s="616"/>
      <c r="AI31" s="615"/>
      <c r="AJ31" s="617"/>
      <c r="AK31" s="617"/>
      <c r="AL31" s="617"/>
      <c r="AM31" s="617"/>
      <c r="AN31" s="292"/>
      <c r="AO31" s="567" t="str">
        <f t="shared" si="3"/>
        <v/>
      </c>
      <c r="AP31" s="568" t="str">
        <f>IF(AB31=$V$3,IF(VLOOKUP(C31,[1]List1!$A:$E,5,FALSE)=0,1,VLOOKUP(C31,[1]List1!$A:$E,5,FALSE)),"")</f>
        <v/>
      </c>
      <c r="AQ31" s="292" t="str">
        <f t="shared" si="4"/>
        <v/>
      </c>
      <c r="AR31" s="618" t="str">
        <f t="shared" si="5"/>
        <v/>
      </c>
      <c r="AS31" s="292" t="str">
        <f t="shared" si="6"/>
        <v/>
      </c>
      <c r="AT31" s="377" t="e">
        <f t="shared" si="7"/>
        <v>#N/A</v>
      </c>
      <c r="AU31" s="292" t="e">
        <f t="shared" si="10"/>
        <v>#N/A</v>
      </c>
    </row>
    <row r="32" spans="1:47" ht="15" customHeight="1">
      <c r="A32" s="601" t="str">
        <f>Kat.!B32</f>
        <v/>
      </c>
      <c r="B32" s="601">
        <f t="shared" si="8"/>
        <v>1</v>
      </c>
      <c r="C32" s="758" t="s">
        <v>122</v>
      </c>
      <c r="D32" s="759"/>
      <c r="E32" s="760"/>
      <c r="F32" s="761"/>
      <c r="G32" s="762"/>
      <c r="H32" s="596"/>
      <c r="I32" s="763"/>
      <c r="J32" s="764"/>
      <c r="K32" s="774"/>
      <c r="L32" s="766"/>
      <c r="M32" s="764"/>
      <c r="N32" s="767"/>
      <c r="O32" s="763"/>
      <c r="P32" s="763"/>
      <c r="Q32" s="764"/>
      <c r="R32" s="764"/>
      <c r="S32" s="764"/>
      <c r="T32" s="761"/>
      <c r="U32" s="768"/>
      <c r="V32" s="768"/>
      <c r="W32" s="769" t="str">
        <f>IFERROR(VLOOKUP('General price list'!$C32,Popisy!A:P,MATCH($W$17,Popisy!$A$7:$P$7,0),FALSE),"---------------")</f>
        <v xml:space="preserve">Farbige Knallkugeln (Durchmesser 9 mm) </v>
      </c>
      <c r="X32" s="769" t="str">
        <f t="shared" si="2"/>
        <v/>
      </c>
      <c r="Y32" s="1027">
        <f>IF(OR(AP32&lt;AA32,AND(NOT(OR(LEFT(AB32,3)="SKL",LEFT(AB32,3)=LEFT($V$2,3))),AA32&gt;0),AND('Deutsche Markt'!$AH$1=FALSE,J32="F4",AA32&gt;0)),"",AA32)</f>
        <v>0</v>
      </c>
      <c r="Z32" s="769"/>
      <c r="AA32" s="771">
        <f>'Deutsche Markt'!AA32</f>
        <v>0</v>
      </c>
      <c r="AB32" s="772" t="str">
        <f>IFERROR(IF(VLOOKUP(C32,[1]List1!$A:$D,2,FALSE)="VYPRODÁNO",$V$9,IF(VLOOKUP(C32,[1]List1!$A:$D,2,FALSE)="DOCHÁZÍ",$V$3,VLOOKUP(C32,[1]List1!$A:$D,2,FALSE))),"OFFLINE!")</f>
        <v>SKLADEM</v>
      </c>
      <c r="AC32" s="772" t="str">
        <f ca="1">IF(AO32="NE",$V$10,IF(AB32=$V$3,IF(AP32&lt;1,$V$8,$V$2&amp;" "&amp;AP32&amp;" "&amp;$V$1),IF(AB32="SKLADEM",$V$6,IFERROR(IF(OR(AB32-TODAY()&gt;21,VLOOKUP(C32,[1]List1!$A:$E,4,FALSE)=0),AB32,DAY(AB32)&amp;"."&amp;MONTH(AB32)&amp;"."&amp;YEAR(AB32)&amp;" "&amp;$V$4&amp;VLOOKUP(C32,[1]List1!$A:$E,4,FALSE)&amp;" "&amp;$V$1),AB32))))</f>
        <v>AUF LAGER</v>
      </c>
      <c r="AD32" s="772" t="str">
        <f t="shared" ca="1" si="9"/>
        <v>AUF LAGER</v>
      </c>
      <c r="AE32" s="605"/>
      <c r="AF32" s="605"/>
      <c r="AG32" s="615"/>
      <c r="AH32" s="616"/>
      <c r="AI32" s="615"/>
      <c r="AJ32" s="617"/>
      <c r="AK32" s="617"/>
      <c r="AL32" s="617"/>
      <c r="AM32" s="617"/>
      <c r="AN32" s="292"/>
      <c r="AO32" s="567" t="str">
        <f t="shared" si="3"/>
        <v/>
      </c>
      <c r="AP32" s="568" t="str">
        <f>IF(AB32=$V$3,IF(VLOOKUP(C32,[1]List1!$A:$E,5,FALSE)=0,1,VLOOKUP(C32,[1]List1!$A:$E,5,FALSE)),"")</f>
        <v/>
      </c>
      <c r="AQ32" s="292" t="str">
        <f t="shared" si="4"/>
        <v/>
      </c>
      <c r="AR32" s="618" t="str">
        <f t="shared" si="5"/>
        <v/>
      </c>
      <c r="AS32" s="292" t="str">
        <f t="shared" si="6"/>
        <v/>
      </c>
      <c r="AT32" s="377" t="e">
        <f t="shared" si="7"/>
        <v>#N/A</v>
      </c>
      <c r="AU32" s="292" t="e">
        <f t="shared" si="10"/>
        <v>#N/A</v>
      </c>
    </row>
    <row r="33" spans="1:47" ht="15" customHeight="1">
      <c r="A33" s="601" t="str">
        <f>Kat.!B33</f>
        <v/>
      </c>
      <c r="B33" s="601">
        <f t="shared" si="8"/>
        <v>1</v>
      </c>
      <c r="C33" s="758" t="s">
        <v>125</v>
      </c>
      <c r="D33" s="759"/>
      <c r="E33" s="760"/>
      <c r="F33" s="761"/>
      <c r="G33" s="762"/>
      <c r="H33" s="596"/>
      <c r="I33" s="763"/>
      <c r="J33" s="764"/>
      <c r="K33" s="773"/>
      <c r="L33" s="766"/>
      <c r="M33" s="764"/>
      <c r="N33" s="767"/>
      <c r="O33" s="763"/>
      <c r="P33" s="763"/>
      <c r="Q33" s="764"/>
      <c r="R33" s="764"/>
      <c r="S33" s="764"/>
      <c r="T33" s="761"/>
      <c r="U33" s="768"/>
      <c r="V33" s="768"/>
      <c r="W33" s="769" t="str">
        <f>IFERROR(VLOOKUP('General price list'!$C33,Popisy!A:P,MATCH($W$17,Popisy!$A$7:$P$7,0),FALSE),"---------------")</f>
        <v xml:space="preserve">Farbige Knallkugeln (Durchmesser 9 mm) </v>
      </c>
      <c r="X33" s="769" t="str">
        <f t="shared" si="2"/>
        <v/>
      </c>
      <c r="Y33" s="1027">
        <f>IF(OR(AP33&lt;AA33,AND(NOT(OR(LEFT(AB33,3)="SKL",LEFT(AB33,3)=LEFT($V$2,3))),AA33&gt;0),AND('Deutsche Markt'!$AH$1=FALSE,J33="F4",AA33&gt;0)),"",AA33)</f>
        <v>0</v>
      </c>
      <c r="Z33" s="769"/>
      <c r="AA33" s="771">
        <f>'Deutsche Markt'!AA33</f>
        <v>0</v>
      </c>
      <c r="AB33" s="772" t="str">
        <f>IFERROR(IF(VLOOKUP(C33,[1]List1!$A:$D,2,FALSE)="VYPRODÁNO",$V$9,IF(VLOOKUP(C33,[1]List1!$A:$D,2,FALSE)="DOCHÁZÍ",$V$3,VLOOKUP(C33,[1]List1!$A:$D,2,FALSE))),"OFFLINE!")</f>
        <v>SKLADEM</v>
      </c>
      <c r="AC33" s="772" t="str">
        <f ca="1">IF(AO33="NE",$V$10,IF(AB33=$V$3,IF(AP33&lt;1,$V$8,$V$2&amp;" "&amp;AP33&amp;" "&amp;$V$1),IF(AB33="SKLADEM",$V$6,IFERROR(IF(OR(AB33-TODAY()&gt;21,VLOOKUP(C33,[1]List1!$A:$E,4,FALSE)=0),AB33,DAY(AB33)&amp;"."&amp;MONTH(AB33)&amp;"."&amp;YEAR(AB33)&amp;" "&amp;$V$4&amp;VLOOKUP(C33,[1]List1!$A:$E,4,FALSE)&amp;" "&amp;$V$1),AB33))))</f>
        <v>AUF LAGER</v>
      </c>
      <c r="AD33" s="772" t="str">
        <f t="shared" ca="1" si="9"/>
        <v>AUF LAGER</v>
      </c>
      <c r="AE33" s="605"/>
      <c r="AF33" s="605"/>
      <c r="AG33" s="615"/>
      <c r="AH33" s="616"/>
      <c r="AI33" s="615"/>
      <c r="AJ33" s="617"/>
      <c r="AK33" s="617"/>
      <c r="AL33" s="617"/>
      <c r="AM33" s="617"/>
      <c r="AO33" s="567" t="str">
        <f t="shared" si="3"/>
        <v/>
      </c>
      <c r="AP33" s="568" t="str">
        <f>IF(AB33=$V$3,IF(VLOOKUP(C33,[1]List1!$A:$E,5,FALSE)=0,1,VLOOKUP(C33,[1]List1!$A:$E,5,FALSE)),"")</f>
        <v/>
      </c>
      <c r="AQ33" s="292" t="str">
        <f t="shared" si="4"/>
        <v/>
      </c>
      <c r="AR33" s="618" t="str">
        <f t="shared" si="5"/>
        <v/>
      </c>
      <c r="AS33" s="292" t="str">
        <f t="shared" si="6"/>
        <v/>
      </c>
      <c r="AT33" s="377" t="e">
        <f t="shared" si="7"/>
        <v>#N/A</v>
      </c>
      <c r="AU33" s="292" t="e">
        <f t="shared" si="10"/>
        <v>#N/A</v>
      </c>
    </row>
    <row r="34" spans="1:47" ht="15" customHeight="1">
      <c r="A34" s="601" t="str">
        <f>Kat.!B34</f>
        <v/>
      </c>
      <c r="B34" s="601">
        <f t="shared" si="8"/>
        <v>1</v>
      </c>
      <c r="C34" s="758" t="s">
        <v>126</v>
      </c>
      <c r="D34" s="759"/>
      <c r="E34" s="760"/>
      <c r="F34" s="761"/>
      <c r="G34" s="762"/>
      <c r="H34" s="596"/>
      <c r="I34" s="763"/>
      <c r="J34" s="764"/>
      <c r="K34" s="774"/>
      <c r="L34" s="766"/>
      <c r="M34" s="764"/>
      <c r="N34" s="767"/>
      <c r="O34" s="763"/>
      <c r="P34" s="763"/>
      <c r="Q34" s="764"/>
      <c r="R34" s="764"/>
      <c r="S34" s="764"/>
      <c r="T34" s="761"/>
      <c r="U34" s="768"/>
      <c r="V34" s="768"/>
      <c r="W34" s="769" t="str">
        <f>IFERROR(VLOOKUP('General price list'!$C34,Popisy!A:P,MATCH($W$17,Popisy!$A$7:$P$7,0),FALSE),"---------------")</f>
        <v>Schwarze Knallkugeln (Durchmesser 14 mm)</v>
      </c>
      <c r="X34" s="769" t="str">
        <f t="shared" si="2"/>
        <v/>
      </c>
      <c r="Y34" s="1027">
        <f>IF(OR(AP34&lt;AA34,AND(NOT(OR(LEFT(AB34,3)="SKL",LEFT(AB34,3)=LEFT($V$2,3))),AA34&gt;0),AND('Deutsche Markt'!$AH$1=FALSE,J34="F4",AA34&gt;0)),"",AA34)</f>
        <v>0</v>
      </c>
      <c r="Z34" s="769"/>
      <c r="AA34" s="771">
        <f>'Deutsche Markt'!AA34</f>
        <v>0</v>
      </c>
      <c r="AB34" s="772" t="str">
        <f>IFERROR(IF(VLOOKUP(C34,[1]List1!$A:$D,2,FALSE)="VYPRODÁNO",$V$9,IF(VLOOKUP(C34,[1]List1!$A:$D,2,FALSE)="DOCHÁZÍ",$V$3,VLOOKUP(C34,[1]List1!$A:$D,2,FALSE))),"OFFLINE!")</f>
        <v>SKLADEM</v>
      </c>
      <c r="AC34" s="772" t="str">
        <f ca="1">IF(AO34="NE",$V$10,IF(AB34=$V$3,IF(AP34&lt;1,$V$8,$V$2&amp;" "&amp;AP34&amp;" "&amp;$V$1),IF(AB34="SKLADEM",$V$6,IFERROR(IF(OR(AB34-TODAY()&gt;21,VLOOKUP(C34,[1]List1!$A:$E,4,FALSE)=0),AB34,DAY(AB34)&amp;"."&amp;MONTH(AB34)&amp;"."&amp;YEAR(AB34)&amp;" "&amp;$V$4&amp;VLOOKUP(C34,[1]List1!$A:$E,4,FALSE)&amp;" "&amp;$V$1),AB34))))</f>
        <v>AUF LAGER</v>
      </c>
      <c r="AD34" s="772" t="str">
        <f t="shared" ca="1" si="9"/>
        <v>AUF LAGER</v>
      </c>
      <c r="AE34" s="605"/>
      <c r="AF34" s="605"/>
      <c r="AG34" s="615"/>
      <c r="AH34" s="616"/>
      <c r="AI34" s="615"/>
      <c r="AJ34" s="617"/>
      <c r="AK34" s="617"/>
      <c r="AL34" s="617"/>
      <c r="AM34" s="617"/>
      <c r="AN34" s="292"/>
      <c r="AO34" s="567" t="str">
        <f t="shared" si="3"/>
        <v/>
      </c>
      <c r="AP34" s="568" t="str">
        <f>IF(AB34=$V$3,IF(VLOOKUP(C34,[1]List1!$A:$E,5,FALSE)=0,1,VLOOKUP(C34,[1]List1!$A:$E,5,FALSE)),"")</f>
        <v/>
      </c>
      <c r="AQ34" s="292" t="str">
        <f t="shared" si="4"/>
        <v/>
      </c>
      <c r="AR34" s="618" t="str">
        <f t="shared" si="5"/>
        <v/>
      </c>
      <c r="AS34" s="292" t="str">
        <f t="shared" si="6"/>
        <v/>
      </c>
      <c r="AT34" s="377" t="e">
        <f t="shared" si="7"/>
        <v>#N/A</v>
      </c>
      <c r="AU34" s="292" t="e">
        <f t="shared" si="10"/>
        <v>#N/A</v>
      </c>
    </row>
    <row r="35" spans="1:47" ht="15" customHeight="1">
      <c r="A35" s="601" t="str">
        <f>Kat.!B35</f>
        <v/>
      </c>
      <c r="B35" s="601">
        <f t="shared" si="8"/>
        <v>1</v>
      </c>
      <c r="C35" s="758" t="s">
        <v>128</v>
      </c>
      <c r="D35" s="759"/>
      <c r="E35" s="760"/>
      <c r="F35" s="761"/>
      <c r="G35" s="762"/>
      <c r="H35" s="596"/>
      <c r="I35" s="763"/>
      <c r="J35" s="764"/>
      <c r="K35" s="773"/>
      <c r="L35" s="766"/>
      <c r="M35" s="764"/>
      <c r="N35" s="767"/>
      <c r="O35" s="763"/>
      <c r="P35" s="763"/>
      <c r="Q35" s="764"/>
      <c r="R35" s="764"/>
      <c r="S35" s="764"/>
      <c r="T35" s="761"/>
      <c r="U35" s="768"/>
      <c r="V35" s="768"/>
      <c r="W35" s="769" t="str">
        <f>IFERROR(VLOOKUP('General price list'!$C35,Popisy!A:P,MATCH($W$17,Popisy!$A$7:$P$7,0),FALSE),"---------------")</f>
        <v>Schwarze Knallkugeln (Durchmesser 14 mm)</v>
      </c>
      <c r="X35" s="769" t="str">
        <f t="shared" si="2"/>
        <v/>
      </c>
      <c r="Y35" s="1027">
        <f>IF(OR(AP35&lt;AA35,AND(NOT(OR(LEFT(AB35,3)="SKL",LEFT(AB35,3)=LEFT($V$2,3))),AA35&gt;0),AND('Deutsche Markt'!$AH$1=FALSE,J35="F4",AA35&gt;0)),"",AA35)</f>
        <v>0</v>
      </c>
      <c r="Z35" s="769"/>
      <c r="AA35" s="771">
        <f>'Deutsche Markt'!AA35</f>
        <v>0</v>
      </c>
      <c r="AB35" s="772" t="str">
        <f>IFERROR(IF(VLOOKUP(C35,[1]List1!$A:$D,2,FALSE)="VYPRODÁNO",$V$9,IF(VLOOKUP(C35,[1]List1!$A:$D,2,FALSE)="DOCHÁZÍ",$V$3,VLOOKUP(C35,[1]List1!$A:$D,2,FALSE))),"OFFLINE!")</f>
        <v>SKLADEM</v>
      </c>
      <c r="AC35" s="772" t="str">
        <f ca="1">IF(AO35="NE",$V$10,IF(AB35=$V$3,IF(AP35&lt;1,$V$8,$V$2&amp;" "&amp;AP35&amp;" "&amp;$V$1),IF(AB35="SKLADEM",$V$6,IFERROR(IF(OR(AB35-TODAY()&gt;21,VLOOKUP(C35,[1]List1!$A:$E,4,FALSE)=0),AB35,DAY(AB35)&amp;"."&amp;MONTH(AB35)&amp;"."&amp;YEAR(AB35)&amp;" "&amp;$V$4&amp;VLOOKUP(C35,[1]List1!$A:$E,4,FALSE)&amp;" "&amp;$V$1),AB35))))</f>
        <v>AUF LAGER</v>
      </c>
      <c r="AD35" s="772" t="str">
        <f t="shared" ca="1" si="9"/>
        <v>AUF LAGER</v>
      </c>
      <c r="AE35" s="605"/>
      <c r="AF35" s="605"/>
      <c r="AG35" s="615"/>
      <c r="AH35" s="616"/>
      <c r="AI35" s="615"/>
      <c r="AJ35" s="617"/>
      <c r="AK35" s="617"/>
      <c r="AL35" s="617"/>
      <c r="AM35" s="617"/>
      <c r="AN35" s="292"/>
      <c r="AO35" s="567" t="str">
        <f t="shared" si="3"/>
        <v/>
      </c>
      <c r="AP35" s="568" t="str">
        <f>IF(AB35=$V$3,IF(VLOOKUP(C35,[1]List1!$A:$E,5,FALSE)=0,1,VLOOKUP(C35,[1]List1!$A:$E,5,FALSE)),"")</f>
        <v/>
      </c>
      <c r="AQ35" s="292" t="str">
        <f t="shared" si="4"/>
        <v/>
      </c>
      <c r="AR35" s="618" t="str">
        <f t="shared" si="5"/>
        <v/>
      </c>
      <c r="AS35" s="292" t="str">
        <f t="shared" si="6"/>
        <v/>
      </c>
      <c r="AT35" s="377" t="e">
        <f t="shared" si="7"/>
        <v>#N/A</v>
      </c>
      <c r="AU35" s="292" t="e">
        <f t="shared" si="10"/>
        <v>#N/A</v>
      </c>
    </row>
    <row r="36" spans="1:47" ht="15" customHeight="1">
      <c r="A36" s="601" t="str">
        <f>Kat.!B36</f>
        <v>Fliegen Artikel</v>
      </c>
      <c r="B36" s="601">
        <f t="shared" si="8"/>
        <v>0</v>
      </c>
      <c r="C36" s="758"/>
      <c r="D36" s="759"/>
      <c r="E36" s="760"/>
      <c r="F36" s="761"/>
      <c r="G36" s="762"/>
      <c r="H36" s="596"/>
      <c r="I36" s="763"/>
      <c r="J36" s="764"/>
      <c r="K36" s="774"/>
      <c r="L36" s="766"/>
      <c r="M36" s="764"/>
      <c r="N36" s="767"/>
      <c r="O36" s="763"/>
      <c r="P36" s="763"/>
      <c r="Q36" s="764"/>
      <c r="R36" s="764"/>
      <c r="S36" s="764"/>
      <c r="T36" s="761"/>
      <c r="U36" s="768"/>
      <c r="V36" s="768"/>
      <c r="W36" s="769" t="str">
        <f>IFERROR(VLOOKUP('General price list'!$C36,Popisy!A:P,MATCH($W$17,Popisy!$A$7:$P$7,0),FALSE),"---------------")</f>
        <v>---------------</v>
      </c>
      <c r="X36" s="769" t="str">
        <f t="shared" si="2"/>
        <v/>
      </c>
      <c r="Y36" s="1027">
        <f>IF(OR(AP36&lt;AA36,AND(NOT(OR(LEFT(AB36,3)="SKL",LEFT(AB36,3)=LEFT($V$2,3))),AA36&gt;0),AND('Deutsche Markt'!$AH$1=FALSE,J36="F4",AA36&gt;0)),"",AA36)</f>
        <v>0</v>
      </c>
      <c r="Z36" s="769"/>
      <c r="AA36" s="771">
        <f>'Deutsche Markt'!AA36</f>
        <v>0</v>
      </c>
      <c r="AB36" s="772" t="str">
        <f>IFERROR(IF(VLOOKUP(C36,[1]List1!$A:$D,2,FALSE)="VYPRODÁNO",$V$9,IF(VLOOKUP(C36,[1]List1!$A:$D,2,FALSE)="DOCHÁZÍ",$V$3,VLOOKUP(C36,[1]List1!$A:$D,2,FALSE))),"OFFLINE!")</f>
        <v>OFFLINE!</v>
      </c>
      <c r="AC36" s="772" t="str">
        <f ca="1">IF(AO36="NE",$V$10,IF(AB36=$V$3,IF(AP36&lt;1,$V$8,$V$2&amp;" "&amp;AP36&amp;" "&amp;$V$1),IF(AB36="SKLADEM",$V$6,IFERROR(IF(OR(AB36-TODAY()&gt;21,VLOOKUP(C36,[1]List1!$A:$E,4,FALSE)=0),AB36,DAY(AB36)&amp;"."&amp;MONTH(AB36)&amp;"."&amp;YEAR(AB36)&amp;" "&amp;$V$4&amp;VLOOKUP(C36,[1]List1!$A:$E,4,FALSE)&amp;" "&amp;$V$1),AB36))))</f>
        <v>OFFLINE!</v>
      </c>
      <c r="AD36" s="772" t="str">
        <f t="shared" ca="1" si="9"/>
        <v>OFFLINE!</v>
      </c>
      <c r="AE36" s="605"/>
      <c r="AF36" s="605"/>
      <c r="AG36" s="615"/>
      <c r="AH36" s="616"/>
      <c r="AI36" s="615"/>
      <c r="AJ36" s="617"/>
      <c r="AK36" s="617"/>
      <c r="AL36" s="617"/>
      <c r="AM36" s="617"/>
      <c r="AN36" s="292"/>
      <c r="AO36" s="567" t="str">
        <f t="shared" si="3"/>
        <v/>
      </c>
      <c r="AP36" s="568" t="str">
        <f>IF(AB36=$V$3,IF(VLOOKUP(C36,[1]List1!$A:$E,5,FALSE)=0,1,VLOOKUP(C36,[1]List1!$A:$E,5,FALSE)),"")</f>
        <v/>
      </c>
      <c r="AQ36" s="292" t="str">
        <f t="shared" si="4"/>
        <v/>
      </c>
      <c r="AR36" s="618" t="str">
        <f t="shared" si="5"/>
        <v/>
      </c>
      <c r="AS36" s="292" t="str">
        <f t="shared" si="6"/>
        <v/>
      </c>
      <c r="AT36" s="377" t="e">
        <f t="shared" si="7"/>
        <v>#N/A</v>
      </c>
      <c r="AU36" s="292" t="e">
        <f t="shared" si="10"/>
        <v>#N/A</v>
      </c>
    </row>
    <row r="37" spans="1:47" ht="15" customHeight="1">
      <c r="A37" s="601" t="str">
        <f>Kat.!B37</f>
        <v/>
      </c>
      <c r="B37" s="601">
        <f t="shared" si="8"/>
        <v>1</v>
      </c>
      <c r="C37" s="758" t="s">
        <v>3047</v>
      </c>
      <c r="D37" s="759"/>
      <c r="E37" s="760"/>
      <c r="F37" s="761"/>
      <c r="G37" s="762"/>
      <c r="H37" s="596"/>
      <c r="I37" s="763"/>
      <c r="J37" s="764"/>
      <c r="K37" s="773"/>
      <c r="L37" s="766"/>
      <c r="M37" s="764"/>
      <c r="N37" s="767"/>
      <c r="O37" s="763"/>
      <c r="P37" s="763"/>
      <c r="Q37" s="764"/>
      <c r="R37" s="764"/>
      <c r="S37" s="764"/>
      <c r="T37" s="761"/>
      <c r="U37" s="768"/>
      <c r="V37" s="768"/>
      <c r="W37" s="769" t="str">
        <f>IFERROR(VLOOKUP('General price list'!$C37,Popisy!A:P,MATCH($W$17,Popisy!$A$7:$P$7,0),FALSE),"---------------")</f>
        <v>Pfeifende Wespe</v>
      </c>
      <c r="X37" s="769" t="str">
        <f t="shared" si="2"/>
        <v/>
      </c>
      <c r="Y37" s="1027">
        <f>IF(OR(AP37&lt;AA37,AND(NOT(OR(LEFT(AB37,3)="SKL",LEFT(AB37,3)=LEFT($V$2,3))),AA37&gt;0),AND('Deutsche Markt'!$AH$1=FALSE,J37="F4",AA37&gt;0)),"",AA37)</f>
        <v>0</v>
      </c>
      <c r="Z37" s="769"/>
      <c r="AA37" s="771">
        <f>'Deutsche Markt'!AA37</f>
        <v>0</v>
      </c>
      <c r="AB37" s="772" t="str">
        <f>IFERROR(IF(VLOOKUP(C37,[1]List1!$A:$D,2,FALSE)="VYPRODÁNO",$V$9,IF(VLOOKUP(C37,[1]List1!$A:$D,2,FALSE)="DOCHÁZÍ",$V$3,VLOOKUP(C37,[1]List1!$A:$D,2,FALSE))),"OFFLINE!")</f>
        <v>SKLADEM</v>
      </c>
      <c r="AC37" s="772" t="str">
        <f ca="1">IF(AO37="NE",$V$10,IF(AB37=$V$3,IF(AP37&lt;1,$V$8,$V$2&amp;" "&amp;AP37&amp;" "&amp;$V$1),IF(AB37="SKLADEM",$V$6,IFERROR(IF(OR(AB37-TODAY()&gt;21,VLOOKUP(C37,[1]List1!$A:$E,4,FALSE)=0),AB37,DAY(AB37)&amp;"."&amp;MONTH(AB37)&amp;"."&amp;YEAR(AB37)&amp;" "&amp;$V$4&amp;VLOOKUP(C37,[1]List1!$A:$E,4,FALSE)&amp;" "&amp;$V$1),AB37))))</f>
        <v>AUF LAGER</v>
      </c>
      <c r="AD37" s="772" t="str">
        <f t="shared" ca="1" si="9"/>
        <v>AUF LAGER</v>
      </c>
      <c r="AE37" s="605"/>
      <c r="AF37" s="605"/>
      <c r="AG37" s="615"/>
      <c r="AH37" s="616"/>
      <c r="AI37" s="615"/>
      <c r="AJ37" s="617"/>
      <c r="AK37" s="617"/>
      <c r="AL37" s="617"/>
      <c r="AM37" s="617"/>
      <c r="AN37" s="292"/>
      <c r="AO37" s="567" t="str">
        <f t="shared" si="3"/>
        <v/>
      </c>
      <c r="AP37" s="568" t="str">
        <f>IF(AB37=$V$3,IF(VLOOKUP(C37,[1]List1!$A:$E,5,FALSE)=0,1,VLOOKUP(C37,[1]List1!$A:$E,5,FALSE)),"")</f>
        <v/>
      </c>
      <c r="AQ37" s="292" t="str">
        <f t="shared" si="4"/>
        <v/>
      </c>
      <c r="AR37" s="618" t="str">
        <f t="shared" si="5"/>
        <v/>
      </c>
      <c r="AS37" s="292" t="str">
        <f t="shared" si="6"/>
        <v/>
      </c>
      <c r="AT37" s="377" t="e">
        <f t="shared" si="7"/>
        <v>#N/A</v>
      </c>
      <c r="AU37" s="292" t="e">
        <f t="shared" si="10"/>
        <v>#N/A</v>
      </c>
    </row>
    <row r="38" spans="1:47" ht="15" customHeight="1">
      <c r="A38" s="601" t="str">
        <f>Kat.!B38</f>
        <v>x</v>
      </c>
      <c r="B38" s="601">
        <f t="shared" si="8"/>
        <v>1</v>
      </c>
      <c r="C38" s="758" t="s">
        <v>11083</v>
      </c>
      <c r="D38" s="759"/>
      <c r="E38" s="760"/>
      <c r="F38" s="761"/>
      <c r="G38" s="762"/>
      <c r="H38" s="596"/>
      <c r="I38" s="763"/>
      <c r="J38" s="764"/>
      <c r="K38" s="774"/>
      <c r="L38" s="766"/>
      <c r="M38" s="764"/>
      <c r="N38" s="767"/>
      <c r="O38" s="763"/>
      <c r="P38" s="763"/>
      <c r="Q38" s="764"/>
      <c r="R38" s="764"/>
      <c r="S38" s="764"/>
      <c r="T38" s="761"/>
      <c r="U38" s="768"/>
      <c r="V38" s="768"/>
      <c r="W38" s="769" t="str">
        <f>IFERROR(VLOOKUP('General price list'!$C38,Popisy!A:P,MATCH($W$17,Popisy!$A$7:$P$7,0),FALSE),"---------------")</f>
        <v>Pfeifende Wespe</v>
      </c>
      <c r="X38" s="769" t="str">
        <f t="shared" si="2"/>
        <v/>
      </c>
      <c r="Y38" s="1027">
        <f>IF(OR(AP38&lt;AA38,AND(NOT(OR(LEFT(AB38,3)="SKL",LEFT(AB38,3)=LEFT($V$2,3))),AA38&gt;0),AND('Deutsche Markt'!$AH$1=FALSE,J38="F4",AA38&gt;0)),"",AA38)</f>
        <v>0</v>
      </c>
      <c r="Z38" s="769"/>
      <c r="AA38" s="771">
        <f>'Deutsche Markt'!AA38</f>
        <v>0</v>
      </c>
      <c r="AB38" s="772" t="str">
        <f>IFERROR(IF(VLOOKUP(C38,[1]List1!$A:$D,2,FALSE)="VYPRODÁNO",$V$9,IF(VLOOKUP(C38,[1]List1!$A:$D,2,FALSE)="DOCHÁZÍ",$V$3,VLOOKUP(C38,[1]List1!$A:$D,2,FALSE))),"OFFLINE!")</f>
        <v>SKLADEM</v>
      </c>
      <c r="AC38" s="772" t="str">
        <f ca="1">IF(AO38="NE",$V$10,IF(AB38=$V$3,IF(AP38&lt;1,$V$8,$V$2&amp;" "&amp;AP38&amp;" "&amp;$V$1),IF(AB38="SKLADEM",$V$6,IFERROR(IF(OR(AB38-TODAY()&gt;21,VLOOKUP(C38,[1]List1!$A:$E,4,FALSE)=0),AB38,DAY(AB38)&amp;"."&amp;MONTH(AB38)&amp;"."&amp;YEAR(AB38)&amp;" "&amp;$V$4&amp;VLOOKUP(C38,[1]List1!$A:$E,4,FALSE)&amp;" "&amp;$V$1),AB38))))</f>
        <v>AUF LAGER</v>
      </c>
      <c r="AD38" s="772" t="str">
        <f t="shared" ca="1" si="9"/>
        <v>AUF LAGER</v>
      </c>
      <c r="AE38" s="605"/>
      <c r="AF38" s="605"/>
      <c r="AG38" s="615"/>
      <c r="AH38" s="616"/>
      <c r="AI38" s="615"/>
      <c r="AJ38" s="617"/>
      <c r="AK38" s="617"/>
      <c r="AL38" s="617"/>
      <c r="AM38" s="617"/>
      <c r="AO38" s="567" t="str">
        <f t="shared" si="3"/>
        <v/>
      </c>
      <c r="AP38" s="568" t="str">
        <f>IF(AB38=$V$3,IF(VLOOKUP(C38,[1]List1!$A:$E,5,FALSE)=0,1,VLOOKUP(C38,[1]List1!$A:$E,5,FALSE)),"")</f>
        <v/>
      </c>
      <c r="AQ38" s="292" t="str">
        <f t="shared" si="4"/>
        <v/>
      </c>
      <c r="AR38" s="618" t="str">
        <f t="shared" si="5"/>
        <v/>
      </c>
      <c r="AS38" s="292" t="str">
        <f t="shared" si="6"/>
        <v/>
      </c>
      <c r="AT38" s="377" t="e">
        <f t="shared" si="7"/>
        <v>#N/A</v>
      </c>
      <c r="AU38" s="292" t="e">
        <f t="shared" si="10"/>
        <v>#N/A</v>
      </c>
    </row>
    <row r="39" spans="1:47" ht="15" customHeight="1">
      <c r="A39" s="601" t="str">
        <f>Kat.!B39</f>
        <v/>
      </c>
      <c r="B39" s="601">
        <f t="shared" si="8"/>
        <v>1</v>
      </c>
      <c r="C39" s="758" t="s">
        <v>74</v>
      </c>
      <c r="D39" s="759"/>
      <c r="E39" s="760"/>
      <c r="F39" s="761"/>
      <c r="G39" s="762"/>
      <c r="H39" s="596"/>
      <c r="I39" s="763"/>
      <c r="J39" s="764"/>
      <c r="K39" s="773"/>
      <c r="L39" s="766"/>
      <c r="M39" s="764"/>
      <c r="N39" s="767"/>
      <c r="O39" s="763"/>
      <c r="P39" s="763"/>
      <c r="Q39" s="764"/>
      <c r="R39" s="764"/>
      <c r="S39" s="764"/>
      <c r="T39" s="761"/>
      <c r="U39" s="768"/>
      <c r="V39" s="768"/>
      <c r="W39" s="769" t="str">
        <f>IFERROR(VLOOKUP('General price list'!$C39,Popisy!A:P,MATCH($W$17,Popisy!$A$7:$P$7,0),FALSE),"---------------")</f>
        <v>Silberne rotierende Spur</v>
      </c>
      <c r="X39" s="769" t="str">
        <f t="shared" si="2"/>
        <v/>
      </c>
      <c r="Y39" s="1027">
        <f>IF(OR(AP39&lt;AA39,AND(NOT(OR(LEFT(AB39,3)="SKL",LEFT(AB39,3)=LEFT($V$2,3))),AA39&gt;0),AND('Deutsche Markt'!$AH$1=FALSE,J39="F4",AA39&gt;0)),"",AA39)</f>
        <v>0</v>
      </c>
      <c r="Z39" s="769"/>
      <c r="AA39" s="771">
        <f>'Deutsche Markt'!AA39</f>
        <v>0</v>
      </c>
      <c r="AB39" s="772" t="str">
        <f>IFERROR(IF(VLOOKUP(C39,[1]List1!$A:$D,2,FALSE)="VYPRODÁNO",$V$9,IF(VLOOKUP(C39,[1]List1!$A:$D,2,FALSE)="DOCHÁZÍ",$V$3,VLOOKUP(C39,[1]List1!$A:$D,2,FALSE))),"OFFLINE!")</f>
        <v>15.06.2024</v>
      </c>
      <c r="AC39" s="772" t="str">
        <f ca="1">IF(AO39="NE",$V$10,IF(AB39=$V$3,IF(AP39&lt;1,$V$8,$V$2&amp;" "&amp;AP39&amp;" "&amp;$V$1),IF(AB39="SKLADEM",$V$6,IFERROR(IF(OR(AB39-TODAY()&gt;21,VLOOKUP(C39,[1]List1!$A:$E,4,FALSE)=0),AB39,DAY(AB39)&amp;"."&amp;MONTH(AB39)&amp;"."&amp;YEAR(AB39)&amp;" "&amp;$V$4&amp;VLOOKUP(C39,[1]List1!$A:$E,4,FALSE)&amp;" "&amp;$V$1),AB39))))</f>
        <v>15.06.2024</v>
      </c>
      <c r="AD39" s="772" t="str">
        <f t="shared" ca="1" si="9"/>
        <v>15.06.2024</v>
      </c>
      <c r="AE39" s="605"/>
      <c r="AF39" s="605"/>
      <c r="AG39" s="615"/>
      <c r="AH39" s="616"/>
      <c r="AI39" s="615"/>
      <c r="AJ39" s="617"/>
      <c r="AK39" s="617"/>
      <c r="AL39" s="617"/>
      <c r="AM39" s="617"/>
      <c r="AN39" s="292"/>
      <c r="AO39" s="567" t="str">
        <f t="shared" si="3"/>
        <v/>
      </c>
      <c r="AP39" s="568" t="str">
        <f>IF(AB39=$V$3,IF(VLOOKUP(C39,[1]List1!$A:$E,5,FALSE)=0,1,VLOOKUP(C39,[1]List1!$A:$E,5,FALSE)),"")</f>
        <v/>
      </c>
      <c r="AQ39" s="292" t="str">
        <f t="shared" si="4"/>
        <v/>
      </c>
      <c r="AR39" s="618" t="str">
        <f t="shared" si="5"/>
        <v/>
      </c>
      <c r="AS39" s="292" t="str">
        <f t="shared" si="6"/>
        <v/>
      </c>
      <c r="AT39" s="377" t="e">
        <f t="shared" si="7"/>
        <v>#N/A</v>
      </c>
      <c r="AU39" s="292" t="e">
        <f t="shared" si="10"/>
        <v>#N/A</v>
      </c>
    </row>
    <row r="40" spans="1:47" ht="15" customHeight="1">
      <c r="A40" s="601" t="str">
        <f>Kat.!B40</f>
        <v/>
      </c>
      <c r="B40" s="601">
        <f t="shared" si="8"/>
        <v>1</v>
      </c>
      <c r="C40" s="758" t="s">
        <v>69</v>
      </c>
      <c r="D40" s="759"/>
      <c r="E40" s="760"/>
      <c r="F40" s="761"/>
      <c r="G40" s="762"/>
      <c r="H40" s="596"/>
      <c r="I40" s="763"/>
      <c r="J40" s="764"/>
      <c r="K40" s="774"/>
      <c r="L40" s="766"/>
      <c r="M40" s="764"/>
      <c r="N40" s="767"/>
      <c r="O40" s="763"/>
      <c r="P40" s="763"/>
      <c r="Q40" s="764"/>
      <c r="R40" s="764"/>
      <c r="S40" s="764"/>
      <c r="T40" s="761"/>
      <c r="U40" s="768"/>
      <c r="V40" s="768"/>
      <c r="W40" s="769" t="str">
        <f>IFERROR(VLOOKUP('General price list'!$C40,Popisy!A:P,MATCH($W$17,Popisy!$A$7:$P$7,0),FALSE),"---------------")</f>
        <v>Grüne rotierende Spur mit grünen blinkenden Sternen</v>
      </c>
      <c r="X40" s="769" t="str">
        <f t="shared" si="2"/>
        <v/>
      </c>
      <c r="Y40" s="1027">
        <f>IF(OR(AP40&lt;AA40,AND(NOT(OR(LEFT(AB40,3)="SKL",LEFT(AB40,3)=LEFT($V$2,3))),AA40&gt;0),AND('Deutsche Markt'!$AH$1=FALSE,J40="F4",AA40&gt;0)),"",AA40)</f>
        <v>0</v>
      </c>
      <c r="Z40" s="769"/>
      <c r="AA40" s="771">
        <f>'Deutsche Markt'!AA40</f>
        <v>0</v>
      </c>
      <c r="AB40" s="772" t="str">
        <f>IFERROR(IF(VLOOKUP(C40,[1]List1!$A:$D,2,FALSE)="VYPRODÁNO",$V$9,IF(VLOOKUP(C40,[1]List1!$A:$D,2,FALSE)="DOCHÁZÍ",$V$3,VLOOKUP(C40,[1]List1!$A:$D,2,FALSE))),"OFFLINE!")</f>
        <v>15.09.2024</v>
      </c>
      <c r="AC40" s="772" t="str">
        <f ca="1">IF(AO40="NE",$V$10,IF(AB40=$V$3,IF(AP40&lt;1,$V$8,$V$2&amp;" "&amp;AP40&amp;" "&amp;$V$1),IF(AB40="SKLADEM",$V$6,IFERROR(IF(OR(AB40-TODAY()&gt;21,VLOOKUP(C40,[1]List1!$A:$E,4,FALSE)=0),AB40,DAY(AB40)&amp;"."&amp;MONTH(AB40)&amp;"."&amp;YEAR(AB40)&amp;" "&amp;$V$4&amp;VLOOKUP(C40,[1]List1!$A:$E,4,FALSE)&amp;" "&amp;$V$1),AB40))))</f>
        <v>15.09.2024</v>
      </c>
      <c r="AD40" s="772" t="str">
        <f t="shared" ca="1" si="9"/>
        <v>15.09.2024</v>
      </c>
      <c r="AE40" s="605"/>
      <c r="AF40" s="605"/>
      <c r="AG40" s="615"/>
      <c r="AH40" s="616"/>
      <c r="AI40" s="615"/>
      <c r="AJ40" s="617"/>
      <c r="AK40" s="617"/>
      <c r="AL40" s="617"/>
      <c r="AM40" s="617"/>
      <c r="AN40" s="292"/>
      <c r="AO40" s="567" t="str">
        <f t="shared" si="3"/>
        <v/>
      </c>
      <c r="AP40" s="568" t="str">
        <f>IF(AB40=$V$3,IF(VLOOKUP(C40,[1]List1!$A:$E,5,FALSE)=0,1,VLOOKUP(C40,[1]List1!$A:$E,5,FALSE)),"")</f>
        <v/>
      </c>
      <c r="AQ40" s="292" t="str">
        <f t="shared" si="4"/>
        <v/>
      </c>
      <c r="AR40" s="618" t="str">
        <f t="shared" si="5"/>
        <v/>
      </c>
      <c r="AS40" s="292" t="str">
        <f t="shared" si="6"/>
        <v/>
      </c>
      <c r="AT40" s="377" t="e">
        <f t="shared" si="7"/>
        <v>#N/A</v>
      </c>
      <c r="AU40" s="292" t="e">
        <f t="shared" si="10"/>
        <v>#N/A</v>
      </c>
    </row>
    <row r="41" spans="1:47" ht="15" customHeight="1">
      <c r="A41" s="601" t="str">
        <f>Kat.!B41</f>
        <v/>
      </c>
      <c r="B41" s="601">
        <f t="shared" si="8"/>
        <v>1</v>
      </c>
      <c r="C41" s="758" t="s">
        <v>63</v>
      </c>
      <c r="D41" s="759"/>
      <c r="E41" s="760"/>
      <c r="F41" s="761"/>
      <c r="G41" s="762"/>
      <c r="H41" s="596"/>
      <c r="I41" s="763"/>
      <c r="J41" s="764"/>
      <c r="K41" s="773"/>
      <c r="L41" s="766"/>
      <c r="M41" s="764"/>
      <c r="N41" s="767"/>
      <c r="O41" s="763"/>
      <c r="P41" s="763"/>
      <c r="Q41" s="764"/>
      <c r="R41" s="764"/>
      <c r="S41" s="764"/>
      <c r="T41" s="761"/>
      <c r="U41" s="768"/>
      <c r="V41" s="768"/>
      <c r="W41" s="769" t="str">
        <f>IFERROR(VLOOKUP('General price list'!$C41,Popisy!A:P,MATCH($W$17,Popisy!$A$7:$P$7,0),FALSE),"---------------")</f>
        <v>Silberne rotierende Spur mit knallenden Sternen</v>
      </c>
      <c r="X41" s="769" t="str">
        <f t="shared" si="2"/>
        <v/>
      </c>
      <c r="Y41" s="1027">
        <f>IF(OR(AP41&lt;AA41,AND(NOT(OR(LEFT(AB41,3)="SKL",LEFT(AB41,3)=LEFT($V$2,3))),AA41&gt;0),AND('Deutsche Markt'!$AH$1=FALSE,J41="F4",AA41&gt;0)),"",AA41)</f>
        <v>0</v>
      </c>
      <c r="Z41" s="769"/>
      <c r="AA41" s="771">
        <f>'Deutsche Markt'!AA41</f>
        <v>0</v>
      </c>
      <c r="AB41" s="772" t="str">
        <f>IFERROR(IF(VLOOKUP(C41,[1]List1!$A:$D,2,FALSE)="VYPRODÁNO",$V$9,IF(VLOOKUP(C41,[1]List1!$A:$D,2,FALSE)="DOCHÁZÍ",$V$3,VLOOKUP(C41,[1]List1!$A:$D,2,FALSE))),"OFFLINE!")</f>
        <v>15.08.2024</v>
      </c>
      <c r="AC41" s="772" t="str">
        <f ca="1">IF(AO41="NE",$V$10,IF(AB41=$V$3,IF(AP41&lt;1,$V$8,$V$2&amp;" "&amp;AP41&amp;" "&amp;$V$1),IF(AB41="SKLADEM",$V$6,IFERROR(IF(OR(AB41-TODAY()&gt;21,VLOOKUP(C41,[1]List1!$A:$E,4,FALSE)=0),AB41,DAY(AB41)&amp;"."&amp;MONTH(AB41)&amp;"."&amp;YEAR(AB41)&amp;" "&amp;$V$4&amp;VLOOKUP(C41,[1]List1!$A:$E,4,FALSE)&amp;" "&amp;$V$1),AB41))))</f>
        <v>15.08.2024</v>
      </c>
      <c r="AD41" s="772" t="str">
        <f t="shared" ca="1" si="9"/>
        <v>15.08.2024</v>
      </c>
      <c r="AE41" s="605"/>
      <c r="AF41" s="605"/>
      <c r="AG41" s="615"/>
      <c r="AH41" s="616"/>
      <c r="AI41" s="615"/>
      <c r="AJ41" s="617"/>
      <c r="AK41" s="617"/>
      <c r="AL41" s="617"/>
      <c r="AM41" s="617"/>
      <c r="AO41" s="567" t="str">
        <f t="shared" si="3"/>
        <v/>
      </c>
      <c r="AP41" s="568" t="str">
        <f>IF(AB41=$V$3,IF(VLOOKUP(C41,[1]List1!$A:$E,5,FALSE)=0,1,VLOOKUP(C41,[1]List1!$A:$E,5,FALSE)),"")</f>
        <v/>
      </c>
      <c r="AQ41" s="292" t="str">
        <f t="shared" si="4"/>
        <v/>
      </c>
      <c r="AR41" s="618" t="str">
        <f t="shared" si="5"/>
        <v/>
      </c>
      <c r="AS41" s="292" t="str">
        <f t="shared" si="6"/>
        <v/>
      </c>
      <c r="AT41" s="377" t="e">
        <f t="shared" si="7"/>
        <v>#N/A</v>
      </c>
      <c r="AU41" s="292" t="e">
        <f t="shared" si="10"/>
        <v>#N/A</v>
      </c>
    </row>
    <row r="42" spans="1:47" ht="15" customHeight="1">
      <c r="A42" s="601" t="str">
        <f>Kat.!B42</f>
        <v/>
      </c>
      <c r="B42" s="601">
        <f t="shared" si="8"/>
        <v>1</v>
      </c>
      <c r="C42" s="758" t="s">
        <v>57</v>
      </c>
      <c r="D42" s="759"/>
      <c r="E42" s="760"/>
      <c r="F42" s="761"/>
      <c r="G42" s="762"/>
      <c r="H42" s="596"/>
      <c r="I42" s="763"/>
      <c r="J42" s="764"/>
      <c r="K42" s="774"/>
      <c r="L42" s="766"/>
      <c r="M42" s="764"/>
      <c r="N42" s="767"/>
      <c r="O42" s="763"/>
      <c r="P42" s="763"/>
      <c r="Q42" s="764"/>
      <c r="R42" s="764"/>
      <c r="S42" s="764"/>
      <c r="T42" s="761"/>
      <c r="U42" s="768"/>
      <c r="V42" s="768"/>
      <c r="W42" s="769" t="str">
        <f>IFERROR(VLOOKUP('General price list'!$C42,Popisy!A:P,MATCH($W$17,Popisy!$A$7:$P$7,0),FALSE),"---------------")</f>
        <v>Silberne rotierende Spur + rote Perlen mit der weißen blinkenden Mitte</v>
      </c>
      <c r="X42" s="769" t="str">
        <f t="shared" si="2"/>
        <v/>
      </c>
      <c r="Y42" s="1027">
        <f>IF(OR(AP42&lt;AA42,AND(NOT(OR(LEFT(AB42,3)="SKL",LEFT(AB42,3)=LEFT($V$2,3))),AA42&gt;0),AND('Deutsche Markt'!$AH$1=FALSE,J42="F4",AA42&gt;0)),"",AA42)</f>
        <v>0</v>
      </c>
      <c r="Z42" s="769"/>
      <c r="AA42" s="771">
        <f>'Deutsche Markt'!AA42</f>
        <v>0</v>
      </c>
      <c r="AB42" s="772" t="str">
        <f>IFERROR(IF(VLOOKUP(C42,[1]List1!$A:$D,2,FALSE)="VYPRODÁNO",$V$9,IF(VLOOKUP(C42,[1]List1!$A:$D,2,FALSE)="DOCHÁZÍ",$V$3,VLOOKUP(C42,[1]List1!$A:$D,2,FALSE))),"OFFLINE!")</f>
        <v>SKLADEM</v>
      </c>
      <c r="AC42" s="772" t="str">
        <f ca="1">IF(AO42="NE",$V$10,IF(AB42=$V$3,IF(AP42&lt;1,$V$8,$V$2&amp;" "&amp;AP42&amp;" "&amp;$V$1),IF(AB42="SKLADEM",$V$6,IFERROR(IF(OR(AB42-TODAY()&gt;21,VLOOKUP(C42,[1]List1!$A:$E,4,FALSE)=0),AB42,DAY(AB42)&amp;"."&amp;MONTH(AB42)&amp;"."&amp;YEAR(AB42)&amp;" "&amp;$V$4&amp;VLOOKUP(C42,[1]List1!$A:$E,4,FALSE)&amp;" "&amp;$V$1),AB42))))</f>
        <v>AUF LAGER</v>
      </c>
      <c r="AD42" s="772" t="str">
        <f t="shared" ca="1" si="9"/>
        <v>AUF LAGER</v>
      </c>
      <c r="AE42" s="605"/>
      <c r="AF42" s="605"/>
      <c r="AG42" s="615"/>
      <c r="AH42" s="616"/>
      <c r="AI42" s="615"/>
      <c r="AJ42" s="617"/>
      <c r="AK42" s="617"/>
      <c r="AL42" s="617"/>
      <c r="AM42" s="617"/>
      <c r="AO42" s="567" t="str">
        <f t="shared" si="3"/>
        <v/>
      </c>
      <c r="AP42" s="568" t="str">
        <f>IF(AB42=$V$3,IF(VLOOKUP(C42,[1]List1!$A:$E,5,FALSE)=0,1,VLOOKUP(C42,[1]List1!$A:$E,5,FALSE)),"")</f>
        <v/>
      </c>
      <c r="AQ42" s="292" t="str">
        <f t="shared" si="4"/>
        <v/>
      </c>
      <c r="AR42" s="618" t="str">
        <f t="shared" si="5"/>
        <v/>
      </c>
      <c r="AS42" s="292" t="str">
        <f t="shared" si="6"/>
        <v/>
      </c>
      <c r="AT42" s="377" t="e">
        <f t="shared" si="7"/>
        <v>#N/A</v>
      </c>
      <c r="AU42" s="292" t="e">
        <f t="shared" si="10"/>
        <v>#N/A</v>
      </c>
    </row>
    <row r="43" spans="1:47" ht="15" customHeight="1">
      <c r="A43" s="601" t="str">
        <f>Kat.!B43</f>
        <v/>
      </c>
      <c r="B43" s="601">
        <f t="shared" si="8"/>
        <v>1</v>
      </c>
      <c r="C43" s="758" t="s">
        <v>51</v>
      </c>
      <c r="D43" s="759"/>
      <c r="E43" s="760"/>
      <c r="F43" s="761"/>
      <c r="G43" s="762"/>
      <c r="H43" s="596"/>
      <c r="I43" s="763"/>
      <c r="J43" s="764"/>
      <c r="K43" s="773"/>
      <c r="L43" s="766"/>
      <c r="M43" s="764"/>
      <c r="N43" s="767"/>
      <c r="O43" s="763"/>
      <c r="P43" s="763"/>
      <c r="Q43" s="764"/>
      <c r="R43" s="764"/>
      <c r="S43" s="764"/>
      <c r="T43" s="761"/>
      <c r="U43" s="768"/>
      <c r="V43" s="768"/>
      <c r="W43" s="769" t="str">
        <f>IFERROR(VLOOKUP('General price list'!$C43,Popisy!A:P,MATCH($W$17,Popisy!$A$7:$P$7,0),FALSE),"---------------")</f>
        <v>Rote Spur mit der roten Welle und mit der knallenden Mitte</v>
      </c>
      <c r="X43" s="769" t="str">
        <f t="shared" si="2"/>
        <v/>
      </c>
      <c r="Y43" s="1027">
        <f>IF(OR(AP43&lt;AA43,AND(NOT(OR(LEFT(AB43,3)="SKL",LEFT(AB43,3)=LEFT($V$2,3))),AA43&gt;0),AND('Deutsche Markt'!$AH$1=FALSE,J43="F4",AA43&gt;0)),"",AA43)</f>
        <v>0</v>
      </c>
      <c r="Z43" s="769"/>
      <c r="AA43" s="771">
        <f>'Deutsche Markt'!AA43</f>
        <v>0</v>
      </c>
      <c r="AB43" s="772" t="str">
        <f>IFERROR(IF(VLOOKUP(C43,[1]List1!$A:$D,2,FALSE)="VYPRODÁNO",$V$9,IF(VLOOKUP(C43,[1]List1!$A:$D,2,FALSE)="DOCHÁZÍ",$V$3,VLOOKUP(C43,[1]List1!$A:$D,2,FALSE))),"OFFLINE!")</f>
        <v>SKLADEM</v>
      </c>
      <c r="AC43" s="772" t="str">
        <f ca="1">IF(AO43="NE",$V$10,IF(AB43=$V$3,IF(AP43&lt;1,$V$8,$V$2&amp;" "&amp;AP43&amp;" "&amp;$V$1),IF(AB43="SKLADEM",$V$6,IFERROR(IF(OR(AB43-TODAY()&gt;21,VLOOKUP(C43,[1]List1!$A:$E,4,FALSE)=0),AB43,DAY(AB43)&amp;"."&amp;MONTH(AB43)&amp;"."&amp;YEAR(AB43)&amp;" "&amp;$V$4&amp;VLOOKUP(C43,[1]List1!$A:$E,4,FALSE)&amp;" "&amp;$V$1),AB43))))</f>
        <v>AUF LAGER</v>
      </c>
      <c r="AD43" s="772" t="str">
        <f t="shared" ca="1" si="9"/>
        <v>AUF LAGER</v>
      </c>
      <c r="AE43" s="605"/>
      <c r="AF43" s="605"/>
      <c r="AG43" s="615"/>
      <c r="AH43" s="616"/>
      <c r="AI43" s="615"/>
      <c r="AJ43" s="617"/>
      <c r="AK43" s="617"/>
      <c r="AL43" s="617"/>
      <c r="AM43" s="617"/>
      <c r="AN43" s="292"/>
      <c r="AO43" s="567" t="str">
        <f t="shared" si="3"/>
        <v/>
      </c>
      <c r="AP43" s="568" t="str">
        <f>IF(AB43=$V$3,IF(VLOOKUP(C43,[1]List1!$A:$E,5,FALSE)=0,1,VLOOKUP(C43,[1]List1!$A:$E,5,FALSE)),"")</f>
        <v/>
      </c>
      <c r="AQ43" s="292" t="str">
        <f t="shared" si="4"/>
        <v/>
      </c>
      <c r="AR43" s="618" t="str">
        <f t="shared" si="5"/>
        <v/>
      </c>
      <c r="AS43" s="292" t="str">
        <f t="shared" si="6"/>
        <v/>
      </c>
      <c r="AT43" s="377" t="e">
        <f t="shared" si="7"/>
        <v>#N/A</v>
      </c>
      <c r="AU43" s="292" t="e">
        <f t="shared" si="10"/>
        <v>#N/A</v>
      </c>
    </row>
    <row r="44" spans="1:47" ht="15" customHeight="1">
      <c r="A44" s="601" t="str">
        <f>Kat.!B44</f>
        <v/>
      </c>
      <c r="B44" s="601">
        <f t="shared" si="8"/>
        <v>1</v>
      </c>
      <c r="C44" s="758" t="s">
        <v>2291</v>
      </c>
      <c r="D44" s="759"/>
      <c r="E44" s="760"/>
      <c r="F44" s="761"/>
      <c r="G44" s="762"/>
      <c r="H44" s="596"/>
      <c r="I44" s="763"/>
      <c r="J44" s="764"/>
      <c r="K44" s="774"/>
      <c r="L44" s="766"/>
      <c r="M44" s="764"/>
      <c r="N44" s="767"/>
      <c r="O44" s="763"/>
      <c r="P44" s="763"/>
      <c r="Q44" s="764"/>
      <c r="R44" s="764"/>
      <c r="S44" s="764"/>
      <c r="T44" s="761"/>
      <c r="U44" s="768"/>
      <c r="V44" s="768"/>
      <c r="W44" s="769" t="str">
        <f>IFERROR(VLOOKUP('General price list'!$C44,Popisy!A:P,MATCH($W$17,Popisy!$A$7:$P$7,0),FALSE),"---------------")</f>
        <v xml:space="preserve">pfeifendes Flugzeug mit rotem Licht und knackenden Sternen (2 Stück) + pfeifendes Flugzeug mit grünem Licht und knackenden Sternen (2 Stück) </v>
      </c>
      <c r="X44" s="769" t="str">
        <f t="shared" si="2"/>
        <v/>
      </c>
      <c r="Y44" s="1027">
        <f>IF(OR(AP44&lt;AA44,AND(NOT(OR(LEFT(AB44,3)="SKL",LEFT(AB44,3)=LEFT($V$2,3))),AA44&gt;0),AND('Deutsche Markt'!$AH$1=FALSE,J44="F4",AA44&gt;0)),"",AA44)</f>
        <v>0</v>
      </c>
      <c r="Z44" s="769"/>
      <c r="AA44" s="771">
        <f>'Deutsche Markt'!AA44</f>
        <v>0</v>
      </c>
      <c r="AB44" s="772" t="str">
        <f>IFERROR(IF(VLOOKUP(C44,[1]List1!$A:$D,2,FALSE)="VYPRODÁNO",$V$9,IF(VLOOKUP(C44,[1]List1!$A:$D,2,FALSE)="DOCHÁZÍ",$V$3,VLOOKUP(C44,[1]List1!$A:$D,2,FALSE))),"OFFLINE!")</f>
        <v>SKLADEM</v>
      </c>
      <c r="AC44" s="772" t="str">
        <f ca="1">IF(AO44="NE",$V$10,IF(AB44=$V$3,IF(AP44&lt;1,$V$8,$V$2&amp;" "&amp;AP44&amp;" "&amp;$V$1),IF(AB44="SKLADEM",$V$6,IFERROR(IF(OR(AB44-TODAY()&gt;21,VLOOKUP(C44,[1]List1!$A:$E,4,FALSE)=0),AB44,DAY(AB44)&amp;"."&amp;MONTH(AB44)&amp;"."&amp;YEAR(AB44)&amp;" "&amp;$V$4&amp;VLOOKUP(C44,[1]List1!$A:$E,4,FALSE)&amp;" "&amp;$V$1),AB44))))</f>
        <v>AUF LAGER</v>
      </c>
      <c r="AD44" s="772" t="str">
        <f t="shared" ca="1" si="9"/>
        <v>AUF LAGER</v>
      </c>
      <c r="AE44" s="605"/>
      <c r="AF44" s="605"/>
      <c r="AG44" s="615"/>
      <c r="AH44" s="616"/>
      <c r="AI44" s="615"/>
      <c r="AJ44" s="617"/>
      <c r="AK44" s="617"/>
      <c r="AL44" s="617"/>
      <c r="AM44" s="617"/>
      <c r="AO44" s="567" t="str">
        <f t="shared" si="3"/>
        <v/>
      </c>
      <c r="AP44" s="568" t="str">
        <f>IF(AB44=$V$3,IF(VLOOKUP(C44,[1]List1!$A:$E,5,FALSE)=0,1,VLOOKUP(C44,[1]List1!$A:$E,5,FALSE)),"")</f>
        <v/>
      </c>
      <c r="AQ44" s="292" t="str">
        <f t="shared" si="4"/>
        <v/>
      </c>
      <c r="AR44" s="618" t="str">
        <f t="shared" si="5"/>
        <v/>
      </c>
      <c r="AS44" s="292" t="str">
        <f t="shared" si="6"/>
        <v/>
      </c>
      <c r="AT44" s="377" t="e">
        <f t="shared" si="7"/>
        <v>#N/A</v>
      </c>
      <c r="AU44" s="292" t="e">
        <f t="shared" si="10"/>
        <v>#N/A</v>
      </c>
    </row>
    <row r="45" spans="1:47" ht="15" customHeight="1">
      <c r="A45" s="601" t="str">
        <f>Kat.!B45</f>
        <v/>
      </c>
      <c r="B45" s="601">
        <f t="shared" si="8"/>
        <v>1</v>
      </c>
      <c r="C45" s="758" t="s">
        <v>2293</v>
      </c>
      <c r="D45" s="759"/>
      <c r="E45" s="760"/>
      <c r="F45" s="761"/>
      <c r="G45" s="762"/>
      <c r="H45" s="596"/>
      <c r="I45" s="763"/>
      <c r="J45" s="764"/>
      <c r="K45" s="773"/>
      <c r="L45" s="766"/>
      <c r="M45" s="764"/>
      <c r="N45" s="767"/>
      <c r="O45" s="763"/>
      <c r="P45" s="763"/>
      <c r="Q45" s="764"/>
      <c r="R45" s="764"/>
      <c r="S45" s="764"/>
      <c r="T45" s="761"/>
      <c r="U45" s="768"/>
      <c r="V45" s="768"/>
      <c r="W45" s="769" t="str">
        <f>IFERROR(VLOOKUP('General price list'!$C45,Popisy!A:P,MATCH($W$17,Popisy!$A$7:$P$7,0),FALSE),"---------------")</f>
        <v xml:space="preserve">Fliegender / pulsierender Farbeffekt mit Brokatkrone (1 Stück), Fliegender / pulsierender Farbeffekt mit knackenden Sternen (1 Stück) </v>
      </c>
      <c r="X45" s="769" t="str">
        <f t="shared" si="2"/>
        <v/>
      </c>
      <c r="Y45" s="1027">
        <f>IF(OR(AP45&lt;AA45,AND(NOT(OR(LEFT(AB45,3)="SKL",LEFT(AB45,3)=LEFT($V$2,3))),AA45&gt;0),AND('Deutsche Markt'!$AH$1=FALSE,J45="F4",AA45&gt;0)),"",AA45)</f>
        <v>0</v>
      </c>
      <c r="Z45" s="769"/>
      <c r="AA45" s="771">
        <f>'Deutsche Markt'!AA45</f>
        <v>0</v>
      </c>
      <c r="AB45" s="772" t="str">
        <f>IFERROR(IF(VLOOKUP(C45,[1]List1!$A:$D,2,FALSE)="VYPRODÁNO",$V$9,IF(VLOOKUP(C45,[1]List1!$A:$D,2,FALSE)="DOCHÁZÍ",$V$3,VLOOKUP(C45,[1]List1!$A:$D,2,FALSE))),"OFFLINE!")</f>
        <v>15.06.2024</v>
      </c>
      <c r="AC45" s="772" t="str">
        <f ca="1">IF(AO45="NE",$V$10,IF(AB45=$V$3,IF(AP45&lt;1,$V$8,$V$2&amp;" "&amp;AP45&amp;" "&amp;$V$1),IF(AB45="SKLADEM",$V$6,IFERROR(IF(OR(AB45-TODAY()&gt;21,VLOOKUP(C45,[1]List1!$A:$E,4,FALSE)=0),AB45,DAY(AB45)&amp;"."&amp;MONTH(AB45)&amp;"."&amp;YEAR(AB45)&amp;" "&amp;$V$4&amp;VLOOKUP(C45,[1]List1!$A:$E,4,FALSE)&amp;" "&amp;$V$1),AB45))))</f>
        <v>15.06.2024</v>
      </c>
      <c r="AD45" s="772" t="str">
        <f t="shared" ca="1" si="9"/>
        <v>15.06.2024</v>
      </c>
      <c r="AE45" s="605"/>
      <c r="AF45" s="605"/>
      <c r="AG45" s="615"/>
      <c r="AH45" s="616"/>
      <c r="AI45" s="615"/>
      <c r="AJ45" s="617"/>
      <c r="AK45" s="617"/>
      <c r="AL45" s="617"/>
      <c r="AM45" s="617"/>
      <c r="AN45" s="292"/>
      <c r="AO45" s="567" t="str">
        <f t="shared" si="3"/>
        <v/>
      </c>
      <c r="AP45" s="568" t="str">
        <f>IF(AB45=$V$3,IF(VLOOKUP(C45,[1]List1!$A:$E,5,FALSE)=0,1,VLOOKUP(C45,[1]List1!$A:$E,5,FALSE)),"")</f>
        <v/>
      </c>
      <c r="AQ45" s="292" t="str">
        <f t="shared" si="4"/>
        <v/>
      </c>
      <c r="AR45" s="618" t="str">
        <f t="shared" si="5"/>
        <v/>
      </c>
      <c r="AS45" s="292" t="str">
        <f t="shared" si="6"/>
        <v/>
      </c>
      <c r="AT45" s="377" t="e">
        <f t="shared" si="7"/>
        <v>#N/A</v>
      </c>
      <c r="AU45" s="292" t="e">
        <f t="shared" si="10"/>
        <v>#N/A</v>
      </c>
    </row>
    <row r="46" spans="1:47" ht="15" customHeight="1">
      <c r="A46" s="601" t="str">
        <f>Kat.!B46</f>
        <v/>
      </c>
      <c r="B46" s="601">
        <f t="shared" si="8"/>
        <v>1</v>
      </c>
      <c r="C46" s="758" t="s">
        <v>2295</v>
      </c>
      <c r="D46" s="759"/>
      <c r="E46" s="760"/>
      <c r="F46" s="761"/>
      <c r="G46" s="762"/>
      <c r="H46" s="596"/>
      <c r="I46" s="763"/>
      <c r="J46" s="764"/>
      <c r="K46" s="774"/>
      <c r="L46" s="766"/>
      <c r="M46" s="764"/>
      <c r="N46" s="767"/>
      <c r="O46" s="763"/>
      <c r="P46" s="763"/>
      <c r="Q46" s="764"/>
      <c r="R46" s="764"/>
      <c r="S46" s="764"/>
      <c r="T46" s="761"/>
      <c r="U46" s="768"/>
      <c r="V46" s="768"/>
      <c r="W46" s="769" t="str">
        <f>IFERROR(VLOOKUP('General price list'!$C46,Popisy!A:P,MATCH($W$17,Popisy!$A$7:$P$7,0),FALSE),"---------------")</f>
        <v>whistling flying saucer with green light</v>
      </c>
      <c r="X46" s="769" t="str">
        <f t="shared" si="2"/>
        <v/>
      </c>
      <c r="Y46" s="1027">
        <f>IF(OR(AP46&lt;AA46,AND(NOT(OR(LEFT(AB46,3)="SKL",LEFT(AB46,3)=LEFT($V$2,3))),AA46&gt;0),AND('Deutsche Markt'!$AH$1=FALSE,J46="F4",AA46&gt;0)),"",AA46)</f>
        <v>0</v>
      </c>
      <c r="Z46" s="769"/>
      <c r="AA46" s="771">
        <f>'Deutsche Markt'!AA46</f>
        <v>0</v>
      </c>
      <c r="AB46" s="772" t="str">
        <f>IFERROR(IF(VLOOKUP(C46,[1]List1!$A:$D,2,FALSE)="VYPRODÁNO",$V$9,IF(VLOOKUP(C46,[1]List1!$A:$D,2,FALSE)="DOCHÁZÍ",$V$3,VLOOKUP(C46,[1]List1!$A:$D,2,FALSE))),"OFFLINE!")</f>
        <v>30.04.2024</v>
      </c>
      <c r="AC46" s="772" t="str">
        <f ca="1">IF(AO46="NE",$V$10,IF(AB46=$V$3,IF(AP46&lt;1,$V$8,$V$2&amp;" "&amp;AP46&amp;" "&amp;$V$1),IF(AB46="SKLADEM",$V$6,IFERROR(IF(OR(AB46-TODAY()&gt;21,VLOOKUP(C46,[1]List1!$A:$E,4,FALSE)=0),AB46,DAY(AB46)&amp;"."&amp;MONTH(AB46)&amp;"."&amp;YEAR(AB46)&amp;" "&amp;$V$4&amp;VLOOKUP(C46,[1]List1!$A:$E,4,FALSE)&amp;" "&amp;$V$1),AB46))))</f>
        <v>30.04.2024</v>
      </c>
      <c r="AD46" s="772" t="str">
        <f t="shared" ca="1" si="9"/>
        <v>30.04.2024</v>
      </c>
      <c r="AE46" s="605"/>
      <c r="AF46" s="605"/>
      <c r="AG46" s="615"/>
      <c r="AH46" s="616"/>
      <c r="AI46" s="615"/>
      <c r="AJ46" s="617"/>
      <c r="AK46" s="617"/>
      <c r="AL46" s="617"/>
      <c r="AM46" s="617"/>
      <c r="AO46" s="567" t="str">
        <f t="shared" si="3"/>
        <v/>
      </c>
      <c r="AP46" s="568" t="str">
        <f>IF(AB46=$V$3,IF(VLOOKUP(C46,[1]List1!$A:$E,5,FALSE)=0,1,VLOOKUP(C46,[1]List1!$A:$E,5,FALSE)),"")</f>
        <v/>
      </c>
      <c r="AQ46" s="292" t="str">
        <f t="shared" si="4"/>
        <v/>
      </c>
      <c r="AR46" s="618" t="str">
        <f t="shared" si="5"/>
        <v/>
      </c>
      <c r="AS46" s="292" t="str">
        <f t="shared" si="6"/>
        <v/>
      </c>
      <c r="AT46" s="377" t="e">
        <f t="shared" si="7"/>
        <v>#N/A</v>
      </c>
      <c r="AU46" s="292" t="e">
        <f t="shared" si="10"/>
        <v>#N/A</v>
      </c>
    </row>
    <row r="47" spans="1:47" ht="15" customHeight="1">
      <c r="A47" s="601" t="str">
        <f>Kat.!B47</f>
        <v>Wunderkerzen exclusive</v>
      </c>
      <c r="B47" s="601">
        <f t="shared" si="8"/>
        <v>0</v>
      </c>
      <c r="C47" s="758"/>
      <c r="D47" s="759"/>
      <c r="E47" s="760"/>
      <c r="F47" s="761"/>
      <c r="G47" s="762"/>
      <c r="H47" s="596"/>
      <c r="I47" s="763"/>
      <c r="J47" s="764"/>
      <c r="K47" s="773"/>
      <c r="L47" s="766"/>
      <c r="M47" s="764"/>
      <c r="N47" s="767"/>
      <c r="O47" s="763"/>
      <c r="P47" s="763"/>
      <c r="Q47" s="764"/>
      <c r="R47" s="764"/>
      <c r="S47" s="764"/>
      <c r="T47" s="761"/>
      <c r="U47" s="768"/>
      <c r="V47" s="768"/>
      <c r="W47" s="769" t="str">
        <f>IFERROR(VLOOKUP('General price list'!$C47,Popisy!A:P,MATCH($W$17,Popisy!$A$7:$P$7,0),FALSE),"---------------")</f>
        <v>---------------</v>
      </c>
      <c r="X47" s="769" t="str">
        <f t="shared" si="2"/>
        <v/>
      </c>
      <c r="Y47" s="1027">
        <f>IF(OR(AP47&lt;AA47,AND(NOT(OR(LEFT(AB47,3)="SKL",LEFT(AB47,3)=LEFT($V$2,3))),AA47&gt;0),AND('Deutsche Markt'!$AH$1=FALSE,J47="F4",AA47&gt;0)),"",AA47)</f>
        <v>0</v>
      </c>
      <c r="Z47" s="769"/>
      <c r="AA47" s="771">
        <f>'Deutsche Markt'!AA47</f>
        <v>0</v>
      </c>
      <c r="AB47" s="772" t="str">
        <f>IFERROR(IF(VLOOKUP(C47,[1]List1!$A:$D,2,FALSE)="VYPRODÁNO",$V$9,IF(VLOOKUP(C47,[1]List1!$A:$D,2,FALSE)="DOCHÁZÍ",$V$3,VLOOKUP(C47,[1]List1!$A:$D,2,FALSE))),"OFFLINE!")</f>
        <v>OFFLINE!</v>
      </c>
      <c r="AC47" s="772" t="str">
        <f ca="1">IF(AO47="NE",$V$10,IF(AB47=$V$3,IF(AP47&lt;1,$V$8,$V$2&amp;" "&amp;AP47&amp;" "&amp;$V$1),IF(AB47="SKLADEM",$V$6,IFERROR(IF(OR(AB47-TODAY()&gt;21,VLOOKUP(C47,[1]List1!$A:$E,4,FALSE)=0),AB47,DAY(AB47)&amp;"."&amp;MONTH(AB47)&amp;"."&amp;YEAR(AB47)&amp;" "&amp;$V$4&amp;VLOOKUP(C47,[1]List1!$A:$E,4,FALSE)&amp;" "&amp;$V$1),AB47))))</f>
        <v>OFFLINE!</v>
      </c>
      <c r="AD47" s="772" t="str">
        <f t="shared" ca="1" si="9"/>
        <v>OFFLINE!</v>
      </c>
      <c r="AE47" s="605"/>
      <c r="AF47" s="605"/>
      <c r="AG47" s="615"/>
      <c r="AH47" s="616"/>
      <c r="AI47" s="615"/>
      <c r="AJ47" s="617"/>
      <c r="AK47" s="617"/>
      <c r="AL47" s="617"/>
      <c r="AM47" s="617"/>
      <c r="AN47" s="292"/>
      <c r="AO47" s="567" t="str">
        <f t="shared" si="3"/>
        <v/>
      </c>
      <c r="AP47" s="568" t="str">
        <f>IF(AB47=$V$3,IF(VLOOKUP(C47,[1]List1!$A:$E,5,FALSE)=0,1,VLOOKUP(C47,[1]List1!$A:$E,5,FALSE)),"")</f>
        <v/>
      </c>
      <c r="AQ47" s="292" t="str">
        <f t="shared" si="4"/>
        <v/>
      </c>
      <c r="AR47" s="618" t="str">
        <f t="shared" si="5"/>
        <v/>
      </c>
      <c r="AS47" s="292" t="str">
        <f t="shared" si="6"/>
        <v/>
      </c>
      <c r="AT47" s="377" t="e">
        <f t="shared" si="7"/>
        <v>#N/A</v>
      </c>
      <c r="AU47" s="292" t="e">
        <f t="shared" si="10"/>
        <v>#N/A</v>
      </c>
    </row>
    <row r="48" spans="1:47" ht="15" customHeight="1">
      <c r="A48" s="601" t="str">
        <f>Kat.!B48</f>
        <v/>
      </c>
      <c r="B48" s="601">
        <f t="shared" si="8"/>
        <v>1</v>
      </c>
      <c r="C48" s="758" t="s">
        <v>141</v>
      </c>
      <c r="D48" s="759"/>
      <c r="E48" s="760"/>
      <c r="F48" s="761"/>
      <c r="G48" s="762"/>
      <c r="H48" s="596"/>
      <c r="I48" s="763"/>
      <c r="J48" s="764"/>
      <c r="K48" s="774"/>
      <c r="L48" s="766"/>
      <c r="M48" s="764"/>
      <c r="N48" s="767"/>
      <c r="O48" s="763"/>
      <c r="P48" s="763"/>
      <c r="Q48" s="764"/>
      <c r="R48" s="764"/>
      <c r="S48" s="764"/>
      <c r="T48" s="761"/>
      <c r="U48" s="768"/>
      <c r="V48" s="768"/>
      <c r="W48" s="769" t="str">
        <f>IFERROR(VLOOKUP('General price list'!$C48,Popisy!A:P,MATCH($W$17,Popisy!$A$7:$P$7,0),FALSE),"---------------")</f>
        <v>Goldene Wunderkerzen, Länge 70cm, Länge der platzenden Masse 55 cm, Durchmesser der platzenden Masse 4,5 mm</v>
      </c>
      <c r="X48" s="769" t="str">
        <f t="shared" si="2"/>
        <v/>
      </c>
      <c r="Y48" s="1027">
        <f>IF(OR(AP48&lt;AA48,AND(NOT(OR(LEFT(AB48,3)="SKL",LEFT(AB48,3)=LEFT($V$2,3))),AA48&gt;0),AND('Deutsche Markt'!$AH$1=FALSE,J48="F4",AA48&gt;0)),"",AA48)</f>
        <v>0</v>
      </c>
      <c r="Z48" s="769"/>
      <c r="AA48" s="771">
        <f>'Deutsche Markt'!AA48</f>
        <v>0</v>
      </c>
      <c r="AB48" s="772" t="str">
        <f>IFERROR(IF(VLOOKUP(C48,[1]List1!$A:$D,2,FALSE)="VYPRODÁNO",$V$9,IF(VLOOKUP(C48,[1]List1!$A:$D,2,FALSE)="DOCHÁZÍ",$V$3,VLOOKUP(C48,[1]List1!$A:$D,2,FALSE))),"OFFLINE!")</f>
        <v>SKLADEM</v>
      </c>
      <c r="AC48" s="772" t="str">
        <f ca="1">IF(AO48="NE",$V$10,IF(AB48=$V$3,IF(AP48&lt;1,$V$8,$V$2&amp;" "&amp;AP48&amp;" "&amp;$V$1),IF(AB48="SKLADEM",$V$6,IFERROR(IF(OR(AB48-TODAY()&gt;21,VLOOKUP(C48,[1]List1!$A:$E,4,FALSE)=0),AB48,DAY(AB48)&amp;"."&amp;MONTH(AB48)&amp;"."&amp;YEAR(AB48)&amp;" "&amp;$V$4&amp;VLOOKUP(C48,[1]List1!$A:$E,4,FALSE)&amp;" "&amp;$V$1),AB48))))</f>
        <v>AUF LAGER</v>
      </c>
      <c r="AD48" s="772" t="str">
        <f t="shared" ca="1" si="9"/>
        <v>AUF LAGER</v>
      </c>
      <c r="AE48" s="605"/>
      <c r="AF48" s="605"/>
      <c r="AG48" s="615"/>
      <c r="AH48" s="616"/>
      <c r="AI48" s="615"/>
      <c r="AJ48" s="617"/>
      <c r="AK48" s="617"/>
      <c r="AL48" s="617"/>
      <c r="AM48" s="617"/>
      <c r="AN48" s="292"/>
      <c r="AO48" s="567" t="str">
        <f t="shared" si="3"/>
        <v/>
      </c>
      <c r="AP48" s="568" t="str">
        <f>IF(AB48=$V$3,IF(VLOOKUP(C48,[1]List1!$A:$E,5,FALSE)=0,1,VLOOKUP(C48,[1]List1!$A:$E,5,FALSE)),"")</f>
        <v/>
      </c>
      <c r="AQ48" s="292" t="str">
        <f t="shared" si="4"/>
        <v/>
      </c>
      <c r="AR48" s="618" t="str">
        <f t="shared" si="5"/>
        <v/>
      </c>
      <c r="AS48" s="292" t="str">
        <f t="shared" si="6"/>
        <v/>
      </c>
      <c r="AT48" s="377" t="e">
        <f t="shared" si="7"/>
        <v>#N/A</v>
      </c>
      <c r="AU48" s="292" t="e">
        <f t="shared" si="10"/>
        <v>#N/A</v>
      </c>
    </row>
    <row r="49" spans="1:47" ht="15" customHeight="1">
      <c r="A49" s="601" t="str">
        <f>Kat.!B49</f>
        <v/>
      </c>
      <c r="B49" s="601">
        <f t="shared" si="8"/>
        <v>1</v>
      </c>
      <c r="C49" s="758" t="s">
        <v>146</v>
      </c>
      <c r="D49" s="759"/>
      <c r="E49" s="760"/>
      <c r="F49" s="761"/>
      <c r="G49" s="762"/>
      <c r="H49" s="596"/>
      <c r="I49" s="763"/>
      <c r="J49" s="764"/>
      <c r="K49" s="773"/>
      <c r="L49" s="766"/>
      <c r="M49" s="764"/>
      <c r="N49" s="767"/>
      <c r="O49" s="763"/>
      <c r="P49" s="763"/>
      <c r="Q49" s="764"/>
      <c r="R49" s="764"/>
      <c r="S49" s="764"/>
      <c r="T49" s="761"/>
      <c r="U49" s="768"/>
      <c r="V49" s="768"/>
      <c r="W49" s="769" t="str">
        <f>IFERROR(VLOOKUP('General price list'!$C49,Popisy!A:P,MATCH($W$17,Popisy!$A$7:$P$7,0),FALSE),"---------------")</f>
        <v>Goldene Wunderkerzen, Länge 40cm, Länge der platzenden Masse 32,5 cm, Durchmesser der platzenden Masse 3,7 mm</v>
      </c>
      <c r="X49" s="769" t="str">
        <f t="shared" si="2"/>
        <v/>
      </c>
      <c r="Y49" s="1027">
        <f>IF(OR(AP49&lt;AA49,AND(NOT(OR(LEFT(AB49,3)="SKL",LEFT(AB49,3)=LEFT($V$2,3))),AA49&gt;0),AND('Deutsche Markt'!$AH$1=FALSE,J49="F4",AA49&gt;0)),"",AA49)</f>
        <v>0</v>
      </c>
      <c r="Z49" s="769"/>
      <c r="AA49" s="771">
        <f>'Deutsche Markt'!AA49</f>
        <v>0</v>
      </c>
      <c r="AB49" s="772" t="str">
        <f>IFERROR(IF(VLOOKUP(C49,[1]List1!$A:$D,2,FALSE)="VYPRODÁNO",$V$9,IF(VLOOKUP(C49,[1]List1!$A:$D,2,FALSE)="DOCHÁZÍ",$V$3,VLOOKUP(C49,[1]List1!$A:$D,2,FALSE))),"OFFLINE!")</f>
        <v>SKLADEM</v>
      </c>
      <c r="AC49" s="772" t="str">
        <f ca="1">IF(AO49="NE",$V$10,IF(AB49=$V$3,IF(AP49&lt;1,$V$8,$V$2&amp;" "&amp;AP49&amp;" "&amp;$V$1),IF(AB49="SKLADEM",$V$6,IFERROR(IF(OR(AB49-TODAY()&gt;21,VLOOKUP(C49,[1]List1!$A:$E,4,FALSE)=0),AB49,DAY(AB49)&amp;"."&amp;MONTH(AB49)&amp;"."&amp;YEAR(AB49)&amp;" "&amp;$V$4&amp;VLOOKUP(C49,[1]List1!$A:$E,4,FALSE)&amp;" "&amp;$V$1),AB49))))</f>
        <v>AUF LAGER</v>
      </c>
      <c r="AD49" s="772" t="str">
        <f t="shared" ca="1" si="9"/>
        <v>AUF LAGER</v>
      </c>
      <c r="AE49" s="605"/>
      <c r="AF49" s="605"/>
      <c r="AG49" s="615"/>
      <c r="AH49" s="616"/>
      <c r="AI49" s="615"/>
      <c r="AJ49" s="617"/>
      <c r="AK49" s="617"/>
      <c r="AL49" s="617"/>
      <c r="AM49" s="617"/>
      <c r="AN49" s="292"/>
      <c r="AO49" s="567" t="str">
        <f t="shared" si="3"/>
        <v/>
      </c>
      <c r="AP49" s="568" t="str">
        <f>IF(AB49=$V$3,IF(VLOOKUP(C49,[1]List1!$A:$E,5,FALSE)=0,1,VLOOKUP(C49,[1]List1!$A:$E,5,FALSE)),"")</f>
        <v/>
      </c>
      <c r="AQ49" s="292" t="str">
        <f t="shared" si="4"/>
        <v/>
      </c>
      <c r="AR49" s="618" t="str">
        <f t="shared" si="5"/>
        <v/>
      </c>
      <c r="AS49" s="292" t="str">
        <f t="shared" si="6"/>
        <v/>
      </c>
      <c r="AT49" s="377" t="e">
        <f t="shared" si="7"/>
        <v>#N/A</v>
      </c>
      <c r="AU49" s="292" t="e">
        <f t="shared" si="10"/>
        <v>#N/A</v>
      </c>
    </row>
    <row r="50" spans="1:47" ht="15" customHeight="1">
      <c r="A50" s="601" t="str">
        <f>Kat.!B50</f>
        <v/>
      </c>
      <c r="B50" s="601">
        <f t="shared" si="8"/>
        <v>1</v>
      </c>
      <c r="C50" s="758" t="s">
        <v>154</v>
      </c>
      <c r="D50" s="759"/>
      <c r="E50" s="760"/>
      <c r="F50" s="761"/>
      <c r="G50" s="762"/>
      <c r="H50" s="596"/>
      <c r="I50" s="763"/>
      <c r="J50" s="764"/>
      <c r="K50" s="774"/>
      <c r="L50" s="766"/>
      <c r="M50" s="764"/>
      <c r="N50" s="767"/>
      <c r="O50" s="763"/>
      <c r="P50" s="763"/>
      <c r="Q50" s="764"/>
      <c r="R50" s="764"/>
      <c r="S50" s="764"/>
      <c r="T50" s="761"/>
      <c r="U50" s="768"/>
      <c r="V50" s="768"/>
      <c r="W50" s="769" t="str">
        <f>IFERROR(VLOOKUP('General price list'!$C50,Popisy!A:P,MATCH($W$17,Popisy!$A$7:$P$7,0),FALSE),"---------------")</f>
        <v>Goldene Wunderkerzen, Länge 28cm, Länge der platzenden Masse 20,5 cm, Durchmesser der platzenden Masse 3 mm</v>
      </c>
      <c r="X50" s="769" t="str">
        <f t="shared" si="2"/>
        <v/>
      </c>
      <c r="Y50" s="1027">
        <f>IF(OR(AP50&lt;AA50,AND(NOT(OR(LEFT(AB50,3)="SKL",LEFT(AB50,3)=LEFT($V$2,3))),AA50&gt;0),AND('Deutsche Markt'!$AH$1=FALSE,J50="F4",AA50&gt;0)),"",AA50)</f>
        <v>0</v>
      </c>
      <c r="Z50" s="769"/>
      <c r="AA50" s="771">
        <f>'Deutsche Markt'!AA50</f>
        <v>0</v>
      </c>
      <c r="AB50" s="772" t="str">
        <f>IFERROR(IF(VLOOKUP(C50,[1]List1!$A:$D,2,FALSE)="VYPRODÁNO",$V$9,IF(VLOOKUP(C50,[1]List1!$A:$D,2,FALSE)="DOCHÁZÍ",$V$3,VLOOKUP(C50,[1]List1!$A:$D,2,FALSE))),"OFFLINE!")</f>
        <v>SKLADEM</v>
      </c>
      <c r="AC50" s="772" t="str">
        <f ca="1">IF(AO50="NE",$V$10,IF(AB50=$V$3,IF(AP50&lt;1,$V$8,$V$2&amp;" "&amp;AP50&amp;" "&amp;$V$1),IF(AB50="SKLADEM",$V$6,IFERROR(IF(OR(AB50-TODAY()&gt;21,VLOOKUP(C50,[1]List1!$A:$E,4,FALSE)=0),AB50,DAY(AB50)&amp;"."&amp;MONTH(AB50)&amp;"."&amp;YEAR(AB50)&amp;" "&amp;$V$4&amp;VLOOKUP(C50,[1]List1!$A:$E,4,FALSE)&amp;" "&amp;$V$1),AB50))))</f>
        <v>AUF LAGER</v>
      </c>
      <c r="AD50" s="772" t="str">
        <f t="shared" ca="1" si="9"/>
        <v>AUF LAGER</v>
      </c>
      <c r="AE50" s="605"/>
      <c r="AF50" s="605"/>
      <c r="AG50" s="615"/>
      <c r="AH50" s="616"/>
      <c r="AI50" s="615"/>
      <c r="AJ50" s="617"/>
      <c r="AK50" s="617"/>
      <c r="AL50" s="617"/>
      <c r="AM50" s="617"/>
      <c r="AN50" s="292"/>
      <c r="AO50" s="567" t="str">
        <f t="shared" si="3"/>
        <v/>
      </c>
      <c r="AP50" s="568" t="str">
        <f>IF(AB50=$V$3,IF(VLOOKUP(C50,[1]List1!$A:$E,5,FALSE)=0,1,VLOOKUP(C50,[1]List1!$A:$E,5,FALSE)),"")</f>
        <v/>
      </c>
      <c r="AQ50" s="292" t="str">
        <f t="shared" si="4"/>
        <v/>
      </c>
      <c r="AR50" s="618" t="str">
        <f t="shared" si="5"/>
        <v/>
      </c>
      <c r="AS50" s="292" t="str">
        <f t="shared" si="6"/>
        <v/>
      </c>
      <c r="AT50" s="377" t="e">
        <f t="shared" si="7"/>
        <v>#N/A</v>
      </c>
      <c r="AU50" s="292" t="e">
        <f t="shared" si="10"/>
        <v>#N/A</v>
      </c>
    </row>
    <row r="51" spans="1:47" ht="15" customHeight="1">
      <c r="A51" s="601" t="str">
        <f>Kat.!B51</f>
        <v>Wunderkerzen</v>
      </c>
      <c r="B51" s="601">
        <f t="shared" si="8"/>
        <v>0</v>
      </c>
      <c r="C51" s="758"/>
      <c r="D51" s="759"/>
      <c r="E51" s="760"/>
      <c r="F51" s="761"/>
      <c r="G51" s="762"/>
      <c r="H51" s="596"/>
      <c r="I51" s="763"/>
      <c r="J51" s="764"/>
      <c r="K51" s="773"/>
      <c r="L51" s="766"/>
      <c r="M51" s="764"/>
      <c r="N51" s="767"/>
      <c r="O51" s="763"/>
      <c r="P51" s="763"/>
      <c r="Q51" s="764"/>
      <c r="R51" s="764"/>
      <c r="S51" s="764"/>
      <c r="T51" s="761"/>
      <c r="U51" s="768"/>
      <c r="V51" s="768"/>
      <c r="W51" s="769" t="str">
        <f>IFERROR(VLOOKUP('General price list'!$C51,Popisy!A:P,MATCH($W$17,Popisy!$A$7:$P$7,0),FALSE),"---------------")</f>
        <v>---------------</v>
      </c>
      <c r="X51" s="769" t="str">
        <f t="shared" si="2"/>
        <v/>
      </c>
      <c r="Y51" s="1027">
        <f>IF(OR(AP51&lt;AA51,AND(NOT(OR(LEFT(AB51,3)="SKL",LEFT(AB51,3)=LEFT($V$2,3))),AA51&gt;0),AND('Deutsche Markt'!$AH$1=FALSE,J51="F4",AA51&gt;0)),"",AA51)</f>
        <v>0</v>
      </c>
      <c r="Z51" s="769"/>
      <c r="AA51" s="771">
        <f>'Deutsche Markt'!AA51</f>
        <v>0</v>
      </c>
      <c r="AB51" s="772" t="str">
        <f>IFERROR(IF(VLOOKUP(C51,[1]List1!$A:$D,2,FALSE)="VYPRODÁNO",$V$9,IF(VLOOKUP(C51,[1]List1!$A:$D,2,FALSE)="DOCHÁZÍ",$V$3,VLOOKUP(C51,[1]List1!$A:$D,2,FALSE))),"OFFLINE!")</f>
        <v>OFFLINE!</v>
      </c>
      <c r="AC51" s="772" t="str">
        <f ca="1">IF(AO51="NE",$V$10,IF(AB51=$V$3,IF(AP51&lt;1,$V$8,$V$2&amp;" "&amp;AP51&amp;" "&amp;$V$1),IF(AB51="SKLADEM",$V$6,IFERROR(IF(OR(AB51-TODAY()&gt;21,VLOOKUP(C51,[1]List1!$A:$E,4,FALSE)=0),AB51,DAY(AB51)&amp;"."&amp;MONTH(AB51)&amp;"."&amp;YEAR(AB51)&amp;" "&amp;$V$4&amp;VLOOKUP(C51,[1]List1!$A:$E,4,FALSE)&amp;" "&amp;$V$1),AB51))))</f>
        <v>OFFLINE!</v>
      </c>
      <c r="AD51" s="772" t="str">
        <f t="shared" ca="1" si="9"/>
        <v>OFFLINE!</v>
      </c>
      <c r="AE51" s="605"/>
      <c r="AF51" s="605"/>
      <c r="AG51" s="615"/>
      <c r="AH51" s="616"/>
      <c r="AI51" s="615"/>
      <c r="AJ51" s="617"/>
      <c r="AK51" s="617"/>
      <c r="AL51" s="617"/>
      <c r="AM51" s="617"/>
      <c r="AN51" s="292"/>
      <c r="AO51" s="567" t="str">
        <f t="shared" si="3"/>
        <v/>
      </c>
      <c r="AP51" s="568" t="str">
        <f>IF(AB51=$V$3,IF(VLOOKUP(C51,[1]List1!$A:$E,5,FALSE)=0,1,VLOOKUP(C51,[1]List1!$A:$E,5,FALSE)),"")</f>
        <v/>
      </c>
      <c r="AQ51" s="292" t="str">
        <f t="shared" si="4"/>
        <v/>
      </c>
      <c r="AR51" s="618" t="str">
        <f t="shared" si="5"/>
        <v/>
      </c>
      <c r="AS51" s="292" t="str">
        <f t="shared" si="6"/>
        <v/>
      </c>
      <c r="AT51" s="377" t="e">
        <f t="shared" si="7"/>
        <v>#N/A</v>
      </c>
      <c r="AU51" s="292" t="e">
        <f t="shared" si="10"/>
        <v>#N/A</v>
      </c>
    </row>
    <row r="52" spans="1:47" ht="15" customHeight="1">
      <c r="A52" s="601" t="str">
        <f>Kat.!B52</f>
        <v/>
      </c>
      <c r="B52" s="601">
        <f t="shared" si="8"/>
        <v>1</v>
      </c>
      <c r="C52" s="758" t="s">
        <v>160</v>
      </c>
      <c r="D52" s="759"/>
      <c r="E52" s="760"/>
      <c r="F52" s="761"/>
      <c r="G52" s="762"/>
      <c r="H52" s="596"/>
      <c r="I52" s="763"/>
      <c r="J52" s="764"/>
      <c r="K52" s="774"/>
      <c r="L52" s="766"/>
      <c r="M52" s="764"/>
      <c r="N52" s="767"/>
      <c r="O52" s="763"/>
      <c r="P52" s="763"/>
      <c r="Q52" s="764"/>
      <c r="R52" s="764"/>
      <c r="S52" s="764"/>
      <c r="T52" s="761"/>
      <c r="U52" s="768"/>
      <c r="V52" s="768"/>
      <c r="W52" s="769" t="str">
        <f>IFERROR(VLOOKUP('General price list'!$C52,Popisy!A:P,MATCH($W$17,Popisy!$A$7:$P$7,0),FALSE),"---------------")</f>
        <v>Goldene Wunderkerzen, Länge 90cm, Länge der platzenden Masse 61 cm, Durchmesser der platzenden Masse 4,8 mm</v>
      </c>
      <c r="X52" s="769" t="str">
        <f t="shared" si="2"/>
        <v/>
      </c>
      <c r="Y52" s="1027">
        <f>IF(OR(AP52&lt;AA52,AND(NOT(OR(LEFT(AB52,3)="SKL",LEFT(AB52,3)=LEFT($V$2,3))),AA52&gt;0),AND('Deutsche Markt'!$AH$1=FALSE,J52="F4",AA52&gt;0)),"",AA52)</f>
        <v>0</v>
      </c>
      <c r="Z52" s="769"/>
      <c r="AA52" s="771">
        <f>'Deutsche Markt'!AA52</f>
        <v>0</v>
      </c>
      <c r="AB52" s="772" t="str">
        <f>IFERROR(IF(VLOOKUP(C52,[1]List1!$A:$D,2,FALSE)="VYPRODÁNO",$V$9,IF(VLOOKUP(C52,[1]List1!$A:$D,2,FALSE)="DOCHÁZÍ",$V$3,VLOOKUP(C52,[1]List1!$A:$D,2,FALSE))),"OFFLINE!")</f>
        <v>SKLADEM</v>
      </c>
      <c r="AC52" s="772" t="str">
        <f ca="1">IF(AO52="NE",$V$10,IF(AB52=$V$3,IF(AP52&lt;1,$V$8,$V$2&amp;" "&amp;AP52&amp;" "&amp;$V$1),IF(AB52="SKLADEM",$V$6,IFERROR(IF(OR(AB52-TODAY()&gt;21,VLOOKUP(C52,[1]List1!$A:$E,4,FALSE)=0),AB52,DAY(AB52)&amp;"."&amp;MONTH(AB52)&amp;"."&amp;YEAR(AB52)&amp;" "&amp;$V$4&amp;VLOOKUP(C52,[1]List1!$A:$E,4,FALSE)&amp;" "&amp;$V$1),AB52))))</f>
        <v>AUF LAGER</v>
      </c>
      <c r="AD52" s="772" t="str">
        <f t="shared" ca="1" si="9"/>
        <v>AUF LAGER</v>
      </c>
      <c r="AE52" s="605"/>
      <c r="AF52" s="605"/>
      <c r="AG52" s="615"/>
      <c r="AH52" s="616"/>
      <c r="AI52" s="615"/>
      <c r="AJ52" s="617"/>
      <c r="AK52" s="617"/>
      <c r="AL52" s="617"/>
      <c r="AM52" s="617"/>
      <c r="AO52" s="567" t="str">
        <f t="shared" si="3"/>
        <v/>
      </c>
      <c r="AP52" s="568" t="str">
        <f>IF(AB52=$V$3,IF(VLOOKUP(C52,[1]List1!$A:$E,5,FALSE)=0,1,VLOOKUP(C52,[1]List1!$A:$E,5,FALSE)),"")</f>
        <v/>
      </c>
      <c r="AQ52" s="292" t="str">
        <f t="shared" si="4"/>
        <v/>
      </c>
      <c r="AR52" s="618" t="str">
        <f t="shared" si="5"/>
        <v/>
      </c>
      <c r="AS52" s="292" t="str">
        <f t="shared" si="6"/>
        <v/>
      </c>
      <c r="AT52" s="377" t="e">
        <f t="shared" si="7"/>
        <v>#N/A</v>
      </c>
      <c r="AU52" s="292" t="e">
        <f t="shared" si="10"/>
        <v>#N/A</v>
      </c>
    </row>
    <row r="53" spans="1:47" ht="15" customHeight="1">
      <c r="A53" s="601" t="str">
        <f>Kat.!B53</f>
        <v/>
      </c>
      <c r="B53" s="601">
        <f t="shared" si="8"/>
        <v>1</v>
      </c>
      <c r="C53" s="758" t="s">
        <v>166</v>
      </c>
      <c r="D53" s="759"/>
      <c r="E53" s="760"/>
      <c r="F53" s="761"/>
      <c r="G53" s="762"/>
      <c r="H53" s="596"/>
      <c r="I53" s="763"/>
      <c r="J53" s="764"/>
      <c r="K53" s="773"/>
      <c r="L53" s="766"/>
      <c r="M53" s="764"/>
      <c r="N53" s="767"/>
      <c r="O53" s="763"/>
      <c r="P53" s="763"/>
      <c r="Q53" s="764"/>
      <c r="R53" s="764"/>
      <c r="S53" s="764"/>
      <c r="T53" s="761"/>
      <c r="U53" s="768"/>
      <c r="V53" s="768"/>
      <c r="W53" s="769" t="str">
        <f>IFERROR(VLOOKUP('General price list'!$C53,Popisy!A:P,MATCH($W$17,Popisy!$A$7:$P$7,0),FALSE),"---------------")</f>
        <v>Goldene Wunderkerzen, Länge 70cm, Länge der platzenden Masse 45cm, Durchmesser der platzenden Masse 4,5 mm</v>
      </c>
      <c r="X53" s="769" t="str">
        <f t="shared" si="2"/>
        <v/>
      </c>
      <c r="Y53" s="1027">
        <f>IF(OR(AP53&lt;AA53,AND(NOT(OR(LEFT(AB53,3)="SKL",LEFT(AB53,3)=LEFT($V$2,3))),AA53&gt;0),AND('Deutsche Markt'!$AH$1=FALSE,J53="F4",AA53&gt;0)),"",AA53)</f>
        <v>0</v>
      </c>
      <c r="Z53" s="769"/>
      <c r="AA53" s="771">
        <f>'Deutsche Markt'!AA53</f>
        <v>0</v>
      </c>
      <c r="AB53" s="772" t="str">
        <f>IFERROR(IF(VLOOKUP(C53,[1]List1!$A:$D,2,FALSE)="VYPRODÁNO",$V$9,IF(VLOOKUP(C53,[1]List1!$A:$D,2,FALSE)="DOCHÁZÍ",$V$3,VLOOKUP(C53,[1]List1!$A:$D,2,FALSE))),"OFFLINE!")</f>
        <v>SKLADEM</v>
      </c>
      <c r="AC53" s="772" t="str">
        <f ca="1">IF(AO53="NE",$V$10,IF(AB53=$V$3,IF(AP53&lt;1,$V$8,$V$2&amp;" "&amp;AP53&amp;" "&amp;$V$1),IF(AB53="SKLADEM",$V$6,IFERROR(IF(OR(AB53-TODAY()&gt;21,VLOOKUP(C53,[1]List1!$A:$E,4,FALSE)=0),AB53,DAY(AB53)&amp;"."&amp;MONTH(AB53)&amp;"."&amp;YEAR(AB53)&amp;" "&amp;$V$4&amp;VLOOKUP(C53,[1]List1!$A:$E,4,FALSE)&amp;" "&amp;$V$1),AB53))))</f>
        <v>AUF LAGER</v>
      </c>
      <c r="AD53" s="772" t="str">
        <f t="shared" ca="1" si="9"/>
        <v>AUF LAGER</v>
      </c>
      <c r="AE53" s="605"/>
      <c r="AF53" s="605"/>
      <c r="AG53" s="615"/>
      <c r="AH53" s="616"/>
      <c r="AI53" s="615"/>
      <c r="AJ53" s="617"/>
      <c r="AK53" s="617"/>
      <c r="AL53" s="617"/>
      <c r="AM53" s="617"/>
      <c r="AN53" s="292"/>
      <c r="AO53" s="567" t="str">
        <f t="shared" si="3"/>
        <v/>
      </c>
      <c r="AP53" s="568" t="str">
        <f>IF(AB53=$V$3,IF(VLOOKUP(C53,[1]List1!$A:$E,5,FALSE)=0,1,VLOOKUP(C53,[1]List1!$A:$E,5,FALSE)),"")</f>
        <v/>
      </c>
      <c r="AQ53" s="292" t="str">
        <f t="shared" si="4"/>
        <v/>
      </c>
      <c r="AR53" s="618" t="str">
        <f t="shared" si="5"/>
        <v/>
      </c>
      <c r="AS53" s="292" t="str">
        <f t="shared" si="6"/>
        <v/>
      </c>
      <c r="AT53" s="377" t="e">
        <f t="shared" si="7"/>
        <v>#N/A</v>
      </c>
      <c r="AU53" s="292" t="e">
        <f t="shared" si="10"/>
        <v>#N/A</v>
      </c>
    </row>
    <row r="54" spans="1:47" ht="15" customHeight="1">
      <c r="A54" s="601" t="str">
        <f>Kat.!B54</f>
        <v/>
      </c>
      <c r="B54" s="601">
        <f t="shared" si="8"/>
        <v>1</v>
      </c>
      <c r="C54" s="758" t="s">
        <v>11763</v>
      </c>
      <c r="D54" s="759"/>
      <c r="E54" s="760"/>
      <c r="F54" s="761"/>
      <c r="G54" s="762"/>
      <c r="H54" s="596"/>
      <c r="I54" s="763"/>
      <c r="J54" s="764"/>
      <c r="K54" s="774"/>
      <c r="L54" s="766"/>
      <c r="M54" s="764"/>
      <c r="N54" s="767"/>
      <c r="O54" s="763"/>
      <c r="P54" s="763"/>
      <c r="Q54" s="764"/>
      <c r="R54" s="764"/>
      <c r="S54" s="764"/>
      <c r="T54" s="761"/>
      <c r="U54" s="768"/>
      <c r="V54" s="768"/>
      <c r="W54" s="769" t="str">
        <f>IFERROR(VLOOKUP('General price list'!$C54,Popisy!A:P,MATCH($W$17,Popisy!$A$7:$P$7,0),FALSE),"---------------")</f>
        <v>Goldene Wunderkerzen, Länge 70cm, Länge der platzenden Masse 45cm, Durchmesser der platzenden Masse 4,5 mm</v>
      </c>
      <c r="X54" s="769" t="str">
        <f t="shared" si="2"/>
        <v/>
      </c>
      <c r="Y54" s="1027">
        <f>IF(OR(AP54&lt;AA54,AND(NOT(OR(LEFT(AB54,3)="SKL",LEFT(AB54,3)=LEFT($V$2,3))),AA54&gt;0),AND('Deutsche Markt'!$AH$1=FALSE,J54="F4",AA54&gt;0)),"",AA54)</f>
        <v>0</v>
      </c>
      <c r="Z54" s="769"/>
      <c r="AA54" s="771">
        <f>'Deutsche Markt'!AA54</f>
        <v>0</v>
      </c>
      <c r="AB54" s="772" t="str">
        <f>IFERROR(IF(VLOOKUP(C54,[1]List1!$A:$D,2,FALSE)="VYPRODÁNO",$V$9,IF(VLOOKUP(C54,[1]List1!$A:$D,2,FALSE)="DOCHÁZÍ",$V$3,VLOOKUP(C54,[1]List1!$A:$D,2,FALSE))),"OFFLINE!")</f>
        <v>SKLADEM</v>
      </c>
      <c r="AC54" s="772" t="str">
        <f ca="1">IF(AO54="NE",$V$10,IF(AB54=$V$3,IF(AP54&lt;1,$V$8,$V$2&amp;" "&amp;AP54&amp;" "&amp;$V$1),IF(AB54="SKLADEM",$V$6,IFERROR(IF(OR(AB54-TODAY()&gt;21,VLOOKUP(C54,[1]List1!$A:$E,4,FALSE)=0),AB54,DAY(AB54)&amp;"."&amp;MONTH(AB54)&amp;"."&amp;YEAR(AB54)&amp;" "&amp;$V$4&amp;VLOOKUP(C54,[1]List1!$A:$E,4,FALSE)&amp;" "&amp;$V$1),AB54))))</f>
        <v>AUF LAGER</v>
      </c>
      <c r="AD54" s="772" t="str">
        <f t="shared" ca="1" si="9"/>
        <v>AUF LAGER</v>
      </c>
      <c r="AE54" s="605"/>
      <c r="AF54" s="605"/>
      <c r="AG54" s="615"/>
      <c r="AH54" s="616"/>
      <c r="AI54" s="615"/>
      <c r="AJ54" s="617"/>
      <c r="AK54" s="617"/>
      <c r="AL54" s="617"/>
      <c r="AM54" s="617"/>
      <c r="AO54" s="567" t="str">
        <f t="shared" si="3"/>
        <v/>
      </c>
      <c r="AP54" s="568" t="str">
        <f>IF(AB54=$V$3,IF(VLOOKUP(C54,[1]List1!$A:$E,5,FALSE)=0,1,VLOOKUP(C54,[1]List1!$A:$E,5,FALSE)),"")</f>
        <v/>
      </c>
      <c r="AQ54" s="292" t="str">
        <f t="shared" si="4"/>
        <v/>
      </c>
      <c r="AR54" s="618" t="str">
        <f t="shared" si="5"/>
        <v/>
      </c>
      <c r="AS54" s="292" t="str">
        <f t="shared" si="6"/>
        <v/>
      </c>
      <c r="AT54" s="377" t="e">
        <f t="shared" si="7"/>
        <v>#N/A</v>
      </c>
      <c r="AU54" s="292" t="e">
        <f t="shared" si="10"/>
        <v>#N/A</v>
      </c>
    </row>
    <row r="55" spans="1:47" ht="15" customHeight="1">
      <c r="A55" s="601" t="str">
        <f>Kat.!B55</f>
        <v/>
      </c>
      <c r="B55" s="601">
        <f t="shared" si="8"/>
        <v>1</v>
      </c>
      <c r="C55" s="758" t="s">
        <v>172</v>
      </c>
      <c r="D55" s="759"/>
      <c r="E55" s="760"/>
      <c r="F55" s="761"/>
      <c r="G55" s="762"/>
      <c r="H55" s="596"/>
      <c r="I55" s="763"/>
      <c r="J55" s="764"/>
      <c r="K55" s="773"/>
      <c r="L55" s="766"/>
      <c r="M55" s="764"/>
      <c r="N55" s="767"/>
      <c r="O55" s="763"/>
      <c r="P55" s="763"/>
      <c r="Q55" s="764"/>
      <c r="R55" s="764"/>
      <c r="S55" s="764"/>
      <c r="T55" s="761"/>
      <c r="U55" s="768"/>
      <c r="V55" s="768"/>
      <c r="W55" s="769" t="str">
        <f>IFERROR(VLOOKUP('General price list'!$C55,Popisy!A:P,MATCH($W$17,Popisy!$A$7:$P$7,0),FALSE),"---------------")</f>
        <v>Goldene Wunderkerzen, Länge 40cm, Länge der platzenden Masse 26 cm, Durchmesser der platzenden Masse 3,7 mm</v>
      </c>
      <c r="X55" s="769" t="str">
        <f t="shared" si="2"/>
        <v/>
      </c>
      <c r="Y55" s="1027">
        <f>IF(OR(AP55&lt;AA55,AND(NOT(OR(LEFT(AB55,3)="SKL",LEFT(AB55,3)=LEFT($V$2,3))),AA55&gt;0),AND('Deutsche Markt'!$AH$1=FALSE,J55="F4",AA55&gt;0)),"",AA55)</f>
        <v>0</v>
      </c>
      <c r="Z55" s="769"/>
      <c r="AA55" s="771">
        <f>'Deutsche Markt'!AA55</f>
        <v>0</v>
      </c>
      <c r="AB55" s="772" t="str">
        <f>IFERROR(IF(VLOOKUP(C55,[1]List1!$A:$D,2,FALSE)="VYPRODÁNO",$V$9,IF(VLOOKUP(C55,[1]List1!$A:$D,2,FALSE)="DOCHÁZÍ",$V$3,VLOOKUP(C55,[1]List1!$A:$D,2,FALSE))),"OFFLINE!")</f>
        <v>SKLADEM</v>
      </c>
      <c r="AC55" s="772" t="str">
        <f ca="1">IF(AO55="NE",$V$10,IF(AB55=$V$3,IF(AP55&lt;1,$V$8,$V$2&amp;" "&amp;AP55&amp;" "&amp;$V$1),IF(AB55="SKLADEM",$V$6,IFERROR(IF(OR(AB55-TODAY()&gt;21,VLOOKUP(C55,[1]List1!$A:$E,4,FALSE)=0),AB55,DAY(AB55)&amp;"."&amp;MONTH(AB55)&amp;"."&amp;YEAR(AB55)&amp;" "&amp;$V$4&amp;VLOOKUP(C55,[1]List1!$A:$E,4,FALSE)&amp;" "&amp;$V$1),AB55))))</f>
        <v>AUF LAGER</v>
      </c>
      <c r="AD55" s="772" t="str">
        <f t="shared" ca="1" si="9"/>
        <v>AUF LAGER</v>
      </c>
      <c r="AE55" s="605"/>
      <c r="AF55" s="605"/>
      <c r="AG55" s="615"/>
      <c r="AH55" s="616"/>
      <c r="AI55" s="615"/>
      <c r="AJ55" s="617"/>
      <c r="AK55" s="617"/>
      <c r="AL55" s="617"/>
      <c r="AM55" s="617"/>
      <c r="AO55" s="567" t="str">
        <f t="shared" si="3"/>
        <v/>
      </c>
      <c r="AP55" s="568" t="str">
        <f>IF(AB55=$V$3,IF(VLOOKUP(C55,[1]List1!$A:$E,5,FALSE)=0,1,VLOOKUP(C55,[1]List1!$A:$E,5,FALSE)),"")</f>
        <v/>
      </c>
      <c r="AQ55" s="292" t="str">
        <f t="shared" si="4"/>
        <v/>
      </c>
      <c r="AR55" s="618" t="str">
        <f t="shared" si="5"/>
        <v/>
      </c>
      <c r="AS55" s="292" t="str">
        <f t="shared" si="6"/>
        <v/>
      </c>
      <c r="AT55" s="377" t="e">
        <f t="shared" si="7"/>
        <v>#N/A</v>
      </c>
      <c r="AU55" s="292" t="e">
        <f t="shared" si="10"/>
        <v>#N/A</v>
      </c>
    </row>
    <row r="56" spans="1:47" ht="15" customHeight="1">
      <c r="A56" s="601" t="str">
        <f>Kat.!B56</f>
        <v/>
      </c>
      <c r="B56" s="601">
        <f t="shared" si="8"/>
        <v>1</v>
      </c>
      <c r="C56" s="758" t="s">
        <v>177</v>
      </c>
      <c r="D56" s="759"/>
      <c r="E56" s="760"/>
      <c r="F56" s="761"/>
      <c r="G56" s="762"/>
      <c r="H56" s="596"/>
      <c r="I56" s="763"/>
      <c r="J56" s="764"/>
      <c r="K56" s="774"/>
      <c r="L56" s="766"/>
      <c r="M56" s="764"/>
      <c r="N56" s="767"/>
      <c r="O56" s="763"/>
      <c r="P56" s="763"/>
      <c r="Q56" s="764"/>
      <c r="R56" s="764"/>
      <c r="S56" s="764"/>
      <c r="T56" s="761"/>
      <c r="U56" s="768"/>
      <c r="V56" s="768"/>
      <c r="W56" s="769"/>
      <c r="X56" s="769"/>
      <c r="Y56" s="770">
        <f>IF(OR(AP56&lt;AA56,AND(NOT(OR(LEFT(AB56,3)="SKL",LEFT(AB56,3)=LEFT($V$2,3))),AA56&gt;0),AND('Deutsche Markt'!$AH$1=FALSE,J56="F4",AA56&gt;0)),"",AA56)</f>
        <v>0</v>
      </c>
      <c r="Z56" s="769"/>
      <c r="AA56" s="771">
        <f>'Deutsche Markt'!AA56</f>
        <v>0</v>
      </c>
      <c r="AB56" s="772"/>
      <c r="AC56" s="772"/>
      <c r="AD56" s="772"/>
      <c r="AE56" s="605"/>
      <c r="AF56" s="605"/>
      <c r="AG56" s="615"/>
      <c r="AH56" s="616"/>
      <c r="AI56" s="615"/>
      <c r="AJ56" s="617"/>
      <c r="AK56" s="617"/>
      <c r="AL56" s="617"/>
      <c r="AM56" s="617"/>
      <c r="AO56" s="567" t="str">
        <f t="shared" ref="AO56:AO94" si="11">IF($AK$3=1,IF(Y56=AA56,"","NE"),IF(AQ56=$V$10,"NE",""))</f>
        <v/>
      </c>
      <c r="AP56" s="568" t="str">
        <f>IF(AB56=$V$3,IF(VLOOKUP(C56,[1]List1!$A:$E,5,FALSE)=0,1,VLOOKUP(C56,[1]List1!$A:$E,5,FALSE)),"")</f>
        <v/>
      </c>
      <c r="AQ56" s="292" t="str">
        <f t="shared" ref="AQ56:AQ94" si="12">IF($AK$3=1,"",IF(OR(AA56&lt;&gt;"",AA56&lt;&gt;0),IF(OR(AB56=$V$6,AB56=$V$3,AB56=$V$9),$V$10,""),""))</f>
        <v/>
      </c>
      <c r="AR56" s="618" t="str">
        <f t="shared" ref="AR56:AR94" si="13">IF(AS56&lt;&gt;"","X","")</f>
        <v/>
      </c>
      <c r="AS56" s="292" t="str">
        <f t="shared" ref="AS56:AS94" si="14">IF(AND($AK$3=2,AQ56="",AA56&lt;&gt;""),AC56,"")</f>
        <v/>
      </c>
      <c r="AT56" s="377" t="e">
        <f t="shared" ref="AT56:AT94" si="15">IF(AS56=$AR$21,AA56,"")</f>
        <v>#N/A</v>
      </c>
      <c r="AU56" s="292" t="e">
        <f t="shared" ref="AU56:AU94" si="16">IF(OR(AA56="",AND(AS56&lt;&gt;"",AT56&lt;&gt;"")),"",$V$10)</f>
        <v>#N/A</v>
      </c>
    </row>
    <row r="57" spans="1:47" ht="15" customHeight="1">
      <c r="A57" s="599" t="str">
        <f>Kat.!$B$1&amp;Kat.!B57</f>
        <v/>
      </c>
      <c r="B57" s="601">
        <f t="shared" si="8"/>
        <v>1</v>
      </c>
      <c r="C57" s="981" t="s">
        <v>11765</v>
      </c>
      <c r="D57" s="599"/>
      <c r="E57" s="599"/>
      <c r="F57" s="600"/>
      <c r="G57" s="599"/>
      <c r="H57" s="599"/>
      <c r="I57" s="599"/>
      <c r="J57" s="599"/>
      <c r="K57" s="708"/>
      <c r="L57" s="599"/>
      <c r="M57" s="599"/>
      <c r="N57" s="599"/>
      <c r="O57" s="599"/>
      <c r="P57" s="599"/>
      <c r="Q57" s="599"/>
      <c r="R57" s="599"/>
      <c r="S57" s="599"/>
      <c r="T57" s="599"/>
      <c r="U57" s="599"/>
      <c r="V57" s="599"/>
      <c r="W57" s="599" t="str">
        <f>IFERROR(VLOOKUP('General price list'!$C57,Popisy!A:P,MATCH($W$17,Popisy!$A$7:$P$7,0),FALSE),"---------------")</f>
        <v>Goldene Wunderkerzen, Länge 40cm, Länge der platzenden Masse 26 cm, Durchmesser der platzenden Masse 3,7 mm</v>
      </c>
      <c r="X57" s="599" t="str">
        <f t="shared" ref="X57:X71" si="17">IF(AA57&lt;0.0001,"",AA57)</f>
        <v/>
      </c>
      <c r="Y57" s="770">
        <f>IF(OR(AP57&lt;AA57,AND(NOT(OR(LEFT(AB57,3)="SKL",LEFT(AB57,3)=LEFT($V$2,3))),AA57&gt;0),AND('Deutsche Markt'!$AH$1=FALSE,J57="F4",AA57&gt;0)),"",AA57)</f>
        <v>0</v>
      </c>
      <c r="Z57" s="599"/>
      <c r="AA57" s="771">
        <f>'Deutsche Markt'!AA57</f>
        <v>0</v>
      </c>
      <c r="AB57" s="599" t="str">
        <f>IFERROR(IF(VLOOKUP(C57,[1]List1!$A:$D,2,FALSE)="VYPRODÁNO",$V$9,IF(VLOOKUP(C57,[1]List1!$A:$D,2,FALSE)="DOCHÁZÍ",$V$3,VLOOKUP(C57,[1]List1!$A:$D,2,FALSE))),"OFFLINE!")</f>
        <v>SKLADEM</v>
      </c>
      <c r="AC57" s="599" t="str">
        <f ca="1">IF(AO57="NE",$V$10,IF(AB57=$V$3,IF(AP57&lt;1,$V$8,$V$2&amp;" "&amp;AP57&amp;" "&amp;$V$1),IF(AB57="SKLADEM",$V$6,IFERROR(IF(OR(AB57-TODAY()&gt;21,VLOOKUP(C57,[1]List1!$A:$E,4,FALSE)=0),AB57,DAY(AB57)&amp;"."&amp;MONTH(AB57)&amp;"."&amp;YEAR(AB57)&amp;" "&amp;$V$4&amp;VLOOKUP(C57,[1]List1!$A:$E,4,FALSE)&amp;" "&amp;$V$1),AB57))))</f>
        <v>AUF LAGER</v>
      </c>
      <c r="AD57" s="599" t="str">
        <f t="shared" ref="AD57:AD71" ca="1" si="18">IFERROR(IF(AU57&lt;&gt;"",AU57,AC57),AC57)</f>
        <v>AUF LAGER</v>
      </c>
      <c r="AE57" s="599"/>
      <c r="AF57" s="599"/>
      <c r="AG57" s="599"/>
      <c r="AH57" s="599"/>
      <c r="AI57" s="599"/>
      <c r="AJ57" s="599"/>
      <c r="AK57" s="599"/>
      <c r="AL57" s="599"/>
      <c r="AM57" s="599"/>
      <c r="AN57" s="566"/>
      <c r="AO57" s="567" t="str">
        <f t="shared" si="11"/>
        <v/>
      </c>
      <c r="AP57" s="292" t="str">
        <f>IF(AB57=$V$3,IF(VLOOKUP(C57,[1]List1!$A:$E,5,FALSE)=0,1,VLOOKUP(C57,[1]List1!$A:$E,5,FALSE)),"")</f>
        <v/>
      </c>
      <c r="AQ57" s="292" t="str">
        <f t="shared" si="12"/>
        <v/>
      </c>
      <c r="AR57" s="618" t="str">
        <f t="shared" si="13"/>
        <v/>
      </c>
      <c r="AS57" s="292" t="str">
        <f t="shared" si="14"/>
        <v/>
      </c>
      <c r="AT57" s="377" t="e">
        <f t="shared" si="15"/>
        <v>#N/A</v>
      </c>
      <c r="AU57" s="292" t="e">
        <f t="shared" si="16"/>
        <v>#N/A</v>
      </c>
    </row>
    <row r="58" spans="1:47" ht="15" customHeight="1">
      <c r="A58" s="601" t="str">
        <f>Kat.!B58</f>
        <v/>
      </c>
      <c r="B58" s="601">
        <f t="shared" si="8"/>
        <v>1</v>
      </c>
      <c r="C58" s="758" t="s">
        <v>179</v>
      </c>
      <c r="D58" s="759"/>
      <c r="E58" s="760"/>
      <c r="F58" s="761"/>
      <c r="G58" s="762"/>
      <c r="H58" s="596"/>
      <c r="I58" s="763"/>
      <c r="J58" s="764"/>
      <c r="K58" s="765"/>
      <c r="L58" s="766"/>
      <c r="M58" s="764"/>
      <c r="N58" s="767"/>
      <c r="O58" s="763"/>
      <c r="P58" s="763"/>
      <c r="Q58" s="764"/>
      <c r="R58" s="764"/>
      <c r="S58" s="764"/>
      <c r="T58" s="761"/>
      <c r="U58" s="768"/>
      <c r="V58" s="768"/>
      <c r="W58" s="769" t="str">
        <f>IFERROR(VLOOKUP('General price list'!$C58,Popisy!A:P,MATCH($W$17,Popisy!$A$7:$P$7,0),FALSE),"---------------")</f>
        <v>Goldene Wunderkerzen, Länge 28cm, Länge der platzenden Masse 17 cm, Durchmesser der platzenden Masse 3 mm</v>
      </c>
      <c r="X58" s="769" t="str">
        <f t="shared" si="17"/>
        <v/>
      </c>
      <c r="Y58" s="770">
        <f>IF(OR(AP58&lt;AA58,AND(NOT(OR(LEFT(AB58,3)="SKL",LEFT(AB58,3)=LEFT($V$2,3))),AA58&gt;0),AND('Deutsche Markt'!$AH$1=FALSE,J58="F4",AA58&gt;0)),"",AA58)</f>
        <v>0</v>
      </c>
      <c r="Z58" s="769"/>
      <c r="AA58" s="771">
        <f>'Deutsche Markt'!AA58</f>
        <v>0</v>
      </c>
      <c r="AB58" s="772" t="str">
        <f>IFERROR(IF(VLOOKUP(C58,[1]List1!$A:$D,2,FALSE)="VYPRODÁNO",$V$9,IF(VLOOKUP(C58,[1]List1!$A:$D,2,FALSE)="DOCHÁZÍ",$V$3,VLOOKUP(C58,[1]List1!$A:$D,2,FALSE))),"OFFLINE!")</f>
        <v>SKLADEM</v>
      </c>
      <c r="AC58" s="772" t="str">
        <f ca="1">IF(AO58="NE",$V$10,IF(AB58=$V$3,IF(AP58&lt;1,$V$8,$V$2&amp;" "&amp;AP58&amp;" "&amp;$V$1),IF(AB58="SKLADEM",$V$6,IFERROR(IF(OR(AB58-TODAY()&gt;21,VLOOKUP(C58,[1]List1!$A:$E,4,FALSE)=0),AB58,DAY(AB58)&amp;"."&amp;MONTH(AB58)&amp;"."&amp;YEAR(AB58)&amp;" "&amp;$V$4&amp;VLOOKUP(C58,[1]List1!$A:$E,4,FALSE)&amp;" "&amp;$V$1),AB58))))</f>
        <v>AUF LAGER</v>
      </c>
      <c r="AD58" s="772" t="str">
        <f t="shared" ca="1" si="18"/>
        <v>AUF LAGER</v>
      </c>
      <c r="AE58" s="605"/>
      <c r="AF58" s="605"/>
      <c r="AG58" s="615"/>
      <c r="AH58" s="616"/>
      <c r="AI58" s="615"/>
      <c r="AJ58" s="617"/>
      <c r="AK58" s="617"/>
      <c r="AL58" s="617"/>
      <c r="AM58" s="617"/>
      <c r="AN58" s="292"/>
      <c r="AO58" s="567" t="str">
        <f t="shared" si="11"/>
        <v/>
      </c>
      <c r="AP58" s="568" t="str">
        <f>IF(AB58=$V$3,IF(VLOOKUP(C58,[1]List1!$A:$E,5,FALSE)=0,1,VLOOKUP(C58,[1]List1!$A:$E,5,FALSE)),"")</f>
        <v/>
      </c>
      <c r="AQ58" s="292" t="str">
        <f t="shared" si="12"/>
        <v/>
      </c>
      <c r="AR58" s="618" t="str">
        <f t="shared" si="13"/>
        <v/>
      </c>
      <c r="AS58" s="292" t="str">
        <f t="shared" si="14"/>
        <v/>
      </c>
      <c r="AT58" s="377" t="e">
        <f t="shared" si="15"/>
        <v>#N/A</v>
      </c>
      <c r="AU58" s="292" t="e">
        <f t="shared" si="16"/>
        <v>#N/A</v>
      </c>
    </row>
    <row r="59" spans="1:47" ht="15" customHeight="1">
      <c r="A59" s="601" t="str">
        <f>Kat.!B59</f>
        <v/>
      </c>
      <c r="B59" s="601">
        <f t="shared" si="8"/>
        <v>1</v>
      </c>
      <c r="C59" s="758" t="s">
        <v>184</v>
      </c>
      <c r="D59" s="759"/>
      <c r="E59" s="760"/>
      <c r="F59" s="761"/>
      <c r="G59" s="762"/>
      <c r="H59" s="596"/>
      <c r="I59" s="763"/>
      <c r="J59" s="764"/>
      <c r="K59" s="773"/>
      <c r="L59" s="766"/>
      <c r="M59" s="764"/>
      <c r="N59" s="767"/>
      <c r="O59" s="763"/>
      <c r="P59" s="763"/>
      <c r="Q59" s="764"/>
      <c r="R59" s="764"/>
      <c r="S59" s="764"/>
      <c r="T59" s="761"/>
      <c r="U59" s="768"/>
      <c r="V59" s="768"/>
      <c r="W59" s="769" t="str">
        <f>IFERROR(VLOOKUP('General price list'!$C59,Popisy!A:P,MATCH($W$17,Popisy!$A$7:$P$7,0),FALSE),"---------------")</f>
        <v>Goldene Wunderkerzen, Länge 16cm, Länge der platzenden Masse 8,5 cm, Durchmesser der platzenden Masse 2,5 mm</v>
      </c>
      <c r="X59" s="769" t="str">
        <f t="shared" si="17"/>
        <v/>
      </c>
      <c r="Y59" s="770">
        <f>IF(OR(AP59&lt;AA59,AND(NOT(OR(LEFT(AB59,3)="SKL",LEFT(AB59,3)=LEFT($V$2,3))),AA59&gt;0),AND('Deutsche Markt'!$AH$1=FALSE,J59="F4",AA59&gt;0)),"",AA59)</f>
        <v>0</v>
      </c>
      <c r="Z59" s="769"/>
      <c r="AA59" s="771">
        <f>'Deutsche Markt'!AA59</f>
        <v>0</v>
      </c>
      <c r="AB59" s="772" t="str">
        <f>IFERROR(IF(VLOOKUP(C59,[1]List1!$A:$D,2,FALSE)="VYPRODÁNO",$V$9,IF(VLOOKUP(C59,[1]List1!$A:$D,2,FALSE)="DOCHÁZÍ",$V$3,VLOOKUP(C59,[1]List1!$A:$D,2,FALSE))),"OFFLINE!")</f>
        <v>SKLADEM</v>
      </c>
      <c r="AC59" s="772" t="str">
        <f ca="1">IF(AO59="NE",$V$10,IF(AB59=$V$3,IF(AP59&lt;1,$V$8,$V$2&amp;" "&amp;AP59&amp;" "&amp;$V$1),IF(AB59="SKLADEM",$V$6,IFERROR(IF(OR(AB59-TODAY()&gt;21,VLOOKUP(C59,[1]List1!$A:$E,4,FALSE)=0),AB59,DAY(AB59)&amp;"."&amp;MONTH(AB59)&amp;"."&amp;YEAR(AB59)&amp;" "&amp;$V$4&amp;VLOOKUP(C59,[1]List1!$A:$E,4,FALSE)&amp;" "&amp;$V$1),AB59))))</f>
        <v>AUF LAGER</v>
      </c>
      <c r="AD59" s="772" t="str">
        <f t="shared" ca="1" si="18"/>
        <v>AUF LAGER</v>
      </c>
      <c r="AE59" s="605"/>
      <c r="AF59" s="605"/>
      <c r="AG59" s="615"/>
      <c r="AH59" s="616"/>
      <c r="AI59" s="615"/>
      <c r="AJ59" s="617"/>
      <c r="AK59" s="617"/>
      <c r="AL59" s="617"/>
      <c r="AM59" s="617"/>
      <c r="AN59" s="292"/>
      <c r="AO59" s="567" t="str">
        <f t="shared" si="11"/>
        <v/>
      </c>
      <c r="AP59" s="568" t="str">
        <f>IF(AB59=$V$3,IF(VLOOKUP(C59,[1]List1!$A:$E,5,FALSE)=0,1,VLOOKUP(C59,[1]List1!$A:$E,5,FALSE)),"")</f>
        <v/>
      </c>
      <c r="AQ59" s="292" t="str">
        <f t="shared" si="12"/>
        <v/>
      </c>
      <c r="AR59" s="618" t="str">
        <f t="shared" si="13"/>
        <v/>
      </c>
      <c r="AS59" s="292" t="str">
        <f t="shared" si="14"/>
        <v/>
      </c>
      <c r="AT59" s="377" t="e">
        <f t="shared" si="15"/>
        <v>#N/A</v>
      </c>
      <c r="AU59" s="292" t="e">
        <f t="shared" si="16"/>
        <v>#N/A</v>
      </c>
    </row>
    <row r="60" spans="1:47" ht="15" customHeight="1">
      <c r="A60" s="601" t="str">
        <f>Kat.!B60</f>
        <v>x</v>
      </c>
      <c r="B60" s="601">
        <f t="shared" si="8"/>
        <v>1</v>
      </c>
      <c r="C60" s="758" t="s">
        <v>190</v>
      </c>
      <c r="D60" s="759"/>
      <c r="E60" s="760"/>
      <c r="F60" s="761"/>
      <c r="G60" s="762"/>
      <c r="H60" s="596"/>
      <c r="I60" s="763"/>
      <c r="J60" s="764"/>
      <c r="K60" s="774"/>
      <c r="L60" s="766"/>
      <c r="M60" s="764"/>
      <c r="N60" s="767"/>
      <c r="O60" s="763"/>
      <c r="P60" s="763"/>
      <c r="Q60" s="764"/>
      <c r="R60" s="764"/>
      <c r="S60" s="764"/>
      <c r="T60" s="761"/>
      <c r="U60" s="768"/>
      <c r="V60" s="768"/>
      <c r="W60" s="769" t="str">
        <f>IFERROR(VLOOKUP('General price list'!$C60,Popisy!A:P,MATCH($W$17,Popisy!$A$7:$P$7,0),FALSE),"---------------")</f>
        <v>Goldene Wunderkerzen, Länge 16cm, Länge der platzenden Masse 8,5 cm, Durchmesser der platzenden Masse 2,5 mm</v>
      </c>
      <c r="X60" s="769" t="str">
        <f t="shared" si="17"/>
        <v/>
      </c>
      <c r="Y60" s="770">
        <f>IF(OR(AP60&lt;AA60,AND(NOT(OR(LEFT(AB60,3)="SKL",LEFT(AB60,3)=LEFT($V$2,3))),AA60&gt;0),AND('Deutsche Markt'!$AH$1=FALSE,J60="F4",AA60&gt;0)),"",AA60)</f>
        <v>0</v>
      </c>
      <c r="Z60" s="769"/>
      <c r="AA60" s="771">
        <f>'Deutsche Markt'!AA60</f>
        <v>0</v>
      </c>
      <c r="AB60" s="772" t="str">
        <f>IFERROR(IF(VLOOKUP(C60,[1]List1!$A:$D,2,FALSE)="VYPRODÁNO",$V$9,IF(VLOOKUP(C60,[1]List1!$A:$D,2,FALSE)="DOCHÁZÍ",$V$3,VLOOKUP(C60,[1]List1!$A:$D,2,FALSE))),"OFFLINE!")</f>
        <v>SKLADEM</v>
      </c>
      <c r="AC60" s="772" t="str">
        <f ca="1">IF(AO60="NE",$V$10,IF(AB60=$V$3,IF(AP60&lt;1,$V$8,$V$2&amp;" "&amp;AP60&amp;" "&amp;$V$1),IF(AB60="SKLADEM",$V$6,IFERROR(IF(OR(AB60-TODAY()&gt;21,VLOOKUP(C60,[1]List1!$A:$E,4,FALSE)=0),AB60,DAY(AB60)&amp;"."&amp;MONTH(AB60)&amp;"."&amp;YEAR(AB60)&amp;" "&amp;$V$4&amp;VLOOKUP(C60,[1]List1!$A:$E,4,FALSE)&amp;" "&amp;$V$1),AB60))))</f>
        <v>AUF LAGER</v>
      </c>
      <c r="AD60" s="772" t="str">
        <f t="shared" ca="1" si="18"/>
        <v>AUF LAGER</v>
      </c>
      <c r="AE60" s="605"/>
      <c r="AF60" s="605"/>
      <c r="AG60" s="615"/>
      <c r="AH60" s="616"/>
      <c r="AI60" s="615"/>
      <c r="AJ60" s="617"/>
      <c r="AK60" s="617"/>
      <c r="AL60" s="617"/>
      <c r="AM60" s="617"/>
      <c r="AN60" s="292"/>
      <c r="AO60" s="567" t="str">
        <f t="shared" si="11"/>
        <v/>
      </c>
      <c r="AP60" s="568" t="str">
        <f>IF(AB60=$V$3,IF(VLOOKUP(C60,[1]List1!$A:$E,5,FALSE)=0,1,VLOOKUP(C60,[1]List1!$A:$E,5,FALSE)),"")</f>
        <v/>
      </c>
      <c r="AQ60" s="292" t="str">
        <f t="shared" si="12"/>
        <v/>
      </c>
      <c r="AR60" s="618" t="str">
        <f t="shared" si="13"/>
        <v/>
      </c>
      <c r="AS60" s="292" t="str">
        <f t="shared" si="14"/>
        <v/>
      </c>
      <c r="AT60" s="377" t="e">
        <f t="shared" si="15"/>
        <v>#N/A</v>
      </c>
      <c r="AU60" s="292" t="e">
        <f t="shared" si="16"/>
        <v>#N/A</v>
      </c>
    </row>
    <row r="61" spans="1:47" ht="15" customHeight="1">
      <c r="A61" s="601" t="str">
        <f>Kat.!B61</f>
        <v>Wunderkerzen speziell</v>
      </c>
      <c r="B61" s="601">
        <f t="shared" si="8"/>
        <v>0</v>
      </c>
      <c r="C61" s="758"/>
      <c r="D61" s="759"/>
      <c r="E61" s="760"/>
      <c r="F61" s="761"/>
      <c r="G61" s="762"/>
      <c r="H61" s="596"/>
      <c r="I61" s="763"/>
      <c r="J61" s="764"/>
      <c r="K61" s="773"/>
      <c r="L61" s="766"/>
      <c r="M61" s="764"/>
      <c r="N61" s="767"/>
      <c r="O61" s="763"/>
      <c r="P61" s="763"/>
      <c r="Q61" s="764"/>
      <c r="R61" s="764"/>
      <c r="S61" s="764"/>
      <c r="T61" s="761"/>
      <c r="U61" s="768"/>
      <c r="V61" s="768"/>
      <c r="W61" s="769" t="str">
        <f>IFERROR(VLOOKUP('General price list'!$C61,Popisy!A:P,MATCH($W$17,Popisy!$A$7:$P$7,0),FALSE),"---------------")</f>
        <v>---------------</v>
      </c>
      <c r="X61" s="769" t="str">
        <f t="shared" si="17"/>
        <v/>
      </c>
      <c r="Y61" s="770">
        <f>IF(OR(AP61&lt;AA61,AND(NOT(OR(LEFT(AB61,3)="SKL",LEFT(AB61,3)=LEFT($V$2,3))),AA61&gt;0),AND('Deutsche Markt'!$AH$1=FALSE,J61="F4",AA61&gt;0)),"",AA61)</f>
        <v>0</v>
      </c>
      <c r="Z61" s="769"/>
      <c r="AA61" s="771">
        <f>'Deutsche Markt'!AA61</f>
        <v>0</v>
      </c>
      <c r="AB61" s="772" t="str">
        <f>IFERROR(IF(VLOOKUP(C61,[1]List1!$A:$D,2,FALSE)="VYPRODÁNO",$V$9,IF(VLOOKUP(C61,[1]List1!$A:$D,2,FALSE)="DOCHÁZÍ",$V$3,VLOOKUP(C61,[1]List1!$A:$D,2,FALSE))),"OFFLINE!")</f>
        <v>OFFLINE!</v>
      </c>
      <c r="AC61" s="772" t="str">
        <f ca="1">IF(AO61="NE",$V$10,IF(AB61=$V$3,IF(AP61&lt;1,$V$8,$V$2&amp;" "&amp;AP61&amp;" "&amp;$V$1),IF(AB61="SKLADEM",$V$6,IFERROR(IF(OR(AB61-TODAY()&gt;21,VLOOKUP(C61,[1]List1!$A:$E,4,FALSE)=0),AB61,DAY(AB61)&amp;"."&amp;MONTH(AB61)&amp;"."&amp;YEAR(AB61)&amp;" "&amp;$V$4&amp;VLOOKUP(C61,[1]List1!$A:$E,4,FALSE)&amp;" "&amp;$V$1),AB61))))</f>
        <v>OFFLINE!</v>
      </c>
      <c r="AD61" s="772" t="str">
        <f t="shared" ca="1" si="18"/>
        <v>OFFLINE!</v>
      </c>
      <c r="AE61" s="605"/>
      <c r="AF61" s="605"/>
      <c r="AG61" s="615"/>
      <c r="AH61" s="616"/>
      <c r="AI61" s="615"/>
      <c r="AJ61" s="617"/>
      <c r="AK61" s="617"/>
      <c r="AL61" s="617"/>
      <c r="AM61" s="617"/>
      <c r="AN61" s="292"/>
      <c r="AO61" s="567" t="str">
        <f t="shared" si="11"/>
        <v/>
      </c>
      <c r="AP61" s="568" t="str">
        <f>IF(AB61=$V$3,IF(VLOOKUP(C61,[1]List1!$A:$E,5,FALSE)=0,1,VLOOKUP(C61,[1]List1!$A:$E,5,FALSE)),"")</f>
        <v/>
      </c>
      <c r="AQ61" s="292" t="str">
        <f t="shared" si="12"/>
        <v/>
      </c>
      <c r="AR61" s="618" t="str">
        <f t="shared" si="13"/>
        <v/>
      </c>
      <c r="AS61" s="292" t="str">
        <f t="shared" si="14"/>
        <v/>
      </c>
      <c r="AT61" s="377" t="e">
        <f t="shared" si="15"/>
        <v>#N/A</v>
      </c>
      <c r="AU61" s="292" t="e">
        <f t="shared" si="16"/>
        <v>#N/A</v>
      </c>
    </row>
    <row r="62" spans="1:47" ht="15" customHeight="1">
      <c r="A62" s="601" t="str">
        <f>Kat.!B62</f>
        <v/>
      </c>
      <c r="B62" s="601">
        <f t="shared" si="8"/>
        <v>1</v>
      </c>
      <c r="C62" s="758" t="s">
        <v>191</v>
      </c>
      <c r="D62" s="759"/>
      <c r="E62" s="760"/>
      <c r="F62" s="761"/>
      <c r="G62" s="762"/>
      <c r="H62" s="596"/>
      <c r="I62" s="763"/>
      <c r="J62" s="764"/>
      <c r="K62" s="774"/>
      <c r="L62" s="766"/>
      <c r="M62" s="764"/>
      <c r="N62" s="767"/>
      <c r="O62" s="763"/>
      <c r="P62" s="763"/>
      <c r="Q62" s="764"/>
      <c r="R62" s="764"/>
      <c r="S62" s="764"/>
      <c r="T62" s="761"/>
      <c r="U62" s="768"/>
      <c r="V62" s="768"/>
      <c r="W62" s="769" t="str">
        <f>IFERROR(VLOOKUP('General price list'!$C62,Popisy!A:P,MATCH($W$17,Popisy!$A$7:$P$7,0),FALSE),"---------------")</f>
        <v>Neon Wunderkerzen(pink, gelb, grün, blau), Länge 28cm, Länge der platzenden Masse 17 cm, Durchmesser der platzenden Masse 3 mm</v>
      </c>
      <c r="X62" s="769" t="str">
        <f t="shared" si="17"/>
        <v/>
      </c>
      <c r="Y62" s="770">
        <f>IF(OR(AP62&lt;AA62,AND(NOT(OR(LEFT(AB62,3)="SKL",LEFT(AB62,3)=LEFT($V$2,3))),AA62&gt;0),AND('Deutsche Markt'!$AH$1=FALSE,J62="F4",AA62&gt;0)),"",AA62)</f>
        <v>0</v>
      </c>
      <c r="Z62" s="769"/>
      <c r="AA62" s="771">
        <f>'Deutsche Markt'!AA62</f>
        <v>0</v>
      </c>
      <c r="AB62" s="772" t="str">
        <f>IFERROR(IF(VLOOKUP(C62,[1]List1!$A:$D,2,FALSE)="VYPRODÁNO",$V$9,IF(VLOOKUP(C62,[1]List1!$A:$D,2,FALSE)="DOCHÁZÍ",$V$3,VLOOKUP(C62,[1]List1!$A:$D,2,FALSE))),"OFFLINE!")</f>
        <v>SKLADEM</v>
      </c>
      <c r="AC62" s="772" t="str">
        <f ca="1">IF(AO62="NE",$V$10,IF(AB62=$V$3,IF(AP62&lt;1,$V$8,$V$2&amp;" "&amp;AP62&amp;" "&amp;$V$1),IF(AB62="SKLADEM",$V$6,IFERROR(IF(OR(AB62-TODAY()&gt;21,VLOOKUP(C62,[1]List1!$A:$E,4,FALSE)=0),AB62,DAY(AB62)&amp;"."&amp;MONTH(AB62)&amp;"."&amp;YEAR(AB62)&amp;" "&amp;$V$4&amp;VLOOKUP(C62,[1]List1!$A:$E,4,FALSE)&amp;" "&amp;$V$1),AB62))))</f>
        <v>AUF LAGER</v>
      </c>
      <c r="AD62" s="772" t="str">
        <f t="shared" ca="1" si="18"/>
        <v>AUF LAGER</v>
      </c>
      <c r="AE62" s="605"/>
      <c r="AF62" s="605"/>
      <c r="AG62" s="615"/>
      <c r="AH62" s="616"/>
      <c r="AI62" s="615"/>
      <c r="AJ62" s="617"/>
      <c r="AK62" s="617"/>
      <c r="AL62" s="617"/>
      <c r="AM62" s="617"/>
      <c r="AN62" s="292"/>
      <c r="AO62" s="567" t="str">
        <f t="shared" si="11"/>
        <v/>
      </c>
      <c r="AP62" s="568" t="str">
        <f>IF(AB62=$V$3,IF(VLOOKUP(C62,[1]List1!$A:$E,5,FALSE)=0,1,VLOOKUP(C62,[1]List1!$A:$E,5,FALSE)),"")</f>
        <v/>
      </c>
      <c r="AQ62" s="292" t="str">
        <f t="shared" si="12"/>
        <v/>
      </c>
      <c r="AR62" s="618" t="str">
        <f t="shared" si="13"/>
        <v/>
      </c>
      <c r="AS62" s="292" t="str">
        <f t="shared" si="14"/>
        <v/>
      </c>
      <c r="AT62" s="377" t="e">
        <f t="shared" si="15"/>
        <v>#N/A</v>
      </c>
      <c r="AU62" s="292" t="e">
        <f t="shared" si="16"/>
        <v>#N/A</v>
      </c>
    </row>
    <row r="63" spans="1:47" ht="15" customHeight="1">
      <c r="A63" s="601" t="str">
        <f>Kat.!B63</f>
        <v/>
      </c>
      <c r="B63" s="601">
        <f t="shared" si="8"/>
        <v>1</v>
      </c>
      <c r="C63" s="758" t="s">
        <v>194</v>
      </c>
      <c r="D63" s="759"/>
      <c r="E63" s="760"/>
      <c r="F63" s="761"/>
      <c r="G63" s="762"/>
      <c r="H63" s="596"/>
      <c r="I63" s="763"/>
      <c r="J63" s="764"/>
      <c r="K63" s="773"/>
      <c r="L63" s="766"/>
      <c r="M63" s="764"/>
      <c r="N63" s="767"/>
      <c r="O63" s="763"/>
      <c r="P63" s="763"/>
      <c r="Q63" s="764"/>
      <c r="R63" s="764"/>
      <c r="S63" s="764"/>
      <c r="T63" s="761"/>
      <c r="U63" s="768"/>
      <c r="V63" s="768"/>
      <c r="W63" s="769" t="str">
        <f>IFERROR(VLOOKUP('General price list'!$C63,Popisy!A:P,MATCH($W$17,Popisy!$A$7:$P$7,0),FALSE),"---------------")</f>
        <v>Neon Wunderkerzen(rot, gelb, grün, blau), Länge 40cm, Länge der platzenden Masse 26cm, Durchmesser der platzenden Masse 3,7mm</v>
      </c>
      <c r="X63" s="769" t="str">
        <f t="shared" si="17"/>
        <v/>
      </c>
      <c r="Y63" s="770">
        <f>IF(OR(AP63&lt;AA63,AND(NOT(OR(LEFT(AB63,3)="SKL",LEFT(AB63,3)=LEFT($V$2,3))),AA63&gt;0),AND('Deutsche Markt'!$AH$1=FALSE,J63="F4",AA63&gt;0)),"",AA63)</f>
        <v>0</v>
      </c>
      <c r="Z63" s="769"/>
      <c r="AA63" s="771">
        <f>'Deutsche Markt'!AA63</f>
        <v>0</v>
      </c>
      <c r="AB63" s="772" t="str">
        <f>IFERROR(IF(VLOOKUP(C63,[1]List1!$A:$D,2,FALSE)="VYPRODÁNO",$V$9,IF(VLOOKUP(C63,[1]List1!$A:$D,2,FALSE)="DOCHÁZÍ",$V$3,VLOOKUP(C63,[1]List1!$A:$D,2,FALSE))),"OFFLINE!")</f>
        <v>SKLADEM</v>
      </c>
      <c r="AC63" s="772" t="str">
        <f ca="1">IF(AO63="NE",$V$10,IF(AB63=$V$3,IF(AP63&lt;1,$V$8,$V$2&amp;" "&amp;AP63&amp;" "&amp;$V$1),IF(AB63="SKLADEM",$V$6,IFERROR(IF(OR(AB63-TODAY()&gt;21,VLOOKUP(C63,[1]List1!$A:$E,4,FALSE)=0),AB63,DAY(AB63)&amp;"."&amp;MONTH(AB63)&amp;"."&amp;YEAR(AB63)&amp;" "&amp;$V$4&amp;VLOOKUP(C63,[1]List1!$A:$E,4,FALSE)&amp;" "&amp;$V$1),AB63))))</f>
        <v>AUF LAGER</v>
      </c>
      <c r="AD63" s="772" t="str">
        <f t="shared" ca="1" si="18"/>
        <v>AUF LAGER</v>
      </c>
      <c r="AE63" s="605"/>
      <c r="AF63" s="605"/>
      <c r="AG63" s="615"/>
      <c r="AH63" s="616"/>
      <c r="AI63" s="615"/>
      <c r="AJ63" s="617"/>
      <c r="AK63" s="617"/>
      <c r="AL63" s="617"/>
      <c r="AM63" s="617"/>
      <c r="AN63" s="292"/>
      <c r="AO63" s="567" t="str">
        <f t="shared" si="11"/>
        <v/>
      </c>
      <c r="AP63" s="568" t="str">
        <f>IF(AB63=$V$3,IF(VLOOKUP(C63,[1]List1!$A:$E,5,FALSE)=0,1,VLOOKUP(C63,[1]List1!$A:$E,5,FALSE)),"")</f>
        <v/>
      </c>
      <c r="AQ63" s="292" t="str">
        <f t="shared" si="12"/>
        <v/>
      </c>
      <c r="AR63" s="618" t="str">
        <f t="shared" si="13"/>
        <v/>
      </c>
      <c r="AS63" s="292" t="str">
        <f t="shared" si="14"/>
        <v/>
      </c>
      <c r="AT63" s="377" t="e">
        <f t="shared" si="15"/>
        <v>#N/A</v>
      </c>
      <c r="AU63" s="292" t="e">
        <f t="shared" si="16"/>
        <v>#N/A</v>
      </c>
    </row>
    <row r="64" spans="1:47" ht="15" customHeight="1">
      <c r="A64" s="601" t="str">
        <f>Kat.!B64</f>
        <v>x</v>
      </c>
      <c r="B64" s="601">
        <f t="shared" si="8"/>
        <v>1</v>
      </c>
      <c r="C64" s="775" t="s">
        <v>204</v>
      </c>
      <c r="D64" s="776"/>
      <c r="E64" s="760"/>
      <c r="F64" s="761"/>
      <c r="G64" s="762"/>
      <c r="H64" s="596"/>
      <c r="I64" s="763"/>
      <c r="J64" s="764"/>
      <c r="K64" s="774"/>
      <c r="L64" s="766"/>
      <c r="M64" s="764"/>
      <c r="N64" s="777"/>
      <c r="O64" s="763"/>
      <c r="P64" s="763"/>
      <c r="Q64" s="764"/>
      <c r="R64" s="764"/>
      <c r="S64" s="764"/>
      <c r="T64" s="764"/>
      <c r="U64" s="768"/>
      <c r="V64" s="768"/>
      <c r="W64" s="769" t="str">
        <f>IFERROR(VLOOKUP('General price list'!$C64,Popisy!A:P,MATCH($W$17,Popisy!$A$7:$P$7,0),FALSE),"---------------")</f>
        <v>Goldene Wunderkerze in Form der Nummer 1</v>
      </c>
      <c r="X64" s="769" t="str">
        <f t="shared" si="17"/>
        <v/>
      </c>
      <c r="Y64" s="770">
        <f>IF(OR(AP64&lt;AA64,AND(NOT(OR(LEFT(AB64,3)="SKL",LEFT(AB64,3)=LEFT($V$2,3))),AA64&gt;0),AND('Deutsche Markt'!$AH$1=FALSE,J64="F4",AA64&gt;0)),"",AA64)</f>
        <v>0</v>
      </c>
      <c r="Z64" s="769"/>
      <c r="AA64" s="771">
        <f>'Deutsche Markt'!AA64</f>
        <v>0</v>
      </c>
      <c r="AB64" s="772" t="str">
        <f>IFERROR(IF(VLOOKUP(C64,[1]List1!$A:$D,2,FALSE)="VYPRODÁNO",$V$9,IF(VLOOKUP(C64,[1]List1!$A:$D,2,FALSE)="DOCHÁZÍ",$V$3,VLOOKUP(C64,[1]List1!$A:$D,2,FALSE))),"OFFLINE!")</f>
        <v>SKLADEM</v>
      </c>
      <c r="AC64" s="772" t="str">
        <f ca="1">IF(AO64="NE",$V$10,IF(AB64=$V$3,IF(AP64&lt;1,$V$8,$V$2&amp;" "&amp;AP64&amp;" "&amp;$V$1),IF(AB64="SKLADEM",$V$6,IFERROR(IF(OR(AB64-TODAY()&gt;21,VLOOKUP(C64,[1]List1!$A:$E,4,FALSE)=0),AB64,DAY(AB64)&amp;"."&amp;MONTH(AB64)&amp;"."&amp;YEAR(AB64)&amp;" "&amp;$V$4&amp;VLOOKUP(C64,[1]List1!$A:$E,4,FALSE)&amp;" "&amp;$V$1),AB64))))</f>
        <v>AUF LAGER</v>
      </c>
      <c r="AD64" s="772" t="str">
        <f t="shared" ca="1" si="18"/>
        <v>AUF LAGER</v>
      </c>
      <c r="AE64" s="605"/>
      <c r="AF64" s="605"/>
      <c r="AG64" s="615"/>
      <c r="AH64" s="616"/>
      <c r="AI64" s="615"/>
      <c r="AJ64" s="617"/>
      <c r="AK64" s="617"/>
      <c r="AL64" s="617"/>
      <c r="AM64" s="617"/>
      <c r="AN64" s="292"/>
      <c r="AO64" s="567" t="str">
        <f t="shared" si="11"/>
        <v/>
      </c>
      <c r="AP64" s="568" t="str">
        <f>IF(AB64=$V$3,IF(VLOOKUP(C64,[1]List1!$A:$E,5,FALSE)=0,1,VLOOKUP(C64,[1]List1!$A:$E,5,FALSE)),"")</f>
        <v/>
      </c>
      <c r="AQ64" s="292" t="str">
        <f t="shared" si="12"/>
        <v/>
      </c>
      <c r="AR64" s="618" t="str">
        <f t="shared" si="13"/>
        <v/>
      </c>
      <c r="AS64" s="292" t="str">
        <f t="shared" si="14"/>
        <v/>
      </c>
      <c r="AT64" s="377" t="e">
        <f t="shared" si="15"/>
        <v>#N/A</v>
      </c>
      <c r="AU64" s="292" t="e">
        <f t="shared" si="16"/>
        <v>#N/A</v>
      </c>
    </row>
    <row r="65" spans="1:47" ht="15" customHeight="1">
      <c r="A65" s="601" t="str">
        <f>Kat.!B65</f>
        <v>x</v>
      </c>
      <c r="B65" s="601">
        <f t="shared" si="8"/>
        <v>1</v>
      </c>
      <c r="C65" s="758" t="s">
        <v>211</v>
      </c>
      <c r="D65" s="759"/>
      <c r="E65" s="760"/>
      <c r="F65" s="761"/>
      <c r="G65" s="762"/>
      <c r="H65" s="596"/>
      <c r="I65" s="763"/>
      <c r="J65" s="764"/>
      <c r="K65" s="773"/>
      <c r="L65" s="766"/>
      <c r="M65" s="764"/>
      <c r="N65" s="767"/>
      <c r="O65" s="763"/>
      <c r="P65" s="763"/>
      <c r="Q65" s="764"/>
      <c r="R65" s="764"/>
      <c r="S65" s="764"/>
      <c r="T65" s="761"/>
      <c r="U65" s="768"/>
      <c r="V65" s="768"/>
      <c r="W65" s="769" t="str">
        <f>IFERROR(VLOOKUP('General price list'!$C65,Popisy!A:P,MATCH($W$17,Popisy!$A$7:$P$7,0),FALSE),"---------------")</f>
        <v>Goldene Wunderkerze in Form der Herz</v>
      </c>
      <c r="X65" s="769" t="str">
        <f t="shared" si="17"/>
        <v/>
      </c>
      <c r="Y65" s="770">
        <f>IF(OR(AP65&lt;AA65,AND(NOT(OR(LEFT(AB65,3)="SKL",LEFT(AB65,3)=LEFT($V$2,3))),AA65&gt;0),AND('Deutsche Markt'!$AH$1=FALSE,J65="F4",AA65&gt;0)),"",AA65)</f>
        <v>0</v>
      </c>
      <c r="Z65" s="769"/>
      <c r="AA65" s="771">
        <f>'Deutsche Markt'!AA65</f>
        <v>0</v>
      </c>
      <c r="AB65" s="772" t="str">
        <f>IFERROR(IF(VLOOKUP(C65,[1]List1!$A:$D,2,FALSE)="VYPRODÁNO",$V$9,IF(VLOOKUP(C65,[1]List1!$A:$D,2,FALSE)="DOCHÁZÍ",$V$3,VLOOKUP(C65,[1]List1!$A:$D,2,FALSE))),"OFFLINE!")</f>
        <v>SKLADEM</v>
      </c>
      <c r="AC65" s="772" t="str">
        <f ca="1">IF(AO65="NE",$V$10,IF(AB65=$V$3,IF(AP65&lt;1,$V$8,$V$2&amp;" "&amp;AP65&amp;" "&amp;$V$1),IF(AB65="SKLADEM",$V$6,IFERROR(IF(OR(AB65-TODAY()&gt;21,VLOOKUP(C65,[1]List1!$A:$E,4,FALSE)=0),AB65,DAY(AB65)&amp;"."&amp;MONTH(AB65)&amp;"."&amp;YEAR(AB65)&amp;" "&amp;$V$4&amp;VLOOKUP(C65,[1]List1!$A:$E,4,FALSE)&amp;" "&amp;$V$1),AB65))))</f>
        <v>AUF LAGER</v>
      </c>
      <c r="AD65" s="772" t="str">
        <f t="shared" ca="1" si="18"/>
        <v>AUF LAGER</v>
      </c>
      <c r="AE65" s="605"/>
      <c r="AF65" s="605"/>
      <c r="AG65" s="615"/>
      <c r="AH65" s="616"/>
      <c r="AI65" s="615"/>
      <c r="AJ65" s="617"/>
      <c r="AK65" s="617"/>
      <c r="AL65" s="617"/>
      <c r="AM65" s="617"/>
      <c r="AO65" s="567" t="str">
        <f t="shared" si="11"/>
        <v/>
      </c>
      <c r="AP65" s="568" t="str">
        <f>IF(AB65=$V$3,IF(VLOOKUP(C65,[1]List1!$A:$E,5,FALSE)=0,1,VLOOKUP(C65,[1]List1!$A:$E,5,FALSE)),"")</f>
        <v/>
      </c>
      <c r="AQ65" s="292" t="str">
        <f t="shared" si="12"/>
        <v/>
      </c>
      <c r="AR65" s="618" t="str">
        <f t="shared" si="13"/>
        <v/>
      </c>
      <c r="AS65" s="292" t="str">
        <f t="shared" si="14"/>
        <v/>
      </c>
      <c r="AT65" s="377" t="e">
        <f t="shared" si="15"/>
        <v>#N/A</v>
      </c>
      <c r="AU65" s="292" t="e">
        <f t="shared" si="16"/>
        <v>#N/A</v>
      </c>
    </row>
    <row r="66" spans="1:47" ht="15" customHeight="1">
      <c r="A66" s="601" t="str">
        <f>Kat.!B66</f>
        <v>x</v>
      </c>
      <c r="B66" s="601">
        <f t="shared" si="8"/>
        <v>1</v>
      </c>
      <c r="C66" s="758" t="s">
        <v>216</v>
      </c>
      <c r="D66" s="759"/>
      <c r="E66" s="760"/>
      <c r="F66" s="761"/>
      <c r="G66" s="762"/>
      <c r="H66" s="596"/>
      <c r="I66" s="763"/>
      <c r="J66" s="764"/>
      <c r="K66" s="774"/>
      <c r="L66" s="766"/>
      <c r="M66" s="764"/>
      <c r="N66" s="767"/>
      <c r="O66" s="763"/>
      <c r="P66" s="763"/>
      <c r="Q66" s="764"/>
      <c r="R66" s="764"/>
      <c r="S66" s="764"/>
      <c r="T66" s="761"/>
      <c r="U66" s="768"/>
      <c r="V66" s="768"/>
      <c r="W66" s="769" t="str">
        <f>IFERROR(VLOOKUP('General price list'!$C66,Popisy!A:P,MATCH($W$17,Popisy!$A$7:$P$7,0),FALSE),"---------------")</f>
        <v>Goldene Wunderkerze in Form der Stern</v>
      </c>
      <c r="X66" s="769" t="str">
        <f t="shared" si="17"/>
        <v/>
      </c>
      <c r="Y66" s="770">
        <f>IF(OR(AP66&lt;AA66,AND(NOT(OR(LEFT(AB66,3)="SKL",LEFT(AB66,3)=LEFT($V$2,3))),AA66&gt;0),AND('Deutsche Markt'!$AH$1=FALSE,J66="F4",AA66&gt;0)),"",AA66)</f>
        <v>0</v>
      </c>
      <c r="Z66" s="769"/>
      <c r="AA66" s="771">
        <f>'Deutsche Markt'!AA66</f>
        <v>0</v>
      </c>
      <c r="AB66" s="772" t="str">
        <f>IFERROR(IF(VLOOKUP(C66,[1]List1!$A:$D,2,FALSE)="VYPRODÁNO",$V$9,IF(VLOOKUP(C66,[1]List1!$A:$D,2,FALSE)="DOCHÁZÍ",$V$3,VLOOKUP(C66,[1]List1!$A:$D,2,FALSE))),"OFFLINE!")</f>
        <v>SKLADEM</v>
      </c>
      <c r="AC66" s="772" t="str">
        <f ca="1">IF(AO66="NE",$V$10,IF(AB66=$V$3,IF(AP66&lt;1,$V$8,$V$2&amp;" "&amp;AP66&amp;" "&amp;$V$1),IF(AB66="SKLADEM",$V$6,IFERROR(IF(OR(AB66-TODAY()&gt;21,VLOOKUP(C66,[1]List1!$A:$E,4,FALSE)=0),AB66,DAY(AB66)&amp;"."&amp;MONTH(AB66)&amp;"."&amp;YEAR(AB66)&amp;" "&amp;$V$4&amp;VLOOKUP(C66,[1]List1!$A:$E,4,FALSE)&amp;" "&amp;$V$1),AB66))))</f>
        <v>AUF LAGER</v>
      </c>
      <c r="AD66" s="772" t="str">
        <f t="shared" ca="1" si="18"/>
        <v>AUF LAGER</v>
      </c>
      <c r="AE66" s="605"/>
      <c r="AF66" s="605"/>
      <c r="AG66" s="615"/>
      <c r="AH66" s="616"/>
      <c r="AI66" s="615"/>
      <c r="AJ66" s="617"/>
      <c r="AK66" s="617"/>
      <c r="AL66" s="617"/>
      <c r="AM66" s="617"/>
      <c r="AN66" s="292"/>
      <c r="AO66" s="567" t="str">
        <f t="shared" si="11"/>
        <v/>
      </c>
      <c r="AP66" s="568" t="str">
        <f>IF(AB66=$V$3,IF(VLOOKUP(C66,[1]List1!$A:$E,5,FALSE)=0,1,VLOOKUP(C66,[1]List1!$A:$E,5,FALSE)),"")</f>
        <v/>
      </c>
      <c r="AQ66" s="292" t="str">
        <f t="shared" si="12"/>
        <v/>
      </c>
      <c r="AR66" s="618" t="str">
        <f t="shared" si="13"/>
        <v/>
      </c>
      <c r="AS66" s="292" t="str">
        <f t="shared" si="14"/>
        <v/>
      </c>
      <c r="AT66" s="377" t="e">
        <f t="shared" si="15"/>
        <v>#N/A</v>
      </c>
      <c r="AU66" s="292" t="e">
        <f t="shared" si="16"/>
        <v>#N/A</v>
      </c>
    </row>
    <row r="67" spans="1:47" ht="15" customHeight="1">
      <c r="A67" s="601" t="str">
        <f>Kat.!B67</f>
        <v/>
      </c>
      <c r="B67" s="601">
        <f t="shared" si="8"/>
        <v>1</v>
      </c>
      <c r="C67" s="758" t="s">
        <v>221</v>
      </c>
      <c r="D67" s="759"/>
      <c r="E67" s="760"/>
      <c r="F67" s="761"/>
      <c r="G67" s="762"/>
      <c r="H67" s="596"/>
      <c r="I67" s="763"/>
      <c r="J67" s="764"/>
      <c r="K67" s="773"/>
      <c r="L67" s="766"/>
      <c r="M67" s="764"/>
      <c r="N67" s="767"/>
      <c r="O67" s="763"/>
      <c r="P67" s="763"/>
      <c r="Q67" s="764"/>
      <c r="R67" s="764"/>
      <c r="S67" s="764"/>
      <c r="T67" s="761"/>
      <c r="U67" s="768"/>
      <c r="V67" s="768"/>
      <c r="W67" s="769" t="str">
        <f>IFERROR(VLOOKUP('General price list'!$C67,Popisy!A:P,MATCH($W$17,Popisy!$A$7:$P$7,0),FALSE),"---------------")</f>
        <v>Goldene Wunderkerze(mix aus Zahlen 0-9,Herz,Stern)</v>
      </c>
      <c r="X67" s="769" t="str">
        <f t="shared" si="17"/>
        <v/>
      </c>
      <c r="Y67" s="770">
        <f>IF(OR(AP67&lt;AA67,AND(NOT(OR(LEFT(AB67,3)="SKL",LEFT(AB67,3)=LEFT($V$2,3))),AA67&gt;0),AND('Deutsche Markt'!$AH$1=FALSE,J67="F4",AA67&gt;0)),"",AA67)</f>
        <v>0</v>
      </c>
      <c r="Z67" s="769"/>
      <c r="AA67" s="771">
        <f>'Deutsche Markt'!AA67</f>
        <v>0</v>
      </c>
      <c r="AB67" s="772" t="str">
        <f>IFERROR(IF(VLOOKUP(C67,[1]List1!$A:$D,2,FALSE)="VYPRODÁNO",$V$9,IF(VLOOKUP(C67,[1]List1!$A:$D,2,FALSE)="DOCHÁZÍ",$V$3,VLOOKUP(C67,[1]List1!$A:$D,2,FALSE))),"OFFLINE!")</f>
        <v>SKLADEM</v>
      </c>
      <c r="AC67" s="772" t="str">
        <f ca="1">IF(AO67="NE",$V$10,IF(AB67=$V$3,IF(AP67&lt;1,$V$8,$V$2&amp;" "&amp;AP67&amp;" "&amp;$V$1),IF(AB67="SKLADEM",$V$6,IFERROR(IF(OR(AB67-TODAY()&gt;21,VLOOKUP(C67,[1]List1!$A:$E,4,FALSE)=0),AB67,DAY(AB67)&amp;"."&amp;MONTH(AB67)&amp;"."&amp;YEAR(AB67)&amp;" "&amp;$V$4&amp;VLOOKUP(C67,[1]List1!$A:$E,4,FALSE)&amp;" "&amp;$V$1),AB67))))</f>
        <v>AUF LAGER</v>
      </c>
      <c r="AD67" s="772" t="str">
        <f t="shared" ca="1" si="18"/>
        <v>AUF LAGER</v>
      </c>
      <c r="AE67" s="605"/>
      <c r="AF67" s="605"/>
      <c r="AG67" s="615"/>
      <c r="AH67" s="616"/>
      <c r="AI67" s="615"/>
      <c r="AJ67" s="617"/>
      <c r="AK67" s="617"/>
      <c r="AL67" s="617"/>
      <c r="AM67" s="617"/>
      <c r="AN67" s="292"/>
      <c r="AO67" s="567" t="str">
        <f t="shared" si="11"/>
        <v/>
      </c>
      <c r="AP67" s="568" t="str">
        <f>IF(AB67=$V$3,IF(VLOOKUP(C67,[1]List1!$A:$E,5,FALSE)=0,1,VLOOKUP(C67,[1]List1!$A:$E,5,FALSE)),"")</f>
        <v/>
      </c>
      <c r="AQ67" s="292" t="str">
        <f t="shared" si="12"/>
        <v/>
      </c>
      <c r="AR67" s="618" t="str">
        <f t="shared" si="13"/>
        <v/>
      </c>
      <c r="AS67" s="292" t="str">
        <f t="shared" si="14"/>
        <v/>
      </c>
      <c r="AT67" s="377" t="e">
        <f t="shared" si="15"/>
        <v>#N/A</v>
      </c>
      <c r="AU67" s="292" t="e">
        <f t="shared" si="16"/>
        <v>#N/A</v>
      </c>
    </row>
    <row r="68" spans="1:47" ht="15" customHeight="1">
      <c r="A68" s="601" t="str">
        <f>Kat.!B68</f>
        <v/>
      </c>
      <c r="B68" s="601">
        <f t="shared" si="8"/>
        <v>1</v>
      </c>
      <c r="C68" s="758" t="s">
        <v>2743</v>
      </c>
      <c r="D68" s="759"/>
      <c r="E68" s="760"/>
      <c r="F68" s="761"/>
      <c r="G68" s="762"/>
      <c r="H68" s="596"/>
      <c r="I68" s="763"/>
      <c r="J68" s="764"/>
      <c r="K68" s="774"/>
      <c r="L68" s="766"/>
      <c r="M68" s="764"/>
      <c r="N68" s="767"/>
      <c r="O68" s="763"/>
      <c r="P68" s="763"/>
      <c r="Q68" s="764"/>
      <c r="R68" s="764"/>
      <c r="S68" s="764"/>
      <c r="T68" s="761"/>
      <c r="U68" s="768"/>
      <c r="V68" s="768"/>
      <c r="W68" s="769" t="str">
        <f>IFERROR(VLOOKUP('General price list'!$C68,Popisy!A:P,MATCH($W$17,Popisy!$A$7:$P$7,0),FALSE),"---------------")</f>
        <v>Präsentationsstand für Wunderkerzen(leer)</v>
      </c>
      <c r="X68" s="769" t="str">
        <f t="shared" si="17"/>
        <v/>
      </c>
      <c r="Y68" s="770">
        <f>IF(OR(AP68&lt;AA68,AND(NOT(OR(LEFT(AB68,3)="SKL",LEFT(AB68,3)=LEFT($V$2,3))),AA68&gt;0),AND('Deutsche Markt'!$AH$1=FALSE,J68="F4",AA68&gt;0)),"",AA68)</f>
        <v>0</v>
      </c>
      <c r="Z68" s="769"/>
      <c r="AA68" s="771">
        <f>'Deutsche Markt'!AA68</f>
        <v>0</v>
      </c>
      <c r="AB68" s="772" t="str">
        <f>IFERROR(IF(VLOOKUP(C68,[1]List1!$A:$D,2,FALSE)="VYPRODÁNO",$V$9,IF(VLOOKUP(C68,[1]List1!$A:$D,2,FALSE)="DOCHÁZÍ",$V$3,VLOOKUP(C68,[1]List1!$A:$D,2,FALSE))),"OFFLINE!")</f>
        <v>SKLADEM</v>
      </c>
      <c r="AC68" s="772" t="str">
        <f ca="1">IF(AO68="NE",$V$10,IF(AB68=$V$3,IF(AP68&lt;1,$V$8,$V$2&amp;" "&amp;AP68&amp;" "&amp;$V$1),IF(AB68="SKLADEM",$V$6,IFERROR(IF(OR(AB68-TODAY()&gt;21,VLOOKUP(C68,[1]List1!$A:$E,4,FALSE)=0),AB68,DAY(AB68)&amp;"."&amp;MONTH(AB68)&amp;"."&amp;YEAR(AB68)&amp;" "&amp;$V$4&amp;VLOOKUP(C68,[1]List1!$A:$E,4,FALSE)&amp;" "&amp;$V$1),AB68))))</f>
        <v>AUF LAGER</v>
      </c>
      <c r="AD68" s="772" t="str">
        <f t="shared" ca="1" si="18"/>
        <v>AUF LAGER</v>
      </c>
      <c r="AE68" s="605"/>
      <c r="AF68" s="605"/>
      <c r="AG68" s="615"/>
      <c r="AH68" s="616"/>
      <c r="AI68" s="615"/>
      <c r="AJ68" s="617"/>
      <c r="AK68" s="617"/>
      <c r="AL68" s="617"/>
      <c r="AM68" s="617"/>
      <c r="AN68" s="292"/>
      <c r="AO68" s="567" t="str">
        <f t="shared" si="11"/>
        <v/>
      </c>
      <c r="AP68" s="568" t="str">
        <f>IF(AB68=$V$3,IF(VLOOKUP(C68,[1]List1!$A:$E,5,FALSE)=0,1,VLOOKUP(C68,[1]List1!$A:$E,5,FALSE)),"")</f>
        <v/>
      </c>
      <c r="AQ68" s="292" t="str">
        <f t="shared" si="12"/>
        <v/>
      </c>
      <c r="AR68" s="618" t="str">
        <f t="shared" si="13"/>
        <v/>
      </c>
      <c r="AS68" s="292" t="str">
        <f t="shared" si="14"/>
        <v/>
      </c>
      <c r="AT68" s="377" t="e">
        <f t="shared" si="15"/>
        <v>#N/A</v>
      </c>
      <c r="AU68" s="292" t="e">
        <f t="shared" si="16"/>
        <v>#N/A</v>
      </c>
    </row>
    <row r="69" spans="1:47" ht="15" customHeight="1">
      <c r="A69" s="601" t="str">
        <f>Kat.!B69</f>
        <v>Rauchröhren</v>
      </c>
      <c r="B69" s="601">
        <f t="shared" si="8"/>
        <v>0</v>
      </c>
      <c r="C69" s="758"/>
      <c r="D69" s="759"/>
      <c r="E69" s="760"/>
      <c r="F69" s="761"/>
      <c r="G69" s="762"/>
      <c r="H69" s="596"/>
      <c r="I69" s="763"/>
      <c r="J69" s="764"/>
      <c r="K69" s="773"/>
      <c r="L69" s="766"/>
      <c r="M69" s="764"/>
      <c r="N69" s="767"/>
      <c r="O69" s="763"/>
      <c r="P69" s="763"/>
      <c r="Q69" s="764"/>
      <c r="R69" s="764"/>
      <c r="S69" s="764"/>
      <c r="T69" s="761"/>
      <c r="U69" s="768"/>
      <c r="V69" s="768"/>
      <c r="W69" s="769" t="str">
        <f>IFERROR(VLOOKUP('General price list'!$C69,Popisy!A:P,MATCH($W$17,Popisy!$A$7:$P$7,0),FALSE),"---------------")</f>
        <v>---------------</v>
      </c>
      <c r="X69" s="769" t="str">
        <f t="shared" si="17"/>
        <v/>
      </c>
      <c r="Y69" s="770">
        <f>IF(OR(AP69&lt;AA69,AND(NOT(OR(LEFT(AB69,3)="SKL",LEFT(AB69,3)=LEFT($V$2,3))),AA69&gt;0),AND('Deutsche Markt'!$AH$1=FALSE,J69="F4",AA69&gt;0)),"",AA69)</f>
        <v>0</v>
      </c>
      <c r="Z69" s="769"/>
      <c r="AA69" s="771">
        <f>'Deutsche Markt'!AA69</f>
        <v>0</v>
      </c>
      <c r="AB69" s="772" t="str">
        <f>IFERROR(IF(VLOOKUP(C69,[1]List1!$A:$D,2,FALSE)="VYPRODÁNO",$V$9,IF(VLOOKUP(C69,[1]List1!$A:$D,2,FALSE)="DOCHÁZÍ",$V$3,VLOOKUP(C69,[1]List1!$A:$D,2,FALSE))),"OFFLINE!")</f>
        <v>OFFLINE!</v>
      </c>
      <c r="AC69" s="772" t="str">
        <f ca="1">IF(AO69="NE",$V$10,IF(AB69=$V$3,IF(AP69&lt;1,$V$8,$V$2&amp;" "&amp;AP69&amp;" "&amp;$V$1),IF(AB69="SKLADEM",$V$6,IFERROR(IF(OR(AB69-TODAY()&gt;21,VLOOKUP(C69,[1]List1!$A:$E,4,FALSE)=0),AB69,DAY(AB69)&amp;"."&amp;MONTH(AB69)&amp;"."&amp;YEAR(AB69)&amp;" "&amp;$V$4&amp;VLOOKUP(C69,[1]List1!$A:$E,4,FALSE)&amp;" "&amp;$V$1),AB69))))</f>
        <v>OFFLINE!</v>
      </c>
      <c r="AD69" s="772" t="str">
        <f t="shared" ca="1" si="18"/>
        <v>OFFLINE!</v>
      </c>
      <c r="AE69" s="605"/>
      <c r="AF69" s="605"/>
      <c r="AG69" s="615"/>
      <c r="AH69" s="616"/>
      <c r="AI69" s="615"/>
      <c r="AJ69" s="617"/>
      <c r="AK69" s="617"/>
      <c r="AL69" s="617"/>
      <c r="AM69" s="617"/>
      <c r="AO69" s="567" t="str">
        <f t="shared" si="11"/>
        <v/>
      </c>
      <c r="AP69" s="568" t="str">
        <f>IF(AB69=$V$3,IF(VLOOKUP(C69,[1]List1!$A:$E,5,FALSE)=0,1,VLOOKUP(C69,[1]List1!$A:$E,5,FALSE)),"")</f>
        <v/>
      </c>
      <c r="AQ69" s="292" t="str">
        <f t="shared" si="12"/>
        <v/>
      </c>
      <c r="AR69" s="618" t="str">
        <f t="shared" si="13"/>
        <v/>
      </c>
      <c r="AS69" s="292" t="str">
        <f t="shared" si="14"/>
        <v/>
      </c>
      <c r="AT69" s="377" t="e">
        <f t="shared" si="15"/>
        <v>#N/A</v>
      </c>
      <c r="AU69" s="292" t="e">
        <f t="shared" si="16"/>
        <v>#N/A</v>
      </c>
    </row>
    <row r="70" spans="1:47" ht="15" customHeight="1">
      <c r="A70" s="601" t="str">
        <f>Kat.!B70</f>
        <v/>
      </c>
      <c r="B70" s="601">
        <f t="shared" si="8"/>
        <v>1</v>
      </c>
      <c r="C70" s="758" t="s">
        <v>227</v>
      </c>
      <c r="D70" s="759"/>
      <c r="E70" s="760"/>
      <c r="F70" s="761"/>
      <c r="G70" s="762"/>
      <c r="H70" s="596"/>
      <c r="I70" s="763"/>
      <c r="J70" s="764"/>
      <c r="K70" s="774"/>
      <c r="L70" s="766"/>
      <c r="M70" s="764"/>
      <c r="N70" s="767"/>
      <c r="O70" s="763"/>
      <c r="P70" s="763"/>
      <c r="Q70" s="764"/>
      <c r="R70" s="764"/>
      <c r="S70" s="764"/>
      <c r="T70" s="761"/>
      <c r="U70" s="768"/>
      <c r="V70" s="768"/>
      <c r="W70" s="769" t="str">
        <f>IFERROR(VLOOKUP('General price list'!$C70,Popisy!A:P,MATCH($W$17,Popisy!$A$7:$P$7,0),FALSE),"---------------")</f>
        <v>Farbige runde Rauchröhren (rot, grün, gelb, blau, weiß, lila)</v>
      </c>
      <c r="X70" s="769" t="str">
        <f t="shared" si="17"/>
        <v/>
      </c>
      <c r="Y70" s="770">
        <f>IF(OR(AP70&lt;AA70,AND(NOT(OR(LEFT(AB70,3)="SKL",LEFT(AB70,3)=LEFT($V$2,3))),AA70&gt;0),AND('Deutsche Markt'!$AH$1=FALSE,J70="F4",AA70&gt;0)),"",AA70)</f>
        <v>0</v>
      </c>
      <c r="Z70" s="769"/>
      <c r="AA70" s="771">
        <f>'Deutsche Markt'!AA70</f>
        <v>0</v>
      </c>
      <c r="AB70" s="772" t="str">
        <f>IFERROR(IF(VLOOKUP(C70,[1]List1!$A:$D,2,FALSE)="VYPRODÁNO",$V$9,IF(VLOOKUP(C70,[1]List1!$A:$D,2,FALSE)="DOCHÁZÍ",$V$3,VLOOKUP(C70,[1]List1!$A:$D,2,FALSE))),"OFFLINE!")</f>
        <v>SKLADEM</v>
      </c>
      <c r="AC70" s="772" t="str">
        <f ca="1">IF(AO70="NE",$V$10,IF(AB70=$V$3,IF(AP70&lt;1,$V$8,$V$2&amp;" "&amp;AP70&amp;" "&amp;$V$1),IF(AB70="SKLADEM",$V$6,IFERROR(IF(OR(AB70-TODAY()&gt;21,VLOOKUP(C70,[1]List1!$A:$E,4,FALSE)=0),AB70,DAY(AB70)&amp;"."&amp;MONTH(AB70)&amp;"."&amp;YEAR(AB70)&amp;" "&amp;$V$4&amp;VLOOKUP(C70,[1]List1!$A:$E,4,FALSE)&amp;" "&amp;$V$1),AB70))))</f>
        <v>AUF LAGER</v>
      </c>
      <c r="AD70" s="772" t="str">
        <f t="shared" ca="1" si="18"/>
        <v>AUF LAGER</v>
      </c>
      <c r="AE70" s="605"/>
      <c r="AF70" s="605"/>
      <c r="AG70" s="615"/>
      <c r="AH70" s="616"/>
      <c r="AI70" s="615"/>
      <c r="AJ70" s="617"/>
      <c r="AK70" s="617"/>
      <c r="AL70" s="617"/>
      <c r="AM70" s="617"/>
      <c r="AO70" s="567" t="str">
        <f t="shared" si="11"/>
        <v/>
      </c>
      <c r="AP70" s="568" t="str">
        <f>IF(AB70=$V$3,IF(VLOOKUP(C70,[1]List1!$A:$E,5,FALSE)=0,1,VLOOKUP(C70,[1]List1!$A:$E,5,FALSE)),"")</f>
        <v/>
      </c>
      <c r="AQ70" s="292" t="str">
        <f t="shared" si="12"/>
        <v/>
      </c>
      <c r="AR70" s="618" t="str">
        <f t="shared" si="13"/>
        <v/>
      </c>
      <c r="AS70" s="292" t="str">
        <f t="shared" si="14"/>
        <v/>
      </c>
      <c r="AT70" s="377" t="e">
        <f t="shared" si="15"/>
        <v>#N/A</v>
      </c>
      <c r="AU70" s="292" t="e">
        <f t="shared" si="16"/>
        <v>#N/A</v>
      </c>
    </row>
    <row r="71" spans="1:47" ht="15" customHeight="1">
      <c r="A71" s="601" t="str">
        <f>Kat.!B71</f>
        <v/>
      </c>
      <c r="B71" s="601">
        <f t="shared" si="8"/>
        <v>1</v>
      </c>
      <c r="C71" s="758" t="s">
        <v>234</v>
      </c>
      <c r="D71" s="759"/>
      <c r="E71" s="760"/>
      <c r="F71" s="761"/>
      <c r="G71" s="762"/>
      <c r="H71" s="596"/>
      <c r="I71" s="763"/>
      <c r="J71" s="764"/>
      <c r="K71" s="773"/>
      <c r="L71" s="766"/>
      <c r="M71" s="764"/>
      <c r="N71" s="767"/>
      <c r="O71" s="763"/>
      <c r="P71" s="763"/>
      <c r="Q71" s="764"/>
      <c r="R71" s="764"/>
      <c r="S71" s="764"/>
      <c r="T71" s="761"/>
      <c r="U71" s="768"/>
      <c r="V71" s="768"/>
      <c r="W71" s="769" t="str">
        <f>IFERROR(VLOOKUP('General price list'!$C71,Popisy!A:P,MATCH($W$17,Popisy!$A$7:$P$7,0),FALSE),"---------------")</f>
        <v>Rauchröhren (Tube) - blau, rot, gelb, grün</v>
      </c>
      <c r="X71" s="769" t="str">
        <f t="shared" si="17"/>
        <v/>
      </c>
      <c r="Y71" s="770">
        <f>IF(OR(AP71&lt;AA71,AND(NOT(OR(LEFT(AB71,3)="SKL",LEFT(AB71,3)=LEFT($V$2,3))),AA71&gt;0),AND('Deutsche Markt'!$AH$1=FALSE,J71="F4",AA71&gt;0)),"",AA71)</f>
        <v>0</v>
      </c>
      <c r="Z71" s="769"/>
      <c r="AA71" s="771">
        <f>'Deutsche Markt'!AA71</f>
        <v>0</v>
      </c>
      <c r="AB71" s="772" t="str">
        <f>IFERROR(IF(VLOOKUP(C71,[1]List1!$A:$D,2,FALSE)="VYPRODÁNO",$V$9,IF(VLOOKUP(C71,[1]List1!$A:$D,2,FALSE)="DOCHÁZÍ",$V$3,VLOOKUP(C71,[1]List1!$A:$D,2,FALSE))),"OFFLINE!")</f>
        <v>SKLADEM</v>
      </c>
      <c r="AC71" s="772" t="str">
        <f ca="1">IF(AO71="NE",$V$10,IF(AB71=$V$3,IF(AP71&lt;1,$V$8,$V$2&amp;" "&amp;AP71&amp;" "&amp;$V$1),IF(AB71="SKLADEM",$V$6,IFERROR(IF(OR(AB71-TODAY()&gt;21,VLOOKUP(C71,[1]List1!$A:$E,4,FALSE)=0),AB71,DAY(AB71)&amp;"."&amp;MONTH(AB71)&amp;"."&amp;YEAR(AB71)&amp;" "&amp;$V$4&amp;VLOOKUP(C71,[1]List1!$A:$E,4,FALSE)&amp;" "&amp;$V$1),AB71))))</f>
        <v>AUF LAGER</v>
      </c>
      <c r="AD71" s="772" t="str">
        <f t="shared" ca="1" si="18"/>
        <v>AUF LAGER</v>
      </c>
      <c r="AE71" s="605"/>
      <c r="AF71" s="605"/>
      <c r="AG71" s="615"/>
      <c r="AH71" s="616"/>
      <c r="AI71" s="615"/>
      <c r="AJ71" s="617"/>
      <c r="AK71" s="617"/>
      <c r="AL71" s="617"/>
      <c r="AM71" s="617"/>
      <c r="AO71" s="567" t="str">
        <f t="shared" si="11"/>
        <v/>
      </c>
      <c r="AP71" s="568" t="str">
        <f>IF(AB71=$V$3,IF(VLOOKUP(C71,[1]List1!$A:$E,5,FALSE)=0,1,VLOOKUP(C71,[1]List1!$A:$E,5,FALSE)),"")</f>
        <v/>
      </c>
      <c r="AQ71" s="292" t="str">
        <f t="shared" si="12"/>
        <v/>
      </c>
      <c r="AR71" s="618" t="str">
        <f t="shared" si="13"/>
        <v/>
      </c>
      <c r="AS71" s="292" t="str">
        <f t="shared" si="14"/>
        <v/>
      </c>
      <c r="AT71" s="377" t="e">
        <f t="shared" si="15"/>
        <v>#N/A</v>
      </c>
      <c r="AU71" s="292" t="e">
        <f t="shared" si="16"/>
        <v>#N/A</v>
      </c>
    </row>
    <row r="72" spans="1:47" ht="15" customHeight="1">
      <c r="A72" s="601" t="str">
        <f>Kat.!B72</f>
        <v/>
      </c>
      <c r="B72" s="601">
        <f t="shared" si="8"/>
        <v>1</v>
      </c>
      <c r="C72" s="778" t="s">
        <v>239</v>
      </c>
      <c r="D72" s="778"/>
      <c r="E72" s="778"/>
      <c r="F72" s="779"/>
      <c r="G72" s="778"/>
      <c r="H72" s="778"/>
      <c r="I72" s="778"/>
      <c r="J72" s="778"/>
      <c r="K72" s="774"/>
      <c r="L72" s="778"/>
      <c r="M72" s="778"/>
      <c r="N72" s="778"/>
      <c r="O72" s="778"/>
      <c r="P72" s="778"/>
      <c r="Q72" s="778"/>
      <c r="R72" s="778"/>
      <c r="S72" s="778"/>
      <c r="T72" s="778"/>
      <c r="U72" s="778"/>
      <c r="V72" s="778"/>
      <c r="W72" s="778"/>
      <c r="X72" s="778"/>
      <c r="Y72" s="770">
        <f>IF(OR(AP72&lt;AA72,AND(NOT(OR(LEFT(AB72,3)="SKL",LEFT(AB72,3)=LEFT($V$2,3))),AA72&gt;0),AND('Deutsche Markt'!$AH$1=FALSE,J72="F4",AA72&gt;0)),"",AA72)</f>
        <v>0</v>
      </c>
      <c r="Z72" s="778"/>
      <c r="AA72" s="771">
        <f>'Deutsche Markt'!AA72</f>
        <v>0</v>
      </c>
      <c r="AB72" s="778"/>
      <c r="AC72" s="778"/>
      <c r="AD72" s="778"/>
      <c r="AE72" s="599"/>
      <c r="AF72" s="599"/>
      <c r="AG72" s="599"/>
      <c r="AH72" s="599"/>
      <c r="AI72" s="599"/>
      <c r="AJ72" s="599"/>
      <c r="AK72" s="599"/>
      <c r="AL72" s="599"/>
      <c r="AM72" s="599"/>
      <c r="AN72" s="566"/>
      <c r="AO72" s="567" t="str">
        <f t="shared" si="11"/>
        <v/>
      </c>
      <c r="AP72" s="292" t="str">
        <f>IF(AB72=$V$3,IF(VLOOKUP(C72,[1]List1!$A:$E,5,FALSE)=0,1,VLOOKUP(C72,[1]List1!$A:$E,5,FALSE)),"")</f>
        <v/>
      </c>
      <c r="AQ72" s="292" t="str">
        <f t="shared" si="12"/>
        <v/>
      </c>
      <c r="AR72" s="618" t="str">
        <f t="shared" si="13"/>
        <v/>
      </c>
      <c r="AS72" s="292" t="str">
        <f t="shared" si="14"/>
        <v/>
      </c>
      <c r="AT72" s="377" t="e">
        <f t="shared" si="15"/>
        <v>#N/A</v>
      </c>
      <c r="AU72" s="292" t="e">
        <f t="shared" si="16"/>
        <v>#N/A</v>
      </c>
    </row>
    <row r="73" spans="1:47" ht="15" customHeight="1">
      <c r="A73" s="601" t="str">
        <f>Kat.!$B$1&amp;Kat.!B73</f>
        <v>x</v>
      </c>
      <c r="B73" s="601">
        <f t="shared" si="8"/>
        <v>1</v>
      </c>
      <c r="C73" s="602" t="s">
        <v>3259</v>
      </c>
      <c r="D73" s="603"/>
      <c r="E73" s="604"/>
      <c r="F73" s="605"/>
      <c r="G73" s="606"/>
      <c r="H73" s="607"/>
      <c r="I73" s="608"/>
      <c r="J73" s="609"/>
      <c r="K73" s="708"/>
      <c r="L73" s="611"/>
      <c r="M73" s="609"/>
      <c r="N73" s="612"/>
      <c r="O73" s="608"/>
      <c r="P73" s="608"/>
      <c r="Q73" s="609"/>
      <c r="R73" s="609"/>
      <c r="S73" s="609"/>
      <c r="T73" s="605"/>
      <c r="U73" s="613"/>
      <c r="V73" s="613"/>
      <c r="W73" s="601" t="str">
        <f>IFERROR(VLOOKUP('General price list'!$C73,Popisy!A:P,MATCH($W$17,Popisy!$A$7:$P$7,0),FALSE),"---------------")</f>
        <v>Rauchröhren (Tube) - blau, rot, gelb, grün</v>
      </c>
      <c r="X73" s="601" t="str">
        <f t="shared" ref="X73:X77" si="19">IF(AA73&lt;0.0001,"",AA73)</f>
        <v/>
      </c>
      <c r="Y73" s="770">
        <f>IF(OR(AP73&lt;AA73,AND(NOT(OR(LEFT(AB73,3)="SKL",LEFT(AB73,3)=LEFT($V$2,3))),AA73&gt;0),AND('Deutsche Markt'!$AH$1=FALSE,J73="F4",AA73&gt;0)),"",AA73)</f>
        <v>0</v>
      </c>
      <c r="Z73" s="601"/>
      <c r="AA73" s="771">
        <f>'Deutsche Markt'!AA73</f>
        <v>0</v>
      </c>
      <c r="AB73" s="614" t="str">
        <f>IFERROR(IF(VLOOKUP(C73,[1]List1!$A:$D,2,FALSE)="VYPRODÁNO",$V$9,IF(VLOOKUP(C73,[1]List1!$A:$D,2,FALSE)="DOCHÁZÍ",$V$3,VLOOKUP(C73,[1]List1!$A:$D,2,FALSE))),"OFFLINE!")</f>
        <v>SKLADEM</v>
      </c>
      <c r="AC73" s="614" t="str">
        <f ca="1">IF(AO73="NE",$V$10,IF(AB73=$V$3,IF(AP73&lt;1,$V$8,$V$2&amp;" "&amp;AP73&amp;" "&amp;$V$1),IF(AB73="SKLADEM",$V$6,IFERROR(IF(OR(AB73-TODAY()&gt;21,VLOOKUP(C73,[1]List1!$A:$E,4,FALSE)=0),AB73,DAY(AB73)&amp;"."&amp;MONTH(AB73)&amp;"."&amp;YEAR(AB73)&amp;" "&amp;$V$4&amp;VLOOKUP(C73,[1]List1!$A:$E,4,FALSE)&amp;" "&amp;$V$1),AB73))))</f>
        <v>AUF LAGER</v>
      </c>
      <c r="AD73" s="614" t="str">
        <f t="shared" ref="AD73:AD77" ca="1" si="20">IFERROR(IF(AU73&lt;&gt;"",AU73,AC73),AC73)</f>
        <v>AUF LAGER</v>
      </c>
      <c r="AE73" s="605"/>
      <c r="AF73" s="605"/>
      <c r="AG73" s="615"/>
      <c r="AH73" s="616"/>
      <c r="AI73" s="615"/>
      <c r="AJ73" s="617"/>
      <c r="AK73" s="617"/>
      <c r="AL73" s="617"/>
      <c r="AM73" s="617"/>
      <c r="AO73" s="567" t="str">
        <f t="shared" si="11"/>
        <v/>
      </c>
      <c r="AP73" s="568" t="str">
        <f>IF(AB73=$V$3,IF(VLOOKUP(C73,[1]List1!$A:$E,5,FALSE)=0,1,VLOOKUP(C73,[1]List1!$A:$E,5,FALSE)),"")</f>
        <v/>
      </c>
      <c r="AQ73" s="292" t="str">
        <f t="shared" si="12"/>
        <v/>
      </c>
      <c r="AR73" s="618" t="str">
        <f t="shared" si="13"/>
        <v/>
      </c>
      <c r="AS73" s="292" t="str">
        <f t="shared" si="14"/>
        <v/>
      </c>
      <c r="AT73" s="377" t="e">
        <f t="shared" si="15"/>
        <v>#N/A</v>
      </c>
      <c r="AU73" s="292" t="e">
        <f t="shared" si="16"/>
        <v>#N/A</v>
      </c>
    </row>
    <row r="74" spans="1:47" ht="15" customHeight="1">
      <c r="A74" s="601" t="str">
        <f>Kat.!B74</f>
        <v>x</v>
      </c>
      <c r="B74" s="601">
        <f t="shared" si="8"/>
        <v>1</v>
      </c>
      <c r="C74" s="758" t="s">
        <v>3260</v>
      </c>
      <c r="D74" s="759"/>
      <c r="E74" s="760"/>
      <c r="F74" s="761"/>
      <c r="G74" s="762"/>
      <c r="H74" s="596"/>
      <c r="I74" s="763"/>
      <c r="J74" s="764"/>
      <c r="K74" s="765"/>
      <c r="L74" s="766"/>
      <c r="M74" s="764"/>
      <c r="N74" s="767"/>
      <c r="O74" s="763"/>
      <c r="P74" s="763"/>
      <c r="Q74" s="764"/>
      <c r="R74" s="764"/>
      <c r="S74" s="764"/>
      <c r="T74" s="761"/>
      <c r="U74" s="768"/>
      <c r="V74" s="768"/>
      <c r="W74" s="769" t="str">
        <f>IFERROR(VLOOKUP('General price list'!$C74,Popisy!A:P,MATCH($W$17,Popisy!$A$7:$P$7,0),FALSE),"---------------")</f>
        <v>smoke tube(orange,lila,weiß,schwarz)</v>
      </c>
      <c r="X74" s="769" t="str">
        <f t="shared" si="19"/>
        <v/>
      </c>
      <c r="Y74" s="770">
        <f>IF(OR(AP74&lt;AA74,AND(NOT(OR(LEFT(AB74,3)="SKL",LEFT(AB74,3)=LEFT($V$2,3))),AA74&gt;0),AND('Deutsche Markt'!$AH$1=FALSE,J74="F4",AA74&gt;0)),"",AA74)</f>
        <v>0</v>
      </c>
      <c r="Z74" s="769"/>
      <c r="AA74" s="771">
        <f>'Deutsche Markt'!AA74</f>
        <v>0</v>
      </c>
      <c r="AB74" s="772" t="str">
        <f>IFERROR(IF(VLOOKUP(C74,[1]List1!$A:$D,2,FALSE)="VYPRODÁNO",$V$9,IF(VLOOKUP(C74,[1]List1!$A:$D,2,FALSE)="DOCHÁZÍ",$V$3,VLOOKUP(C74,[1]List1!$A:$D,2,FALSE))),"OFFLINE!")</f>
        <v>SKLADEM</v>
      </c>
      <c r="AC74" s="772" t="str">
        <f ca="1">IF(AO74="NE",$V$10,IF(AB74=$V$3,IF(AP74&lt;1,$V$8,$V$2&amp;" "&amp;AP74&amp;" "&amp;$V$1),IF(AB74="SKLADEM",$V$6,IFERROR(IF(OR(AB74-TODAY()&gt;21,VLOOKUP(C74,[1]List1!$A:$E,4,FALSE)=0),AB74,DAY(AB74)&amp;"."&amp;MONTH(AB74)&amp;"."&amp;YEAR(AB74)&amp;" "&amp;$V$4&amp;VLOOKUP(C74,[1]List1!$A:$E,4,FALSE)&amp;" "&amp;$V$1),AB74))))</f>
        <v>AUF LAGER</v>
      </c>
      <c r="AD74" s="772" t="str">
        <f t="shared" ca="1" si="20"/>
        <v>AUF LAGER</v>
      </c>
      <c r="AE74" s="605"/>
      <c r="AF74" s="605"/>
      <c r="AG74" s="615"/>
      <c r="AH74" s="616"/>
      <c r="AI74" s="615"/>
      <c r="AJ74" s="617"/>
      <c r="AK74" s="617"/>
      <c r="AL74" s="617"/>
      <c r="AM74" s="617"/>
      <c r="AO74" s="567" t="str">
        <f t="shared" si="11"/>
        <v/>
      </c>
      <c r="AP74" s="568" t="str">
        <f>IF(AB74=$V$3,IF(VLOOKUP(C74,[1]List1!$A:$E,5,FALSE)=0,1,VLOOKUP(C74,[1]List1!$A:$E,5,FALSE)),"")</f>
        <v/>
      </c>
      <c r="AQ74" s="292" t="str">
        <f t="shared" si="12"/>
        <v/>
      </c>
      <c r="AR74" s="618" t="str">
        <f t="shared" si="13"/>
        <v/>
      </c>
      <c r="AS74" s="292" t="str">
        <f t="shared" si="14"/>
        <v/>
      </c>
      <c r="AT74" s="377" t="e">
        <f t="shared" si="15"/>
        <v>#N/A</v>
      </c>
      <c r="AU74" s="292" t="e">
        <f t="shared" si="16"/>
        <v>#N/A</v>
      </c>
    </row>
    <row r="75" spans="1:47" ht="15" customHeight="1">
      <c r="A75" s="601" t="str">
        <f>Kat.!B75</f>
        <v/>
      </c>
      <c r="B75" s="601">
        <f t="shared" si="8"/>
        <v>1</v>
      </c>
      <c r="C75" s="758" t="s">
        <v>2301</v>
      </c>
      <c r="D75" s="759"/>
      <c r="E75" s="760"/>
      <c r="F75" s="761"/>
      <c r="G75" s="762"/>
      <c r="H75" s="596"/>
      <c r="I75" s="763"/>
      <c r="J75" s="764"/>
      <c r="K75" s="773"/>
      <c r="L75" s="766"/>
      <c r="M75" s="764"/>
      <c r="N75" s="767"/>
      <c r="O75" s="763"/>
      <c r="P75" s="763"/>
      <c r="Q75" s="764"/>
      <c r="R75" s="764"/>
      <c r="S75" s="764"/>
      <c r="T75" s="761"/>
      <c r="U75" s="768"/>
      <c r="V75" s="768"/>
      <c r="W75" s="769" t="str">
        <f>IFERROR(VLOOKUP('General price list'!$C75,Popisy!A:P,MATCH($W$17,Popisy!$A$7:$P$7,0),FALSE),"---------------")</f>
        <v>Mole abweisender Rauch (Rauch + Geruch)</v>
      </c>
      <c r="X75" s="769" t="str">
        <f t="shared" si="19"/>
        <v/>
      </c>
      <c r="Y75" s="770">
        <f>IF(OR(AP75&lt;AA75,AND(NOT(OR(LEFT(AB75,3)="SKL",LEFT(AB75,3)=LEFT($V$2,3))),AA75&gt;0),AND('Deutsche Markt'!$AH$1=FALSE,J75="F4",AA75&gt;0)),"",AA75)</f>
        <v>0</v>
      </c>
      <c r="Z75" s="769"/>
      <c r="AA75" s="771">
        <f>'Deutsche Markt'!AA75</f>
        <v>0</v>
      </c>
      <c r="AB75" s="772" t="str">
        <f>IFERROR(IF(VLOOKUP(C75,[1]List1!$A:$D,2,FALSE)="VYPRODÁNO",$V$9,IF(VLOOKUP(C75,[1]List1!$A:$D,2,FALSE)="DOCHÁZÍ",$V$3,VLOOKUP(C75,[1]List1!$A:$D,2,FALSE))),"OFFLINE!")</f>
        <v>SKLADEM</v>
      </c>
      <c r="AC75" s="772" t="str">
        <f ca="1">IF(AO75="NE",$V$10,IF(AB75=$V$3,IF(AP75&lt;1,$V$8,$V$2&amp;" "&amp;AP75&amp;" "&amp;$V$1),IF(AB75="SKLADEM",$V$6,IFERROR(IF(OR(AB75-TODAY()&gt;21,VLOOKUP(C75,[1]List1!$A:$E,4,FALSE)=0),AB75,DAY(AB75)&amp;"."&amp;MONTH(AB75)&amp;"."&amp;YEAR(AB75)&amp;" "&amp;$V$4&amp;VLOOKUP(C75,[1]List1!$A:$E,4,FALSE)&amp;" "&amp;$V$1),AB75))))</f>
        <v>AUF LAGER</v>
      </c>
      <c r="AD75" s="772" t="str">
        <f t="shared" ca="1" si="20"/>
        <v>AUF LAGER</v>
      </c>
      <c r="AE75" s="605"/>
      <c r="AF75" s="605"/>
      <c r="AG75" s="615"/>
      <c r="AH75" s="616"/>
      <c r="AI75" s="615"/>
      <c r="AJ75" s="617"/>
      <c r="AK75" s="617"/>
      <c r="AL75" s="617"/>
      <c r="AM75" s="617"/>
      <c r="AO75" s="567" t="str">
        <f t="shared" si="11"/>
        <v/>
      </c>
      <c r="AP75" s="568" t="str">
        <f>IF(AB75=$V$3,IF(VLOOKUP(C75,[1]List1!$A:$E,5,FALSE)=0,1,VLOOKUP(C75,[1]List1!$A:$E,5,FALSE)),"")</f>
        <v/>
      </c>
      <c r="AQ75" s="292" t="str">
        <f t="shared" si="12"/>
        <v/>
      </c>
      <c r="AR75" s="618" t="str">
        <f t="shared" si="13"/>
        <v/>
      </c>
      <c r="AS75" s="292" t="str">
        <f t="shared" si="14"/>
        <v/>
      </c>
      <c r="AT75" s="377" t="e">
        <f t="shared" si="15"/>
        <v>#N/A</v>
      </c>
      <c r="AU75" s="292" t="e">
        <f t="shared" si="16"/>
        <v>#N/A</v>
      </c>
    </row>
    <row r="76" spans="1:47" ht="15" customHeight="1">
      <c r="A76" s="601" t="str">
        <f>Kat.!B76</f>
        <v/>
      </c>
      <c r="B76" s="601">
        <f t="shared" si="8"/>
        <v>1</v>
      </c>
      <c r="C76" s="758" t="s">
        <v>244</v>
      </c>
      <c r="D76" s="759"/>
      <c r="E76" s="760"/>
      <c r="F76" s="761"/>
      <c r="G76" s="762"/>
      <c r="H76" s="596"/>
      <c r="I76" s="763"/>
      <c r="J76" s="764"/>
      <c r="K76" s="765"/>
      <c r="L76" s="766"/>
      <c r="M76" s="764"/>
      <c r="N76" s="767"/>
      <c r="O76" s="763"/>
      <c r="P76" s="763"/>
      <c r="Q76" s="764"/>
      <c r="R76" s="764"/>
      <c r="S76" s="764"/>
      <c r="T76" s="761"/>
      <c r="U76" s="768"/>
      <c r="V76" s="768"/>
      <c r="W76" s="769" t="str">
        <f>IFERROR(VLOOKUP('General price list'!$C76,Popisy!A:P,MATCH($W$17,Popisy!$A$7:$P$7,0),FALSE),"---------------")</f>
        <v>Rauchröhre (Tube) - weiße Farbe</v>
      </c>
      <c r="X76" s="769" t="str">
        <f t="shared" si="19"/>
        <v/>
      </c>
      <c r="Y76" s="770">
        <f>IF(OR(AP76&lt;AA76,AND(NOT(OR(LEFT(AB76,3)="SKL",LEFT(AB76,3)=LEFT($V$2,3))),AA76&gt;0),AND('Deutsche Markt'!$AH$1=FALSE,J76="F4",AA76&gt;0)),"",AA76)</f>
        <v>0</v>
      </c>
      <c r="Z76" s="769"/>
      <c r="AA76" s="771">
        <f>'Deutsche Markt'!AA76</f>
        <v>0</v>
      </c>
      <c r="AB76" s="772" t="str">
        <f>IFERROR(IF(VLOOKUP(C76,[1]List1!$A:$D,2,FALSE)="VYPRODÁNO",$V$9,IF(VLOOKUP(C76,[1]List1!$A:$D,2,FALSE)="DOCHÁZÍ",$V$3,VLOOKUP(C76,[1]List1!$A:$D,2,FALSE))),"OFFLINE!")</f>
        <v>15.06.2024</v>
      </c>
      <c r="AC76" s="772" t="str">
        <f ca="1">IF(AO76="NE",$V$10,IF(AB76=$V$3,IF(AP76&lt;1,$V$8,$V$2&amp;" "&amp;AP76&amp;" "&amp;$V$1),IF(AB76="SKLADEM",$V$6,IFERROR(IF(OR(AB76-TODAY()&gt;21,VLOOKUP(C76,[1]List1!$A:$E,4,FALSE)=0),AB76,DAY(AB76)&amp;"."&amp;MONTH(AB76)&amp;"."&amp;YEAR(AB76)&amp;" "&amp;$V$4&amp;VLOOKUP(C76,[1]List1!$A:$E,4,FALSE)&amp;" "&amp;$V$1),AB76))))</f>
        <v>15.06.2024</v>
      </c>
      <c r="AD76" s="772" t="str">
        <f t="shared" ca="1" si="20"/>
        <v>15.06.2024</v>
      </c>
      <c r="AE76" s="605"/>
      <c r="AF76" s="605"/>
      <c r="AG76" s="615"/>
      <c r="AH76" s="616"/>
      <c r="AI76" s="615"/>
      <c r="AJ76" s="617"/>
      <c r="AK76" s="617"/>
      <c r="AL76" s="617"/>
      <c r="AM76" s="617"/>
      <c r="AO76" s="567" t="str">
        <f t="shared" si="11"/>
        <v/>
      </c>
      <c r="AP76" s="568" t="str">
        <f>IF(AB76=$V$3,IF(VLOOKUP(C76,[1]List1!$A:$E,5,FALSE)=0,1,VLOOKUP(C76,[1]List1!$A:$E,5,FALSE)),"")</f>
        <v/>
      </c>
      <c r="AQ76" s="292" t="str">
        <f t="shared" si="12"/>
        <v/>
      </c>
      <c r="AR76" s="618" t="str">
        <f t="shared" si="13"/>
        <v/>
      </c>
      <c r="AS76" s="292" t="str">
        <f t="shared" si="14"/>
        <v/>
      </c>
      <c r="AT76" s="377" t="e">
        <f t="shared" si="15"/>
        <v>#N/A</v>
      </c>
      <c r="AU76" s="292" t="e">
        <f t="shared" si="16"/>
        <v>#N/A</v>
      </c>
    </row>
    <row r="77" spans="1:47" ht="15" customHeight="1">
      <c r="A77" s="601" t="str">
        <f>Kat.!B77</f>
        <v>x</v>
      </c>
      <c r="B77" s="601">
        <f t="shared" si="8"/>
        <v>1</v>
      </c>
      <c r="C77" s="758" t="s">
        <v>251</v>
      </c>
      <c r="D77" s="759"/>
      <c r="E77" s="760"/>
      <c r="F77" s="761"/>
      <c r="G77" s="762"/>
      <c r="H77" s="596"/>
      <c r="I77" s="763"/>
      <c r="J77" s="764"/>
      <c r="K77" s="773"/>
      <c r="L77" s="766"/>
      <c r="M77" s="764"/>
      <c r="N77" s="767"/>
      <c r="O77" s="763"/>
      <c r="P77" s="763"/>
      <c r="Q77" s="764"/>
      <c r="R77" s="764"/>
      <c r="S77" s="764"/>
      <c r="T77" s="761"/>
      <c r="U77" s="768"/>
      <c r="V77" s="768"/>
      <c r="W77" s="769" t="str">
        <f>IFERROR(VLOOKUP('General price list'!$C77,Popisy!A:P,MATCH($W$17,Popisy!$A$7:$P$7,0),FALSE),"---------------")</f>
        <v>Rauchröhre (Tube) - weiße Farbe</v>
      </c>
      <c r="X77" s="769" t="str">
        <f t="shared" si="19"/>
        <v/>
      </c>
      <c r="Y77" s="770">
        <f>IF(OR(AP77&lt;AA77,AND(NOT(OR(LEFT(AB77,3)="SKL",LEFT(AB77,3)=LEFT($V$2,3))),AA77&gt;0),AND('Deutsche Markt'!$AH$1=FALSE,J77="F4",AA77&gt;0)),"",AA77)</f>
        <v>0</v>
      </c>
      <c r="Z77" s="769"/>
      <c r="AA77" s="771">
        <f>'Deutsche Markt'!AA77</f>
        <v>0</v>
      </c>
      <c r="AB77" s="772" t="str">
        <f>IFERROR(IF(VLOOKUP(C77,[1]List1!$A:$D,2,FALSE)="VYPRODÁNO",$V$9,IF(VLOOKUP(C77,[1]List1!$A:$D,2,FALSE)="DOCHÁZÍ",$V$3,VLOOKUP(C77,[1]List1!$A:$D,2,FALSE))),"OFFLINE!")</f>
        <v>SKLADEM</v>
      </c>
      <c r="AC77" s="772" t="str">
        <f ca="1">IF(AO77="NE",$V$10,IF(AB77=$V$3,IF(AP77&lt;1,$V$8,$V$2&amp;" "&amp;AP77&amp;" "&amp;$V$1),IF(AB77="SKLADEM",$V$6,IFERROR(IF(OR(AB77-TODAY()&gt;21,VLOOKUP(C77,[1]List1!$A:$E,4,FALSE)=0),AB77,DAY(AB77)&amp;"."&amp;MONTH(AB77)&amp;"."&amp;YEAR(AB77)&amp;" "&amp;$V$4&amp;VLOOKUP(C77,[1]List1!$A:$E,4,FALSE)&amp;" "&amp;$V$1),AB77))))</f>
        <v>AUF LAGER</v>
      </c>
      <c r="AD77" s="772" t="str">
        <f t="shared" ca="1" si="20"/>
        <v>AUF LAGER</v>
      </c>
      <c r="AE77" s="605"/>
      <c r="AF77" s="605"/>
      <c r="AG77" s="615"/>
      <c r="AH77" s="616"/>
      <c r="AI77" s="615"/>
      <c r="AJ77" s="617"/>
      <c r="AK77" s="617"/>
      <c r="AL77" s="617"/>
      <c r="AM77" s="617"/>
      <c r="AO77" s="567" t="str">
        <f t="shared" si="11"/>
        <v/>
      </c>
      <c r="AP77" s="568" t="str">
        <f>IF(AB77=$V$3,IF(VLOOKUP(C77,[1]List1!$A:$E,5,FALSE)=0,1,VLOOKUP(C77,[1]List1!$A:$E,5,FALSE)),"")</f>
        <v/>
      </c>
      <c r="AQ77" s="292" t="str">
        <f t="shared" si="12"/>
        <v/>
      </c>
      <c r="AR77" s="618" t="str">
        <f t="shared" si="13"/>
        <v/>
      </c>
      <c r="AS77" s="292" t="str">
        <f t="shared" si="14"/>
        <v/>
      </c>
      <c r="AT77" s="377" t="e">
        <f t="shared" si="15"/>
        <v>#N/A</v>
      </c>
      <c r="AU77" s="292" t="e">
        <f t="shared" si="16"/>
        <v>#N/A</v>
      </c>
    </row>
    <row r="78" spans="1:47" ht="15" customHeight="1">
      <c r="A78" s="601" t="str">
        <f>Kat.!B78</f>
        <v/>
      </c>
      <c r="B78" s="601">
        <f t="shared" si="8"/>
        <v>1</v>
      </c>
      <c r="C78" s="758" t="s">
        <v>252</v>
      </c>
      <c r="D78" s="759"/>
      <c r="E78" s="760"/>
      <c r="F78" s="761"/>
      <c r="G78" s="762"/>
      <c r="H78" s="596"/>
      <c r="I78" s="763"/>
      <c r="J78" s="764"/>
      <c r="K78" s="765"/>
      <c r="L78" s="780"/>
      <c r="M78" s="764"/>
      <c r="N78" s="767"/>
      <c r="O78" s="763"/>
      <c r="P78" s="763"/>
      <c r="Q78" s="764"/>
      <c r="R78" s="764"/>
      <c r="S78" s="764"/>
      <c r="T78" s="761"/>
      <c r="U78" s="768"/>
      <c r="V78" s="768"/>
      <c r="W78" s="769"/>
      <c r="X78" s="769"/>
      <c r="Y78" s="770">
        <f>IF(OR(AP78&lt;AA78,AND(NOT(OR(LEFT(AB78,3)="SKL",LEFT(AB78,3)=LEFT($V$2,3))),AA78&gt;0),AND('Deutsche Markt'!$AH$1=FALSE,J78="F4",AA78&gt;0)),"",AA78)</f>
        <v>0</v>
      </c>
      <c r="Z78" s="769"/>
      <c r="AA78" s="771">
        <f>'Deutsche Markt'!AA78</f>
        <v>0</v>
      </c>
      <c r="AB78" s="772"/>
      <c r="AC78" s="772"/>
      <c r="AD78" s="772"/>
      <c r="AE78" s="605"/>
      <c r="AF78" s="605"/>
      <c r="AG78" s="615"/>
      <c r="AH78" s="616"/>
      <c r="AI78" s="615"/>
      <c r="AJ78" s="617"/>
      <c r="AK78" s="617"/>
      <c r="AL78" s="617"/>
      <c r="AM78" s="617"/>
      <c r="AN78" s="292"/>
      <c r="AO78" s="567" t="str">
        <f t="shared" si="11"/>
        <v/>
      </c>
      <c r="AP78" s="568" t="str">
        <f>IF(AB78=$V$3,IF(VLOOKUP(C78,[1]List1!$A:$E,5,FALSE)=0,1,VLOOKUP(C78,[1]List1!$A:$E,5,FALSE)),"")</f>
        <v/>
      </c>
      <c r="AQ78" s="292" t="str">
        <f t="shared" si="12"/>
        <v/>
      </c>
      <c r="AR78" s="618" t="str">
        <f t="shared" si="13"/>
        <v/>
      </c>
      <c r="AS78" s="292" t="str">
        <f t="shared" si="14"/>
        <v/>
      </c>
      <c r="AT78" s="377" t="e">
        <f t="shared" si="15"/>
        <v>#N/A</v>
      </c>
      <c r="AU78" s="292" t="e">
        <f t="shared" si="16"/>
        <v>#N/A</v>
      </c>
    </row>
    <row r="79" spans="1:47" ht="15" customHeight="1">
      <c r="A79" s="601" t="str">
        <f>Kat.!B79</f>
        <v>x</v>
      </c>
      <c r="B79" s="601">
        <f t="shared" si="8"/>
        <v>1</v>
      </c>
      <c r="C79" s="778" t="s">
        <v>257</v>
      </c>
      <c r="D79" s="778"/>
      <c r="E79" s="778"/>
      <c r="F79" s="779"/>
      <c r="G79" s="778"/>
      <c r="H79" s="778"/>
      <c r="I79" s="778"/>
      <c r="J79" s="778"/>
      <c r="K79" s="773"/>
      <c r="L79" s="778"/>
      <c r="M79" s="778"/>
      <c r="N79" s="778"/>
      <c r="O79" s="778"/>
      <c r="P79" s="778"/>
      <c r="Q79" s="778"/>
      <c r="R79" s="778"/>
      <c r="S79" s="778"/>
      <c r="T79" s="778"/>
      <c r="U79" s="778"/>
      <c r="V79" s="778"/>
      <c r="W79" s="778" t="str">
        <f>IFERROR(VLOOKUP('General price list'!$C79,Popisy!A:P,MATCH($W$17,Popisy!$A$7:$P$7,0),FALSE),"---------------")</f>
        <v>Rauchröhre (Tube) - rote Farbe</v>
      </c>
      <c r="X79" s="778" t="str">
        <f t="shared" ref="X79:X81" si="21">IF(AA79&lt;0.0001,"",AA79)</f>
        <v/>
      </c>
      <c r="Y79" s="770">
        <f>IF(OR(AP79&lt;AA79,AND(NOT(OR(LEFT(AB79,3)="SKL",LEFT(AB79,3)=LEFT($V$2,3))),AA79&gt;0),AND('Deutsche Markt'!$AH$1=FALSE,J79="F4",AA79&gt;0)),"",AA79)</f>
        <v>0</v>
      </c>
      <c r="Z79" s="778"/>
      <c r="AA79" s="771">
        <f>'Deutsche Markt'!AA79</f>
        <v>0</v>
      </c>
      <c r="AB79" s="778" t="str">
        <f>IFERROR(IF(VLOOKUP(C79,[1]List1!$A:$D,2,FALSE)="VYPRODÁNO",$V$9,IF(VLOOKUP(C79,[1]List1!$A:$D,2,FALSE)="DOCHÁZÍ",$V$3,VLOOKUP(C79,[1]List1!$A:$D,2,FALSE))),"OFFLINE!")</f>
        <v>LETZTE STÜCKE</v>
      </c>
      <c r="AC79" s="778" t="str">
        <f ca="1">IF(AO79="NE",$V$10,IF(AB79=$V$3,IF(AP79&lt;1,$V$8,$V$2&amp;" "&amp;AP79&amp;" "&amp;$V$1),IF(AB79="SKLADEM",$V$6,IFERROR(IF(OR(AB79-TODAY()&gt;21,VLOOKUP(C79,[1]List1!$A:$E,4,FALSE)=0),AB79,DAY(AB79)&amp;"."&amp;MONTH(AB79)&amp;"."&amp;YEAR(AB79)&amp;" "&amp;$V$4&amp;VLOOKUP(C79,[1]List1!$A:$E,4,FALSE)&amp;" "&amp;$V$1),AB79))))</f>
        <v>LETZTE 3 KTN</v>
      </c>
      <c r="AD79" s="778" t="str">
        <f t="shared" ref="AD79:AD81" ca="1" si="22">IFERROR(IF(AU79&lt;&gt;"",AU79,AC79),AC79)</f>
        <v>LETZTE 3 KTN</v>
      </c>
      <c r="AE79" s="599"/>
      <c r="AF79" s="599"/>
      <c r="AG79" s="599"/>
      <c r="AH79" s="599"/>
      <c r="AI79" s="599"/>
      <c r="AJ79" s="599"/>
      <c r="AK79" s="599"/>
      <c r="AL79" s="599"/>
      <c r="AM79" s="599"/>
      <c r="AN79" s="566"/>
      <c r="AO79" s="567" t="str">
        <f t="shared" si="11"/>
        <v/>
      </c>
      <c r="AP79" s="292">
        <f>IF(AB79=$V$3,IF(VLOOKUP(C79,[1]List1!$A:$E,5,FALSE)=0,1,VLOOKUP(C79,[1]List1!$A:$E,5,FALSE)),"")</f>
        <v>3</v>
      </c>
      <c r="AQ79" s="292" t="str">
        <f t="shared" si="12"/>
        <v/>
      </c>
      <c r="AR79" s="618" t="str">
        <f t="shared" si="13"/>
        <v/>
      </c>
      <c r="AS79" s="292" t="str">
        <f t="shared" si="14"/>
        <v/>
      </c>
      <c r="AT79" s="377" t="e">
        <f t="shared" si="15"/>
        <v>#N/A</v>
      </c>
      <c r="AU79" s="292" t="e">
        <f t="shared" si="16"/>
        <v>#N/A</v>
      </c>
    </row>
    <row r="80" spans="1:47" ht="15" customHeight="1">
      <c r="A80" s="601" t="str">
        <f>Kat.!$B$1&amp;Kat.!B80</f>
        <v/>
      </c>
      <c r="B80" s="601">
        <f t="shared" si="8"/>
        <v>1</v>
      </c>
      <c r="C80" s="602" t="s">
        <v>258</v>
      </c>
      <c r="D80" s="603"/>
      <c r="E80" s="604"/>
      <c r="F80" s="605"/>
      <c r="G80" s="606"/>
      <c r="H80" s="607"/>
      <c r="I80" s="608"/>
      <c r="J80" s="609"/>
      <c r="K80" s="708"/>
      <c r="L80" s="622"/>
      <c r="M80" s="609"/>
      <c r="N80" s="612"/>
      <c r="O80" s="608"/>
      <c r="P80" s="608"/>
      <c r="Q80" s="609"/>
      <c r="R80" s="609"/>
      <c r="S80" s="609"/>
      <c r="T80" s="605"/>
      <c r="U80" s="613"/>
      <c r="V80" s="613"/>
      <c r="W80" s="601" t="str">
        <f>IFERROR(VLOOKUP('General price list'!$C80,Popisy!A:P,MATCH($W$17,Popisy!$A$7:$P$7,0),FALSE),"---------------")</f>
        <v>Rauchröhre (Tube) - blaue Farbe</v>
      </c>
      <c r="X80" s="601" t="str">
        <f t="shared" si="21"/>
        <v/>
      </c>
      <c r="Y80" s="770">
        <f>IF(OR(AP80&lt;AA80,AND(NOT(OR(LEFT(AB80,3)="SKL",LEFT(AB80,3)=LEFT($V$2,3))),AA80&gt;0),AND('Deutsche Markt'!$AH$1=FALSE,J80="F4",AA80&gt;0)),"",AA80)</f>
        <v>0</v>
      </c>
      <c r="Z80" s="601"/>
      <c r="AA80" s="771">
        <f>'Deutsche Markt'!AA80</f>
        <v>0</v>
      </c>
      <c r="AB80" s="614" t="str">
        <f>IFERROR(IF(VLOOKUP(C80,[1]List1!$A:$D,2,FALSE)="VYPRODÁNO",$V$9,IF(VLOOKUP(C80,[1]List1!$A:$D,2,FALSE)="DOCHÁZÍ",$V$3,VLOOKUP(C80,[1]List1!$A:$D,2,FALSE))),"OFFLINE!")</f>
        <v>SKLADEM</v>
      </c>
      <c r="AC80" s="614" t="str">
        <f ca="1">IF(AO80="NE",$V$10,IF(AB80=$V$3,IF(AP80&lt;1,$V$8,$V$2&amp;" "&amp;AP80&amp;" "&amp;$V$1),IF(AB80="SKLADEM",$V$6,IFERROR(IF(OR(AB80-TODAY()&gt;21,VLOOKUP(C80,[1]List1!$A:$E,4,FALSE)=0),AB80,DAY(AB80)&amp;"."&amp;MONTH(AB80)&amp;"."&amp;YEAR(AB80)&amp;" "&amp;$V$4&amp;VLOOKUP(C80,[1]List1!$A:$E,4,FALSE)&amp;" "&amp;$V$1),AB80))))</f>
        <v>AUF LAGER</v>
      </c>
      <c r="AD80" s="614" t="str">
        <f t="shared" ca="1" si="22"/>
        <v>AUF LAGER</v>
      </c>
      <c r="AE80" s="605"/>
      <c r="AF80" s="605"/>
      <c r="AG80" s="615"/>
      <c r="AH80" s="616"/>
      <c r="AI80" s="615"/>
      <c r="AJ80" s="617"/>
      <c r="AK80" s="617"/>
      <c r="AL80" s="617"/>
      <c r="AM80" s="617"/>
      <c r="AN80" s="292"/>
      <c r="AO80" s="567" t="str">
        <f t="shared" si="11"/>
        <v/>
      </c>
      <c r="AP80" s="568" t="str">
        <f>IF(AB80=$V$3,IF(VLOOKUP(C80,[1]List1!$A:$E,5,FALSE)=0,1,VLOOKUP(C80,[1]List1!$A:$E,5,FALSE)),"")</f>
        <v/>
      </c>
      <c r="AQ80" s="292" t="str">
        <f t="shared" si="12"/>
        <v/>
      </c>
      <c r="AR80" s="618" t="str">
        <f t="shared" si="13"/>
        <v/>
      </c>
      <c r="AS80" s="292" t="str">
        <f t="shared" si="14"/>
        <v/>
      </c>
      <c r="AT80" s="377" t="e">
        <f t="shared" si="15"/>
        <v>#N/A</v>
      </c>
      <c r="AU80" s="292" t="e">
        <f t="shared" si="16"/>
        <v>#N/A</v>
      </c>
    </row>
    <row r="81" spans="1:47" ht="15" customHeight="1">
      <c r="A81" s="601" t="str">
        <f>Kat.!B81</f>
        <v/>
      </c>
      <c r="B81" s="601">
        <f t="shared" si="8"/>
        <v>1</v>
      </c>
      <c r="C81" s="758" t="s">
        <v>264</v>
      </c>
      <c r="D81" s="759"/>
      <c r="E81" s="760"/>
      <c r="F81" s="761"/>
      <c r="G81" s="762"/>
      <c r="H81" s="596"/>
      <c r="I81" s="763"/>
      <c r="J81" s="764"/>
      <c r="K81" s="781"/>
      <c r="L81" s="766"/>
      <c r="M81" s="764"/>
      <c r="N81" s="767"/>
      <c r="O81" s="763"/>
      <c r="P81" s="763"/>
      <c r="Q81" s="764"/>
      <c r="R81" s="764"/>
      <c r="S81" s="764"/>
      <c r="T81" s="761"/>
      <c r="U81" s="768"/>
      <c r="V81" s="768"/>
      <c r="W81" s="769" t="str">
        <f>IFERROR(VLOOKUP('General price list'!$C81,Popisy!A:P,MATCH($W$17,Popisy!$A$7:$P$7,0),FALSE),"---------------")</f>
        <v>Rauchröhre (Tube) - gelbe Farbe</v>
      </c>
      <c r="X81" s="769" t="str">
        <f t="shared" si="21"/>
        <v/>
      </c>
      <c r="Y81" s="770">
        <f>IF(OR(AP81&lt;AA81,AND(NOT(OR(LEFT(AB81,3)="SKL",LEFT(AB81,3)=LEFT($V$2,3))),AA81&gt;0),AND('Deutsche Markt'!$AH$1=FALSE,J81="F4",AA81&gt;0)),"",AA81)</f>
        <v>0</v>
      </c>
      <c r="Z81" s="769"/>
      <c r="AA81" s="771">
        <f>'Deutsche Markt'!AA81</f>
        <v>0</v>
      </c>
      <c r="AB81" s="772" t="str">
        <f>IFERROR(IF(VLOOKUP(C81,[1]List1!$A:$D,2,FALSE)="VYPRODÁNO",$V$9,IF(VLOOKUP(C81,[1]List1!$A:$D,2,FALSE)="DOCHÁZÍ",$V$3,VLOOKUP(C81,[1]List1!$A:$D,2,FALSE))),"OFFLINE!")</f>
        <v>SKLADEM</v>
      </c>
      <c r="AC81" s="772" t="str">
        <f ca="1">IF(AO81="NE",$V$10,IF(AB81=$V$3,IF(AP81&lt;1,$V$8,$V$2&amp;" "&amp;AP81&amp;" "&amp;$V$1),IF(AB81="SKLADEM",$V$6,IFERROR(IF(OR(AB81-TODAY()&gt;21,VLOOKUP(C81,[1]List1!$A:$E,4,FALSE)=0),AB81,DAY(AB81)&amp;"."&amp;MONTH(AB81)&amp;"."&amp;YEAR(AB81)&amp;" "&amp;$V$4&amp;VLOOKUP(C81,[1]List1!$A:$E,4,FALSE)&amp;" "&amp;$V$1),AB81))))</f>
        <v>AUF LAGER</v>
      </c>
      <c r="AD81" s="772" t="str">
        <f t="shared" ca="1" si="22"/>
        <v>AUF LAGER</v>
      </c>
      <c r="AE81" s="605"/>
      <c r="AF81" s="605"/>
      <c r="AG81" s="615"/>
      <c r="AH81" s="616"/>
      <c r="AI81" s="615"/>
      <c r="AJ81" s="617"/>
      <c r="AK81" s="617"/>
      <c r="AL81" s="617"/>
      <c r="AM81" s="617"/>
      <c r="AO81" s="567" t="str">
        <f t="shared" si="11"/>
        <v/>
      </c>
      <c r="AP81" s="568" t="str">
        <f>IF(AB81=$V$3,IF(VLOOKUP(C81,[1]List1!$A:$E,5,FALSE)=0,1,VLOOKUP(C81,[1]List1!$A:$E,5,FALSE)),"")</f>
        <v/>
      </c>
      <c r="AQ81" s="292" t="str">
        <f t="shared" si="12"/>
        <v/>
      </c>
      <c r="AR81" s="618" t="str">
        <f t="shared" si="13"/>
        <v/>
      </c>
      <c r="AS81" s="292" t="str">
        <f t="shared" si="14"/>
        <v/>
      </c>
      <c r="AT81" s="377" t="e">
        <f t="shared" si="15"/>
        <v>#N/A</v>
      </c>
      <c r="AU81" s="292" t="e">
        <f t="shared" si="16"/>
        <v>#N/A</v>
      </c>
    </row>
    <row r="82" spans="1:47" ht="15" customHeight="1">
      <c r="A82" s="601" t="str">
        <f>Kat.!B82</f>
        <v>x</v>
      </c>
      <c r="B82" s="601">
        <f t="shared" si="8"/>
        <v>1</v>
      </c>
      <c r="C82" s="758" t="s">
        <v>269</v>
      </c>
      <c r="D82" s="759"/>
      <c r="E82" s="760"/>
      <c r="F82" s="761"/>
      <c r="G82" s="762"/>
      <c r="H82" s="596"/>
      <c r="I82" s="763"/>
      <c r="J82" s="764"/>
      <c r="K82" s="774"/>
      <c r="L82" s="780"/>
      <c r="M82" s="764"/>
      <c r="N82" s="767"/>
      <c r="O82" s="763"/>
      <c r="P82" s="763"/>
      <c r="Q82" s="764"/>
      <c r="R82" s="764"/>
      <c r="S82" s="764"/>
      <c r="T82" s="761"/>
      <c r="U82" s="768"/>
      <c r="V82" s="768"/>
      <c r="W82" s="769"/>
      <c r="X82" s="769"/>
      <c r="Y82" s="770">
        <f>IF(OR(AP82&lt;AA82,AND(NOT(OR(LEFT(AB82,3)="SKL",LEFT(AB82,3)=LEFT($V$2,3))),AA82&gt;0),AND('Deutsche Markt'!$AH$1=FALSE,J82="F4",AA82&gt;0)),"",AA82)</f>
        <v>0</v>
      </c>
      <c r="Z82" s="769"/>
      <c r="AA82" s="771">
        <f>'Deutsche Markt'!AA82</f>
        <v>0</v>
      </c>
      <c r="AB82" s="772"/>
      <c r="AC82" s="772"/>
      <c r="AD82" s="772"/>
      <c r="AE82" s="605"/>
      <c r="AF82" s="605"/>
      <c r="AG82" s="615"/>
      <c r="AH82" s="616"/>
      <c r="AI82" s="615"/>
      <c r="AJ82" s="617"/>
      <c r="AK82" s="617"/>
      <c r="AL82" s="617"/>
      <c r="AM82" s="617"/>
      <c r="AN82" s="292"/>
      <c r="AO82" s="567" t="str">
        <f t="shared" si="11"/>
        <v/>
      </c>
      <c r="AP82" s="568" t="str">
        <f>IF(AB82=$V$3,IF(VLOOKUP(C82,[1]List1!$A:$E,5,FALSE)=0,1,VLOOKUP(C82,[1]List1!$A:$E,5,FALSE)),"")</f>
        <v/>
      </c>
      <c r="AQ82" s="292" t="str">
        <f t="shared" si="12"/>
        <v/>
      </c>
      <c r="AR82" s="618" t="str">
        <f t="shared" si="13"/>
        <v/>
      </c>
      <c r="AS82" s="292" t="str">
        <f t="shared" si="14"/>
        <v/>
      </c>
      <c r="AT82" s="377" t="e">
        <f t="shared" si="15"/>
        <v>#N/A</v>
      </c>
      <c r="AU82" s="292" t="e">
        <f t="shared" si="16"/>
        <v>#N/A</v>
      </c>
    </row>
    <row r="83" spans="1:47" ht="15" customHeight="1">
      <c r="A83" s="601" t="str">
        <f>Kat.!B83</f>
        <v/>
      </c>
      <c r="B83" s="601">
        <f t="shared" si="8"/>
        <v>1</v>
      </c>
      <c r="C83" s="778" t="s">
        <v>270</v>
      </c>
      <c r="D83" s="778"/>
      <c r="E83" s="778"/>
      <c r="F83" s="779"/>
      <c r="G83" s="778"/>
      <c r="H83" s="778"/>
      <c r="I83" s="778"/>
      <c r="J83" s="778"/>
      <c r="K83" s="781"/>
      <c r="L83" s="778"/>
      <c r="M83" s="778"/>
      <c r="N83" s="778"/>
      <c r="O83" s="778"/>
      <c r="P83" s="778"/>
      <c r="Q83" s="778"/>
      <c r="R83" s="778"/>
      <c r="S83" s="778"/>
      <c r="T83" s="778"/>
      <c r="U83" s="778"/>
      <c r="V83" s="778"/>
      <c r="W83" s="778" t="str">
        <f>IFERROR(VLOOKUP('General price list'!$C83,Popisy!A:P,MATCH($W$17,Popisy!$A$7:$P$7,0),FALSE),"---------------")</f>
        <v>Rauchröhre (Tube) - grüne Farbe</v>
      </c>
      <c r="X83" s="778" t="str">
        <f t="shared" ref="X83:X91" si="23">IF(AA83&lt;0.0001,"",AA83)</f>
        <v/>
      </c>
      <c r="Y83" s="770">
        <f>IF(OR(AP83&lt;AA83,AND(NOT(OR(LEFT(AB83,3)="SKL",LEFT(AB83,3)=LEFT($V$2,3))),AA83&gt;0),AND('Deutsche Markt'!$AH$1=FALSE,J83="F4",AA83&gt;0)),"",AA83)</f>
        <v>0</v>
      </c>
      <c r="Z83" s="778"/>
      <c r="AA83" s="771">
        <f>'Deutsche Markt'!AA83</f>
        <v>0</v>
      </c>
      <c r="AB83" s="778" t="str">
        <f>IFERROR(IF(VLOOKUP(C83,[1]List1!$A:$D,2,FALSE)="VYPRODÁNO",$V$9,IF(VLOOKUP(C83,[1]List1!$A:$D,2,FALSE)="DOCHÁZÍ",$V$3,VLOOKUP(C83,[1]List1!$A:$D,2,FALSE))),"OFFLINE!")</f>
        <v>SKLADEM</v>
      </c>
      <c r="AC83" s="778" t="str">
        <f ca="1">IF(AO83="NE",$V$10,IF(AB83=$V$3,IF(AP83&lt;1,$V$8,$V$2&amp;" "&amp;AP83&amp;" "&amp;$V$1),IF(AB83="SKLADEM",$V$6,IFERROR(IF(OR(AB83-TODAY()&gt;21,VLOOKUP(C83,[1]List1!$A:$E,4,FALSE)=0),AB83,DAY(AB83)&amp;"."&amp;MONTH(AB83)&amp;"."&amp;YEAR(AB83)&amp;" "&amp;$V$4&amp;VLOOKUP(C83,[1]List1!$A:$E,4,FALSE)&amp;" "&amp;$V$1),AB83))))</f>
        <v>AUF LAGER</v>
      </c>
      <c r="AD83" s="778" t="str">
        <f t="shared" ref="AD83:AD91" ca="1" si="24">IFERROR(IF(AU83&lt;&gt;"",AU83,AC83),AC83)</f>
        <v>AUF LAGER</v>
      </c>
      <c r="AE83" s="599"/>
      <c r="AF83" s="599"/>
      <c r="AG83" s="599"/>
      <c r="AH83" s="599"/>
      <c r="AI83" s="599"/>
      <c r="AJ83" s="599"/>
      <c r="AK83" s="599"/>
      <c r="AL83" s="599"/>
      <c r="AM83" s="599"/>
      <c r="AN83" s="566"/>
      <c r="AO83" s="567" t="str">
        <f t="shared" si="11"/>
        <v/>
      </c>
      <c r="AP83" s="292" t="str">
        <f>IF(AB83=$V$3,IF(VLOOKUP(C83,[1]List1!$A:$E,5,FALSE)=0,1,VLOOKUP(C83,[1]List1!$A:$E,5,FALSE)),"")</f>
        <v/>
      </c>
      <c r="AQ83" s="292" t="str">
        <f t="shared" si="12"/>
        <v/>
      </c>
      <c r="AR83" s="618" t="str">
        <f t="shared" si="13"/>
        <v/>
      </c>
      <c r="AS83" s="292" t="str">
        <f t="shared" si="14"/>
        <v/>
      </c>
      <c r="AT83" s="377" t="e">
        <f t="shared" si="15"/>
        <v>#N/A</v>
      </c>
      <c r="AU83" s="292" t="e">
        <f t="shared" si="16"/>
        <v>#N/A</v>
      </c>
    </row>
    <row r="84" spans="1:47" ht="15" customHeight="1">
      <c r="A84" s="601" t="str">
        <f>Kat.!$B$1&amp;Kat.!B84</f>
        <v>x</v>
      </c>
      <c r="B84" s="601">
        <f t="shared" si="8"/>
        <v>1</v>
      </c>
      <c r="C84" s="602" t="s">
        <v>275</v>
      </c>
      <c r="D84" s="603"/>
      <c r="E84" s="604"/>
      <c r="F84" s="605"/>
      <c r="G84" s="606"/>
      <c r="H84" s="607"/>
      <c r="I84" s="608"/>
      <c r="J84" s="609"/>
      <c r="K84" s="708"/>
      <c r="L84" s="611"/>
      <c r="M84" s="609"/>
      <c r="N84" s="612"/>
      <c r="O84" s="608"/>
      <c r="P84" s="608"/>
      <c r="Q84" s="609"/>
      <c r="R84" s="609"/>
      <c r="S84" s="609"/>
      <c r="T84" s="605"/>
      <c r="U84" s="613"/>
      <c r="V84" s="613"/>
      <c r="W84" s="601" t="str">
        <f>IFERROR(VLOOKUP('General price list'!$C84,Popisy!A:P,MATCH($W$17,Popisy!$A$7:$P$7,0),FALSE),"---------------")</f>
        <v>Rauchröhre (Tube) - grüne Farbe</v>
      </c>
      <c r="X84" s="601" t="str">
        <f t="shared" si="23"/>
        <v/>
      </c>
      <c r="Y84" s="770">
        <f>IF(OR(AP84&lt;AA84,AND(NOT(OR(LEFT(AB84,3)="SKL",LEFT(AB84,3)=LEFT($V$2,3))),AA84&gt;0),AND('Deutsche Markt'!$AH$1=FALSE,J84="F4",AA84&gt;0)),"",AA84)</f>
        <v>0</v>
      </c>
      <c r="Z84" s="601"/>
      <c r="AA84" s="771">
        <f>'Deutsche Markt'!AA84</f>
        <v>0</v>
      </c>
      <c r="AB84" s="614" t="str">
        <f>IFERROR(IF(VLOOKUP(C84,[1]List1!$A:$D,2,FALSE)="VYPRODÁNO",$V$9,IF(VLOOKUP(C84,[1]List1!$A:$D,2,FALSE)="DOCHÁZÍ",$V$3,VLOOKUP(C84,[1]List1!$A:$D,2,FALSE))),"OFFLINE!")</f>
        <v>SKLADEM</v>
      </c>
      <c r="AC84" s="614" t="str">
        <f ca="1">IF(AO84="NE",$V$10,IF(AB84=$V$3,IF(AP84&lt;1,$V$8,$V$2&amp;" "&amp;AP84&amp;" "&amp;$V$1),IF(AB84="SKLADEM",$V$6,IFERROR(IF(OR(AB84-TODAY()&gt;21,VLOOKUP(C84,[1]List1!$A:$E,4,FALSE)=0),AB84,DAY(AB84)&amp;"."&amp;MONTH(AB84)&amp;"."&amp;YEAR(AB84)&amp;" "&amp;$V$4&amp;VLOOKUP(C84,[1]List1!$A:$E,4,FALSE)&amp;" "&amp;$V$1),AB84))))</f>
        <v>AUF LAGER</v>
      </c>
      <c r="AD84" s="614" t="str">
        <f t="shared" ca="1" si="24"/>
        <v>AUF LAGER</v>
      </c>
      <c r="AE84" s="605"/>
      <c r="AF84" s="605"/>
      <c r="AG84" s="615"/>
      <c r="AH84" s="616"/>
      <c r="AI84" s="615"/>
      <c r="AJ84" s="617"/>
      <c r="AK84" s="617"/>
      <c r="AL84" s="617"/>
      <c r="AM84" s="617"/>
      <c r="AN84" s="292"/>
      <c r="AO84" s="567" t="str">
        <f t="shared" si="11"/>
        <v/>
      </c>
      <c r="AP84" s="568" t="str">
        <f>IF(AB84=$V$3,IF(VLOOKUP(C84,[1]List1!$A:$E,5,FALSE)=0,1,VLOOKUP(C84,[1]List1!$A:$E,5,FALSE)),"")</f>
        <v/>
      </c>
      <c r="AQ84" s="292" t="str">
        <f t="shared" si="12"/>
        <v/>
      </c>
      <c r="AR84" s="618" t="str">
        <f t="shared" si="13"/>
        <v/>
      </c>
      <c r="AS84" s="292" t="str">
        <f t="shared" si="14"/>
        <v/>
      </c>
      <c r="AT84" s="377" t="e">
        <f t="shared" si="15"/>
        <v>#N/A</v>
      </c>
      <c r="AU84" s="292" t="e">
        <f t="shared" si="16"/>
        <v>#N/A</v>
      </c>
    </row>
    <row r="85" spans="1:47" ht="15" customHeight="1">
      <c r="A85" s="601" t="str">
        <f>Kat.!B85</f>
        <v>x</v>
      </c>
      <c r="B85" s="601">
        <f t="shared" si="8"/>
        <v>1</v>
      </c>
      <c r="C85" s="758" t="s">
        <v>276</v>
      </c>
      <c r="D85" s="759"/>
      <c r="E85" s="760"/>
      <c r="F85" s="761"/>
      <c r="G85" s="762"/>
      <c r="H85" s="596"/>
      <c r="I85" s="763"/>
      <c r="J85" s="764"/>
      <c r="K85" s="781"/>
      <c r="L85" s="766"/>
      <c r="M85" s="764"/>
      <c r="N85" s="767"/>
      <c r="O85" s="763"/>
      <c r="P85" s="763"/>
      <c r="Q85" s="764"/>
      <c r="R85" s="764"/>
      <c r="S85" s="764"/>
      <c r="T85" s="761"/>
      <c r="U85" s="768"/>
      <c r="V85" s="768"/>
      <c r="W85" s="769" t="str">
        <f>IFERROR(VLOOKUP('General price list'!$C85,Popisy!A:P,MATCH($W$17,Popisy!$A$7:$P$7,0),FALSE),"---------------")</f>
        <v>Rauchröhre (Tube) - orange Farbe</v>
      </c>
      <c r="X85" s="769" t="str">
        <f t="shared" si="23"/>
        <v/>
      </c>
      <c r="Y85" s="770">
        <f>IF(OR(AP85&lt;AA85,AND(NOT(OR(LEFT(AB85,3)="SKL",LEFT(AB85,3)=LEFT($V$2,3))),AA85&gt;0),AND('Deutsche Markt'!$AH$1=FALSE,J85="F4",AA85&gt;0)),"",AA85)</f>
        <v>0</v>
      </c>
      <c r="Z85" s="769"/>
      <c r="AA85" s="771">
        <f>'Deutsche Markt'!AA85</f>
        <v>0</v>
      </c>
      <c r="AB85" s="772" t="str">
        <f>IFERROR(IF(VLOOKUP(C85,[1]List1!$A:$D,2,FALSE)="VYPRODÁNO",$V$9,IF(VLOOKUP(C85,[1]List1!$A:$D,2,FALSE)="DOCHÁZÍ",$V$3,VLOOKUP(C85,[1]List1!$A:$D,2,FALSE))),"OFFLINE!")</f>
        <v>SKLADEM</v>
      </c>
      <c r="AC85" s="772" t="str">
        <f ca="1">IF(AO85="NE",$V$10,IF(AB85=$V$3,IF(AP85&lt;1,$V$8,$V$2&amp;" "&amp;AP85&amp;" "&amp;$V$1),IF(AB85="SKLADEM",$V$6,IFERROR(IF(OR(AB85-TODAY()&gt;21,VLOOKUP(C85,[1]List1!$A:$E,4,FALSE)=0),AB85,DAY(AB85)&amp;"."&amp;MONTH(AB85)&amp;"."&amp;YEAR(AB85)&amp;" "&amp;$V$4&amp;VLOOKUP(C85,[1]List1!$A:$E,4,FALSE)&amp;" "&amp;$V$1),AB85))))</f>
        <v>AUF LAGER</v>
      </c>
      <c r="AD85" s="772" t="str">
        <f t="shared" ca="1" si="24"/>
        <v>AUF LAGER</v>
      </c>
      <c r="AE85" s="605"/>
      <c r="AF85" s="605"/>
      <c r="AG85" s="615"/>
      <c r="AH85" s="616"/>
      <c r="AI85" s="615"/>
      <c r="AJ85" s="617"/>
      <c r="AK85" s="617"/>
      <c r="AL85" s="617"/>
      <c r="AM85" s="617"/>
      <c r="AN85" s="292"/>
      <c r="AO85" s="567" t="str">
        <f t="shared" si="11"/>
        <v/>
      </c>
      <c r="AP85" s="568" t="str">
        <f>IF(AB85=$V$3,IF(VLOOKUP(C85,[1]List1!$A:$E,5,FALSE)=0,1,VLOOKUP(C85,[1]List1!$A:$E,5,FALSE)),"")</f>
        <v/>
      </c>
      <c r="AQ85" s="292" t="str">
        <f t="shared" si="12"/>
        <v/>
      </c>
      <c r="AR85" s="618" t="str">
        <f t="shared" si="13"/>
        <v/>
      </c>
      <c r="AS85" s="292" t="str">
        <f t="shared" si="14"/>
        <v/>
      </c>
      <c r="AT85" s="377" t="e">
        <f t="shared" si="15"/>
        <v>#N/A</v>
      </c>
      <c r="AU85" s="292" t="e">
        <f t="shared" si="16"/>
        <v>#N/A</v>
      </c>
    </row>
    <row r="86" spans="1:47" ht="15" customHeight="1">
      <c r="A86" s="601" t="str">
        <f>Kat.!B86</f>
        <v>x</v>
      </c>
      <c r="B86" s="601">
        <f t="shared" si="8"/>
        <v>1</v>
      </c>
      <c r="C86" s="758" t="s">
        <v>281</v>
      </c>
      <c r="D86" s="759"/>
      <c r="E86" s="760"/>
      <c r="F86" s="761"/>
      <c r="G86" s="762"/>
      <c r="H86" s="596"/>
      <c r="I86" s="763"/>
      <c r="J86" s="764"/>
      <c r="K86" s="774"/>
      <c r="L86" s="766"/>
      <c r="M86" s="764"/>
      <c r="N86" s="767"/>
      <c r="O86" s="763"/>
      <c r="P86" s="763"/>
      <c r="Q86" s="764"/>
      <c r="R86" s="764"/>
      <c r="S86" s="764"/>
      <c r="T86" s="761"/>
      <c r="U86" s="768"/>
      <c r="V86" s="768"/>
      <c r="W86" s="769" t="str">
        <f>IFERROR(VLOOKUP('General price list'!$C86,Popisy!A:P,MATCH($W$17,Popisy!$A$7:$P$7,0),FALSE),"---------------")</f>
        <v>Rauchröhre (Tube) - orange Farbe</v>
      </c>
      <c r="X86" s="769" t="str">
        <f t="shared" si="23"/>
        <v/>
      </c>
      <c r="Y86" s="770">
        <f>IF(OR(AP86&lt;AA86,AND(NOT(OR(LEFT(AB86,3)="SKL",LEFT(AB86,3)=LEFT($V$2,3))),AA86&gt;0),AND('Deutsche Markt'!$AH$1=FALSE,J86="F4",AA86&gt;0)),"",AA86)</f>
        <v>0</v>
      </c>
      <c r="Z86" s="769"/>
      <c r="AA86" s="771">
        <f>'Deutsche Markt'!AA86</f>
        <v>0</v>
      </c>
      <c r="AB86" s="772" t="str">
        <f>IFERROR(IF(VLOOKUP(C86,[1]List1!$A:$D,2,FALSE)="VYPRODÁNO",$V$9,IF(VLOOKUP(C86,[1]List1!$A:$D,2,FALSE)="DOCHÁZÍ",$V$3,VLOOKUP(C86,[1]List1!$A:$D,2,FALSE))),"OFFLINE!")</f>
        <v>LETZTE STÜCKE</v>
      </c>
      <c r="AC86" s="772" t="str">
        <f ca="1">IF(AO86="NE",$V$10,IF(AB86=$V$3,IF(AP86&lt;1,$V$8,$V$2&amp;" "&amp;AP86&amp;" "&amp;$V$1),IF(AB86="SKLADEM",$V$6,IFERROR(IF(OR(AB86-TODAY()&gt;21,VLOOKUP(C86,[1]List1!$A:$E,4,FALSE)=0),AB86,DAY(AB86)&amp;"."&amp;MONTH(AB86)&amp;"."&amp;YEAR(AB86)&amp;" "&amp;$V$4&amp;VLOOKUP(C86,[1]List1!$A:$E,4,FALSE)&amp;" "&amp;$V$1),AB86))))</f>
        <v>LETZTE 9 KTN</v>
      </c>
      <c r="AD86" s="772" t="str">
        <f t="shared" ca="1" si="24"/>
        <v>LETZTE 9 KTN</v>
      </c>
      <c r="AE86" s="605"/>
      <c r="AF86" s="605"/>
      <c r="AG86" s="615"/>
      <c r="AH86" s="616"/>
      <c r="AI86" s="615"/>
      <c r="AJ86" s="617"/>
      <c r="AK86" s="617"/>
      <c r="AL86" s="617"/>
      <c r="AM86" s="617"/>
      <c r="AN86" s="292"/>
      <c r="AO86" s="567" t="str">
        <f t="shared" si="11"/>
        <v/>
      </c>
      <c r="AP86" s="568">
        <f>IF(AB86=$V$3,IF(VLOOKUP(C86,[1]List1!$A:$E,5,FALSE)=0,1,VLOOKUP(C86,[1]List1!$A:$E,5,FALSE)),"")</f>
        <v>9</v>
      </c>
      <c r="AQ86" s="292" t="str">
        <f t="shared" si="12"/>
        <v/>
      </c>
      <c r="AR86" s="618" t="str">
        <f t="shared" si="13"/>
        <v/>
      </c>
      <c r="AS86" s="292" t="str">
        <f t="shared" si="14"/>
        <v/>
      </c>
      <c r="AT86" s="377" t="e">
        <f t="shared" si="15"/>
        <v>#N/A</v>
      </c>
      <c r="AU86" s="292" t="e">
        <f t="shared" si="16"/>
        <v>#N/A</v>
      </c>
    </row>
    <row r="87" spans="1:47" ht="15" customHeight="1">
      <c r="A87" s="601" t="str">
        <f>Kat.!B87</f>
        <v/>
      </c>
      <c r="B87" s="601">
        <f t="shared" ref="B87:B150" si="25">IF(OR(L87="ZUGEWIESEN",AND(C87&lt;&gt;"",M87="")),1,IF(AB87=$V$3,1,0))</f>
        <v>1</v>
      </c>
      <c r="C87" s="758" t="s">
        <v>282</v>
      </c>
      <c r="D87" s="759"/>
      <c r="E87" s="760"/>
      <c r="F87" s="761"/>
      <c r="G87" s="762"/>
      <c r="H87" s="596"/>
      <c r="I87" s="763"/>
      <c r="J87" s="764"/>
      <c r="K87" s="781"/>
      <c r="L87" s="766"/>
      <c r="M87" s="764"/>
      <c r="N87" s="767"/>
      <c r="O87" s="763"/>
      <c r="P87" s="763"/>
      <c r="Q87" s="764"/>
      <c r="R87" s="764"/>
      <c r="S87" s="764"/>
      <c r="T87" s="761"/>
      <c r="U87" s="768"/>
      <c r="V87" s="768"/>
      <c r="W87" s="769" t="str">
        <f>IFERROR(VLOOKUP('General price list'!$C87,Popisy!A:P,MATCH($W$17,Popisy!$A$7:$P$7,0),FALSE),"---------------")</f>
        <v>Rauchröhre (rauchende Tube von zwei Seiten) - weiße Farbe</v>
      </c>
      <c r="X87" s="769" t="str">
        <f t="shared" si="23"/>
        <v/>
      </c>
      <c r="Y87" s="770">
        <f>IF(OR(AP87&lt;AA87,AND(NOT(OR(LEFT(AB87,3)="SKL",LEFT(AB87,3)=LEFT($V$2,3))),AA87&gt;0),AND('Deutsche Markt'!$AH$1=FALSE,J87="F4",AA87&gt;0)),"",AA87)</f>
        <v>0</v>
      </c>
      <c r="Z87" s="769"/>
      <c r="AA87" s="771">
        <f>'Deutsche Markt'!AA87</f>
        <v>0</v>
      </c>
      <c r="AB87" s="772" t="str">
        <f>IFERROR(IF(VLOOKUP(C87,[1]List1!$A:$D,2,FALSE)="VYPRODÁNO",$V$9,IF(VLOOKUP(C87,[1]List1!$A:$D,2,FALSE)="DOCHÁZÍ",$V$3,VLOOKUP(C87,[1]List1!$A:$D,2,FALSE))),"OFFLINE!")</f>
        <v>SKLADEM</v>
      </c>
      <c r="AC87" s="772" t="str">
        <f ca="1">IF(AO87="NE",$V$10,IF(AB87=$V$3,IF(AP87&lt;1,$V$8,$V$2&amp;" "&amp;AP87&amp;" "&amp;$V$1),IF(AB87="SKLADEM",$V$6,IFERROR(IF(OR(AB87-TODAY()&gt;21,VLOOKUP(C87,[1]List1!$A:$E,4,FALSE)=0),AB87,DAY(AB87)&amp;"."&amp;MONTH(AB87)&amp;"."&amp;YEAR(AB87)&amp;" "&amp;$V$4&amp;VLOOKUP(C87,[1]List1!$A:$E,4,FALSE)&amp;" "&amp;$V$1),AB87))))</f>
        <v>AUF LAGER</v>
      </c>
      <c r="AD87" s="772" t="str">
        <f t="shared" ca="1" si="24"/>
        <v>AUF LAGER</v>
      </c>
      <c r="AE87" s="605"/>
      <c r="AF87" s="605"/>
      <c r="AG87" s="615"/>
      <c r="AH87" s="616"/>
      <c r="AI87" s="615"/>
      <c r="AJ87" s="617"/>
      <c r="AK87" s="617"/>
      <c r="AL87" s="617"/>
      <c r="AM87" s="617"/>
      <c r="AN87" s="292"/>
      <c r="AO87" s="567" t="str">
        <f t="shared" si="11"/>
        <v/>
      </c>
      <c r="AP87" s="568" t="str">
        <f>IF(AB87=$V$3,IF(VLOOKUP(C87,[1]List1!$A:$E,5,FALSE)=0,1,VLOOKUP(C87,[1]List1!$A:$E,5,FALSE)),"")</f>
        <v/>
      </c>
      <c r="AQ87" s="292" t="str">
        <f t="shared" si="12"/>
        <v/>
      </c>
      <c r="AR87" s="618" t="str">
        <f t="shared" si="13"/>
        <v/>
      </c>
      <c r="AS87" s="292" t="str">
        <f t="shared" si="14"/>
        <v/>
      </c>
      <c r="AT87" s="377" t="e">
        <f t="shared" si="15"/>
        <v>#N/A</v>
      </c>
      <c r="AU87" s="292" t="e">
        <f t="shared" si="16"/>
        <v>#N/A</v>
      </c>
    </row>
    <row r="88" spans="1:47" ht="15" customHeight="1">
      <c r="A88" s="601" t="str">
        <f>Kat.!B88</f>
        <v/>
      </c>
      <c r="B88" s="601">
        <f t="shared" si="25"/>
        <v>1</v>
      </c>
      <c r="C88" s="758" t="s">
        <v>287</v>
      </c>
      <c r="D88" s="759"/>
      <c r="E88" s="760"/>
      <c r="F88" s="761"/>
      <c r="G88" s="762"/>
      <c r="H88" s="596"/>
      <c r="I88" s="763"/>
      <c r="J88" s="764"/>
      <c r="K88" s="774"/>
      <c r="L88" s="766"/>
      <c r="M88" s="764"/>
      <c r="N88" s="767"/>
      <c r="O88" s="763"/>
      <c r="P88" s="763"/>
      <c r="Q88" s="764"/>
      <c r="R88" s="764"/>
      <c r="S88" s="764"/>
      <c r="T88" s="761"/>
      <c r="U88" s="768"/>
      <c r="V88" s="768"/>
      <c r="W88" s="769" t="str">
        <f>IFERROR(VLOOKUP('General price list'!$C88,Popisy!A:P,MATCH($W$17,Popisy!$A$7:$P$7,0),FALSE),"---------------")</f>
        <v>Rauchröhre (rauchende Tube von zwei Seiten) - rote Farbe</v>
      </c>
      <c r="X88" s="769" t="str">
        <f t="shared" si="23"/>
        <v/>
      </c>
      <c r="Y88" s="770">
        <f>IF(OR(AP88&lt;AA88,AND(NOT(OR(LEFT(AB88,3)="SKL",LEFT(AB88,3)=LEFT($V$2,3))),AA88&gt;0),AND('Deutsche Markt'!$AH$1=FALSE,J88="F4",AA88&gt;0)),"",AA88)</f>
        <v>0</v>
      </c>
      <c r="Z88" s="769"/>
      <c r="AA88" s="771">
        <f>'Deutsche Markt'!AA88</f>
        <v>0</v>
      </c>
      <c r="AB88" s="772" t="str">
        <f>IFERROR(IF(VLOOKUP(C88,[1]List1!$A:$D,2,FALSE)="VYPRODÁNO",$V$9,IF(VLOOKUP(C88,[1]List1!$A:$D,2,FALSE)="DOCHÁZÍ",$V$3,VLOOKUP(C88,[1]List1!$A:$D,2,FALSE))),"OFFLINE!")</f>
        <v>SKLADEM</v>
      </c>
      <c r="AC88" s="772" t="str">
        <f ca="1">IF(AO88="NE",$V$10,IF(AB88=$V$3,IF(AP88&lt;1,$V$8,$V$2&amp;" "&amp;AP88&amp;" "&amp;$V$1),IF(AB88="SKLADEM",$V$6,IFERROR(IF(OR(AB88-TODAY()&gt;21,VLOOKUP(C88,[1]List1!$A:$E,4,FALSE)=0),AB88,DAY(AB88)&amp;"."&amp;MONTH(AB88)&amp;"."&amp;YEAR(AB88)&amp;" "&amp;$V$4&amp;VLOOKUP(C88,[1]List1!$A:$E,4,FALSE)&amp;" "&amp;$V$1),AB88))))</f>
        <v>AUF LAGER</v>
      </c>
      <c r="AD88" s="772" t="str">
        <f t="shared" ca="1" si="24"/>
        <v>AUF LAGER</v>
      </c>
      <c r="AE88" s="605"/>
      <c r="AF88" s="605"/>
      <c r="AG88" s="615"/>
      <c r="AH88" s="616"/>
      <c r="AI88" s="615"/>
      <c r="AJ88" s="617"/>
      <c r="AK88" s="617"/>
      <c r="AL88" s="617"/>
      <c r="AM88" s="617"/>
      <c r="AN88" s="292"/>
      <c r="AO88" s="567" t="str">
        <f t="shared" si="11"/>
        <v/>
      </c>
      <c r="AP88" s="568" t="str">
        <f>IF(AB88=$V$3,IF(VLOOKUP(C88,[1]List1!$A:$E,5,FALSE)=0,1,VLOOKUP(C88,[1]List1!$A:$E,5,FALSE)),"")</f>
        <v/>
      </c>
      <c r="AQ88" s="292" t="str">
        <f t="shared" si="12"/>
        <v/>
      </c>
      <c r="AR88" s="618" t="str">
        <f t="shared" si="13"/>
        <v/>
      </c>
      <c r="AS88" s="292" t="str">
        <f t="shared" si="14"/>
        <v/>
      </c>
      <c r="AT88" s="377" t="e">
        <f t="shared" si="15"/>
        <v>#N/A</v>
      </c>
      <c r="AU88" s="292" t="e">
        <f t="shared" si="16"/>
        <v>#N/A</v>
      </c>
    </row>
    <row r="89" spans="1:47" ht="15" customHeight="1">
      <c r="A89" s="601" t="str">
        <f>Kat.!B89</f>
        <v/>
      </c>
      <c r="B89" s="601">
        <f t="shared" si="25"/>
        <v>1</v>
      </c>
      <c r="C89" s="758" t="s">
        <v>292</v>
      </c>
      <c r="D89" s="759"/>
      <c r="E89" s="760"/>
      <c r="F89" s="761"/>
      <c r="G89" s="762"/>
      <c r="H89" s="596"/>
      <c r="I89" s="763"/>
      <c r="J89" s="764"/>
      <c r="K89" s="781"/>
      <c r="L89" s="782"/>
      <c r="M89" s="764"/>
      <c r="N89" s="767"/>
      <c r="O89" s="763"/>
      <c r="P89" s="763"/>
      <c r="Q89" s="764"/>
      <c r="R89" s="764"/>
      <c r="S89" s="764"/>
      <c r="T89" s="761"/>
      <c r="U89" s="768"/>
      <c r="V89" s="768"/>
      <c r="W89" s="769" t="str">
        <f>IFERROR(VLOOKUP('General price list'!$C89,Popisy!A:P,MATCH($W$17,Popisy!$A$7:$P$7,0),FALSE),"---------------")</f>
        <v>Rauchröhre (rauchende Tube von zwei Seiten) - blaue Farbe</v>
      </c>
      <c r="X89" s="769" t="str">
        <f t="shared" si="23"/>
        <v/>
      </c>
      <c r="Y89" s="770">
        <f>IF(OR(AP89&lt;AA89,AND(NOT(OR(LEFT(AB89,3)="SKL",LEFT(AB89,3)=LEFT($V$2,3))),AA89&gt;0),AND('Deutsche Markt'!$AH$1=FALSE,J89="F4",AA89&gt;0)),"",AA89)</f>
        <v>0</v>
      </c>
      <c r="Z89" s="769"/>
      <c r="AA89" s="771">
        <f>'Deutsche Markt'!AA89</f>
        <v>0</v>
      </c>
      <c r="AB89" s="772" t="str">
        <f>IFERROR(IF(VLOOKUP(C89,[1]List1!$A:$D,2,FALSE)="VYPRODÁNO",$V$9,IF(VLOOKUP(C89,[1]List1!$A:$D,2,FALSE)="DOCHÁZÍ",$V$3,VLOOKUP(C89,[1]List1!$A:$D,2,FALSE))),"OFFLINE!")</f>
        <v>SKLADEM</v>
      </c>
      <c r="AC89" s="772" t="str">
        <f ca="1">IF(AO89="NE",$V$10,IF(AB89=$V$3,IF(AP89&lt;1,$V$8,$V$2&amp;" "&amp;AP89&amp;" "&amp;$V$1),IF(AB89="SKLADEM",$V$6,IFERROR(IF(OR(AB89-TODAY()&gt;21,VLOOKUP(C89,[1]List1!$A:$E,4,FALSE)=0),AB89,DAY(AB89)&amp;"."&amp;MONTH(AB89)&amp;"."&amp;YEAR(AB89)&amp;" "&amp;$V$4&amp;VLOOKUP(C89,[1]List1!$A:$E,4,FALSE)&amp;" "&amp;$V$1),AB89))))</f>
        <v>AUF LAGER</v>
      </c>
      <c r="AD89" s="772" t="str">
        <f t="shared" ca="1" si="24"/>
        <v>AUF LAGER</v>
      </c>
      <c r="AE89" s="605"/>
      <c r="AF89" s="605"/>
      <c r="AG89" s="615"/>
      <c r="AH89" s="616"/>
      <c r="AI89" s="615"/>
      <c r="AJ89" s="617"/>
      <c r="AK89" s="617"/>
      <c r="AL89" s="617"/>
      <c r="AM89" s="617"/>
      <c r="AN89" s="292"/>
      <c r="AO89" s="567" t="str">
        <f t="shared" si="11"/>
        <v/>
      </c>
      <c r="AP89" s="568" t="str">
        <f>IF(AB89=$V$3,IF(VLOOKUP(C89,[1]List1!$A:$E,5,FALSE)=0,1,VLOOKUP(C89,[1]List1!$A:$E,5,FALSE)),"")</f>
        <v/>
      </c>
      <c r="AQ89" s="292" t="str">
        <f t="shared" si="12"/>
        <v/>
      </c>
      <c r="AR89" s="618" t="str">
        <f t="shared" si="13"/>
        <v/>
      </c>
      <c r="AS89" s="292" t="str">
        <f t="shared" si="14"/>
        <v/>
      </c>
      <c r="AT89" s="377" t="e">
        <f t="shared" si="15"/>
        <v>#N/A</v>
      </c>
      <c r="AU89" s="292" t="e">
        <f t="shared" si="16"/>
        <v>#N/A</v>
      </c>
    </row>
    <row r="90" spans="1:47" ht="15" customHeight="1">
      <c r="A90" s="601" t="str">
        <f>Kat.!B90</f>
        <v>Rauchkörper mit Reibkopfzündung</v>
      </c>
      <c r="B90" s="601">
        <f t="shared" si="25"/>
        <v>0</v>
      </c>
      <c r="C90" s="758"/>
      <c r="D90" s="759"/>
      <c r="E90" s="760"/>
      <c r="F90" s="761"/>
      <c r="G90" s="762"/>
      <c r="H90" s="596"/>
      <c r="I90" s="763"/>
      <c r="J90" s="764"/>
      <c r="K90" s="774"/>
      <c r="L90" s="782"/>
      <c r="M90" s="764"/>
      <c r="N90" s="767"/>
      <c r="O90" s="763"/>
      <c r="P90" s="763"/>
      <c r="Q90" s="764"/>
      <c r="R90" s="764"/>
      <c r="S90" s="764"/>
      <c r="T90" s="761"/>
      <c r="U90" s="768"/>
      <c r="V90" s="768"/>
      <c r="W90" s="769" t="str">
        <f>IFERROR(VLOOKUP('General price list'!$C90,Popisy!A:P,MATCH($W$17,Popisy!$A$7:$P$7,0),FALSE),"---------------")</f>
        <v>---------------</v>
      </c>
      <c r="X90" s="769" t="str">
        <f t="shared" si="23"/>
        <v/>
      </c>
      <c r="Y90" s="770">
        <f>IF(OR(AP90&lt;AA90,AND(NOT(OR(LEFT(AB90,3)="SKL",LEFT(AB90,3)=LEFT($V$2,3))),AA90&gt;0),AND('Deutsche Markt'!$AH$1=FALSE,J90="F4",AA90&gt;0)),"",AA90)</f>
        <v>0</v>
      </c>
      <c r="Z90" s="769"/>
      <c r="AA90" s="771">
        <f>'Deutsche Markt'!AA90</f>
        <v>0</v>
      </c>
      <c r="AB90" s="772" t="str">
        <f>IFERROR(IF(VLOOKUP(C90,[1]List1!$A:$D,2,FALSE)="VYPRODÁNO",$V$9,IF(VLOOKUP(C90,[1]List1!$A:$D,2,FALSE)="DOCHÁZÍ",$V$3,VLOOKUP(C90,[1]List1!$A:$D,2,FALSE))),"OFFLINE!")</f>
        <v>OFFLINE!</v>
      </c>
      <c r="AC90" s="772" t="str">
        <f ca="1">IF(AO90="NE",$V$10,IF(AB90=$V$3,IF(AP90&lt;1,$V$8,$V$2&amp;" "&amp;AP90&amp;" "&amp;$V$1),IF(AB90="SKLADEM",$V$6,IFERROR(IF(OR(AB90-TODAY()&gt;21,VLOOKUP(C90,[1]List1!$A:$E,4,FALSE)=0),AB90,DAY(AB90)&amp;"."&amp;MONTH(AB90)&amp;"."&amp;YEAR(AB90)&amp;" "&amp;$V$4&amp;VLOOKUP(C90,[1]List1!$A:$E,4,FALSE)&amp;" "&amp;$V$1),AB90))))</f>
        <v>OFFLINE!</v>
      </c>
      <c r="AD90" s="772" t="str">
        <f t="shared" ca="1" si="24"/>
        <v>OFFLINE!</v>
      </c>
      <c r="AE90" s="605"/>
      <c r="AF90" s="605"/>
      <c r="AG90" s="615"/>
      <c r="AH90" s="616"/>
      <c r="AI90" s="615"/>
      <c r="AJ90" s="617"/>
      <c r="AK90" s="617"/>
      <c r="AL90" s="617"/>
      <c r="AM90" s="617"/>
      <c r="AN90" s="292"/>
      <c r="AO90" s="567" t="str">
        <f t="shared" si="11"/>
        <v/>
      </c>
      <c r="AP90" s="568" t="str">
        <f>IF(AB90=$V$3,IF(VLOOKUP(C90,[1]List1!$A:$E,5,FALSE)=0,1,VLOOKUP(C90,[1]List1!$A:$E,5,FALSE)),"")</f>
        <v/>
      </c>
      <c r="AQ90" s="292" t="str">
        <f t="shared" si="12"/>
        <v/>
      </c>
      <c r="AR90" s="618" t="str">
        <f t="shared" si="13"/>
        <v/>
      </c>
      <c r="AS90" s="292" t="str">
        <f t="shared" si="14"/>
        <v/>
      </c>
      <c r="AT90" s="377" t="e">
        <f t="shared" si="15"/>
        <v>#N/A</v>
      </c>
      <c r="AU90" s="292" t="e">
        <f t="shared" si="16"/>
        <v>#N/A</v>
      </c>
    </row>
    <row r="91" spans="1:47" ht="15" customHeight="1">
      <c r="A91" s="601" t="str">
        <f>Kat.!B91</f>
        <v>x</v>
      </c>
      <c r="B91" s="601">
        <f t="shared" si="25"/>
        <v>1</v>
      </c>
      <c r="C91" s="758" t="s">
        <v>3405</v>
      </c>
      <c r="D91" s="759"/>
      <c r="E91" s="760"/>
      <c r="F91" s="761"/>
      <c r="G91" s="762"/>
      <c r="H91" s="596"/>
      <c r="I91" s="763"/>
      <c r="J91" s="764"/>
      <c r="K91" s="781"/>
      <c r="L91" s="766"/>
      <c r="M91" s="764"/>
      <c r="N91" s="767"/>
      <c r="O91" s="763"/>
      <c r="P91" s="763"/>
      <c r="Q91" s="764"/>
      <c r="R91" s="764"/>
      <c r="S91" s="764"/>
      <c r="T91" s="761"/>
      <c r="U91" s="768"/>
      <c r="V91" s="768"/>
      <c r="W91" s="769" t="str">
        <f>IFERROR(VLOOKUP('General price list'!$C91,Popisy!A:P,MATCH($W$17,Popisy!$A$7:$P$7,0),FALSE),"---------------")</f>
        <v>Rauchkörper mit Reibkopfzündung-weiße Farbe</v>
      </c>
      <c r="X91" s="769" t="str">
        <f t="shared" si="23"/>
        <v/>
      </c>
      <c r="Y91" s="770">
        <f>IF(OR(AP91&lt;AA91,AND(NOT(OR(LEFT(AB91,3)="SKL",LEFT(AB91,3)=LEFT($V$2,3))),AA91&gt;0),AND('Deutsche Markt'!$AH$1=FALSE,J91="F4",AA91&gt;0)),"",AA91)</f>
        <v>0</v>
      </c>
      <c r="Z91" s="769"/>
      <c r="AA91" s="771">
        <f>'Deutsche Markt'!AA91</f>
        <v>0</v>
      </c>
      <c r="AB91" s="772" t="str">
        <f>IFERROR(IF(VLOOKUP(C91,[1]List1!$A:$D,2,FALSE)="VYPRODÁNO",$V$9,IF(VLOOKUP(C91,[1]List1!$A:$D,2,FALSE)="DOCHÁZÍ",$V$3,VLOOKUP(C91,[1]List1!$A:$D,2,FALSE))),"OFFLINE!")</f>
        <v>SKLADEM</v>
      </c>
      <c r="AC91" s="772" t="str">
        <f ca="1">IF(AO91="NE",$V$10,IF(AB91=$V$3,IF(AP91&lt;1,$V$8,$V$2&amp;" "&amp;AP91&amp;" "&amp;$V$1),IF(AB91="SKLADEM",$V$6,IFERROR(IF(OR(AB91-TODAY()&gt;21,VLOOKUP(C91,[1]List1!$A:$E,4,FALSE)=0),AB91,DAY(AB91)&amp;"."&amp;MONTH(AB91)&amp;"."&amp;YEAR(AB91)&amp;" "&amp;$V$4&amp;VLOOKUP(C91,[1]List1!$A:$E,4,FALSE)&amp;" "&amp;$V$1),AB91))))</f>
        <v>AUF LAGER</v>
      </c>
      <c r="AD91" s="772" t="str">
        <f t="shared" ca="1" si="24"/>
        <v>AUF LAGER</v>
      </c>
      <c r="AE91" s="605"/>
      <c r="AF91" s="605"/>
      <c r="AG91" s="615"/>
      <c r="AH91" s="616"/>
      <c r="AI91" s="615"/>
      <c r="AJ91" s="617"/>
      <c r="AK91" s="617"/>
      <c r="AL91" s="617"/>
      <c r="AM91" s="617"/>
      <c r="AO91" s="567" t="str">
        <f t="shared" si="11"/>
        <v/>
      </c>
      <c r="AP91" s="568" t="str">
        <f>IF(AB91=$V$3,IF(VLOOKUP(C91,[1]List1!$A:$E,5,FALSE)=0,1,VLOOKUP(C91,[1]List1!$A:$E,5,FALSE)),"")</f>
        <v/>
      </c>
      <c r="AQ91" s="292" t="str">
        <f t="shared" si="12"/>
        <v/>
      </c>
      <c r="AR91" s="618" t="str">
        <f t="shared" si="13"/>
        <v/>
      </c>
      <c r="AS91" s="292" t="str">
        <f t="shared" si="14"/>
        <v/>
      </c>
      <c r="AT91" s="377" t="e">
        <f t="shared" si="15"/>
        <v>#N/A</v>
      </c>
      <c r="AU91" s="292" t="e">
        <f t="shared" si="16"/>
        <v>#N/A</v>
      </c>
    </row>
    <row r="92" spans="1:47" ht="15" customHeight="1">
      <c r="A92" s="601" t="str">
        <f>Kat.!B92</f>
        <v>x</v>
      </c>
      <c r="B92" s="601">
        <f t="shared" si="25"/>
        <v>1</v>
      </c>
      <c r="C92" s="758" t="s">
        <v>3416</v>
      </c>
      <c r="D92" s="759"/>
      <c r="E92" s="760"/>
      <c r="F92" s="761"/>
      <c r="G92" s="762"/>
      <c r="H92" s="596"/>
      <c r="I92" s="763"/>
      <c r="J92" s="764"/>
      <c r="K92" s="774"/>
      <c r="L92" s="780"/>
      <c r="M92" s="764"/>
      <c r="N92" s="767"/>
      <c r="O92" s="763"/>
      <c r="P92" s="763"/>
      <c r="Q92" s="764"/>
      <c r="R92" s="764"/>
      <c r="S92" s="764"/>
      <c r="T92" s="761"/>
      <c r="U92" s="768"/>
      <c r="V92" s="768"/>
      <c r="W92" s="769"/>
      <c r="X92" s="769"/>
      <c r="Y92" s="770">
        <f>IF(OR(AP92&lt;AA92,AND(NOT(OR(LEFT(AB92,3)="SKL",LEFT(AB92,3)=LEFT($V$2,3))),AA92&gt;0),AND('Deutsche Markt'!$AH$1=FALSE,J92="F4",AA92&gt;0)),"",AA92)</f>
        <v>0</v>
      </c>
      <c r="Z92" s="769"/>
      <c r="AA92" s="771">
        <f>'Deutsche Markt'!AA92</f>
        <v>0</v>
      </c>
      <c r="AB92" s="772"/>
      <c r="AC92" s="772"/>
      <c r="AD92" s="772"/>
      <c r="AE92" s="605"/>
      <c r="AF92" s="605"/>
      <c r="AG92" s="615"/>
      <c r="AH92" s="616"/>
      <c r="AI92" s="615"/>
      <c r="AJ92" s="617"/>
      <c r="AK92" s="617"/>
      <c r="AL92" s="617"/>
      <c r="AM92" s="617"/>
      <c r="AN92" s="292"/>
      <c r="AO92" s="567" t="str">
        <f t="shared" si="11"/>
        <v/>
      </c>
      <c r="AP92" s="568" t="str">
        <f>IF(AB92=$V$3,IF(VLOOKUP(C92,[1]List1!$A:$E,5,FALSE)=0,1,VLOOKUP(C92,[1]List1!$A:$E,5,FALSE)),"")</f>
        <v/>
      </c>
      <c r="AQ92" s="292" t="str">
        <f t="shared" si="12"/>
        <v/>
      </c>
      <c r="AR92" s="618" t="str">
        <f t="shared" si="13"/>
        <v/>
      </c>
      <c r="AS92" s="292" t="str">
        <f t="shared" si="14"/>
        <v/>
      </c>
      <c r="AT92" s="377" t="e">
        <f t="shared" si="15"/>
        <v>#N/A</v>
      </c>
      <c r="AU92" s="292" t="e">
        <f t="shared" si="16"/>
        <v>#N/A</v>
      </c>
    </row>
    <row r="93" spans="1:47" ht="15" customHeight="1">
      <c r="A93" s="601" t="str">
        <f>Kat.!B93</f>
        <v>x</v>
      </c>
      <c r="B93" s="601">
        <f t="shared" si="25"/>
        <v>1</v>
      </c>
      <c r="C93" s="758" t="s">
        <v>3427</v>
      </c>
      <c r="D93" s="759"/>
      <c r="E93" s="760"/>
      <c r="F93" s="761"/>
      <c r="G93" s="762"/>
      <c r="H93" s="596"/>
      <c r="I93" s="763"/>
      <c r="J93" s="764"/>
      <c r="K93" s="781"/>
      <c r="L93" s="766"/>
      <c r="M93" s="764"/>
      <c r="N93" s="767"/>
      <c r="O93" s="763"/>
      <c r="P93" s="763"/>
      <c r="Q93" s="764"/>
      <c r="R93" s="764"/>
      <c r="S93" s="764"/>
      <c r="T93" s="761"/>
      <c r="U93" s="768"/>
      <c r="V93" s="768"/>
      <c r="W93" s="769" t="str">
        <f>IFERROR(VLOOKUP('General price list'!$C93,Popisy!A:P,MATCH($W$17,Popisy!$A$7:$P$7,0),FALSE),"---------------")</f>
        <v>Rauchkörper mit Reibkopfzündung-blaue Farbe</v>
      </c>
      <c r="X93" s="769" t="str">
        <f t="shared" ref="X93:X99" si="26">IF(AA93&lt;0.0001,"",AA93)</f>
        <v/>
      </c>
      <c r="Y93" s="770">
        <f>IF(OR(AP93&lt;AA93,AND(NOT(OR(LEFT(AB93,3)="SKL",LEFT(AB93,3)=LEFT($V$2,3))),AA93&gt;0),AND('Deutsche Markt'!$AH$1=FALSE,J93="F4",AA93&gt;0)),"",AA93)</f>
        <v>0</v>
      </c>
      <c r="Z93" s="769"/>
      <c r="AA93" s="771">
        <f>'Deutsche Markt'!AA93</f>
        <v>0</v>
      </c>
      <c r="AB93" s="772" t="str">
        <f>IFERROR(IF(VLOOKUP(C93,[1]List1!$A:$D,2,FALSE)="VYPRODÁNO",$V$9,IF(VLOOKUP(C93,[1]List1!$A:$D,2,FALSE)="DOCHÁZÍ",$V$3,VLOOKUP(C93,[1]List1!$A:$D,2,FALSE))),"OFFLINE!")</f>
        <v>SKLADEM</v>
      </c>
      <c r="AC93" s="772" t="str">
        <f ca="1">IF(AO93="NE",$V$10,IF(AB93=$V$3,IF(AP93&lt;1,$V$8,$V$2&amp;" "&amp;AP93&amp;" "&amp;$V$1),IF(AB93="SKLADEM",$V$6,IFERROR(IF(OR(AB93-TODAY()&gt;21,VLOOKUP(C93,[1]List1!$A:$E,4,FALSE)=0),AB93,DAY(AB93)&amp;"."&amp;MONTH(AB93)&amp;"."&amp;YEAR(AB93)&amp;" "&amp;$V$4&amp;VLOOKUP(C93,[1]List1!$A:$E,4,FALSE)&amp;" "&amp;$V$1),AB93))))</f>
        <v>AUF LAGER</v>
      </c>
      <c r="AD93" s="772" t="str">
        <f t="shared" ref="AD93:AD99" ca="1" si="27">IFERROR(IF(AU93&lt;&gt;"",AU93,AC93),AC93)</f>
        <v>AUF LAGER</v>
      </c>
      <c r="AE93" s="605"/>
      <c r="AF93" s="605"/>
      <c r="AG93" s="615"/>
      <c r="AH93" s="616"/>
      <c r="AI93" s="615"/>
      <c r="AJ93" s="617"/>
      <c r="AK93" s="617"/>
      <c r="AL93" s="617"/>
      <c r="AM93" s="617"/>
      <c r="AN93" s="292"/>
      <c r="AO93" s="567" t="str">
        <f t="shared" si="11"/>
        <v/>
      </c>
      <c r="AP93" s="568" t="str">
        <f>IF(AB93=$V$3,IF(VLOOKUP(C93,[1]List1!$A:$E,5,FALSE)=0,1,VLOOKUP(C93,[1]List1!$A:$E,5,FALSE)),"")</f>
        <v/>
      </c>
      <c r="AQ93" s="292" t="str">
        <f t="shared" si="12"/>
        <v/>
      </c>
      <c r="AR93" s="618" t="str">
        <f t="shared" si="13"/>
        <v/>
      </c>
      <c r="AS93" s="292" t="str">
        <f t="shared" si="14"/>
        <v/>
      </c>
      <c r="AT93" s="377" t="e">
        <f t="shared" si="15"/>
        <v>#N/A</v>
      </c>
      <c r="AU93" s="292" t="e">
        <f t="shared" si="16"/>
        <v>#N/A</v>
      </c>
    </row>
    <row r="94" spans="1:47" ht="15" customHeight="1">
      <c r="A94" s="599" t="str">
        <f>Kat.!$B$1&amp;Kat.!B94</f>
        <v>x</v>
      </c>
      <c r="B94" s="601">
        <f t="shared" si="25"/>
        <v>1</v>
      </c>
      <c r="C94" s="599" t="s">
        <v>3438</v>
      </c>
      <c r="D94" s="599"/>
      <c r="E94" s="599"/>
      <c r="F94" s="600"/>
      <c r="G94" s="599"/>
      <c r="H94" s="599"/>
      <c r="I94" s="599"/>
      <c r="J94" s="599"/>
      <c r="K94" s="708"/>
      <c r="L94" s="599"/>
      <c r="M94" s="599"/>
      <c r="N94" s="599"/>
      <c r="O94" s="599"/>
      <c r="P94" s="599"/>
      <c r="Q94" s="599"/>
      <c r="R94" s="599"/>
      <c r="S94" s="599"/>
      <c r="T94" s="599"/>
      <c r="U94" s="599"/>
      <c r="V94" s="599"/>
      <c r="W94" s="599" t="str">
        <f>IFERROR(VLOOKUP('General price list'!$C94,Popisy!A:P,MATCH($W$17,Popisy!$A$7:$P$7,0),FALSE),"---------------")</f>
        <v>Rauchkörper mit Reibkopfzündung-gelb Farbe</v>
      </c>
      <c r="X94" s="599" t="str">
        <f t="shared" si="26"/>
        <v/>
      </c>
      <c r="Y94" s="770">
        <f>IF(OR(AP94&lt;AA94,AND(NOT(OR(LEFT(AB94,3)="SKL",LEFT(AB94,3)=LEFT($V$2,3))),AA94&gt;0),AND('Deutsche Markt'!$AH$1=FALSE,J94="F4",AA94&gt;0)),"",AA94)</f>
        <v>0</v>
      </c>
      <c r="Z94" s="599"/>
      <c r="AA94" s="771">
        <f>'Deutsche Markt'!AA94</f>
        <v>0</v>
      </c>
      <c r="AB94" s="599" t="str">
        <f>IFERROR(IF(VLOOKUP(C94,[1]List1!$A:$D,2,FALSE)="VYPRODÁNO",$V$9,IF(VLOOKUP(C94,[1]List1!$A:$D,2,FALSE)="DOCHÁZÍ",$V$3,VLOOKUP(C94,[1]List1!$A:$D,2,FALSE))),"OFFLINE!")</f>
        <v>SKLADEM</v>
      </c>
      <c r="AC94" s="599" t="str">
        <f ca="1">IF(AO94="NE",$V$10,IF(AB94=$V$3,IF(AP94&lt;1,$V$8,$V$2&amp;" "&amp;AP94&amp;" "&amp;$V$1),IF(AB94="SKLADEM",$V$6,IFERROR(IF(OR(AB94-TODAY()&gt;21,VLOOKUP(C94,[1]List1!$A:$E,4,FALSE)=0),AB94,DAY(AB94)&amp;"."&amp;MONTH(AB94)&amp;"."&amp;YEAR(AB94)&amp;" "&amp;$V$4&amp;VLOOKUP(C94,[1]List1!$A:$E,4,FALSE)&amp;" "&amp;$V$1),AB94))))</f>
        <v>AUF LAGER</v>
      </c>
      <c r="AD94" s="599" t="str">
        <f t="shared" ca="1" si="27"/>
        <v>AUF LAGER</v>
      </c>
      <c r="AE94" s="599"/>
      <c r="AF94" s="599"/>
      <c r="AG94" s="599"/>
      <c r="AH94" s="599"/>
      <c r="AI94" s="599"/>
      <c r="AJ94" s="599"/>
      <c r="AK94" s="599"/>
      <c r="AL94" s="599"/>
      <c r="AM94" s="599"/>
      <c r="AN94" s="566"/>
      <c r="AO94" s="567" t="str">
        <f t="shared" si="11"/>
        <v/>
      </c>
      <c r="AP94" s="292" t="str">
        <f>IF(AB94=$V$3,IF(VLOOKUP(C94,[1]List1!$A:$E,5,FALSE)=0,1,VLOOKUP(C94,[1]List1!$A:$E,5,FALSE)),"")</f>
        <v/>
      </c>
      <c r="AQ94" s="292" t="str">
        <f t="shared" si="12"/>
        <v/>
      </c>
      <c r="AR94" s="618" t="str">
        <f t="shared" si="13"/>
        <v/>
      </c>
      <c r="AS94" s="292" t="str">
        <f t="shared" si="14"/>
        <v/>
      </c>
      <c r="AT94" s="377" t="e">
        <f t="shared" si="15"/>
        <v>#N/A</v>
      </c>
      <c r="AU94" s="292" t="e">
        <f t="shared" si="16"/>
        <v>#N/A</v>
      </c>
    </row>
    <row r="95" spans="1:47" ht="15" customHeight="1">
      <c r="A95" s="601" t="str">
        <f>Kat.!B95</f>
        <v>x</v>
      </c>
      <c r="B95" s="601">
        <f t="shared" si="25"/>
        <v>1</v>
      </c>
      <c r="C95" s="758" t="s">
        <v>3449</v>
      </c>
      <c r="D95" s="759"/>
      <c r="E95" s="760"/>
      <c r="F95" s="761"/>
      <c r="G95" s="762"/>
      <c r="H95" s="596"/>
      <c r="I95" s="763"/>
      <c r="J95" s="764"/>
      <c r="K95" s="781"/>
      <c r="L95" s="766"/>
      <c r="M95" s="764"/>
      <c r="N95" s="767"/>
      <c r="O95" s="763"/>
      <c r="P95" s="763"/>
      <c r="Q95" s="764"/>
      <c r="R95" s="764"/>
      <c r="S95" s="764"/>
      <c r="T95" s="761"/>
      <c r="U95" s="768"/>
      <c r="V95" s="768"/>
      <c r="W95" s="769" t="str">
        <f>IFERROR(VLOOKUP('General price list'!$C95,Popisy!A:P,MATCH($W$17,Popisy!$A$7:$P$7,0),FALSE),"---------------")</f>
        <v>Rauchkörper mit Reibkopfzündung-grüne Farbe</v>
      </c>
      <c r="X95" s="769" t="str">
        <f t="shared" si="26"/>
        <v/>
      </c>
      <c r="Y95" s="770">
        <f>IF(OR(AP95&lt;AA95,AND(NOT(OR(LEFT(AB95,3)="SKL",LEFT(AB95,3)=LEFT($V$2,3))),AA95&gt;0),AND('Deutsche Markt'!$AH$1=FALSE,J95="F4",AA95&gt;0)),"",AA95)</f>
        <v>0</v>
      </c>
      <c r="Z95" s="769"/>
      <c r="AA95" s="771">
        <f>'Deutsche Markt'!AA95</f>
        <v>0</v>
      </c>
      <c r="AB95" s="772" t="str">
        <f>IFERROR(IF(VLOOKUP(C95,[1]List1!$A:$D,2,FALSE)="VYPRODÁNO",$V$9,IF(VLOOKUP(C95,[1]List1!$A:$D,2,FALSE)="DOCHÁZÍ",$V$3,VLOOKUP(C95,[1]List1!$A:$D,2,FALSE))),"OFFLINE!")</f>
        <v>SKLADEM</v>
      </c>
      <c r="AC95" s="772" t="str">
        <f ca="1">IF(AO95="NE",$V$10,IF(AB95=$V$3,IF(AP95&lt;1,$V$8,$V$2&amp;" "&amp;AP95&amp;" "&amp;$V$1),IF(AB95="SKLADEM",$V$6,IFERROR(IF(OR(AB95-TODAY()&gt;21,VLOOKUP(C95,[1]List1!$A:$E,4,FALSE)=0),AB95,DAY(AB95)&amp;"."&amp;MONTH(AB95)&amp;"."&amp;YEAR(AB95)&amp;" "&amp;$V$4&amp;VLOOKUP(C95,[1]List1!$A:$E,4,FALSE)&amp;" "&amp;$V$1),AB95))))</f>
        <v>AUF LAGER</v>
      </c>
      <c r="AD95" s="772" t="str">
        <f t="shared" ca="1" si="27"/>
        <v>AUF LAGER</v>
      </c>
      <c r="AE95" s="605"/>
      <c r="AF95" s="605"/>
      <c r="AG95" s="615"/>
      <c r="AH95" s="616"/>
      <c r="AI95" s="615"/>
      <c r="AJ95" s="617"/>
      <c r="AK95" s="617"/>
      <c r="AL95" s="617"/>
      <c r="AM95" s="617"/>
      <c r="AO95" s="567" t="str">
        <f t="shared" ref="AO95:AO99" si="28">IF($AK$3=1,IF(Y95=AA95,"","NE"),IF(AQ95=$V$10,"NE",""))</f>
        <v/>
      </c>
      <c r="AP95" s="568" t="str">
        <f>IF(AB95=$V$3,IF(VLOOKUP(C95,[1]List1!$A:$E,5,FALSE)=0,1,VLOOKUP(C95,[1]List1!$A:$E,5,FALSE)),"")</f>
        <v/>
      </c>
      <c r="AQ95" s="292" t="str">
        <f t="shared" ref="AQ95:AQ99" si="29">IF($AK$3=1,"",IF(OR(AA95&lt;&gt;"",AA95&lt;&gt;0),IF(OR(AB95=$V$6,AB95=$V$3,AB95=$V$9),$V$10,""),""))</f>
        <v/>
      </c>
      <c r="AR95" s="618" t="str">
        <f t="shared" ref="AR95:AR99" si="30">IF(AS95&lt;&gt;"","X","")</f>
        <v/>
      </c>
      <c r="AS95" s="292" t="str">
        <f t="shared" ref="AS95:AS99" si="31">IF(AND($AK$3=2,AQ95="",AA95&lt;&gt;""),AC95,"")</f>
        <v/>
      </c>
      <c r="AT95" s="377" t="e">
        <f t="shared" ref="AT95:AT99" si="32">IF(AS95=$AR$21,AA95,"")</f>
        <v>#N/A</v>
      </c>
      <c r="AU95" s="292" t="e">
        <f t="shared" ref="AU95:AU99" si="33">IF(OR(AA95="",AND(AS95&lt;&gt;"",AT95&lt;&gt;"")),"",$V$10)</f>
        <v>#N/A</v>
      </c>
    </row>
    <row r="96" spans="1:47" ht="15" customHeight="1">
      <c r="A96" s="601" t="str">
        <f>Kat.!B96</f>
        <v>x</v>
      </c>
      <c r="B96" s="601">
        <f t="shared" si="25"/>
        <v>1</v>
      </c>
      <c r="C96" s="758" t="s">
        <v>3460</v>
      </c>
      <c r="D96" s="759"/>
      <c r="E96" s="760"/>
      <c r="F96" s="761"/>
      <c r="G96" s="762"/>
      <c r="H96" s="596"/>
      <c r="I96" s="763"/>
      <c r="J96" s="764"/>
      <c r="K96" s="774"/>
      <c r="L96" s="766"/>
      <c r="M96" s="764"/>
      <c r="N96" s="767"/>
      <c r="O96" s="763"/>
      <c r="P96" s="763"/>
      <c r="Q96" s="764"/>
      <c r="R96" s="764"/>
      <c r="S96" s="764"/>
      <c r="T96" s="761"/>
      <c r="U96" s="768"/>
      <c r="V96" s="768"/>
      <c r="W96" s="769" t="str">
        <f>IFERROR(VLOOKUP('General price list'!$C96,Popisy!A:P,MATCH($W$17,Popisy!$A$7:$P$7,0),FALSE),"---------------")</f>
        <v>Rauchkörper mit Reibkopfzündung-orange Farbe</v>
      </c>
      <c r="X96" s="769" t="str">
        <f t="shared" si="26"/>
        <v/>
      </c>
      <c r="Y96" s="770">
        <f>IF(OR(AP96&lt;AA96,AND(NOT(OR(LEFT(AB96,3)="SKL",LEFT(AB96,3)=LEFT($V$2,3))),AA96&gt;0),AND('Deutsche Markt'!$AH$1=FALSE,J96="F4",AA96&gt;0)),"",AA96)</f>
        <v>0</v>
      </c>
      <c r="Z96" s="769"/>
      <c r="AA96" s="771">
        <f>'Deutsche Markt'!AA96</f>
        <v>0</v>
      </c>
      <c r="AB96" s="772" t="str">
        <f>IFERROR(IF(VLOOKUP(C96,[1]List1!$A:$D,2,FALSE)="VYPRODÁNO",$V$9,IF(VLOOKUP(C96,[1]List1!$A:$D,2,FALSE)="DOCHÁZÍ",$V$3,VLOOKUP(C96,[1]List1!$A:$D,2,FALSE))),"OFFLINE!")</f>
        <v>SKLADEM</v>
      </c>
      <c r="AC96" s="772" t="str">
        <f ca="1">IF(AO96="NE",$V$10,IF(AB96=$V$3,IF(AP96&lt;1,$V$8,$V$2&amp;" "&amp;AP96&amp;" "&amp;$V$1),IF(AB96="SKLADEM",$V$6,IFERROR(IF(OR(AB96-TODAY()&gt;21,VLOOKUP(C96,[1]List1!$A:$E,4,FALSE)=0),AB96,DAY(AB96)&amp;"."&amp;MONTH(AB96)&amp;"."&amp;YEAR(AB96)&amp;" "&amp;$V$4&amp;VLOOKUP(C96,[1]List1!$A:$E,4,FALSE)&amp;" "&amp;$V$1),AB96))))</f>
        <v>AUF LAGER</v>
      </c>
      <c r="AD96" s="772" t="str">
        <f t="shared" ca="1" si="27"/>
        <v>AUF LAGER</v>
      </c>
      <c r="AE96" s="605"/>
      <c r="AF96" s="605"/>
      <c r="AG96" s="615"/>
      <c r="AH96" s="616"/>
      <c r="AI96" s="615"/>
      <c r="AJ96" s="617"/>
      <c r="AK96" s="617"/>
      <c r="AL96" s="617"/>
      <c r="AM96" s="617"/>
      <c r="AO96" s="567" t="str">
        <f t="shared" si="28"/>
        <v/>
      </c>
      <c r="AP96" s="568" t="str">
        <f>IF(AB96=$V$3,IF(VLOOKUP(C96,[1]List1!$A:$E,5,FALSE)=0,1,VLOOKUP(C96,[1]List1!$A:$E,5,FALSE)),"")</f>
        <v/>
      </c>
      <c r="AQ96" s="292" t="str">
        <f t="shared" si="29"/>
        <v/>
      </c>
      <c r="AR96" s="618" t="str">
        <f t="shared" si="30"/>
        <v/>
      </c>
      <c r="AS96" s="292" t="str">
        <f t="shared" si="31"/>
        <v/>
      </c>
      <c r="AT96" s="377" t="e">
        <f t="shared" si="32"/>
        <v>#N/A</v>
      </c>
      <c r="AU96" s="292" t="e">
        <f t="shared" si="33"/>
        <v>#N/A</v>
      </c>
    </row>
    <row r="97" spans="1:47" ht="15" customHeight="1">
      <c r="A97" s="601" t="str">
        <f>Kat.!B97</f>
        <v>x</v>
      </c>
      <c r="B97" s="601">
        <f t="shared" si="25"/>
        <v>1</v>
      </c>
      <c r="C97" s="758" t="s">
        <v>3471</v>
      </c>
      <c r="D97" s="759"/>
      <c r="E97" s="760"/>
      <c r="F97" s="761"/>
      <c r="G97" s="762"/>
      <c r="H97" s="596"/>
      <c r="I97" s="763"/>
      <c r="J97" s="764"/>
      <c r="K97" s="781"/>
      <c r="L97" s="766"/>
      <c r="M97" s="764"/>
      <c r="N97" s="767"/>
      <c r="O97" s="763"/>
      <c r="P97" s="763"/>
      <c r="Q97" s="764"/>
      <c r="R97" s="764"/>
      <c r="S97" s="764"/>
      <c r="T97" s="761"/>
      <c r="U97" s="768"/>
      <c r="V97" s="768"/>
      <c r="W97" s="769" t="str">
        <f>IFERROR(VLOOKUP('General price list'!$C97,Popisy!A:P,MATCH($W$17,Popisy!$A$7:$P$7,0),FALSE),"---------------")</f>
        <v>Rauchkörper mit Reibkopfzündung-schwarze Farbe</v>
      </c>
      <c r="X97" s="769" t="str">
        <f t="shared" si="26"/>
        <v/>
      </c>
      <c r="Y97" s="770">
        <f>IF(OR(AP97&lt;AA97,AND(NOT(OR(LEFT(AB97,3)="SKL",LEFT(AB97,3)=LEFT($V$2,3))),AA97&gt;0),AND('Deutsche Markt'!$AH$1=FALSE,J97="F4",AA97&gt;0)),"",AA97)</f>
        <v>0</v>
      </c>
      <c r="Z97" s="769"/>
      <c r="AA97" s="771">
        <f>'Deutsche Markt'!AA97</f>
        <v>0</v>
      </c>
      <c r="AB97" s="772" t="str">
        <f>IFERROR(IF(VLOOKUP(C97,[1]List1!$A:$D,2,FALSE)="VYPRODÁNO",$V$9,IF(VLOOKUP(C97,[1]List1!$A:$D,2,FALSE)="DOCHÁZÍ",$V$3,VLOOKUP(C97,[1]List1!$A:$D,2,FALSE))),"OFFLINE!")</f>
        <v>SKLADEM</v>
      </c>
      <c r="AC97" s="772" t="str">
        <f ca="1">IF(AO97="NE",$V$10,IF(AB97=$V$3,IF(AP97&lt;1,$V$8,$V$2&amp;" "&amp;AP97&amp;" "&amp;$V$1),IF(AB97="SKLADEM",$V$6,IFERROR(IF(OR(AB97-TODAY()&gt;21,VLOOKUP(C97,[1]List1!$A:$E,4,FALSE)=0),AB97,DAY(AB97)&amp;"."&amp;MONTH(AB97)&amp;"."&amp;YEAR(AB97)&amp;" "&amp;$V$4&amp;VLOOKUP(C97,[1]List1!$A:$E,4,FALSE)&amp;" "&amp;$V$1),AB97))))</f>
        <v>AUF LAGER</v>
      </c>
      <c r="AD97" s="772" t="str">
        <f t="shared" ca="1" si="27"/>
        <v>AUF LAGER</v>
      </c>
      <c r="AE97" s="605"/>
      <c r="AF97" s="605"/>
      <c r="AG97" s="615"/>
      <c r="AH97" s="616"/>
      <c r="AI97" s="615"/>
      <c r="AJ97" s="617"/>
      <c r="AK97" s="617"/>
      <c r="AL97" s="617"/>
      <c r="AM97" s="617"/>
      <c r="AO97" s="567" t="str">
        <f t="shared" si="28"/>
        <v/>
      </c>
      <c r="AP97" s="568" t="str">
        <f>IF(AB97=$V$3,IF(VLOOKUP(C97,[1]List1!$A:$E,5,FALSE)=0,1,VLOOKUP(C97,[1]List1!$A:$E,5,FALSE)),"")</f>
        <v/>
      </c>
      <c r="AQ97" s="292" t="str">
        <f t="shared" si="29"/>
        <v/>
      </c>
      <c r="AR97" s="618" t="str">
        <f t="shared" si="30"/>
        <v/>
      </c>
      <c r="AS97" s="292" t="str">
        <f t="shared" si="31"/>
        <v/>
      </c>
      <c r="AT97" s="377" t="e">
        <f t="shared" si="32"/>
        <v>#N/A</v>
      </c>
      <c r="AU97" s="292" t="e">
        <f t="shared" si="33"/>
        <v>#N/A</v>
      </c>
    </row>
    <row r="98" spans="1:47" ht="15" customHeight="1">
      <c r="A98" s="601" t="str">
        <f>Kat.!B98</f>
        <v>x</v>
      </c>
      <c r="B98" s="601">
        <f t="shared" si="25"/>
        <v>1</v>
      </c>
      <c r="C98" s="758" t="s">
        <v>3482</v>
      </c>
      <c r="D98" s="759"/>
      <c r="E98" s="760"/>
      <c r="F98" s="761"/>
      <c r="G98" s="762"/>
      <c r="H98" s="596"/>
      <c r="I98" s="763"/>
      <c r="J98" s="764"/>
      <c r="K98" s="774"/>
      <c r="L98" s="766"/>
      <c r="M98" s="764"/>
      <c r="N98" s="767"/>
      <c r="O98" s="763"/>
      <c r="P98" s="763"/>
      <c r="Q98" s="764"/>
      <c r="R98" s="764"/>
      <c r="S98" s="764"/>
      <c r="T98" s="761"/>
      <c r="U98" s="768"/>
      <c r="V98" s="768"/>
      <c r="W98" s="769" t="str">
        <f>IFERROR(VLOOKUP('General price list'!$C98,Popisy!A:P,MATCH($W$17,Popisy!$A$7:$P$7,0),FALSE),"---------------")</f>
        <v>Rauchkörper mit Reibkopfzündung-pinke Farbe</v>
      </c>
      <c r="X98" s="769" t="str">
        <f t="shared" si="26"/>
        <v/>
      </c>
      <c r="Y98" s="770">
        <f>IF(OR(AP98&lt;AA98,AND(NOT(OR(LEFT(AB98,3)="SKL",LEFT(AB98,3)=LEFT($V$2,3))),AA98&gt;0),AND('Deutsche Markt'!$AH$1=FALSE,J98="F4",AA98&gt;0)),"",AA98)</f>
        <v>0</v>
      </c>
      <c r="Z98" s="769"/>
      <c r="AA98" s="771">
        <f>'Deutsche Markt'!AA98</f>
        <v>0</v>
      </c>
      <c r="AB98" s="772" t="str">
        <f>IFERROR(IF(VLOOKUP(C98,[1]List1!$A:$D,2,FALSE)="VYPRODÁNO",$V$9,IF(VLOOKUP(C98,[1]List1!$A:$D,2,FALSE)="DOCHÁZÍ",$V$3,VLOOKUP(C98,[1]List1!$A:$D,2,FALSE))),"OFFLINE!")</f>
        <v>SKLADEM</v>
      </c>
      <c r="AC98" s="772" t="str">
        <f ca="1">IF(AO98="NE",$V$10,IF(AB98=$V$3,IF(AP98&lt;1,$V$8,$V$2&amp;" "&amp;AP98&amp;" "&amp;$V$1),IF(AB98="SKLADEM",$V$6,IFERROR(IF(OR(AB98-TODAY()&gt;21,VLOOKUP(C98,[1]List1!$A:$E,4,FALSE)=0),AB98,DAY(AB98)&amp;"."&amp;MONTH(AB98)&amp;"."&amp;YEAR(AB98)&amp;" "&amp;$V$4&amp;VLOOKUP(C98,[1]List1!$A:$E,4,FALSE)&amp;" "&amp;$V$1),AB98))))</f>
        <v>AUF LAGER</v>
      </c>
      <c r="AD98" s="772" t="str">
        <f t="shared" ca="1" si="27"/>
        <v>AUF LAGER</v>
      </c>
      <c r="AE98" s="605"/>
      <c r="AF98" s="605"/>
      <c r="AG98" s="615"/>
      <c r="AH98" s="616"/>
      <c r="AI98" s="615"/>
      <c r="AJ98" s="617"/>
      <c r="AK98" s="617"/>
      <c r="AL98" s="617"/>
      <c r="AM98" s="617"/>
      <c r="AO98" s="567" t="str">
        <f t="shared" si="28"/>
        <v/>
      </c>
      <c r="AP98" s="568" t="str">
        <f>IF(AB98=$V$3,IF(VLOOKUP(C98,[1]List1!$A:$E,5,FALSE)=0,1,VLOOKUP(C98,[1]List1!$A:$E,5,FALSE)),"")</f>
        <v/>
      </c>
      <c r="AQ98" s="292" t="str">
        <f t="shared" si="29"/>
        <v/>
      </c>
      <c r="AR98" s="618" t="str">
        <f t="shared" si="30"/>
        <v/>
      </c>
      <c r="AS98" s="292" t="str">
        <f t="shared" si="31"/>
        <v/>
      </c>
      <c r="AT98" s="377" t="e">
        <f t="shared" si="32"/>
        <v>#N/A</v>
      </c>
      <c r="AU98" s="292" t="e">
        <f t="shared" si="33"/>
        <v>#N/A</v>
      </c>
    </row>
    <row r="99" spans="1:47" ht="15" customHeight="1">
      <c r="A99" s="601" t="str">
        <f>Kat.!B99</f>
        <v>Rauchfackeln</v>
      </c>
      <c r="B99" s="601">
        <f t="shared" si="25"/>
        <v>0</v>
      </c>
      <c r="C99" s="758"/>
      <c r="D99" s="759"/>
      <c r="E99" s="760"/>
      <c r="F99" s="761"/>
      <c r="G99" s="762"/>
      <c r="H99" s="596"/>
      <c r="I99" s="763"/>
      <c r="J99" s="764"/>
      <c r="K99" s="781"/>
      <c r="L99" s="782"/>
      <c r="M99" s="764"/>
      <c r="N99" s="767"/>
      <c r="O99" s="763"/>
      <c r="P99" s="763"/>
      <c r="Q99" s="764"/>
      <c r="R99" s="764"/>
      <c r="S99" s="764"/>
      <c r="T99" s="761"/>
      <c r="U99" s="768"/>
      <c r="V99" s="768"/>
      <c r="W99" s="769" t="str">
        <f>IFERROR(VLOOKUP('General price list'!$C99,Popisy!A:P,MATCH($W$17,Popisy!$A$7:$P$7,0),FALSE),"---------------")</f>
        <v>---------------</v>
      </c>
      <c r="X99" s="769" t="str">
        <f t="shared" si="26"/>
        <v/>
      </c>
      <c r="Y99" s="770">
        <f>IF(OR(AP99&lt;AA99,AND(NOT(OR(LEFT(AB99,3)="SKL",LEFT(AB99,3)=LEFT($V$2,3))),AA99&gt;0),AND('Deutsche Markt'!$AH$1=FALSE,J99="F4",AA99&gt;0)),"",AA99)</f>
        <v>0</v>
      </c>
      <c r="Z99" s="769"/>
      <c r="AA99" s="771">
        <f>'Deutsche Markt'!AA99</f>
        <v>0</v>
      </c>
      <c r="AB99" s="772" t="str">
        <f>IFERROR(IF(VLOOKUP(C99,[1]List1!$A:$D,2,FALSE)="VYPRODÁNO",$V$9,IF(VLOOKUP(C99,[1]List1!$A:$D,2,FALSE)="DOCHÁZÍ",$V$3,VLOOKUP(C99,[1]List1!$A:$D,2,FALSE))),"OFFLINE!")</f>
        <v>OFFLINE!</v>
      </c>
      <c r="AC99" s="772" t="str">
        <f ca="1">IF(AO99="NE",$V$10,IF(AB99=$V$3,IF(AP99&lt;1,$V$8,$V$2&amp;" "&amp;AP99&amp;" "&amp;$V$1),IF(AB99="SKLADEM",$V$6,IFERROR(IF(OR(AB99-TODAY()&gt;21,VLOOKUP(C99,[1]List1!$A:$E,4,FALSE)=0),AB99,DAY(AB99)&amp;"."&amp;MONTH(AB99)&amp;"."&amp;YEAR(AB99)&amp;" "&amp;$V$4&amp;VLOOKUP(C99,[1]List1!$A:$E,4,FALSE)&amp;" "&amp;$V$1),AB99))))</f>
        <v>OFFLINE!</v>
      </c>
      <c r="AD99" s="772" t="str">
        <f t="shared" ca="1" si="27"/>
        <v>OFFLINE!</v>
      </c>
      <c r="AE99" s="605"/>
      <c r="AF99" s="605"/>
      <c r="AG99" s="615"/>
      <c r="AH99" s="616"/>
      <c r="AI99" s="615"/>
      <c r="AJ99" s="617"/>
      <c r="AK99" s="617"/>
      <c r="AL99" s="617"/>
      <c r="AM99" s="617"/>
      <c r="AN99" s="292"/>
      <c r="AO99" s="567" t="str">
        <f t="shared" si="28"/>
        <v/>
      </c>
      <c r="AP99" s="568" t="str">
        <f>IF(AB99=$V$3,IF(VLOOKUP(C99,[1]List1!$A:$E,5,FALSE)=0,1,VLOOKUP(C99,[1]List1!$A:$E,5,FALSE)),"")</f>
        <v/>
      </c>
      <c r="AQ99" s="292" t="str">
        <f t="shared" si="29"/>
        <v/>
      </c>
      <c r="AR99" s="618" t="str">
        <f t="shared" si="30"/>
        <v/>
      </c>
      <c r="AS99" s="292" t="str">
        <f t="shared" si="31"/>
        <v/>
      </c>
      <c r="AT99" s="377" t="e">
        <f t="shared" si="32"/>
        <v>#N/A</v>
      </c>
      <c r="AU99" s="292" t="e">
        <f t="shared" si="33"/>
        <v>#N/A</v>
      </c>
    </row>
    <row r="100" spans="1:47" ht="15" customHeight="1">
      <c r="A100" s="601" t="str">
        <f>Kat.!B100</f>
        <v/>
      </c>
      <c r="B100" s="601">
        <f t="shared" si="25"/>
        <v>1</v>
      </c>
      <c r="C100" s="758" t="s">
        <v>3552</v>
      </c>
      <c r="D100" s="759"/>
      <c r="E100" s="760"/>
      <c r="F100" s="761"/>
      <c r="G100" s="762"/>
      <c r="H100" s="596"/>
      <c r="I100" s="763"/>
      <c r="J100" s="764"/>
      <c r="K100" s="774"/>
      <c r="L100" s="766"/>
      <c r="M100" s="764"/>
      <c r="N100" s="767"/>
      <c r="O100" s="763"/>
      <c r="P100" s="763"/>
      <c r="Q100" s="764"/>
      <c r="R100" s="764"/>
      <c r="S100" s="764"/>
      <c r="T100" s="761"/>
      <c r="U100" s="768"/>
      <c r="V100" s="768"/>
      <c r="W100" s="769"/>
      <c r="X100" s="769"/>
      <c r="Y100" s="770">
        <f>IF(OR(AP100&lt;AA100,AND(NOT(OR(LEFT(AB100,3)="SKL",LEFT(AB100,3)=LEFT($V$2,3))),AA100&gt;0),AND('Deutsche Markt'!$AH$1=FALSE,J100="F4",AA100&gt;0)),"",AA100)</f>
        <v>0</v>
      </c>
      <c r="Z100" s="769"/>
      <c r="AA100" s="771">
        <f>'Deutsche Markt'!AA100</f>
        <v>0</v>
      </c>
      <c r="AB100" s="772"/>
      <c r="AC100" s="772"/>
      <c r="AD100" s="772"/>
      <c r="AE100" s="605"/>
      <c r="AF100" s="605"/>
      <c r="AG100" s="615"/>
      <c r="AH100" s="616"/>
      <c r="AI100" s="615"/>
      <c r="AJ100" s="617"/>
      <c r="AK100" s="617"/>
      <c r="AL100" s="617"/>
      <c r="AM100" s="617"/>
      <c r="AO100" s="567" t="str">
        <f t="shared" ref="AO100:AO158" si="34">IF($AK$3=1,IF(Y100=AA100,"","NE"),IF(AQ100=$V$10,"NE",""))</f>
        <v/>
      </c>
      <c r="AP100" s="568" t="str">
        <f>IF(AB100=$V$3,IF(VLOOKUP(C100,[1]List1!$A:$E,5,FALSE)=0,1,VLOOKUP(C100,[1]List1!$A:$E,5,FALSE)),"")</f>
        <v/>
      </c>
      <c r="AQ100" s="292" t="str">
        <f t="shared" ref="AQ100:AQ158" si="35">IF($AK$3=1,"",IF(OR(AA100&lt;&gt;"",AA100&lt;&gt;0),IF(OR(AB100=$V$6,AB100=$V$3,AB100=$V$9),$V$10,""),""))</f>
        <v/>
      </c>
      <c r="AR100" s="618" t="str">
        <f t="shared" ref="AR100:AR158" si="36">IF(AS100&lt;&gt;"","X","")</f>
        <v/>
      </c>
      <c r="AS100" s="292" t="str">
        <f t="shared" ref="AS100:AS158" si="37">IF(AND($AK$3=2,AQ100="",AA100&lt;&gt;""),AC100,"")</f>
        <v/>
      </c>
      <c r="AT100" s="377" t="e">
        <f t="shared" ref="AT100:AT158" si="38">IF(AS100=$AR$21,AA100,"")</f>
        <v>#N/A</v>
      </c>
      <c r="AU100" s="292" t="e">
        <f t="shared" ref="AU100:AU158" si="39">IF(OR(AA100="",AND(AS100&lt;&gt;"",AT100&lt;&gt;"")),"",$V$10)</f>
        <v>#N/A</v>
      </c>
    </row>
    <row r="101" spans="1:47" ht="15" customHeight="1">
      <c r="A101" s="601" t="str">
        <f>Kat.!B101</f>
        <v/>
      </c>
      <c r="B101" s="601">
        <f t="shared" si="25"/>
        <v>1</v>
      </c>
      <c r="C101" s="758" t="s">
        <v>3563</v>
      </c>
      <c r="D101" s="759"/>
      <c r="E101" s="760"/>
      <c r="F101" s="761"/>
      <c r="G101" s="762"/>
      <c r="H101" s="596"/>
      <c r="I101" s="763"/>
      <c r="J101" s="764"/>
      <c r="K101" s="781"/>
      <c r="L101" s="766"/>
      <c r="M101" s="764"/>
      <c r="N101" s="767"/>
      <c r="O101" s="763"/>
      <c r="P101" s="763"/>
      <c r="Q101" s="764"/>
      <c r="R101" s="764"/>
      <c r="S101" s="764"/>
      <c r="T101" s="761"/>
      <c r="U101" s="768"/>
      <c r="V101" s="768"/>
      <c r="W101" s="769" t="str">
        <f>IFERROR(VLOOKUP('General price list'!$C101,Popisy!A:P,MATCH($W$17,Popisy!$A$7:$P$7,0),FALSE),"---------------")</f>
        <v>Handrauchfackel-rote Farbe</v>
      </c>
      <c r="X101" s="769" t="str">
        <f t="shared" ref="X101:X122" si="40">IF(AA101&lt;0.0001,"",AA101)</f>
        <v/>
      </c>
      <c r="Y101" s="770">
        <f>IF(OR(AP101&lt;AA101,AND(NOT(OR(LEFT(AB101,3)="SKL",LEFT(AB101,3)=LEFT($V$2,3))),AA101&gt;0),AND('Deutsche Markt'!$AH$1=FALSE,J101="F4",AA101&gt;0)),"",AA101)</f>
        <v>0</v>
      </c>
      <c r="Z101" s="769"/>
      <c r="AA101" s="771">
        <f>'Deutsche Markt'!AA101</f>
        <v>0</v>
      </c>
      <c r="AB101" s="772" t="str">
        <f>IFERROR(IF(VLOOKUP(C101,[1]List1!$A:$D,2,FALSE)="VYPRODÁNO",$V$9,IF(VLOOKUP(C101,[1]List1!$A:$D,2,FALSE)="DOCHÁZÍ",$V$3,VLOOKUP(C101,[1]List1!$A:$D,2,FALSE))),"OFFLINE!")</f>
        <v>SKLADEM</v>
      </c>
      <c r="AC101" s="772" t="str">
        <f ca="1">IF(AO101="NE",$V$10,IF(AB101=$V$3,IF(AP101&lt;1,$V$8,$V$2&amp;" "&amp;AP101&amp;" "&amp;$V$1),IF(AB101="SKLADEM",$V$6,IFERROR(IF(OR(AB101-TODAY()&gt;21,VLOOKUP(C101,[1]List1!$A:$E,4,FALSE)=0),AB101,DAY(AB101)&amp;"."&amp;MONTH(AB101)&amp;"."&amp;YEAR(AB101)&amp;" "&amp;$V$4&amp;VLOOKUP(C101,[1]List1!$A:$E,4,FALSE)&amp;" "&amp;$V$1),AB101))))</f>
        <v>AUF LAGER</v>
      </c>
      <c r="AD101" s="772" t="str">
        <f t="shared" ref="AD101:AD122" ca="1" si="41">IFERROR(IF(AU101&lt;&gt;"",AU101,AC101),AC101)</f>
        <v>AUF LAGER</v>
      </c>
      <c r="AE101" s="605"/>
      <c r="AF101" s="605"/>
      <c r="AG101" s="615"/>
      <c r="AH101" s="616"/>
      <c r="AI101" s="615"/>
      <c r="AJ101" s="617"/>
      <c r="AK101" s="617"/>
      <c r="AL101" s="617"/>
      <c r="AM101" s="617"/>
      <c r="AN101" s="292"/>
      <c r="AO101" s="567" t="str">
        <f t="shared" si="34"/>
        <v/>
      </c>
      <c r="AP101" s="568" t="str">
        <f>IF(AB101=$V$3,IF(VLOOKUP(C101,[1]List1!$A:$E,5,FALSE)=0,1,VLOOKUP(C101,[1]List1!$A:$E,5,FALSE)),"")</f>
        <v/>
      </c>
      <c r="AQ101" s="292" t="str">
        <f t="shared" si="35"/>
        <v/>
      </c>
      <c r="AR101" s="618" t="str">
        <f t="shared" si="36"/>
        <v/>
      </c>
      <c r="AS101" s="292" t="str">
        <f t="shared" si="37"/>
        <v/>
      </c>
      <c r="AT101" s="377" t="e">
        <f t="shared" si="38"/>
        <v>#N/A</v>
      </c>
      <c r="AU101" s="292" t="e">
        <f t="shared" si="39"/>
        <v>#N/A</v>
      </c>
    </row>
    <row r="102" spans="1:47" ht="15" customHeight="1">
      <c r="A102" s="601" t="str">
        <f>Kat.!$B$1&amp;Kat.!B102</f>
        <v/>
      </c>
      <c r="B102" s="601">
        <f t="shared" si="25"/>
        <v>1</v>
      </c>
      <c r="C102" s="602" t="s">
        <v>3574</v>
      </c>
      <c r="D102" s="603"/>
      <c r="E102" s="604"/>
      <c r="F102" s="605"/>
      <c r="G102" s="606"/>
      <c r="H102" s="607"/>
      <c r="I102" s="608"/>
      <c r="J102" s="609"/>
      <c r="K102" s="708"/>
      <c r="L102" s="611"/>
      <c r="M102" s="609"/>
      <c r="N102" s="612"/>
      <c r="O102" s="608"/>
      <c r="P102" s="608"/>
      <c r="Q102" s="609"/>
      <c r="R102" s="609"/>
      <c r="S102" s="609"/>
      <c r="T102" s="605"/>
      <c r="U102" s="613"/>
      <c r="V102" s="613"/>
      <c r="W102" s="601" t="str">
        <f>IFERROR(VLOOKUP('General price list'!$C102,Popisy!A:P,MATCH($W$17,Popisy!$A$7:$P$7,0),FALSE),"---------------")</f>
        <v>Handrauchfackel-blaue Farbe</v>
      </c>
      <c r="X102" s="601" t="str">
        <f t="shared" si="40"/>
        <v/>
      </c>
      <c r="Y102" s="770">
        <f>IF(OR(AP102&lt;AA102,AND(NOT(OR(LEFT(AB102,3)="SKL",LEFT(AB102,3)=LEFT($V$2,3))),AA102&gt;0),AND('Deutsche Markt'!$AH$1=FALSE,J102="F4",AA102&gt;0)),"",AA102)</f>
        <v>0</v>
      </c>
      <c r="Z102" s="601"/>
      <c r="AA102" s="771">
        <f>'Deutsche Markt'!AA102</f>
        <v>0</v>
      </c>
      <c r="AB102" s="614" t="str">
        <f>IFERROR(IF(VLOOKUP(C102,[1]List1!$A:$D,2,FALSE)="VYPRODÁNO",$V$9,IF(VLOOKUP(C102,[1]List1!$A:$D,2,FALSE)="DOCHÁZÍ",$V$3,VLOOKUP(C102,[1]List1!$A:$D,2,FALSE))),"OFFLINE!")</f>
        <v>SKLADEM</v>
      </c>
      <c r="AC102" s="614" t="str">
        <f ca="1">IF(AO102="NE",$V$10,IF(AB102=$V$3,IF(AP102&lt;1,$V$8,$V$2&amp;" "&amp;AP102&amp;" "&amp;$V$1),IF(AB102="SKLADEM",$V$6,IFERROR(IF(OR(AB102-TODAY()&gt;21,VLOOKUP(C102,[1]List1!$A:$E,4,FALSE)=0),AB102,DAY(AB102)&amp;"."&amp;MONTH(AB102)&amp;"."&amp;YEAR(AB102)&amp;" "&amp;$V$4&amp;VLOOKUP(C102,[1]List1!$A:$E,4,FALSE)&amp;" "&amp;$V$1),AB102))))</f>
        <v>AUF LAGER</v>
      </c>
      <c r="AD102" s="614" t="str">
        <f t="shared" ca="1" si="41"/>
        <v>AUF LAGER</v>
      </c>
      <c r="AE102" s="605"/>
      <c r="AF102" s="605"/>
      <c r="AG102" s="615"/>
      <c r="AH102" s="616"/>
      <c r="AI102" s="615"/>
      <c r="AJ102" s="617"/>
      <c r="AK102" s="617"/>
      <c r="AL102" s="617"/>
      <c r="AM102" s="617"/>
      <c r="AN102" s="292"/>
      <c r="AO102" s="567" t="str">
        <f t="shared" si="34"/>
        <v/>
      </c>
      <c r="AP102" s="568" t="str">
        <f>IF(AB102=$V$3,IF(VLOOKUP(C102,[1]List1!$A:$E,5,FALSE)=0,1,VLOOKUP(C102,[1]List1!$A:$E,5,FALSE)),"")</f>
        <v/>
      </c>
      <c r="AQ102" s="292" t="str">
        <f t="shared" si="35"/>
        <v/>
      </c>
      <c r="AR102" s="618" t="str">
        <f t="shared" si="36"/>
        <v/>
      </c>
      <c r="AS102" s="292" t="str">
        <f t="shared" si="37"/>
        <v/>
      </c>
      <c r="AT102" s="377" t="e">
        <f t="shared" si="38"/>
        <v>#N/A</v>
      </c>
      <c r="AU102" s="292" t="e">
        <f t="shared" si="39"/>
        <v>#N/A</v>
      </c>
    </row>
    <row r="103" spans="1:47" ht="15" customHeight="1">
      <c r="A103" s="601" t="str">
        <f>Kat.!B103</f>
        <v/>
      </c>
      <c r="B103" s="601">
        <f t="shared" si="25"/>
        <v>1</v>
      </c>
      <c r="C103" s="778" t="s">
        <v>3585</v>
      </c>
      <c r="D103" s="778"/>
      <c r="E103" s="778"/>
      <c r="F103" s="779"/>
      <c r="G103" s="778"/>
      <c r="H103" s="778"/>
      <c r="I103" s="778"/>
      <c r="J103" s="778"/>
      <c r="K103" s="781"/>
      <c r="L103" s="778"/>
      <c r="M103" s="778"/>
      <c r="N103" s="778"/>
      <c r="O103" s="778"/>
      <c r="P103" s="778"/>
      <c r="Q103" s="778"/>
      <c r="R103" s="778"/>
      <c r="S103" s="778"/>
      <c r="T103" s="778"/>
      <c r="U103" s="778"/>
      <c r="V103" s="778"/>
      <c r="W103" s="778" t="str">
        <f>IFERROR(VLOOKUP('General price list'!$C103,Popisy!A:P,MATCH($W$17,Popisy!$A$7:$P$7,0),FALSE),"---------------")</f>
        <v>Handrauchfackel-gelbe Farbe</v>
      </c>
      <c r="X103" s="778" t="str">
        <f t="shared" si="40"/>
        <v/>
      </c>
      <c r="Y103" s="770">
        <f>IF(OR(AP103&lt;AA103,AND(NOT(OR(LEFT(AB103,3)="SKL",LEFT(AB103,3)=LEFT($V$2,3))),AA103&gt;0),AND('Deutsche Markt'!$AH$1=FALSE,J103="F4",AA103&gt;0)),"",AA103)</f>
        <v>0</v>
      </c>
      <c r="Z103" s="778"/>
      <c r="AA103" s="771">
        <f>'Deutsche Markt'!AA103</f>
        <v>0</v>
      </c>
      <c r="AB103" s="778" t="str">
        <f>IFERROR(IF(VLOOKUP(C103,[1]List1!$A:$D,2,FALSE)="VYPRODÁNO",$V$9,IF(VLOOKUP(C103,[1]List1!$A:$D,2,FALSE)="DOCHÁZÍ",$V$3,VLOOKUP(C103,[1]List1!$A:$D,2,FALSE))),"OFFLINE!")</f>
        <v>SKLADEM</v>
      </c>
      <c r="AC103" s="778" t="str">
        <f ca="1">IF(AO103="NE",$V$10,IF(AB103=$V$3,IF(AP103&lt;1,$V$8,$V$2&amp;" "&amp;AP103&amp;" "&amp;$V$1),IF(AB103="SKLADEM",$V$6,IFERROR(IF(OR(AB103-TODAY()&gt;21,VLOOKUP(C103,[1]List1!$A:$E,4,FALSE)=0),AB103,DAY(AB103)&amp;"."&amp;MONTH(AB103)&amp;"."&amp;YEAR(AB103)&amp;" "&amp;$V$4&amp;VLOOKUP(C103,[1]List1!$A:$E,4,FALSE)&amp;" "&amp;$V$1),AB103))))</f>
        <v>AUF LAGER</v>
      </c>
      <c r="AD103" s="778" t="str">
        <f t="shared" ca="1" si="41"/>
        <v>AUF LAGER</v>
      </c>
      <c r="AE103" s="599"/>
      <c r="AF103" s="599"/>
      <c r="AG103" s="599"/>
      <c r="AH103" s="599"/>
      <c r="AI103" s="599"/>
      <c r="AJ103" s="599"/>
      <c r="AK103" s="599"/>
      <c r="AL103" s="599"/>
      <c r="AM103" s="599"/>
      <c r="AN103" s="566"/>
      <c r="AO103" s="567" t="str">
        <f t="shared" si="34"/>
        <v/>
      </c>
      <c r="AP103" s="292" t="str">
        <f>IF(AB103=$V$3,IF(VLOOKUP(C103,[1]List1!$A:$E,5,FALSE)=0,1,VLOOKUP(C103,[1]List1!$A:$E,5,FALSE)),"")</f>
        <v/>
      </c>
      <c r="AQ103" s="292" t="str">
        <f t="shared" si="35"/>
        <v/>
      </c>
      <c r="AR103" s="618" t="str">
        <f t="shared" si="36"/>
        <v/>
      </c>
      <c r="AS103" s="292" t="str">
        <f t="shared" si="37"/>
        <v/>
      </c>
      <c r="AT103" s="377" t="e">
        <f t="shared" si="38"/>
        <v>#N/A</v>
      </c>
      <c r="AU103" s="292" t="e">
        <f t="shared" si="39"/>
        <v>#N/A</v>
      </c>
    </row>
    <row r="104" spans="1:47" ht="15" customHeight="1">
      <c r="A104" s="601" t="str">
        <f>Kat.!B104</f>
        <v/>
      </c>
      <c r="B104" s="601">
        <f t="shared" si="25"/>
        <v>1</v>
      </c>
      <c r="C104" s="758" t="s">
        <v>3596</v>
      </c>
      <c r="D104" s="759"/>
      <c r="E104" s="760"/>
      <c r="F104" s="761"/>
      <c r="G104" s="762"/>
      <c r="H104" s="596"/>
      <c r="I104" s="763"/>
      <c r="J104" s="764"/>
      <c r="K104" s="774"/>
      <c r="L104" s="766"/>
      <c r="M104" s="764"/>
      <c r="N104" s="767"/>
      <c r="O104" s="763"/>
      <c r="P104" s="763"/>
      <c r="Q104" s="764"/>
      <c r="R104" s="764"/>
      <c r="S104" s="764"/>
      <c r="T104" s="761"/>
      <c r="U104" s="768"/>
      <c r="V104" s="768"/>
      <c r="W104" s="769" t="str">
        <f>IFERROR(VLOOKUP('General price list'!$C104,Popisy!A:P,MATCH($W$17,Popisy!$A$7:$P$7,0),FALSE),"---------------")</f>
        <v>Handrauchfackel-grüne Farbe</v>
      </c>
      <c r="X104" s="769" t="str">
        <f t="shared" si="40"/>
        <v/>
      </c>
      <c r="Y104" s="770">
        <f>IF(OR(AP104&lt;AA104,AND(NOT(OR(LEFT(AB104,3)="SKL",LEFT(AB104,3)=LEFT($V$2,3))),AA104&gt;0),AND('Deutsche Markt'!$AH$1=FALSE,J104="F4",AA104&gt;0)),"",AA104)</f>
        <v>0</v>
      </c>
      <c r="Z104" s="769"/>
      <c r="AA104" s="771">
        <f>'Deutsche Markt'!AA104</f>
        <v>0</v>
      </c>
      <c r="AB104" s="772" t="str">
        <f>IFERROR(IF(VLOOKUP(C104,[1]List1!$A:$D,2,FALSE)="VYPRODÁNO",$V$9,IF(VLOOKUP(C104,[1]List1!$A:$D,2,FALSE)="DOCHÁZÍ",$V$3,VLOOKUP(C104,[1]List1!$A:$D,2,FALSE))),"OFFLINE!")</f>
        <v>SKLADEM</v>
      </c>
      <c r="AC104" s="772" t="str">
        <f ca="1">IF(AO104="NE",$V$10,IF(AB104=$V$3,IF(AP104&lt;1,$V$8,$V$2&amp;" "&amp;AP104&amp;" "&amp;$V$1),IF(AB104="SKLADEM",$V$6,IFERROR(IF(OR(AB104-TODAY()&gt;21,VLOOKUP(C104,[1]List1!$A:$E,4,FALSE)=0),AB104,DAY(AB104)&amp;"."&amp;MONTH(AB104)&amp;"."&amp;YEAR(AB104)&amp;" "&amp;$V$4&amp;VLOOKUP(C104,[1]List1!$A:$E,4,FALSE)&amp;" "&amp;$V$1),AB104))))</f>
        <v>AUF LAGER</v>
      </c>
      <c r="AD104" s="772" t="str">
        <f t="shared" ca="1" si="41"/>
        <v>AUF LAGER</v>
      </c>
      <c r="AE104" s="605"/>
      <c r="AF104" s="605"/>
      <c r="AG104" s="615"/>
      <c r="AH104" s="616"/>
      <c r="AI104" s="615"/>
      <c r="AJ104" s="617"/>
      <c r="AK104" s="617"/>
      <c r="AL104" s="617"/>
      <c r="AM104" s="617"/>
      <c r="AN104" s="292"/>
      <c r="AO104" s="567" t="str">
        <f t="shared" si="34"/>
        <v/>
      </c>
      <c r="AP104" s="568" t="str">
        <f>IF(AB104=$V$3,IF(VLOOKUP(C104,[1]List1!$A:$E,5,FALSE)=0,1,VLOOKUP(C104,[1]List1!$A:$E,5,FALSE)),"")</f>
        <v/>
      </c>
      <c r="AQ104" s="292" t="str">
        <f t="shared" si="35"/>
        <v/>
      </c>
      <c r="AR104" s="618" t="str">
        <f t="shared" si="36"/>
        <v/>
      </c>
      <c r="AS104" s="292" t="str">
        <f t="shared" si="37"/>
        <v/>
      </c>
      <c r="AT104" s="377" t="e">
        <f t="shared" si="38"/>
        <v>#N/A</v>
      </c>
      <c r="AU104" s="292" t="e">
        <f t="shared" si="39"/>
        <v>#N/A</v>
      </c>
    </row>
    <row r="105" spans="1:47" ht="15" customHeight="1">
      <c r="A105" s="601" t="str">
        <f>Kat.!B105</f>
        <v/>
      </c>
      <c r="B105" s="601">
        <f t="shared" si="25"/>
        <v>1</v>
      </c>
      <c r="C105" s="758" t="s">
        <v>3607</v>
      </c>
      <c r="D105" s="759"/>
      <c r="E105" s="760"/>
      <c r="F105" s="761"/>
      <c r="G105" s="762"/>
      <c r="H105" s="596"/>
      <c r="I105" s="763"/>
      <c r="J105" s="764"/>
      <c r="K105" s="781"/>
      <c r="L105" s="766"/>
      <c r="M105" s="764"/>
      <c r="N105" s="767"/>
      <c r="O105" s="763"/>
      <c r="P105" s="763"/>
      <c r="Q105" s="764"/>
      <c r="R105" s="764"/>
      <c r="S105" s="764"/>
      <c r="T105" s="761"/>
      <c r="U105" s="768"/>
      <c r="V105" s="768"/>
      <c r="W105" s="769" t="str">
        <f>IFERROR(VLOOKUP('General price list'!$C105,Popisy!A:P,MATCH($W$17,Popisy!$A$7:$P$7,0),FALSE),"---------------")</f>
        <v>Handrauchfackel-orange Farbe</v>
      </c>
      <c r="X105" s="769" t="str">
        <f t="shared" si="40"/>
        <v/>
      </c>
      <c r="Y105" s="770">
        <f>IF(OR(AP105&lt;AA105,AND(NOT(OR(LEFT(AB105,3)="SKL",LEFT(AB105,3)=LEFT($V$2,3))),AA105&gt;0),AND('Deutsche Markt'!$AH$1=FALSE,J105="F4",AA105&gt;0)),"",AA105)</f>
        <v>0</v>
      </c>
      <c r="Z105" s="769"/>
      <c r="AA105" s="771">
        <f>'Deutsche Markt'!AA105</f>
        <v>0</v>
      </c>
      <c r="AB105" s="772" t="str">
        <f>IFERROR(IF(VLOOKUP(C105,[1]List1!$A:$D,2,FALSE)="VYPRODÁNO",$V$9,IF(VLOOKUP(C105,[1]List1!$A:$D,2,FALSE)="DOCHÁZÍ",$V$3,VLOOKUP(C105,[1]List1!$A:$D,2,FALSE))),"OFFLINE!")</f>
        <v>SKLADEM</v>
      </c>
      <c r="AC105" s="772" t="str">
        <f ca="1">IF(AO105="NE",$V$10,IF(AB105=$V$3,IF(AP105&lt;1,$V$8,$V$2&amp;" "&amp;AP105&amp;" "&amp;$V$1),IF(AB105="SKLADEM",$V$6,IFERROR(IF(OR(AB105-TODAY()&gt;21,VLOOKUP(C105,[1]List1!$A:$E,4,FALSE)=0),AB105,DAY(AB105)&amp;"."&amp;MONTH(AB105)&amp;"."&amp;YEAR(AB105)&amp;" "&amp;$V$4&amp;VLOOKUP(C105,[1]List1!$A:$E,4,FALSE)&amp;" "&amp;$V$1),AB105))))</f>
        <v>AUF LAGER</v>
      </c>
      <c r="AD105" s="772" t="str">
        <f t="shared" ca="1" si="41"/>
        <v>AUF LAGER</v>
      </c>
      <c r="AE105" s="605"/>
      <c r="AF105" s="605"/>
      <c r="AG105" s="615"/>
      <c r="AH105" s="616"/>
      <c r="AI105" s="615"/>
      <c r="AJ105" s="617"/>
      <c r="AK105" s="617"/>
      <c r="AL105" s="617"/>
      <c r="AM105" s="617"/>
      <c r="AO105" s="567" t="str">
        <f t="shared" si="34"/>
        <v/>
      </c>
      <c r="AP105" s="568" t="str">
        <f>IF(AB105=$V$3,IF(VLOOKUP(C105,[1]List1!$A:$E,5,FALSE)=0,1,VLOOKUP(C105,[1]List1!$A:$E,5,FALSE)),"")</f>
        <v/>
      </c>
      <c r="AQ105" s="292" t="str">
        <f t="shared" si="35"/>
        <v/>
      </c>
      <c r="AR105" s="618" t="str">
        <f t="shared" si="36"/>
        <v/>
      </c>
      <c r="AS105" s="292" t="str">
        <f t="shared" si="37"/>
        <v/>
      </c>
      <c r="AT105" s="377" t="e">
        <f t="shared" si="38"/>
        <v>#N/A</v>
      </c>
      <c r="AU105" s="292" t="e">
        <f t="shared" si="39"/>
        <v>#N/A</v>
      </c>
    </row>
    <row r="106" spans="1:47" ht="15" customHeight="1">
      <c r="A106" s="601" t="str">
        <f>Kat.!B106</f>
        <v/>
      </c>
      <c r="B106" s="601">
        <f t="shared" si="25"/>
        <v>1</v>
      </c>
      <c r="C106" s="758" t="s">
        <v>3618</v>
      </c>
      <c r="D106" s="759"/>
      <c r="E106" s="760"/>
      <c r="F106" s="761"/>
      <c r="G106" s="762"/>
      <c r="H106" s="596"/>
      <c r="I106" s="763"/>
      <c r="J106" s="764"/>
      <c r="K106" s="774"/>
      <c r="L106" s="766"/>
      <c r="M106" s="764"/>
      <c r="N106" s="767"/>
      <c r="O106" s="763"/>
      <c r="P106" s="763"/>
      <c r="Q106" s="764"/>
      <c r="R106" s="764"/>
      <c r="S106" s="764"/>
      <c r="T106" s="761"/>
      <c r="U106" s="768"/>
      <c r="V106" s="768"/>
      <c r="W106" s="769" t="str">
        <f>IFERROR(VLOOKUP('General price list'!$C106,Popisy!A:P,MATCH($W$17,Popisy!$A$7:$P$7,0),FALSE),"---------------")</f>
        <v>Handrauchfackel-schwarze Farbe</v>
      </c>
      <c r="X106" s="769" t="str">
        <f t="shared" si="40"/>
        <v/>
      </c>
      <c r="Y106" s="770">
        <f>IF(OR(AP106&lt;AA106,AND(NOT(OR(LEFT(AB106,3)="SKL",LEFT(AB106,3)=LEFT($V$2,3))),AA106&gt;0),AND('Deutsche Markt'!$AH$1=FALSE,J106="F4",AA106&gt;0)),"",AA106)</f>
        <v>0</v>
      </c>
      <c r="Z106" s="769"/>
      <c r="AA106" s="771">
        <f>'Deutsche Markt'!AA106</f>
        <v>0</v>
      </c>
      <c r="AB106" s="772" t="str">
        <f>IFERROR(IF(VLOOKUP(C106,[1]List1!$A:$D,2,FALSE)="VYPRODÁNO",$V$9,IF(VLOOKUP(C106,[1]List1!$A:$D,2,FALSE)="DOCHÁZÍ",$V$3,VLOOKUP(C106,[1]List1!$A:$D,2,FALSE))),"OFFLINE!")</f>
        <v>LETZTE STÜCKE</v>
      </c>
      <c r="AC106" s="772" t="str">
        <f ca="1">IF(AO106="NE",$V$10,IF(AB106=$V$3,IF(AP106&lt;1,$V$8,$V$2&amp;" "&amp;AP106&amp;" "&amp;$V$1),IF(AB106="SKLADEM",$V$6,IFERROR(IF(OR(AB106-TODAY()&gt;21,VLOOKUP(C106,[1]List1!$A:$E,4,FALSE)=0),AB106,DAY(AB106)&amp;"."&amp;MONTH(AB106)&amp;"."&amp;YEAR(AB106)&amp;" "&amp;$V$4&amp;VLOOKUP(C106,[1]List1!$A:$E,4,FALSE)&amp;" "&amp;$V$1),AB106))))</f>
        <v>LETZTE 19 KTN</v>
      </c>
      <c r="AD106" s="772" t="str">
        <f t="shared" ca="1" si="41"/>
        <v>LETZTE 19 KTN</v>
      </c>
      <c r="AE106" s="605"/>
      <c r="AF106" s="605"/>
      <c r="AG106" s="615"/>
      <c r="AH106" s="616"/>
      <c r="AI106" s="615"/>
      <c r="AJ106" s="617"/>
      <c r="AK106" s="617"/>
      <c r="AL106" s="617"/>
      <c r="AM106" s="617"/>
      <c r="AO106" s="567" t="str">
        <f t="shared" si="34"/>
        <v/>
      </c>
      <c r="AP106" s="568">
        <f>IF(AB106=$V$3,IF(VLOOKUP(C106,[1]List1!$A:$E,5,FALSE)=0,1,VLOOKUP(C106,[1]List1!$A:$E,5,FALSE)),"")</f>
        <v>19</v>
      </c>
      <c r="AQ106" s="292" t="str">
        <f t="shared" si="35"/>
        <v/>
      </c>
      <c r="AR106" s="618" t="str">
        <f t="shared" si="36"/>
        <v/>
      </c>
      <c r="AS106" s="292" t="str">
        <f t="shared" si="37"/>
        <v/>
      </c>
      <c r="AT106" s="377" t="e">
        <f t="shared" si="38"/>
        <v>#N/A</v>
      </c>
      <c r="AU106" s="292" t="e">
        <f t="shared" si="39"/>
        <v>#N/A</v>
      </c>
    </row>
    <row r="107" spans="1:47" ht="15" customHeight="1">
      <c r="A107" s="601" t="str">
        <f>Kat.!B107</f>
        <v>Fackeln</v>
      </c>
      <c r="B107" s="601">
        <f t="shared" si="25"/>
        <v>0</v>
      </c>
      <c r="C107" s="758"/>
      <c r="D107" s="759"/>
      <c r="E107" s="760"/>
      <c r="F107" s="761"/>
      <c r="G107" s="762"/>
      <c r="H107" s="596"/>
      <c r="I107" s="763"/>
      <c r="J107" s="764"/>
      <c r="K107" s="781"/>
      <c r="L107" s="766"/>
      <c r="M107" s="764"/>
      <c r="N107" s="767"/>
      <c r="O107" s="763"/>
      <c r="P107" s="763"/>
      <c r="Q107" s="764"/>
      <c r="R107" s="764"/>
      <c r="S107" s="764"/>
      <c r="T107" s="761"/>
      <c r="U107" s="768"/>
      <c r="V107" s="768"/>
      <c r="W107" s="769" t="str">
        <f>IFERROR(VLOOKUP('General price list'!$C107,Popisy!A:P,MATCH($W$17,Popisy!$A$7:$P$7,0),FALSE),"---------------")</f>
        <v>---------------</v>
      </c>
      <c r="X107" s="769" t="str">
        <f t="shared" si="40"/>
        <v/>
      </c>
      <c r="Y107" s="770">
        <f>IF(OR(AP107&lt;AA107,AND(NOT(OR(LEFT(AB107,3)="SKL",LEFT(AB107,3)=LEFT($V$2,3))),AA107&gt;0),AND('Deutsche Markt'!$AH$1=FALSE,J107="F4",AA107&gt;0)),"",AA107)</f>
        <v>0</v>
      </c>
      <c r="Z107" s="769"/>
      <c r="AA107" s="771">
        <f>'Deutsche Markt'!AA107</f>
        <v>0</v>
      </c>
      <c r="AB107" s="772" t="str">
        <f>IFERROR(IF(VLOOKUP(C107,[1]List1!$A:$D,2,FALSE)="VYPRODÁNO",$V$9,IF(VLOOKUP(C107,[1]List1!$A:$D,2,FALSE)="DOCHÁZÍ",$V$3,VLOOKUP(C107,[1]List1!$A:$D,2,FALSE))),"OFFLINE!")</f>
        <v>OFFLINE!</v>
      </c>
      <c r="AC107" s="772" t="str">
        <f ca="1">IF(AO107="NE",$V$10,IF(AB107=$V$3,IF(AP107&lt;1,$V$8,$V$2&amp;" "&amp;AP107&amp;" "&amp;$V$1),IF(AB107="SKLADEM",$V$6,IFERROR(IF(OR(AB107-TODAY()&gt;21,VLOOKUP(C107,[1]List1!$A:$E,4,FALSE)=0),AB107,DAY(AB107)&amp;"."&amp;MONTH(AB107)&amp;"."&amp;YEAR(AB107)&amp;" "&amp;$V$4&amp;VLOOKUP(C107,[1]List1!$A:$E,4,FALSE)&amp;" "&amp;$V$1),AB107))))</f>
        <v>OFFLINE!</v>
      </c>
      <c r="AD107" s="772" t="str">
        <f t="shared" ca="1" si="41"/>
        <v>OFFLINE!</v>
      </c>
      <c r="AE107" s="605"/>
      <c r="AF107" s="605"/>
      <c r="AG107" s="615"/>
      <c r="AH107" s="616"/>
      <c r="AI107" s="615"/>
      <c r="AJ107" s="617"/>
      <c r="AK107" s="617"/>
      <c r="AL107" s="617"/>
      <c r="AM107" s="617"/>
      <c r="AN107" s="292"/>
      <c r="AO107" s="567" t="str">
        <f t="shared" si="34"/>
        <v/>
      </c>
      <c r="AP107" s="568" t="str">
        <f>IF(AB107=$V$3,IF(VLOOKUP(C107,[1]List1!$A:$E,5,FALSE)=0,1,VLOOKUP(C107,[1]List1!$A:$E,5,FALSE)),"")</f>
        <v/>
      </c>
      <c r="AQ107" s="292" t="str">
        <f t="shared" si="35"/>
        <v/>
      </c>
      <c r="AR107" s="618" t="str">
        <f t="shared" si="36"/>
        <v/>
      </c>
      <c r="AS107" s="292" t="str">
        <f t="shared" si="37"/>
        <v/>
      </c>
      <c r="AT107" s="377" t="e">
        <f t="shared" si="38"/>
        <v>#N/A</v>
      </c>
      <c r="AU107" s="292" t="e">
        <f t="shared" si="39"/>
        <v>#N/A</v>
      </c>
    </row>
    <row r="108" spans="1:47" ht="15" customHeight="1">
      <c r="A108" s="601" t="str">
        <f>Kat.!B108</f>
        <v/>
      </c>
      <c r="B108" s="601">
        <f t="shared" si="25"/>
        <v>1</v>
      </c>
      <c r="C108" s="758" t="s">
        <v>869</v>
      </c>
      <c r="D108" s="759"/>
      <c r="E108" s="760"/>
      <c r="F108" s="761"/>
      <c r="G108" s="762"/>
      <c r="H108" s="596"/>
      <c r="I108" s="763"/>
      <c r="J108" s="764"/>
      <c r="K108" s="774"/>
      <c r="L108" s="766"/>
      <c r="M108" s="764"/>
      <c r="N108" s="767"/>
      <c r="O108" s="763"/>
      <c r="P108" s="763"/>
      <c r="Q108" s="764"/>
      <c r="R108" s="764"/>
      <c r="S108" s="764"/>
      <c r="T108" s="761"/>
      <c r="U108" s="768"/>
      <c r="V108" s="768"/>
      <c r="W108" s="769" t="str">
        <f>IFERROR(VLOOKUP('General price list'!$C108,Popisy!A:P,MATCH($W$17,Popisy!$A$7:$P$7,0),FALSE),"---------------")</f>
        <v>Fackel rotes Licht + weißer Rauch</v>
      </c>
      <c r="X108" s="769" t="str">
        <f t="shared" si="40"/>
        <v/>
      </c>
      <c r="Y108" s="770">
        <f>IF(OR(AP108&lt;AA108,AND(NOT(OR(LEFT(AB108,3)="SKL",LEFT(AB108,3)=LEFT($V$2,3))),AA108&gt;0),AND('Deutsche Markt'!$AH$1=FALSE,J108="F4",AA108&gt;0)),"",AA108)</f>
        <v>0</v>
      </c>
      <c r="Z108" s="769"/>
      <c r="AA108" s="771">
        <f>'Deutsche Markt'!AA108</f>
        <v>0</v>
      </c>
      <c r="AB108" s="772" t="str">
        <f>IFERROR(IF(VLOOKUP(C108,[1]List1!$A:$D,2,FALSE)="VYPRODÁNO",$V$9,IF(VLOOKUP(C108,[1]List1!$A:$D,2,FALSE)="DOCHÁZÍ",$V$3,VLOOKUP(C108,[1]List1!$A:$D,2,FALSE))),"OFFLINE!")</f>
        <v>SKLADEM</v>
      </c>
      <c r="AC108" s="772" t="str">
        <f ca="1">IF(AO108="NE",$V$10,IF(AB108=$V$3,IF(AP108&lt;1,$V$8,$V$2&amp;" "&amp;AP108&amp;" "&amp;$V$1),IF(AB108="SKLADEM",$V$6,IFERROR(IF(OR(AB108-TODAY()&gt;21,VLOOKUP(C108,[1]List1!$A:$E,4,FALSE)=0),AB108,DAY(AB108)&amp;"."&amp;MONTH(AB108)&amp;"."&amp;YEAR(AB108)&amp;" "&amp;$V$4&amp;VLOOKUP(C108,[1]List1!$A:$E,4,FALSE)&amp;" "&amp;$V$1),AB108))))</f>
        <v>AUF LAGER</v>
      </c>
      <c r="AD108" s="772" t="str">
        <f t="shared" ca="1" si="41"/>
        <v>AUF LAGER</v>
      </c>
      <c r="AE108" s="605"/>
      <c r="AF108" s="605"/>
      <c r="AG108" s="615"/>
      <c r="AH108" s="616"/>
      <c r="AI108" s="615"/>
      <c r="AJ108" s="617"/>
      <c r="AK108" s="617"/>
      <c r="AL108" s="617"/>
      <c r="AM108" s="617"/>
      <c r="AO108" s="567" t="str">
        <f t="shared" si="34"/>
        <v/>
      </c>
      <c r="AP108" s="568" t="str">
        <f>IF(AB108=$V$3,IF(VLOOKUP(C108,[1]List1!$A:$E,5,FALSE)=0,1,VLOOKUP(C108,[1]List1!$A:$E,5,FALSE)),"")</f>
        <v/>
      </c>
      <c r="AQ108" s="292" t="str">
        <f t="shared" si="35"/>
        <v/>
      </c>
      <c r="AR108" s="618" t="str">
        <f t="shared" si="36"/>
        <v/>
      </c>
      <c r="AS108" s="292" t="str">
        <f t="shared" si="37"/>
        <v/>
      </c>
      <c r="AT108" s="377" t="e">
        <f t="shared" si="38"/>
        <v>#N/A</v>
      </c>
      <c r="AU108" s="292" t="e">
        <f t="shared" si="39"/>
        <v>#N/A</v>
      </c>
    </row>
    <row r="109" spans="1:47" ht="15" customHeight="1">
      <c r="A109" s="601" t="str">
        <f>Kat.!B109</f>
        <v/>
      </c>
      <c r="B109" s="601">
        <f t="shared" si="25"/>
        <v>1</v>
      </c>
      <c r="C109" s="758" t="s">
        <v>871</v>
      </c>
      <c r="D109" s="759"/>
      <c r="E109" s="760"/>
      <c r="F109" s="761"/>
      <c r="G109" s="762"/>
      <c r="H109" s="596"/>
      <c r="I109" s="763"/>
      <c r="J109" s="764"/>
      <c r="K109" s="781"/>
      <c r="L109" s="766"/>
      <c r="M109" s="764"/>
      <c r="N109" s="767"/>
      <c r="O109" s="763"/>
      <c r="P109" s="763"/>
      <c r="Q109" s="764"/>
      <c r="R109" s="764"/>
      <c r="S109" s="764"/>
      <c r="T109" s="761"/>
      <c r="U109" s="768"/>
      <c r="V109" s="768"/>
      <c r="W109" s="769" t="str">
        <f>IFERROR(VLOOKUP('General price list'!$C109,Popisy!A:P,MATCH($W$17,Popisy!$A$7:$P$7,0),FALSE),"---------------")</f>
        <v>Fackel grünes Licht + weißer Rauch</v>
      </c>
      <c r="X109" s="769" t="str">
        <f t="shared" si="40"/>
        <v/>
      </c>
      <c r="Y109" s="770">
        <f>IF(OR(AP109&lt;AA109,AND(NOT(OR(LEFT(AB109,3)="SKL",LEFT(AB109,3)=LEFT($V$2,3))),AA109&gt;0),AND('Deutsche Markt'!$AH$1=FALSE,J109="F4",AA109&gt;0)),"",AA109)</f>
        <v>0</v>
      </c>
      <c r="Z109" s="769"/>
      <c r="AA109" s="771">
        <f>'Deutsche Markt'!AA109</f>
        <v>0</v>
      </c>
      <c r="AB109" s="772" t="str">
        <f>IFERROR(IF(VLOOKUP(C109,[1]List1!$A:$D,2,FALSE)="VYPRODÁNO",$V$9,IF(VLOOKUP(C109,[1]List1!$A:$D,2,FALSE)="DOCHÁZÍ",$V$3,VLOOKUP(C109,[1]List1!$A:$D,2,FALSE))),"OFFLINE!")</f>
        <v>SKLADEM</v>
      </c>
      <c r="AC109" s="772" t="str">
        <f ca="1">IF(AO109="NE",$V$10,IF(AB109=$V$3,IF(AP109&lt;1,$V$8,$V$2&amp;" "&amp;AP109&amp;" "&amp;$V$1),IF(AB109="SKLADEM",$V$6,IFERROR(IF(OR(AB109-TODAY()&gt;21,VLOOKUP(C109,[1]List1!$A:$E,4,FALSE)=0),AB109,DAY(AB109)&amp;"."&amp;MONTH(AB109)&amp;"."&amp;YEAR(AB109)&amp;" "&amp;$V$4&amp;VLOOKUP(C109,[1]List1!$A:$E,4,FALSE)&amp;" "&amp;$V$1),AB109))))</f>
        <v>AUF LAGER</v>
      </c>
      <c r="AD109" s="772" t="str">
        <f t="shared" ca="1" si="41"/>
        <v>AUF LAGER</v>
      </c>
      <c r="AE109" s="605"/>
      <c r="AF109" s="605"/>
      <c r="AG109" s="615"/>
      <c r="AH109" s="616"/>
      <c r="AI109" s="615"/>
      <c r="AJ109" s="617"/>
      <c r="AK109" s="617"/>
      <c r="AL109" s="617"/>
      <c r="AM109" s="617"/>
      <c r="AN109" s="292"/>
      <c r="AO109" s="567" t="str">
        <f t="shared" si="34"/>
        <v/>
      </c>
      <c r="AP109" s="568" t="str">
        <f>IF(AB109=$V$3,IF(VLOOKUP(C109,[1]List1!$A:$E,5,FALSE)=0,1,VLOOKUP(C109,[1]List1!$A:$E,5,FALSE)),"")</f>
        <v/>
      </c>
      <c r="AQ109" s="292" t="str">
        <f t="shared" si="35"/>
        <v/>
      </c>
      <c r="AR109" s="618" t="str">
        <f t="shared" si="36"/>
        <v/>
      </c>
      <c r="AS109" s="292" t="str">
        <f t="shared" si="37"/>
        <v/>
      </c>
      <c r="AT109" s="377" t="e">
        <f t="shared" si="38"/>
        <v>#N/A</v>
      </c>
      <c r="AU109" s="292" t="e">
        <f t="shared" si="39"/>
        <v>#N/A</v>
      </c>
    </row>
    <row r="110" spans="1:47" ht="15" customHeight="1">
      <c r="A110" s="601" t="str">
        <f>Kat.!B110</f>
        <v>x</v>
      </c>
      <c r="B110" s="601">
        <f t="shared" si="25"/>
        <v>1</v>
      </c>
      <c r="C110" s="758" t="s">
        <v>3640</v>
      </c>
      <c r="D110" s="759"/>
      <c r="E110" s="760"/>
      <c r="F110" s="761"/>
      <c r="G110" s="762"/>
      <c r="H110" s="596"/>
      <c r="I110" s="763"/>
      <c r="J110" s="764"/>
      <c r="K110" s="774"/>
      <c r="L110" s="766"/>
      <c r="M110" s="764"/>
      <c r="N110" s="767"/>
      <c r="O110" s="763"/>
      <c r="P110" s="763"/>
      <c r="Q110" s="764"/>
      <c r="R110" s="764"/>
      <c r="S110" s="764"/>
      <c r="T110" s="761"/>
      <c r="U110" s="768"/>
      <c r="V110" s="768"/>
      <c r="W110" s="769" t="str">
        <f>IFERROR(VLOOKUP('General price list'!$C110,Popisy!A:P,MATCH($W$17,Popisy!$A$7:$P$7,0),FALSE),"---------------")</f>
        <v>Fackel weißes Licht + weißer Rauch</v>
      </c>
      <c r="X110" s="769" t="str">
        <f t="shared" si="40"/>
        <v/>
      </c>
      <c r="Y110" s="770">
        <f>IF(OR(AP110&lt;AA110,AND(NOT(OR(LEFT(AB110,3)="SKL",LEFT(AB110,3)=LEFT($V$2,3))),AA110&gt;0),AND('Deutsche Markt'!$AH$1=FALSE,J110="F4",AA110&gt;0)),"",AA110)</f>
        <v>0</v>
      </c>
      <c r="Z110" s="769"/>
      <c r="AA110" s="771">
        <f>'Deutsche Markt'!AA110</f>
        <v>0</v>
      </c>
      <c r="AB110" s="772" t="str">
        <f>IFERROR(IF(VLOOKUP(C110,[1]List1!$A:$D,2,FALSE)="VYPRODÁNO",$V$9,IF(VLOOKUP(C110,[1]List1!$A:$D,2,FALSE)="DOCHÁZÍ",$V$3,VLOOKUP(C110,[1]List1!$A:$D,2,FALSE))),"OFFLINE!")</f>
        <v>SKLADEM</v>
      </c>
      <c r="AC110" s="772" t="str">
        <f ca="1">IF(AO110="NE",$V$10,IF(AB110=$V$3,IF(AP110&lt;1,$V$8,$V$2&amp;" "&amp;AP110&amp;" "&amp;$V$1),IF(AB110="SKLADEM",$V$6,IFERROR(IF(OR(AB110-TODAY()&gt;21,VLOOKUP(C110,[1]List1!$A:$E,4,FALSE)=0),AB110,DAY(AB110)&amp;"."&amp;MONTH(AB110)&amp;"."&amp;YEAR(AB110)&amp;" "&amp;$V$4&amp;VLOOKUP(C110,[1]List1!$A:$E,4,FALSE)&amp;" "&amp;$V$1),AB110))))</f>
        <v>AUF LAGER</v>
      </c>
      <c r="AD110" s="772" t="str">
        <f t="shared" ca="1" si="41"/>
        <v>AUF LAGER</v>
      </c>
      <c r="AE110" s="605"/>
      <c r="AF110" s="605"/>
      <c r="AG110" s="615"/>
      <c r="AH110" s="616"/>
      <c r="AI110" s="615"/>
      <c r="AJ110" s="617"/>
      <c r="AK110" s="617"/>
      <c r="AL110" s="617"/>
      <c r="AM110" s="617"/>
      <c r="AO110" s="567" t="str">
        <f t="shared" si="34"/>
        <v/>
      </c>
      <c r="AP110" s="568" t="str">
        <f>IF(AB110=$V$3,IF(VLOOKUP(C110,[1]List1!$A:$E,5,FALSE)=0,1,VLOOKUP(C110,[1]List1!$A:$E,5,FALSE)),"")</f>
        <v/>
      </c>
      <c r="AQ110" s="292" t="str">
        <f t="shared" si="35"/>
        <v/>
      </c>
      <c r="AR110" s="618" t="str">
        <f t="shared" si="36"/>
        <v/>
      </c>
      <c r="AS110" s="292" t="str">
        <f t="shared" si="37"/>
        <v/>
      </c>
      <c r="AT110" s="377" t="e">
        <f t="shared" si="38"/>
        <v>#N/A</v>
      </c>
      <c r="AU110" s="292" t="e">
        <f t="shared" si="39"/>
        <v>#N/A</v>
      </c>
    </row>
    <row r="111" spans="1:47" ht="15" customHeight="1">
      <c r="A111" s="601" t="str">
        <f>Kat.!B111</f>
        <v>x</v>
      </c>
      <c r="B111" s="601">
        <f t="shared" si="25"/>
        <v>1</v>
      </c>
      <c r="C111" s="758" t="s">
        <v>872</v>
      </c>
      <c r="D111" s="759"/>
      <c r="E111" s="760"/>
      <c r="F111" s="761"/>
      <c r="G111" s="762"/>
      <c r="H111" s="596"/>
      <c r="I111" s="763"/>
      <c r="J111" s="764"/>
      <c r="K111" s="781"/>
      <c r="L111" s="766"/>
      <c r="M111" s="764"/>
      <c r="N111" s="767"/>
      <c r="O111" s="763"/>
      <c r="P111" s="763"/>
      <c r="Q111" s="764"/>
      <c r="R111" s="764"/>
      <c r="S111" s="764"/>
      <c r="T111" s="761"/>
      <c r="U111" s="768"/>
      <c r="V111" s="768"/>
      <c r="W111" s="769" t="str">
        <f>IFERROR(VLOOKUP('General price list'!$C111,Popisy!A:P,MATCH($W$17,Popisy!$A$7:$P$7,0),FALSE),"---------------")</f>
        <v>Fackel gelbes Licht + weißer Rauch</v>
      </c>
      <c r="X111" s="769" t="str">
        <f t="shared" si="40"/>
        <v/>
      </c>
      <c r="Y111" s="770">
        <f>IF(OR(AP111&lt;AA111,AND(NOT(OR(LEFT(AB111,3)="SKL",LEFT(AB111,3)=LEFT($V$2,3))),AA111&gt;0),AND('Deutsche Markt'!$AH$1=FALSE,J111="F4",AA111&gt;0)),"",AA111)</f>
        <v>0</v>
      </c>
      <c r="Z111" s="769"/>
      <c r="AA111" s="771">
        <f>'Deutsche Markt'!AA111</f>
        <v>0</v>
      </c>
      <c r="AB111" s="772" t="str">
        <f>IFERROR(IF(VLOOKUP(C111,[1]List1!$A:$D,2,FALSE)="VYPRODÁNO",$V$9,IF(VLOOKUP(C111,[1]List1!$A:$D,2,FALSE)="DOCHÁZÍ",$V$3,VLOOKUP(C111,[1]List1!$A:$D,2,FALSE))),"OFFLINE!")</f>
        <v>LETZTE STÜCKE</v>
      </c>
      <c r="AC111" s="772" t="str">
        <f ca="1">IF(AO111="NE",$V$10,IF(AB111=$V$3,IF(AP111&lt;1,$V$8,$V$2&amp;" "&amp;AP111&amp;" "&amp;$V$1),IF(AB111="SKLADEM",$V$6,IFERROR(IF(OR(AB111-TODAY()&gt;21,VLOOKUP(C111,[1]List1!$A:$E,4,FALSE)=0),AB111,DAY(AB111)&amp;"."&amp;MONTH(AB111)&amp;"."&amp;YEAR(AB111)&amp;" "&amp;$V$4&amp;VLOOKUP(C111,[1]List1!$A:$E,4,FALSE)&amp;" "&amp;$V$1),AB111))))</f>
        <v>LETZTE 11 KTN</v>
      </c>
      <c r="AD111" s="772" t="str">
        <f t="shared" ca="1" si="41"/>
        <v>LETZTE 11 KTN</v>
      </c>
      <c r="AE111" s="605"/>
      <c r="AF111" s="605"/>
      <c r="AG111" s="615"/>
      <c r="AH111" s="616"/>
      <c r="AI111" s="615"/>
      <c r="AJ111" s="617"/>
      <c r="AK111" s="617"/>
      <c r="AL111" s="617"/>
      <c r="AM111" s="617"/>
      <c r="AN111" s="292"/>
      <c r="AO111" s="567" t="str">
        <f t="shared" si="34"/>
        <v/>
      </c>
      <c r="AP111" s="568">
        <f>IF(AB111=$V$3,IF(VLOOKUP(C111,[1]List1!$A:$E,5,FALSE)=0,1,VLOOKUP(C111,[1]List1!$A:$E,5,FALSE)),"")</f>
        <v>11</v>
      </c>
      <c r="AQ111" s="292" t="str">
        <f t="shared" si="35"/>
        <v/>
      </c>
      <c r="AR111" s="618" t="str">
        <f t="shared" si="36"/>
        <v/>
      </c>
      <c r="AS111" s="292" t="str">
        <f t="shared" si="37"/>
        <v/>
      </c>
      <c r="AT111" s="377" t="e">
        <f t="shared" si="38"/>
        <v>#N/A</v>
      </c>
      <c r="AU111" s="292" t="e">
        <f t="shared" si="39"/>
        <v>#N/A</v>
      </c>
    </row>
    <row r="112" spans="1:47" ht="15" customHeight="1">
      <c r="A112" s="601" t="str">
        <f>Kat.!B112</f>
        <v/>
      </c>
      <c r="B112" s="601">
        <f t="shared" si="25"/>
        <v>1</v>
      </c>
      <c r="C112" s="758" t="s">
        <v>2329</v>
      </c>
      <c r="D112" s="759"/>
      <c r="E112" s="760"/>
      <c r="F112" s="761"/>
      <c r="G112" s="762"/>
      <c r="H112" s="596"/>
      <c r="I112" s="763"/>
      <c r="J112" s="764"/>
      <c r="K112" s="774"/>
      <c r="L112" s="766"/>
      <c r="M112" s="764"/>
      <c r="N112" s="767"/>
      <c r="O112" s="763"/>
      <c r="P112" s="763"/>
      <c r="Q112" s="764"/>
      <c r="R112" s="764"/>
      <c r="S112" s="764"/>
      <c r="T112" s="761"/>
      <c r="U112" s="768"/>
      <c r="V112" s="768"/>
      <c r="W112" s="769" t="str">
        <f>IFERROR(VLOOKUP('General price list'!$C112,Popisy!A:P,MATCH($W$17,Popisy!$A$7:$P$7,0),FALSE),"---------------")</f>
        <v>Fackel blau Licht + weißer Rauch</v>
      </c>
      <c r="X112" s="769" t="str">
        <f t="shared" si="40"/>
        <v/>
      </c>
      <c r="Y112" s="770">
        <f>IF(OR(AP112&lt;AA112,AND(NOT(OR(LEFT(AB112,3)="SKL",LEFT(AB112,3)=LEFT($V$2,3))),AA112&gt;0),AND('Deutsche Markt'!$AH$1=FALSE,J112="F4",AA112&gt;0)),"",AA112)</f>
        <v>0</v>
      </c>
      <c r="Z112" s="769"/>
      <c r="AA112" s="771">
        <f>'Deutsche Markt'!AA112</f>
        <v>0</v>
      </c>
      <c r="AB112" s="772" t="str">
        <f>IFERROR(IF(VLOOKUP(C112,[1]List1!$A:$D,2,FALSE)="VYPRODÁNO",$V$9,IF(VLOOKUP(C112,[1]List1!$A:$D,2,FALSE)="DOCHÁZÍ",$V$3,VLOOKUP(C112,[1]List1!$A:$D,2,FALSE))),"OFFLINE!")</f>
        <v>SKLADEM</v>
      </c>
      <c r="AC112" s="772" t="str">
        <f ca="1">IF(AO112="NE",$V$10,IF(AB112=$V$3,IF(AP112&lt;1,$V$8,$V$2&amp;" "&amp;AP112&amp;" "&amp;$V$1),IF(AB112="SKLADEM",$V$6,IFERROR(IF(OR(AB112-TODAY()&gt;21,VLOOKUP(C112,[1]List1!$A:$E,4,FALSE)=0),AB112,DAY(AB112)&amp;"."&amp;MONTH(AB112)&amp;"."&amp;YEAR(AB112)&amp;" "&amp;$V$4&amp;VLOOKUP(C112,[1]List1!$A:$E,4,FALSE)&amp;" "&amp;$V$1),AB112))))</f>
        <v>AUF LAGER</v>
      </c>
      <c r="AD112" s="772" t="str">
        <f t="shared" ca="1" si="41"/>
        <v>AUF LAGER</v>
      </c>
      <c r="AE112" s="605"/>
      <c r="AF112" s="605"/>
      <c r="AG112" s="615"/>
      <c r="AH112" s="616"/>
      <c r="AI112" s="615"/>
      <c r="AJ112" s="617"/>
      <c r="AK112" s="617"/>
      <c r="AL112" s="617"/>
      <c r="AM112" s="617"/>
      <c r="AO112" s="567" t="str">
        <f t="shared" si="34"/>
        <v/>
      </c>
      <c r="AP112" s="568" t="str">
        <f>IF(AB112=$V$3,IF(VLOOKUP(C112,[1]List1!$A:$E,5,FALSE)=0,1,VLOOKUP(C112,[1]List1!$A:$E,5,FALSE)),"")</f>
        <v/>
      </c>
      <c r="AQ112" s="292" t="str">
        <f t="shared" si="35"/>
        <v/>
      </c>
      <c r="AR112" s="618" t="str">
        <f t="shared" si="36"/>
        <v/>
      </c>
      <c r="AS112" s="292" t="str">
        <f t="shared" si="37"/>
        <v/>
      </c>
      <c r="AT112" s="377" t="e">
        <f t="shared" si="38"/>
        <v>#N/A</v>
      </c>
      <c r="AU112" s="292" t="e">
        <f t="shared" si="39"/>
        <v>#N/A</v>
      </c>
    </row>
    <row r="113" spans="1:47" ht="15" customHeight="1">
      <c r="A113" s="601" t="str">
        <f>Kat.!B113</f>
        <v/>
      </c>
      <c r="B113" s="601">
        <f t="shared" si="25"/>
        <v>1</v>
      </c>
      <c r="C113" s="758" t="s">
        <v>2331</v>
      </c>
      <c r="D113" s="759"/>
      <c r="E113" s="760"/>
      <c r="F113" s="761"/>
      <c r="G113" s="762"/>
      <c r="H113" s="596"/>
      <c r="I113" s="763"/>
      <c r="J113" s="764"/>
      <c r="K113" s="781"/>
      <c r="L113" s="766"/>
      <c r="M113" s="764"/>
      <c r="N113" s="767"/>
      <c r="O113" s="763"/>
      <c r="P113" s="763"/>
      <c r="Q113" s="764"/>
      <c r="R113" s="764"/>
      <c r="S113" s="764"/>
      <c r="T113" s="761"/>
      <c r="U113" s="768"/>
      <c r="V113" s="768"/>
      <c r="W113" s="769" t="str">
        <f>IFERROR(VLOOKUP('General price list'!$C113,Popisy!A:P,MATCH($W$17,Popisy!$A$7:$P$7,0),FALSE),"---------------")</f>
        <v>Farbige Fackel(rot, grün, weiß, lila,gelb)</v>
      </c>
      <c r="X113" s="769" t="str">
        <f t="shared" si="40"/>
        <v/>
      </c>
      <c r="Y113" s="770">
        <f>IF(OR(AP113&lt;AA113,AND(NOT(OR(LEFT(AB113,3)="SKL",LEFT(AB113,3)=LEFT($V$2,3))),AA113&gt;0),AND('Deutsche Markt'!$AH$1=FALSE,J113="F4",AA113&gt;0)),"",AA113)</f>
        <v>0</v>
      </c>
      <c r="Z113" s="769"/>
      <c r="AA113" s="771">
        <f>'Deutsche Markt'!AA113</f>
        <v>0</v>
      </c>
      <c r="AB113" s="772" t="str">
        <f>IFERROR(IF(VLOOKUP(C113,[1]List1!$A:$D,2,FALSE)="VYPRODÁNO",$V$9,IF(VLOOKUP(C113,[1]List1!$A:$D,2,FALSE)="DOCHÁZÍ",$V$3,VLOOKUP(C113,[1]List1!$A:$D,2,FALSE))),"OFFLINE!")</f>
        <v>SKLADEM</v>
      </c>
      <c r="AC113" s="772" t="str">
        <f ca="1">IF(AO113="NE",$V$10,IF(AB113=$V$3,IF(AP113&lt;1,$V$8,$V$2&amp;" "&amp;AP113&amp;" "&amp;$V$1),IF(AB113="SKLADEM",$V$6,IFERROR(IF(OR(AB113-TODAY()&gt;21,VLOOKUP(C113,[1]List1!$A:$E,4,FALSE)=0),AB113,DAY(AB113)&amp;"."&amp;MONTH(AB113)&amp;"."&amp;YEAR(AB113)&amp;" "&amp;$V$4&amp;VLOOKUP(C113,[1]List1!$A:$E,4,FALSE)&amp;" "&amp;$V$1),AB113))))</f>
        <v>AUF LAGER</v>
      </c>
      <c r="AD113" s="772" t="str">
        <f t="shared" ca="1" si="41"/>
        <v>AUF LAGER</v>
      </c>
      <c r="AE113" s="605"/>
      <c r="AF113" s="605"/>
      <c r="AG113" s="615"/>
      <c r="AH113" s="616"/>
      <c r="AI113" s="615"/>
      <c r="AJ113" s="617"/>
      <c r="AK113" s="617"/>
      <c r="AL113" s="617"/>
      <c r="AM113" s="617"/>
      <c r="AN113" s="292"/>
      <c r="AO113" s="567" t="str">
        <f t="shared" si="34"/>
        <v/>
      </c>
      <c r="AP113" s="568" t="str">
        <f>IF(AB113=$V$3,IF(VLOOKUP(C113,[1]List1!$A:$E,5,FALSE)=0,1,VLOOKUP(C113,[1]List1!$A:$E,5,FALSE)),"")</f>
        <v/>
      </c>
      <c r="AQ113" s="292" t="str">
        <f t="shared" si="35"/>
        <v/>
      </c>
      <c r="AR113" s="618" t="str">
        <f t="shared" si="36"/>
        <v/>
      </c>
      <c r="AS113" s="292" t="str">
        <f t="shared" si="37"/>
        <v/>
      </c>
      <c r="AT113" s="377" t="e">
        <f t="shared" si="38"/>
        <v>#N/A</v>
      </c>
      <c r="AU113" s="292" t="e">
        <f t="shared" si="39"/>
        <v>#N/A</v>
      </c>
    </row>
    <row r="114" spans="1:47" ht="15" customHeight="1">
      <c r="A114" s="601" t="str">
        <f>Kat.!B114</f>
        <v>Stroboskope</v>
      </c>
      <c r="B114" s="601">
        <f t="shared" si="25"/>
        <v>0</v>
      </c>
      <c r="C114" s="783"/>
      <c r="D114" s="783"/>
      <c r="E114" s="764"/>
      <c r="F114" s="761"/>
      <c r="G114" s="762"/>
      <c r="H114" s="596"/>
      <c r="I114" s="784"/>
      <c r="J114" s="764"/>
      <c r="K114" s="774"/>
      <c r="L114" s="784"/>
      <c r="M114" s="764"/>
      <c r="N114" s="784"/>
      <c r="O114" s="784"/>
      <c r="P114" s="763"/>
      <c r="Q114" s="764"/>
      <c r="R114" s="764"/>
      <c r="S114" s="764"/>
      <c r="T114" s="764"/>
      <c r="U114" s="768"/>
      <c r="V114" s="768"/>
      <c r="W114" s="769" t="str">
        <f>IFERROR(VLOOKUP('General price list'!$C114,Popisy!A:P,MATCH($W$17,Popisy!$A$7:$P$7,0),FALSE),"---------------")</f>
        <v>---------------</v>
      </c>
      <c r="X114" s="769" t="str">
        <f t="shared" si="40"/>
        <v/>
      </c>
      <c r="Y114" s="770">
        <f>IF(OR(AP114&lt;AA114,AND(NOT(OR(LEFT(AB114,3)="SKL",LEFT(AB114,3)=LEFT($V$2,3))),AA114&gt;0),AND('Deutsche Markt'!$AH$1=FALSE,J114="F4",AA114&gt;0)),"",AA114)</f>
        <v>0</v>
      </c>
      <c r="Z114" s="769"/>
      <c r="AA114" s="771">
        <f>'Deutsche Markt'!AA114</f>
        <v>0</v>
      </c>
      <c r="AB114" s="772" t="str">
        <f>IFERROR(IF(VLOOKUP(C114,[1]List1!$A:$D,2,FALSE)="VYPRODÁNO",$V$9,IF(VLOOKUP(C114,[1]List1!$A:$D,2,FALSE)="DOCHÁZÍ",$V$3,VLOOKUP(C114,[1]List1!$A:$D,2,FALSE))),"OFFLINE!")</f>
        <v>OFFLINE!</v>
      </c>
      <c r="AC114" s="772" t="str">
        <f ca="1">IF(AO114="NE",$V$10,IF(AB114=$V$3,IF(AP114&lt;1,$V$8,$V$2&amp;" "&amp;AP114&amp;" "&amp;$V$1),IF(AB114="SKLADEM",$V$6,IFERROR(IF(OR(AB114-TODAY()&gt;21,VLOOKUP(C114,[1]List1!$A:$E,4,FALSE)=0),AB114,DAY(AB114)&amp;"."&amp;MONTH(AB114)&amp;"."&amp;YEAR(AB114)&amp;" "&amp;$V$4&amp;VLOOKUP(C114,[1]List1!$A:$E,4,FALSE)&amp;" "&amp;$V$1),AB114))))</f>
        <v>OFFLINE!</v>
      </c>
      <c r="AD114" s="772" t="str">
        <f t="shared" ca="1" si="41"/>
        <v>OFFLINE!</v>
      </c>
      <c r="AE114" s="605"/>
      <c r="AF114" s="605"/>
      <c r="AG114" s="615"/>
      <c r="AH114" s="616"/>
      <c r="AI114" s="615"/>
      <c r="AJ114" s="617"/>
      <c r="AK114" s="617"/>
      <c r="AL114" s="617"/>
      <c r="AM114" s="617"/>
      <c r="AN114" s="566"/>
      <c r="AO114" s="567" t="str">
        <f t="shared" si="34"/>
        <v/>
      </c>
      <c r="AP114" s="568" t="str">
        <f>IF(AB114=$V$3,IF(VLOOKUP(C114,[1]List1!$A:$E,5,FALSE)=0,1,VLOOKUP(C114,[1]List1!$A:$E,5,FALSE)),"")</f>
        <v/>
      </c>
      <c r="AQ114" s="292" t="str">
        <f t="shared" si="35"/>
        <v/>
      </c>
      <c r="AR114" s="618" t="str">
        <f t="shared" si="36"/>
        <v/>
      </c>
      <c r="AS114" s="292" t="str">
        <f t="shared" si="37"/>
        <v/>
      </c>
      <c r="AT114" s="377" t="e">
        <f t="shared" si="38"/>
        <v>#N/A</v>
      </c>
      <c r="AU114" s="292" t="e">
        <f t="shared" si="39"/>
        <v>#N/A</v>
      </c>
    </row>
    <row r="115" spans="1:47" ht="15" customHeight="1">
      <c r="A115" s="601" t="str">
        <f>Kat.!B115</f>
        <v/>
      </c>
      <c r="B115" s="601">
        <f t="shared" si="25"/>
        <v>1</v>
      </c>
      <c r="C115" s="758" t="s">
        <v>847</v>
      </c>
      <c r="D115" s="759"/>
      <c r="E115" s="760"/>
      <c r="F115" s="761"/>
      <c r="G115" s="762"/>
      <c r="H115" s="596"/>
      <c r="I115" s="763"/>
      <c r="J115" s="764"/>
      <c r="K115" s="781"/>
      <c r="L115" s="766"/>
      <c r="M115" s="764"/>
      <c r="N115" s="767"/>
      <c r="O115" s="763"/>
      <c r="P115" s="763"/>
      <c r="Q115" s="764"/>
      <c r="R115" s="764"/>
      <c r="S115" s="764"/>
      <c r="T115" s="761"/>
      <c r="U115" s="768"/>
      <c r="V115" s="768"/>
      <c r="W115" s="769" t="str">
        <f>IFERROR(VLOOKUP('General price list'!$C115,Popisy!A:P,MATCH($W$17,Popisy!$A$7:$P$7,0),FALSE),"---------------")</f>
        <v>weißes Stroboskop</v>
      </c>
      <c r="X115" s="769" t="str">
        <f t="shared" si="40"/>
        <v/>
      </c>
      <c r="Y115" s="770">
        <f>IF(OR(AP115&lt;AA115,AND(NOT(OR(LEFT(AB115,3)="SKL",LEFT(AB115,3)=LEFT($V$2,3))),AA115&gt;0),AND('Deutsche Markt'!$AH$1=FALSE,J115="F4",AA115&gt;0)),"",AA115)</f>
        <v>0</v>
      </c>
      <c r="Z115" s="769"/>
      <c r="AA115" s="771">
        <f>'Deutsche Markt'!AA115</f>
        <v>0</v>
      </c>
      <c r="AB115" s="772" t="str">
        <f>IFERROR(IF(VLOOKUP(C115,[1]List1!$A:$D,2,FALSE)="VYPRODÁNO",$V$9,IF(VLOOKUP(C115,[1]List1!$A:$D,2,FALSE)="DOCHÁZÍ",$V$3,VLOOKUP(C115,[1]List1!$A:$D,2,FALSE))),"OFFLINE!")</f>
        <v>15.03.2024</v>
      </c>
      <c r="AC115" s="772" t="str">
        <f ca="1">IF(AO115="NE",$V$10,IF(AB115=$V$3,IF(AP115&lt;1,$V$8,$V$2&amp;" "&amp;AP115&amp;" "&amp;$V$1),IF(AB115="SKLADEM",$V$6,IFERROR(IF(OR(AB115-TODAY()&gt;21,VLOOKUP(C115,[1]List1!$A:$E,4,FALSE)=0),AB115,DAY(AB115)&amp;"."&amp;MONTH(AB115)&amp;"."&amp;YEAR(AB115)&amp;" "&amp;$V$4&amp;VLOOKUP(C115,[1]List1!$A:$E,4,FALSE)&amp;" "&amp;$V$1),AB115))))</f>
        <v>15.3.2024 KOMMT 100+ KTN</v>
      </c>
      <c r="AD115" s="772" t="str">
        <f t="shared" ca="1" si="41"/>
        <v>15.3.2024 KOMMT 100+ KTN</v>
      </c>
      <c r="AE115" s="605"/>
      <c r="AF115" s="605"/>
      <c r="AG115" s="615"/>
      <c r="AH115" s="616"/>
      <c r="AI115" s="615"/>
      <c r="AJ115" s="617"/>
      <c r="AK115" s="617"/>
      <c r="AL115" s="617"/>
      <c r="AM115" s="617"/>
      <c r="AO115" s="567" t="str">
        <f t="shared" si="34"/>
        <v/>
      </c>
      <c r="AP115" s="568" t="str">
        <f>IF(AB115=$V$3,IF(VLOOKUP(C115,[1]List1!$A:$E,5,FALSE)=0,1,VLOOKUP(C115,[1]List1!$A:$E,5,FALSE)),"")</f>
        <v/>
      </c>
      <c r="AQ115" s="292" t="str">
        <f t="shared" si="35"/>
        <v/>
      </c>
      <c r="AR115" s="618" t="str">
        <f t="shared" si="36"/>
        <v/>
      </c>
      <c r="AS115" s="292" t="str">
        <f t="shared" si="37"/>
        <v/>
      </c>
      <c r="AT115" s="377" t="e">
        <f t="shared" si="38"/>
        <v>#N/A</v>
      </c>
      <c r="AU115" s="292" t="e">
        <f t="shared" si="39"/>
        <v>#N/A</v>
      </c>
    </row>
    <row r="116" spans="1:47" ht="15" customHeight="1">
      <c r="A116" s="601" t="str">
        <f>Kat.!B116</f>
        <v/>
      </c>
      <c r="B116" s="601">
        <f t="shared" si="25"/>
        <v>1</v>
      </c>
      <c r="C116" s="758" t="s">
        <v>853</v>
      </c>
      <c r="D116" s="759"/>
      <c r="E116" s="760"/>
      <c r="F116" s="761"/>
      <c r="G116" s="762"/>
      <c r="H116" s="596"/>
      <c r="I116" s="763"/>
      <c r="J116" s="764"/>
      <c r="K116" s="774"/>
      <c r="L116" s="766"/>
      <c r="M116" s="764"/>
      <c r="N116" s="767"/>
      <c r="O116" s="763"/>
      <c r="P116" s="763"/>
      <c r="Q116" s="764"/>
      <c r="R116" s="764"/>
      <c r="S116" s="764"/>
      <c r="T116" s="761"/>
      <c r="U116" s="768"/>
      <c r="V116" s="768"/>
      <c r="W116" s="769" t="str">
        <f>IFERROR(VLOOKUP('General price list'!$C116,Popisy!A:P,MATCH($W$17,Popisy!$A$7:$P$7,0),FALSE),"---------------")</f>
        <v>weißes Stroboskop</v>
      </c>
      <c r="X116" s="769" t="str">
        <f t="shared" si="40"/>
        <v/>
      </c>
      <c r="Y116" s="770">
        <f>IF(OR(AP116&lt;AA116,AND(NOT(OR(LEFT(AB116,3)="SKL",LEFT(AB116,3)=LEFT($V$2,3))),AA116&gt;0),AND('Deutsche Markt'!$AH$1=FALSE,J116="F4",AA116&gt;0)),"",AA116)</f>
        <v>0</v>
      </c>
      <c r="Z116" s="769"/>
      <c r="AA116" s="771">
        <f>'Deutsche Markt'!AA116</f>
        <v>0</v>
      </c>
      <c r="AB116" s="772" t="str">
        <f>IFERROR(IF(VLOOKUP(C116,[1]List1!$A:$D,2,FALSE)="VYPRODÁNO",$V$9,IF(VLOOKUP(C116,[1]List1!$A:$D,2,FALSE)="DOCHÁZÍ",$V$3,VLOOKUP(C116,[1]List1!$A:$D,2,FALSE))),"OFFLINE!")</f>
        <v>15.03.2024</v>
      </c>
      <c r="AC116" s="772" t="str">
        <f ca="1">IF(AO116="NE",$V$10,IF(AB116=$V$3,IF(AP116&lt;1,$V$8,$V$2&amp;" "&amp;AP116&amp;" "&amp;$V$1),IF(AB116="SKLADEM",$V$6,IFERROR(IF(OR(AB116-TODAY()&gt;21,VLOOKUP(C116,[1]List1!$A:$E,4,FALSE)=0),AB116,DAY(AB116)&amp;"."&amp;MONTH(AB116)&amp;"."&amp;YEAR(AB116)&amp;" "&amp;$V$4&amp;VLOOKUP(C116,[1]List1!$A:$E,4,FALSE)&amp;" "&amp;$V$1),AB116))))</f>
        <v>15.3.2024 KOMMT 100+ KTN</v>
      </c>
      <c r="AD116" s="772" t="str">
        <f t="shared" ca="1" si="41"/>
        <v>15.3.2024 KOMMT 100+ KTN</v>
      </c>
      <c r="AE116" s="605"/>
      <c r="AF116" s="605"/>
      <c r="AG116" s="615"/>
      <c r="AH116" s="616"/>
      <c r="AI116" s="615"/>
      <c r="AJ116" s="617"/>
      <c r="AK116" s="617"/>
      <c r="AL116" s="617"/>
      <c r="AM116" s="617"/>
      <c r="AO116" s="567" t="str">
        <f t="shared" si="34"/>
        <v/>
      </c>
      <c r="AP116" s="568" t="str">
        <f>IF(AB116=$V$3,IF(VLOOKUP(C116,[1]List1!$A:$E,5,FALSE)=0,1,VLOOKUP(C116,[1]List1!$A:$E,5,FALSE)),"")</f>
        <v/>
      </c>
      <c r="AQ116" s="292" t="str">
        <f t="shared" si="35"/>
        <v/>
      </c>
      <c r="AR116" s="618" t="str">
        <f t="shared" si="36"/>
        <v/>
      </c>
      <c r="AS116" s="292" t="str">
        <f t="shared" si="37"/>
        <v/>
      </c>
      <c r="AT116" s="377" t="e">
        <f t="shared" si="38"/>
        <v>#N/A</v>
      </c>
      <c r="AU116" s="292" t="e">
        <f t="shared" si="39"/>
        <v>#N/A</v>
      </c>
    </row>
    <row r="117" spans="1:47" ht="15" customHeight="1">
      <c r="A117" s="601" t="str">
        <f>Kat.!B117</f>
        <v>Fontänen</v>
      </c>
      <c r="B117" s="601">
        <f t="shared" si="25"/>
        <v>0</v>
      </c>
      <c r="C117" s="758"/>
      <c r="D117" s="759"/>
      <c r="E117" s="760"/>
      <c r="F117" s="761"/>
      <c r="G117" s="762"/>
      <c r="H117" s="596"/>
      <c r="I117" s="763"/>
      <c r="J117" s="764"/>
      <c r="K117" s="781"/>
      <c r="L117" s="766"/>
      <c r="M117" s="764"/>
      <c r="N117" s="767"/>
      <c r="O117" s="763"/>
      <c r="P117" s="763"/>
      <c r="Q117" s="764"/>
      <c r="R117" s="764"/>
      <c r="S117" s="764"/>
      <c r="T117" s="761"/>
      <c r="U117" s="768"/>
      <c r="V117" s="768"/>
      <c r="W117" s="769" t="str">
        <f>IFERROR(VLOOKUP('General price list'!$C117,Popisy!A:P,MATCH($W$17,Popisy!$A$7:$P$7,0),FALSE),"---------------")</f>
        <v>---------------</v>
      </c>
      <c r="X117" s="769" t="str">
        <f t="shared" si="40"/>
        <v/>
      </c>
      <c r="Y117" s="770">
        <f>IF(OR(AP117&lt;AA117,AND(NOT(OR(LEFT(AB117,3)="SKL",LEFT(AB117,3)=LEFT($V$2,3))),AA117&gt;0),AND('Deutsche Markt'!$AH$1=FALSE,J117="F4",AA117&gt;0)),"",AA117)</f>
        <v>0</v>
      </c>
      <c r="Z117" s="769"/>
      <c r="AA117" s="771">
        <f>'Deutsche Markt'!AA117</f>
        <v>0</v>
      </c>
      <c r="AB117" s="772" t="str">
        <f>IFERROR(IF(VLOOKUP(C117,[1]List1!$A:$D,2,FALSE)="VYPRODÁNO",$V$9,IF(VLOOKUP(C117,[1]List1!$A:$D,2,FALSE)="DOCHÁZÍ",$V$3,VLOOKUP(C117,[1]List1!$A:$D,2,FALSE))),"OFFLINE!")</f>
        <v>OFFLINE!</v>
      </c>
      <c r="AC117" s="772" t="str">
        <f ca="1">IF(AO117="NE",$V$10,IF(AB117=$V$3,IF(AP117&lt;1,$V$8,$V$2&amp;" "&amp;AP117&amp;" "&amp;$V$1),IF(AB117="SKLADEM",$V$6,IFERROR(IF(OR(AB117-TODAY()&gt;21,VLOOKUP(C117,[1]List1!$A:$E,4,FALSE)=0),AB117,DAY(AB117)&amp;"."&amp;MONTH(AB117)&amp;"."&amp;YEAR(AB117)&amp;" "&amp;$V$4&amp;VLOOKUP(C117,[1]List1!$A:$E,4,FALSE)&amp;" "&amp;$V$1),AB117))))</f>
        <v>OFFLINE!</v>
      </c>
      <c r="AD117" s="772" t="str">
        <f t="shared" ca="1" si="41"/>
        <v>OFFLINE!</v>
      </c>
      <c r="AE117" s="605"/>
      <c r="AF117" s="605"/>
      <c r="AG117" s="615"/>
      <c r="AH117" s="616"/>
      <c r="AI117" s="615"/>
      <c r="AJ117" s="617"/>
      <c r="AK117" s="617"/>
      <c r="AL117" s="617"/>
      <c r="AM117" s="617"/>
      <c r="AN117" s="292"/>
      <c r="AO117" s="567" t="str">
        <f t="shared" si="34"/>
        <v/>
      </c>
      <c r="AP117" s="568" t="str">
        <f>IF(AB117=$V$3,IF(VLOOKUP(C117,[1]List1!$A:$E,5,FALSE)=0,1,VLOOKUP(C117,[1]List1!$A:$E,5,FALSE)),"")</f>
        <v/>
      </c>
      <c r="AQ117" s="292" t="str">
        <f t="shared" si="35"/>
        <v/>
      </c>
      <c r="AR117" s="618" t="str">
        <f t="shared" si="36"/>
        <v/>
      </c>
      <c r="AS117" s="292" t="str">
        <f t="shared" si="37"/>
        <v/>
      </c>
      <c r="AT117" s="377" t="e">
        <f t="shared" si="38"/>
        <v>#N/A</v>
      </c>
      <c r="AU117" s="292" t="e">
        <f t="shared" si="39"/>
        <v>#N/A</v>
      </c>
    </row>
    <row r="118" spans="1:47" ht="15" customHeight="1">
      <c r="A118" s="601" t="str">
        <f>Kat.!B118</f>
        <v/>
      </c>
      <c r="B118" s="601">
        <f t="shared" si="25"/>
        <v>1</v>
      </c>
      <c r="C118" s="758" t="s">
        <v>381</v>
      </c>
      <c r="D118" s="759"/>
      <c r="E118" s="760"/>
      <c r="F118" s="761"/>
      <c r="G118" s="762"/>
      <c r="H118" s="596"/>
      <c r="I118" s="763"/>
      <c r="J118" s="764"/>
      <c r="K118" s="774"/>
      <c r="L118" s="766"/>
      <c r="M118" s="764"/>
      <c r="N118" s="767"/>
      <c r="O118" s="763"/>
      <c r="P118" s="763"/>
      <c r="Q118" s="764"/>
      <c r="R118" s="764"/>
      <c r="S118" s="764"/>
      <c r="T118" s="761"/>
      <c r="U118" s="768"/>
      <c r="V118" s="768"/>
      <c r="W118" s="769" t="str">
        <f>IFERROR(VLOOKUP('General price list'!$C118,Popisy!A:P,MATCH($W$17,Popisy!$A$7:$P$7,0),FALSE),"---------------")</f>
        <v>Fontänen-Mix, Verpackung enthält je 2 Stk. F1U, F1K</v>
      </c>
      <c r="X118" s="769" t="str">
        <f t="shared" si="40"/>
        <v/>
      </c>
      <c r="Y118" s="770">
        <f>IF(OR(AP118&lt;AA118,AND(NOT(OR(LEFT(AB118,3)="SKL",LEFT(AB118,3)=LEFT($V$2,3))),AA118&gt;0),AND('Deutsche Markt'!$AH$1=FALSE,J118="F4",AA118&gt;0)),"",AA118)</f>
        <v>0</v>
      </c>
      <c r="Z118" s="769"/>
      <c r="AA118" s="771">
        <f>'Deutsche Markt'!AA118</f>
        <v>0</v>
      </c>
      <c r="AB118" s="772" t="str">
        <f>IFERROR(IF(VLOOKUP(C118,[1]List1!$A:$D,2,FALSE)="VYPRODÁNO",$V$9,IF(VLOOKUP(C118,[1]List1!$A:$D,2,FALSE)="DOCHÁZÍ",$V$3,VLOOKUP(C118,[1]List1!$A:$D,2,FALSE))),"OFFLINE!")</f>
        <v>SKLADEM</v>
      </c>
      <c r="AC118" s="772" t="str">
        <f ca="1">IF(AO118="NE",$V$10,IF(AB118=$V$3,IF(AP118&lt;1,$V$8,$V$2&amp;" "&amp;AP118&amp;" "&amp;$V$1),IF(AB118="SKLADEM",$V$6,IFERROR(IF(OR(AB118-TODAY()&gt;21,VLOOKUP(C118,[1]List1!$A:$E,4,FALSE)=0),AB118,DAY(AB118)&amp;"."&amp;MONTH(AB118)&amp;"."&amp;YEAR(AB118)&amp;" "&amp;$V$4&amp;VLOOKUP(C118,[1]List1!$A:$E,4,FALSE)&amp;" "&amp;$V$1),AB118))))</f>
        <v>AUF LAGER</v>
      </c>
      <c r="AD118" s="772" t="str">
        <f t="shared" ca="1" si="41"/>
        <v>AUF LAGER</v>
      </c>
      <c r="AE118" s="605"/>
      <c r="AF118" s="605"/>
      <c r="AG118" s="615"/>
      <c r="AH118" s="616"/>
      <c r="AI118" s="615"/>
      <c r="AJ118" s="617"/>
      <c r="AK118" s="617"/>
      <c r="AL118" s="617"/>
      <c r="AM118" s="617"/>
      <c r="AO118" s="567" t="str">
        <f t="shared" si="34"/>
        <v/>
      </c>
      <c r="AP118" s="568" t="str">
        <f>IF(AB118=$V$3,IF(VLOOKUP(C118,[1]List1!$A:$E,5,FALSE)=0,1,VLOOKUP(C118,[1]List1!$A:$E,5,FALSE)),"")</f>
        <v/>
      </c>
      <c r="AQ118" s="292" t="str">
        <f t="shared" si="35"/>
        <v/>
      </c>
      <c r="AR118" s="618" t="str">
        <f t="shared" si="36"/>
        <v/>
      </c>
      <c r="AS118" s="292" t="str">
        <f t="shared" si="37"/>
        <v/>
      </c>
      <c r="AT118" s="377" t="e">
        <f t="shared" si="38"/>
        <v>#N/A</v>
      </c>
      <c r="AU118" s="292" t="e">
        <f t="shared" si="39"/>
        <v>#N/A</v>
      </c>
    </row>
    <row r="119" spans="1:47" ht="15" customHeight="1">
      <c r="A119" s="601" t="str">
        <f>Kat.!B119</f>
        <v/>
      </c>
      <c r="B119" s="601">
        <f t="shared" si="25"/>
        <v>1</v>
      </c>
      <c r="C119" s="758" t="s">
        <v>386</v>
      </c>
      <c r="D119" s="759"/>
      <c r="E119" s="760"/>
      <c r="F119" s="761"/>
      <c r="G119" s="762"/>
      <c r="H119" s="596"/>
      <c r="I119" s="763"/>
      <c r="J119" s="764"/>
      <c r="K119" s="781"/>
      <c r="L119" s="766"/>
      <c r="M119" s="764"/>
      <c r="N119" s="767"/>
      <c r="O119" s="763"/>
      <c r="P119" s="763"/>
      <c r="Q119" s="764"/>
      <c r="R119" s="764"/>
      <c r="S119" s="764"/>
      <c r="T119" s="761"/>
      <c r="U119" s="768"/>
      <c r="V119" s="768"/>
      <c r="W119" s="769" t="str">
        <f>IFERROR(VLOOKUP('General price list'!$C119,Popisy!A:P,MATCH($W$17,Popisy!$A$7:$P$7,0),FALSE),"---------------")</f>
        <v>Fontänen-Mix, Verpackung enthält je 2 Stk. F2DF,F2DD</v>
      </c>
      <c r="X119" s="769" t="str">
        <f t="shared" si="40"/>
        <v/>
      </c>
      <c r="Y119" s="770">
        <f>IF(OR(AP119&lt;AA119,AND(NOT(OR(LEFT(AB119,3)="SKL",LEFT(AB119,3)=LEFT($V$2,3))),AA119&gt;0),AND('Deutsche Markt'!$AH$1=FALSE,J119="F4",AA119&gt;0)),"",AA119)</f>
        <v>0</v>
      </c>
      <c r="Z119" s="769"/>
      <c r="AA119" s="771">
        <f>'Deutsche Markt'!AA119</f>
        <v>0</v>
      </c>
      <c r="AB119" s="772" t="str">
        <f>IFERROR(IF(VLOOKUP(C119,[1]List1!$A:$D,2,FALSE)="VYPRODÁNO",$V$9,IF(VLOOKUP(C119,[1]List1!$A:$D,2,FALSE)="DOCHÁZÍ",$V$3,VLOOKUP(C119,[1]List1!$A:$D,2,FALSE))),"OFFLINE!")</f>
        <v>SKLADEM</v>
      </c>
      <c r="AC119" s="772" t="str">
        <f ca="1">IF(AO119="NE",$V$10,IF(AB119=$V$3,IF(AP119&lt;1,$V$8,$V$2&amp;" "&amp;AP119&amp;" "&amp;$V$1),IF(AB119="SKLADEM",$V$6,IFERROR(IF(OR(AB119-TODAY()&gt;21,VLOOKUP(C119,[1]List1!$A:$E,4,FALSE)=0),AB119,DAY(AB119)&amp;"."&amp;MONTH(AB119)&amp;"."&amp;YEAR(AB119)&amp;" "&amp;$V$4&amp;VLOOKUP(C119,[1]List1!$A:$E,4,FALSE)&amp;" "&amp;$V$1),AB119))))</f>
        <v>AUF LAGER</v>
      </c>
      <c r="AD119" s="772" t="str">
        <f t="shared" ca="1" si="41"/>
        <v>AUF LAGER</v>
      </c>
      <c r="AE119" s="605"/>
      <c r="AF119" s="605"/>
      <c r="AG119" s="615"/>
      <c r="AH119" s="616"/>
      <c r="AI119" s="615"/>
      <c r="AJ119" s="617"/>
      <c r="AK119" s="617"/>
      <c r="AL119" s="617"/>
      <c r="AM119" s="617"/>
      <c r="AO119" s="567" t="str">
        <f t="shared" si="34"/>
        <v/>
      </c>
      <c r="AP119" s="568" t="str">
        <f>IF(AB119=$V$3,IF(VLOOKUP(C119,[1]List1!$A:$E,5,FALSE)=0,1,VLOOKUP(C119,[1]List1!$A:$E,5,FALSE)),"")</f>
        <v/>
      </c>
      <c r="AQ119" s="292" t="str">
        <f t="shared" si="35"/>
        <v/>
      </c>
      <c r="AR119" s="618" t="str">
        <f t="shared" si="36"/>
        <v/>
      </c>
      <c r="AS119" s="292" t="str">
        <f t="shared" si="37"/>
        <v/>
      </c>
      <c r="AT119" s="377" t="e">
        <f t="shared" si="38"/>
        <v>#N/A</v>
      </c>
      <c r="AU119" s="292" t="e">
        <f t="shared" si="39"/>
        <v>#N/A</v>
      </c>
    </row>
    <row r="120" spans="1:47" ht="15" customHeight="1">
      <c r="A120" s="601" t="str">
        <f>Kat.!B120</f>
        <v/>
      </c>
      <c r="B120" s="601">
        <f t="shared" si="25"/>
        <v>1</v>
      </c>
      <c r="C120" s="758" t="s">
        <v>3698</v>
      </c>
      <c r="D120" s="759"/>
      <c r="E120" s="760"/>
      <c r="F120" s="761"/>
      <c r="G120" s="762"/>
      <c r="H120" s="596"/>
      <c r="I120" s="763"/>
      <c r="J120" s="764"/>
      <c r="K120" s="774"/>
      <c r="L120" s="766"/>
      <c r="M120" s="764"/>
      <c r="N120" s="767"/>
      <c r="O120" s="763"/>
      <c r="P120" s="763"/>
      <c r="Q120" s="764"/>
      <c r="R120" s="764"/>
      <c r="S120" s="764"/>
      <c r="T120" s="761"/>
      <c r="U120" s="768"/>
      <c r="V120" s="768"/>
      <c r="W120" s="769" t="str">
        <f>IFERROR(VLOOKUP('General price list'!$C120,Popisy!A:P,MATCH($W$17,Popisy!$A$7:$P$7,0),FALSE),"---------------")</f>
        <v>Farbiges Licht(Rot,Blau,Grün)+knisternder Auswurf</v>
      </c>
      <c r="X120" s="769" t="str">
        <f t="shared" si="40"/>
        <v/>
      </c>
      <c r="Y120" s="770">
        <f>IF(OR(AP120&lt;AA120,AND(NOT(OR(LEFT(AB120,3)="SKL",LEFT(AB120,3)=LEFT($V$2,3))),AA120&gt;0),AND('Deutsche Markt'!$AH$1=FALSE,J120="F4",AA120&gt;0)),"",AA120)</f>
        <v>0</v>
      </c>
      <c r="Z120" s="769"/>
      <c r="AA120" s="771">
        <f>'Deutsche Markt'!AA120</f>
        <v>0</v>
      </c>
      <c r="AB120" s="772" t="str">
        <f>IFERROR(IF(VLOOKUP(C120,[1]List1!$A:$D,2,FALSE)="VYPRODÁNO",$V$9,IF(VLOOKUP(C120,[1]List1!$A:$D,2,FALSE)="DOCHÁZÍ",$V$3,VLOOKUP(C120,[1]List1!$A:$D,2,FALSE))),"OFFLINE!")</f>
        <v>SKLADEM</v>
      </c>
      <c r="AC120" s="772" t="str">
        <f ca="1">IF(AO120="NE",$V$10,IF(AB120=$V$3,IF(AP120&lt;1,$V$8,$V$2&amp;" "&amp;AP120&amp;" "&amp;$V$1),IF(AB120="SKLADEM",$V$6,IFERROR(IF(OR(AB120-TODAY()&gt;21,VLOOKUP(C120,[1]List1!$A:$E,4,FALSE)=0),AB120,DAY(AB120)&amp;"."&amp;MONTH(AB120)&amp;"."&amp;YEAR(AB120)&amp;" "&amp;$V$4&amp;VLOOKUP(C120,[1]List1!$A:$E,4,FALSE)&amp;" "&amp;$V$1),AB120))))</f>
        <v>AUF LAGER</v>
      </c>
      <c r="AD120" s="772" t="str">
        <f t="shared" ca="1" si="41"/>
        <v>AUF LAGER</v>
      </c>
      <c r="AE120" s="605"/>
      <c r="AF120" s="605"/>
      <c r="AG120" s="615"/>
      <c r="AH120" s="616"/>
      <c r="AI120" s="615"/>
      <c r="AJ120" s="617"/>
      <c r="AK120" s="617"/>
      <c r="AL120" s="617"/>
      <c r="AM120" s="617"/>
      <c r="AO120" s="567" t="str">
        <f t="shared" si="34"/>
        <v/>
      </c>
      <c r="AP120" s="568" t="str">
        <f>IF(AB120=$V$3,IF(VLOOKUP(C120,[1]List1!$A:$E,5,FALSE)=0,1,VLOOKUP(C120,[1]List1!$A:$E,5,FALSE)),"")</f>
        <v/>
      </c>
      <c r="AQ120" s="292" t="str">
        <f t="shared" si="35"/>
        <v/>
      </c>
      <c r="AR120" s="618" t="str">
        <f t="shared" si="36"/>
        <v/>
      </c>
      <c r="AS120" s="292" t="str">
        <f t="shared" si="37"/>
        <v/>
      </c>
      <c r="AT120" s="377" t="e">
        <f t="shared" si="38"/>
        <v>#N/A</v>
      </c>
      <c r="AU120" s="292" t="e">
        <f t="shared" si="39"/>
        <v>#N/A</v>
      </c>
    </row>
    <row r="121" spans="1:47" ht="15" customHeight="1">
      <c r="A121" s="601" t="str">
        <f>Kat.!B121</f>
        <v/>
      </c>
      <c r="B121" s="601">
        <f t="shared" si="25"/>
        <v>1</v>
      </c>
      <c r="C121" s="758" t="s">
        <v>397</v>
      </c>
      <c r="D121" s="759"/>
      <c r="E121" s="760"/>
      <c r="F121" s="761"/>
      <c r="G121" s="762"/>
      <c r="H121" s="596"/>
      <c r="I121" s="763"/>
      <c r="J121" s="764"/>
      <c r="K121" s="781"/>
      <c r="L121" s="766"/>
      <c r="M121" s="764"/>
      <c r="N121" s="767"/>
      <c r="O121" s="763"/>
      <c r="P121" s="763"/>
      <c r="Q121" s="764"/>
      <c r="R121" s="764"/>
      <c r="S121" s="764"/>
      <c r="T121" s="761"/>
      <c r="U121" s="768"/>
      <c r="V121" s="768"/>
      <c r="W121" s="769" t="str">
        <f>IFERROR(VLOOKUP('General price list'!$C121,Popisy!A:P,MATCH($W$17,Popisy!$A$7:$P$7,0),FALSE),"---------------")</f>
        <v>6 verschiedenfarbige Effekte</v>
      </c>
      <c r="X121" s="769" t="str">
        <f t="shared" si="40"/>
        <v/>
      </c>
      <c r="Y121" s="770">
        <f>IF(OR(AP121&lt;AA121,AND(NOT(OR(LEFT(AB121,3)="SKL",LEFT(AB121,3)=LEFT($V$2,3))),AA121&gt;0),AND('Deutsche Markt'!$AH$1=FALSE,J121="F4",AA121&gt;0)),"",AA121)</f>
        <v>0</v>
      </c>
      <c r="Z121" s="769"/>
      <c r="AA121" s="771">
        <f>'Deutsche Markt'!AA121</f>
        <v>0</v>
      </c>
      <c r="AB121" s="772" t="str">
        <f>IFERROR(IF(VLOOKUP(C121,[1]List1!$A:$D,2,FALSE)="VYPRODÁNO",$V$9,IF(VLOOKUP(C121,[1]List1!$A:$D,2,FALSE)="DOCHÁZÍ",$V$3,VLOOKUP(C121,[1]List1!$A:$D,2,FALSE))),"OFFLINE!")</f>
        <v>SKLADEM</v>
      </c>
      <c r="AC121" s="772" t="str">
        <f ca="1">IF(AO121="NE",$V$10,IF(AB121=$V$3,IF(AP121&lt;1,$V$8,$V$2&amp;" "&amp;AP121&amp;" "&amp;$V$1),IF(AB121="SKLADEM",$V$6,IFERROR(IF(OR(AB121-TODAY()&gt;21,VLOOKUP(C121,[1]List1!$A:$E,4,FALSE)=0),AB121,DAY(AB121)&amp;"."&amp;MONTH(AB121)&amp;"."&amp;YEAR(AB121)&amp;" "&amp;$V$4&amp;VLOOKUP(C121,[1]List1!$A:$E,4,FALSE)&amp;" "&amp;$V$1),AB121))))</f>
        <v>AUF LAGER</v>
      </c>
      <c r="AD121" s="772" t="str">
        <f t="shared" ca="1" si="41"/>
        <v>AUF LAGER</v>
      </c>
      <c r="AE121" s="605"/>
      <c r="AF121" s="605"/>
      <c r="AG121" s="615"/>
      <c r="AH121" s="616"/>
      <c r="AI121" s="615"/>
      <c r="AJ121" s="617"/>
      <c r="AK121" s="617"/>
      <c r="AL121" s="617"/>
      <c r="AM121" s="617"/>
      <c r="AO121" s="567" t="str">
        <f t="shared" si="34"/>
        <v/>
      </c>
      <c r="AP121" s="568" t="str">
        <f>IF(AB121=$V$3,IF(VLOOKUP(C121,[1]List1!$A:$E,5,FALSE)=0,1,VLOOKUP(C121,[1]List1!$A:$E,5,FALSE)),"")</f>
        <v/>
      </c>
      <c r="AQ121" s="292" t="str">
        <f t="shared" si="35"/>
        <v/>
      </c>
      <c r="AR121" s="618" t="str">
        <f t="shared" si="36"/>
        <v/>
      </c>
      <c r="AS121" s="292" t="str">
        <f t="shared" si="37"/>
        <v/>
      </c>
      <c r="AT121" s="377" t="e">
        <f t="shared" si="38"/>
        <v>#N/A</v>
      </c>
      <c r="AU121" s="292" t="e">
        <f t="shared" si="39"/>
        <v>#N/A</v>
      </c>
    </row>
    <row r="122" spans="1:47" ht="15" customHeight="1">
      <c r="A122" s="601" t="str">
        <f>Kat.!B122</f>
        <v/>
      </c>
      <c r="B122" s="601">
        <f t="shared" si="25"/>
        <v>1</v>
      </c>
      <c r="C122" s="758" t="s">
        <v>3731</v>
      </c>
      <c r="D122" s="759"/>
      <c r="E122" s="760"/>
      <c r="F122" s="761"/>
      <c r="G122" s="762"/>
      <c r="H122" s="596"/>
      <c r="I122" s="763"/>
      <c r="J122" s="764"/>
      <c r="K122" s="774"/>
      <c r="L122" s="766"/>
      <c r="M122" s="764"/>
      <c r="N122" s="767"/>
      <c r="O122" s="763"/>
      <c r="P122" s="763"/>
      <c r="Q122" s="764"/>
      <c r="R122" s="764"/>
      <c r="S122" s="764"/>
      <c r="T122" s="761"/>
      <c r="U122" s="768"/>
      <c r="V122" s="768"/>
      <c r="W122" s="769" t="str">
        <f>IFERROR(VLOOKUP('General price list'!$C122,Popisy!A:P,MATCH($W$17,Popisy!$A$7:$P$7,0),FALSE),"---------------")</f>
        <v>Starker knisternder Stern</v>
      </c>
      <c r="X122" s="769" t="str">
        <f t="shared" si="40"/>
        <v/>
      </c>
      <c r="Y122" s="770">
        <f>IF(OR(AP122&lt;AA122,AND(NOT(OR(LEFT(AB122,3)="SKL",LEFT(AB122,3)=LEFT($V$2,3))),AA122&gt;0),AND('Deutsche Markt'!$AH$1=FALSE,J122="F4",AA122&gt;0)),"",AA122)</f>
        <v>0</v>
      </c>
      <c r="Z122" s="769"/>
      <c r="AA122" s="771">
        <f>'Deutsche Markt'!AA122</f>
        <v>0</v>
      </c>
      <c r="AB122" s="772" t="str">
        <f>IFERROR(IF(VLOOKUP(C122,[1]List1!$A:$D,2,FALSE)="VYPRODÁNO",$V$9,IF(VLOOKUP(C122,[1]List1!$A:$D,2,FALSE)="DOCHÁZÍ",$V$3,VLOOKUP(C122,[1]List1!$A:$D,2,FALSE))),"OFFLINE!")</f>
        <v>SKLADEM</v>
      </c>
      <c r="AC122" s="772" t="str">
        <f ca="1">IF(AO122="NE",$V$10,IF(AB122=$V$3,IF(AP122&lt;1,$V$8,$V$2&amp;" "&amp;AP122&amp;" "&amp;$V$1),IF(AB122="SKLADEM",$V$6,IFERROR(IF(OR(AB122-TODAY()&gt;21,VLOOKUP(C122,[1]List1!$A:$E,4,FALSE)=0),AB122,DAY(AB122)&amp;"."&amp;MONTH(AB122)&amp;"."&amp;YEAR(AB122)&amp;" "&amp;$V$4&amp;VLOOKUP(C122,[1]List1!$A:$E,4,FALSE)&amp;" "&amp;$V$1),AB122))))</f>
        <v>AUF LAGER</v>
      </c>
      <c r="AD122" s="772" t="str">
        <f t="shared" ca="1" si="41"/>
        <v>AUF LAGER</v>
      </c>
      <c r="AE122" s="605"/>
      <c r="AF122" s="605"/>
      <c r="AG122" s="615"/>
      <c r="AH122" s="616"/>
      <c r="AI122" s="615"/>
      <c r="AJ122" s="617"/>
      <c r="AK122" s="617"/>
      <c r="AL122" s="617"/>
      <c r="AM122" s="617"/>
      <c r="AO122" s="567" t="str">
        <f t="shared" si="34"/>
        <v/>
      </c>
      <c r="AP122" s="568" t="str">
        <f>IF(AB122=$V$3,IF(VLOOKUP(C122,[1]List1!$A:$E,5,FALSE)=0,1,VLOOKUP(C122,[1]List1!$A:$E,5,FALSE)),"")</f>
        <v/>
      </c>
      <c r="AQ122" s="292" t="str">
        <f t="shared" si="35"/>
        <v/>
      </c>
      <c r="AR122" s="618" t="str">
        <f t="shared" si="36"/>
        <v/>
      </c>
      <c r="AS122" s="292" t="str">
        <f t="shared" si="37"/>
        <v/>
      </c>
      <c r="AT122" s="377" t="e">
        <f t="shared" si="38"/>
        <v>#N/A</v>
      </c>
      <c r="AU122" s="292" t="e">
        <f t="shared" si="39"/>
        <v>#N/A</v>
      </c>
    </row>
    <row r="123" spans="1:47" ht="15" customHeight="1">
      <c r="A123" s="601" t="str">
        <f>Kat.!B123</f>
        <v/>
      </c>
      <c r="B123" s="601">
        <f t="shared" si="25"/>
        <v>1</v>
      </c>
      <c r="C123" s="758" t="s">
        <v>407</v>
      </c>
      <c r="D123" s="759"/>
      <c r="E123" s="760"/>
      <c r="F123" s="761"/>
      <c r="G123" s="762"/>
      <c r="H123" s="596"/>
      <c r="I123" s="763"/>
      <c r="J123" s="764"/>
      <c r="K123" s="781"/>
      <c r="L123" s="766"/>
      <c r="M123" s="764"/>
      <c r="N123" s="767"/>
      <c r="O123" s="763"/>
      <c r="P123" s="763"/>
      <c r="Q123" s="764"/>
      <c r="R123" s="764"/>
      <c r="S123" s="764"/>
      <c r="T123" s="761"/>
      <c r="U123" s="768"/>
      <c r="V123" s="768"/>
      <c r="W123" s="769"/>
      <c r="X123" s="769"/>
      <c r="Y123" s="770">
        <f>IF(OR(AP123&lt;AA123,AND(NOT(OR(LEFT(AB123,3)="SKL",LEFT(AB123,3)=LEFT($V$2,3))),AA123&gt;0),AND('Deutsche Markt'!$AH$1=FALSE,J123="F4",AA123&gt;0)),"",AA123)</f>
        <v>0</v>
      </c>
      <c r="Z123" s="769"/>
      <c r="AA123" s="771">
        <f>'Deutsche Markt'!AA123</f>
        <v>0</v>
      </c>
      <c r="AB123" s="772"/>
      <c r="AC123" s="772"/>
      <c r="AD123" s="772"/>
      <c r="AE123" s="605"/>
      <c r="AF123" s="605"/>
      <c r="AG123" s="615"/>
      <c r="AH123" s="616"/>
      <c r="AI123" s="615"/>
      <c r="AJ123" s="617"/>
      <c r="AK123" s="617"/>
      <c r="AL123" s="617"/>
      <c r="AM123" s="617"/>
      <c r="AO123" s="567" t="str">
        <f t="shared" si="34"/>
        <v/>
      </c>
      <c r="AP123" s="568" t="str">
        <f>IF(AB123=$V$3,IF(VLOOKUP(C123,[1]List1!$A:$E,5,FALSE)=0,1,VLOOKUP(C123,[1]List1!$A:$E,5,FALSE)),"")</f>
        <v/>
      </c>
      <c r="AQ123" s="292" t="str">
        <f t="shared" si="35"/>
        <v/>
      </c>
      <c r="AR123" s="618" t="str">
        <f t="shared" si="36"/>
        <v/>
      </c>
      <c r="AS123" s="292" t="str">
        <f t="shared" si="37"/>
        <v/>
      </c>
      <c r="AT123" s="377" t="e">
        <f t="shared" si="38"/>
        <v>#N/A</v>
      </c>
      <c r="AU123" s="292" t="e">
        <f t="shared" si="39"/>
        <v>#N/A</v>
      </c>
    </row>
    <row r="124" spans="1:47" ht="15" customHeight="1">
      <c r="A124" s="601" t="str">
        <f>Kat.!$B$1&amp;Kat.!B124</f>
        <v/>
      </c>
      <c r="B124" s="601">
        <f t="shared" si="25"/>
        <v>1</v>
      </c>
      <c r="C124" s="602" t="s">
        <v>2303</v>
      </c>
      <c r="D124" s="603"/>
      <c r="E124" s="604"/>
      <c r="F124" s="605"/>
      <c r="G124" s="606"/>
      <c r="H124" s="607"/>
      <c r="I124" s="608"/>
      <c r="J124" s="609"/>
      <c r="K124" s="708"/>
      <c r="L124" s="611"/>
      <c r="M124" s="609"/>
      <c r="N124" s="612"/>
      <c r="O124" s="608"/>
      <c r="P124" s="608"/>
      <c r="Q124" s="609"/>
      <c r="R124" s="609"/>
      <c r="S124" s="609"/>
      <c r="T124" s="605"/>
      <c r="U124" s="613"/>
      <c r="V124" s="613"/>
      <c r="W124" s="601" t="str">
        <f>IFERROR(VLOOKUP('General price list'!$C124,Popisy!A:P,MATCH($W$17,Popisy!$A$7:$P$7,0),FALSE),"---------------")</f>
        <v>Knisternde Fontäne</v>
      </c>
      <c r="X124" s="601" t="str">
        <f t="shared" ref="X124:X135" si="42">IF(AA124&lt;0.0001,"",AA124)</f>
        <v/>
      </c>
      <c r="Y124" s="770">
        <f>IF(OR(AP124&lt;AA124,AND(NOT(OR(LEFT(AB124,3)="SKL",LEFT(AB124,3)=LEFT($V$2,3))),AA124&gt;0),AND('Deutsche Markt'!$AH$1=FALSE,J124="F4",AA124&gt;0)),"",AA124)</f>
        <v>0</v>
      </c>
      <c r="Z124" s="601"/>
      <c r="AA124" s="771">
        <f>'Deutsche Markt'!AA124</f>
        <v>0</v>
      </c>
      <c r="AB124" s="614" t="str">
        <f>IFERROR(IF(VLOOKUP(C124,[1]List1!$A:$D,2,FALSE)="VYPRODÁNO",$V$9,IF(VLOOKUP(C124,[1]List1!$A:$D,2,FALSE)="DOCHÁZÍ",$V$3,VLOOKUP(C124,[1]List1!$A:$D,2,FALSE))),"OFFLINE!")</f>
        <v>SKLADEM</v>
      </c>
      <c r="AC124" s="614" t="str">
        <f ca="1">IF(AO124="NE",$V$10,IF(AB124=$V$3,IF(AP124&lt;1,$V$8,$V$2&amp;" "&amp;AP124&amp;" "&amp;$V$1),IF(AB124="SKLADEM",$V$6,IFERROR(IF(OR(AB124-TODAY()&gt;21,VLOOKUP(C124,[1]List1!$A:$E,4,FALSE)=0),AB124,DAY(AB124)&amp;"."&amp;MONTH(AB124)&amp;"."&amp;YEAR(AB124)&amp;" "&amp;$V$4&amp;VLOOKUP(C124,[1]List1!$A:$E,4,FALSE)&amp;" "&amp;$V$1),AB124))))</f>
        <v>AUF LAGER</v>
      </c>
      <c r="AD124" s="614" t="str">
        <f t="shared" ref="AD124:AD135" ca="1" si="43">IFERROR(IF(AU124&lt;&gt;"",AU124,AC124),AC124)</f>
        <v>AUF LAGER</v>
      </c>
      <c r="AE124" s="605"/>
      <c r="AF124" s="605"/>
      <c r="AG124" s="615"/>
      <c r="AH124" s="616"/>
      <c r="AI124" s="615"/>
      <c r="AJ124" s="617"/>
      <c r="AK124" s="617"/>
      <c r="AL124" s="617"/>
      <c r="AM124" s="617"/>
      <c r="AO124" s="567" t="str">
        <f t="shared" si="34"/>
        <v/>
      </c>
      <c r="AP124" s="568" t="str">
        <f>IF(AB124=$V$3,IF(VLOOKUP(C124,[1]List1!$A:$E,5,FALSE)=0,1,VLOOKUP(C124,[1]List1!$A:$E,5,FALSE)),"")</f>
        <v/>
      </c>
      <c r="AQ124" s="292" t="str">
        <f t="shared" si="35"/>
        <v/>
      </c>
      <c r="AR124" s="618" t="str">
        <f t="shared" si="36"/>
        <v/>
      </c>
      <c r="AS124" s="292" t="str">
        <f t="shared" si="37"/>
        <v/>
      </c>
      <c r="AT124" s="377" t="e">
        <f t="shared" si="38"/>
        <v>#N/A</v>
      </c>
      <c r="AU124" s="292" t="e">
        <f t="shared" si="39"/>
        <v>#N/A</v>
      </c>
    </row>
    <row r="125" spans="1:47" ht="15" customHeight="1">
      <c r="A125" s="601" t="str">
        <f>Kat.!B125</f>
        <v/>
      </c>
      <c r="B125" s="601">
        <f t="shared" si="25"/>
        <v>1</v>
      </c>
      <c r="C125" s="778" t="s">
        <v>418</v>
      </c>
      <c r="D125" s="778"/>
      <c r="E125" s="778"/>
      <c r="F125" s="779"/>
      <c r="G125" s="778"/>
      <c r="H125" s="778"/>
      <c r="I125" s="778"/>
      <c r="J125" s="778"/>
      <c r="K125" s="781"/>
      <c r="L125" s="778"/>
      <c r="M125" s="778"/>
      <c r="N125" s="778"/>
      <c r="O125" s="778"/>
      <c r="P125" s="778"/>
      <c r="Q125" s="778"/>
      <c r="R125" s="778"/>
      <c r="S125" s="778"/>
      <c r="T125" s="778"/>
      <c r="U125" s="778"/>
      <c r="V125" s="778"/>
      <c r="W125" s="778" t="str">
        <f>IFERROR(VLOOKUP('General price list'!$C125,Popisy!A:P,MATCH($W$17,Popisy!$A$7:$P$7,0),FALSE),"---------------")</f>
        <v>6 verschiedenfarbige Effekte</v>
      </c>
      <c r="X125" s="778" t="str">
        <f t="shared" si="42"/>
        <v/>
      </c>
      <c r="Y125" s="770">
        <f>IF(OR(AP125&lt;AA125,AND(NOT(OR(LEFT(AB125,3)="SKL",LEFT(AB125,3)=LEFT($V$2,3))),AA125&gt;0),AND('Deutsche Markt'!$AH$1=FALSE,J125="F4",AA125&gt;0)),"",AA125)</f>
        <v>0</v>
      </c>
      <c r="Z125" s="778"/>
      <c r="AA125" s="771">
        <f>'Deutsche Markt'!AA125</f>
        <v>0</v>
      </c>
      <c r="AB125" s="778" t="str">
        <f>IFERROR(IF(VLOOKUP(C125,[1]List1!$A:$D,2,FALSE)="VYPRODÁNO",$V$9,IF(VLOOKUP(C125,[1]List1!$A:$D,2,FALSE)="DOCHÁZÍ",$V$3,VLOOKUP(C125,[1]List1!$A:$D,2,FALSE))),"OFFLINE!")</f>
        <v>20.06.2024</v>
      </c>
      <c r="AC125" s="778" t="str">
        <f ca="1">IF(AO125="NE",$V$10,IF(AB125=$V$3,IF(AP125&lt;1,$V$8,$V$2&amp;" "&amp;AP125&amp;" "&amp;$V$1),IF(AB125="SKLADEM",$V$6,IFERROR(IF(OR(AB125-TODAY()&gt;21,VLOOKUP(C125,[1]List1!$A:$E,4,FALSE)=0),AB125,DAY(AB125)&amp;"."&amp;MONTH(AB125)&amp;"."&amp;YEAR(AB125)&amp;" "&amp;$V$4&amp;VLOOKUP(C125,[1]List1!$A:$E,4,FALSE)&amp;" "&amp;$V$1),AB125))))</f>
        <v>20.06.2024</v>
      </c>
      <c r="AD125" s="778" t="str">
        <f t="shared" ca="1" si="43"/>
        <v>20.06.2024</v>
      </c>
      <c r="AE125" s="599"/>
      <c r="AF125" s="599"/>
      <c r="AG125" s="599"/>
      <c r="AH125" s="599"/>
      <c r="AI125" s="599"/>
      <c r="AJ125" s="599"/>
      <c r="AK125" s="599"/>
      <c r="AL125" s="599"/>
      <c r="AM125" s="599"/>
      <c r="AN125" s="566"/>
      <c r="AO125" s="567" t="str">
        <f t="shared" si="34"/>
        <v/>
      </c>
      <c r="AP125" s="292" t="str">
        <f>IF(AB125=$V$3,IF(VLOOKUP(C125,[1]List1!$A:$E,5,FALSE)=0,1,VLOOKUP(C125,[1]List1!$A:$E,5,FALSE)),"")</f>
        <v/>
      </c>
      <c r="AQ125" s="292" t="str">
        <f t="shared" si="35"/>
        <v/>
      </c>
      <c r="AR125" s="618" t="str">
        <f t="shared" si="36"/>
        <v/>
      </c>
      <c r="AS125" s="292" t="str">
        <f t="shared" si="37"/>
        <v/>
      </c>
      <c r="AT125" s="377" t="e">
        <f t="shared" si="38"/>
        <v>#N/A</v>
      </c>
      <c r="AU125" s="292" t="e">
        <f t="shared" si="39"/>
        <v>#N/A</v>
      </c>
    </row>
    <row r="126" spans="1:47" ht="15" customHeight="1">
      <c r="A126" s="601" t="str">
        <f>Kat.!B126</f>
        <v/>
      </c>
      <c r="B126" s="601">
        <f t="shared" si="25"/>
        <v>1</v>
      </c>
      <c r="C126" s="758" t="s">
        <v>421</v>
      </c>
      <c r="D126" s="759"/>
      <c r="E126" s="760"/>
      <c r="F126" s="761"/>
      <c r="G126" s="762"/>
      <c r="H126" s="596"/>
      <c r="I126" s="763"/>
      <c r="J126" s="764"/>
      <c r="K126" s="774"/>
      <c r="L126" s="766"/>
      <c r="M126" s="764"/>
      <c r="N126" s="767"/>
      <c r="O126" s="763"/>
      <c r="P126" s="763"/>
      <c r="Q126" s="764"/>
      <c r="R126" s="764"/>
      <c r="S126" s="764"/>
      <c r="T126" s="761"/>
      <c r="U126" s="768"/>
      <c r="V126" s="768"/>
      <c r="W126" s="769" t="str">
        <f>IFERROR(VLOOKUP('General price list'!$C126,Popisy!A:P,MATCH($W$17,Popisy!$A$7:$P$7,0),FALSE),"---------------")</f>
        <v>Rotierender Fountain</v>
      </c>
      <c r="X126" s="769" t="str">
        <f t="shared" si="42"/>
        <v/>
      </c>
      <c r="Y126" s="770">
        <f>IF(OR(AP126&lt;AA126,AND(NOT(OR(LEFT(AB126,3)="SKL",LEFT(AB126,3)=LEFT($V$2,3))),AA126&gt;0),AND('Deutsche Markt'!$AH$1=FALSE,J126="F4",AA126&gt;0)),"",AA126)</f>
        <v>0</v>
      </c>
      <c r="Z126" s="769"/>
      <c r="AA126" s="771">
        <f>'Deutsche Markt'!AA126</f>
        <v>0</v>
      </c>
      <c r="AB126" s="772" t="str">
        <f>IFERROR(IF(VLOOKUP(C126,[1]List1!$A:$D,2,FALSE)="VYPRODÁNO",$V$9,IF(VLOOKUP(C126,[1]List1!$A:$D,2,FALSE)="DOCHÁZÍ",$V$3,VLOOKUP(C126,[1]List1!$A:$D,2,FALSE))),"OFFLINE!")</f>
        <v>20.06.2024</v>
      </c>
      <c r="AC126" s="772" t="str">
        <f ca="1">IF(AO126="NE",$V$10,IF(AB126=$V$3,IF(AP126&lt;1,$V$8,$V$2&amp;" "&amp;AP126&amp;" "&amp;$V$1),IF(AB126="SKLADEM",$V$6,IFERROR(IF(OR(AB126-TODAY()&gt;21,VLOOKUP(C126,[1]List1!$A:$E,4,FALSE)=0),AB126,DAY(AB126)&amp;"."&amp;MONTH(AB126)&amp;"."&amp;YEAR(AB126)&amp;" "&amp;$V$4&amp;VLOOKUP(C126,[1]List1!$A:$E,4,FALSE)&amp;" "&amp;$V$1),AB126))))</f>
        <v>20.06.2024</v>
      </c>
      <c r="AD126" s="772" t="str">
        <f t="shared" ca="1" si="43"/>
        <v>20.06.2024</v>
      </c>
      <c r="AE126" s="605"/>
      <c r="AF126" s="605"/>
      <c r="AG126" s="615"/>
      <c r="AH126" s="616"/>
      <c r="AI126" s="615"/>
      <c r="AJ126" s="617"/>
      <c r="AK126" s="617"/>
      <c r="AL126" s="617"/>
      <c r="AM126" s="617"/>
      <c r="AO126" s="567" t="str">
        <f t="shared" si="34"/>
        <v/>
      </c>
      <c r="AP126" s="568" t="str">
        <f>IF(AB126=$V$3,IF(VLOOKUP(C126,[1]List1!$A:$E,5,FALSE)=0,1,VLOOKUP(C126,[1]List1!$A:$E,5,FALSE)),"")</f>
        <v/>
      </c>
      <c r="AQ126" s="292" t="str">
        <f t="shared" si="35"/>
        <v/>
      </c>
      <c r="AR126" s="618" t="str">
        <f t="shared" si="36"/>
        <v/>
      </c>
      <c r="AS126" s="292" t="str">
        <f t="shared" si="37"/>
        <v/>
      </c>
      <c r="AT126" s="377" t="e">
        <f t="shared" si="38"/>
        <v>#N/A</v>
      </c>
      <c r="AU126" s="292" t="e">
        <f t="shared" si="39"/>
        <v>#N/A</v>
      </c>
    </row>
    <row r="127" spans="1:47" ht="15" customHeight="1">
      <c r="A127" s="601" t="str">
        <f>Kat.!B127</f>
        <v>Vulkane</v>
      </c>
      <c r="B127" s="601">
        <f t="shared" si="25"/>
        <v>0</v>
      </c>
      <c r="C127" s="758"/>
      <c r="D127" s="759"/>
      <c r="E127" s="760"/>
      <c r="F127" s="761"/>
      <c r="G127" s="762"/>
      <c r="H127" s="596"/>
      <c r="I127" s="763"/>
      <c r="J127" s="764"/>
      <c r="K127" s="781"/>
      <c r="L127" s="766"/>
      <c r="M127" s="764"/>
      <c r="N127" s="767"/>
      <c r="O127" s="763"/>
      <c r="P127" s="763"/>
      <c r="Q127" s="764"/>
      <c r="R127" s="764"/>
      <c r="S127" s="764"/>
      <c r="T127" s="761"/>
      <c r="U127" s="768"/>
      <c r="V127" s="768"/>
      <c r="W127" s="769" t="str">
        <f>IFERROR(VLOOKUP('General price list'!$C127,Popisy!A:P,MATCH($W$17,Popisy!$A$7:$P$7,0),FALSE),"---------------")</f>
        <v>---------------</v>
      </c>
      <c r="X127" s="769" t="str">
        <f t="shared" si="42"/>
        <v/>
      </c>
      <c r="Y127" s="770">
        <f>IF(OR(AP127&lt;AA127,AND(NOT(OR(LEFT(AB127,3)="SKL",LEFT(AB127,3)=LEFT($V$2,3))),AA127&gt;0),AND('Deutsche Markt'!$AH$1=FALSE,J127="F4",AA127&gt;0)),"",AA127)</f>
        <v>0</v>
      </c>
      <c r="Z127" s="769"/>
      <c r="AA127" s="771">
        <f>'Deutsche Markt'!AA127</f>
        <v>0</v>
      </c>
      <c r="AB127" s="772" t="str">
        <f>IFERROR(IF(VLOOKUP(C127,[1]List1!$A:$D,2,FALSE)="VYPRODÁNO",$V$9,IF(VLOOKUP(C127,[1]List1!$A:$D,2,FALSE)="DOCHÁZÍ",$V$3,VLOOKUP(C127,[1]List1!$A:$D,2,FALSE))),"OFFLINE!")</f>
        <v>OFFLINE!</v>
      </c>
      <c r="AC127" s="772" t="str">
        <f ca="1">IF(AO127="NE",$V$10,IF(AB127=$V$3,IF(AP127&lt;1,$V$8,$V$2&amp;" "&amp;AP127&amp;" "&amp;$V$1),IF(AB127="SKLADEM",$V$6,IFERROR(IF(OR(AB127-TODAY()&gt;21,VLOOKUP(C127,[1]List1!$A:$E,4,FALSE)=0),AB127,DAY(AB127)&amp;"."&amp;MONTH(AB127)&amp;"."&amp;YEAR(AB127)&amp;" "&amp;$V$4&amp;VLOOKUP(C127,[1]List1!$A:$E,4,FALSE)&amp;" "&amp;$V$1),AB127))))</f>
        <v>OFFLINE!</v>
      </c>
      <c r="AD127" s="772" t="str">
        <f t="shared" ca="1" si="43"/>
        <v>OFFLINE!</v>
      </c>
      <c r="AE127" s="605"/>
      <c r="AF127" s="605"/>
      <c r="AG127" s="615"/>
      <c r="AH127" s="616"/>
      <c r="AI127" s="615"/>
      <c r="AJ127" s="617"/>
      <c r="AK127" s="617"/>
      <c r="AL127" s="617"/>
      <c r="AM127" s="617"/>
      <c r="AO127" s="567" t="str">
        <f t="shared" si="34"/>
        <v/>
      </c>
      <c r="AP127" s="568" t="str">
        <f>IF(AB127=$V$3,IF(VLOOKUP(C127,[1]List1!$A:$E,5,FALSE)=0,1,VLOOKUP(C127,[1]List1!$A:$E,5,FALSE)),"")</f>
        <v/>
      </c>
      <c r="AQ127" s="292" t="str">
        <f t="shared" si="35"/>
        <v/>
      </c>
      <c r="AR127" s="618" t="str">
        <f t="shared" si="36"/>
        <v/>
      </c>
      <c r="AS127" s="292" t="str">
        <f t="shared" si="37"/>
        <v/>
      </c>
      <c r="AT127" s="377" t="e">
        <f t="shared" si="38"/>
        <v>#N/A</v>
      </c>
      <c r="AU127" s="292" t="e">
        <f t="shared" si="39"/>
        <v>#N/A</v>
      </c>
    </row>
    <row r="128" spans="1:47" ht="15" customHeight="1">
      <c r="A128" s="601" t="str">
        <f>Kat.!B128</f>
        <v/>
      </c>
      <c r="B128" s="601">
        <f t="shared" si="25"/>
        <v>1</v>
      </c>
      <c r="C128" s="758" t="s">
        <v>426</v>
      </c>
      <c r="D128" s="759"/>
      <c r="E128" s="760"/>
      <c r="F128" s="761"/>
      <c r="G128" s="762"/>
      <c r="H128" s="596"/>
      <c r="I128" s="763"/>
      <c r="J128" s="764"/>
      <c r="K128" s="774"/>
      <c r="L128" s="766"/>
      <c r="M128" s="764"/>
      <c r="N128" s="767"/>
      <c r="O128" s="763"/>
      <c r="P128" s="763"/>
      <c r="Q128" s="764"/>
      <c r="R128" s="764"/>
      <c r="S128" s="764"/>
      <c r="T128" s="761"/>
      <c r="U128" s="768"/>
      <c r="V128" s="768"/>
      <c r="W128" s="769" t="str">
        <f>IFERROR(VLOOKUP('General price list'!$C128,Popisy!A:P,MATCH($W$17,Popisy!$A$7:$P$7,0),FALSE),"---------------")</f>
        <v xml:space="preserve">Farbsterne, 3m Effekthöhe, </v>
      </c>
      <c r="X128" s="769" t="str">
        <f t="shared" si="42"/>
        <v/>
      </c>
      <c r="Y128" s="770">
        <f>IF(OR(AP128&lt;AA128,AND(NOT(OR(LEFT(AB128,3)="SKL",LEFT(AB128,3)=LEFT($V$2,3))),AA128&gt;0),AND('Deutsche Markt'!$AH$1=FALSE,J128="F4",AA128&gt;0)),"",AA128)</f>
        <v>0</v>
      </c>
      <c r="Z128" s="769"/>
      <c r="AA128" s="771">
        <f>'Deutsche Markt'!AA128</f>
        <v>0</v>
      </c>
      <c r="AB128" s="772" t="str">
        <f>IFERROR(IF(VLOOKUP(C128,[1]List1!$A:$D,2,FALSE)="VYPRODÁNO",$V$9,IF(VLOOKUP(C128,[1]List1!$A:$D,2,FALSE)="DOCHÁZÍ",$V$3,VLOOKUP(C128,[1]List1!$A:$D,2,FALSE))),"OFFLINE!")</f>
        <v>SKLADEM</v>
      </c>
      <c r="AC128" s="772" t="str">
        <f ca="1">IF(AO128="NE",$V$10,IF(AB128=$V$3,IF(AP128&lt;1,$V$8,$V$2&amp;" "&amp;AP128&amp;" "&amp;$V$1),IF(AB128="SKLADEM",$V$6,IFERROR(IF(OR(AB128-TODAY()&gt;21,VLOOKUP(C128,[1]List1!$A:$E,4,FALSE)=0),AB128,DAY(AB128)&amp;"."&amp;MONTH(AB128)&amp;"."&amp;YEAR(AB128)&amp;" "&amp;$V$4&amp;VLOOKUP(C128,[1]List1!$A:$E,4,FALSE)&amp;" "&amp;$V$1),AB128))))</f>
        <v>AUF LAGER</v>
      </c>
      <c r="AD128" s="772" t="str">
        <f t="shared" ca="1" si="43"/>
        <v>AUF LAGER</v>
      </c>
      <c r="AE128" s="605"/>
      <c r="AF128" s="605"/>
      <c r="AG128" s="615"/>
      <c r="AH128" s="616"/>
      <c r="AI128" s="615"/>
      <c r="AJ128" s="617"/>
      <c r="AK128" s="617"/>
      <c r="AL128" s="617"/>
      <c r="AM128" s="617"/>
      <c r="AO128" s="567" t="str">
        <f t="shared" si="34"/>
        <v/>
      </c>
      <c r="AP128" s="568" t="str">
        <f>IF(AB128=$V$3,IF(VLOOKUP(C128,[1]List1!$A:$E,5,FALSE)=0,1,VLOOKUP(C128,[1]List1!$A:$E,5,FALSE)),"")</f>
        <v/>
      </c>
      <c r="AQ128" s="292" t="str">
        <f t="shared" si="35"/>
        <v/>
      </c>
      <c r="AR128" s="618" t="str">
        <f t="shared" si="36"/>
        <v/>
      </c>
      <c r="AS128" s="292" t="str">
        <f t="shared" si="37"/>
        <v/>
      </c>
      <c r="AT128" s="377" t="e">
        <f t="shared" si="38"/>
        <v>#N/A</v>
      </c>
      <c r="AU128" s="292" t="e">
        <f t="shared" si="39"/>
        <v>#N/A</v>
      </c>
    </row>
    <row r="129" spans="1:47" ht="15" customHeight="1">
      <c r="A129" s="601" t="str">
        <f>Kat.!B129</f>
        <v/>
      </c>
      <c r="B129" s="601">
        <f t="shared" si="25"/>
        <v>1</v>
      </c>
      <c r="C129" s="758" t="s">
        <v>430</v>
      </c>
      <c r="D129" s="759"/>
      <c r="E129" s="760"/>
      <c r="F129" s="761"/>
      <c r="G129" s="762"/>
      <c r="H129" s="596"/>
      <c r="I129" s="763"/>
      <c r="J129" s="764"/>
      <c r="K129" s="781"/>
      <c r="L129" s="766"/>
      <c r="M129" s="764"/>
      <c r="N129" s="767"/>
      <c r="O129" s="763"/>
      <c r="P129" s="763"/>
      <c r="Q129" s="764"/>
      <c r="R129" s="764"/>
      <c r="S129" s="764"/>
      <c r="T129" s="761"/>
      <c r="U129" s="768"/>
      <c r="V129" s="768"/>
      <c r="W129" s="769" t="str">
        <f>IFERROR(VLOOKUP('General price list'!$C129,Popisy!A:P,MATCH($W$17,Popisy!$A$7:$P$7,0),FALSE),"---------------")</f>
        <v xml:space="preserve">Knallende Doppelsterne, 3m Effekthöhe, </v>
      </c>
      <c r="X129" s="769" t="str">
        <f t="shared" si="42"/>
        <v/>
      </c>
      <c r="Y129" s="770">
        <f>IF(OR(AP129&lt;AA129,AND(NOT(OR(LEFT(AB129,3)="SKL",LEFT(AB129,3)=LEFT($V$2,3))),AA129&gt;0),AND('Deutsche Markt'!$AH$1=FALSE,J129="F4",AA129&gt;0)),"",AA129)</f>
        <v>0</v>
      </c>
      <c r="Z129" s="769"/>
      <c r="AA129" s="771">
        <f>'Deutsche Markt'!AA129</f>
        <v>0</v>
      </c>
      <c r="AB129" s="772" t="str">
        <f>IFERROR(IF(VLOOKUP(C129,[1]List1!$A:$D,2,FALSE)="VYPRODÁNO",$V$9,IF(VLOOKUP(C129,[1]List1!$A:$D,2,FALSE)="DOCHÁZÍ",$V$3,VLOOKUP(C129,[1]List1!$A:$D,2,FALSE))),"OFFLINE!")</f>
        <v>SKLADEM</v>
      </c>
      <c r="AC129" s="772" t="str">
        <f ca="1">IF(AO129="NE",$V$10,IF(AB129=$V$3,IF(AP129&lt;1,$V$8,$V$2&amp;" "&amp;AP129&amp;" "&amp;$V$1),IF(AB129="SKLADEM",$V$6,IFERROR(IF(OR(AB129-TODAY()&gt;21,VLOOKUP(C129,[1]List1!$A:$E,4,FALSE)=0),AB129,DAY(AB129)&amp;"."&amp;MONTH(AB129)&amp;"."&amp;YEAR(AB129)&amp;" "&amp;$V$4&amp;VLOOKUP(C129,[1]List1!$A:$E,4,FALSE)&amp;" "&amp;$V$1),AB129))))</f>
        <v>AUF LAGER</v>
      </c>
      <c r="AD129" s="772" t="str">
        <f t="shared" ca="1" si="43"/>
        <v>AUF LAGER</v>
      </c>
      <c r="AE129" s="605"/>
      <c r="AF129" s="605"/>
      <c r="AG129" s="615"/>
      <c r="AH129" s="616"/>
      <c r="AI129" s="615"/>
      <c r="AJ129" s="617"/>
      <c r="AK129" s="617"/>
      <c r="AL129" s="617"/>
      <c r="AM129" s="617"/>
      <c r="AO129" s="567" t="str">
        <f t="shared" si="34"/>
        <v/>
      </c>
      <c r="AP129" s="568" t="str">
        <f>IF(AB129=$V$3,IF(VLOOKUP(C129,[1]List1!$A:$E,5,FALSE)=0,1,VLOOKUP(C129,[1]List1!$A:$E,5,FALSE)),"")</f>
        <v/>
      </c>
      <c r="AQ129" s="292" t="str">
        <f t="shared" si="35"/>
        <v/>
      </c>
      <c r="AR129" s="618" t="str">
        <f t="shared" si="36"/>
        <v/>
      </c>
      <c r="AS129" s="292" t="str">
        <f t="shared" si="37"/>
        <v/>
      </c>
      <c r="AT129" s="377" t="e">
        <f t="shared" si="38"/>
        <v>#N/A</v>
      </c>
      <c r="AU129" s="292" t="e">
        <f t="shared" si="39"/>
        <v>#N/A</v>
      </c>
    </row>
    <row r="130" spans="1:47" ht="15" customHeight="1">
      <c r="A130" s="601" t="str">
        <f>Kat.!B130</f>
        <v>x</v>
      </c>
      <c r="B130" s="601">
        <f t="shared" si="25"/>
        <v>1</v>
      </c>
      <c r="C130" s="758" t="s">
        <v>431</v>
      </c>
      <c r="D130" s="759"/>
      <c r="E130" s="760"/>
      <c r="F130" s="761"/>
      <c r="G130" s="762"/>
      <c r="H130" s="596"/>
      <c r="I130" s="763"/>
      <c r="J130" s="764"/>
      <c r="K130" s="774"/>
      <c r="L130" s="766"/>
      <c r="M130" s="764"/>
      <c r="N130" s="767"/>
      <c r="O130" s="763"/>
      <c r="P130" s="763"/>
      <c r="Q130" s="764"/>
      <c r="R130" s="764"/>
      <c r="S130" s="764"/>
      <c r="T130" s="761"/>
      <c r="U130" s="768"/>
      <c r="V130" s="768"/>
      <c r="W130" s="769" t="str">
        <f>IFERROR(VLOOKUP('General price list'!$C130,Popisy!A:P,MATCH($W$17,Popisy!$A$7:$P$7,0),FALSE),"---------------")</f>
        <v>Silbersterne, 4 m Effekthöhe,</v>
      </c>
      <c r="X130" s="769" t="str">
        <f t="shared" si="42"/>
        <v/>
      </c>
      <c r="Y130" s="770">
        <f>IF(OR(AP130&lt;AA130,AND(NOT(OR(LEFT(AB130,3)="SKL",LEFT(AB130,3)=LEFT($V$2,3))),AA130&gt;0),AND('Deutsche Markt'!$AH$1=FALSE,J130="F4",AA130&gt;0)),"",AA130)</f>
        <v>0</v>
      </c>
      <c r="Z130" s="769"/>
      <c r="AA130" s="771">
        <f>'Deutsche Markt'!AA130</f>
        <v>0</v>
      </c>
      <c r="AB130" s="772" t="str">
        <f>IFERROR(IF(VLOOKUP(C130,[1]List1!$A:$D,2,FALSE)="VYPRODÁNO",$V$9,IF(VLOOKUP(C130,[1]List1!$A:$D,2,FALSE)="DOCHÁZÍ",$V$3,VLOOKUP(C130,[1]List1!$A:$D,2,FALSE))),"OFFLINE!")</f>
        <v>SKLADEM</v>
      </c>
      <c r="AC130" s="772" t="str">
        <f ca="1">IF(AO130="NE",$V$10,IF(AB130=$V$3,IF(AP130&lt;1,$V$8,$V$2&amp;" "&amp;AP130&amp;" "&amp;$V$1),IF(AB130="SKLADEM",$V$6,IFERROR(IF(OR(AB130-TODAY()&gt;21,VLOOKUP(C130,[1]List1!$A:$E,4,FALSE)=0),AB130,DAY(AB130)&amp;"."&amp;MONTH(AB130)&amp;"."&amp;YEAR(AB130)&amp;" "&amp;$V$4&amp;VLOOKUP(C130,[1]List1!$A:$E,4,FALSE)&amp;" "&amp;$V$1),AB130))))</f>
        <v>AUF LAGER</v>
      </c>
      <c r="AD130" s="772" t="str">
        <f t="shared" ca="1" si="43"/>
        <v>AUF LAGER</v>
      </c>
      <c r="AE130" s="605"/>
      <c r="AF130" s="605"/>
      <c r="AG130" s="615"/>
      <c r="AH130" s="616"/>
      <c r="AI130" s="615"/>
      <c r="AJ130" s="617"/>
      <c r="AK130" s="617"/>
      <c r="AL130" s="617"/>
      <c r="AM130" s="617"/>
      <c r="AO130" s="567" t="str">
        <f t="shared" si="34"/>
        <v/>
      </c>
      <c r="AP130" s="568" t="str">
        <f>IF(AB130=$V$3,IF(VLOOKUP(C130,[1]List1!$A:$E,5,FALSE)=0,1,VLOOKUP(C130,[1]List1!$A:$E,5,FALSE)),"")</f>
        <v/>
      </c>
      <c r="AQ130" s="292" t="str">
        <f t="shared" si="35"/>
        <v/>
      </c>
      <c r="AR130" s="618" t="str">
        <f t="shared" si="36"/>
        <v/>
      </c>
      <c r="AS130" s="292" t="str">
        <f t="shared" si="37"/>
        <v/>
      </c>
      <c r="AT130" s="377" t="e">
        <f t="shared" si="38"/>
        <v>#N/A</v>
      </c>
      <c r="AU130" s="292" t="e">
        <f t="shared" si="39"/>
        <v>#N/A</v>
      </c>
    </row>
    <row r="131" spans="1:47" ht="15" customHeight="1">
      <c r="A131" s="601" t="str">
        <f>Kat.!B131</f>
        <v/>
      </c>
      <c r="B131" s="601">
        <f t="shared" si="25"/>
        <v>1</v>
      </c>
      <c r="C131" s="758" t="s">
        <v>436</v>
      </c>
      <c r="D131" s="759"/>
      <c r="E131" s="760"/>
      <c r="F131" s="761"/>
      <c r="G131" s="762"/>
      <c r="H131" s="596"/>
      <c r="I131" s="763"/>
      <c r="J131" s="764"/>
      <c r="K131" s="781"/>
      <c r="L131" s="766"/>
      <c r="M131" s="764"/>
      <c r="N131" s="767"/>
      <c r="O131" s="763"/>
      <c r="P131" s="763"/>
      <c r="Q131" s="764"/>
      <c r="R131" s="764"/>
      <c r="S131" s="764"/>
      <c r="T131" s="761"/>
      <c r="U131" s="768"/>
      <c r="V131" s="768"/>
      <c r="W131" s="769" t="str">
        <f>IFERROR(VLOOKUP('General price list'!$C131,Popisy!A:P,MATCH($W$17,Popisy!$A$7:$P$7,0),FALSE),"---------------")</f>
        <v xml:space="preserve">Knallende Silbersterne, 4 m Effekthöhe, </v>
      </c>
      <c r="X131" s="769" t="str">
        <f t="shared" si="42"/>
        <v/>
      </c>
      <c r="Y131" s="770">
        <f>IF(OR(AP131&lt;AA131,AND(NOT(OR(LEFT(AB131,3)="SKL",LEFT(AB131,3)=LEFT($V$2,3))),AA131&gt;0),AND('Deutsche Markt'!$AH$1=FALSE,J131="F4",AA131&gt;0)),"",AA131)</f>
        <v>0</v>
      </c>
      <c r="Z131" s="769"/>
      <c r="AA131" s="771">
        <f>'Deutsche Markt'!AA131</f>
        <v>0</v>
      </c>
      <c r="AB131" s="772" t="str">
        <f>IFERROR(IF(VLOOKUP(C131,[1]List1!$A:$D,2,FALSE)="VYPRODÁNO",$V$9,IF(VLOOKUP(C131,[1]List1!$A:$D,2,FALSE)="DOCHÁZÍ",$V$3,VLOOKUP(C131,[1]List1!$A:$D,2,FALSE))),"OFFLINE!")</f>
        <v>SKLADEM</v>
      </c>
      <c r="AC131" s="772" t="str">
        <f ca="1">IF(AO131="NE",$V$10,IF(AB131=$V$3,IF(AP131&lt;1,$V$8,$V$2&amp;" "&amp;AP131&amp;" "&amp;$V$1),IF(AB131="SKLADEM",$V$6,IFERROR(IF(OR(AB131-TODAY()&gt;21,VLOOKUP(C131,[1]List1!$A:$E,4,FALSE)=0),AB131,DAY(AB131)&amp;"."&amp;MONTH(AB131)&amp;"."&amp;YEAR(AB131)&amp;" "&amp;$V$4&amp;VLOOKUP(C131,[1]List1!$A:$E,4,FALSE)&amp;" "&amp;$V$1),AB131))))</f>
        <v>AUF LAGER</v>
      </c>
      <c r="AD131" s="772" t="str">
        <f t="shared" ca="1" si="43"/>
        <v>AUF LAGER</v>
      </c>
      <c r="AE131" s="605"/>
      <c r="AF131" s="605"/>
      <c r="AG131" s="615"/>
      <c r="AH131" s="616"/>
      <c r="AI131" s="615"/>
      <c r="AJ131" s="617"/>
      <c r="AK131" s="617"/>
      <c r="AL131" s="617"/>
      <c r="AM131" s="617"/>
      <c r="AO131" s="567" t="str">
        <f t="shared" si="34"/>
        <v/>
      </c>
      <c r="AP131" s="568" t="str">
        <f>IF(AB131=$V$3,IF(VLOOKUP(C131,[1]List1!$A:$E,5,FALSE)=0,1,VLOOKUP(C131,[1]List1!$A:$E,5,FALSE)),"")</f>
        <v/>
      </c>
      <c r="AQ131" s="292" t="str">
        <f t="shared" si="35"/>
        <v/>
      </c>
      <c r="AR131" s="618" t="str">
        <f t="shared" si="36"/>
        <v/>
      </c>
      <c r="AS131" s="292" t="str">
        <f t="shared" si="37"/>
        <v/>
      </c>
      <c r="AT131" s="377" t="e">
        <f t="shared" si="38"/>
        <v>#N/A</v>
      </c>
      <c r="AU131" s="292" t="e">
        <f t="shared" si="39"/>
        <v>#N/A</v>
      </c>
    </row>
    <row r="132" spans="1:47" ht="15" customHeight="1">
      <c r="A132" s="601" t="str">
        <f>Kat.!B132</f>
        <v/>
      </c>
      <c r="B132" s="601">
        <f t="shared" si="25"/>
        <v>1</v>
      </c>
      <c r="C132" s="758" t="s">
        <v>440</v>
      </c>
      <c r="D132" s="759"/>
      <c r="E132" s="760"/>
      <c r="F132" s="761"/>
      <c r="G132" s="762"/>
      <c r="H132" s="596"/>
      <c r="I132" s="763"/>
      <c r="J132" s="764"/>
      <c r="K132" s="774"/>
      <c r="L132" s="766"/>
      <c r="M132" s="764"/>
      <c r="N132" s="767"/>
      <c r="O132" s="763"/>
      <c r="P132" s="763"/>
      <c r="Q132" s="764"/>
      <c r="R132" s="764"/>
      <c r="S132" s="764"/>
      <c r="T132" s="761"/>
      <c r="U132" s="768"/>
      <c r="V132" s="768"/>
      <c r="W132" s="769" t="str">
        <f>IFERROR(VLOOKUP('General price list'!$C132,Popisy!A:P,MATCH($W$17,Popisy!$A$7:$P$7,0),FALSE),"---------------")</f>
        <v xml:space="preserve">Farbsterne, 4 m Effekthöhe, </v>
      </c>
      <c r="X132" s="769" t="str">
        <f t="shared" si="42"/>
        <v/>
      </c>
      <c r="Y132" s="770">
        <f>IF(OR(AP132&lt;AA132,AND(NOT(OR(LEFT(AB132,3)="SKL",LEFT(AB132,3)=LEFT($V$2,3))),AA132&gt;0),AND('Deutsche Markt'!$AH$1=FALSE,J132="F4",AA132&gt;0)),"",AA132)</f>
        <v>0</v>
      </c>
      <c r="Z132" s="769"/>
      <c r="AA132" s="771">
        <f>'Deutsche Markt'!AA132</f>
        <v>0</v>
      </c>
      <c r="AB132" s="772" t="str">
        <f>IFERROR(IF(VLOOKUP(C132,[1]List1!$A:$D,2,FALSE)="VYPRODÁNO",$V$9,IF(VLOOKUP(C132,[1]List1!$A:$D,2,FALSE)="DOCHÁZÍ",$V$3,VLOOKUP(C132,[1]List1!$A:$D,2,FALSE))),"OFFLINE!")</f>
        <v>30.09.2024</v>
      </c>
      <c r="AC132" s="772" t="str">
        <f ca="1">IF(AO132="NE",$V$10,IF(AB132=$V$3,IF(AP132&lt;1,$V$8,$V$2&amp;" "&amp;AP132&amp;" "&amp;$V$1),IF(AB132="SKLADEM",$V$6,IFERROR(IF(OR(AB132-TODAY()&gt;21,VLOOKUP(C132,[1]List1!$A:$E,4,FALSE)=0),AB132,DAY(AB132)&amp;"."&amp;MONTH(AB132)&amp;"."&amp;YEAR(AB132)&amp;" "&amp;$V$4&amp;VLOOKUP(C132,[1]List1!$A:$E,4,FALSE)&amp;" "&amp;$V$1),AB132))))</f>
        <v>30.09.2024</v>
      </c>
      <c r="AD132" s="772" t="str">
        <f t="shared" ca="1" si="43"/>
        <v>30.09.2024</v>
      </c>
      <c r="AE132" s="605"/>
      <c r="AF132" s="605"/>
      <c r="AG132" s="615"/>
      <c r="AH132" s="616"/>
      <c r="AI132" s="615"/>
      <c r="AJ132" s="617"/>
      <c r="AK132" s="617"/>
      <c r="AL132" s="617"/>
      <c r="AM132" s="617"/>
      <c r="AO132" s="567" t="str">
        <f t="shared" si="34"/>
        <v/>
      </c>
      <c r="AP132" s="568" t="str">
        <f>IF(AB132=$V$3,IF(VLOOKUP(C132,[1]List1!$A:$E,5,FALSE)=0,1,VLOOKUP(C132,[1]List1!$A:$E,5,FALSE)),"")</f>
        <v/>
      </c>
      <c r="AQ132" s="292" t="str">
        <f t="shared" si="35"/>
        <v/>
      </c>
      <c r="AR132" s="618" t="str">
        <f t="shared" si="36"/>
        <v/>
      </c>
      <c r="AS132" s="292" t="str">
        <f t="shared" si="37"/>
        <v/>
      </c>
      <c r="AT132" s="377" t="e">
        <f t="shared" si="38"/>
        <v>#N/A</v>
      </c>
      <c r="AU132" s="292" t="e">
        <f t="shared" si="39"/>
        <v>#N/A</v>
      </c>
    </row>
    <row r="133" spans="1:47" ht="15" customHeight="1">
      <c r="A133" s="601" t="str">
        <f>Kat.!B133</f>
        <v/>
      </c>
      <c r="B133" s="601">
        <f t="shared" si="25"/>
        <v>1</v>
      </c>
      <c r="C133" s="758" t="s">
        <v>442</v>
      </c>
      <c r="D133" s="759"/>
      <c r="E133" s="760"/>
      <c r="F133" s="761"/>
      <c r="G133" s="762"/>
      <c r="H133" s="596"/>
      <c r="I133" s="763"/>
      <c r="J133" s="764"/>
      <c r="K133" s="781"/>
      <c r="L133" s="766"/>
      <c r="M133" s="764"/>
      <c r="N133" s="767"/>
      <c r="O133" s="763"/>
      <c r="P133" s="763"/>
      <c r="Q133" s="764"/>
      <c r="R133" s="764"/>
      <c r="S133" s="764"/>
      <c r="T133" s="761"/>
      <c r="U133" s="768"/>
      <c r="V133" s="768"/>
      <c r="W133" s="769" t="str">
        <f>IFERROR(VLOOKUP('General price list'!$C133,Popisy!A:P,MATCH($W$17,Popisy!$A$7:$P$7,0),FALSE),"---------------")</f>
        <v xml:space="preserve">starrende Sterne+bunte Sterne, 5 m Effekthöhe, </v>
      </c>
      <c r="X133" s="769" t="str">
        <f t="shared" si="42"/>
        <v/>
      </c>
      <c r="Y133" s="770">
        <f>IF(OR(AP133&lt;AA133,AND(NOT(OR(LEFT(AB133,3)="SKL",LEFT(AB133,3)=LEFT($V$2,3))),AA133&gt;0),AND('Deutsche Markt'!$AH$1=FALSE,J133="F4",AA133&gt;0)),"",AA133)</f>
        <v>0</v>
      </c>
      <c r="Z133" s="769"/>
      <c r="AA133" s="771">
        <f>'Deutsche Markt'!AA133</f>
        <v>0</v>
      </c>
      <c r="AB133" s="772" t="str">
        <f>IFERROR(IF(VLOOKUP(C133,[1]List1!$A:$D,2,FALSE)="VYPRODÁNO",$V$9,IF(VLOOKUP(C133,[1]List1!$A:$D,2,FALSE)="DOCHÁZÍ",$V$3,VLOOKUP(C133,[1]List1!$A:$D,2,FALSE))),"OFFLINE!")</f>
        <v>LETZTE STÜCKE</v>
      </c>
      <c r="AC133" s="772" t="str">
        <f ca="1">IF(AO133="NE",$V$10,IF(AB133=$V$3,IF(AP133&lt;1,$V$8,$V$2&amp;" "&amp;AP133&amp;" "&amp;$V$1),IF(AB133="SKLADEM",$V$6,IFERROR(IF(OR(AB133-TODAY()&gt;21,VLOOKUP(C133,[1]List1!$A:$E,4,FALSE)=0),AB133,DAY(AB133)&amp;"."&amp;MONTH(AB133)&amp;"."&amp;YEAR(AB133)&amp;" "&amp;$V$4&amp;VLOOKUP(C133,[1]List1!$A:$E,4,FALSE)&amp;" "&amp;$V$1),AB133))))</f>
        <v>LETZTE 11 KTN</v>
      </c>
      <c r="AD133" s="772" t="str">
        <f t="shared" ca="1" si="43"/>
        <v>LETZTE 11 KTN</v>
      </c>
      <c r="AE133" s="605"/>
      <c r="AF133" s="605"/>
      <c r="AG133" s="615"/>
      <c r="AH133" s="616"/>
      <c r="AI133" s="615"/>
      <c r="AJ133" s="617"/>
      <c r="AK133" s="617"/>
      <c r="AL133" s="617"/>
      <c r="AM133" s="617"/>
      <c r="AO133" s="567" t="str">
        <f t="shared" si="34"/>
        <v/>
      </c>
      <c r="AP133" s="568">
        <f>IF(AB133=$V$3,IF(VLOOKUP(C133,[1]List1!$A:$E,5,FALSE)=0,1,VLOOKUP(C133,[1]List1!$A:$E,5,FALSE)),"")</f>
        <v>11</v>
      </c>
      <c r="AQ133" s="292" t="str">
        <f t="shared" si="35"/>
        <v/>
      </c>
      <c r="AR133" s="618" t="str">
        <f t="shared" si="36"/>
        <v/>
      </c>
      <c r="AS133" s="292" t="str">
        <f t="shared" si="37"/>
        <v/>
      </c>
      <c r="AT133" s="377" t="e">
        <f t="shared" si="38"/>
        <v>#N/A</v>
      </c>
      <c r="AU133" s="292" t="e">
        <f t="shared" si="39"/>
        <v>#N/A</v>
      </c>
    </row>
    <row r="134" spans="1:47" ht="15" customHeight="1">
      <c r="A134" s="601" t="str">
        <f>Kat.!B134</f>
        <v>Interieur Fontänen</v>
      </c>
      <c r="B134" s="601">
        <f t="shared" si="25"/>
        <v>0</v>
      </c>
      <c r="C134" s="758"/>
      <c r="D134" s="759"/>
      <c r="E134" s="760"/>
      <c r="F134" s="761"/>
      <c r="G134" s="762"/>
      <c r="H134" s="596"/>
      <c r="I134" s="763"/>
      <c r="J134" s="764"/>
      <c r="K134" s="774"/>
      <c r="L134" s="766"/>
      <c r="M134" s="764"/>
      <c r="N134" s="767"/>
      <c r="O134" s="763"/>
      <c r="P134" s="763"/>
      <c r="Q134" s="764"/>
      <c r="R134" s="764"/>
      <c r="S134" s="764"/>
      <c r="T134" s="761"/>
      <c r="U134" s="768"/>
      <c r="V134" s="768"/>
      <c r="W134" s="769" t="str">
        <f>IFERROR(VLOOKUP('General price list'!$C134,Popisy!A:P,MATCH($W$17,Popisy!$A$7:$P$7,0),FALSE),"---------------")</f>
        <v>---------------</v>
      </c>
      <c r="X134" s="769" t="str">
        <f t="shared" si="42"/>
        <v/>
      </c>
      <c r="Y134" s="770">
        <f>IF(OR(AP134&lt;AA134,AND(NOT(OR(LEFT(AB134,3)="SKL",LEFT(AB134,3)=LEFT($V$2,3))),AA134&gt;0),AND('Deutsche Markt'!$AH$1=FALSE,J134="F4",AA134&gt;0)),"",AA134)</f>
        <v>0</v>
      </c>
      <c r="Z134" s="769"/>
      <c r="AA134" s="771">
        <f>'Deutsche Markt'!AA134</f>
        <v>0</v>
      </c>
      <c r="AB134" s="772" t="str">
        <f>IFERROR(IF(VLOOKUP(C134,[1]List1!$A:$D,2,FALSE)="VYPRODÁNO",$V$9,IF(VLOOKUP(C134,[1]List1!$A:$D,2,FALSE)="DOCHÁZÍ",$V$3,VLOOKUP(C134,[1]List1!$A:$D,2,FALSE))),"OFFLINE!")</f>
        <v>OFFLINE!</v>
      </c>
      <c r="AC134" s="772" t="str">
        <f ca="1">IF(AO134="NE",$V$10,IF(AB134=$V$3,IF(AP134&lt;1,$V$8,$V$2&amp;" "&amp;AP134&amp;" "&amp;$V$1),IF(AB134="SKLADEM",$V$6,IFERROR(IF(OR(AB134-TODAY()&gt;21,VLOOKUP(C134,[1]List1!$A:$E,4,FALSE)=0),AB134,DAY(AB134)&amp;"."&amp;MONTH(AB134)&amp;"."&amp;YEAR(AB134)&amp;" "&amp;$V$4&amp;VLOOKUP(C134,[1]List1!$A:$E,4,FALSE)&amp;" "&amp;$V$1),AB134))))</f>
        <v>OFFLINE!</v>
      </c>
      <c r="AD134" s="772" t="str">
        <f t="shared" ca="1" si="43"/>
        <v>OFFLINE!</v>
      </c>
      <c r="AE134" s="605"/>
      <c r="AF134" s="605"/>
      <c r="AG134" s="615"/>
      <c r="AH134" s="616"/>
      <c r="AI134" s="615"/>
      <c r="AJ134" s="617"/>
      <c r="AK134" s="617"/>
      <c r="AL134" s="617"/>
      <c r="AM134" s="617"/>
      <c r="AO134" s="567" t="str">
        <f t="shared" si="34"/>
        <v/>
      </c>
      <c r="AP134" s="568" t="str">
        <f>IF(AB134=$V$3,IF(VLOOKUP(C134,[1]List1!$A:$E,5,FALSE)=0,1,VLOOKUP(C134,[1]List1!$A:$E,5,FALSE)),"")</f>
        <v/>
      </c>
      <c r="AQ134" s="292" t="str">
        <f t="shared" si="35"/>
        <v/>
      </c>
      <c r="AR134" s="618" t="str">
        <f t="shared" si="36"/>
        <v/>
      </c>
      <c r="AS134" s="292" t="str">
        <f t="shared" si="37"/>
        <v/>
      </c>
      <c r="AT134" s="377" t="e">
        <f t="shared" si="38"/>
        <v>#N/A</v>
      </c>
      <c r="AU134" s="292" t="e">
        <f t="shared" si="39"/>
        <v>#N/A</v>
      </c>
    </row>
    <row r="135" spans="1:47" ht="15" customHeight="1">
      <c r="A135" s="601" t="str">
        <f>Kat.!B135</f>
        <v/>
      </c>
      <c r="B135" s="601">
        <f t="shared" si="25"/>
        <v>1</v>
      </c>
      <c r="C135" s="758" t="s">
        <v>483</v>
      </c>
      <c r="D135" s="759"/>
      <c r="E135" s="760"/>
      <c r="F135" s="761"/>
      <c r="G135" s="762"/>
      <c r="H135" s="596"/>
      <c r="I135" s="763"/>
      <c r="J135" s="764"/>
      <c r="K135" s="781"/>
      <c r="L135" s="766"/>
      <c r="M135" s="764"/>
      <c r="N135" s="767"/>
      <c r="O135" s="763"/>
      <c r="P135" s="763"/>
      <c r="Q135" s="764"/>
      <c r="R135" s="764"/>
      <c r="S135" s="764"/>
      <c r="T135" s="761"/>
      <c r="U135" s="768"/>
      <c r="V135" s="768"/>
      <c r="W135" s="769" t="str">
        <f>IFERROR(VLOOKUP('General price list'!$C135,Popisy!A:P,MATCH($W$17,Popisy!$A$7:$P$7,0),FALSE),"---------------")</f>
        <v>Silberne Sterne (kaltes Feuer), Länge 10 cm, Lebensmittelattest!</v>
      </c>
      <c r="X135" s="769" t="str">
        <f t="shared" si="42"/>
        <v/>
      </c>
      <c r="Y135" s="770">
        <f>IF(OR(AP135&lt;AA135,AND(NOT(OR(LEFT(AB135,3)="SKL",LEFT(AB135,3)=LEFT($V$2,3))),AA135&gt;0),AND('Deutsche Markt'!$AH$1=FALSE,J135="F4",AA135&gt;0)),"",AA135)</f>
        <v>0</v>
      </c>
      <c r="Z135" s="769"/>
      <c r="AA135" s="771">
        <f>'Deutsche Markt'!AA135</f>
        <v>0</v>
      </c>
      <c r="AB135" s="772" t="str">
        <f>IFERROR(IF(VLOOKUP(C135,[1]List1!$A:$D,2,FALSE)="VYPRODÁNO",$V$9,IF(VLOOKUP(C135,[1]List1!$A:$D,2,FALSE)="DOCHÁZÍ",$V$3,VLOOKUP(C135,[1]List1!$A:$D,2,FALSE))),"OFFLINE!")</f>
        <v>15.08.2024</v>
      </c>
      <c r="AC135" s="772" t="str">
        <f ca="1">IF(AO135="NE",$V$10,IF(AB135=$V$3,IF(AP135&lt;1,$V$8,$V$2&amp;" "&amp;AP135&amp;" "&amp;$V$1),IF(AB135="SKLADEM",$V$6,IFERROR(IF(OR(AB135-TODAY()&gt;21,VLOOKUP(C135,[1]List1!$A:$E,4,FALSE)=0),AB135,DAY(AB135)&amp;"."&amp;MONTH(AB135)&amp;"."&amp;YEAR(AB135)&amp;" "&amp;$V$4&amp;VLOOKUP(C135,[1]List1!$A:$E,4,FALSE)&amp;" "&amp;$V$1),AB135))))</f>
        <v>15.08.2024</v>
      </c>
      <c r="AD135" s="772" t="str">
        <f t="shared" ca="1" si="43"/>
        <v>15.08.2024</v>
      </c>
      <c r="AE135" s="605"/>
      <c r="AF135" s="605"/>
      <c r="AG135" s="615"/>
      <c r="AH135" s="616"/>
      <c r="AI135" s="615"/>
      <c r="AJ135" s="617"/>
      <c r="AK135" s="617"/>
      <c r="AL135" s="617"/>
      <c r="AM135" s="617"/>
      <c r="AO135" s="567" t="str">
        <f t="shared" si="34"/>
        <v/>
      </c>
      <c r="AP135" s="568" t="str">
        <f>IF(AB135=$V$3,IF(VLOOKUP(C135,[1]List1!$A:$E,5,FALSE)=0,1,VLOOKUP(C135,[1]List1!$A:$E,5,FALSE)),"")</f>
        <v/>
      </c>
      <c r="AQ135" s="292" t="str">
        <f t="shared" si="35"/>
        <v/>
      </c>
      <c r="AR135" s="618" t="str">
        <f t="shared" si="36"/>
        <v/>
      </c>
      <c r="AS135" s="292" t="str">
        <f t="shared" si="37"/>
        <v/>
      </c>
      <c r="AT135" s="377" t="e">
        <f t="shared" si="38"/>
        <v>#N/A</v>
      </c>
      <c r="AU135" s="292" t="e">
        <f t="shared" si="39"/>
        <v>#N/A</v>
      </c>
    </row>
    <row r="136" spans="1:47" ht="15" customHeight="1">
      <c r="A136" s="601" t="str">
        <f>Kat.!B136</f>
        <v/>
      </c>
      <c r="B136" s="601">
        <f t="shared" si="25"/>
        <v>1</v>
      </c>
      <c r="C136" s="758" t="s">
        <v>489</v>
      </c>
      <c r="D136" s="759"/>
      <c r="E136" s="760"/>
      <c r="F136" s="761"/>
      <c r="G136" s="762"/>
      <c r="H136" s="596"/>
      <c r="I136" s="763"/>
      <c r="J136" s="764"/>
      <c r="K136" s="774"/>
      <c r="L136" s="766"/>
      <c r="M136" s="764"/>
      <c r="N136" s="767"/>
      <c r="O136" s="763"/>
      <c r="P136" s="763"/>
      <c r="Q136" s="764"/>
      <c r="R136" s="764"/>
      <c r="S136" s="764"/>
      <c r="T136" s="761"/>
      <c r="U136" s="768"/>
      <c r="V136" s="768"/>
      <c r="W136" s="769"/>
      <c r="X136" s="769"/>
      <c r="Y136" s="770">
        <f>IF(OR(AP136&lt;AA136,AND(NOT(OR(LEFT(AB136,3)="SKL",LEFT(AB136,3)=LEFT($V$2,3))),AA136&gt;0),AND('Deutsche Markt'!$AH$1=FALSE,J136="F4",AA136&gt;0)),"",AA136)</f>
        <v>0</v>
      </c>
      <c r="Z136" s="769"/>
      <c r="AA136" s="771">
        <f>'Deutsche Markt'!AA136</f>
        <v>0</v>
      </c>
      <c r="AB136" s="772"/>
      <c r="AC136" s="772"/>
      <c r="AD136" s="772"/>
      <c r="AE136" s="605"/>
      <c r="AF136" s="605"/>
      <c r="AG136" s="615"/>
      <c r="AH136" s="616"/>
      <c r="AI136" s="615"/>
      <c r="AJ136" s="617"/>
      <c r="AK136" s="617"/>
      <c r="AL136" s="617"/>
      <c r="AM136" s="617"/>
      <c r="AO136" s="567" t="str">
        <f t="shared" si="34"/>
        <v/>
      </c>
      <c r="AP136" s="568" t="str">
        <f>IF(AB136=$V$3,IF(VLOOKUP(C136,[1]List1!$A:$E,5,FALSE)=0,1,VLOOKUP(C136,[1]List1!$A:$E,5,FALSE)),"")</f>
        <v/>
      </c>
      <c r="AQ136" s="292" t="str">
        <f t="shared" si="35"/>
        <v/>
      </c>
      <c r="AR136" s="618" t="str">
        <f t="shared" si="36"/>
        <v/>
      </c>
      <c r="AS136" s="292" t="str">
        <f t="shared" si="37"/>
        <v/>
      </c>
      <c r="AT136" s="377" t="e">
        <f t="shared" si="38"/>
        <v>#N/A</v>
      </c>
      <c r="AU136" s="292" t="e">
        <f t="shared" si="39"/>
        <v>#N/A</v>
      </c>
    </row>
    <row r="137" spans="1:47" ht="15" customHeight="1">
      <c r="A137" s="601" t="str">
        <f>Kat.!B137</f>
        <v/>
      </c>
      <c r="B137" s="601">
        <f t="shared" si="25"/>
        <v>1</v>
      </c>
      <c r="C137" s="758" t="s">
        <v>497</v>
      </c>
      <c r="D137" s="759"/>
      <c r="E137" s="760"/>
      <c r="F137" s="761"/>
      <c r="G137" s="762"/>
      <c r="H137" s="596"/>
      <c r="I137" s="763"/>
      <c r="J137" s="764"/>
      <c r="K137" s="781"/>
      <c r="L137" s="766"/>
      <c r="M137" s="764"/>
      <c r="N137" s="767"/>
      <c r="O137" s="763"/>
      <c r="P137" s="763"/>
      <c r="Q137" s="764"/>
      <c r="R137" s="764"/>
      <c r="S137" s="764"/>
      <c r="T137" s="761"/>
      <c r="U137" s="768"/>
      <c r="V137" s="768"/>
      <c r="W137" s="769" t="str">
        <f>IFERROR(VLOOKUP('General price list'!$C137,Popisy!A:P,MATCH($W$17,Popisy!$A$7:$P$7,0),FALSE),"---------------")</f>
        <v>Silberne Sterne (kaltes Feuer), Länge 30 cm, Lebensmittelattest! Golden Papier für 1 Stk.</v>
      </c>
      <c r="X137" s="769" t="str">
        <f t="shared" ref="X137:X144" si="44">IF(AA137&lt;0.0001,"",AA137)</f>
        <v/>
      </c>
      <c r="Y137" s="770">
        <f>IF(OR(AP137&lt;AA137,AND(NOT(OR(LEFT(AB137,3)="SKL",LEFT(AB137,3)=LEFT($V$2,3))),AA137&gt;0),AND('Deutsche Markt'!$AH$1=FALSE,J137="F4",AA137&gt;0)),"",AA137)</f>
        <v>0</v>
      </c>
      <c r="Z137" s="769"/>
      <c r="AA137" s="771">
        <f>'Deutsche Markt'!AA137</f>
        <v>0</v>
      </c>
      <c r="AB137" s="772" t="str">
        <f>IFERROR(IF(VLOOKUP(C137,[1]List1!$A:$D,2,FALSE)="VYPRODÁNO",$V$9,IF(VLOOKUP(C137,[1]List1!$A:$D,2,FALSE)="DOCHÁZÍ",$V$3,VLOOKUP(C137,[1]List1!$A:$D,2,FALSE))),"OFFLINE!")</f>
        <v>15.03.2024</v>
      </c>
      <c r="AC137" s="772" t="str">
        <f ca="1">IF(AO137="NE",$V$10,IF(AB137=$V$3,IF(AP137&lt;1,$V$8,$V$2&amp;" "&amp;AP137&amp;" "&amp;$V$1),IF(AB137="SKLADEM",$V$6,IFERROR(IF(OR(AB137-TODAY()&gt;21,VLOOKUP(C137,[1]List1!$A:$E,4,FALSE)=0),AB137,DAY(AB137)&amp;"."&amp;MONTH(AB137)&amp;"."&amp;YEAR(AB137)&amp;" "&amp;$V$4&amp;VLOOKUP(C137,[1]List1!$A:$E,4,FALSE)&amp;" "&amp;$V$1),AB137))))</f>
        <v>15.3.2024 KOMMT 100+ KTN</v>
      </c>
      <c r="AD137" s="772" t="str">
        <f t="shared" ref="AD137:AD144" ca="1" si="45">IFERROR(IF(AU137&lt;&gt;"",AU137,AC137),AC137)</f>
        <v>15.3.2024 KOMMT 100+ KTN</v>
      </c>
      <c r="AE137" s="605"/>
      <c r="AF137" s="605"/>
      <c r="AG137" s="615"/>
      <c r="AH137" s="616"/>
      <c r="AI137" s="615"/>
      <c r="AJ137" s="617"/>
      <c r="AK137" s="617"/>
      <c r="AL137" s="617"/>
      <c r="AM137" s="617"/>
      <c r="AO137" s="567" t="str">
        <f t="shared" si="34"/>
        <v/>
      </c>
      <c r="AP137" s="568" t="str">
        <f>IF(AB137=$V$3,IF(VLOOKUP(C137,[1]List1!$A:$E,5,FALSE)=0,1,VLOOKUP(C137,[1]List1!$A:$E,5,FALSE)),"")</f>
        <v/>
      </c>
      <c r="AQ137" s="292" t="str">
        <f t="shared" si="35"/>
        <v/>
      </c>
      <c r="AR137" s="618" t="str">
        <f t="shared" si="36"/>
        <v/>
      </c>
      <c r="AS137" s="292" t="str">
        <f t="shared" si="37"/>
        <v/>
      </c>
      <c r="AT137" s="377" t="e">
        <f t="shared" si="38"/>
        <v>#N/A</v>
      </c>
      <c r="AU137" s="292" t="e">
        <f t="shared" si="39"/>
        <v>#N/A</v>
      </c>
    </row>
    <row r="138" spans="1:47" ht="15" customHeight="1">
      <c r="A138" s="601" t="str">
        <f>Kat.!B138</f>
        <v>Römische Kerzen 7 mm</v>
      </c>
      <c r="B138" s="601">
        <f t="shared" si="25"/>
        <v>0</v>
      </c>
      <c r="C138" s="783"/>
      <c r="D138" s="783"/>
      <c r="E138" s="764"/>
      <c r="F138" s="761"/>
      <c r="G138" s="762"/>
      <c r="H138" s="595"/>
      <c r="I138" s="764"/>
      <c r="J138" s="764"/>
      <c r="K138" s="774"/>
      <c r="L138" s="764"/>
      <c r="M138" s="764"/>
      <c r="N138" s="764"/>
      <c r="O138" s="764"/>
      <c r="P138" s="764"/>
      <c r="Q138" s="764"/>
      <c r="R138" s="764"/>
      <c r="S138" s="764"/>
      <c r="T138" s="764"/>
      <c r="U138" s="764"/>
      <c r="V138" s="764"/>
      <c r="W138" s="764" t="str">
        <f>IFERROR(VLOOKUP('General price list'!$C138,Popisy!A:P,MATCH($W$17,Popisy!$A$7:$P$7,0),FALSE),"---------------")</f>
        <v>---------------</v>
      </c>
      <c r="X138" s="764" t="str">
        <f t="shared" si="44"/>
        <v/>
      </c>
      <c r="Y138" s="770">
        <f>IF(OR(AP138&lt;AA138,AND(NOT(OR(LEFT(AB138,3)="SKL",LEFT(AB138,3)=LEFT($V$2,3))),AA138&gt;0),AND('Deutsche Markt'!$AH$1=FALSE,J138="F4",AA138&gt;0)),"",AA138)</f>
        <v>0</v>
      </c>
      <c r="Z138" s="764"/>
      <c r="AA138" s="771">
        <f>'Deutsche Markt'!AA138</f>
        <v>0</v>
      </c>
      <c r="AB138" s="772" t="str">
        <f>IFERROR(IF(VLOOKUP(C138,[1]List1!$A:$D,2,FALSE)="VYPRODÁNO",$V$9,IF(VLOOKUP(C138,[1]List1!$A:$D,2,FALSE)="DOCHÁZÍ",$V$3,VLOOKUP(C138,[1]List1!$A:$D,2,FALSE))),"OFFLINE!")</f>
        <v>OFFLINE!</v>
      </c>
      <c r="AC138" s="785" t="str">
        <f ca="1">IF(AO138="NE",$V$10,IF(AB138=$V$3,IF(AP138&lt;1,$V$8,$V$2&amp;" "&amp;AP138&amp;" "&amp;$V$1),IF(AB138="SKLADEM",$V$6,IFERROR(IF(OR(AB138-TODAY()&gt;21,VLOOKUP(C138,[1]List1!$A:$E,4,FALSE)=0),AB138,DAY(AB138)&amp;"."&amp;MONTH(AB138)&amp;"."&amp;YEAR(AB138)&amp;" "&amp;$V$4&amp;VLOOKUP(C138,[1]List1!$A:$E,4,FALSE)&amp;" "&amp;$V$1),AB138))))</f>
        <v>OFFLINE!</v>
      </c>
      <c r="AD138" s="785" t="str">
        <f t="shared" ca="1" si="45"/>
        <v>OFFLINE!</v>
      </c>
      <c r="AE138" s="609"/>
      <c r="AF138" s="609"/>
      <c r="AG138" s="627"/>
      <c r="AH138" s="609"/>
      <c r="AI138" s="627"/>
      <c r="AJ138" s="609"/>
      <c r="AK138" s="609"/>
      <c r="AL138" s="609"/>
      <c r="AM138" s="627"/>
      <c r="AO138" s="567" t="str">
        <f t="shared" si="34"/>
        <v/>
      </c>
      <c r="AP138" s="568" t="str">
        <f>IF(AB138=$V$3,IF(VLOOKUP(C138,[1]List1!$A:$E,5,FALSE)=0,1,VLOOKUP(C138,[1]List1!$A:$E,5,FALSE)),"")</f>
        <v/>
      </c>
      <c r="AQ138" s="292" t="str">
        <f t="shared" si="35"/>
        <v/>
      </c>
      <c r="AR138" s="618" t="str">
        <f t="shared" si="36"/>
        <v/>
      </c>
      <c r="AS138" s="292" t="str">
        <f t="shared" si="37"/>
        <v/>
      </c>
      <c r="AT138" s="377" t="e">
        <f t="shared" si="38"/>
        <v>#N/A</v>
      </c>
      <c r="AU138" s="292" t="e">
        <f t="shared" si="39"/>
        <v>#N/A</v>
      </c>
    </row>
    <row r="139" spans="1:47" ht="15" customHeight="1">
      <c r="A139" s="601" t="str">
        <f>Kat.!$B$1&amp;Kat.!B139</f>
        <v/>
      </c>
      <c r="B139" s="601">
        <f t="shared" si="25"/>
        <v>1</v>
      </c>
      <c r="C139" s="602" t="s">
        <v>565</v>
      </c>
      <c r="D139" s="235"/>
      <c r="E139" s="604"/>
      <c r="F139" s="605"/>
      <c r="G139" s="606"/>
      <c r="H139" s="607"/>
      <c r="I139" s="608"/>
      <c r="J139" s="609"/>
      <c r="K139" s="708"/>
      <c r="L139" s="623"/>
      <c r="M139" s="609"/>
      <c r="N139" s="612"/>
      <c r="O139" s="608"/>
      <c r="P139" s="608"/>
      <c r="Q139" s="609"/>
      <c r="R139" s="609"/>
      <c r="S139" s="609"/>
      <c r="T139" s="605"/>
      <c r="U139" s="613"/>
      <c r="V139" s="613"/>
      <c r="W139" s="601" t="str">
        <f>IFERROR(VLOOKUP('General price list'!$C139,Popisy!A:P,MATCH($W$17,Popisy!$A$7:$P$7,0),FALSE),"---------------")</f>
        <v>20 schuss farbige Leuchtgeschosse, 44 cm Länge</v>
      </c>
      <c r="X139" s="601" t="str">
        <f t="shared" si="44"/>
        <v/>
      </c>
      <c r="Y139" s="770">
        <f>IF(OR(AP139&lt;AA139,AND(NOT(OR(LEFT(AB139,3)="SKL",LEFT(AB139,3)=LEFT($V$2,3))),AA139&gt;0),AND('Deutsche Markt'!$AH$1=FALSE,J139="F4",AA139&gt;0)),"",AA139)</f>
        <v>0</v>
      </c>
      <c r="Z139" s="601"/>
      <c r="AA139" s="771">
        <f>'Deutsche Markt'!AA139</f>
        <v>0</v>
      </c>
      <c r="AB139" s="614" t="str">
        <f>IFERROR(IF(VLOOKUP(C139,[1]List1!$A:$D,2,FALSE)="VYPRODÁNO",$V$9,IF(VLOOKUP(C139,[1]List1!$A:$D,2,FALSE)="DOCHÁZÍ",$V$3,VLOOKUP(C139,[1]List1!$A:$D,2,FALSE))),"OFFLINE!")</f>
        <v>SKLADEM</v>
      </c>
      <c r="AC139" s="614" t="str">
        <f ca="1">IF(AO139="NE",$V$10,IF(AB139=$V$3,IF(AP139&lt;1,$V$8,$V$2&amp;" "&amp;AP139&amp;" "&amp;$V$1),IF(AB139="SKLADEM",$V$6,IFERROR(IF(OR(AB139-TODAY()&gt;21,VLOOKUP(C139,[1]List1!$A:$E,4,FALSE)=0),AB139,DAY(AB139)&amp;"."&amp;MONTH(AB139)&amp;"."&amp;YEAR(AB139)&amp;" "&amp;$V$4&amp;VLOOKUP(C139,[1]List1!$A:$E,4,FALSE)&amp;" "&amp;$V$1),AB139))))</f>
        <v>AUF LAGER</v>
      </c>
      <c r="AD139" s="614" t="str">
        <f t="shared" ca="1" si="45"/>
        <v>AUF LAGER</v>
      </c>
      <c r="AE139" s="605"/>
      <c r="AF139" s="605"/>
      <c r="AG139" s="615"/>
      <c r="AH139" s="616"/>
      <c r="AI139" s="615"/>
      <c r="AJ139" s="617"/>
      <c r="AK139" s="617"/>
      <c r="AL139" s="617"/>
      <c r="AM139" s="617"/>
      <c r="AN139" s="292"/>
      <c r="AO139" s="567" t="str">
        <f t="shared" si="34"/>
        <v/>
      </c>
      <c r="AP139" s="568" t="str">
        <f>IF(AB139=$V$3,IF(VLOOKUP(C139,[1]List1!$A:$E,5,FALSE)=0,1,VLOOKUP(C139,[1]List1!$A:$E,5,FALSE)),"")</f>
        <v/>
      </c>
      <c r="AQ139" s="292" t="str">
        <f t="shared" si="35"/>
        <v/>
      </c>
      <c r="AR139" s="618" t="str">
        <f t="shared" si="36"/>
        <v/>
      </c>
      <c r="AS139" s="292" t="str">
        <f t="shared" si="37"/>
        <v/>
      </c>
      <c r="AT139" s="377" t="e">
        <f t="shared" si="38"/>
        <v>#N/A</v>
      </c>
      <c r="AU139" s="292" t="e">
        <f t="shared" si="39"/>
        <v>#N/A</v>
      </c>
    </row>
    <row r="140" spans="1:47" ht="15" customHeight="1">
      <c r="A140" s="601" t="str">
        <f>Kat.!B140</f>
        <v/>
      </c>
      <c r="B140" s="601">
        <f t="shared" si="25"/>
        <v>1</v>
      </c>
      <c r="C140" s="778" t="s">
        <v>2306</v>
      </c>
      <c r="D140" s="778"/>
      <c r="E140" s="778"/>
      <c r="F140" s="779"/>
      <c r="G140" s="778"/>
      <c r="H140" s="778"/>
      <c r="I140" s="778"/>
      <c r="J140" s="778"/>
      <c r="K140" s="765"/>
      <c r="L140" s="778"/>
      <c r="M140" s="778"/>
      <c r="N140" s="778"/>
      <c r="O140" s="778"/>
      <c r="P140" s="778"/>
      <c r="Q140" s="778"/>
      <c r="R140" s="778"/>
      <c r="S140" s="778"/>
      <c r="T140" s="778"/>
      <c r="U140" s="778"/>
      <c r="V140" s="778"/>
      <c r="W140" s="778" t="str">
        <f>IFERROR(VLOOKUP('General price list'!$C140,Popisy!A:P,MATCH($W$17,Popisy!$A$7:$P$7,0),FALSE),"---------------")</f>
        <v>40 schuss farbige Leuchtgeschosse, 70 cm Länge</v>
      </c>
      <c r="X140" s="778" t="str">
        <f t="shared" si="44"/>
        <v/>
      </c>
      <c r="Y140" s="770">
        <f>IF(OR(AP140&lt;AA140,AND(NOT(OR(LEFT(AB140,3)="SKL",LEFT(AB140,3)=LEFT($V$2,3))),AA140&gt;0),AND('Deutsche Markt'!$AH$1=FALSE,J140="F4",AA140&gt;0)),"",AA140)</f>
        <v>0</v>
      </c>
      <c r="Z140" s="778"/>
      <c r="AA140" s="771">
        <f>'Deutsche Markt'!AA140</f>
        <v>0</v>
      </c>
      <c r="AB140" s="778" t="str">
        <f>IFERROR(IF(VLOOKUP(C140,[1]List1!$A:$D,2,FALSE)="VYPRODÁNO",$V$9,IF(VLOOKUP(C140,[1]List1!$A:$D,2,FALSE)="DOCHÁZÍ",$V$3,VLOOKUP(C140,[1]List1!$A:$D,2,FALSE))),"OFFLINE!")</f>
        <v>SKLADEM</v>
      </c>
      <c r="AC140" s="778" t="str">
        <f ca="1">IF(AO140="NE",$V$10,IF(AB140=$V$3,IF(AP140&lt;1,$V$8,$V$2&amp;" "&amp;AP140&amp;" "&amp;$V$1),IF(AB140="SKLADEM",$V$6,IFERROR(IF(OR(AB140-TODAY()&gt;21,VLOOKUP(C140,[1]List1!$A:$E,4,FALSE)=0),AB140,DAY(AB140)&amp;"."&amp;MONTH(AB140)&amp;"."&amp;YEAR(AB140)&amp;" "&amp;$V$4&amp;VLOOKUP(C140,[1]List1!$A:$E,4,FALSE)&amp;" "&amp;$V$1),AB140))))</f>
        <v>AUF LAGER</v>
      </c>
      <c r="AD140" s="778" t="str">
        <f t="shared" ca="1" si="45"/>
        <v>AUF LAGER</v>
      </c>
      <c r="AE140" s="599"/>
      <c r="AF140" s="599"/>
      <c r="AG140" s="599"/>
      <c r="AH140" s="599"/>
      <c r="AI140" s="599"/>
      <c r="AJ140" s="599"/>
      <c r="AK140" s="599"/>
      <c r="AL140" s="599"/>
      <c r="AM140" s="599"/>
      <c r="AN140" s="566"/>
      <c r="AO140" s="567" t="str">
        <f t="shared" si="34"/>
        <v/>
      </c>
      <c r="AP140" s="292" t="str">
        <f>IF(AB140=$V$3,IF(VLOOKUP(C140,[1]List1!$A:$E,5,FALSE)=0,1,VLOOKUP(C140,[1]List1!$A:$E,5,FALSE)),"")</f>
        <v/>
      </c>
      <c r="AQ140" s="292" t="str">
        <f t="shared" si="35"/>
        <v/>
      </c>
      <c r="AR140" s="618" t="str">
        <f t="shared" si="36"/>
        <v/>
      </c>
      <c r="AS140" s="292" t="str">
        <f t="shared" si="37"/>
        <v/>
      </c>
      <c r="AT140" s="377" t="e">
        <f t="shared" si="38"/>
        <v>#N/A</v>
      </c>
      <c r="AU140" s="292" t="e">
        <f t="shared" si="39"/>
        <v>#N/A</v>
      </c>
    </row>
    <row r="141" spans="1:47" ht="15" customHeight="1">
      <c r="A141" s="601" t="str">
        <f>Kat.!B141</f>
        <v>Römische Kerzen 10mm</v>
      </c>
      <c r="B141" s="601">
        <f t="shared" si="25"/>
        <v>0</v>
      </c>
      <c r="C141" s="758"/>
      <c r="D141" s="759"/>
      <c r="E141" s="760"/>
      <c r="F141" s="761"/>
      <c r="G141" s="762"/>
      <c r="H141" s="596"/>
      <c r="I141" s="763"/>
      <c r="J141" s="764"/>
      <c r="K141" s="773"/>
      <c r="L141" s="766"/>
      <c r="M141" s="764"/>
      <c r="N141" s="767"/>
      <c r="O141" s="763"/>
      <c r="P141" s="763"/>
      <c r="Q141" s="764"/>
      <c r="R141" s="764"/>
      <c r="S141" s="764"/>
      <c r="T141" s="761"/>
      <c r="U141" s="768"/>
      <c r="V141" s="768"/>
      <c r="W141" s="769" t="str">
        <f>IFERROR(VLOOKUP('General price list'!$C141,Popisy!A:P,MATCH($W$17,Popisy!$A$7:$P$7,0),FALSE),"---------------")</f>
        <v>---------------</v>
      </c>
      <c r="X141" s="769" t="str">
        <f t="shared" si="44"/>
        <v/>
      </c>
      <c r="Y141" s="770">
        <f>IF(OR(AP141&lt;AA141,AND(NOT(OR(LEFT(AB141,3)="SKL",LEFT(AB141,3)=LEFT($V$2,3))),AA141&gt;0),AND('Deutsche Markt'!$AH$1=FALSE,J141="F4",AA141&gt;0)),"",AA141)</f>
        <v>0</v>
      </c>
      <c r="Z141" s="769"/>
      <c r="AA141" s="771">
        <f>'Deutsche Markt'!AA141</f>
        <v>0</v>
      </c>
      <c r="AB141" s="772" t="str">
        <f>IFERROR(IF(VLOOKUP(C141,[1]List1!$A:$D,2,FALSE)="VYPRODÁNO",$V$9,IF(VLOOKUP(C141,[1]List1!$A:$D,2,FALSE)="DOCHÁZÍ",$V$3,VLOOKUP(C141,[1]List1!$A:$D,2,FALSE))),"OFFLINE!")</f>
        <v>OFFLINE!</v>
      </c>
      <c r="AC141" s="772" t="str">
        <f ca="1">IF(AO141="NE",$V$10,IF(AB141=$V$3,IF(AP141&lt;1,$V$8,$V$2&amp;" "&amp;AP141&amp;" "&amp;$V$1),IF(AB141="SKLADEM",$V$6,IFERROR(IF(OR(AB141-TODAY()&gt;21,VLOOKUP(C141,[1]List1!$A:$E,4,FALSE)=0),AB141,DAY(AB141)&amp;"."&amp;MONTH(AB141)&amp;"."&amp;YEAR(AB141)&amp;" "&amp;$V$4&amp;VLOOKUP(C141,[1]List1!$A:$E,4,FALSE)&amp;" "&amp;$V$1),AB141))))</f>
        <v>OFFLINE!</v>
      </c>
      <c r="AD141" s="772" t="str">
        <f t="shared" ca="1" si="45"/>
        <v>OFFLINE!</v>
      </c>
      <c r="AE141" s="605"/>
      <c r="AF141" s="605"/>
      <c r="AG141" s="615"/>
      <c r="AH141" s="616"/>
      <c r="AI141" s="615"/>
      <c r="AJ141" s="617"/>
      <c r="AK141" s="617"/>
      <c r="AL141" s="617"/>
      <c r="AM141" s="617"/>
      <c r="AN141" s="292"/>
      <c r="AO141" s="567" t="str">
        <f t="shared" si="34"/>
        <v/>
      </c>
      <c r="AP141" s="568" t="str">
        <f>IF(AB141=$V$3,IF(VLOOKUP(C141,[1]List1!$A:$E,5,FALSE)=0,1,VLOOKUP(C141,[1]List1!$A:$E,5,FALSE)),"")</f>
        <v/>
      </c>
      <c r="AQ141" s="292" t="str">
        <f t="shared" si="35"/>
        <v/>
      </c>
      <c r="AR141" s="618" t="str">
        <f t="shared" si="36"/>
        <v/>
      </c>
      <c r="AS141" s="292" t="str">
        <f t="shared" si="37"/>
        <v/>
      </c>
      <c r="AT141" s="377" t="e">
        <f t="shared" si="38"/>
        <v>#N/A</v>
      </c>
      <c r="AU141" s="292" t="e">
        <f t="shared" si="39"/>
        <v>#N/A</v>
      </c>
    </row>
    <row r="142" spans="1:47" ht="15" customHeight="1">
      <c r="A142" s="601" t="str">
        <f>Kat.!B142</f>
        <v/>
      </c>
      <c r="B142" s="601">
        <f t="shared" si="25"/>
        <v>1</v>
      </c>
      <c r="C142" s="758" t="s">
        <v>575</v>
      </c>
      <c r="D142" s="759"/>
      <c r="E142" s="760"/>
      <c r="F142" s="761"/>
      <c r="G142" s="762"/>
      <c r="H142" s="596"/>
      <c r="I142" s="763"/>
      <c r="J142" s="764"/>
      <c r="K142" s="765"/>
      <c r="L142" s="766"/>
      <c r="M142" s="764"/>
      <c r="N142" s="767"/>
      <c r="O142" s="763"/>
      <c r="P142" s="763"/>
      <c r="Q142" s="764"/>
      <c r="R142" s="764"/>
      <c r="S142" s="764"/>
      <c r="T142" s="761"/>
      <c r="U142" s="768"/>
      <c r="V142" s="768"/>
      <c r="W142" s="769" t="str">
        <f>IFERROR(VLOOKUP('General price list'!$C142,Popisy!A:P,MATCH($W$17,Popisy!$A$7:$P$7,0),FALSE),"---------------")</f>
        <v>10 schuss farbige Leuchtgeschosse, 54 cm Länge</v>
      </c>
      <c r="X142" s="769" t="str">
        <f t="shared" si="44"/>
        <v/>
      </c>
      <c r="Y142" s="770">
        <f>IF(OR(AP142&lt;AA142,AND(NOT(OR(LEFT(AB142,3)="SKL",LEFT(AB142,3)=LEFT($V$2,3))),AA142&gt;0),AND('Deutsche Markt'!$AH$1=FALSE,J142="F4",AA142&gt;0)),"",AA142)</f>
        <v>0</v>
      </c>
      <c r="Z142" s="769"/>
      <c r="AA142" s="771">
        <f>'Deutsche Markt'!AA142</f>
        <v>0</v>
      </c>
      <c r="AB142" s="772" t="str">
        <f>IFERROR(IF(VLOOKUP(C142,[1]List1!$A:$D,2,FALSE)="VYPRODÁNO",$V$9,IF(VLOOKUP(C142,[1]List1!$A:$D,2,FALSE)="DOCHÁZÍ",$V$3,VLOOKUP(C142,[1]List1!$A:$D,2,FALSE))),"OFFLINE!")</f>
        <v>SKLADEM</v>
      </c>
      <c r="AC142" s="772" t="str">
        <f ca="1">IF(AO142="NE",$V$10,IF(AB142=$V$3,IF(AP142&lt;1,$V$8,$V$2&amp;" "&amp;AP142&amp;" "&amp;$V$1),IF(AB142="SKLADEM",$V$6,IFERROR(IF(OR(AB142-TODAY()&gt;21,VLOOKUP(C142,[1]List1!$A:$E,4,FALSE)=0),AB142,DAY(AB142)&amp;"."&amp;MONTH(AB142)&amp;"."&amp;YEAR(AB142)&amp;" "&amp;$V$4&amp;VLOOKUP(C142,[1]List1!$A:$E,4,FALSE)&amp;" "&amp;$V$1),AB142))))</f>
        <v>AUF LAGER</v>
      </c>
      <c r="AD142" s="772" t="str">
        <f t="shared" ca="1" si="45"/>
        <v>AUF LAGER</v>
      </c>
      <c r="AE142" s="605"/>
      <c r="AF142" s="605"/>
      <c r="AG142" s="615"/>
      <c r="AH142" s="616"/>
      <c r="AI142" s="615"/>
      <c r="AJ142" s="617"/>
      <c r="AK142" s="617"/>
      <c r="AL142" s="617"/>
      <c r="AM142" s="617"/>
      <c r="AN142" s="292"/>
      <c r="AO142" s="567" t="str">
        <f t="shared" si="34"/>
        <v/>
      </c>
      <c r="AP142" s="568" t="str">
        <f>IF(AB142=$V$3,IF(VLOOKUP(C142,[1]List1!$A:$E,5,FALSE)=0,1,VLOOKUP(C142,[1]List1!$A:$E,5,FALSE)),"")</f>
        <v/>
      </c>
      <c r="AQ142" s="292" t="str">
        <f t="shared" si="35"/>
        <v/>
      </c>
      <c r="AR142" s="618" t="str">
        <f t="shared" si="36"/>
        <v/>
      </c>
      <c r="AS142" s="292" t="str">
        <f t="shared" si="37"/>
        <v/>
      </c>
      <c r="AT142" s="377" t="e">
        <f t="shared" si="38"/>
        <v>#N/A</v>
      </c>
      <c r="AU142" s="292" t="e">
        <f t="shared" si="39"/>
        <v>#N/A</v>
      </c>
    </row>
    <row r="143" spans="1:47" ht="15" customHeight="1">
      <c r="A143" s="601" t="str">
        <f>Kat.!B143</f>
        <v/>
      </c>
      <c r="B143" s="601">
        <f t="shared" si="25"/>
        <v>1</v>
      </c>
      <c r="C143" s="758" t="s">
        <v>581</v>
      </c>
      <c r="D143" s="759"/>
      <c r="E143" s="760"/>
      <c r="F143" s="761"/>
      <c r="G143" s="762"/>
      <c r="H143" s="596"/>
      <c r="I143" s="763"/>
      <c r="J143" s="764"/>
      <c r="K143" s="773"/>
      <c r="L143" s="766"/>
      <c r="M143" s="764"/>
      <c r="N143" s="767"/>
      <c r="O143" s="763"/>
      <c r="P143" s="763"/>
      <c r="Q143" s="764"/>
      <c r="R143" s="764"/>
      <c r="S143" s="764"/>
      <c r="T143" s="761"/>
      <c r="U143" s="768"/>
      <c r="V143" s="768"/>
      <c r="W143" s="769" t="str">
        <f>IFERROR(VLOOKUP('General price list'!$C143,Popisy!A:P,MATCH($W$17,Popisy!$A$7:$P$7,0),FALSE),"---------------")</f>
        <v>20 schuss knallende Kometen, 54 cm Länge</v>
      </c>
      <c r="X143" s="769" t="str">
        <f t="shared" si="44"/>
        <v/>
      </c>
      <c r="Y143" s="770">
        <f>IF(OR(AP143&lt;AA143,AND(NOT(OR(LEFT(AB143,3)="SKL",LEFT(AB143,3)=LEFT($V$2,3))),AA143&gt;0),AND('Deutsche Markt'!$AH$1=FALSE,J143="F4",AA143&gt;0)),"",AA143)</f>
        <v>0</v>
      </c>
      <c r="Z143" s="769"/>
      <c r="AA143" s="771">
        <f>'Deutsche Markt'!AA143</f>
        <v>0</v>
      </c>
      <c r="AB143" s="772" t="str">
        <f>IFERROR(IF(VLOOKUP(C143,[1]List1!$A:$D,2,FALSE)="VYPRODÁNO",$V$9,IF(VLOOKUP(C143,[1]List1!$A:$D,2,FALSE)="DOCHÁZÍ",$V$3,VLOOKUP(C143,[1]List1!$A:$D,2,FALSE))),"OFFLINE!")</f>
        <v>SKLADEM</v>
      </c>
      <c r="AC143" s="772" t="str">
        <f ca="1">IF(AO143="NE",$V$10,IF(AB143=$V$3,IF(AP143&lt;1,$V$8,$V$2&amp;" "&amp;AP143&amp;" "&amp;$V$1),IF(AB143="SKLADEM",$V$6,IFERROR(IF(OR(AB143-TODAY()&gt;21,VLOOKUP(C143,[1]List1!$A:$E,4,FALSE)=0),AB143,DAY(AB143)&amp;"."&amp;MONTH(AB143)&amp;"."&amp;YEAR(AB143)&amp;" "&amp;$V$4&amp;VLOOKUP(C143,[1]List1!$A:$E,4,FALSE)&amp;" "&amp;$V$1),AB143))))</f>
        <v>AUF LAGER</v>
      </c>
      <c r="AD143" s="772" t="str">
        <f t="shared" ca="1" si="45"/>
        <v>AUF LAGER</v>
      </c>
      <c r="AE143" s="605"/>
      <c r="AF143" s="605"/>
      <c r="AG143" s="615"/>
      <c r="AH143" s="616"/>
      <c r="AI143" s="615"/>
      <c r="AJ143" s="617"/>
      <c r="AK143" s="617"/>
      <c r="AL143" s="617"/>
      <c r="AM143" s="617"/>
      <c r="AO143" s="567" t="str">
        <f t="shared" si="34"/>
        <v/>
      </c>
      <c r="AP143" s="568" t="str">
        <f>IF(AB143=$V$3,IF(VLOOKUP(C143,[1]List1!$A:$E,5,FALSE)=0,1,VLOOKUP(C143,[1]List1!$A:$E,5,FALSE)),"")</f>
        <v/>
      </c>
      <c r="AQ143" s="292" t="str">
        <f t="shared" si="35"/>
        <v/>
      </c>
      <c r="AR143" s="618" t="str">
        <f t="shared" si="36"/>
        <v/>
      </c>
      <c r="AS143" s="292" t="str">
        <f t="shared" si="37"/>
        <v/>
      </c>
      <c r="AT143" s="377" t="e">
        <f t="shared" si="38"/>
        <v>#N/A</v>
      </c>
      <c r="AU143" s="292" t="e">
        <f t="shared" si="39"/>
        <v>#N/A</v>
      </c>
    </row>
    <row r="144" spans="1:47" ht="15" customHeight="1">
      <c r="A144" s="601" t="str">
        <f>Kat.!B144</f>
        <v/>
      </c>
      <c r="B144" s="601">
        <f t="shared" si="25"/>
        <v>1</v>
      </c>
      <c r="C144" s="758" t="s">
        <v>587</v>
      </c>
      <c r="D144" s="759"/>
      <c r="E144" s="760"/>
      <c r="F144" s="761"/>
      <c r="G144" s="762"/>
      <c r="H144" s="596"/>
      <c r="I144" s="763"/>
      <c r="J144" s="764"/>
      <c r="K144" s="765"/>
      <c r="L144" s="766"/>
      <c r="M144" s="764"/>
      <c r="N144" s="767"/>
      <c r="O144" s="763"/>
      <c r="P144" s="763"/>
      <c r="Q144" s="764"/>
      <c r="R144" s="764"/>
      <c r="S144" s="764"/>
      <c r="T144" s="761"/>
      <c r="U144" s="768"/>
      <c r="V144" s="768"/>
      <c r="W144" s="769" t="str">
        <f>IFERROR(VLOOKUP('General price list'!$C144,Popisy!A:P,MATCH($W$17,Popisy!$A$7:$P$7,0),FALSE),"---------------")</f>
        <v>20 schuss knallende Kometen, 70 cm Länge</v>
      </c>
      <c r="X144" s="769" t="str">
        <f t="shared" si="44"/>
        <v/>
      </c>
      <c r="Y144" s="770">
        <f>IF(OR(AP144&lt;AA144,AND(NOT(OR(LEFT(AB144,3)="SKL",LEFT(AB144,3)=LEFT($V$2,3))),AA144&gt;0),AND('Deutsche Markt'!$AH$1=FALSE,J144="F4",AA144&gt;0)),"",AA144)</f>
        <v>0</v>
      </c>
      <c r="Z144" s="769"/>
      <c r="AA144" s="771">
        <f>'Deutsche Markt'!AA144</f>
        <v>0</v>
      </c>
      <c r="AB144" s="772" t="str">
        <f>IFERROR(IF(VLOOKUP(C144,[1]List1!$A:$D,2,FALSE)="VYPRODÁNO",$V$9,IF(VLOOKUP(C144,[1]List1!$A:$D,2,FALSE)="DOCHÁZÍ",$V$3,VLOOKUP(C144,[1]List1!$A:$D,2,FALSE))),"OFFLINE!")</f>
        <v>SKLADEM</v>
      </c>
      <c r="AC144" s="772" t="str">
        <f ca="1">IF(AO144="NE",$V$10,IF(AB144=$V$3,IF(AP144&lt;1,$V$8,$V$2&amp;" "&amp;AP144&amp;" "&amp;$V$1),IF(AB144="SKLADEM",$V$6,IFERROR(IF(OR(AB144-TODAY()&gt;21,VLOOKUP(C144,[1]List1!$A:$E,4,FALSE)=0),AB144,DAY(AB144)&amp;"."&amp;MONTH(AB144)&amp;"."&amp;YEAR(AB144)&amp;" "&amp;$V$4&amp;VLOOKUP(C144,[1]List1!$A:$E,4,FALSE)&amp;" "&amp;$V$1),AB144))))</f>
        <v>AUF LAGER</v>
      </c>
      <c r="AD144" s="772" t="str">
        <f t="shared" ca="1" si="45"/>
        <v>AUF LAGER</v>
      </c>
      <c r="AE144" s="605"/>
      <c r="AF144" s="605"/>
      <c r="AG144" s="615"/>
      <c r="AH144" s="616"/>
      <c r="AI144" s="615"/>
      <c r="AJ144" s="617"/>
      <c r="AK144" s="617"/>
      <c r="AL144" s="617"/>
      <c r="AM144" s="617"/>
      <c r="AO144" s="567" t="str">
        <f t="shared" si="34"/>
        <v/>
      </c>
      <c r="AP144" s="568" t="str">
        <f>IF(AB144=$V$3,IF(VLOOKUP(C144,[1]List1!$A:$E,5,FALSE)=0,1,VLOOKUP(C144,[1]List1!$A:$E,5,FALSE)),"")</f>
        <v/>
      </c>
      <c r="AQ144" s="292" t="str">
        <f t="shared" si="35"/>
        <v/>
      </c>
      <c r="AR144" s="618" t="str">
        <f t="shared" si="36"/>
        <v/>
      </c>
      <c r="AS144" s="292" t="str">
        <f t="shared" si="37"/>
        <v/>
      </c>
      <c r="AT144" s="377" t="e">
        <f t="shared" si="38"/>
        <v>#N/A</v>
      </c>
      <c r="AU144" s="292" t="e">
        <f t="shared" si="39"/>
        <v>#N/A</v>
      </c>
    </row>
    <row r="145" spans="1:47" ht="15" customHeight="1">
      <c r="A145" s="601" t="str">
        <f>Kat.!B145</f>
        <v/>
      </c>
      <c r="B145" s="601">
        <f t="shared" si="25"/>
        <v>1</v>
      </c>
      <c r="C145" s="758" t="s">
        <v>591</v>
      </c>
      <c r="D145" s="759"/>
      <c r="E145" s="760"/>
      <c r="F145" s="761"/>
      <c r="G145" s="762"/>
      <c r="H145" s="596"/>
      <c r="I145" s="763"/>
      <c r="J145" s="764"/>
      <c r="K145" s="773"/>
      <c r="L145" s="766"/>
      <c r="M145" s="764"/>
      <c r="N145" s="767"/>
      <c r="O145" s="763"/>
      <c r="P145" s="763"/>
      <c r="Q145" s="764"/>
      <c r="R145" s="764"/>
      <c r="S145" s="764"/>
      <c r="T145" s="761"/>
      <c r="U145" s="768"/>
      <c r="V145" s="768"/>
      <c r="W145" s="769"/>
      <c r="X145" s="769"/>
      <c r="Y145" s="770">
        <f>IF(OR(AP145&lt;AA145,AND(NOT(OR(LEFT(AB145,3)="SKL",LEFT(AB145,3)=LEFT($V$2,3))),AA145&gt;0),AND('Deutsche Markt'!$AH$1=FALSE,J145="F4",AA145&gt;0)),"",AA145)</f>
        <v>0</v>
      </c>
      <c r="Z145" s="769"/>
      <c r="AA145" s="771">
        <f>'Deutsche Markt'!AA145</f>
        <v>0</v>
      </c>
      <c r="AB145" s="772"/>
      <c r="AC145" s="772"/>
      <c r="AD145" s="772"/>
      <c r="AE145" s="605"/>
      <c r="AF145" s="605"/>
      <c r="AG145" s="615"/>
      <c r="AH145" s="616"/>
      <c r="AI145" s="615"/>
      <c r="AJ145" s="617"/>
      <c r="AK145" s="617"/>
      <c r="AL145" s="617"/>
      <c r="AM145" s="617"/>
      <c r="AO145" s="567" t="str">
        <f t="shared" si="34"/>
        <v/>
      </c>
      <c r="AP145" s="568" t="str">
        <f>IF(AB145=$V$3,IF(VLOOKUP(C145,[1]List1!$A:$E,5,FALSE)=0,1,VLOOKUP(C145,[1]List1!$A:$E,5,FALSE)),"")</f>
        <v/>
      </c>
      <c r="AQ145" s="292" t="str">
        <f t="shared" si="35"/>
        <v/>
      </c>
      <c r="AR145" s="618" t="str">
        <f t="shared" si="36"/>
        <v/>
      </c>
      <c r="AS145" s="292" t="str">
        <f t="shared" si="37"/>
        <v/>
      </c>
      <c r="AT145" s="377" t="e">
        <f t="shared" si="38"/>
        <v>#N/A</v>
      </c>
      <c r="AU145" s="292" t="e">
        <f t="shared" si="39"/>
        <v>#N/A</v>
      </c>
    </row>
    <row r="146" spans="1:47" ht="15" customHeight="1">
      <c r="A146" s="601" t="str">
        <f>Kat.!B146</f>
        <v/>
      </c>
      <c r="B146" s="601">
        <f t="shared" si="25"/>
        <v>1</v>
      </c>
      <c r="C146" s="758" t="s">
        <v>601</v>
      </c>
      <c r="D146" s="759"/>
      <c r="E146" s="760"/>
      <c r="F146" s="761"/>
      <c r="G146" s="762"/>
      <c r="H146" s="596"/>
      <c r="I146" s="763"/>
      <c r="J146" s="764"/>
      <c r="K146" s="765"/>
      <c r="L146" s="766"/>
      <c r="M146" s="764"/>
      <c r="N146" s="767"/>
      <c r="O146" s="763"/>
      <c r="P146" s="763"/>
      <c r="Q146" s="764"/>
      <c r="R146" s="764"/>
      <c r="S146" s="764"/>
      <c r="T146" s="761"/>
      <c r="U146" s="768"/>
      <c r="V146" s="768"/>
      <c r="W146" s="769" t="str">
        <f>IFERROR(VLOOKUP('General price list'!$C146,Popisy!A:P,MATCH($W$17,Popisy!$A$7:$P$7,0),FALSE),"---------------")</f>
        <v>10 schuss farbige Leuchtgeschosse + 10 schuss knallende kometen, 65 cm Länge</v>
      </c>
      <c r="X146" s="769" t="str">
        <f t="shared" ref="X146:X156" si="46">IF(AA146&lt;0.0001,"",AA146)</f>
        <v/>
      </c>
      <c r="Y146" s="770">
        <f>IF(OR(AP146&lt;AA146,AND(NOT(OR(LEFT(AB146,3)="SKL",LEFT(AB146,3)=LEFT($V$2,3))),AA146&gt;0),AND('Deutsche Markt'!$AH$1=FALSE,J146="F4",AA146&gt;0)),"",AA146)</f>
        <v>0</v>
      </c>
      <c r="Z146" s="769"/>
      <c r="AA146" s="771">
        <f>'Deutsche Markt'!AA146</f>
        <v>0</v>
      </c>
      <c r="AB146" s="772" t="str">
        <f>IFERROR(IF(VLOOKUP(C146,[1]List1!$A:$D,2,FALSE)="VYPRODÁNO",$V$9,IF(VLOOKUP(C146,[1]List1!$A:$D,2,FALSE)="DOCHÁZÍ",$V$3,VLOOKUP(C146,[1]List1!$A:$D,2,FALSE))),"OFFLINE!")</f>
        <v>SKLADEM</v>
      </c>
      <c r="AC146" s="772" t="str">
        <f ca="1">IF(AO146="NE",$V$10,IF(AB146=$V$3,IF(AP146&lt;1,$V$8,$V$2&amp;" "&amp;AP146&amp;" "&amp;$V$1),IF(AB146="SKLADEM",$V$6,IFERROR(IF(OR(AB146-TODAY()&gt;21,VLOOKUP(C146,[1]List1!$A:$E,4,FALSE)=0),AB146,DAY(AB146)&amp;"."&amp;MONTH(AB146)&amp;"."&amp;YEAR(AB146)&amp;" "&amp;$V$4&amp;VLOOKUP(C146,[1]List1!$A:$E,4,FALSE)&amp;" "&amp;$V$1),AB146))))</f>
        <v>AUF LAGER</v>
      </c>
      <c r="AD146" s="772" t="str">
        <f t="shared" ref="AD146:AD156" ca="1" si="47">IFERROR(IF(AU146&lt;&gt;"",AU146,AC146),AC146)</f>
        <v>AUF LAGER</v>
      </c>
      <c r="AE146" s="605"/>
      <c r="AF146" s="605"/>
      <c r="AG146" s="615"/>
      <c r="AH146" s="616"/>
      <c r="AI146" s="615"/>
      <c r="AJ146" s="617"/>
      <c r="AK146" s="617"/>
      <c r="AL146" s="617"/>
      <c r="AM146" s="617"/>
      <c r="AO146" s="567" t="str">
        <f t="shared" si="34"/>
        <v/>
      </c>
      <c r="AP146" s="568" t="str">
        <f>IF(AB146=$V$3,IF(VLOOKUP(C146,[1]List1!$A:$E,5,FALSE)=0,1,VLOOKUP(C146,[1]List1!$A:$E,5,FALSE)),"")</f>
        <v/>
      </c>
      <c r="AQ146" s="292" t="str">
        <f t="shared" si="35"/>
        <v/>
      </c>
      <c r="AR146" s="618" t="str">
        <f t="shared" si="36"/>
        <v/>
      </c>
      <c r="AS146" s="292" t="str">
        <f t="shared" si="37"/>
        <v/>
      </c>
      <c r="AT146" s="377" t="e">
        <f t="shared" si="38"/>
        <v>#N/A</v>
      </c>
      <c r="AU146" s="292" t="e">
        <f t="shared" si="39"/>
        <v>#N/A</v>
      </c>
    </row>
    <row r="147" spans="1:47" ht="15" customHeight="1">
      <c r="A147" s="601" t="str">
        <f>Kat.!B147</f>
        <v/>
      </c>
      <c r="B147" s="601">
        <f t="shared" si="25"/>
        <v>1</v>
      </c>
      <c r="C147" s="783" t="s">
        <v>604</v>
      </c>
      <c r="D147" s="783"/>
      <c r="E147" s="764"/>
      <c r="F147" s="761"/>
      <c r="G147" s="762"/>
      <c r="H147" s="595"/>
      <c r="I147" s="764"/>
      <c r="J147" s="764"/>
      <c r="K147" s="773"/>
      <c r="L147" s="764"/>
      <c r="M147" s="764"/>
      <c r="N147" s="764"/>
      <c r="O147" s="764"/>
      <c r="P147" s="764"/>
      <c r="Q147" s="764"/>
      <c r="R147" s="764"/>
      <c r="S147" s="764"/>
      <c r="T147" s="764"/>
      <c r="U147" s="764"/>
      <c r="V147" s="764"/>
      <c r="W147" s="764" t="str">
        <f>IFERROR(VLOOKUP('General price list'!$C147,Popisy!A:P,MATCH($W$17,Popisy!$A$7:$P$7,0),FALSE),"---------------")</f>
        <v>Mix 20 schuss römische Kerzen (R5420K-2stk,R6020B,R6520BK,R7020BK-2stk), 60cm Länge</v>
      </c>
      <c r="X147" s="764" t="str">
        <f t="shared" si="46"/>
        <v/>
      </c>
      <c r="Y147" s="770">
        <f>IF(OR(AP147&lt;AA147,AND(NOT(OR(LEFT(AB147,3)="SKL",LEFT(AB147,3)=LEFT($V$2,3))),AA147&gt;0),AND('Deutsche Markt'!$AH$1=FALSE,J147="F4",AA147&gt;0)),"",AA147)</f>
        <v>0</v>
      </c>
      <c r="Z147" s="764"/>
      <c r="AA147" s="771">
        <f>'Deutsche Markt'!AA147</f>
        <v>0</v>
      </c>
      <c r="AB147" s="772" t="str">
        <f>IFERROR(IF(VLOOKUP(C147,[1]List1!$A:$D,2,FALSE)="VYPRODÁNO",$V$9,IF(VLOOKUP(C147,[1]List1!$A:$D,2,FALSE)="DOCHÁZÍ",$V$3,VLOOKUP(C147,[1]List1!$A:$D,2,FALSE))),"OFFLINE!")</f>
        <v>SKLADEM</v>
      </c>
      <c r="AC147" s="785" t="str">
        <f ca="1">IF(AO147="NE",$V$10,IF(AB147=$V$3,IF(AP147&lt;1,$V$8,$V$2&amp;" "&amp;AP147&amp;" "&amp;$V$1),IF(AB147="SKLADEM",$V$6,IFERROR(IF(OR(AB147-TODAY()&gt;21,VLOOKUP(C147,[1]List1!$A:$E,4,FALSE)=0),AB147,DAY(AB147)&amp;"."&amp;MONTH(AB147)&amp;"."&amp;YEAR(AB147)&amp;" "&amp;$V$4&amp;VLOOKUP(C147,[1]List1!$A:$E,4,FALSE)&amp;" "&amp;$V$1),AB147))))</f>
        <v>AUF LAGER</v>
      </c>
      <c r="AD147" s="785" t="str">
        <f t="shared" ca="1" si="47"/>
        <v>AUF LAGER</v>
      </c>
      <c r="AE147" s="609"/>
      <c r="AF147" s="609"/>
      <c r="AG147" s="627"/>
      <c r="AH147" s="609"/>
      <c r="AI147" s="627"/>
      <c r="AJ147" s="609"/>
      <c r="AK147" s="609"/>
      <c r="AL147" s="609"/>
      <c r="AM147" s="627"/>
      <c r="AO147" s="567" t="str">
        <f t="shared" si="34"/>
        <v/>
      </c>
      <c r="AP147" s="292" t="str">
        <f>IF(AB147=$V$3,IF(VLOOKUP(C147,[1]List1!$A:$E,5,FALSE)=0,1,VLOOKUP(C147,[1]List1!$A:$E,5,FALSE)),"")</f>
        <v/>
      </c>
      <c r="AQ147" s="292" t="str">
        <f t="shared" si="35"/>
        <v/>
      </c>
      <c r="AR147" s="618" t="str">
        <f t="shared" si="36"/>
        <v/>
      </c>
      <c r="AS147" s="292" t="str">
        <f t="shared" si="37"/>
        <v/>
      </c>
      <c r="AT147" s="377" t="e">
        <f t="shared" si="38"/>
        <v>#N/A</v>
      </c>
      <c r="AU147" s="292" t="e">
        <f t="shared" si="39"/>
        <v>#N/A</v>
      </c>
    </row>
    <row r="148" spans="1:47" ht="15" customHeight="1">
      <c r="A148" s="601" t="str">
        <f>Kat.!$B$1&amp;Kat.!B148</f>
        <v/>
      </c>
      <c r="B148" s="601">
        <f t="shared" si="25"/>
        <v>1</v>
      </c>
      <c r="C148" s="602" t="s">
        <v>609</v>
      </c>
      <c r="D148" s="603"/>
      <c r="E148" s="604"/>
      <c r="F148" s="605"/>
      <c r="G148" s="606"/>
      <c r="H148" s="607"/>
      <c r="I148" s="608"/>
      <c r="J148" s="609"/>
      <c r="K148" s="708"/>
      <c r="L148" s="611"/>
      <c r="M148" s="609"/>
      <c r="N148" s="612"/>
      <c r="O148" s="608"/>
      <c r="P148" s="608"/>
      <c r="Q148" s="609"/>
      <c r="R148" s="609"/>
      <c r="S148" s="609"/>
      <c r="T148" s="605"/>
      <c r="U148" s="613"/>
      <c r="V148" s="613"/>
      <c r="W148" s="601" t="str">
        <f>IFERROR(VLOOKUP('General price list'!$C148,Popisy!A:P,MATCH($W$17,Popisy!$A$7:$P$7,0),FALSE),"---------------")</f>
        <v>Mix 20 schuss römische Kerzen (3stk-R7020K,R6020B,R6520BK,R7020BK), 70cm Länge</v>
      </c>
      <c r="X148" s="601" t="str">
        <f t="shared" si="46"/>
        <v/>
      </c>
      <c r="Y148" s="770">
        <f>IF(OR(AP148&lt;AA148,AND(NOT(OR(LEFT(AB148,3)="SKL",LEFT(AB148,3)=LEFT($V$2,3))),AA148&gt;0),AND('Deutsche Markt'!$AH$1=FALSE,J148="F4",AA148&gt;0)),"",AA148)</f>
        <v>0</v>
      </c>
      <c r="Z148" s="601"/>
      <c r="AA148" s="771">
        <f>'Deutsche Markt'!AA148</f>
        <v>0</v>
      </c>
      <c r="AB148" s="614" t="str">
        <f>IFERROR(IF(VLOOKUP(C148,[1]List1!$A:$D,2,FALSE)="VYPRODÁNO",$V$9,IF(VLOOKUP(C148,[1]List1!$A:$D,2,FALSE)="DOCHÁZÍ",$V$3,VLOOKUP(C148,[1]List1!$A:$D,2,FALSE))),"OFFLINE!")</f>
        <v>SKLADEM</v>
      </c>
      <c r="AC148" s="614" t="str">
        <f ca="1">IF(AO148="NE",$V$10,IF(AB148=$V$3,IF(AP148&lt;1,$V$8,$V$2&amp;" "&amp;AP148&amp;" "&amp;$V$1),IF(AB148="SKLADEM",$V$6,IFERROR(IF(OR(AB148-TODAY()&gt;21,VLOOKUP(C148,[1]List1!$A:$E,4,FALSE)=0),AB148,DAY(AB148)&amp;"."&amp;MONTH(AB148)&amp;"."&amp;YEAR(AB148)&amp;" "&amp;$V$4&amp;VLOOKUP(C148,[1]List1!$A:$E,4,FALSE)&amp;" "&amp;$V$1),AB148))))</f>
        <v>AUF LAGER</v>
      </c>
      <c r="AD148" s="614" t="str">
        <f t="shared" ca="1" si="47"/>
        <v>AUF LAGER</v>
      </c>
      <c r="AE148" s="605"/>
      <c r="AF148" s="605"/>
      <c r="AG148" s="615"/>
      <c r="AH148" s="616"/>
      <c r="AI148" s="615"/>
      <c r="AJ148" s="617"/>
      <c r="AK148" s="617"/>
      <c r="AL148" s="617"/>
      <c r="AM148" s="617"/>
      <c r="AO148" s="567" t="str">
        <f t="shared" si="34"/>
        <v/>
      </c>
      <c r="AP148" s="568" t="str">
        <f>IF(AB148=$V$3,IF(VLOOKUP(C148,[1]List1!$A:$E,5,FALSE)=0,1,VLOOKUP(C148,[1]List1!$A:$E,5,FALSE)),"")</f>
        <v/>
      </c>
      <c r="AQ148" s="292" t="str">
        <f t="shared" si="35"/>
        <v/>
      </c>
      <c r="AR148" s="618" t="str">
        <f t="shared" si="36"/>
        <v/>
      </c>
      <c r="AS148" s="292" t="str">
        <f t="shared" si="37"/>
        <v/>
      </c>
      <c r="AT148" s="377" t="e">
        <f t="shared" si="38"/>
        <v>#N/A</v>
      </c>
      <c r="AU148" s="292" t="e">
        <f t="shared" si="39"/>
        <v>#N/A</v>
      </c>
    </row>
    <row r="149" spans="1:47" ht="15" customHeight="1">
      <c r="A149" s="601" t="str">
        <f>Kat.!B149</f>
        <v>Römische Kerzen 20mm</v>
      </c>
      <c r="B149" s="601">
        <f t="shared" si="25"/>
        <v>0</v>
      </c>
      <c r="C149" s="778"/>
      <c r="D149" s="778"/>
      <c r="E149" s="778"/>
      <c r="F149" s="779"/>
      <c r="G149" s="778"/>
      <c r="H149" s="778"/>
      <c r="I149" s="778"/>
      <c r="J149" s="778"/>
      <c r="K149" s="781"/>
      <c r="L149" s="778"/>
      <c r="M149" s="778"/>
      <c r="N149" s="778"/>
      <c r="O149" s="778"/>
      <c r="P149" s="778"/>
      <c r="Q149" s="778"/>
      <c r="R149" s="778"/>
      <c r="S149" s="778"/>
      <c r="T149" s="778"/>
      <c r="U149" s="778"/>
      <c r="V149" s="778"/>
      <c r="W149" s="778" t="str">
        <f>IFERROR(VLOOKUP('General price list'!$C149,Popisy!A:P,MATCH($W$17,Popisy!$A$7:$P$7,0),FALSE),"---------------")</f>
        <v>---------------</v>
      </c>
      <c r="X149" s="778" t="str">
        <f t="shared" si="46"/>
        <v/>
      </c>
      <c r="Y149" s="770">
        <f>IF(OR(AP149&lt;AA149,AND(NOT(OR(LEFT(AB149,3)="SKL",LEFT(AB149,3)=LEFT($V$2,3))),AA149&gt;0),AND('Deutsche Markt'!$AH$1=FALSE,J149="F4",AA149&gt;0)),"",AA149)</f>
        <v>0</v>
      </c>
      <c r="Z149" s="778"/>
      <c r="AA149" s="771">
        <f>'Deutsche Markt'!AA149</f>
        <v>0</v>
      </c>
      <c r="AB149" s="778" t="str">
        <f>IFERROR(IF(VLOOKUP(C149,[1]List1!$A:$D,2,FALSE)="VYPRODÁNO",$V$9,IF(VLOOKUP(C149,[1]List1!$A:$D,2,FALSE)="DOCHÁZÍ",$V$3,VLOOKUP(C149,[1]List1!$A:$D,2,FALSE))),"OFFLINE!")</f>
        <v>OFFLINE!</v>
      </c>
      <c r="AC149" s="778" t="str">
        <f ca="1">IF(AO149="NE",$V$10,IF(AB149=$V$3,IF(AP149&lt;1,$V$8,$V$2&amp;" "&amp;AP149&amp;" "&amp;$V$1),IF(AB149="SKLADEM",$V$6,IFERROR(IF(OR(AB149-TODAY()&gt;21,VLOOKUP(C149,[1]List1!$A:$E,4,FALSE)=0),AB149,DAY(AB149)&amp;"."&amp;MONTH(AB149)&amp;"."&amp;YEAR(AB149)&amp;" "&amp;$V$4&amp;VLOOKUP(C149,[1]List1!$A:$E,4,FALSE)&amp;" "&amp;$V$1),AB149))))</f>
        <v>OFFLINE!</v>
      </c>
      <c r="AD149" s="778" t="str">
        <f t="shared" ca="1" si="47"/>
        <v>OFFLINE!</v>
      </c>
      <c r="AE149" s="599"/>
      <c r="AF149" s="599"/>
      <c r="AG149" s="599"/>
      <c r="AH149" s="599"/>
      <c r="AI149" s="599"/>
      <c r="AJ149" s="599"/>
      <c r="AK149" s="599"/>
      <c r="AL149" s="599"/>
      <c r="AM149" s="599"/>
      <c r="AN149" s="566"/>
      <c r="AO149" s="567" t="str">
        <f t="shared" si="34"/>
        <v/>
      </c>
      <c r="AP149" s="568" t="str">
        <f>IF(AB149=$V$3,IF(VLOOKUP(C149,[1]List1!$A:$E,5,FALSE)=0,1,VLOOKUP(C149,[1]List1!$A:$E,5,FALSE)),"")</f>
        <v/>
      </c>
      <c r="AQ149" s="292" t="str">
        <f t="shared" si="35"/>
        <v/>
      </c>
      <c r="AR149" s="618" t="str">
        <f t="shared" si="36"/>
        <v/>
      </c>
      <c r="AS149" s="292" t="str">
        <f t="shared" si="37"/>
        <v/>
      </c>
      <c r="AT149" s="377" t="e">
        <f t="shared" si="38"/>
        <v>#N/A</v>
      </c>
      <c r="AU149" s="292" t="e">
        <f t="shared" si="39"/>
        <v>#N/A</v>
      </c>
    </row>
    <row r="150" spans="1:47" ht="15" customHeight="1">
      <c r="A150" s="601" t="str">
        <f>Kat.!B150</f>
        <v/>
      </c>
      <c r="B150" s="601">
        <f t="shared" si="25"/>
        <v>1</v>
      </c>
      <c r="C150" s="758" t="s">
        <v>2307</v>
      </c>
      <c r="D150" s="759"/>
      <c r="E150" s="760"/>
      <c r="F150" s="761"/>
      <c r="G150" s="762"/>
      <c r="H150" s="596"/>
      <c r="I150" s="763"/>
      <c r="J150" s="764"/>
      <c r="K150" s="774"/>
      <c r="L150" s="766"/>
      <c r="M150" s="764"/>
      <c r="N150" s="777"/>
      <c r="O150" s="763"/>
      <c r="P150" s="763"/>
      <c r="Q150" s="764"/>
      <c r="R150" s="764"/>
      <c r="S150" s="764"/>
      <c r="T150" s="764"/>
      <c r="U150" s="768"/>
      <c r="V150" s="768"/>
      <c r="W150" s="769" t="str">
        <f>IFERROR(VLOOKUP('General price list'!$C150,Popisy!A:P,MATCH($W$17,Popisy!$A$7:$P$7,0),FALSE),"---------------")</f>
        <v>8 Schüsse Silberpfeife, 65cm lang</v>
      </c>
      <c r="X150" s="769" t="str">
        <f t="shared" si="46"/>
        <v/>
      </c>
      <c r="Y150" s="770">
        <f>IF(OR(AP150&lt;AA150,AND(NOT(OR(LEFT(AB150,3)="SKL",LEFT(AB150,3)=LEFT($V$2,3))),AA150&gt;0),AND('Deutsche Markt'!$AH$1=FALSE,J150="F4",AA150&gt;0)),"",AA150)</f>
        <v>0</v>
      </c>
      <c r="Z150" s="769"/>
      <c r="AA150" s="771">
        <f>'Deutsche Markt'!AA150</f>
        <v>0</v>
      </c>
      <c r="AB150" s="772" t="str">
        <f>IFERROR(IF(VLOOKUP(C150,[1]List1!$A:$D,2,FALSE)="VYPRODÁNO",$V$9,IF(VLOOKUP(C150,[1]List1!$A:$D,2,FALSE)="DOCHÁZÍ",$V$3,VLOOKUP(C150,[1]List1!$A:$D,2,FALSE))),"OFFLINE!")</f>
        <v>SKLADEM</v>
      </c>
      <c r="AC150" s="772" t="str">
        <f ca="1">IF(AO150="NE",$V$10,IF(AB150=$V$3,IF(AP150&lt;1,$V$8,$V$2&amp;" "&amp;AP150&amp;" "&amp;$V$1),IF(AB150="SKLADEM",$V$6,IFERROR(IF(OR(AB150-TODAY()&gt;21,VLOOKUP(C150,[1]List1!$A:$E,4,FALSE)=0),AB150,DAY(AB150)&amp;"."&amp;MONTH(AB150)&amp;"."&amp;YEAR(AB150)&amp;" "&amp;$V$4&amp;VLOOKUP(C150,[1]List1!$A:$E,4,FALSE)&amp;" "&amp;$V$1),AB150))))</f>
        <v>AUF LAGER</v>
      </c>
      <c r="AD150" s="772" t="str">
        <f t="shared" ca="1" si="47"/>
        <v>AUF LAGER</v>
      </c>
      <c r="AE150" s="605"/>
      <c r="AF150" s="605"/>
      <c r="AG150" s="615"/>
      <c r="AH150" s="616"/>
      <c r="AI150" s="615"/>
      <c r="AJ150" s="617"/>
      <c r="AK150" s="617"/>
      <c r="AL150" s="617"/>
      <c r="AM150" s="617"/>
      <c r="AO150" s="567" t="str">
        <f t="shared" si="34"/>
        <v/>
      </c>
      <c r="AP150" s="568" t="str">
        <f>IF(AB150=$V$3,IF(VLOOKUP(C150,[1]List1!$A:$E,5,FALSE)=0,1,VLOOKUP(C150,[1]List1!$A:$E,5,FALSE)),"")</f>
        <v/>
      </c>
      <c r="AQ150" s="292" t="str">
        <f t="shared" si="35"/>
        <v/>
      </c>
      <c r="AR150" s="618" t="str">
        <f t="shared" si="36"/>
        <v/>
      </c>
      <c r="AS150" s="292" t="str">
        <f t="shared" si="37"/>
        <v/>
      </c>
      <c r="AT150" s="377" t="e">
        <f t="shared" si="38"/>
        <v>#N/A</v>
      </c>
      <c r="AU150" s="292" t="e">
        <f t="shared" si="39"/>
        <v>#N/A</v>
      </c>
    </row>
    <row r="151" spans="1:47" ht="15" customHeight="1">
      <c r="A151" s="601" t="str">
        <f>Kat.!B151</f>
        <v>Batterien der römischen Kerzen</v>
      </c>
      <c r="B151" s="601">
        <f t="shared" ref="B151:B214" si="48">IF(OR(L151="ZUGEWIESEN",AND(C151&lt;&gt;"",M151="")),1,IF(AB151=$V$3,1,0))</f>
        <v>0</v>
      </c>
      <c r="C151" s="758"/>
      <c r="D151" s="759"/>
      <c r="E151" s="760"/>
      <c r="F151" s="761"/>
      <c r="G151" s="762"/>
      <c r="H151" s="596"/>
      <c r="I151" s="763"/>
      <c r="J151" s="764"/>
      <c r="K151" s="781"/>
      <c r="L151" s="766"/>
      <c r="M151" s="764"/>
      <c r="N151" s="767"/>
      <c r="O151" s="763"/>
      <c r="P151" s="763"/>
      <c r="Q151" s="764"/>
      <c r="R151" s="764"/>
      <c r="S151" s="764"/>
      <c r="T151" s="764"/>
      <c r="U151" s="768"/>
      <c r="V151" s="768"/>
      <c r="W151" s="769" t="str">
        <f>IFERROR(VLOOKUP('General price list'!$C151,Popisy!A:P,MATCH($W$17,Popisy!$A$7:$P$7,0),FALSE),"---------------")</f>
        <v>---------------</v>
      </c>
      <c r="X151" s="769" t="str">
        <f t="shared" si="46"/>
        <v/>
      </c>
      <c r="Y151" s="770">
        <f>IF(OR(AP151&lt;AA151,AND(NOT(OR(LEFT(AB151,3)="SKL",LEFT(AB151,3)=LEFT($V$2,3))),AA151&gt;0),AND('Deutsche Markt'!$AH$1=FALSE,J151="F4",AA151&gt;0)),"",AA151)</f>
        <v>0</v>
      </c>
      <c r="Z151" s="769"/>
      <c r="AA151" s="771">
        <f>'Deutsche Markt'!AA151</f>
        <v>0</v>
      </c>
      <c r="AB151" s="772" t="str">
        <f>IFERROR(IF(VLOOKUP(C151,[1]List1!$A:$D,2,FALSE)="VYPRODÁNO",$V$9,IF(VLOOKUP(C151,[1]List1!$A:$D,2,FALSE)="DOCHÁZÍ",$V$3,VLOOKUP(C151,[1]List1!$A:$D,2,FALSE))),"OFFLINE!")</f>
        <v>OFFLINE!</v>
      </c>
      <c r="AC151" s="772" t="str">
        <f ca="1">IF(AO151="NE",$V$10,IF(AB151=$V$3,IF(AP151&lt;1,$V$8,$V$2&amp;" "&amp;AP151&amp;" "&amp;$V$1),IF(AB151="SKLADEM",$V$6,IFERROR(IF(OR(AB151-TODAY()&gt;21,VLOOKUP(C151,[1]List1!$A:$E,4,FALSE)=0),AB151,DAY(AB151)&amp;"."&amp;MONTH(AB151)&amp;"."&amp;YEAR(AB151)&amp;" "&amp;$V$4&amp;VLOOKUP(C151,[1]List1!$A:$E,4,FALSE)&amp;" "&amp;$V$1),AB151))))</f>
        <v>OFFLINE!</v>
      </c>
      <c r="AD151" s="772" t="str">
        <f t="shared" ca="1" si="47"/>
        <v>OFFLINE!</v>
      </c>
      <c r="AE151" s="605"/>
      <c r="AF151" s="605"/>
      <c r="AG151" s="615"/>
      <c r="AH151" s="616"/>
      <c r="AI151" s="615"/>
      <c r="AJ151" s="617"/>
      <c r="AK151" s="617"/>
      <c r="AL151" s="617"/>
      <c r="AM151" s="617"/>
      <c r="AN151" s="292"/>
      <c r="AO151" s="567" t="str">
        <f t="shared" si="34"/>
        <v/>
      </c>
      <c r="AP151" s="568" t="str">
        <f>IF(AB151=$V$3,IF(VLOOKUP(C151,[1]List1!$A:$E,5,FALSE)=0,1,VLOOKUP(C151,[1]List1!$A:$E,5,FALSE)),"")</f>
        <v/>
      </c>
      <c r="AQ151" s="292" t="str">
        <f t="shared" si="35"/>
        <v/>
      </c>
      <c r="AR151" s="618" t="str">
        <f t="shared" si="36"/>
        <v/>
      </c>
      <c r="AS151" s="292" t="str">
        <f t="shared" si="37"/>
        <v/>
      </c>
      <c r="AT151" s="377" t="e">
        <f t="shared" si="38"/>
        <v>#N/A</v>
      </c>
      <c r="AU151" s="292" t="e">
        <f t="shared" si="39"/>
        <v>#N/A</v>
      </c>
    </row>
    <row r="152" spans="1:47" ht="15" customHeight="1">
      <c r="A152" s="601" t="str">
        <f>Kat.!B152</f>
        <v/>
      </c>
      <c r="B152" s="601">
        <f t="shared" si="48"/>
        <v>1</v>
      </c>
      <c r="C152" s="758" t="s">
        <v>644</v>
      </c>
      <c r="D152" s="759"/>
      <c r="E152" s="760"/>
      <c r="F152" s="761"/>
      <c r="G152" s="762"/>
      <c r="H152" s="596"/>
      <c r="I152" s="763"/>
      <c r="J152" s="764"/>
      <c r="K152" s="774"/>
      <c r="L152" s="766"/>
      <c r="M152" s="764"/>
      <c r="N152" s="767"/>
      <c r="O152" s="763"/>
      <c r="P152" s="763"/>
      <c r="Q152" s="764"/>
      <c r="R152" s="764"/>
      <c r="S152" s="764"/>
      <c r="T152" s="764"/>
      <c r="U152" s="768"/>
      <c r="V152" s="768"/>
      <c r="W152" s="769" t="str">
        <f>IFERROR(VLOOKUP('General price list'!$C152,Popisy!A:P,MATCH($W$17,Popisy!$A$7:$P$7,0),FALSE),"---------------")</f>
        <v>91 Schuss Römische Kerze, 4 verschiedenfarbige Effekte</v>
      </c>
      <c r="X152" s="769" t="str">
        <f t="shared" si="46"/>
        <v/>
      </c>
      <c r="Y152" s="770">
        <f>IF(OR(AP152&lt;AA152,AND(NOT(OR(LEFT(AB152,3)="SKL",LEFT(AB152,3)=LEFT($V$2,3))),AA152&gt;0),AND('Deutsche Markt'!$AH$1=FALSE,J152="F4",AA152&gt;0)),"",AA152)</f>
        <v>0</v>
      </c>
      <c r="Z152" s="769"/>
      <c r="AA152" s="771">
        <f>'Deutsche Markt'!AA152</f>
        <v>0</v>
      </c>
      <c r="AB152" s="772" t="str">
        <f>IFERROR(IF(VLOOKUP(C152,[1]List1!$A:$D,2,FALSE)="VYPRODÁNO",$V$9,IF(VLOOKUP(C152,[1]List1!$A:$D,2,FALSE)="DOCHÁZÍ",$V$3,VLOOKUP(C152,[1]List1!$A:$D,2,FALSE))),"OFFLINE!")</f>
        <v>15.03.2024</v>
      </c>
      <c r="AC152" s="772" t="str">
        <f ca="1">IF(AO152="NE",$V$10,IF(AB152=$V$3,IF(AP152&lt;1,$V$8,$V$2&amp;" "&amp;AP152&amp;" "&amp;$V$1),IF(AB152="SKLADEM",$V$6,IFERROR(IF(OR(AB152-TODAY()&gt;21,VLOOKUP(C152,[1]List1!$A:$E,4,FALSE)=0),AB152,DAY(AB152)&amp;"."&amp;MONTH(AB152)&amp;"."&amp;YEAR(AB152)&amp;" "&amp;$V$4&amp;VLOOKUP(C152,[1]List1!$A:$E,4,FALSE)&amp;" "&amp;$V$1),AB152))))</f>
        <v>15.3.2024 KOMMT 100+ KTN</v>
      </c>
      <c r="AD152" s="772" t="str">
        <f t="shared" ca="1" si="47"/>
        <v>15.3.2024 KOMMT 100+ KTN</v>
      </c>
      <c r="AE152" s="605"/>
      <c r="AF152" s="605"/>
      <c r="AG152" s="615"/>
      <c r="AH152" s="616"/>
      <c r="AI152" s="615"/>
      <c r="AJ152" s="617"/>
      <c r="AK152" s="617"/>
      <c r="AL152" s="617"/>
      <c r="AM152" s="617"/>
      <c r="AO152" s="567" t="str">
        <f t="shared" si="34"/>
        <v/>
      </c>
      <c r="AP152" s="568" t="str">
        <f>IF(AB152=$V$3,IF(VLOOKUP(C152,[1]List1!$A:$E,5,FALSE)=0,1,VLOOKUP(C152,[1]List1!$A:$E,5,FALSE)),"")</f>
        <v/>
      </c>
      <c r="AQ152" s="292" t="str">
        <f t="shared" si="35"/>
        <v/>
      </c>
      <c r="AR152" s="618" t="str">
        <f t="shared" si="36"/>
        <v/>
      </c>
      <c r="AS152" s="292" t="str">
        <f t="shared" si="37"/>
        <v/>
      </c>
      <c r="AT152" s="377" t="e">
        <f t="shared" si="38"/>
        <v>#N/A</v>
      </c>
      <c r="AU152" s="292" t="e">
        <f t="shared" si="39"/>
        <v>#N/A</v>
      </c>
    </row>
    <row r="153" spans="1:47" ht="15" customHeight="1">
      <c r="A153" s="601" t="str">
        <f>Kat.!B153</f>
        <v>Schießröhre F2</v>
      </c>
      <c r="B153" s="601">
        <f t="shared" si="48"/>
        <v>0</v>
      </c>
      <c r="C153" s="758"/>
      <c r="D153" s="759"/>
      <c r="E153" s="760"/>
      <c r="F153" s="761"/>
      <c r="G153" s="762"/>
      <c r="H153" s="596"/>
      <c r="I153" s="763"/>
      <c r="J153" s="764"/>
      <c r="K153" s="781"/>
      <c r="L153" s="766"/>
      <c r="M153" s="764"/>
      <c r="N153" s="767"/>
      <c r="O153" s="763"/>
      <c r="P153" s="763"/>
      <c r="Q153" s="764"/>
      <c r="R153" s="764"/>
      <c r="S153" s="764"/>
      <c r="T153" s="764"/>
      <c r="U153" s="768"/>
      <c r="V153" s="768"/>
      <c r="W153" s="769" t="str">
        <f>IFERROR(VLOOKUP('General price list'!$C153,Popisy!A:P,MATCH($W$17,Popisy!$A$7:$P$7,0),FALSE),"---------------")</f>
        <v>---------------</v>
      </c>
      <c r="X153" s="769" t="str">
        <f t="shared" si="46"/>
        <v/>
      </c>
      <c r="Y153" s="770">
        <f>IF(OR(AP153&lt;AA153,AND(NOT(OR(LEFT(AB153,3)="SKL",LEFT(AB153,3)=LEFT($V$2,3))),AA153&gt;0),AND('Deutsche Markt'!$AH$1=FALSE,J153="F4",AA153&gt;0)),"",AA153)</f>
        <v>0</v>
      </c>
      <c r="Z153" s="769"/>
      <c r="AA153" s="771">
        <f>'Deutsche Markt'!AA153</f>
        <v>0</v>
      </c>
      <c r="AB153" s="772" t="str">
        <f>IFERROR(IF(VLOOKUP(C153,[1]List1!$A:$D,2,FALSE)="VYPRODÁNO",$V$9,IF(VLOOKUP(C153,[1]List1!$A:$D,2,FALSE)="DOCHÁZÍ",$V$3,VLOOKUP(C153,[1]List1!$A:$D,2,FALSE))),"OFFLINE!")</f>
        <v>OFFLINE!</v>
      </c>
      <c r="AC153" s="772" t="str">
        <f ca="1">IF(AO153="NE",$V$10,IF(AB153=$V$3,IF(AP153&lt;1,$V$8,$V$2&amp;" "&amp;AP153&amp;" "&amp;$V$1),IF(AB153="SKLADEM",$V$6,IFERROR(IF(OR(AB153-TODAY()&gt;21,VLOOKUP(C153,[1]List1!$A:$E,4,FALSE)=0),AB153,DAY(AB153)&amp;"."&amp;MONTH(AB153)&amp;"."&amp;YEAR(AB153)&amp;" "&amp;$V$4&amp;VLOOKUP(C153,[1]List1!$A:$E,4,FALSE)&amp;" "&amp;$V$1),AB153))))</f>
        <v>OFFLINE!</v>
      </c>
      <c r="AD153" s="772" t="str">
        <f t="shared" ca="1" si="47"/>
        <v>OFFLINE!</v>
      </c>
      <c r="AE153" s="605"/>
      <c r="AF153" s="605"/>
      <c r="AG153" s="615"/>
      <c r="AH153" s="616"/>
      <c r="AI153" s="615"/>
      <c r="AJ153" s="617"/>
      <c r="AK153" s="617"/>
      <c r="AL153" s="617"/>
      <c r="AM153" s="617"/>
      <c r="AO153" s="567" t="str">
        <f t="shared" si="34"/>
        <v/>
      </c>
      <c r="AP153" s="568" t="str">
        <f>IF(AB153=$V$3,IF(VLOOKUP(C153,[1]List1!$A:$E,5,FALSE)=0,1,VLOOKUP(C153,[1]List1!$A:$E,5,FALSE)),"")</f>
        <v/>
      </c>
      <c r="AQ153" s="292" t="str">
        <f t="shared" si="35"/>
        <v/>
      </c>
      <c r="AR153" s="618" t="str">
        <f t="shared" si="36"/>
        <v/>
      </c>
      <c r="AS153" s="292" t="str">
        <f t="shared" si="37"/>
        <v/>
      </c>
      <c r="AT153" s="377" t="e">
        <f t="shared" si="38"/>
        <v>#N/A</v>
      </c>
      <c r="AU153" s="292" t="e">
        <f t="shared" si="39"/>
        <v>#N/A</v>
      </c>
    </row>
    <row r="154" spans="1:47" ht="15" customHeight="1">
      <c r="A154" s="601" t="str">
        <f>Kat.!B154</f>
        <v/>
      </c>
      <c r="B154" s="601">
        <f t="shared" si="48"/>
        <v>1</v>
      </c>
      <c r="C154" s="758" t="s">
        <v>649</v>
      </c>
      <c r="D154" s="759"/>
      <c r="E154" s="760"/>
      <c r="F154" s="761"/>
      <c r="G154" s="762"/>
      <c r="H154" s="596"/>
      <c r="I154" s="763"/>
      <c r="J154" s="764"/>
      <c r="K154" s="774"/>
      <c r="L154" s="766"/>
      <c r="M154" s="764"/>
      <c r="N154" s="767"/>
      <c r="O154" s="763"/>
      <c r="P154" s="763"/>
      <c r="Q154" s="764"/>
      <c r="R154" s="764"/>
      <c r="S154" s="764"/>
      <c r="T154" s="764"/>
      <c r="U154" s="768"/>
      <c r="V154" s="768"/>
      <c r="W154" s="769" t="str">
        <f>IFERROR(VLOOKUP('General price list'!$C154,Popisy!A:P,MATCH($W$17,Popisy!$A$7:$P$7,0),FALSE),"---------------")</f>
        <v>silberne Treibladung+rote Spur und titanische Detonation</v>
      </c>
      <c r="X154" s="769" t="str">
        <f t="shared" si="46"/>
        <v/>
      </c>
      <c r="Y154" s="770">
        <f>IF(OR(AP154&lt;AA154,AND(NOT(OR(LEFT(AB154,3)="SKL",LEFT(AB154,3)=LEFT($V$2,3))),AA154&gt;0),AND('Deutsche Markt'!$AH$1=FALSE,J154="F4",AA154&gt;0)),"",AA154)</f>
        <v>0</v>
      </c>
      <c r="Z154" s="769"/>
      <c r="AA154" s="771">
        <f>'Deutsche Markt'!AA154</f>
        <v>0</v>
      </c>
      <c r="AB154" s="772" t="str">
        <f>IFERROR(IF(VLOOKUP(C154,[1]List1!$A:$D,2,FALSE)="VYPRODÁNO",$V$9,IF(VLOOKUP(C154,[1]List1!$A:$D,2,FALSE)="DOCHÁZÍ",$V$3,VLOOKUP(C154,[1]List1!$A:$D,2,FALSE))),"OFFLINE!")</f>
        <v>20.06.2024</v>
      </c>
      <c r="AC154" s="772" t="str">
        <f ca="1">IF(AO154="NE",$V$10,IF(AB154=$V$3,IF(AP154&lt;1,$V$8,$V$2&amp;" "&amp;AP154&amp;" "&amp;$V$1),IF(AB154="SKLADEM",$V$6,IFERROR(IF(OR(AB154-TODAY()&gt;21,VLOOKUP(C154,[1]List1!$A:$E,4,FALSE)=0),AB154,DAY(AB154)&amp;"."&amp;MONTH(AB154)&amp;"."&amp;YEAR(AB154)&amp;" "&amp;$V$4&amp;VLOOKUP(C154,[1]List1!$A:$E,4,FALSE)&amp;" "&amp;$V$1),AB154))))</f>
        <v>20.06.2024</v>
      </c>
      <c r="AD154" s="772" t="str">
        <f t="shared" ca="1" si="47"/>
        <v>20.06.2024</v>
      </c>
      <c r="AE154" s="605"/>
      <c r="AF154" s="605"/>
      <c r="AG154" s="615"/>
      <c r="AH154" s="616"/>
      <c r="AI154" s="615"/>
      <c r="AJ154" s="617"/>
      <c r="AK154" s="617"/>
      <c r="AL154" s="617"/>
      <c r="AM154" s="617"/>
      <c r="AO154" s="567" t="str">
        <f t="shared" si="34"/>
        <v/>
      </c>
      <c r="AP154" s="568" t="str">
        <f>IF(AB154=$V$3,IF(VLOOKUP(C154,[1]List1!$A:$E,5,FALSE)=0,1,VLOOKUP(C154,[1]List1!$A:$E,5,FALSE)),"")</f>
        <v/>
      </c>
      <c r="AQ154" s="292" t="str">
        <f t="shared" si="35"/>
        <v/>
      </c>
      <c r="AR154" s="618" t="str">
        <f t="shared" si="36"/>
        <v/>
      </c>
      <c r="AS154" s="292" t="str">
        <f t="shared" si="37"/>
        <v/>
      </c>
      <c r="AT154" s="377" t="e">
        <f t="shared" si="38"/>
        <v>#N/A</v>
      </c>
      <c r="AU154" s="292" t="e">
        <f t="shared" si="39"/>
        <v>#N/A</v>
      </c>
    </row>
    <row r="155" spans="1:47" ht="15" customHeight="1">
      <c r="A155" s="601" t="str">
        <f>Kat.!B155</f>
        <v/>
      </c>
      <c r="B155" s="601">
        <f t="shared" si="48"/>
        <v>1</v>
      </c>
      <c r="C155" s="775" t="s">
        <v>2309</v>
      </c>
      <c r="D155" s="786"/>
      <c r="E155" s="760"/>
      <c r="F155" s="761"/>
      <c r="G155" s="762"/>
      <c r="H155" s="596"/>
      <c r="I155" s="763"/>
      <c r="J155" s="764"/>
      <c r="K155" s="781"/>
      <c r="L155" s="766"/>
      <c r="M155" s="764"/>
      <c r="N155" s="767"/>
      <c r="O155" s="763"/>
      <c r="P155" s="763"/>
      <c r="Q155" s="764"/>
      <c r="R155" s="764"/>
      <c r="S155" s="764"/>
      <c r="T155" s="764"/>
      <c r="U155" s="768"/>
      <c r="V155" s="768"/>
      <c r="W155" s="769" t="str">
        <f>IFERROR(VLOOKUP('General price list'!$C155,Popisy!A:P,MATCH($W$17,Popisy!$A$7:$P$7,0),FALSE),"---------------")</f>
        <v xml:space="preserve">Pfeifende Spur </v>
      </c>
      <c r="X155" s="769" t="str">
        <f t="shared" si="46"/>
        <v/>
      </c>
      <c r="Y155" s="770">
        <f>IF(OR(AP155&lt;AA155,AND(NOT(OR(LEFT(AB155,3)="SKL",LEFT(AB155,3)=LEFT($V$2,3))),AA155&gt;0),AND('Deutsche Markt'!$AH$1=FALSE,J155="F4",AA155&gt;0)),"",AA155)</f>
        <v>0</v>
      </c>
      <c r="Z155" s="769"/>
      <c r="AA155" s="771">
        <f>'Deutsche Markt'!AA155</f>
        <v>0</v>
      </c>
      <c r="AB155" s="772" t="str">
        <f>IFERROR(IF(VLOOKUP(C155,[1]List1!$A:$D,2,FALSE)="VYPRODÁNO",$V$9,IF(VLOOKUP(C155,[1]List1!$A:$D,2,FALSE)="DOCHÁZÍ",$V$3,VLOOKUP(C155,[1]List1!$A:$D,2,FALSE))),"OFFLINE!")</f>
        <v>SKLADEM</v>
      </c>
      <c r="AC155" s="772" t="str">
        <f ca="1">IF(AO155="NE",$V$10,IF(AB155=$V$3,IF(AP155&lt;1,$V$8,$V$2&amp;" "&amp;AP155&amp;" "&amp;$V$1),IF(AB155="SKLADEM",$V$6,IFERROR(IF(OR(AB155-TODAY()&gt;21,VLOOKUP(C155,[1]List1!$A:$E,4,FALSE)=0),AB155,DAY(AB155)&amp;"."&amp;MONTH(AB155)&amp;"."&amp;YEAR(AB155)&amp;" "&amp;$V$4&amp;VLOOKUP(C155,[1]List1!$A:$E,4,FALSE)&amp;" "&amp;$V$1),AB155))))</f>
        <v>AUF LAGER</v>
      </c>
      <c r="AD155" s="772" t="str">
        <f t="shared" ca="1" si="47"/>
        <v>AUF LAGER</v>
      </c>
      <c r="AE155" s="605"/>
      <c r="AF155" s="605"/>
      <c r="AG155" s="615"/>
      <c r="AH155" s="616"/>
      <c r="AI155" s="615"/>
      <c r="AJ155" s="617"/>
      <c r="AK155" s="617"/>
      <c r="AL155" s="617"/>
      <c r="AM155" s="617"/>
      <c r="AO155" s="567" t="str">
        <f t="shared" si="34"/>
        <v/>
      </c>
      <c r="AP155" s="568" t="str">
        <f>IF(AB155=$V$3,IF(VLOOKUP(C155,[1]List1!$A:$E,5,FALSE)=0,1,VLOOKUP(C155,[1]List1!$A:$E,5,FALSE)),"")</f>
        <v/>
      </c>
      <c r="AQ155" s="292" t="str">
        <f t="shared" si="35"/>
        <v/>
      </c>
      <c r="AR155" s="618" t="str">
        <f t="shared" si="36"/>
        <v/>
      </c>
      <c r="AS155" s="292" t="str">
        <f t="shared" si="37"/>
        <v/>
      </c>
      <c r="AT155" s="377" t="e">
        <f t="shared" si="38"/>
        <v>#N/A</v>
      </c>
      <c r="AU155" s="292" t="e">
        <f t="shared" si="39"/>
        <v>#N/A</v>
      </c>
    </row>
    <row r="156" spans="1:47" ht="15" customHeight="1">
      <c r="A156" s="601" t="str">
        <f>Kat.!B156</f>
        <v/>
      </c>
      <c r="B156" s="601">
        <f t="shared" si="48"/>
        <v>1</v>
      </c>
      <c r="C156" s="758" t="s">
        <v>660</v>
      </c>
      <c r="D156" s="759"/>
      <c r="E156" s="760"/>
      <c r="F156" s="761"/>
      <c r="G156" s="762"/>
      <c r="H156" s="596"/>
      <c r="I156" s="763"/>
      <c r="J156" s="764"/>
      <c r="K156" s="774"/>
      <c r="L156" s="766"/>
      <c r="M156" s="764"/>
      <c r="N156" s="767"/>
      <c r="O156" s="763"/>
      <c r="P156" s="763"/>
      <c r="Q156" s="764"/>
      <c r="R156" s="764"/>
      <c r="S156" s="764"/>
      <c r="T156" s="764"/>
      <c r="U156" s="768"/>
      <c r="V156" s="768"/>
      <c r="W156" s="769" t="str">
        <f>IFERROR(VLOOKUP('General price list'!$C156,Popisy!A:P,MATCH($W$17,Popisy!$A$7:$P$7,0),FALSE),"---------------")</f>
        <v>4 verschiedenfarbige Effekte</v>
      </c>
      <c r="X156" s="769" t="str">
        <f t="shared" si="46"/>
        <v/>
      </c>
      <c r="Y156" s="770">
        <f>IF(OR(AP156&lt;AA156,AND(NOT(OR(LEFT(AB156,3)="SKL",LEFT(AB156,3)=LEFT($V$2,3))),AA156&gt;0),AND('Deutsche Markt'!$AH$1=FALSE,J156="F4",AA156&gt;0)),"",AA156)</f>
        <v>0</v>
      </c>
      <c r="Z156" s="769"/>
      <c r="AA156" s="771">
        <f>'Deutsche Markt'!AA156</f>
        <v>0</v>
      </c>
      <c r="AB156" s="772" t="str">
        <f>IFERROR(IF(VLOOKUP(C156,[1]List1!$A:$D,2,FALSE)="VYPRODÁNO",$V$9,IF(VLOOKUP(C156,[1]List1!$A:$D,2,FALSE)="DOCHÁZÍ",$V$3,VLOOKUP(C156,[1]List1!$A:$D,2,FALSE))),"OFFLINE!")</f>
        <v>SKLADEM</v>
      </c>
      <c r="AC156" s="772" t="str">
        <f ca="1">IF(AO156="NE",$V$10,IF(AB156=$V$3,IF(AP156&lt;1,$V$8,$V$2&amp;" "&amp;AP156&amp;" "&amp;$V$1),IF(AB156="SKLADEM",$V$6,IFERROR(IF(OR(AB156-TODAY()&gt;21,VLOOKUP(C156,[1]List1!$A:$E,4,FALSE)=0),AB156,DAY(AB156)&amp;"."&amp;MONTH(AB156)&amp;"."&amp;YEAR(AB156)&amp;" "&amp;$V$4&amp;VLOOKUP(C156,[1]List1!$A:$E,4,FALSE)&amp;" "&amp;$V$1),AB156))))</f>
        <v>AUF LAGER</v>
      </c>
      <c r="AD156" s="772" t="str">
        <f t="shared" ca="1" si="47"/>
        <v>AUF LAGER</v>
      </c>
      <c r="AE156" s="605"/>
      <c r="AF156" s="605"/>
      <c r="AG156" s="615"/>
      <c r="AH156" s="616"/>
      <c r="AI156" s="615"/>
      <c r="AJ156" s="617"/>
      <c r="AK156" s="617"/>
      <c r="AL156" s="617"/>
      <c r="AM156" s="617"/>
      <c r="AO156" s="567" t="str">
        <f t="shared" si="34"/>
        <v/>
      </c>
      <c r="AP156" s="568" t="str">
        <f>IF(AB156=$V$3,IF(VLOOKUP(C156,[1]List1!$A:$E,5,FALSE)=0,1,VLOOKUP(C156,[1]List1!$A:$E,5,FALSE)),"")</f>
        <v/>
      </c>
      <c r="AQ156" s="292" t="str">
        <f t="shared" si="35"/>
        <v/>
      </c>
      <c r="AR156" s="618" t="str">
        <f t="shared" si="36"/>
        <v/>
      </c>
      <c r="AS156" s="292" t="str">
        <f t="shared" si="37"/>
        <v/>
      </c>
      <c r="AT156" s="377" t="e">
        <f t="shared" si="38"/>
        <v>#N/A</v>
      </c>
      <c r="AU156" s="292" t="e">
        <f t="shared" si="39"/>
        <v>#N/A</v>
      </c>
    </row>
    <row r="157" spans="1:47" ht="15" customHeight="1">
      <c r="A157" s="601" t="str">
        <f>Kat.!B157</f>
        <v>Schießröhre 3 schuss, 20mm Mörser</v>
      </c>
      <c r="B157" s="601">
        <f t="shared" si="48"/>
        <v>0</v>
      </c>
      <c r="C157" s="758"/>
      <c r="D157" s="759"/>
      <c r="E157" s="760"/>
      <c r="F157" s="761"/>
      <c r="G157" s="762"/>
      <c r="H157" s="596"/>
      <c r="I157" s="763"/>
      <c r="J157" s="764"/>
      <c r="K157" s="781"/>
      <c r="L157" s="766"/>
      <c r="M157" s="764"/>
      <c r="N157" s="767"/>
      <c r="O157" s="763"/>
      <c r="P157" s="763"/>
      <c r="Q157" s="764"/>
      <c r="R157" s="764"/>
      <c r="S157" s="764"/>
      <c r="T157" s="764"/>
      <c r="U157" s="768"/>
      <c r="V157" s="768"/>
      <c r="W157" s="769"/>
      <c r="X157" s="769"/>
      <c r="Y157" s="770">
        <f>IF(OR(AP157&lt;AA157,AND(NOT(OR(LEFT(AB157,3)="SKL",LEFT(AB157,3)=LEFT($V$2,3))),AA157&gt;0),AND('Deutsche Markt'!$AH$1=FALSE,J157="F4",AA157&gt;0)),"",AA157)</f>
        <v>0</v>
      </c>
      <c r="Z157" s="769"/>
      <c r="AA157" s="771">
        <f>'Deutsche Markt'!AA157</f>
        <v>0</v>
      </c>
      <c r="AB157" s="772"/>
      <c r="AC157" s="772"/>
      <c r="AD157" s="772"/>
      <c r="AE157" s="605"/>
      <c r="AF157" s="605"/>
      <c r="AG157" s="615"/>
      <c r="AH157" s="616"/>
      <c r="AI157" s="615"/>
      <c r="AJ157" s="617"/>
      <c r="AK157" s="617"/>
      <c r="AL157" s="617"/>
      <c r="AM157" s="617"/>
      <c r="AO157" s="567" t="str">
        <f t="shared" si="34"/>
        <v/>
      </c>
      <c r="AP157" s="568" t="str">
        <f>IF(AB157=$V$3,IF(VLOOKUP(C157,[1]List1!$A:$E,5,FALSE)=0,1,VLOOKUP(C157,[1]List1!$A:$E,5,FALSE)),"")</f>
        <v/>
      </c>
      <c r="AQ157" s="292" t="str">
        <f t="shared" si="35"/>
        <v/>
      </c>
      <c r="AR157" s="618" t="str">
        <f t="shared" si="36"/>
        <v/>
      </c>
      <c r="AS157" s="292" t="str">
        <f t="shared" si="37"/>
        <v/>
      </c>
      <c r="AT157" s="377" t="e">
        <f t="shared" si="38"/>
        <v>#N/A</v>
      </c>
      <c r="AU157" s="292" t="e">
        <f t="shared" si="39"/>
        <v>#N/A</v>
      </c>
    </row>
    <row r="158" spans="1:47" ht="15" customHeight="1">
      <c r="A158" s="601" t="str">
        <f>Kat.!B158</f>
        <v/>
      </c>
      <c r="B158" s="601">
        <f t="shared" si="48"/>
        <v>1</v>
      </c>
      <c r="C158" s="758" t="s">
        <v>2643</v>
      </c>
      <c r="D158" s="759"/>
      <c r="E158" s="760"/>
      <c r="F158" s="761"/>
      <c r="G158" s="762"/>
      <c r="H158" s="596"/>
      <c r="I158" s="763"/>
      <c r="J158" s="764"/>
      <c r="K158" s="774"/>
      <c r="L158" s="782"/>
      <c r="M158" s="764"/>
      <c r="N158" s="767"/>
      <c r="O158" s="763"/>
      <c r="P158" s="763"/>
      <c r="Q158" s="764"/>
      <c r="R158" s="764"/>
      <c r="S158" s="764"/>
      <c r="T158" s="764"/>
      <c r="U158" s="768"/>
      <c r="V158" s="768"/>
      <c r="W158" s="769" t="str">
        <f>IFERROR(VLOOKUP('General price list'!$C158,Popisy!A:P,MATCH($W$17,Popisy!$A$7:$P$7,0),FALSE),"---------------")</f>
        <v>Silberne Mine mit der roten Spur und mit der titanischen Detonation</v>
      </c>
      <c r="X158" s="769" t="str">
        <f t="shared" ref="X158:X168" si="49">IF(AA158&lt;0.0001,"",AA158)</f>
        <v/>
      </c>
      <c r="Y158" s="770">
        <f>IF(OR(AP158&lt;AA158,AND(NOT(OR(LEFT(AB158,3)="SKL",LEFT(AB158,3)=LEFT($V$2,3))),AA158&gt;0),AND('Deutsche Markt'!$AH$1=FALSE,J158="F4",AA158&gt;0)),"",AA158)</f>
        <v>0</v>
      </c>
      <c r="Z158" s="769"/>
      <c r="AA158" s="771">
        <f>'Deutsche Markt'!AA158</f>
        <v>0</v>
      </c>
      <c r="AB158" s="772" t="str">
        <f>IFERROR(IF(VLOOKUP(C158,[1]List1!$A:$D,2,FALSE)="VYPRODÁNO",$V$9,IF(VLOOKUP(C158,[1]List1!$A:$D,2,FALSE)="DOCHÁZÍ",$V$3,VLOOKUP(C158,[1]List1!$A:$D,2,FALSE))),"OFFLINE!")</f>
        <v>15.06.2024</v>
      </c>
      <c r="AC158" s="772" t="str">
        <f ca="1">IF(AO158="NE",$V$10,IF(AB158=$V$3,IF(AP158&lt;1,$V$8,$V$2&amp;" "&amp;AP158&amp;" "&amp;$V$1),IF(AB158="SKLADEM",$V$6,IFERROR(IF(OR(AB158-TODAY()&gt;21,VLOOKUP(C158,[1]List1!$A:$E,4,FALSE)=0),AB158,DAY(AB158)&amp;"."&amp;MONTH(AB158)&amp;"."&amp;YEAR(AB158)&amp;" "&amp;$V$4&amp;VLOOKUP(C158,[1]List1!$A:$E,4,FALSE)&amp;" "&amp;$V$1),AB158))))</f>
        <v>15.06.2024</v>
      </c>
      <c r="AD158" s="772" t="str">
        <f t="shared" ref="AD158:AD168" ca="1" si="50">IFERROR(IF(AU158&lt;&gt;"",AU158,AC158),AC158)</f>
        <v>15.06.2024</v>
      </c>
      <c r="AE158" s="605"/>
      <c r="AF158" s="605"/>
      <c r="AG158" s="615"/>
      <c r="AH158" s="616"/>
      <c r="AI158" s="615"/>
      <c r="AJ158" s="617"/>
      <c r="AK158" s="617"/>
      <c r="AL158" s="617"/>
      <c r="AM158" s="617"/>
      <c r="AO158" s="567" t="str">
        <f t="shared" si="34"/>
        <v/>
      </c>
      <c r="AP158" s="568" t="str">
        <f>IF(AB158=$V$3,IF(VLOOKUP(C158,[1]List1!$A:$E,5,FALSE)=0,1,VLOOKUP(C158,[1]List1!$A:$E,5,FALSE)),"")</f>
        <v/>
      </c>
      <c r="AQ158" s="292" t="str">
        <f t="shared" si="35"/>
        <v/>
      </c>
      <c r="AR158" s="618" t="str">
        <f t="shared" si="36"/>
        <v/>
      </c>
      <c r="AS158" s="292" t="str">
        <f t="shared" si="37"/>
        <v/>
      </c>
      <c r="AT158" s="377" t="e">
        <f t="shared" si="38"/>
        <v>#N/A</v>
      </c>
      <c r="AU158" s="292" t="e">
        <f t="shared" si="39"/>
        <v>#N/A</v>
      </c>
    </row>
    <row r="159" spans="1:47" ht="15" customHeight="1">
      <c r="A159" s="601" t="str">
        <f>Kat.!B159</f>
        <v>Schießröhre 3 schuss, 30mm Mörser</v>
      </c>
      <c r="B159" s="601">
        <f t="shared" si="48"/>
        <v>0</v>
      </c>
      <c r="C159" s="775"/>
      <c r="D159" s="759"/>
      <c r="E159" s="760"/>
      <c r="F159" s="761"/>
      <c r="G159" s="762"/>
      <c r="H159" s="596"/>
      <c r="I159" s="763"/>
      <c r="J159" s="764"/>
      <c r="K159" s="781"/>
      <c r="L159" s="782"/>
      <c r="M159" s="764"/>
      <c r="N159" s="767"/>
      <c r="O159" s="763"/>
      <c r="P159" s="763"/>
      <c r="Q159" s="764"/>
      <c r="R159" s="764"/>
      <c r="S159" s="764"/>
      <c r="T159" s="764"/>
      <c r="U159" s="768"/>
      <c r="V159" s="768"/>
      <c r="W159" s="769" t="str">
        <f>IFERROR(VLOOKUP('General price list'!$C159,Popisy!A:P,MATCH($W$17,Popisy!$A$7:$P$7,0),FALSE),"---------------")</f>
        <v>---------------</v>
      </c>
      <c r="X159" s="769" t="str">
        <f t="shared" si="49"/>
        <v/>
      </c>
      <c r="Y159" s="770">
        <f>IF(OR(AP159&lt;AA159,AND(NOT(OR(LEFT(AB159,3)="SKL",LEFT(AB159,3)=LEFT($V$2,3))),AA159&gt;0),AND('Deutsche Markt'!$AH$1=FALSE,J159="F4",AA159&gt;0)),"",AA159)</f>
        <v>0</v>
      </c>
      <c r="Z159" s="769"/>
      <c r="AA159" s="771">
        <f>'Deutsche Markt'!AA159</f>
        <v>0</v>
      </c>
      <c r="AB159" s="772" t="str">
        <f>IFERROR(IF(VLOOKUP(C159,[1]List1!$A:$D,2,FALSE)="VYPRODÁNO",$V$9,IF(VLOOKUP(C159,[1]List1!$A:$D,2,FALSE)="DOCHÁZÍ",$V$3,VLOOKUP(C159,[1]List1!$A:$D,2,FALSE))),"OFFLINE!")</f>
        <v>OFFLINE!</v>
      </c>
      <c r="AC159" s="772" t="str">
        <f ca="1">IF(AO159="NE",$V$10,IF(AB159=$V$3,IF(AP159&lt;1,$V$8,$V$2&amp;" "&amp;AP159&amp;" "&amp;$V$1),IF(AB159="SKLADEM",$V$6,IFERROR(IF(OR(AB159-TODAY()&gt;21,VLOOKUP(C159,[1]List1!$A:$E,4,FALSE)=0),AB159,DAY(AB159)&amp;"."&amp;MONTH(AB159)&amp;"."&amp;YEAR(AB159)&amp;" "&amp;$V$4&amp;VLOOKUP(C159,[1]List1!$A:$E,4,FALSE)&amp;" "&amp;$V$1),AB159))))</f>
        <v>OFFLINE!</v>
      </c>
      <c r="AD159" s="772" t="str">
        <f t="shared" ca="1" si="50"/>
        <v>OFFLINE!</v>
      </c>
      <c r="AE159" s="605"/>
      <c r="AF159" s="605"/>
      <c r="AG159" s="615"/>
      <c r="AH159" s="616"/>
      <c r="AI159" s="615"/>
      <c r="AJ159" s="617"/>
      <c r="AK159" s="617"/>
      <c r="AL159" s="617"/>
      <c r="AM159" s="617"/>
      <c r="AO159" s="567" t="str">
        <f t="shared" ref="AO159:AO168" si="51">IF($AK$3=1,IF(Y159=AA159,"","NE"),IF(AQ159=$V$10,"NE",""))</f>
        <v/>
      </c>
      <c r="AP159" s="568" t="str">
        <f>IF(AB159=$V$3,IF(VLOOKUP(C159,[1]List1!$A:$E,5,FALSE)=0,1,VLOOKUP(C159,[1]List1!$A:$E,5,FALSE)),"")</f>
        <v/>
      </c>
      <c r="AQ159" s="292" t="str">
        <f t="shared" ref="AQ159:AQ168" si="52">IF($AK$3=1,"",IF(OR(AA159&lt;&gt;"",AA159&lt;&gt;0),IF(OR(AB159=$V$6,AB159=$V$3,AB159=$V$9),$V$10,""),""))</f>
        <v/>
      </c>
      <c r="AR159" s="618" t="str">
        <f t="shared" ref="AR159:AR168" si="53">IF(AS159&lt;&gt;"","X","")</f>
        <v/>
      </c>
      <c r="AS159" s="292" t="str">
        <f t="shared" ref="AS159:AS168" si="54">IF(AND($AK$3=2,AQ159="",AA159&lt;&gt;""),AC159,"")</f>
        <v/>
      </c>
      <c r="AT159" s="377" t="e">
        <f t="shared" ref="AT159:AT168" si="55">IF(AS159=$AR$21,AA159,"")</f>
        <v>#N/A</v>
      </c>
      <c r="AU159" s="292" t="e">
        <f t="shared" ref="AU159:AU168" si="56">IF(OR(AA159="",AND(AS159&lt;&gt;"",AT159&lt;&gt;"")),"",$V$10)</f>
        <v>#N/A</v>
      </c>
    </row>
    <row r="160" spans="1:47" ht="15" customHeight="1">
      <c r="A160" s="624" t="str">
        <f>Kat.!$B$1&amp;Kat.!B160</f>
        <v/>
      </c>
      <c r="B160" s="601">
        <f t="shared" si="48"/>
        <v>1</v>
      </c>
      <c r="C160" s="163" t="s">
        <v>2363</v>
      </c>
      <c r="D160" s="163"/>
      <c r="E160" s="609"/>
      <c r="F160" s="605"/>
      <c r="G160" s="606"/>
      <c r="H160" s="625"/>
      <c r="I160" s="609"/>
      <c r="J160" s="609"/>
      <c r="K160" s="708"/>
      <c r="L160" s="609"/>
      <c r="M160" s="609"/>
      <c r="N160" s="609"/>
      <c r="O160" s="609"/>
      <c r="P160" s="609"/>
      <c r="Q160" s="609"/>
      <c r="R160" s="609"/>
      <c r="S160" s="609"/>
      <c r="T160" s="609"/>
      <c r="U160" s="609"/>
      <c r="V160" s="609"/>
      <c r="W160" s="609" t="str">
        <f>IFERROR(VLOOKUP('General price list'!$C160,Popisy!A:P,MATCH($W$17,Popisy!$A$7:$P$7,0),FALSE),"---------------")</f>
        <v>Silberne Minen mit der roten Spur und mit der titanischen Detonation</v>
      </c>
      <c r="X160" s="609" t="str">
        <f t="shared" si="49"/>
        <v/>
      </c>
      <c r="Y160" s="770">
        <f>IF(OR(AP160&lt;AA160,AND(NOT(OR(LEFT(AB160,3)="SKL",LEFT(AB160,3)=LEFT($V$2,3))),AA160&gt;0),AND('Deutsche Markt'!$AH$1=FALSE,J160="F4",AA160&gt;0)),"",AA160)</f>
        <v>0</v>
      </c>
      <c r="Z160" s="609"/>
      <c r="AA160" s="771">
        <f>'Deutsche Markt'!AA160</f>
        <v>0</v>
      </c>
      <c r="AB160" s="614" t="str">
        <f>IFERROR(IF(VLOOKUP(C160,[1]List1!$A:$D,2,FALSE)="VYPRODÁNO",$V$9,IF(VLOOKUP(C160,[1]List1!$A:$D,2,FALSE)="DOCHÁZÍ",$V$3,VLOOKUP(C160,[1]List1!$A:$D,2,FALSE))),"OFFLINE!")</f>
        <v>15.03.2024</v>
      </c>
      <c r="AC160" s="626" t="str">
        <f ca="1">IF(AO160="NE",$V$10,IF(AB160=$V$3,IF(AP160&lt;1,$V$8,$V$2&amp;" "&amp;AP160&amp;" "&amp;$V$1),IF(AB160="SKLADEM",$V$6,IFERROR(IF(OR(AB160-TODAY()&gt;21,VLOOKUP(C160,[1]List1!$A:$E,4,FALSE)=0),AB160,DAY(AB160)&amp;"."&amp;MONTH(AB160)&amp;"."&amp;YEAR(AB160)&amp;" "&amp;$V$4&amp;VLOOKUP(C160,[1]List1!$A:$E,4,FALSE)&amp;" "&amp;$V$1),AB160))))</f>
        <v>15.3.2024 KOMMT 100+ KTN</v>
      </c>
      <c r="AD160" s="626" t="str">
        <f t="shared" ca="1" si="50"/>
        <v>15.3.2024 KOMMT 100+ KTN</v>
      </c>
      <c r="AE160" s="609"/>
      <c r="AF160" s="609"/>
      <c r="AG160" s="627"/>
      <c r="AH160" s="609"/>
      <c r="AI160" s="627"/>
      <c r="AJ160" s="609"/>
      <c r="AK160" s="609"/>
      <c r="AL160" s="609"/>
      <c r="AM160" s="627"/>
      <c r="AO160" s="567" t="str">
        <f t="shared" si="51"/>
        <v/>
      </c>
      <c r="AP160" s="568" t="str">
        <f>IF(AB160=$V$3,IF(VLOOKUP(C160,[1]List1!$A:$E,5,FALSE)=0,1,VLOOKUP(C160,[1]List1!$A:$E,5,FALSE)),"")</f>
        <v/>
      </c>
      <c r="AQ160" s="292" t="str">
        <f t="shared" si="52"/>
        <v/>
      </c>
      <c r="AR160" s="618" t="str">
        <f t="shared" si="53"/>
        <v/>
      </c>
      <c r="AS160" s="292" t="str">
        <f t="shared" si="54"/>
        <v/>
      </c>
      <c r="AT160" s="377" t="e">
        <f t="shared" si="55"/>
        <v>#N/A</v>
      </c>
      <c r="AU160" s="292" t="e">
        <f t="shared" si="56"/>
        <v>#N/A</v>
      </c>
    </row>
    <row r="161" spans="1:47" ht="15" customHeight="1">
      <c r="A161" s="601" t="str">
        <f>Kat.!B161</f>
        <v>Reibkopfknaller</v>
      </c>
      <c r="B161" s="601">
        <f t="shared" si="48"/>
        <v>0</v>
      </c>
      <c r="C161" s="778"/>
      <c r="D161" s="778"/>
      <c r="E161" s="778"/>
      <c r="F161" s="779"/>
      <c r="G161" s="778"/>
      <c r="H161" s="778"/>
      <c r="I161" s="778"/>
      <c r="J161" s="778"/>
      <c r="K161" s="781"/>
      <c r="L161" s="778"/>
      <c r="M161" s="778"/>
      <c r="N161" s="778"/>
      <c r="O161" s="778"/>
      <c r="P161" s="778"/>
      <c r="Q161" s="778"/>
      <c r="R161" s="778"/>
      <c r="S161" s="778"/>
      <c r="T161" s="778"/>
      <c r="U161" s="778"/>
      <c r="V161" s="778"/>
      <c r="W161" s="778" t="str">
        <f>IFERROR(VLOOKUP('General price list'!$C161,Popisy!A:P,MATCH($W$17,Popisy!$A$7:$P$7,0),FALSE),"---------------")</f>
        <v>---------------</v>
      </c>
      <c r="X161" s="778" t="str">
        <f t="shared" si="49"/>
        <v/>
      </c>
      <c r="Y161" s="770">
        <f>IF(OR(AP161&lt;AA161,AND(NOT(OR(LEFT(AB161,3)="SKL",LEFT(AB161,3)=LEFT($V$2,3))),AA161&gt;0),AND('Deutsche Markt'!$AH$1=FALSE,J161="F4",AA161&gt;0)),"",AA161)</f>
        <v>0</v>
      </c>
      <c r="Z161" s="778"/>
      <c r="AA161" s="771">
        <f>'Deutsche Markt'!AA161</f>
        <v>0</v>
      </c>
      <c r="AB161" s="778" t="str">
        <f>IFERROR(IF(VLOOKUP(C161,[1]List1!$A:$D,2,FALSE)="VYPRODÁNO",$V$9,IF(VLOOKUP(C161,[1]List1!$A:$D,2,FALSE)="DOCHÁZÍ",$V$3,VLOOKUP(C161,[1]List1!$A:$D,2,FALSE))),"OFFLINE!")</f>
        <v>OFFLINE!</v>
      </c>
      <c r="AC161" s="778" t="str">
        <f ca="1">IF(AO161="NE",$V$10,IF(AB161=$V$3,IF(AP161&lt;1,$V$8,$V$2&amp;" "&amp;AP161&amp;" "&amp;$V$1),IF(AB161="SKLADEM",$V$6,IFERROR(IF(OR(AB161-TODAY()&gt;21,VLOOKUP(C161,[1]List1!$A:$E,4,FALSE)=0),AB161,DAY(AB161)&amp;"."&amp;MONTH(AB161)&amp;"."&amp;YEAR(AB161)&amp;" "&amp;$V$4&amp;VLOOKUP(C161,[1]List1!$A:$E,4,FALSE)&amp;" "&amp;$V$1),AB161))))</f>
        <v>OFFLINE!</v>
      </c>
      <c r="AD161" s="778" t="str">
        <f t="shared" ca="1" si="50"/>
        <v>OFFLINE!</v>
      </c>
      <c r="AE161" s="599"/>
      <c r="AF161" s="599"/>
      <c r="AG161" s="599"/>
      <c r="AH161" s="599"/>
      <c r="AI161" s="599"/>
      <c r="AJ161" s="599"/>
      <c r="AK161" s="599"/>
      <c r="AL161" s="599"/>
      <c r="AM161" s="599"/>
      <c r="AN161" s="566"/>
      <c r="AO161" s="567" t="str">
        <f t="shared" si="51"/>
        <v/>
      </c>
      <c r="AP161" s="568" t="str">
        <f>IF(AB161=$V$3,IF(VLOOKUP(C161,[1]List1!$A:$E,5,FALSE)=0,1,VLOOKUP(C161,[1]List1!$A:$E,5,FALSE)),"")</f>
        <v/>
      </c>
      <c r="AQ161" s="292" t="str">
        <f t="shared" si="52"/>
        <v/>
      </c>
      <c r="AR161" s="618" t="str">
        <f t="shared" si="53"/>
        <v/>
      </c>
      <c r="AS161" s="292" t="str">
        <f t="shared" si="54"/>
        <v/>
      </c>
      <c r="AT161" s="377" t="e">
        <f t="shared" si="55"/>
        <v>#N/A</v>
      </c>
      <c r="AU161" s="292" t="e">
        <f t="shared" si="56"/>
        <v>#N/A</v>
      </c>
    </row>
    <row r="162" spans="1:47" ht="15" customHeight="1">
      <c r="A162" s="601" t="str">
        <f>Kat.!B162</f>
        <v/>
      </c>
      <c r="B162" s="601">
        <f t="shared" si="48"/>
        <v>1</v>
      </c>
      <c r="C162" s="758" t="s">
        <v>4233</v>
      </c>
      <c r="D162" s="759"/>
      <c r="E162" s="760"/>
      <c r="F162" s="761"/>
      <c r="G162" s="762"/>
      <c r="H162" s="596"/>
      <c r="I162" s="763"/>
      <c r="J162" s="764"/>
      <c r="K162" s="774"/>
      <c r="L162" s="782"/>
      <c r="M162" s="764"/>
      <c r="N162" s="767"/>
      <c r="O162" s="763"/>
      <c r="P162" s="763"/>
      <c r="Q162" s="764"/>
      <c r="R162" s="764"/>
      <c r="S162" s="764"/>
      <c r="T162" s="764"/>
      <c r="U162" s="768"/>
      <c r="V162" s="768"/>
      <c r="W162" s="769" t="str">
        <f>IFERROR(VLOOKUP('General price list'!$C162,Popisy!A:P,MATCH($W$17,Popisy!$A$7:$P$7,0),FALSE),"---------------")</f>
        <v xml:space="preserve">Großer Reibkopfknaller, Explosionskraft 110dB von 8m(schwarz powder) </v>
      </c>
      <c r="X162" s="769" t="str">
        <f t="shared" si="49"/>
        <v/>
      </c>
      <c r="Y162" s="770">
        <f>IF(OR(AP162&lt;AA162,AND(NOT(OR(LEFT(AB162,3)="SKL",LEFT(AB162,3)=LEFT($V$2,3))),AA162&gt;0),AND('Deutsche Markt'!$AH$1=FALSE,J162="F4",AA162&gt;0)),"",AA162)</f>
        <v>0</v>
      </c>
      <c r="Z162" s="769"/>
      <c r="AA162" s="771">
        <f>'Deutsche Markt'!AA162</f>
        <v>0</v>
      </c>
      <c r="AB162" s="772" t="str">
        <f>IFERROR(IF(VLOOKUP(C162,[1]List1!$A:$D,2,FALSE)="VYPRODÁNO",$V$9,IF(VLOOKUP(C162,[1]List1!$A:$D,2,FALSE)="DOCHÁZÍ",$V$3,VLOOKUP(C162,[1]List1!$A:$D,2,FALSE))),"OFFLINE!")</f>
        <v>LETZTE STÜCKE</v>
      </c>
      <c r="AC162" s="772" t="str">
        <f ca="1">IF(AO162="NE",$V$10,IF(AB162=$V$3,IF(AP162&lt;1,$V$8,$V$2&amp;" "&amp;AP162&amp;" "&amp;$V$1),IF(AB162="SKLADEM",$V$6,IFERROR(IF(OR(AB162-TODAY()&gt;21,VLOOKUP(C162,[1]List1!$A:$E,4,FALSE)=0),AB162,DAY(AB162)&amp;"."&amp;MONTH(AB162)&amp;"."&amp;YEAR(AB162)&amp;" "&amp;$V$4&amp;VLOOKUP(C162,[1]List1!$A:$E,4,FALSE)&amp;" "&amp;$V$1),AB162))))</f>
        <v>LETZTE 51 KTN</v>
      </c>
      <c r="AD162" s="772" t="str">
        <f t="shared" ca="1" si="50"/>
        <v>LETZTE 51 KTN</v>
      </c>
      <c r="AE162" s="605"/>
      <c r="AF162" s="605"/>
      <c r="AG162" s="615"/>
      <c r="AH162" s="616"/>
      <c r="AI162" s="615"/>
      <c r="AJ162" s="617"/>
      <c r="AK162" s="617"/>
      <c r="AL162" s="617"/>
      <c r="AM162" s="617"/>
      <c r="AN162" s="292"/>
      <c r="AO162" s="567" t="str">
        <f t="shared" si="51"/>
        <v/>
      </c>
      <c r="AP162" s="568">
        <f>IF(AB162=$V$3,IF(VLOOKUP(C162,[1]List1!$A:$E,5,FALSE)=0,1,VLOOKUP(C162,[1]List1!$A:$E,5,FALSE)),"")</f>
        <v>51</v>
      </c>
      <c r="AQ162" s="292" t="str">
        <f t="shared" si="52"/>
        <v/>
      </c>
      <c r="AR162" s="618" t="str">
        <f t="shared" si="53"/>
        <v/>
      </c>
      <c r="AS162" s="292" t="str">
        <f t="shared" si="54"/>
        <v/>
      </c>
      <c r="AT162" s="377" t="e">
        <f t="shared" si="55"/>
        <v>#N/A</v>
      </c>
      <c r="AU162" s="292" t="e">
        <f t="shared" si="56"/>
        <v>#N/A</v>
      </c>
    </row>
    <row r="163" spans="1:47" ht="15" customHeight="1">
      <c r="A163" s="601" t="str">
        <f>Kat.!B163</f>
        <v>Knallkörper mit der Zündschnur F2</v>
      </c>
      <c r="B163" s="601">
        <f t="shared" si="48"/>
        <v>0</v>
      </c>
      <c r="C163" s="775"/>
      <c r="D163" s="786"/>
      <c r="E163" s="760"/>
      <c r="F163" s="761"/>
      <c r="G163" s="762"/>
      <c r="H163" s="596"/>
      <c r="I163" s="763"/>
      <c r="J163" s="764"/>
      <c r="K163" s="781"/>
      <c r="L163" s="782"/>
      <c r="M163" s="764"/>
      <c r="N163" s="767"/>
      <c r="O163" s="763"/>
      <c r="P163" s="763"/>
      <c r="Q163" s="764"/>
      <c r="R163" s="764"/>
      <c r="S163" s="764"/>
      <c r="T163" s="764"/>
      <c r="U163" s="768"/>
      <c r="V163" s="768"/>
      <c r="W163" s="769" t="str">
        <f>IFERROR(VLOOKUP('General price list'!$C163,Popisy!A:P,MATCH($W$17,Popisy!$A$7:$P$7,0),FALSE),"---------------")</f>
        <v>---------------</v>
      </c>
      <c r="X163" s="769" t="str">
        <f t="shared" si="49"/>
        <v/>
      </c>
      <c r="Y163" s="770">
        <f>IF(OR(AP163&lt;AA163,AND(NOT(OR(LEFT(AB163,3)="SKL",LEFT(AB163,3)=LEFT($V$2,3))),AA163&gt;0),AND('Deutsche Markt'!$AH$1=FALSE,J163="F4",AA163&gt;0)),"",AA163)</f>
        <v>0</v>
      </c>
      <c r="Z163" s="769"/>
      <c r="AA163" s="771">
        <f>'Deutsche Markt'!AA163</f>
        <v>0</v>
      </c>
      <c r="AB163" s="772" t="str">
        <f>IFERROR(IF(VLOOKUP(C163,[1]List1!$A:$D,2,FALSE)="VYPRODÁNO",$V$9,IF(VLOOKUP(C163,[1]List1!$A:$D,2,FALSE)="DOCHÁZÍ",$V$3,VLOOKUP(C163,[1]List1!$A:$D,2,FALSE))),"OFFLINE!")</f>
        <v>OFFLINE!</v>
      </c>
      <c r="AC163" s="772" t="str">
        <f ca="1">IF(AO163="NE",$V$10,IF(AB163=$V$3,IF(AP163&lt;1,$V$8,$V$2&amp;" "&amp;AP163&amp;" "&amp;$V$1),IF(AB163="SKLADEM",$V$6,IFERROR(IF(OR(AB163-TODAY()&gt;21,VLOOKUP(C163,[1]List1!$A:$E,4,FALSE)=0),AB163,DAY(AB163)&amp;"."&amp;MONTH(AB163)&amp;"."&amp;YEAR(AB163)&amp;" "&amp;$V$4&amp;VLOOKUP(C163,[1]List1!$A:$E,4,FALSE)&amp;" "&amp;$V$1),AB163))))</f>
        <v>OFFLINE!</v>
      </c>
      <c r="AD163" s="772" t="str">
        <f t="shared" ca="1" si="50"/>
        <v>OFFLINE!</v>
      </c>
      <c r="AE163" s="605"/>
      <c r="AF163" s="605"/>
      <c r="AG163" s="615"/>
      <c r="AH163" s="616"/>
      <c r="AI163" s="615"/>
      <c r="AJ163" s="617"/>
      <c r="AK163" s="617"/>
      <c r="AL163" s="617"/>
      <c r="AM163" s="617"/>
      <c r="AN163" s="292"/>
      <c r="AO163" s="567" t="str">
        <f t="shared" si="51"/>
        <v/>
      </c>
      <c r="AP163" s="568" t="str">
        <f>IF(AB163=$V$3,IF(VLOOKUP(C163,[1]List1!$A:$E,5,FALSE)=0,1,VLOOKUP(C163,[1]List1!$A:$E,5,FALSE)),"")</f>
        <v/>
      </c>
      <c r="AQ163" s="292" t="str">
        <f t="shared" si="52"/>
        <v/>
      </c>
      <c r="AR163" s="618" t="str">
        <f t="shared" si="53"/>
        <v/>
      </c>
      <c r="AS163" s="292" t="str">
        <f t="shared" si="54"/>
        <v/>
      </c>
      <c r="AT163" s="377" t="e">
        <f t="shared" si="55"/>
        <v>#N/A</v>
      </c>
      <c r="AU163" s="292" t="e">
        <f t="shared" si="56"/>
        <v>#N/A</v>
      </c>
    </row>
    <row r="164" spans="1:47" ht="15" customHeight="1">
      <c r="A164" s="601" t="str">
        <f>Kat.!B164</f>
        <v/>
      </c>
      <c r="B164" s="601">
        <f t="shared" si="48"/>
        <v>1</v>
      </c>
      <c r="C164" s="783" t="s">
        <v>704</v>
      </c>
      <c r="D164" s="783"/>
      <c r="E164" s="764"/>
      <c r="F164" s="761"/>
      <c r="G164" s="762"/>
      <c r="H164" s="596"/>
      <c r="I164" s="787"/>
      <c r="J164" s="764"/>
      <c r="K164" s="774"/>
      <c r="L164" s="787"/>
      <c r="M164" s="764"/>
      <c r="N164" s="767"/>
      <c r="O164" s="763"/>
      <c r="P164" s="763"/>
      <c r="Q164" s="764"/>
      <c r="R164" s="764"/>
      <c r="S164" s="764"/>
      <c r="T164" s="764"/>
      <c r="U164" s="768"/>
      <c r="V164" s="768"/>
      <c r="W164" s="769" t="str">
        <f>IFERROR(VLOOKUP('General price list'!$C164,Popisy!A:P,MATCH($W$17,Popisy!$A$7:$P$7,0),FALSE),"---------------")</f>
        <v xml:space="preserve">Explosionskraft 120dB von 8m(schwarz powder) </v>
      </c>
      <c r="X164" s="769" t="str">
        <f t="shared" si="49"/>
        <v/>
      </c>
      <c r="Y164" s="770">
        <f>IF(OR(AP164&lt;AA164,AND(NOT(OR(LEFT(AB164,3)="SKL",LEFT(AB164,3)=LEFT($V$2,3))),AA164&gt;0),AND('Deutsche Markt'!$AH$1=FALSE,J164="F4",AA164&gt;0)),"",AA164)</f>
        <v>0</v>
      </c>
      <c r="Z164" s="769"/>
      <c r="AA164" s="771">
        <f>'Deutsche Markt'!AA164</f>
        <v>0</v>
      </c>
      <c r="AB164" s="772" t="str">
        <f>IFERROR(IF(VLOOKUP(C164,[1]List1!$A:$D,2,FALSE)="VYPRODÁNO",$V$9,IF(VLOOKUP(C164,[1]List1!$A:$D,2,FALSE)="DOCHÁZÍ",$V$3,VLOOKUP(C164,[1]List1!$A:$D,2,FALSE))),"OFFLINE!")</f>
        <v>30.04.2024</v>
      </c>
      <c r="AC164" s="772" t="str">
        <f ca="1">IF(AO164="NE",$V$10,IF(AB164=$V$3,IF(AP164&lt;1,$V$8,$V$2&amp;" "&amp;AP164&amp;" "&amp;$V$1),IF(AB164="SKLADEM",$V$6,IFERROR(IF(OR(AB164-TODAY()&gt;21,VLOOKUP(C164,[1]List1!$A:$E,4,FALSE)=0),AB164,DAY(AB164)&amp;"."&amp;MONTH(AB164)&amp;"."&amp;YEAR(AB164)&amp;" "&amp;$V$4&amp;VLOOKUP(C164,[1]List1!$A:$E,4,FALSE)&amp;" "&amp;$V$1),AB164))))</f>
        <v>30.04.2024</v>
      </c>
      <c r="AD164" s="772" t="str">
        <f t="shared" ca="1" si="50"/>
        <v>30.04.2024</v>
      </c>
      <c r="AE164" s="605"/>
      <c r="AF164" s="605"/>
      <c r="AG164" s="615"/>
      <c r="AH164" s="616"/>
      <c r="AI164" s="615"/>
      <c r="AJ164" s="617"/>
      <c r="AK164" s="617"/>
      <c r="AL164" s="617"/>
      <c r="AM164" s="617"/>
      <c r="AO164" s="567" t="str">
        <f t="shared" si="51"/>
        <v/>
      </c>
      <c r="AP164" s="568" t="str">
        <f>IF(AB164=$V$3,IF(VLOOKUP(C164,[1]List1!$A:$E,5,FALSE)=0,1,VLOOKUP(C164,[1]List1!$A:$E,5,FALSE)),"")</f>
        <v/>
      </c>
      <c r="AQ164" s="292" t="str">
        <f t="shared" si="52"/>
        <v/>
      </c>
      <c r="AR164" s="618" t="str">
        <f t="shared" si="53"/>
        <v/>
      </c>
      <c r="AS164" s="292" t="str">
        <f t="shared" si="54"/>
        <v/>
      </c>
      <c r="AT164" s="377" t="e">
        <f t="shared" si="55"/>
        <v>#N/A</v>
      </c>
      <c r="AU164" s="292" t="e">
        <f t="shared" si="56"/>
        <v>#N/A</v>
      </c>
    </row>
    <row r="165" spans="1:47" ht="15" customHeight="1">
      <c r="A165" s="601" t="str">
        <f>Kat.!B165</f>
        <v>Knallkörper mit der Zündschnur F3</v>
      </c>
      <c r="B165" s="601">
        <f t="shared" si="48"/>
        <v>0</v>
      </c>
      <c r="C165" s="775"/>
      <c r="D165" s="786"/>
      <c r="E165" s="760"/>
      <c r="F165" s="761"/>
      <c r="G165" s="762"/>
      <c r="H165" s="596"/>
      <c r="I165" s="763"/>
      <c r="J165" s="764"/>
      <c r="K165" s="781"/>
      <c r="L165" s="782"/>
      <c r="M165" s="764"/>
      <c r="N165" s="767"/>
      <c r="O165" s="763"/>
      <c r="P165" s="763"/>
      <c r="Q165" s="764"/>
      <c r="R165" s="764"/>
      <c r="S165" s="764"/>
      <c r="T165" s="764"/>
      <c r="U165" s="768"/>
      <c r="V165" s="768"/>
      <c r="W165" s="769" t="str">
        <f>IFERROR(VLOOKUP('General price list'!$C165,Popisy!A:P,MATCH($W$17,Popisy!$A$7:$P$7,0),FALSE),"---------------")</f>
        <v>---------------</v>
      </c>
      <c r="X165" s="769" t="str">
        <f t="shared" si="49"/>
        <v/>
      </c>
      <c r="Y165" s="770">
        <f>IF(OR(AP165&lt;AA165,AND(NOT(OR(LEFT(AB165,3)="SKL",LEFT(AB165,3)=LEFT($V$2,3))),AA165&gt;0),AND('Deutsche Markt'!$AH$1=FALSE,J165="F4",AA165&gt;0)),"",AA165)</f>
        <v>0</v>
      </c>
      <c r="Z165" s="769"/>
      <c r="AA165" s="771">
        <f>'Deutsche Markt'!AA165</f>
        <v>0</v>
      </c>
      <c r="AB165" s="772" t="str">
        <f>IFERROR(IF(VLOOKUP(C165,[1]List1!$A:$D,2,FALSE)="VYPRODÁNO",$V$9,IF(VLOOKUP(C165,[1]List1!$A:$D,2,FALSE)="DOCHÁZÍ",$V$3,VLOOKUP(C165,[1]List1!$A:$D,2,FALSE))),"OFFLINE!")</f>
        <v>OFFLINE!</v>
      </c>
      <c r="AC165" s="772" t="str">
        <f ca="1">IF(AO165="NE",$V$10,IF(AB165=$V$3,IF(AP165&lt;1,$V$8,$V$2&amp;" "&amp;AP165&amp;" "&amp;$V$1),IF(AB165="SKLADEM",$V$6,IFERROR(IF(OR(AB165-TODAY()&gt;21,VLOOKUP(C165,[1]List1!$A:$E,4,FALSE)=0),AB165,DAY(AB165)&amp;"."&amp;MONTH(AB165)&amp;"."&amp;YEAR(AB165)&amp;" "&amp;$V$4&amp;VLOOKUP(C165,[1]List1!$A:$E,4,FALSE)&amp;" "&amp;$V$1),AB165))))</f>
        <v>OFFLINE!</v>
      </c>
      <c r="AD165" s="772" t="str">
        <f t="shared" ca="1" si="50"/>
        <v>OFFLINE!</v>
      </c>
      <c r="AE165" s="605"/>
      <c r="AF165" s="605"/>
      <c r="AG165" s="615"/>
      <c r="AH165" s="616"/>
      <c r="AI165" s="615"/>
      <c r="AJ165" s="617"/>
      <c r="AK165" s="617"/>
      <c r="AL165" s="617"/>
      <c r="AM165" s="617"/>
      <c r="AO165" s="567" t="str">
        <f t="shared" si="51"/>
        <v/>
      </c>
      <c r="AP165" s="568" t="str">
        <f>IF(AB165=$V$3,IF(VLOOKUP(C165,[1]List1!$A:$E,5,FALSE)=0,1,VLOOKUP(C165,[1]List1!$A:$E,5,FALSE)),"")</f>
        <v/>
      </c>
      <c r="AQ165" s="292" t="str">
        <f t="shared" si="52"/>
        <v/>
      </c>
      <c r="AR165" s="618" t="str">
        <f t="shared" si="53"/>
        <v/>
      </c>
      <c r="AS165" s="292" t="str">
        <f t="shared" si="54"/>
        <v/>
      </c>
      <c r="AT165" s="377" t="e">
        <f t="shared" si="55"/>
        <v>#N/A</v>
      </c>
      <c r="AU165" s="292" t="e">
        <f t="shared" si="56"/>
        <v>#N/A</v>
      </c>
    </row>
    <row r="166" spans="1:47" ht="15" customHeight="1">
      <c r="A166" s="601" t="str">
        <f>Kat.!B166</f>
        <v/>
      </c>
      <c r="B166" s="601">
        <f t="shared" si="48"/>
        <v>1</v>
      </c>
      <c r="C166" s="783" t="s">
        <v>725</v>
      </c>
      <c r="D166" s="783"/>
      <c r="E166" s="764"/>
      <c r="F166" s="761"/>
      <c r="G166" s="762"/>
      <c r="H166" s="596"/>
      <c r="I166" s="787"/>
      <c r="J166" s="764"/>
      <c r="K166" s="774"/>
      <c r="L166" s="787"/>
      <c r="M166" s="764"/>
      <c r="N166" s="767"/>
      <c r="O166" s="763"/>
      <c r="P166" s="763"/>
      <c r="Q166" s="764"/>
      <c r="R166" s="764"/>
      <c r="S166" s="764"/>
      <c r="T166" s="764"/>
      <c r="U166" s="768"/>
      <c r="V166" s="768"/>
      <c r="W166" s="769" t="str">
        <f>IFERROR(VLOOKUP('General price list'!$C166,Popisy!A:P,MATCH($W$17,Popisy!$A$7:$P$7,0),FALSE),"---------------")</f>
        <v>Explosionskraft 120dB von 15m</v>
      </c>
      <c r="X166" s="769" t="str">
        <f t="shared" si="49"/>
        <v/>
      </c>
      <c r="Y166" s="770">
        <f>IF(OR(AP166&lt;AA166,AND(NOT(OR(LEFT(AB166,3)="SKL",LEFT(AB166,3)=LEFT($V$2,3))),AA166&gt;0),AND('Deutsche Markt'!$AH$1=FALSE,J166="F4",AA166&gt;0)),"",AA166)</f>
        <v>0</v>
      </c>
      <c r="Z166" s="769"/>
      <c r="AA166" s="771">
        <f>'Deutsche Markt'!AA166</f>
        <v>0</v>
      </c>
      <c r="AB166" s="772" t="str">
        <f>IFERROR(IF(VLOOKUP(C166,[1]List1!$A:$D,2,FALSE)="VYPRODÁNO",$V$9,IF(VLOOKUP(C166,[1]List1!$A:$D,2,FALSE)="DOCHÁZÍ",$V$3,VLOOKUP(C166,[1]List1!$A:$D,2,FALSE))),"OFFLINE!")</f>
        <v>SKLADEM</v>
      </c>
      <c r="AC166" s="772" t="str">
        <f ca="1">IF(AO166="NE",$V$10,IF(AB166=$V$3,IF(AP166&lt;1,$V$8,$V$2&amp;" "&amp;AP166&amp;" "&amp;$V$1),IF(AB166="SKLADEM",$V$6,IFERROR(IF(OR(AB166-TODAY()&gt;21,VLOOKUP(C166,[1]List1!$A:$E,4,FALSE)=0),AB166,DAY(AB166)&amp;"."&amp;MONTH(AB166)&amp;"."&amp;YEAR(AB166)&amp;" "&amp;$V$4&amp;VLOOKUP(C166,[1]List1!$A:$E,4,FALSE)&amp;" "&amp;$V$1),AB166))))</f>
        <v>AUF LAGER</v>
      </c>
      <c r="AD166" s="772" t="str">
        <f t="shared" ca="1" si="50"/>
        <v>AUF LAGER</v>
      </c>
      <c r="AE166" s="605"/>
      <c r="AF166" s="605"/>
      <c r="AG166" s="615"/>
      <c r="AH166" s="616"/>
      <c r="AI166" s="615"/>
      <c r="AJ166" s="617"/>
      <c r="AK166" s="617"/>
      <c r="AL166" s="617"/>
      <c r="AM166" s="617"/>
      <c r="AO166" s="567" t="str">
        <f t="shared" si="51"/>
        <v/>
      </c>
      <c r="AP166" s="568" t="str">
        <f>IF(AB166=$V$3,IF(VLOOKUP(C166,[1]List1!$A:$E,5,FALSE)=0,1,VLOOKUP(C166,[1]List1!$A:$E,5,FALSE)),"")</f>
        <v/>
      </c>
      <c r="AQ166" s="292" t="str">
        <f t="shared" si="52"/>
        <v/>
      </c>
      <c r="AR166" s="618" t="str">
        <f t="shared" si="53"/>
        <v/>
      </c>
      <c r="AS166" s="292" t="str">
        <f t="shared" si="54"/>
        <v/>
      </c>
      <c r="AT166" s="377" t="e">
        <f t="shared" si="55"/>
        <v>#N/A</v>
      </c>
      <c r="AU166" s="292" t="e">
        <f t="shared" si="56"/>
        <v>#N/A</v>
      </c>
    </row>
    <row r="167" spans="1:47" ht="15" customHeight="1">
      <c r="A167" s="601" t="str">
        <f>Kat.!B167</f>
        <v/>
      </c>
      <c r="B167" s="601">
        <f t="shared" si="48"/>
        <v>1</v>
      </c>
      <c r="C167" s="783" t="s">
        <v>727</v>
      </c>
      <c r="D167" s="786"/>
      <c r="E167" s="760"/>
      <c r="F167" s="761"/>
      <c r="G167" s="762"/>
      <c r="H167" s="596"/>
      <c r="I167" s="763"/>
      <c r="J167" s="764"/>
      <c r="K167" s="781"/>
      <c r="L167" s="782"/>
      <c r="M167" s="764"/>
      <c r="N167" s="767"/>
      <c r="O167" s="763"/>
      <c r="P167" s="763"/>
      <c r="Q167" s="764"/>
      <c r="R167" s="764"/>
      <c r="S167" s="764"/>
      <c r="T167" s="764"/>
      <c r="U167" s="768"/>
      <c r="V167" s="768"/>
      <c r="W167" s="769" t="str">
        <f>IFERROR(VLOOKUP('General price list'!$C167,Popisy!A:P,MATCH($W$17,Popisy!$A$7:$P$7,0),FALSE),"---------------")</f>
        <v>Explosionskraft 120dB von 15m</v>
      </c>
      <c r="X167" s="769" t="str">
        <f t="shared" si="49"/>
        <v/>
      </c>
      <c r="Y167" s="770">
        <f>IF(OR(AP167&lt;AA167,AND(NOT(OR(LEFT(AB167,3)="SKL",LEFT(AB167,3)=LEFT($V$2,3))),AA167&gt;0),AND('Deutsche Markt'!$AH$1=FALSE,J167="F4",AA167&gt;0)),"",AA167)</f>
        <v>0</v>
      </c>
      <c r="Z167" s="769"/>
      <c r="AA167" s="771">
        <f>'Deutsche Markt'!AA167</f>
        <v>0</v>
      </c>
      <c r="AB167" s="772" t="str">
        <f>IFERROR(IF(VLOOKUP(C167,[1]List1!$A:$D,2,FALSE)="VYPRODÁNO",$V$9,IF(VLOOKUP(C167,[1]List1!$A:$D,2,FALSE)="DOCHÁZÍ",$V$3,VLOOKUP(C167,[1]List1!$A:$D,2,FALSE))),"OFFLINE!")</f>
        <v>SKLADEM</v>
      </c>
      <c r="AC167" s="772" t="str">
        <f ca="1">IF(AO167="NE",$V$10,IF(AB167=$V$3,IF(AP167&lt;1,$V$8,$V$2&amp;" "&amp;AP167&amp;" "&amp;$V$1),IF(AB167="SKLADEM",$V$6,IFERROR(IF(OR(AB167-TODAY()&gt;21,VLOOKUP(C167,[1]List1!$A:$E,4,FALSE)=0),AB167,DAY(AB167)&amp;"."&amp;MONTH(AB167)&amp;"."&amp;YEAR(AB167)&amp;" "&amp;$V$4&amp;VLOOKUP(C167,[1]List1!$A:$E,4,FALSE)&amp;" "&amp;$V$1),AB167))))</f>
        <v>AUF LAGER</v>
      </c>
      <c r="AD167" s="772" t="str">
        <f t="shared" ca="1" si="50"/>
        <v>AUF LAGER</v>
      </c>
      <c r="AE167" s="605"/>
      <c r="AF167" s="605"/>
      <c r="AG167" s="615"/>
      <c r="AH167" s="616"/>
      <c r="AI167" s="615"/>
      <c r="AJ167" s="617"/>
      <c r="AK167" s="617"/>
      <c r="AL167" s="617"/>
      <c r="AM167" s="617"/>
      <c r="AO167" s="567" t="str">
        <f t="shared" si="51"/>
        <v/>
      </c>
      <c r="AP167" s="568" t="str">
        <f>IF(AB167=$V$3,IF(VLOOKUP(C167,[1]List1!$A:$E,5,FALSE)=0,1,VLOOKUP(C167,[1]List1!$A:$E,5,FALSE)),"")</f>
        <v/>
      </c>
      <c r="AQ167" s="292" t="str">
        <f t="shared" si="52"/>
        <v/>
      </c>
      <c r="AR167" s="618" t="str">
        <f t="shared" si="53"/>
        <v/>
      </c>
      <c r="AS167" s="292" t="str">
        <f t="shared" si="54"/>
        <v/>
      </c>
      <c r="AT167" s="377" t="e">
        <f t="shared" si="55"/>
        <v>#N/A</v>
      </c>
      <c r="AU167" s="292" t="e">
        <f t="shared" si="56"/>
        <v>#N/A</v>
      </c>
    </row>
    <row r="168" spans="1:47" ht="15" customHeight="1">
      <c r="A168" s="601" t="str">
        <f>Kat.!B168</f>
        <v/>
      </c>
      <c r="B168" s="601">
        <f t="shared" si="48"/>
        <v>1</v>
      </c>
      <c r="C168" s="783" t="s">
        <v>4289</v>
      </c>
      <c r="D168" s="786"/>
      <c r="E168" s="760"/>
      <c r="F168" s="761"/>
      <c r="G168" s="762"/>
      <c r="H168" s="596"/>
      <c r="I168" s="763"/>
      <c r="J168" s="764"/>
      <c r="K168" s="774"/>
      <c r="L168" s="782"/>
      <c r="M168" s="764"/>
      <c r="N168" s="767"/>
      <c r="O168" s="763"/>
      <c r="P168" s="763"/>
      <c r="Q168" s="764"/>
      <c r="R168" s="764"/>
      <c r="S168" s="764"/>
      <c r="T168" s="764"/>
      <c r="U168" s="768"/>
      <c r="V168" s="768"/>
      <c r="W168" s="769" t="str">
        <f>IFERROR(VLOOKUP('General price list'!$C168,Popisy!A:P,MATCH($W$17,Popisy!$A$7:$P$7,0),FALSE),"---------------")</f>
        <v>Explosionskraft 120dB von 15m mit grünes Licht</v>
      </c>
      <c r="X168" s="769" t="str">
        <f t="shared" si="49"/>
        <v/>
      </c>
      <c r="Y168" s="770">
        <f>IF(OR(AP168&lt;AA168,AND(NOT(OR(LEFT(AB168,3)="SKL",LEFT(AB168,3)=LEFT($V$2,3))),AA168&gt;0),AND('Deutsche Markt'!$AH$1=FALSE,J168="F4",AA168&gt;0)),"",AA168)</f>
        <v>0</v>
      </c>
      <c r="Z168" s="769"/>
      <c r="AA168" s="771">
        <f>'Deutsche Markt'!AA168</f>
        <v>0</v>
      </c>
      <c r="AB168" s="772" t="str">
        <f>IFERROR(IF(VLOOKUP(C168,[1]List1!$A:$D,2,FALSE)="VYPRODÁNO",$V$9,IF(VLOOKUP(C168,[1]List1!$A:$D,2,FALSE)="DOCHÁZÍ",$V$3,VLOOKUP(C168,[1]List1!$A:$D,2,FALSE))),"OFFLINE!")</f>
        <v>01.09.2024</v>
      </c>
      <c r="AC168" s="772" t="str">
        <f ca="1">IF(AO168="NE",$V$10,IF(AB168=$V$3,IF(AP168&lt;1,$V$8,$V$2&amp;" "&amp;AP168&amp;" "&amp;$V$1),IF(AB168="SKLADEM",$V$6,IFERROR(IF(OR(AB168-TODAY()&gt;21,VLOOKUP(C168,[1]List1!$A:$E,4,FALSE)=0),AB168,DAY(AB168)&amp;"."&amp;MONTH(AB168)&amp;"."&amp;YEAR(AB168)&amp;" "&amp;$V$4&amp;VLOOKUP(C168,[1]List1!$A:$E,4,FALSE)&amp;" "&amp;$V$1),AB168))))</f>
        <v>01.09.2024</v>
      </c>
      <c r="AD168" s="772" t="str">
        <f t="shared" ca="1" si="50"/>
        <v>01.09.2024</v>
      </c>
      <c r="AE168" s="605"/>
      <c r="AF168" s="605"/>
      <c r="AG168" s="615"/>
      <c r="AH168" s="616"/>
      <c r="AI168" s="615"/>
      <c r="AJ168" s="617"/>
      <c r="AK168" s="617"/>
      <c r="AL168" s="617"/>
      <c r="AM168" s="617"/>
      <c r="AO168" s="567" t="str">
        <f t="shared" si="51"/>
        <v/>
      </c>
      <c r="AP168" s="568" t="str">
        <f>IF(AB168=$V$3,IF(VLOOKUP(C168,[1]List1!$A:$E,5,FALSE)=0,1,VLOOKUP(C168,[1]List1!$A:$E,5,FALSE)),"")</f>
        <v/>
      </c>
      <c r="AQ168" s="292" t="str">
        <f t="shared" si="52"/>
        <v/>
      </c>
      <c r="AR168" s="618" t="str">
        <f t="shared" si="53"/>
        <v/>
      </c>
      <c r="AS168" s="292" t="str">
        <f t="shared" si="54"/>
        <v/>
      </c>
      <c r="AT168" s="377" t="e">
        <f t="shared" si="55"/>
        <v>#N/A</v>
      </c>
      <c r="AU168" s="292" t="e">
        <f t="shared" si="56"/>
        <v>#N/A</v>
      </c>
    </row>
    <row r="169" spans="1:47" ht="15" customHeight="1">
      <c r="A169" s="601" t="str">
        <f>Kat.!B169</f>
        <v/>
      </c>
      <c r="B169" s="601">
        <f t="shared" si="48"/>
        <v>1</v>
      </c>
      <c r="C169" s="775" t="s">
        <v>4292</v>
      </c>
      <c r="D169" s="776"/>
      <c r="E169" s="760"/>
      <c r="F169" s="761"/>
      <c r="G169" s="762"/>
      <c r="H169" s="596"/>
      <c r="I169" s="763"/>
      <c r="J169" s="764"/>
      <c r="K169" s="781"/>
      <c r="L169" s="766"/>
      <c r="M169" s="764"/>
      <c r="N169" s="777"/>
      <c r="O169" s="763"/>
      <c r="P169" s="763"/>
      <c r="Q169" s="764"/>
      <c r="R169" s="764"/>
      <c r="S169" s="764"/>
      <c r="T169" s="764"/>
      <c r="U169" s="768"/>
      <c r="V169" s="768"/>
      <c r="W169" s="769"/>
      <c r="X169" s="769"/>
      <c r="Y169" s="770">
        <f>IF(OR(AP169&lt;AA169,AND(NOT(OR(LEFT(AB169,3)="SKL",LEFT(AB169,3)=LEFT($V$2,3))),AA169&gt;0),AND('Deutsche Markt'!$AH$1=FALSE,J169="F4",AA169&gt;0)),"",AA169)</f>
        <v>0</v>
      </c>
      <c r="Z169" s="769"/>
      <c r="AA169" s="771">
        <f>'Deutsche Markt'!AA169</f>
        <v>0</v>
      </c>
      <c r="AB169" s="772"/>
      <c r="AC169" s="772"/>
      <c r="AD169" s="772"/>
      <c r="AE169" s="605"/>
      <c r="AF169" s="605"/>
      <c r="AG169" s="615"/>
      <c r="AH169" s="616"/>
      <c r="AI169" s="615"/>
      <c r="AJ169" s="617"/>
      <c r="AK169" s="617"/>
      <c r="AL169" s="617"/>
      <c r="AM169" s="617"/>
      <c r="AO169" s="567" t="str">
        <f t="shared" ref="AO169:AO224" si="57">IF($AK$3=1,IF(Y169=AA169,"","NE"),IF(AQ169=$V$10,"NE",""))</f>
        <v/>
      </c>
      <c r="AP169" s="568" t="str">
        <f>IF(AB169=$V$3,IF(VLOOKUP(C169,[1]List1!$A:$E,5,FALSE)=0,1,VLOOKUP(C169,[1]List1!$A:$E,5,FALSE)),"")</f>
        <v/>
      </c>
      <c r="AQ169" s="292" t="str">
        <f t="shared" ref="AQ169:AQ224" si="58">IF($AK$3=1,"",IF(OR(AA169&lt;&gt;"",AA169&lt;&gt;0),IF(OR(AB169=$V$6,AB169=$V$3,AB169=$V$9),$V$10,""),""))</f>
        <v/>
      </c>
      <c r="AR169" s="618" t="str">
        <f t="shared" ref="AR169:AR224" si="59">IF(AS169&lt;&gt;"","X","")</f>
        <v/>
      </c>
      <c r="AS169" s="292" t="str">
        <f t="shared" ref="AS169:AS224" si="60">IF(AND($AK$3=2,AQ169="",AA169&lt;&gt;""),AC169,"")</f>
        <v/>
      </c>
      <c r="AT169" s="377" t="e">
        <f t="shared" ref="AT169:AT224" si="61">IF(AS169=$AR$21,AA169,"")</f>
        <v>#N/A</v>
      </c>
      <c r="AU169" s="292" t="e">
        <f t="shared" ref="AU169:AU224" si="62">IF(OR(AA169="",AND(AS169&lt;&gt;"",AT169&lt;&gt;"")),"",$V$10)</f>
        <v>#N/A</v>
      </c>
    </row>
    <row r="170" spans="1:47" ht="15" customHeight="1">
      <c r="A170" s="601" t="str">
        <f>Kat.!B170</f>
        <v>x</v>
      </c>
      <c r="B170" s="601">
        <f t="shared" si="48"/>
        <v>1</v>
      </c>
      <c r="C170" s="758" t="s">
        <v>4302</v>
      </c>
      <c r="D170" s="776"/>
      <c r="E170" s="760"/>
      <c r="F170" s="761"/>
      <c r="G170" s="762"/>
      <c r="H170" s="596"/>
      <c r="I170" s="763"/>
      <c r="J170" s="764"/>
      <c r="K170" s="774"/>
      <c r="L170" s="766"/>
      <c r="M170" s="764"/>
      <c r="N170" s="767"/>
      <c r="O170" s="763"/>
      <c r="P170" s="763"/>
      <c r="Q170" s="764"/>
      <c r="R170" s="764"/>
      <c r="S170" s="764"/>
      <c r="T170" s="761"/>
      <c r="U170" s="768"/>
      <c r="V170" s="768"/>
      <c r="W170" s="769" t="str">
        <f>IFERROR(VLOOKUP('General price list'!$C170,Popisy!A:P,MATCH($W$17,Popisy!$A$7:$P$7,0),FALSE),"---------------")</f>
        <v>Explosionskraft 120dB von 15m mit rot Licht</v>
      </c>
      <c r="X170" s="769" t="str">
        <f t="shared" ref="X170:X176" si="63">IF(AA170&lt;0.0001,"",AA170)</f>
        <v/>
      </c>
      <c r="Y170" s="770">
        <f>IF(OR(AP170&lt;AA170,AND(NOT(OR(LEFT(AB170,3)="SKL",LEFT(AB170,3)=LEFT($V$2,3))),AA170&gt;0),AND('Deutsche Markt'!$AH$1=FALSE,J170="F4",AA170&gt;0)),"",AA170)</f>
        <v>0</v>
      </c>
      <c r="Z170" s="769"/>
      <c r="AA170" s="771">
        <f>'Deutsche Markt'!AA170</f>
        <v>0</v>
      </c>
      <c r="AB170" s="772" t="str">
        <f>IFERROR(IF(VLOOKUP(C170,[1]List1!$A:$D,2,FALSE)="VYPRODÁNO",$V$9,IF(VLOOKUP(C170,[1]List1!$A:$D,2,FALSE)="DOCHÁZÍ",$V$3,VLOOKUP(C170,[1]List1!$A:$D,2,FALSE))),"OFFLINE!")</f>
        <v>SKLADEM</v>
      </c>
      <c r="AC170" s="772" t="str">
        <f ca="1">IF(AO170="NE",$V$10,IF(AB170=$V$3,IF(AP170&lt;1,$V$8,$V$2&amp;" "&amp;AP170&amp;" "&amp;$V$1),IF(AB170="SKLADEM",$V$6,IFERROR(IF(OR(AB170-TODAY()&gt;21,VLOOKUP(C170,[1]List1!$A:$E,4,FALSE)=0),AB170,DAY(AB170)&amp;"."&amp;MONTH(AB170)&amp;"."&amp;YEAR(AB170)&amp;" "&amp;$V$4&amp;VLOOKUP(C170,[1]List1!$A:$E,4,FALSE)&amp;" "&amp;$V$1),AB170))))</f>
        <v>AUF LAGER</v>
      </c>
      <c r="AD170" s="772" t="str">
        <f t="shared" ref="AD170:AD176" ca="1" si="64">IFERROR(IF(AU170&lt;&gt;"",AU170,AC170),AC170)</f>
        <v>AUF LAGER</v>
      </c>
      <c r="AE170" s="605"/>
      <c r="AF170" s="605"/>
      <c r="AG170" s="615"/>
      <c r="AH170" s="616"/>
      <c r="AI170" s="615"/>
      <c r="AJ170" s="617"/>
      <c r="AK170" s="617"/>
      <c r="AL170" s="617"/>
      <c r="AM170" s="617"/>
      <c r="AN170" s="292"/>
      <c r="AO170" s="567" t="str">
        <f t="shared" si="57"/>
        <v/>
      </c>
      <c r="AP170" s="568" t="str">
        <f>IF(AB170=$V$3,IF(VLOOKUP(C170,[1]List1!$A:$E,5,FALSE)=0,1,VLOOKUP(C170,[1]List1!$A:$E,5,FALSE)),"")</f>
        <v/>
      </c>
      <c r="AQ170" s="292" t="str">
        <f t="shared" si="58"/>
        <v/>
      </c>
      <c r="AR170" s="618" t="str">
        <f t="shared" si="59"/>
        <v/>
      </c>
      <c r="AS170" s="292" t="str">
        <f t="shared" si="60"/>
        <v/>
      </c>
      <c r="AT170" s="377" t="e">
        <f t="shared" si="61"/>
        <v>#N/A</v>
      </c>
      <c r="AU170" s="292" t="e">
        <f t="shared" si="62"/>
        <v>#N/A</v>
      </c>
    </row>
    <row r="171" spans="1:47" ht="15" customHeight="1">
      <c r="A171" s="601" t="str">
        <f>Kat.!B171</f>
        <v>Batterien der Knallkörper</v>
      </c>
      <c r="B171" s="601">
        <f t="shared" si="48"/>
        <v>0</v>
      </c>
      <c r="C171" s="758"/>
      <c r="D171" s="788"/>
      <c r="E171" s="789"/>
      <c r="F171" s="761"/>
      <c r="G171" s="762"/>
      <c r="H171" s="596"/>
      <c r="I171" s="790"/>
      <c r="J171" s="764"/>
      <c r="K171" s="781"/>
      <c r="L171" s="766"/>
      <c r="M171" s="764"/>
      <c r="N171" s="767"/>
      <c r="O171" s="763"/>
      <c r="P171" s="763"/>
      <c r="Q171" s="764"/>
      <c r="R171" s="764"/>
      <c r="S171" s="764"/>
      <c r="T171" s="761"/>
      <c r="U171" s="768"/>
      <c r="V171" s="768"/>
      <c r="W171" s="769" t="str">
        <f>IFERROR(VLOOKUP('General price list'!$C171,Popisy!A:P,MATCH($W$17,Popisy!$A$7:$P$7,0),FALSE),"---------------")</f>
        <v>---------------</v>
      </c>
      <c r="X171" s="769" t="str">
        <f t="shared" si="63"/>
        <v/>
      </c>
      <c r="Y171" s="770">
        <f>IF(OR(AP171&lt;AA171,AND(NOT(OR(LEFT(AB171,3)="SKL",LEFT(AB171,3)=LEFT($V$2,3))),AA171&gt;0),AND('Deutsche Markt'!$AH$1=FALSE,J171="F4",AA171&gt;0)),"",AA171)</f>
        <v>0</v>
      </c>
      <c r="Z171" s="769"/>
      <c r="AA171" s="771">
        <f>'Deutsche Markt'!AA171</f>
        <v>0</v>
      </c>
      <c r="AB171" s="772" t="str">
        <f>IFERROR(IF(VLOOKUP(C171,[1]List1!$A:$D,2,FALSE)="VYPRODÁNO",$V$9,IF(VLOOKUP(C171,[1]List1!$A:$D,2,FALSE)="DOCHÁZÍ",$V$3,VLOOKUP(C171,[1]List1!$A:$D,2,FALSE))),"OFFLINE!")</f>
        <v>OFFLINE!</v>
      </c>
      <c r="AC171" s="772" t="str">
        <f ca="1">IF(AO171="NE",$V$10,IF(AB171=$V$3,IF(AP171&lt;1,$V$8,$V$2&amp;" "&amp;AP171&amp;" "&amp;$V$1),IF(AB171="SKLADEM",$V$6,IFERROR(IF(OR(AB171-TODAY()&gt;21,VLOOKUP(C171,[1]List1!$A:$E,4,FALSE)=0),AB171,DAY(AB171)&amp;"."&amp;MONTH(AB171)&amp;"."&amp;YEAR(AB171)&amp;" "&amp;$V$4&amp;VLOOKUP(C171,[1]List1!$A:$E,4,FALSE)&amp;" "&amp;$V$1),AB171))))</f>
        <v>OFFLINE!</v>
      </c>
      <c r="AD171" s="772" t="str">
        <f t="shared" ca="1" si="64"/>
        <v>OFFLINE!</v>
      </c>
      <c r="AE171" s="605"/>
      <c r="AF171" s="605"/>
      <c r="AG171" s="615"/>
      <c r="AH171" s="616"/>
      <c r="AI171" s="615"/>
      <c r="AJ171" s="617"/>
      <c r="AK171" s="617"/>
      <c r="AL171" s="617"/>
      <c r="AM171" s="617"/>
      <c r="AN171" s="292"/>
      <c r="AO171" s="567" t="str">
        <f t="shared" si="57"/>
        <v/>
      </c>
      <c r="AP171" s="568" t="str">
        <f>IF(AB171=$V$3,IF(VLOOKUP(C171,[1]List1!$A:$E,5,FALSE)=0,1,VLOOKUP(C171,[1]List1!$A:$E,5,FALSE)),"")</f>
        <v/>
      </c>
      <c r="AQ171" s="292" t="str">
        <f t="shared" si="58"/>
        <v/>
      </c>
      <c r="AR171" s="618" t="str">
        <f t="shared" si="59"/>
        <v/>
      </c>
      <c r="AS171" s="292" t="str">
        <f t="shared" si="60"/>
        <v/>
      </c>
      <c r="AT171" s="377" t="e">
        <f t="shared" si="61"/>
        <v>#N/A</v>
      </c>
      <c r="AU171" s="292" t="e">
        <f t="shared" si="62"/>
        <v>#N/A</v>
      </c>
    </row>
    <row r="172" spans="1:47" ht="15" customHeight="1">
      <c r="A172" s="601" t="str">
        <f>Kat.!$B$1&amp;Kat.!B172</f>
        <v/>
      </c>
      <c r="B172" s="601">
        <f t="shared" si="48"/>
        <v>1</v>
      </c>
      <c r="C172" s="602" t="s">
        <v>93</v>
      </c>
      <c r="D172" s="630"/>
      <c r="E172" s="631"/>
      <c r="F172" s="605"/>
      <c r="G172" s="606"/>
      <c r="H172" s="607"/>
      <c r="I172" s="632"/>
      <c r="J172" s="609"/>
      <c r="K172" s="708"/>
      <c r="L172" s="611"/>
      <c r="M172" s="609"/>
      <c r="N172" s="612"/>
      <c r="O172" s="608"/>
      <c r="P172" s="608"/>
      <c r="Q172" s="609"/>
      <c r="R172" s="609"/>
      <c r="S172" s="609"/>
      <c r="T172" s="605"/>
      <c r="U172" s="613"/>
      <c r="V172" s="613"/>
      <c r="W172" s="601" t="str">
        <f>IFERROR(VLOOKUP('General price list'!$C172,Popisy!A:P,MATCH($W$17,Popisy!$A$7:$P$7,0),FALSE),"---------------")</f>
        <v>Knallende Ballone 15 g, Durchmesser 38mm</v>
      </c>
      <c r="X172" s="601" t="str">
        <f t="shared" si="63"/>
        <v/>
      </c>
      <c r="Y172" s="770">
        <f>IF(OR(AP172&lt;AA172,AND(NOT(OR(LEFT(AB172,3)="SKL",LEFT(AB172,3)=LEFT($V$2,3))),AA172&gt;0),AND('Deutsche Markt'!$AH$1=FALSE,J172="F4",AA172&gt;0)),"",AA172)</f>
        <v>0</v>
      </c>
      <c r="Z172" s="601"/>
      <c r="AA172" s="771">
        <f>'Deutsche Markt'!AA172</f>
        <v>0</v>
      </c>
      <c r="AB172" s="614" t="str">
        <f>IFERROR(IF(VLOOKUP(C172,[1]List1!$A:$D,2,FALSE)="VYPRODÁNO",$V$9,IF(VLOOKUP(C172,[1]List1!$A:$D,2,FALSE)="DOCHÁZÍ",$V$3,VLOOKUP(C172,[1]List1!$A:$D,2,FALSE))),"OFFLINE!")</f>
        <v>15.09.2024</v>
      </c>
      <c r="AC172" s="614" t="str">
        <f ca="1">IF(AO172="NE",$V$10,IF(AB172=$V$3,IF(AP172&lt;1,$V$8,$V$2&amp;" "&amp;AP172&amp;" "&amp;$V$1),IF(AB172="SKLADEM",$V$6,IFERROR(IF(OR(AB172-TODAY()&gt;21,VLOOKUP(C172,[1]List1!$A:$E,4,FALSE)=0),AB172,DAY(AB172)&amp;"."&amp;MONTH(AB172)&amp;"."&amp;YEAR(AB172)&amp;" "&amp;$V$4&amp;VLOOKUP(C172,[1]List1!$A:$E,4,FALSE)&amp;" "&amp;$V$1),AB172))))</f>
        <v>15.09.2024</v>
      </c>
      <c r="AD172" s="614" t="str">
        <f t="shared" ca="1" si="64"/>
        <v>15.09.2024</v>
      </c>
      <c r="AE172" s="605"/>
      <c r="AF172" s="605"/>
      <c r="AG172" s="615"/>
      <c r="AH172" s="616"/>
      <c r="AI172" s="615"/>
      <c r="AJ172" s="617"/>
      <c r="AK172" s="617"/>
      <c r="AL172" s="617"/>
      <c r="AM172" s="617"/>
      <c r="AN172" s="292"/>
      <c r="AO172" s="567" t="str">
        <f t="shared" si="57"/>
        <v/>
      </c>
      <c r="AP172" s="568" t="str">
        <f>IF(AB172=$V$3,IF(VLOOKUP(C172,[1]List1!$A:$E,5,FALSE)=0,1,VLOOKUP(C172,[1]List1!$A:$E,5,FALSE)),"")</f>
        <v/>
      </c>
      <c r="AQ172" s="292" t="str">
        <f t="shared" si="58"/>
        <v/>
      </c>
      <c r="AR172" s="618" t="str">
        <f t="shared" si="59"/>
        <v/>
      </c>
      <c r="AS172" s="292" t="str">
        <f t="shared" si="60"/>
        <v/>
      </c>
      <c r="AT172" s="377" t="e">
        <f t="shared" si="61"/>
        <v>#N/A</v>
      </c>
      <c r="AU172" s="292" t="e">
        <f t="shared" si="62"/>
        <v>#N/A</v>
      </c>
    </row>
    <row r="173" spans="1:47" ht="15" customHeight="1">
      <c r="A173" s="601" t="str">
        <f>Kat.!B173</f>
        <v>x</v>
      </c>
      <c r="B173" s="601">
        <f t="shared" si="48"/>
        <v>1</v>
      </c>
      <c r="C173" s="758" t="s">
        <v>2297</v>
      </c>
      <c r="D173" s="788"/>
      <c r="E173" s="789"/>
      <c r="F173" s="761"/>
      <c r="G173" s="762"/>
      <c r="H173" s="596"/>
      <c r="I173" s="790"/>
      <c r="J173" s="764"/>
      <c r="K173" s="781"/>
      <c r="L173" s="766"/>
      <c r="M173" s="764"/>
      <c r="N173" s="767"/>
      <c r="O173" s="763"/>
      <c r="P173" s="763"/>
      <c r="Q173" s="764"/>
      <c r="R173" s="764"/>
      <c r="S173" s="764"/>
      <c r="T173" s="761"/>
      <c r="U173" s="768"/>
      <c r="V173" s="768"/>
      <c r="W173" s="769" t="str">
        <f>IFERROR(VLOOKUP('General price list'!$C173,Popisy!A:P,MATCH($W$17,Popisy!$A$7:$P$7,0),FALSE),"---------------")</f>
        <v>Knallende Ballone 15 g(Doppeleffekt), Durchmesser 42mm</v>
      </c>
      <c r="X173" s="769" t="str">
        <f t="shared" si="63"/>
        <v/>
      </c>
      <c r="Y173" s="770">
        <f>IF(OR(AP173&lt;AA173,AND(NOT(OR(LEFT(AB173,3)="SKL",LEFT(AB173,3)=LEFT($V$2,3))),AA173&gt;0),AND('Deutsche Markt'!$AH$1=FALSE,J173="F4",AA173&gt;0)),"",AA173)</f>
        <v>0</v>
      </c>
      <c r="Z173" s="769"/>
      <c r="AA173" s="771">
        <f>'Deutsche Markt'!AA173</f>
        <v>0</v>
      </c>
      <c r="AB173" s="772" t="str">
        <f>IFERROR(IF(VLOOKUP(C173,[1]List1!$A:$D,2,FALSE)="VYPRODÁNO",$V$9,IF(VLOOKUP(C173,[1]List1!$A:$D,2,FALSE)="DOCHÁZÍ",$V$3,VLOOKUP(C173,[1]List1!$A:$D,2,FALSE))),"OFFLINE!")</f>
        <v>LETZTE STÜCKE</v>
      </c>
      <c r="AC173" s="772" t="str">
        <f ca="1">IF(AO173="NE",$V$10,IF(AB173=$V$3,IF(AP173&lt;1,$V$8,$V$2&amp;" "&amp;AP173&amp;" "&amp;$V$1),IF(AB173="SKLADEM",$V$6,IFERROR(IF(OR(AB173-TODAY()&gt;21,VLOOKUP(C173,[1]List1!$A:$E,4,FALSE)=0),AB173,DAY(AB173)&amp;"."&amp;MONTH(AB173)&amp;"."&amp;YEAR(AB173)&amp;" "&amp;$V$4&amp;VLOOKUP(C173,[1]List1!$A:$E,4,FALSE)&amp;" "&amp;$V$1),AB173))))</f>
        <v>LETZTE 12 KTN</v>
      </c>
      <c r="AD173" s="772" t="str">
        <f t="shared" ca="1" si="64"/>
        <v>LETZTE 12 KTN</v>
      </c>
      <c r="AE173" s="605"/>
      <c r="AF173" s="605"/>
      <c r="AG173" s="615"/>
      <c r="AH173" s="616"/>
      <c r="AI173" s="615"/>
      <c r="AJ173" s="617"/>
      <c r="AK173" s="617"/>
      <c r="AL173" s="617"/>
      <c r="AM173" s="617"/>
      <c r="AN173" s="292"/>
      <c r="AO173" s="567" t="str">
        <f t="shared" si="57"/>
        <v/>
      </c>
      <c r="AP173" s="568">
        <f>IF(AB173=$V$3,IF(VLOOKUP(C173,[1]List1!$A:$E,5,FALSE)=0,1,VLOOKUP(C173,[1]List1!$A:$E,5,FALSE)),"")</f>
        <v>12</v>
      </c>
      <c r="AQ173" s="292" t="str">
        <f t="shared" si="58"/>
        <v/>
      </c>
      <c r="AR173" s="618" t="str">
        <f t="shared" si="59"/>
        <v/>
      </c>
      <c r="AS173" s="292" t="str">
        <f t="shared" si="60"/>
        <v/>
      </c>
      <c r="AT173" s="377" t="e">
        <f t="shared" si="61"/>
        <v>#N/A</v>
      </c>
      <c r="AU173" s="292" t="e">
        <f t="shared" si="62"/>
        <v>#N/A</v>
      </c>
    </row>
    <row r="174" spans="1:47" ht="15" customHeight="1">
      <c r="A174" s="601" t="str">
        <f>Kat.!B174</f>
        <v>Raketensets F2-1.4G</v>
      </c>
      <c r="B174" s="601">
        <f t="shared" si="48"/>
        <v>0</v>
      </c>
      <c r="C174" s="758"/>
      <c r="D174" s="788"/>
      <c r="E174" s="760"/>
      <c r="F174" s="761"/>
      <c r="G174" s="762"/>
      <c r="H174" s="596"/>
      <c r="I174" s="763"/>
      <c r="J174" s="764"/>
      <c r="K174" s="774"/>
      <c r="L174" s="769"/>
      <c r="M174" s="764"/>
      <c r="N174" s="767"/>
      <c r="O174" s="763"/>
      <c r="P174" s="763"/>
      <c r="Q174" s="764"/>
      <c r="R174" s="764"/>
      <c r="S174" s="764"/>
      <c r="T174" s="764"/>
      <c r="U174" s="768"/>
      <c r="V174" s="768"/>
      <c r="W174" s="769" t="str">
        <f>IFERROR(VLOOKUP('General price list'!$C174,Popisy!A:P,MATCH($W$17,Popisy!$A$7:$P$7,0),FALSE),"---------------")</f>
        <v>---------------</v>
      </c>
      <c r="X174" s="769" t="str">
        <f t="shared" si="63"/>
        <v/>
      </c>
      <c r="Y174" s="770">
        <f>IF(OR(AP174&lt;AA174,AND(NOT(OR(LEFT(AB174,3)="SKL",LEFT(AB174,3)=LEFT($V$2,3))),AA174&gt;0),AND('Deutsche Markt'!$AH$1=FALSE,J174="F4",AA174&gt;0)),"",AA174)</f>
        <v>0</v>
      </c>
      <c r="Z174" s="769"/>
      <c r="AA174" s="771">
        <f>'Deutsche Markt'!AA174</f>
        <v>0</v>
      </c>
      <c r="AB174" s="772" t="str">
        <f>IFERROR(IF(VLOOKUP(C174,[1]List1!$A:$D,2,FALSE)="VYPRODÁNO",$V$9,IF(VLOOKUP(C174,[1]List1!$A:$D,2,FALSE)="DOCHÁZÍ",$V$3,VLOOKUP(C174,[1]List1!$A:$D,2,FALSE))),"OFFLINE!")</f>
        <v>OFFLINE!</v>
      </c>
      <c r="AC174" s="772" t="str">
        <f ca="1">IF(AO174="NE",$V$10,IF(AB174=$V$3,IF(AP174&lt;1,$V$8,$V$2&amp;" "&amp;AP174&amp;" "&amp;$V$1),IF(AB174="SKLADEM",$V$6,IFERROR(IF(OR(AB174-TODAY()&gt;21,VLOOKUP(C174,[1]List1!$A:$E,4,FALSE)=0),AB174,DAY(AB174)&amp;"."&amp;MONTH(AB174)&amp;"."&amp;YEAR(AB174)&amp;" "&amp;$V$4&amp;VLOOKUP(C174,[1]List1!$A:$E,4,FALSE)&amp;" "&amp;$V$1),AB174))))</f>
        <v>OFFLINE!</v>
      </c>
      <c r="AD174" s="772" t="str">
        <f t="shared" ca="1" si="64"/>
        <v>OFFLINE!</v>
      </c>
      <c r="AE174" s="605"/>
      <c r="AF174" s="605"/>
      <c r="AG174" s="615"/>
      <c r="AH174" s="616"/>
      <c r="AI174" s="615"/>
      <c r="AJ174" s="617"/>
      <c r="AK174" s="617"/>
      <c r="AL174" s="617"/>
      <c r="AM174" s="617"/>
      <c r="AN174" s="292"/>
      <c r="AO174" s="567" t="str">
        <f t="shared" si="57"/>
        <v/>
      </c>
      <c r="AP174" s="568" t="str">
        <f>IF(AB174=$V$3,IF(VLOOKUP(C174,[1]List1!$A:$E,5,FALSE)=0,1,VLOOKUP(C174,[1]List1!$A:$E,5,FALSE)),"")</f>
        <v/>
      </c>
      <c r="AQ174" s="292" t="str">
        <f t="shared" si="58"/>
        <v/>
      </c>
      <c r="AR174" s="618" t="str">
        <f t="shared" si="59"/>
        <v/>
      </c>
      <c r="AS174" s="292" t="str">
        <f t="shared" si="60"/>
        <v/>
      </c>
      <c r="AT174" s="377" t="e">
        <f t="shared" si="61"/>
        <v>#N/A</v>
      </c>
      <c r="AU174" s="292" t="e">
        <f t="shared" si="62"/>
        <v>#N/A</v>
      </c>
    </row>
    <row r="175" spans="1:47" ht="15" customHeight="1">
      <c r="A175" s="601" t="str">
        <f>Kat.!B175</f>
        <v/>
      </c>
      <c r="B175" s="601">
        <f t="shared" si="48"/>
        <v>1</v>
      </c>
      <c r="C175" s="778" t="s">
        <v>774</v>
      </c>
      <c r="D175" s="778"/>
      <c r="E175" s="778"/>
      <c r="F175" s="779"/>
      <c r="G175" s="778"/>
      <c r="H175" s="778"/>
      <c r="I175" s="778"/>
      <c r="J175" s="778"/>
      <c r="K175" s="781"/>
      <c r="L175" s="778"/>
      <c r="M175" s="778"/>
      <c r="N175" s="778"/>
      <c r="O175" s="778"/>
      <c r="P175" s="778"/>
      <c r="Q175" s="778"/>
      <c r="R175" s="778"/>
      <c r="S175" s="778"/>
      <c r="T175" s="778"/>
      <c r="U175" s="778"/>
      <c r="V175" s="778"/>
      <c r="W175" s="778" t="str">
        <f>IFERROR(VLOOKUP('General price list'!$C175,Popisy!A:P,MATCH($W$17,Popisy!$A$7:$P$7,0),FALSE),"---------------")</f>
        <v>Pfeifende Rakete mit der Explosion</v>
      </c>
      <c r="X175" s="778" t="str">
        <f t="shared" si="63"/>
        <v/>
      </c>
      <c r="Y175" s="770">
        <f>IF(OR(AP175&lt;AA175,AND(NOT(OR(LEFT(AB175,3)="SKL",LEFT(AB175,3)=LEFT($V$2,3))),AA175&gt;0),AND('Deutsche Markt'!$AH$1=FALSE,J175="F4",AA175&gt;0)),"",AA175)</f>
        <v>0</v>
      </c>
      <c r="Z175" s="778"/>
      <c r="AA175" s="771">
        <f>'Deutsche Markt'!AA175</f>
        <v>0</v>
      </c>
      <c r="AB175" s="778" t="str">
        <f>IFERROR(IF(VLOOKUP(C175,[1]List1!$A:$D,2,FALSE)="VYPRODÁNO",$V$9,IF(VLOOKUP(C175,[1]List1!$A:$D,2,FALSE)="DOCHÁZÍ",$V$3,VLOOKUP(C175,[1]List1!$A:$D,2,FALSE))),"OFFLINE!")</f>
        <v>20.06.2024</v>
      </c>
      <c r="AC175" s="778" t="str">
        <f ca="1">IF(AO175="NE",$V$10,IF(AB175=$V$3,IF(AP175&lt;1,$V$8,$V$2&amp;" "&amp;AP175&amp;" "&amp;$V$1),IF(AB175="SKLADEM",$V$6,IFERROR(IF(OR(AB175-TODAY()&gt;21,VLOOKUP(C175,[1]List1!$A:$E,4,FALSE)=0),AB175,DAY(AB175)&amp;"."&amp;MONTH(AB175)&amp;"."&amp;YEAR(AB175)&amp;" "&amp;$V$4&amp;VLOOKUP(C175,[1]List1!$A:$E,4,FALSE)&amp;" "&amp;$V$1),AB175))))</f>
        <v>20.06.2024</v>
      </c>
      <c r="AD175" s="778" t="str">
        <f t="shared" ca="1" si="64"/>
        <v>20.06.2024</v>
      </c>
      <c r="AE175" s="599"/>
      <c r="AF175" s="599"/>
      <c r="AG175" s="599"/>
      <c r="AH175" s="599"/>
      <c r="AI175" s="599"/>
      <c r="AJ175" s="599"/>
      <c r="AK175" s="599"/>
      <c r="AL175" s="599"/>
      <c r="AM175" s="599"/>
      <c r="AN175" s="566"/>
      <c r="AO175" s="567" t="str">
        <f t="shared" si="57"/>
        <v/>
      </c>
      <c r="AP175" s="568" t="str">
        <f>IF(AB175=$V$3,IF(VLOOKUP(C175,[1]List1!$A:$E,5,FALSE)=0,1,VLOOKUP(C175,[1]List1!$A:$E,5,FALSE)),"")</f>
        <v/>
      </c>
      <c r="AQ175" s="292" t="str">
        <f t="shared" si="58"/>
        <v/>
      </c>
      <c r="AR175" s="618" t="str">
        <f t="shared" si="59"/>
        <v/>
      </c>
      <c r="AS175" s="292" t="str">
        <f t="shared" si="60"/>
        <v/>
      </c>
      <c r="AT175" s="377" t="e">
        <f t="shared" si="61"/>
        <v>#N/A</v>
      </c>
      <c r="AU175" s="292" t="e">
        <f t="shared" si="62"/>
        <v>#N/A</v>
      </c>
    </row>
    <row r="176" spans="1:47" ht="15" customHeight="1">
      <c r="A176" s="601" t="str">
        <f>Kat.!B176</f>
        <v/>
      </c>
      <c r="B176" s="601">
        <f t="shared" si="48"/>
        <v>1</v>
      </c>
      <c r="C176" s="758" t="s">
        <v>779</v>
      </c>
      <c r="D176" s="788"/>
      <c r="E176" s="789"/>
      <c r="F176" s="761"/>
      <c r="G176" s="762"/>
      <c r="H176" s="596"/>
      <c r="I176" s="790"/>
      <c r="J176" s="764"/>
      <c r="K176" s="774"/>
      <c r="L176" s="766"/>
      <c r="M176" s="764"/>
      <c r="N176" s="767"/>
      <c r="O176" s="763"/>
      <c r="P176" s="763"/>
      <c r="Q176" s="764"/>
      <c r="R176" s="764"/>
      <c r="S176" s="764"/>
      <c r="T176" s="761"/>
      <c r="U176" s="768"/>
      <c r="V176" s="768"/>
      <c r="W176" s="769" t="str">
        <f>IFERROR(VLOOKUP('General price list'!$C176,Popisy!A:P,MATCH($W$17,Popisy!$A$7:$P$7,0),FALSE),"---------------")</f>
        <v>Fallschirmrakete</v>
      </c>
      <c r="X176" s="769" t="str">
        <f t="shared" si="63"/>
        <v/>
      </c>
      <c r="Y176" s="770">
        <f>IF(OR(AP176&lt;AA176,AND(NOT(OR(LEFT(AB176,3)="SKL",LEFT(AB176,3)=LEFT($V$2,3))),AA176&gt;0),AND('Deutsche Markt'!$AH$1=FALSE,J176="F4",AA176&gt;0)),"",AA176)</f>
        <v>0</v>
      </c>
      <c r="Z176" s="769"/>
      <c r="AA176" s="771">
        <f>'Deutsche Markt'!AA176</f>
        <v>0</v>
      </c>
      <c r="AB176" s="772" t="str">
        <f>IFERROR(IF(VLOOKUP(C176,[1]List1!$A:$D,2,FALSE)="VYPRODÁNO",$V$9,IF(VLOOKUP(C176,[1]List1!$A:$D,2,FALSE)="DOCHÁZÍ",$V$3,VLOOKUP(C176,[1]List1!$A:$D,2,FALSE))),"OFFLINE!")</f>
        <v>15.09.2024</v>
      </c>
      <c r="AC176" s="772" t="str">
        <f ca="1">IF(AO176="NE",$V$10,IF(AB176=$V$3,IF(AP176&lt;1,$V$8,$V$2&amp;" "&amp;AP176&amp;" "&amp;$V$1),IF(AB176="SKLADEM",$V$6,IFERROR(IF(OR(AB176-TODAY()&gt;21,VLOOKUP(C176,[1]List1!$A:$E,4,FALSE)=0),AB176,DAY(AB176)&amp;"."&amp;MONTH(AB176)&amp;"."&amp;YEAR(AB176)&amp;" "&amp;$V$4&amp;VLOOKUP(C176,[1]List1!$A:$E,4,FALSE)&amp;" "&amp;$V$1),AB176))))</f>
        <v>15.09.2024</v>
      </c>
      <c r="AD176" s="772" t="str">
        <f t="shared" ca="1" si="64"/>
        <v>15.09.2024</v>
      </c>
      <c r="AE176" s="605"/>
      <c r="AF176" s="605"/>
      <c r="AG176" s="615"/>
      <c r="AH176" s="616"/>
      <c r="AI176" s="615"/>
      <c r="AJ176" s="617"/>
      <c r="AK176" s="617"/>
      <c r="AL176" s="617"/>
      <c r="AM176" s="617"/>
      <c r="AN176" s="292"/>
      <c r="AO176" s="567" t="str">
        <f t="shared" si="57"/>
        <v/>
      </c>
      <c r="AP176" s="568" t="str">
        <f>IF(AB176=$V$3,IF(VLOOKUP(C176,[1]List1!$A:$E,5,FALSE)=0,1,VLOOKUP(C176,[1]List1!$A:$E,5,FALSE)),"")</f>
        <v/>
      </c>
      <c r="AQ176" s="292" t="str">
        <f t="shared" si="58"/>
        <v/>
      </c>
      <c r="AR176" s="618" t="str">
        <f t="shared" si="59"/>
        <v/>
      </c>
      <c r="AS176" s="292" t="str">
        <f t="shared" si="60"/>
        <v/>
      </c>
      <c r="AT176" s="377" t="e">
        <f t="shared" si="61"/>
        <v>#N/A</v>
      </c>
      <c r="AU176" s="292" t="e">
        <f t="shared" si="62"/>
        <v>#N/A</v>
      </c>
    </row>
    <row r="177" spans="1:47" ht="15" customHeight="1">
      <c r="A177" s="601" t="str">
        <f>Kat.!B177</f>
        <v/>
      </c>
      <c r="B177" s="601">
        <f t="shared" si="48"/>
        <v>1</v>
      </c>
      <c r="C177" s="783" t="s">
        <v>787</v>
      </c>
      <c r="D177" s="783"/>
      <c r="E177" s="764"/>
      <c r="F177" s="761"/>
      <c r="G177" s="762"/>
      <c r="H177" s="595"/>
      <c r="I177" s="764"/>
      <c r="J177" s="764"/>
      <c r="K177" s="781"/>
      <c r="L177" s="764"/>
      <c r="M177" s="764"/>
      <c r="N177" s="764"/>
      <c r="O177" s="764"/>
      <c r="P177" s="764"/>
      <c r="Q177" s="764"/>
      <c r="R177" s="764"/>
      <c r="S177" s="764"/>
      <c r="T177" s="764"/>
      <c r="U177" s="764"/>
      <c r="V177" s="764"/>
      <c r="W177" s="764"/>
      <c r="X177" s="764"/>
      <c r="Y177" s="770">
        <f>IF(OR(AP177&lt;AA177,AND(NOT(OR(LEFT(AB177,3)="SKL",LEFT(AB177,3)=LEFT($V$2,3))),AA177&gt;0),AND('Deutsche Markt'!$AH$1=FALSE,J177="F4",AA177&gt;0)),"",AA177)</f>
        <v>0</v>
      </c>
      <c r="Z177" s="764"/>
      <c r="AA177" s="771">
        <f>'Deutsche Markt'!AA177</f>
        <v>0</v>
      </c>
      <c r="AB177" s="772"/>
      <c r="AC177" s="785"/>
      <c r="AD177" s="785"/>
      <c r="AE177" s="609"/>
      <c r="AF177" s="609"/>
      <c r="AG177" s="627"/>
      <c r="AH177" s="609"/>
      <c r="AI177" s="627"/>
      <c r="AJ177" s="609"/>
      <c r="AK177" s="609"/>
      <c r="AL177" s="609"/>
      <c r="AM177" s="627"/>
      <c r="AO177" s="567" t="str">
        <f t="shared" si="57"/>
        <v/>
      </c>
      <c r="AP177" s="292" t="str">
        <f>IF(AB177=$V$3,IF(VLOOKUP(C177,[1]List1!$A:$E,5,FALSE)=0,1,VLOOKUP(C177,[1]List1!$A:$E,5,FALSE)),"")</f>
        <v/>
      </c>
      <c r="AQ177" s="292" t="str">
        <f t="shared" si="58"/>
        <v/>
      </c>
      <c r="AR177" s="618" t="str">
        <f t="shared" si="59"/>
        <v/>
      </c>
      <c r="AS177" s="292" t="str">
        <f t="shared" si="60"/>
        <v/>
      </c>
      <c r="AT177" s="377" t="e">
        <f t="shared" si="61"/>
        <v>#N/A</v>
      </c>
      <c r="AU177" s="292" t="e">
        <f t="shared" si="62"/>
        <v>#N/A</v>
      </c>
    </row>
    <row r="178" spans="1:47" ht="15" customHeight="1">
      <c r="A178" s="601" t="str">
        <f>Kat.!B178</f>
        <v/>
      </c>
      <c r="B178" s="601">
        <f t="shared" si="48"/>
        <v>1</v>
      </c>
      <c r="C178" s="758" t="s">
        <v>792</v>
      </c>
      <c r="D178" s="759"/>
      <c r="E178" s="760"/>
      <c r="F178" s="761"/>
      <c r="G178" s="762"/>
      <c r="H178" s="596"/>
      <c r="I178" s="763"/>
      <c r="J178" s="764"/>
      <c r="K178" s="774"/>
      <c r="L178" s="766"/>
      <c r="M178" s="764"/>
      <c r="N178" s="767"/>
      <c r="O178" s="763"/>
      <c r="P178" s="763"/>
      <c r="Q178" s="764"/>
      <c r="R178" s="764"/>
      <c r="S178" s="764"/>
      <c r="T178" s="761"/>
      <c r="U178" s="768"/>
      <c r="V178" s="768"/>
      <c r="W178" s="769" t="str">
        <f>IFERROR(VLOOKUP('General price list'!$C178,Popisy!A:P,MATCH($W$17,Popisy!$A$7:$P$7,0),FALSE),"---------------")</f>
        <v>42 cm Höhe, farbige Leuchtgeschosse</v>
      </c>
      <c r="X178" s="769" t="str">
        <f t="shared" ref="X178:X180" si="65">IF(AA178&lt;0.0001,"",AA178)</f>
        <v/>
      </c>
      <c r="Y178" s="770">
        <f>IF(OR(AP178&lt;AA178,AND(NOT(OR(LEFT(AB178,3)="SKL",LEFT(AB178,3)=LEFT($V$2,3))),AA178&gt;0),AND('Deutsche Markt'!$AH$1=FALSE,J178="F4",AA178&gt;0)),"",AA178)</f>
        <v>0</v>
      </c>
      <c r="Z178" s="769"/>
      <c r="AA178" s="771">
        <f>'Deutsche Markt'!AA178</f>
        <v>0</v>
      </c>
      <c r="AB178" s="772" t="str">
        <f>IFERROR(IF(VLOOKUP(C178,[1]List1!$A:$D,2,FALSE)="VYPRODÁNO",$V$9,IF(VLOOKUP(C178,[1]List1!$A:$D,2,FALSE)="DOCHÁZÍ",$V$3,VLOOKUP(C178,[1]List1!$A:$D,2,FALSE))),"OFFLINE!")</f>
        <v>SKLADEM</v>
      </c>
      <c r="AC178" s="772" t="str">
        <f ca="1">IF(AO178="NE",$V$10,IF(AB178=$V$3,IF(AP178&lt;1,$V$8,$V$2&amp;" "&amp;AP178&amp;" "&amp;$V$1),IF(AB178="SKLADEM",$V$6,IFERROR(IF(OR(AB178-TODAY()&gt;21,VLOOKUP(C178,[1]List1!$A:$E,4,FALSE)=0),AB178,DAY(AB178)&amp;"."&amp;MONTH(AB178)&amp;"."&amp;YEAR(AB178)&amp;" "&amp;$V$4&amp;VLOOKUP(C178,[1]List1!$A:$E,4,FALSE)&amp;" "&amp;$V$1),AB178))))</f>
        <v>AUF LAGER</v>
      </c>
      <c r="AD178" s="772" t="str">
        <f t="shared" ref="AD178:AD180" ca="1" si="66">IFERROR(IF(AU178&lt;&gt;"",AU178,AC178),AC178)</f>
        <v>AUF LAGER</v>
      </c>
      <c r="AE178" s="605"/>
      <c r="AF178" s="605"/>
      <c r="AG178" s="615"/>
      <c r="AH178" s="616"/>
      <c r="AI178" s="615"/>
      <c r="AJ178" s="617"/>
      <c r="AK178" s="617"/>
      <c r="AL178" s="617"/>
      <c r="AM178" s="617"/>
      <c r="AN178" s="292"/>
      <c r="AO178" s="567" t="str">
        <f t="shared" si="57"/>
        <v/>
      </c>
      <c r="AP178" s="568" t="str">
        <f>IF(AB178=$V$3,IF(VLOOKUP(C178,[1]List1!$A:$E,5,FALSE)=0,1,VLOOKUP(C178,[1]List1!$A:$E,5,FALSE)),"")</f>
        <v/>
      </c>
      <c r="AQ178" s="292" t="str">
        <f t="shared" si="58"/>
        <v/>
      </c>
      <c r="AR178" s="618" t="str">
        <f t="shared" si="59"/>
        <v/>
      </c>
      <c r="AS178" s="292" t="str">
        <f t="shared" si="60"/>
        <v/>
      </c>
      <c r="AT178" s="377" t="e">
        <f t="shared" si="61"/>
        <v>#N/A</v>
      </c>
      <c r="AU178" s="292" t="e">
        <f t="shared" si="62"/>
        <v>#N/A</v>
      </c>
    </row>
    <row r="179" spans="1:47" ht="15" customHeight="1">
      <c r="A179" s="601" t="str">
        <f>Kat.!B179</f>
        <v>x</v>
      </c>
      <c r="B179" s="601">
        <f t="shared" si="48"/>
        <v>1</v>
      </c>
      <c r="C179" s="783" t="s">
        <v>802</v>
      </c>
      <c r="D179" s="788"/>
      <c r="E179" s="760"/>
      <c r="F179" s="761"/>
      <c r="G179" s="762"/>
      <c r="H179" s="596"/>
      <c r="I179" s="763"/>
      <c r="J179" s="764"/>
      <c r="K179" s="781"/>
      <c r="L179" s="769"/>
      <c r="M179" s="764"/>
      <c r="N179" s="767"/>
      <c r="O179" s="777"/>
      <c r="P179" s="763"/>
      <c r="Q179" s="764"/>
      <c r="R179" s="764"/>
      <c r="S179" s="764"/>
      <c r="T179" s="764"/>
      <c r="U179" s="768"/>
      <c r="V179" s="768"/>
      <c r="W179" s="769" t="str">
        <f>IFERROR(VLOOKUP('General price list'!$C179,Popisy!A:P,MATCH($W$17,Popisy!$A$7:$P$7,0),FALSE),"---------------")</f>
        <v>6 verschiedenfarbige Effekte-ohne Lärm</v>
      </c>
      <c r="X179" s="769" t="str">
        <f t="shared" si="65"/>
        <v/>
      </c>
      <c r="Y179" s="770">
        <f>IF(OR(AP179&lt;AA179,AND(NOT(OR(LEFT(AB179,3)="SKL",LEFT(AB179,3)=LEFT($V$2,3))),AA179&gt;0),AND('Deutsche Markt'!$AH$1=FALSE,J179="F4",AA179&gt;0)),"",AA179)</f>
        <v>0</v>
      </c>
      <c r="Z179" s="769"/>
      <c r="AA179" s="771">
        <f>'Deutsche Markt'!AA179</f>
        <v>0</v>
      </c>
      <c r="AB179" s="772" t="str">
        <f>IFERROR(IF(VLOOKUP(C179,[1]List1!$A:$D,2,FALSE)="VYPRODÁNO",$V$9,IF(VLOOKUP(C179,[1]List1!$A:$D,2,FALSE)="DOCHÁZÍ",$V$3,VLOOKUP(C179,[1]List1!$A:$D,2,FALSE))),"OFFLINE!")</f>
        <v>LETZTE STÜCKE</v>
      </c>
      <c r="AC179" s="772" t="str">
        <f ca="1">IF(AO179="NE",$V$10,IF(AB179=$V$3,IF(AP179&lt;1,$V$8,$V$2&amp;" "&amp;AP179&amp;" "&amp;$V$1),IF(AB179="SKLADEM",$V$6,IFERROR(IF(OR(AB179-TODAY()&gt;21,VLOOKUP(C179,[1]List1!$A:$E,4,FALSE)=0),AB179,DAY(AB179)&amp;"."&amp;MONTH(AB179)&amp;"."&amp;YEAR(AB179)&amp;" "&amp;$V$4&amp;VLOOKUP(C179,[1]List1!$A:$E,4,FALSE)&amp;" "&amp;$V$1),AB179))))</f>
        <v>LETZTE 2 KTN</v>
      </c>
      <c r="AD179" s="772" t="str">
        <f t="shared" ca="1" si="66"/>
        <v>LETZTE 2 KTN</v>
      </c>
      <c r="AE179" s="605"/>
      <c r="AF179" s="605"/>
      <c r="AG179" s="615"/>
      <c r="AH179" s="616"/>
      <c r="AI179" s="615"/>
      <c r="AJ179" s="617"/>
      <c r="AK179" s="617"/>
      <c r="AL179" s="617"/>
      <c r="AM179" s="617"/>
      <c r="AO179" s="567" t="str">
        <f t="shared" si="57"/>
        <v/>
      </c>
      <c r="AP179" s="568">
        <f>IF(AB179=$V$3,IF(VLOOKUP(C179,[1]List1!$A:$E,5,FALSE)=0,1,VLOOKUP(C179,[1]List1!$A:$E,5,FALSE)),"")</f>
        <v>2</v>
      </c>
      <c r="AQ179" s="292" t="str">
        <f t="shared" si="58"/>
        <v/>
      </c>
      <c r="AR179" s="618" t="str">
        <f t="shared" si="59"/>
        <v/>
      </c>
      <c r="AS179" s="292" t="str">
        <f t="shared" si="60"/>
        <v/>
      </c>
      <c r="AT179" s="377" t="e">
        <f t="shared" si="61"/>
        <v>#N/A</v>
      </c>
      <c r="AU179" s="292" t="e">
        <f t="shared" si="62"/>
        <v>#N/A</v>
      </c>
    </row>
    <row r="180" spans="1:47" ht="15" customHeight="1">
      <c r="A180" s="601" t="str">
        <f>Kat.!$B$1&amp;Kat.!B180</f>
        <v/>
      </c>
      <c r="B180" s="601">
        <f t="shared" si="48"/>
        <v>1</v>
      </c>
      <c r="C180" s="602" t="s">
        <v>2322</v>
      </c>
      <c r="D180" s="630"/>
      <c r="E180" s="604"/>
      <c r="F180" s="605"/>
      <c r="G180" s="606"/>
      <c r="H180" s="607"/>
      <c r="I180" s="608"/>
      <c r="J180" s="609"/>
      <c r="K180" s="708"/>
      <c r="L180" s="601"/>
      <c r="M180" s="609"/>
      <c r="N180" s="612"/>
      <c r="O180" s="621"/>
      <c r="P180" s="608"/>
      <c r="Q180" s="609"/>
      <c r="R180" s="609"/>
      <c r="S180" s="609"/>
      <c r="T180" s="609"/>
      <c r="U180" s="613"/>
      <c r="V180" s="613"/>
      <c r="W180" s="601" t="str">
        <f>IFERROR(VLOOKUP('General price list'!$C180,Popisy!A:P,MATCH($W$17,Popisy!$A$7:$P$7,0),FALSE),"---------------")</f>
        <v>silberne spur mit der titanischen detonation+crackling (2g flash sprengsatz)</v>
      </c>
      <c r="X180" s="601" t="str">
        <f t="shared" si="65"/>
        <v/>
      </c>
      <c r="Y180" s="770">
        <f>IF(OR(AP180&lt;AA180,AND(NOT(OR(LEFT(AB180,3)="SKL",LEFT(AB180,3)=LEFT($V$2,3))),AA180&gt;0),AND('Deutsche Markt'!$AH$1=FALSE,J180="F4",AA180&gt;0)),"",AA180)</f>
        <v>0</v>
      </c>
      <c r="Z180" s="601"/>
      <c r="AA180" s="771">
        <f>'Deutsche Markt'!AA180</f>
        <v>0</v>
      </c>
      <c r="AB180" s="614" t="str">
        <f>IFERROR(IF(VLOOKUP(C180,[1]List1!$A:$D,2,FALSE)="VYPRODÁNO",$V$9,IF(VLOOKUP(C180,[1]List1!$A:$D,2,FALSE)="DOCHÁZÍ",$V$3,VLOOKUP(C180,[1]List1!$A:$D,2,FALSE))),"OFFLINE!")</f>
        <v>SKLADEM</v>
      </c>
      <c r="AC180" s="614" t="str">
        <f ca="1">IF(AO180="NE",$V$10,IF(AB180=$V$3,IF(AP180&lt;1,$V$8,$V$2&amp;" "&amp;AP180&amp;" "&amp;$V$1),IF(AB180="SKLADEM",$V$6,IFERROR(IF(OR(AB180-TODAY()&gt;21,VLOOKUP(C180,[1]List1!$A:$E,4,FALSE)=0),AB180,DAY(AB180)&amp;"."&amp;MONTH(AB180)&amp;"."&amp;YEAR(AB180)&amp;" "&amp;$V$4&amp;VLOOKUP(C180,[1]List1!$A:$E,4,FALSE)&amp;" "&amp;$V$1),AB180))))</f>
        <v>AUF LAGER</v>
      </c>
      <c r="AD180" s="614" t="str">
        <f t="shared" ca="1" si="66"/>
        <v>AUF LAGER</v>
      </c>
      <c r="AE180" s="605"/>
      <c r="AF180" s="605"/>
      <c r="AG180" s="615"/>
      <c r="AH180" s="616"/>
      <c r="AI180" s="615"/>
      <c r="AJ180" s="617"/>
      <c r="AK180" s="617"/>
      <c r="AL180" s="617"/>
      <c r="AM180" s="617"/>
      <c r="AN180" s="292"/>
      <c r="AO180" s="567" t="str">
        <f t="shared" si="57"/>
        <v/>
      </c>
      <c r="AP180" s="568" t="str">
        <f>IF(AB180=$V$3,IF(VLOOKUP(C180,[1]List1!$A:$E,5,FALSE)=0,1,VLOOKUP(C180,[1]List1!$A:$E,5,FALSE)),"")</f>
        <v/>
      </c>
      <c r="AQ180" s="292" t="str">
        <f t="shared" si="58"/>
        <v/>
      </c>
      <c r="AR180" s="618" t="str">
        <f t="shared" si="59"/>
        <v/>
      </c>
      <c r="AS180" s="292" t="str">
        <f t="shared" si="60"/>
        <v/>
      </c>
      <c r="AT180" s="377" t="e">
        <f t="shared" si="61"/>
        <v>#N/A</v>
      </c>
      <c r="AU180" s="292" t="e">
        <f t="shared" si="62"/>
        <v>#N/A</v>
      </c>
    </row>
    <row r="181" spans="1:47" ht="15" customHeight="1">
      <c r="A181" s="601" t="str">
        <f>Kat.!B181</f>
        <v>Kleidung</v>
      </c>
      <c r="B181" s="601">
        <f t="shared" si="48"/>
        <v>0</v>
      </c>
      <c r="C181" s="758"/>
      <c r="D181" s="788"/>
      <c r="E181" s="760"/>
      <c r="F181" s="761"/>
      <c r="G181" s="762"/>
      <c r="H181" s="596"/>
      <c r="I181" s="763"/>
      <c r="J181" s="764"/>
      <c r="K181" s="781"/>
      <c r="L181" s="769"/>
      <c r="M181" s="764"/>
      <c r="N181" s="767"/>
      <c r="O181" s="777"/>
      <c r="P181" s="763"/>
      <c r="Q181" s="764"/>
      <c r="R181" s="764"/>
      <c r="S181" s="764"/>
      <c r="T181" s="764"/>
      <c r="U181" s="768"/>
      <c r="V181" s="768"/>
      <c r="W181" s="769"/>
      <c r="X181" s="769"/>
      <c r="Y181" s="770">
        <f>IF(OR(AP181&lt;AA181,AND(NOT(OR(LEFT(AB181,3)="SKL",LEFT(AB181,3)=LEFT($V$2,3))),AA181&gt;0),AND('Deutsche Markt'!$AH$1=FALSE,J181="F4",AA181&gt;0)),"",AA181)</f>
        <v>0</v>
      </c>
      <c r="Z181" s="769"/>
      <c r="AA181" s="771">
        <f>'Deutsche Markt'!AA181</f>
        <v>0</v>
      </c>
      <c r="AB181" s="772"/>
      <c r="AC181" s="772"/>
      <c r="AD181" s="772"/>
      <c r="AE181" s="605"/>
      <c r="AF181" s="605"/>
      <c r="AG181" s="615"/>
      <c r="AH181" s="616"/>
      <c r="AI181" s="615"/>
      <c r="AJ181" s="617"/>
      <c r="AK181" s="617"/>
      <c r="AL181" s="617"/>
      <c r="AM181" s="617"/>
      <c r="AO181" s="567" t="str">
        <f t="shared" si="57"/>
        <v/>
      </c>
      <c r="AP181" s="568" t="str">
        <f>IF(AB181=$V$3,IF(VLOOKUP(C181,[1]List1!$A:$E,5,FALSE)=0,1,VLOOKUP(C181,[1]List1!$A:$E,5,FALSE)),"")</f>
        <v/>
      </c>
      <c r="AQ181" s="292" t="str">
        <f t="shared" si="58"/>
        <v/>
      </c>
      <c r="AR181" s="618" t="str">
        <f t="shared" si="59"/>
        <v/>
      </c>
      <c r="AS181" s="292" t="str">
        <f t="shared" si="60"/>
        <v/>
      </c>
      <c r="AT181" s="377" t="e">
        <f t="shared" si="61"/>
        <v>#N/A</v>
      </c>
      <c r="AU181" s="292" t="e">
        <f t="shared" si="62"/>
        <v>#N/A</v>
      </c>
    </row>
    <row r="182" spans="1:47" ht="15" customHeight="1">
      <c r="A182" s="601" t="str">
        <f>Kat.!B182</f>
        <v>x</v>
      </c>
      <c r="B182" s="601">
        <f t="shared" si="48"/>
        <v>1</v>
      </c>
      <c r="C182" s="775" t="s">
        <v>887</v>
      </c>
      <c r="D182" s="788"/>
      <c r="E182" s="760"/>
      <c r="F182" s="761"/>
      <c r="G182" s="762"/>
      <c r="H182" s="596"/>
      <c r="I182" s="763"/>
      <c r="J182" s="764"/>
      <c r="K182" s="774"/>
      <c r="L182" s="769"/>
      <c r="M182" s="764"/>
      <c r="N182" s="767"/>
      <c r="O182" s="777"/>
      <c r="P182" s="763"/>
      <c r="Q182" s="764"/>
      <c r="R182" s="764"/>
      <c r="S182" s="764"/>
      <c r="T182" s="764"/>
      <c r="U182" s="768"/>
      <c r="V182" s="768"/>
      <c r="W182" s="769" t="str">
        <f>IFERROR(VLOOKUP('General price list'!$C182,Popisy!A:P,MATCH($W$17,Popisy!$A$7:$P$7,0),FALSE),"---------------")</f>
        <v>Trikot Dumbum, gewicht 180g</v>
      </c>
      <c r="X182" s="769" t="str">
        <f t="shared" ref="X182:X192" si="67">IF(AA182&lt;0.0001,"",AA182)</f>
        <v/>
      </c>
      <c r="Y182" s="770">
        <f>IF(OR(AP182&lt;AA182,AND(NOT(OR(LEFT(AB182,3)="SKL",LEFT(AB182,3)=LEFT($V$2,3))),AA182&gt;0),AND('Deutsche Markt'!$AH$1=FALSE,J182="F4",AA182&gt;0)),"",AA182)</f>
        <v>0</v>
      </c>
      <c r="Z182" s="769"/>
      <c r="AA182" s="771">
        <f>'Deutsche Markt'!AA182</f>
        <v>0</v>
      </c>
      <c r="AB182" s="772" t="str">
        <f>IFERROR(IF(VLOOKUP(C182,[1]List1!$A:$D,2,FALSE)="VYPRODÁNO",$V$9,IF(VLOOKUP(C182,[1]List1!$A:$D,2,FALSE)="DOCHÁZÍ",$V$3,VLOOKUP(C182,[1]List1!$A:$D,2,FALSE))),"OFFLINE!")</f>
        <v>SKLADEM</v>
      </c>
      <c r="AC182" s="772" t="str">
        <f ca="1">IF(AO182="NE",$V$10,IF(AB182=$V$3,IF(AP182&lt;1,$V$8,$V$2&amp;" "&amp;AP182&amp;" "&amp;$V$1),IF(AB182="SKLADEM",$V$6,IFERROR(IF(OR(AB182-TODAY()&gt;21,VLOOKUP(C182,[1]List1!$A:$E,4,FALSE)=0),AB182,DAY(AB182)&amp;"."&amp;MONTH(AB182)&amp;"."&amp;YEAR(AB182)&amp;" "&amp;$V$4&amp;VLOOKUP(C182,[1]List1!$A:$E,4,FALSE)&amp;" "&amp;$V$1),AB182))))</f>
        <v>AUF LAGER</v>
      </c>
      <c r="AD182" s="772" t="str">
        <f t="shared" ref="AD182:AD192" ca="1" si="68">IFERROR(IF(AU182&lt;&gt;"",AU182,AC182),AC182)</f>
        <v>AUF LAGER</v>
      </c>
      <c r="AE182" s="605"/>
      <c r="AF182" s="605"/>
      <c r="AG182" s="615"/>
      <c r="AH182" s="616"/>
      <c r="AI182" s="615"/>
      <c r="AJ182" s="617"/>
      <c r="AK182" s="617"/>
      <c r="AL182" s="617"/>
      <c r="AM182" s="617"/>
      <c r="AO182" s="567" t="str">
        <f t="shared" si="57"/>
        <v/>
      </c>
      <c r="AP182" s="568" t="str">
        <f>IF(AB182=$V$3,IF(VLOOKUP(C182,[1]List1!$A:$E,5,FALSE)=0,1,VLOOKUP(C182,[1]List1!$A:$E,5,FALSE)),"")</f>
        <v/>
      </c>
      <c r="AQ182" s="292" t="str">
        <f t="shared" si="58"/>
        <v/>
      </c>
      <c r="AR182" s="618" t="str">
        <f t="shared" si="59"/>
        <v/>
      </c>
      <c r="AS182" s="292" t="str">
        <f t="shared" si="60"/>
        <v/>
      </c>
      <c r="AT182" s="377" t="e">
        <f t="shared" si="61"/>
        <v>#N/A</v>
      </c>
      <c r="AU182" s="292" t="e">
        <f t="shared" si="62"/>
        <v>#N/A</v>
      </c>
    </row>
    <row r="183" spans="1:47" ht="15" customHeight="1">
      <c r="A183" s="601" t="str">
        <f>Kat.!B183</f>
        <v>x</v>
      </c>
      <c r="B183" s="601">
        <f t="shared" si="48"/>
        <v>1</v>
      </c>
      <c r="C183" s="778" t="s">
        <v>893</v>
      </c>
      <c r="D183" s="778"/>
      <c r="E183" s="778"/>
      <c r="F183" s="779"/>
      <c r="G183" s="778"/>
      <c r="H183" s="778"/>
      <c r="I183" s="778"/>
      <c r="J183" s="778"/>
      <c r="K183" s="781"/>
      <c r="L183" s="778"/>
      <c r="M183" s="778"/>
      <c r="N183" s="778"/>
      <c r="O183" s="778"/>
      <c r="P183" s="778"/>
      <c r="Q183" s="778"/>
      <c r="R183" s="778"/>
      <c r="S183" s="778"/>
      <c r="T183" s="778"/>
      <c r="U183" s="778"/>
      <c r="V183" s="778"/>
      <c r="W183" s="778" t="str">
        <f>IFERROR(VLOOKUP('General price list'!$C183,Popisy!A:P,MATCH($W$17,Popisy!$A$7:$P$7,0),FALSE),"---------------")</f>
        <v>Polo-Trikot Dumbum, gewicht 225g</v>
      </c>
      <c r="X183" s="778" t="str">
        <f t="shared" si="67"/>
        <v/>
      </c>
      <c r="Y183" s="770">
        <f>IF(OR(AP183&lt;AA183,AND(NOT(OR(LEFT(AB183,3)="SKL",LEFT(AB183,3)=LEFT($V$2,3))),AA183&gt;0),AND('Deutsche Markt'!$AH$1=FALSE,J183="F4",AA183&gt;0)),"",AA183)</f>
        <v>0</v>
      </c>
      <c r="Z183" s="778"/>
      <c r="AA183" s="771">
        <f>'Deutsche Markt'!AA183</f>
        <v>0</v>
      </c>
      <c r="AB183" s="778" t="str">
        <f>IFERROR(IF(VLOOKUP(C183,[1]List1!$A:$D,2,FALSE)="VYPRODÁNO",$V$9,IF(VLOOKUP(C183,[1]List1!$A:$D,2,FALSE)="DOCHÁZÍ",$V$3,VLOOKUP(C183,[1]List1!$A:$D,2,FALSE))),"OFFLINE!")</f>
        <v>SKLADEM</v>
      </c>
      <c r="AC183" s="778" t="str">
        <f ca="1">IF(AO183="NE",$V$10,IF(AB183=$V$3,IF(AP183&lt;1,$V$8,$V$2&amp;" "&amp;AP183&amp;" "&amp;$V$1),IF(AB183="SKLADEM",$V$6,IFERROR(IF(OR(AB183-TODAY()&gt;21,VLOOKUP(C183,[1]List1!$A:$E,4,FALSE)=0),AB183,DAY(AB183)&amp;"."&amp;MONTH(AB183)&amp;"."&amp;YEAR(AB183)&amp;" "&amp;$V$4&amp;VLOOKUP(C183,[1]List1!$A:$E,4,FALSE)&amp;" "&amp;$V$1),AB183))))</f>
        <v>AUF LAGER</v>
      </c>
      <c r="AD183" s="778" t="str">
        <f t="shared" ca="1" si="68"/>
        <v>AUF LAGER</v>
      </c>
      <c r="AE183" s="599"/>
      <c r="AF183" s="599"/>
      <c r="AG183" s="599"/>
      <c r="AH183" s="599"/>
      <c r="AI183" s="599"/>
      <c r="AJ183" s="599"/>
      <c r="AK183" s="599"/>
      <c r="AL183" s="599"/>
      <c r="AM183" s="599"/>
      <c r="AN183" s="566"/>
      <c r="AO183" s="567" t="str">
        <f t="shared" si="57"/>
        <v/>
      </c>
      <c r="AP183" s="568" t="str">
        <f>IF(AB183=$V$3,IF(VLOOKUP(C183,[1]List1!$A:$E,5,FALSE)=0,1,VLOOKUP(C183,[1]List1!$A:$E,5,FALSE)),"")</f>
        <v/>
      </c>
      <c r="AQ183" s="292" t="str">
        <f t="shared" si="58"/>
        <v/>
      </c>
      <c r="AR183" s="618" t="str">
        <f t="shared" si="59"/>
        <v/>
      </c>
      <c r="AS183" s="292" t="str">
        <f t="shared" si="60"/>
        <v/>
      </c>
      <c r="AT183" s="377" t="e">
        <f t="shared" si="61"/>
        <v>#N/A</v>
      </c>
      <c r="AU183" s="292" t="e">
        <f t="shared" si="62"/>
        <v>#N/A</v>
      </c>
    </row>
    <row r="184" spans="1:47" ht="15" customHeight="1">
      <c r="A184" s="601" t="str">
        <f>Kat.!$B$1&amp;Kat.!B184</f>
        <v>x</v>
      </c>
      <c r="B184" s="601">
        <f t="shared" si="48"/>
        <v>1</v>
      </c>
      <c r="C184" s="602" t="s">
        <v>895</v>
      </c>
      <c r="D184" s="603"/>
      <c r="E184" s="604"/>
      <c r="F184" s="605"/>
      <c r="G184" s="606"/>
      <c r="H184" s="607"/>
      <c r="I184" s="608"/>
      <c r="J184" s="609"/>
      <c r="K184" s="708"/>
      <c r="L184" s="601"/>
      <c r="M184" s="609"/>
      <c r="N184" s="612"/>
      <c r="O184" s="621"/>
      <c r="P184" s="608"/>
      <c r="Q184" s="609"/>
      <c r="R184" s="609"/>
      <c r="S184" s="609"/>
      <c r="T184" s="609"/>
      <c r="U184" s="613"/>
      <c r="V184" s="613"/>
      <c r="W184" s="601" t="str">
        <f>IFERROR(VLOOKUP('General price list'!$C184,Popisy!A:P,MATCH($W$17,Popisy!$A$7:$P$7,0),FALSE),"---------------")</f>
        <v>Polo-Trikot Dumbum, gewicht 225g</v>
      </c>
      <c r="X184" s="601" t="str">
        <f t="shared" si="67"/>
        <v/>
      </c>
      <c r="Y184" s="770">
        <f>IF(OR(AP184&lt;AA184,AND(NOT(OR(LEFT(AB184,3)="SKL",LEFT(AB184,3)=LEFT($V$2,3))),AA184&gt;0),AND('Deutsche Markt'!$AH$1=FALSE,J184="F4",AA184&gt;0)),"",AA184)</f>
        <v>0</v>
      </c>
      <c r="Z184" s="601"/>
      <c r="AA184" s="771">
        <f>'Deutsche Markt'!AA184</f>
        <v>0</v>
      </c>
      <c r="AB184" s="614" t="str">
        <f>IFERROR(IF(VLOOKUP(C184,[1]List1!$A:$D,2,FALSE)="VYPRODÁNO",$V$9,IF(VLOOKUP(C184,[1]List1!$A:$D,2,FALSE)="DOCHÁZÍ",$V$3,VLOOKUP(C184,[1]List1!$A:$D,2,FALSE))),"OFFLINE!")</f>
        <v>SKLADEM</v>
      </c>
      <c r="AC184" s="614" t="str">
        <f ca="1">IF(AO184="NE",$V$10,IF(AB184=$V$3,IF(AP184&lt;1,$V$8,$V$2&amp;" "&amp;AP184&amp;" "&amp;$V$1),IF(AB184="SKLADEM",$V$6,IFERROR(IF(OR(AB184-TODAY()&gt;21,VLOOKUP(C184,[1]List1!$A:$E,4,FALSE)=0),AB184,DAY(AB184)&amp;"."&amp;MONTH(AB184)&amp;"."&amp;YEAR(AB184)&amp;" "&amp;$V$4&amp;VLOOKUP(C184,[1]List1!$A:$E,4,FALSE)&amp;" "&amp;$V$1),AB184))))</f>
        <v>AUF LAGER</v>
      </c>
      <c r="AD184" s="614" t="str">
        <f t="shared" ca="1" si="68"/>
        <v>AUF LAGER</v>
      </c>
      <c r="AE184" s="605"/>
      <c r="AF184" s="605"/>
      <c r="AG184" s="615"/>
      <c r="AH184" s="616"/>
      <c r="AI184" s="615"/>
      <c r="AJ184" s="617"/>
      <c r="AK184" s="617"/>
      <c r="AL184" s="617"/>
      <c r="AM184" s="617"/>
      <c r="AO184" s="567" t="str">
        <f t="shared" si="57"/>
        <v/>
      </c>
      <c r="AP184" s="568" t="str">
        <f>IF(AB184=$V$3,IF(VLOOKUP(C184,[1]List1!$A:$E,5,FALSE)=0,1,VLOOKUP(C184,[1]List1!$A:$E,5,FALSE)),"")</f>
        <v/>
      </c>
      <c r="AQ184" s="292" t="str">
        <f t="shared" si="58"/>
        <v/>
      </c>
      <c r="AR184" s="618" t="str">
        <f t="shared" si="59"/>
        <v/>
      </c>
      <c r="AS184" s="292" t="str">
        <f t="shared" si="60"/>
        <v/>
      </c>
      <c r="AT184" s="377" t="e">
        <f t="shared" si="61"/>
        <v>#N/A</v>
      </c>
      <c r="AU184" s="292" t="e">
        <f t="shared" si="62"/>
        <v>#N/A</v>
      </c>
    </row>
    <row r="185" spans="1:47" ht="15" customHeight="1">
      <c r="A185" s="601" t="str">
        <f>Kat.!B185</f>
        <v>x</v>
      </c>
      <c r="B185" s="601">
        <f t="shared" si="48"/>
        <v>1</v>
      </c>
      <c r="C185" s="758" t="s">
        <v>897</v>
      </c>
      <c r="D185" s="759"/>
      <c r="E185" s="760"/>
      <c r="F185" s="761"/>
      <c r="G185" s="762"/>
      <c r="H185" s="596"/>
      <c r="I185" s="763"/>
      <c r="J185" s="764"/>
      <c r="K185" s="781"/>
      <c r="L185" s="769"/>
      <c r="M185" s="764"/>
      <c r="N185" s="767"/>
      <c r="O185" s="777"/>
      <c r="P185" s="763"/>
      <c r="Q185" s="764"/>
      <c r="R185" s="764"/>
      <c r="S185" s="764"/>
      <c r="T185" s="764"/>
      <c r="U185" s="768"/>
      <c r="V185" s="768"/>
      <c r="W185" s="769" t="str">
        <f>IFERROR(VLOOKUP('General price list'!$C185,Popisy!A:P,MATCH($W$17,Popisy!$A$7:$P$7,0),FALSE),"---------------")</f>
        <v>Jacke fleece Dumbum, Gewicht 600g</v>
      </c>
      <c r="X185" s="769" t="str">
        <f t="shared" si="67"/>
        <v/>
      </c>
      <c r="Y185" s="770">
        <f>IF(OR(AP185&lt;AA185,AND(NOT(OR(LEFT(AB185,3)="SKL",LEFT(AB185,3)=LEFT($V$2,3))),AA185&gt;0),AND('Deutsche Markt'!$AH$1=FALSE,J185="F4",AA185&gt;0)),"",AA185)</f>
        <v>0</v>
      </c>
      <c r="Z185" s="769"/>
      <c r="AA185" s="771">
        <f>'Deutsche Markt'!AA185</f>
        <v>0</v>
      </c>
      <c r="AB185" s="772" t="str">
        <f>IFERROR(IF(VLOOKUP(C185,[1]List1!$A:$D,2,FALSE)="VYPRODÁNO",$V$9,IF(VLOOKUP(C185,[1]List1!$A:$D,2,FALSE)="DOCHÁZÍ",$V$3,VLOOKUP(C185,[1]List1!$A:$D,2,FALSE))),"OFFLINE!")</f>
        <v>LETZTE STÜCKE</v>
      </c>
      <c r="AC185" s="772" t="str">
        <f ca="1">IF(AO185="NE",$V$10,IF(AB185=$V$3,IF(AP185&lt;1,$V$8,$V$2&amp;" "&amp;AP185&amp;" "&amp;$V$1),IF(AB185="SKLADEM",$V$6,IFERROR(IF(OR(AB185-TODAY()&gt;21,VLOOKUP(C185,[1]List1!$A:$E,4,FALSE)=0),AB185,DAY(AB185)&amp;"."&amp;MONTH(AB185)&amp;"."&amp;YEAR(AB185)&amp;" "&amp;$V$4&amp;VLOOKUP(C185,[1]List1!$A:$E,4,FALSE)&amp;" "&amp;$V$1),AB185))))</f>
        <v>LETZTE 1 KTN</v>
      </c>
      <c r="AD185" s="772" t="str">
        <f t="shared" ca="1" si="68"/>
        <v>LETZTE 1 KTN</v>
      </c>
      <c r="AE185" s="605"/>
      <c r="AF185" s="605"/>
      <c r="AG185" s="615"/>
      <c r="AH185" s="616"/>
      <c r="AI185" s="615"/>
      <c r="AJ185" s="617"/>
      <c r="AK185" s="617"/>
      <c r="AL185" s="617"/>
      <c r="AM185" s="617"/>
      <c r="AN185" s="292"/>
      <c r="AO185" s="567" t="str">
        <f t="shared" si="57"/>
        <v/>
      </c>
      <c r="AP185" s="568">
        <f>IF(AB185=$V$3,IF(VLOOKUP(C185,[1]List1!$A:$E,5,FALSE)=0,1,VLOOKUP(C185,[1]List1!$A:$E,5,FALSE)),"")</f>
        <v>1</v>
      </c>
      <c r="AQ185" s="292" t="str">
        <f t="shared" si="58"/>
        <v/>
      </c>
      <c r="AR185" s="618" t="str">
        <f t="shared" si="59"/>
        <v/>
      </c>
      <c r="AS185" s="292" t="str">
        <f t="shared" si="60"/>
        <v/>
      </c>
      <c r="AT185" s="377" t="e">
        <f t="shared" si="61"/>
        <v>#N/A</v>
      </c>
      <c r="AU185" s="292" t="e">
        <f t="shared" si="62"/>
        <v>#N/A</v>
      </c>
    </row>
    <row r="186" spans="1:47" ht="15" customHeight="1">
      <c r="A186" s="601" t="str">
        <f>Kat.!B186</f>
        <v>x</v>
      </c>
      <c r="B186" s="601">
        <f t="shared" si="48"/>
        <v>1</v>
      </c>
      <c r="C186" s="783" t="s">
        <v>903</v>
      </c>
      <c r="D186" s="783"/>
      <c r="E186" s="764"/>
      <c r="F186" s="761"/>
      <c r="G186" s="762"/>
      <c r="H186" s="595"/>
      <c r="I186" s="764"/>
      <c r="J186" s="764"/>
      <c r="K186" s="774"/>
      <c r="L186" s="764"/>
      <c r="M186" s="764"/>
      <c r="N186" s="764"/>
      <c r="O186" s="764"/>
      <c r="P186" s="764"/>
      <c r="Q186" s="764"/>
      <c r="R186" s="764"/>
      <c r="S186" s="764"/>
      <c r="T186" s="764"/>
      <c r="U186" s="764"/>
      <c r="V186" s="764"/>
      <c r="W186" s="764" t="str">
        <f>IFERROR(VLOOKUP('General price list'!$C186,Popisy!A:P,MATCH($W$17,Popisy!$A$7:$P$7,0),FALSE),"---------------")</f>
        <v>Jacke fleece Dumbum, Gewicht 600g</v>
      </c>
      <c r="X186" s="764" t="str">
        <f t="shared" si="67"/>
        <v/>
      </c>
      <c r="Y186" s="770">
        <f>IF(OR(AP186&lt;AA186,AND(NOT(OR(LEFT(AB186,3)="SKL",LEFT(AB186,3)=LEFT($V$2,3))),AA186&gt;0),AND('Deutsche Markt'!$AH$1=FALSE,J186="F4",AA186&gt;0)),"",AA186)</f>
        <v>0</v>
      </c>
      <c r="Z186" s="764"/>
      <c r="AA186" s="771">
        <f>'Deutsche Markt'!AA186</f>
        <v>0</v>
      </c>
      <c r="AB186" s="772" t="str">
        <f>IFERROR(IF(VLOOKUP(C186,[1]List1!$A:$D,2,FALSE)="VYPRODÁNO",$V$9,IF(VLOOKUP(C186,[1]List1!$A:$D,2,FALSE)="DOCHÁZÍ",$V$3,VLOOKUP(C186,[1]List1!$A:$D,2,FALSE))),"OFFLINE!")</f>
        <v>SKLADEM</v>
      </c>
      <c r="AC186" s="785" t="str">
        <f ca="1">IF(AO186="NE",$V$10,IF(AB186=$V$3,IF(AP186&lt;1,$V$8,$V$2&amp;" "&amp;AP186&amp;" "&amp;$V$1),IF(AB186="SKLADEM",$V$6,IFERROR(IF(OR(AB186-TODAY()&gt;21,VLOOKUP(C186,[1]List1!$A:$E,4,FALSE)=0),AB186,DAY(AB186)&amp;"."&amp;MONTH(AB186)&amp;"."&amp;YEAR(AB186)&amp;" "&amp;$V$4&amp;VLOOKUP(C186,[1]List1!$A:$E,4,FALSE)&amp;" "&amp;$V$1),AB186))))</f>
        <v>AUF LAGER</v>
      </c>
      <c r="AD186" s="785" t="str">
        <f t="shared" ca="1" si="68"/>
        <v>AUF LAGER</v>
      </c>
      <c r="AE186" s="609"/>
      <c r="AF186" s="609"/>
      <c r="AG186" s="627"/>
      <c r="AH186" s="609"/>
      <c r="AI186" s="627"/>
      <c r="AJ186" s="609"/>
      <c r="AK186" s="609"/>
      <c r="AL186" s="609"/>
      <c r="AM186" s="627"/>
      <c r="AO186" s="567" t="str">
        <f t="shared" si="57"/>
        <v/>
      </c>
      <c r="AP186" s="568" t="str">
        <f>IF(AB186=$V$3,IF(VLOOKUP(C186,[1]List1!$A:$E,5,FALSE)=0,1,VLOOKUP(C186,[1]List1!$A:$E,5,FALSE)),"")</f>
        <v/>
      </c>
      <c r="AQ186" s="292" t="str">
        <f t="shared" si="58"/>
        <v/>
      </c>
      <c r="AR186" s="618" t="str">
        <f t="shared" si="59"/>
        <v/>
      </c>
      <c r="AS186" s="292" t="str">
        <f t="shared" si="60"/>
        <v/>
      </c>
      <c r="AT186" s="377" t="e">
        <f t="shared" si="61"/>
        <v>#N/A</v>
      </c>
      <c r="AU186" s="292" t="e">
        <f t="shared" si="62"/>
        <v>#N/A</v>
      </c>
    </row>
    <row r="187" spans="1:47" ht="15" customHeight="1">
      <c r="A187" s="601" t="str">
        <f>Kat.!B187</f>
        <v>Kleidung Dumbum Limitierte Auflage</v>
      </c>
      <c r="B187" s="601">
        <f t="shared" si="48"/>
        <v>0</v>
      </c>
      <c r="C187" s="778"/>
      <c r="D187" s="778"/>
      <c r="E187" s="778"/>
      <c r="F187" s="779"/>
      <c r="G187" s="778"/>
      <c r="H187" s="778"/>
      <c r="I187" s="778"/>
      <c r="J187" s="778"/>
      <c r="K187" s="781"/>
      <c r="L187" s="778"/>
      <c r="M187" s="778"/>
      <c r="N187" s="778"/>
      <c r="O187" s="778"/>
      <c r="P187" s="778"/>
      <c r="Q187" s="778"/>
      <c r="R187" s="778"/>
      <c r="S187" s="778"/>
      <c r="T187" s="778"/>
      <c r="U187" s="778"/>
      <c r="V187" s="778"/>
      <c r="W187" s="778" t="str">
        <f>IFERROR(VLOOKUP('General price list'!$C187,Popisy!A:P,MATCH($W$17,Popisy!$A$7:$P$7,0),FALSE),"---------------")</f>
        <v>---------------</v>
      </c>
      <c r="X187" s="778" t="str">
        <f t="shared" si="67"/>
        <v/>
      </c>
      <c r="Y187" s="770">
        <f>IF(OR(AP187&lt;AA187,AND(NOT(OR(LEFT(AB187,3)="SKL",LEFT(AB187,3)=LEFT($V$2,3))),AA187&gt;0),AND('Deutsche Markt'!$AH$1=FALSE,J187="F4",AA187&gt;0)),"",AA187)</f>
        <v>0</v>
      </c>
      <c r="Z187" s="778"/>
      <c r="AA187" s="771">
        <f>'Deutsche Markt'!AA187</f>
        <v>0</v>
      </c>
      <c r="AB187" s="778" t="str">
        <f>IFERROR(IF(VLOOKUP(C187,[1]List1!$A:$D,2,FALSE)="VYPRODÁNO",$V$9,IF(VLOOKUP(C187,[1]List1!$A:$D,2,FALSE)="DOCHÁZÍ",$V$3,VLOOKUP(C187,[1]List1!$A:$D,2,FALSE))),"OFFLINE!")</f>
        <v>OFFLINE!</v>
      </c>
      <c r="AC187" s="778" t="str">
        <f ca="1">IF(AO187="NE",$V$10,IF(AB187=$V$3,IF(AP187&lt;1,$V$8,$V$2&amp;" "&amp;AP187&amp;" "&amp;$V$1),IF(AB187="SKLADEM",$V$6,IFERROR(IF(OR(AB187-TODAY()&gt;21,VLOOKUP(C187,[1]List1!$A:$E,4,FALSE)=0),AB187,DAY(AB187)&amp;"."&amp;MONTH(AB187)&amp;"."&amp;YEAR(AB187)&amp;" "&amp;$V$4&amp;VLOOKUP(C187,[1]List1!$A:$E,4,FALSE)&amp;" "&amp;$V$1),AB187))))</f>
        <v>OFFLINE!</v>
      </c>
      <c r="AD187" s="778" t="str">
        <f t="shared" ca="1" si="68"/>
        <v>OFFLINE!</v>
      </c>
      <c r="AE187" s="599"/>
      <c r="AF187" s="599"/>
      <c r="AG187" s="599"/>
      <c r="AH187" s="599"/>
      <c r="AI187" s="599"/>
      <c r="AJ187" s="599"/>
      <c r="AK187" s="599"/>
      <c r="AL187" s="599"/>
      <c r="AM187" s="599"/>
      <c r="AN187" s="566"/>
      <c r="AO187" s="567" t="str">
        <f t="shared" si="57"/>
        <v/>
      </c>
      <c r="AP187" s="568" t="str">
        <f>IF(AB187=$V$3,IF(VLOOKUP(C187,[1]List1!$A:$E,5,FALSE)=0,1,VLOOKUP(C187,[1]List1!$A:$E,5,FALSE)),"")</f>
        <v/>
      </c>
      <c r="AQ187" s="292" t="str">
        <f t="shared" si="58"/>
        <v/>
      </c>
      <c r="AR187" s="618" t="str">
        <f t="shared" si="59"/>
        <v/>
      </c>
      <c r="AS187" s="292" t="str">
        <f t="shared" si="60"/>
        <v/>
      </c>
      <c r="AT187" s="377" t="e">
        <f t="shared" si="61"/>
        <v>#N/A</v>
      </c>
      <c r="AU187" s="292" t="e">
        <f t="shared" si="62"/>
        <v>#N/A</v>
      </c>
    </row>
    <row r="188" spans="1:47" ht="15" customHeight="1">
      <c r="A188" s="601" t="str">
        <f>Kat.!B188</f>
        <v/>
      </c>
      <c r="B188" s="601">
        <f t="shared" si="48"/>
        <v>1</v>
      </c>
      <c r="C188" s="758" t="s">
        <v>2449</v>
      </c>
      <c r="D188" s="759"/>
      <c r="E188" s="760"/>
      <c r="F188" s="761"/>
      <c r="G188" s="762"/>
      <c r="H188" s="596"/>
      <c r="I188" s="763"/>
      <c r="J188" s="764"/>
      <c r="K188" s="774"/>
      <c r="L188" s="766"/>
      <c r="M188" s="764"/>
      <c r="N188" s="769"/>
      <c r="O188" s="763"/>
      <c r="P188" s="763"/>
      <c r="Q188" s="764"/>
      <c r="R188" s="764"/>
      <c r="S188" s="764"/>
      <c r="T188" s="764"/>
      <c r="U188" s="768"/>
      <c r="V188" s="768"/>
      <c r="W188" s="769" t="str">
        <f>IFERROR(VLOOKUP('General price list'!$C188,Popisy!A:P,MATCH($W$17,Popisy!$A$7:$P$7,0),FALSE),"---------------")</f>
        <v>Dumbum T-shirt M - limited edition</v>
      </c>
      <c r="X188" s="769" t="str">
        <f t="shared" si="67"/>
        <v/>
      </c>
      <c r="Y188" s="770">
        <f>IF(OR(AP188&lt;AA188,AND(NOT(OR(LEFT(AB188,3)="SKL",LEFT(AB188,3)=LEFT($V$2,3))),AA188&gt;0),AND('Deutsche Markt'!$AH$1=FALSE,J188="F4",AA188&gt;0)),"",AA188)</f>
        <v>0</v>
      </c>
      <c r="Z188" s="769"/>
      <c r="AA188" s="771">
        <f>'Deutsche Markt'!AA188</f>
        <v>0</v>
      </c>
      <c r="AB188" s="772" t="str">
        <f>IFERROR(IF(VLOOKUP(C188,[1]List1!$A:$D,2,FALSE)="VYPRODÁNO",$V$9,IF(VLOOKUP(C188,[1]List1!$A:$D,2,FALSE)="DOCHÁZÍ",$V$3,VLOOKUP(C188,[1]List1!$A:$D,2,FALSE))),"OFFLINE!")</f>
        <v>SKLADEM</v>
      </c>
      <c r="AC188" s="772" t="str">
        <f ca="1">IF(AO188="NE",$V$10,IF(AB188=$V$3,IF(AP188&lt;1,$V$8,$V$2&amp;" "&amp;AP188&amp;" "&amp;$V$1),IF(AB188="SKLADEM",$V$6,IFERROR(IF(OR(AB188-TODAY()&gt;21,VLOOKUP(C188,[1]List1!$A:$E,4,FALSE)=0),AB188,DAY(AB188)&amp;"."&amp;MONTH(AB188)&amp;"."&amp;YEAR(AB188)&amp;" "&amp;$V$4&amp;VLOOKUP(C188,[1]List1!$A:$E,4,FALSE)&amp;" "&amp;$V$1),AB188))))</f>
        <v>AUF LAGER</v>
      </c>
      <c r="AD188" s="772" t="str">
        <f t="shared" ca="1" si="68"/>
        <v>AUF LAGER</v>
      </c>
      <c r="AE188" s="605"/>
      <c r="AF188" s="605"/>
      <c r="AG188" s="615"/>
      <c r="AH188" s="616"/>
      <c r="AI188" s="615"/>
      <c r="AJ188" s="617"/>
      <c r="AK188" s="617"/>
      <c r="AL188" s="617"/>
      <c r="AM188" s="617"/>
      <c r="AN188" s="292"/>
      <c r="AO188" s="567" t="str">
        <f t="shared" si="57"/>
        <v/>
      </c>
      <c r="AP188" s="568" t="str">
        <f>IF(AB188=$V$3,IF(VLOOKUP(C188,[1]List1!$A:$E,5,FALSE)=0,1,VLOOKUP(C188,[1]List1!$A:$E,5,FALSE)),"")</f>
        <v/>
      </c>
      <c r="AQ188" s="292" t="str">
        <f t="shared" si="58"/>
        <v/>
      </c>
      <c r="AR188" s="618" t="str">
        <f t="shared" si="59"/>
        <v/>
      </c>
      <c r="AS188" s="292" t="str">
        <f t="shared" si="60"/>
        <v/>
      </c>
      <c r="AT188" s="377" t="e">
        <f t="shared" si="61"/>
        <v>#N/A</v>
      </c>
      <c r="AU188" s="292" t="e">
        <f t="shared" si="62"/>
        <v>#N/A</v>
      </c>
    </row>
    <row r="189" spans="1:47" ht="15" customHeight="1">
      <c r="A189" s="601" t="str">
        <f>Kat.!B189</f>
        <v/>
      </c>
      <c r="B189" s="601">
        <f t="shared" si="48"/>
        <v>1</v>
      </c>
      <c r="C189" s="758" t="s">
        <v>2451</v>
      </c>
      <c r="D189" s="759"/>
      <c r="E189" s="760"/>
      <c r="F189" s="761"/>
      <c r="G189" s="762"/>
      <c r="H189" s="596"/>
      <c r="I189" s="763"/>
      <c r="J189" s="764"/>
      <c r="K189" s="781"/>
      <c r="L189" s="766"/>
      <c r="M189" s="764"/>
      <c r="N189" s="767"/>
      <c r="O189" s="763"/>
      <c r="P189" s="763"/>
      <c r="Q189" s="764"/>
      <c r="R189" s="764"/>
      <c r="S189" s="764"/>
      <c r="T189" s="761"/>
      <c r="U189" s="768"/>
      <c r="V189" s="768"/>
      <c r="W189" s="769" t="str">
        <f>IFERROR(VLOOKUP('General price list'!$C189,Popisy!A:P,MATCH($W$17,Popisy!$A$7:$P$7,0),FALSE),"---------------")</f>
        <v>Dumbum T-shirt L - limited edition</v>
      </c>
      <c r="X189" s="769" t="str">
        <f t="shared" si="67"/>
        <v/>
      </c>
      <c r="Y189" s="770">
        <f>IF(OR(AP189&lt;AA189,AND(NOT(OR(LEFT(AB189,3)="SKL",LEFT(AB189,3)=LEFT($V$2,3))),AA189&gt;0),AND('Deutsche Markt'!$AH$1=FALSE,J189="F4",AA189&gt;0)),"",AA189)</f>
        <v>0</v>
      </c>
      <c r="Z189" s="769"/>
      <c r="AA189" s="771">
        <f>'Deutsche Markt'!AA189</f>
        <v>0</v>
      </c>
      <c r="AB189" s="772" t="str">
        <f>IFERROR(IF(VLOOKUP(C189,[1]List1!$A:$D,2,FALSE)="VYPRODÁNO",$V$9,IF(VLOOKUP(C189,[1]List1!$A:$D,2,FALSE)="DOCHÁZÍ",$V$3,VLOOKUP(C189,[1]List1!$A:$D,2,FALSE))),"OFFLINE!")</f>
        <v>SKLADEM</v>
      </c>
      <c r="AC189" s="772" t="str">
        <f ca="1">IF(AO189="NE",$V$10,IF(AB189=$V$3,IF(AP189&lt;1,$V$8,$V$2&amp;" "&amp;AP189&amp;" "&amp;$V$1),IF(AB189="SKLADEM",$V$6,IFERROR(IF(OR(AB189-TODAY()&gt;21,VLOOKUP(C189,[1]List1!$A:$E,4,FALSE)=0),AB189,DAY(AB189)&amp;"."&amp;MONTH(AB189)&amp;"."&amp;YEAR(AB189)&amp;" "&amp;$V$4&amp;VLOOKUP(C189,[1]List1!$A:$E,4,FALSE)&amp;" "&amp;$V$1),AB189))))</f>
        <v>AUF LAGER</v>
      </c>
      <c r="AD189" s="772" t="str">
        <f t="shared" ca="1" si="68"/>
        <v>AUF LAGER</v>
      </c>
      <c r="AE189" s="605"/>
      <c r="AF189" s="605"/>
      <c r="AG189" s="615"/>
      <c r="AH189" s="616"/>
      <c r="AI189" s="615"/>
      <c r="AJ189" s="617"/>
      <c r="AK189" s="617"/>
      <c r="AL189" s="617"/>
      <c r="AM189" s="617"/>
      <c r="AO189" s="567" t="str">
        <f t="shared" si="57"/>
        <v/>
      </c>
      <c r="AP189" s="568" t="str">
        <f>IF(AB189=$V$3,IF(VLOOKUP(C189,[1]List1!$A:$E,5,FALSE)=0,1,VLOOKUP(C189,[1]List1!$A:$E,5,FALSE)),"")</f>
        <v/>
      </c>
      <c r="AQ189" s="292" t="str">
        <f t="shared" si="58"/>
        <v/>
      </c>
      <c r="AR189" s="618" t="str">
        <f t="shared" si="59"/>
        <v/>
      </c>
      <c r="AS189" s="292" t="str">
        <f t="shared" si="60"/>
        <v/>
      </c>
      <c r="AT189" s="377" t="e">
        <f t="shared" si="61"/>
        <v>#N/A</v>
      </c>
      <c r="AU189" s="292" t="e">
        <f t="shared" si="62"/>
        <v>#N/A</v>
      </c>
    </row>
    <row r="190" spans="1:47" ht="15" customHeight="1">
      <c r="A190" s="601" t="str">
        <f>Kat.!B190</f>
        <v/>
      </c>
      <c r="B190" s="601">
        <f t="shared" si="48"/>
        <v>1</v>
      </c>
      <c r="C190" s="783" t="s">
        <v>2453</v>
      </c>
      <c r="D190" s="783"/>
      <c r="E190" s="764"/>
      <c r="F190" s="761"/>
      <c r="G190" s="762"/>
      <c r="H190" s="595"/>
      <c r="I190" s="764"/>
      <c r="J190" s="764"/>
      <c r="K190" s="774"/>
      <c r="L190" s="764"/>
      <c r="M190" s="764"/>
      <c r="N190" s="764"/>
      <c r="O190" s="764"/>
      <c r="P190" s="764"/>
      <c r="Q190" s="764"/>
      <c r="R190" s="764"/>
      <c r="S190" s="764"/>
      <c r="T190" s="764"/>
      <c r="U190" s="764"/>
      <c r="V190" s="764"/>
      <c r="W190" s="764" t="str">
        <f>IFERROR(VLOOKUP('General price list'!$C190,Popisy!A:P,MATCH($W$17,Popisy!$A$7:$P$7,0),FALSE),"---------------")</f>
        <v>Dumbum T-shirt XL - limited edition</v>
      </c>
      <c r="X190" s="764" t="str">
        <f t="shared" si="67"/>
        <v/>
      </c>
      <c r="Y190" s="770">
        <f>IF(OR(AP190&lt;AA190,AND(NOT(OR(LEFT(AB190,3)="SKL",LEFT(AB190,3)=LEFT($V$2,3))),AA190&gt;0),AND('Deutsche Markt'!$AH$1=FALSE,J190="F4",AA190&gt;0)),"",AA190)</f>
        <v>0</v>
      </c>
      <c r="Z190" s="764"/>
      <c r="AA190" s="771">
        <f>'Deutsche Markt'!AA190</f>
        <v>0</v>
      </c>
      <c r="AB190" s="772" t="str">
        <f>IFERROR(IF(VLOOKUP(C190,[1]List1!$A:$D,2,FALSE)="VYPRODÁNO",$V$9,IF(VLOOKUP(C190,[1]List1!$A:$D,2,FALSE)="DOCHÁZÍ",$V$3,VLOOKUP(C190,[1]List1!$A:$D,2,FALSE))),"OFFLINE!")</f>
        <v>SKLADEM</v>
      </c>
      <c r="AC190" s="785" t="str">
        <f ca="1">IF(AO190="NE",$V$10,IF(AB190=$V$3,IF(AP190&lt;1,$V$8,$V$2&amp;" "&amp;AP190&amp;" "&amp;$V$1),IF(AB190="SKLADEM",$V$6,IFERROR(IF(OR(AB190-TODAY()&gt;21,VLOOKUP(C190,[1]List1!$A:$E,4,FALSE)=0),AB190,DAY(AB190)&amp;"."&amp;MONTH(AB190)&amp;"."&amp;YEAR(AB190)&amp;" "&amp;$V$4&amp;VLOOKUP(C190,[1]List1!$A:$E,4,FALSE)&amp;" "&amp;$V$1),AB190))))</f>
        <v>AUF LAGER</v>
      </c>
      <c r="AD190" s="785" t="str">
        <f t="shared" ca="1" si="68"/>
        <v>AUF LAGER</v>
      </c>
      <c r="AE190" s="609"/>
      <c r="AF190" s="609"/>
      <c r="AG190" s="627"/>
      <c r="AH190" s="609"/>
      <c r="AI190" s="627"/>
      <c r="AJ190" s="609"/>
      <c r="AK190" s="609"/>
      <c r="AL190" s="609"/>
      <c r="AM190" s="627"/>
      <c r="AO190" s="567" t="str">
        <f t="shared" si="57"/>
        <v/>
      </c>
      <c r="AP190" s="568" t="str">
        <f>IF(AB190=$V$3,IF(VLOOKUP(C190,[1]List1!$A:$E,5,FALSE)=0,1,VLOOKUP(C190,[1]List1!$A:$E,5,FALSE)),"")</f>
        <v/>
      </c>
      <c r="AQ190" s="292" t="str">
        <f t="shared" si="58"/>
        <v/>
      </c>
      <c r="AR190" s="618" t="str">
        <f t="shared" si="59"/>
        <v/>
      </c>
      <c r="AS190" s="292" t="str">
        <f t="shared" si="60"/>
        <v/>
      </c>
      <c r="AT190" s="377" t="e">
        <f t="shared" si="61"/>
        <v>#N/A</v>
      </c>
      <c r="AU190" s="292" t="e">
        <f t="shared" si="62"/>
        <v>#N/A</v>
      </c>
    </row>
    <row r="191" spans="1:47" ht="15" customHeight="1">
      <c r="A191" s="601" t="str">
        <f>Kat.!B191</f>
        <v/>
      </c>
      <c r="B191" s="601">
        <f t="shared" si="48"/>
        <v>1</v>
      </c>
      <c r="C191" s="783" t="s">
        <v>2455</v>
      </c>
      <c r="D191" s="783"/>
      <c r="E191" s="764"/>
      <c r="F191" s="761"/>
      <c r="G191" s="762"/>
      <c r="H191" s="596"/>
      <c r="I191" s="787"/>
      <c r="J191" s="764"/>
      <c r="K191" s="781"/>
      <c r="L191" s="787"/>
      <c r="M191" s="764"/>
      <c r="N191" s="767"/>
      <c r="O191" s="763"/>
      <c r="P191" s="763"/>
      <c r="Q191" s="764"/>
      <c r="R191" s="764"/>
      <c r="S191" s="764"/>
      <c r="T191" s="764"/>
      <c r="U191" s="768"/>
      <c r="V191" s="768"/>
      <c r="W191" s="769" t="str">
        <f>IFERROR(VLOOKUP('General price list'!$C191,Popisy!A:P,MATCH($W$17,Popisy!$A$7:$P$7,0),FALSE),"---------------")</f>
        <v>Dumbum T-shirt XXL - limited edition</v>
      </c>
      <c r="X191" s="769" t="str">
        <f t="shared" si="67"/>
        <v/>
      </c>
      <c r="Y191" s="770">
        <f>IF(OR(AP191&lt;AA191,AND(NOT(OR(LEFT(AB191,3)="SKL",LEFT(AB191,3)=LEFT($V$2,3))),AA191&gt;0),AND('Deutsche Markt'!$AH$1=FALSE,J191="F4",AA191&gt;0)),"",AA191)</f>
        <v>0</v>
      </c>
      <c r="Z191" s="769"/>
      <c r="AA191" s="771">
        <f>'Deutsche Markt'!AA191</f>
        <v>0</v>
      </c>
      <c r="AB191" s="772" t="str">
        <f>IFERROR(IF(VLOOKUP(C191,[1]List1!$A:$D,2,FALSE)="VYPRODÁNO",$V$9,IF(VLOOKUP(C191,[1]List1!$A:$D,2,FALSE)="DOCHÁZÍ",$V$3,VLOOKUP(C191,[1]List1!$A:$D,2,FALSE))),"OFFLINE!")</f>
        <v>SKLADEM</v>
      </c>
      <c r="AC191" s="772" t="str">
        <f ca="1">IF(AO191="NE",$V$10,IF(AB191=$V$3,IF(AP191&lt;1,$V$8,$V$2&amp;" "&amp;AP191&amp;" "&amp;$V$1),IF(AB191="SKLADEM",$V$6,IFERROR(IF(OR(AB191-TODAY()&gt;21,VLOOKUP(C191,[1]List1!$A:$E,4,FALSE)=0),AB191,DAY(AB191)&amp;"."&amp;MONTH(AB191)&amp;"."&amp;YEAR(AB191)&amp;" "&amp;$V$4&amp;VLOOKUP(C191,[1]List1!$A:$E,4,FALSE)&amp;" "&amp;$V$1),AB191))))</f>
        <v>AUF LAGER</v>
      </c>
      <c r="AD191" s="772" t="str">
        <f t="shared" ca="1" si="68"/>
        <v>AUF LAGER</v>
      </c>
      <c r="AE191" s="605"/>
      <c r="AF191" s="605"/>
      <c r="AG191" s="615"/>
      <c r="AH191" s="616"/>
      <c r="AI191" s="615"/>
      <c r="AJ191" s="617"/>
      <c r="AK191" s="617"/>
      <c r="AL191" s="617"/>
      <c r="AM191" s="617"/>
      <c r="AN191" s="292"/>
      <c r="AO191" s="567" t="str">
        <f t="shared" si="57"/>
        <v/>
      </c>
      <c r="AP191" s="568" t="str">
        <f>IF(AB191=$V$3,IF(VLOOKUP(C191,[1]List1!$A:$E,5,FALSE)=0,1,VLOOKUP(C191,[1]List1!$A:$E,5,FALSE)),"")</f>
        <v/>
      </c>
      <c r="AQ191" s="292" t="str">
        <f t="shared" si="58"/>
        <v/>
      </c>
      <c r="AR191" s="618" t="str">
        <f t="shared" si="59"/>
        <v/>
      </c>
      <c r="AS191" s="292" t="str">
        <f t="shared" si="60"/>
        <v/>
      </c>
      <c r="AT191" s="377" t="e">
        <f t="shared" si="61"/>
        <v>#N/A</v>
      </c>
      <c r="AU191" s="292" t="e">
        <f t="shared" si="62"/>
        <v>#N/A</v>
      </c>
    </row>
    <row r="192" spans="1:47" ht="15" customHeight="1">
      <c r="A192" s="601" t="str">
        <f>Kat.!B192</f>
        <v/>
      </c>
      <c r="B192" s="601">
        <f t="shared" si="48"/>
        <v>1</v>
      </c>
      <c r="C192" s="758" t="s">
        <v>2457</v>
      </c>
      <c r="D192" s="759"/>
      <c r="E192" s="760"/>
      <c r="F192" s="761"/>
      <c r="G192" s="762"/>
      <c r="H192" s="596"/>
      <c r="I192" s="763"/>
      <c r="J192" s="764"/>
      <c r="K192" s="774"/>
      <c r="L192" s="766"/>
      <c r="M192" s="764"/>
      <c r="N192" s="767"/>
      <c r="O192" s="763"/>
      <c r="P192" s="763"/>
      <c r="Q192" s="764"/>
      <c r="R192" s="764"/>
      <c r="S192" s="764"/>
      <c r="T192" s="761"/>
      <c r="U192" s="768"/>
      <c r="V192" s="768"/>
      <c r="W192" s="769" t="str">
        <f>IFERROR(VLOOKUP('General price list'!$C192,Popisy!A:P,MATCH($W$17,Popisy!$A$7:$P$7,0),FALSE),"---------------")</f>
        <v>Dumbum T-shirt polo  M - limited edition</v>
      </c>
      <c r="X192" s="769" t="str">
        <f t="shared" si="67"/>
        <v/>
      </c>
      <c r="Y192" s="770">
        <f>IF(OR(AP192&lt;AA192,AND(NOT(OR(LEFT(AB192,3)="SKL",LEFT(AB192,3)=LEFT($V$2,3))),AA192&gt;0),AND('Deutsche Markt'!$AH$1=FALSE,J192="F4",AA192&gt;0)),"",AA192)</f>
        <v>0</v>
      </c>
      <c r="Z192" s="769"/>
      <c r="AA192" s="771">
        <f>'Deutsche Markt'!AA192</f>
        <v>0</v>
      </c>
      <c r="AB192" s="772" t="str">
        <f>IFERROR(IF(VLOOKUP(C192,[1]List1!$A:$D,2,FALSE)="VYPRODÁNO",$V$9,IF(VLOOKUP(C192,[1]List1!$A:$D,2,FALSE)="DOCHÁZÍ",$V$3,VLOOKUP(C192,[1]List1!$A:$D,2,FALSE))),"OFFLINE!")</f>
        <v>LETZTE STÜCKE</v>
      </c>
      <c r="AC192" s="772" t="str">
        <f ca="1">IF(AO192="NE",$V$10,IF(AB192=$V$3,IF(AP192&lt;1,$V$8,$V$2&amp;" "&amp;AP192&amp;" "&amp;$V$1),IF(AB192="SKLADEM",$V$6,IFERROR(IF(OR(AB192-TODAY()&gt;21,VLOOKUP(C192,[1]List1!$A:$E,4,FALSE)=0),AB192,DAY(AB192)&amp;"."&amp;MONTH(AB192)&amp;"."&amp;YEAR(AB192)&amp;" "&amp;$V$4&amp;VLOOKUP(C192,[1]List1!$A:$E,4,FALSE)&amp;" "&amp;$V$1),AB192))))</f>
        <v>LETZTE 3 KTN</v>
      </c>
      <c r="AD192" s="772" t="str">
        <f t="shared" ca="1" si="68"/>
        <v>LETZTE 3 KTN</v>
      </c>
      <c r="AE192" s="605"/>
      <c r="AF192" s="605"/>
      <c r="AG192" s="615"/>
      <c r="AH192" s="616"/>
      <c r="AI192" s="615"/>
      <c r="AJ192" s="617"/>
      <c r="AK192" s="617"/>
      <c r="AL192" s="617"/>
      <c r="AM192" s="617"/>
      <c r="AN192" s="292"/>
      <c r="AO192" s="567" t="str">
        <f t="shared" si="57"/>
        <v/>
      </c>
      <c r="AP192" s="568">
        <f>IF(AB192=$V$3,IF(VLOOKUP(C192,[1]List1!$A:$E,5,FALSE)=0,1,VLOOKUP(C192,[1]List1!$A:$E,5,FALSE)),"")</f>
        <v>3</v>
      </c>
      <c r="AQ192" s="292" t="str">
        <f t="shared" si="58"/>
        <v/>
      </c>
      <c r="AR192" s="618" t="str">
        <f t="shared" si="59"/>
        <v/>
      </c>
      <c r="AS192" s="292" t="str">
        <f t="shared" si="60"/>
        <v/>
      </c>
      <c r="AT192" s="377" t="e">
        <f t="shared" si="61"/>
        <v>#N/A</v>
      </c>
      <c r="AU192" s="292" t="e">
        <f t="shared" si="62"/>
        <v>#N/A</v>
      </c>
    </row>
    <row r="193" spans="1:47" ht="15" customHeight="1">
      <c r="A193" s="601" t="str">
        <f>Kat.!B193</f>
        <v/>
      </c>
      <c r="B193" s="601">
        <f t="shared" si="48"/>
        <v>1</v>
      </c>
      <c r="C193" s="758" t="s">
        <v>2459</v>
      </c>
      <c r="D193" s="759"/>
      <c r="E193" s="760"/>
      <c r="F193" s="761"/>
      <c r="G193" s="762"/>
      <c r="H193" s="596"/>
      <c r="I193" s="763"/>
      <c r="J193" s="764"/>
      <c r="K193" s="781"/>
      <c r="L193" s="766"/>
      <c r="M193" s="764"/>
      <c r="N193" s="767"/>
      <c r="O193" s="763"/>
      <c r="P193" s="763"/>
      <c r="Q193" s="764"/>
      <c r="R193" s="764"/>
      <c r="S193" s="764"/>
      <c r="T193" s="764"/>
      <c r="U193" s="768"/>
      <c r="V193" s="768"/>
      <c r="W193" s="769"/>
      <c r="X193" s="769"/>
      <c r="Y193" s="770">
        <f>IF(OR(AP193&lt;AA193,AND(NOT(OR(LEFT(AB193,3)="SKL",LEFT(AB193,3)=LEFT($V$2,3))),AA193&gt;0),AND('Deutsche Markt'!$AH$1=FALSE,J193="F4",AA193&gt;0)),"",AA193)</f>
        <v>0</v>
      </c>
      <c r="Z193" s="769"/>
      <c r="AA193" s="771">
        <f>'Deutsche Markt'!AA193</f>
        <v>0</v>
      </c>
      <c r="AB193" s="772"/>
      <c r="AC193" s="772"/>
      <c r="AD193" s="772"/>
      <c r="AE193" s="605"/>
      <c r="AF193" s="605"/>
      <c r="AG193" s="615"/>
      <c r="AH193" s="616"/>
      <c r="AI193" s="615"/>
      <c r="AJ193" s="617"/>
      <c r="AK193" s="617"/>
      <c r="AL193" s="617"/>
      <c r="AM193" s="617"/>
      <c r="AN193" s="292"/>
      <c r="AO193" s="567" t="str">
        <f t="shared" si="57"/>
        <v/>
      </c>
      <c r="AP193" s="568" t="str">
        <f>IF(AB193=$V$3,IF(VLOOKUP(C193,[1]List1!$A:$E,5,FALSE)=0,1,VLOOKUP(C193,[1]List1!$A:$E,5,FALSE)),"")</f>
        <v/>
      </c>
      <c r="AQ193" s="292" t="str">
        <f t="shared" si="58"/>
        <v/>
      </c>
      <c r="AR193" s="618" t="str">
        <f t="shared" si="59"/>
        <v/>
      </c>
      <c r="AS193" s="292" t="str">
        <f t="shared" si="60"/>
        <v/>
      </c>
      <c r="AT193" s="377" t="e">
        <f t="shared" si="61"/>
        <v>#N/A</v>
      </c>
      <c r="AU193" s="292" t="e">
        <f t="shared" si="62"/>
        <v>#N/A</v>
      </c>
    </row>
    <row r="194" spans="1:47" ht="15" customHeight="1">
      <c r="A194" s="601" t="str">
        <f>Kat.!B194</f>
        <v/>
      </c>
      <c r="B194" s="601">
        <f t="shared" si="48"/>
        <v>1</v>
      </c>
      <c r="C194" s="758" t="s">
        <v>2461</v>
      </c>
      <c r="D194" s="759"/>
      <c r="E194" s="760"/>
      <c r="F194" s="761"/>
      <c r="G194" s="762"/>
      <c r="H194" s="596"/>
      <c r="I194" s="763"/>
      <c r="J194" s="764"/>
      <c r="K194" s="774"/>
      <c r="L194" s="766"/>
      <c r="M194" s="764"/>
      <c r="N194" s="767"/>
      <c r="O194" s="763"/>
      <c r="P194" s="763"/>
      <c r="Q194" s="764"/>
      <c r="R194" s="764"/>
      <c r="S194" s="764"/>
      <c r="T194" s="764"/>
      <c r="U194" s="768"/>
      <c r="V194" s="768"/>
      <c r="W194" s="769" t="str">
        <f>IFERROR(VLOOKUP('General price list'!$C194,Popisy!A:P,MATCH($W$17,Popisy!$A$7:$P$7,0),FALSE),"---------------")</f>
        <v>Dumbum T-shirt polo  XL - limited edition</v>
      </c>
      <c r="X194" s="769" t="str">
        <f t="shared" ref="X194:X205" si="69">IF(AA194&lt;0.0001,"",AA194)</f>
        <v/>
      </c>
      <c r="Y194" s="770">
        <f>IF(OR(AP194&lt;AA194,AND(NOT(OR(LEFT(AB194,3)="SKL",LEFT(AB194,3)=LEFT($V$2,3))),AA194&gt;0),AND('Deutsche Markt'!$AH$1=FALSE,J194="F4",AA194&gt;0)),"",AA194)</f>
        <v>0</v>
      </c>
      <c r="Z194" s="769"/>
      <c r="AA194" s="771">
        <f>'Deutsche Markt'!AA194</f>
        <v>0</v>
      </c>
      <c r="AB194" s="772" t="str">
        <f>IFERROR(IF(VLOOKUP(C194,[1]List1!$A:$D,2,FALSE)="VYPRODÁNO",$V$9,IF(VLOOKUP(C194,[1]List1!$A:$D,2,FALSE)="DOCHÁZÍ",$V$3,VLOOKUP(C194,[1]List1!$A:$D,2,FALSE))),"OFFLINE!")</f>
        <v>SKLADEM</v>
      </c>
      <c r="AC194" s="772" t="str">
        <f ca="1">IF(AO194="NE",$V$10,IF(AB194=$V$3,IF(AP194&lt;1,$V$8,$V$2&amp;" "&amp;AP194&amp;" "&amp;$V$1),IF(AB194="SKLADEM",$V$6,IFERROR(IF(OR(AB194-TODAY()&gt;21,VLOOKUP(C194,[1]List1!$A:$E,4,FALSE)=0),AB194,DAY(AB194)&amp;"."&amp;MONTH(AB194)&amp;"."&amp;YEAR(AB194)&amp;" "&amp;$V$4&amp;VLOOKUP(C194,[1]List1!$A:$E,4,FALSE)&amp;" "&amp;$V$1),AB194))))</f>
        <v>AUF LAGER</v>
      </c>
      <c r="AD194" s="772" t="str">
        <f t="shared" ref="AD194:AD205" ca="1" si="70">IFERROR(IF(AU194&lt;&gt;"",AU194,AC194),AC194)</f>
        <v>AUF LAGER</v>
      </c>
      <c r="AE194" s="605"/>
      <c r="AF194" s="605"/>
      <c r="AG194" s="615"/>
      <c r="AH194" s="616"/>
      <c r="AI194" s="615"/>
      <c r="AJ194" s="617"/>
      <c r="AK194" s="617"/>
      <c r="AL194" s="617"/>
      <c r="AM194" s="617"/>
      <c r="AO194" s="567" t="str">
        <f t="shared" si="57"/>
        <v/>
      </c>
      <c r="AP194" s="568" t="str">
        <f>IF(AB194=$V$3,IF(VLOOKUP(C194,[1]List1!$A:$E,5,FALSE)=0,1,VLOOKUP(C194,[1]List1!$A:$E,5,FALSE)),"")</f>
        <v/>
      </c>
      <c r="AQ194" s="292" t="str">
        <f t="shared" si="58"/>
        <v/>
      </c>
      <c r="AR194" s="618" t="str">
        <f t="shared" si="59"/>
        <v/>
      </c>
      <c r="AS194" s="292" t="str">
        <f t="shared" si="60"/>
        <v/>
      </c>
      <c r="AT194" s="377" t="e">
        <f t="shared" si="61"/>
        <v>#N/A</v>
      </c>
      <c r="AU194" s="292" t="e">
        <f t="shared" si="62"/>
        <v>#N/A</v>
      </c>
    </row>
    <row r="195" spans="1:47" ht="15" customHeight="1">
      <c r="A195" s="601" t="str">
        <f>Kat.!B195</f>
        <v/>
      </c>
      <c r="B195" s="601">
        <f t="shared" si="48"/>
        <v>1</v>
      </c>
      <c r="C195" s="758" t="s">
        <v>2463</v>
      </c>
      <c r="D195" s="759"/>
      <c r="E195" s="760"/>
      <c r="F195" s="761"/>
      <c r="G195" s="762"/>
      <c r="H195" s="596"/>
      <c r="I195" s="763"/>
      <c r="J195" s="764"/>
      <c r="K195" s="781"/>
      <c r="L195" s="766"/>
      <c r="M195" s="764"/>
      <c r="N195" s="777"/>
      <c r="O195" s="763"/>
      <c r="P195" s="763"/>
      <c r="Q195" s="764"/>
      <c r="R195" s="764"/>
      <c r="S195" s="764"/>
      <c r="T195" s="764"/>
      <c r="U195" s="768"/>
      <c r="V195" s="768"/>
      <c r="W195" s="769" t="str">
        <f>IFERROR(VLOOKUP('General price list'!$C195,Popisy!A:P,MATCH($W$17,Popisy!$A$7:$P$7,0),FALSE),"---------------")</f>
        <v>Dumbum T-shirt polo  XXL - limited edition</v>
      </c>
      <c r="X195" s="769" t="str">
        <f t="shared" si="69"/>
        <v/>
      </c>
      <c r="Y195" s="770">
        <f>IF(OR(AP195&lt;AA195,AND(NOT(OR(LEFT(AB195,3)="SKL",LEFT(AB195,3)=LEFT($V$2,3))),AA195&gt;0),AND('Deutsche Markt'!$AH$1=FALSE,J195="F4",AA195&gt;0)),"",AA195)</f>
        <v>0</v>
      </c>
      <c r="Z195" s="769"/>
      <c r="AA195" s="771">
        <f>'Deutsche Markt'!AA195</f>
        <v>0</v>
      </c>
      <c r="AB195" s="772" t="str">
        <f>IFERROR(IF(VLOOKUP(C195,[1]List1!$A:$D,2,FALSE)="VYPRODÁNO",$V$9,IF(VLOOKUP(C195,[1]List1!$A:$D,2,FALSE)="DOCHÁZÍ",$V$3,VLOOKUP(C195,[1]List1!$A:$D,2,FALSE))),"OFFLINE!")</f>
        <v>LETZTE STÜCKE</v>
      </c>
      <c r="AC195" s="772" t="str">
        <f ca="1">IF(AO195="NE",$V$10,IF(AB195=$V$3,IF(AP195&lt;1,$V$8,$V$2&amp;" "&amp;AP195&amp;" "&amp;$V$1),IF(AB195="SKLADEM",$V$6,IFERROR(IF(OR(AB195-TODAY()&gt;21,VLOOKUP(C195,[1]List1!$A:$E,4,FALSE)=0),AB195,DAY(AB195)&amp;"."&amp;MONTH(AB195)&amp;"."&amp;YEAR(AB195)&amp;" "&amp;$V$4&amp;VLOOKUP(C195,[1]List1!$A:$E,4,FALSE)&amp;" "&amp;$V$1),AB195))))</f>
        <v>LETZTE 3 KTN</v>
      </c>
      <c r="AD195" s="772" t="str">
        <f t="shared" ca="1" si="70"/>
        <v>LETZTE 3 KTN</v>
      </c>
      <c r="AE195" s="605"/>
      <c r="AF195" s="605"/>
      <c r="AG195" s="615"/>
      <c r="AH195" s="616"/>
      <c r="AI195" s="615"/>
      <c r="AJ195" s="617"/>
      <c r="AK195" s="617"/>
      <c r="AL195" s="617"/>
      <c r="AM195" s="617"/>
      <c r="AO195" s="567" t="str">
        <f t="shared" si="57"/>
        <v/>
      </c>
      <c r="AP195" s="568">
        <f>IF(AB195=$V$3,IF(VLOOKUP(C195,[1]List1!$A:$E,5,FALSE)=0,1,VLOOKUP(C195,[1]List1!$A:$E,5,FALSE)),"")</f>
        <v>3</v>
      </c>
      <c r="AQ195" s="292" t="str">
        <f t="shared" si="58"/>
        <v/>
      </c>
      <c r="AR195" s="618" t="str">
        <f t="shared" si="59"/>
        <v/>
      </c>
      <c r="AS195" s="292" t="str">
        <f t="shared" si="60"/>
        <v/>
      </c>
      <c r="AT195" s="377" t="e">
        <f t="shared" si="61"/>
        <v>#N/A</v>
      </c>
      <c r="AU195" s="292" t="e">
        <f t="shared" si="62"/>
        <v>#N/A</v>
      </c>
    </row>
    <row r="196" spans="1:47" ht="15" customHeight="1">
      <c r="A196" s="601" t="str">
        <f>Kat.!B196</f>
        <v/>
      </c>
      <c r="B196" s="601">
        <f t="shared" si="48"/>
        <v>1</v>
      </c>
      <c r="C196" s="758" t="s">
        <v>2465</v>
      </c>
      <c r="D196" s="759"/>
      <c r="E196" s="760"/>
      <c r="F196" s="761"/>
      <c r="G196" s="762"/>
      <c r="H196" s="596"/>
      <c r="I196" s="763"/>
      <c r="J196" s="764"/>
      <c r="K196" s="774"/>
      <c r="L196" s="766"/>
      <c r="M196" s="764"/>
      <c r="N196" s="767"/>
      <c r="O196" s="763"/>
      <c r="P196" s="763"/>
      <c r="Q196" s="764"/>
      <c r="R196" s="764"/>
      <c r="S196" s="764"/>
      <c r="T196" s="764"/>
      <c r="U196" s="768"/>
      <c r="V196" s="768"/>
      <c r="W196" s="769" t="str">
        <f>IFERROR(VLOOKUP('General price list'!$C196,Popisy!A:P,MATCH($W$17,Popisy!$A$7:$P$7,0),FALSE),"---------------")</f>
        <v>Dumbum waistcoat softshell M-limited edition</v>
      </c>
      <c r="X196" s="769" t="str">
        <f t="shared" si="69"/>
        <v/>
      </c>
      <c r="Y196" s="770">
        <f>IF(OR(AP196&lt;AA196,AND(NOT(OR(LEFT(AB196,3)="SKL",LEFT(AB196,3)=LEFT($V$2,3))),AA196&gt;0),AND('Deutsche Markt'!$AH$1=FALSE,J196="F4",AA196&gt;0)),"",AA196)</f>
        <v>0</v>
      </c>
      <c r="Z196" s="769"/>
      <c r="AA196" s="771">
        <f>'Deutsche Markt'!AA196</f>
        <v>0</v>
      </c>
      <c r="AB196" s="772" t="str">
        <f>IFERROR(IF(VLOOKUP(C196,[1]List1!$A:$D,2,FALSE)="VYPRODÁNO",$V$9,IF(VLOOKUP(C196,[1]List1!$A:$D,2,FALSE)="DOCHÁZÍ",$V$3,VLOOKUP(C196,[1]List1!$A:$D,2,FALSE))),"OFFLINE!")</f>
        <v>SKLADEM</v>
      </c>
      <c r="AC196" s="772" t="str">
        <f ca="1">IF(AO196="NE",$V$10,IF(AB196=$V$3,IF(AP196&lt;1,$V$8,$V$2&amp;" "&amp;AP196&amp;" "&amp;$V$1),IF(AB196="SKLADEM",$V$6,IFERROR(IF(OR(AB196-TODAY()&gt;21,VLOOKUP(C196,[1]List1!$A:$E,4,FALSE)=0),AB196,DAY(AB196)&amp;"."&amp;MONTH(AB196)&amp;"."&amp;YEAR(AB196)&amp;" "&amp;$V$4&amp;VLOOKUP(C196,[1]List1!$A:$E,4,FALSE)&amp;" "&amp;$V$1),AB196))))</f>
        <v>AUF LAGER</v>
      </c>
      <c r="AD196" s="772" t="str">
        <f t="shared" ca="1" si="70"/>
        <v>AUF LAGER</v>
      </c>
      <c r="AE196" s="605"/>
      <c r="AF196" s="605"/>
      <c r="AG196" s="615"/>
      <c r="AH196" s="616"/>
      <c r="AI196" s="615"/>
      <c r="AJ196" s="617"/>
      <c r="AK196" s="617"/>
      <c r="AL196" s="617"/>
      <c r="AM196" s="617"/>
      <c r="AN196" s="292"/>
      <c r="AO196" s="567" t="str">
        <f t="shared" si="57"/>
        <v/>
      </c>
      <c r="AP196" s="568" t="str">
        <f>IF(AB196=$V$3,IF(VLOOKUP(C196,[1]List1!$A:$E,5,FALSE)=0,1,VLOOKUP(C196,[1]List1!$A:$E,5,FALSE)),"")</f>
        <v/>
      </c>
      <c r="AQ196" s="292" t="str">
        <f t="shared" si="58"/>
        <v/>
      </c>
      <c r="AR196" s="618" t="str">
        <f t="shared" si="59"/>
        <v/>
      </c>
      <c r="AS196" s="292" t="str">
        <f t="shared" si="60"/>
        <v/>
      </c>
      <c r="AT196" s="377" t="e">
        <f t="shared" si="61"/>
        <v>#N/A</v>
      </c>
      <c r="AU196" s="292" t="e">
        <f t="shared" si="62"/>
        <v>#N/A</v>
      </c>
    </row>
    <row r="197" spans="1:47" ht="15" customHeight="1">
      <c r="A197" s="601" t="str">
        <f>Kat.!$B$1&amp;Kat.!B197</f>
        <v/>
      </c>
      <c r="B197" s="601">
        <f t="shared" si="48"/>
        <v>1</v>
      </c>
      <c r="C197" s="602" t="s">
        <v>2467</v>
      </c>
      <c r="D197" s="603"/>
      <c r="E197" s="604"/>
      <c r="F197" s="605"/>
      <c r="G197" s="606"/>
      <c r="H197" s="607"/>
      <c r="I197" s="608"/>
      <c r="J197" s="609"/>
      <c r="K197" s="708"/>
      <c r="L197" s="611"/>
      <c r="M197" s="609"/>
      <c r="N197" s="621"/>
      <c r="O197" s="608"/>
      <c r="P197" s="608"/>
      <c r="Q197" s="609"/>
      <c r="R197" s="609"/>
      <c r="S197" s="609"/>
      <c r="T197" s="609"/>
      <c r="U197" s="613"/>
      <c r="V197" s="613"/>
      <c r="W197" s="601" t="str">
        <f>IFERROR(VLOOKUP('General price list'!$C197,Popisy!A:P,MATCH($W$17,Popisy!$A$7:$P$7,0),FALSE),"---------------")</f>
        <v>Dumbum waistcoat softshell L-limited edition</v>
      </c>
      <c r="X197" s="601" t="str">
        <f t="shared" si="69"/>
        <v/>
      </c>
      <c r="Y197" s="770">
        <f>IF(OR(AP197&lt;AA197,AND(NOT(OR(LEFT(AB197,3)="SKL",LEFT(AB197,3)=LEFT($V$2,3))),AA197&gt;0),AND('Deutsche Markt'!$AH$1=FALSE,J197="F4",AA197&gt;0)),"",AA197)</f>
        <v>0</v>
      </c>
      <c r="Z197" s="601"/>
      <c r="AA197" s="771">
        <f>'Deutsche Markt'!AA197</f>
        <v>0</v>
      </c>
      <c r="AB197" s="614" t="str">
        <f>IFERROR(IF(VLOOKUP(C197,[1]List1!$A:$D,2,FALSE)="VYPRODÁNO",$V$9,IF(VLOOKUP(C197,[1]List1!$A:$D,2,FALSE)="DOCHÁZÍ",$V$3,VLOOKUP(C197,[1]List1!$A:$D,2,FALSE))),"OFFLINE!")</f>
        <v>SKLADEM</v>
      </c>
      <c r="AC197" s="614" t="str">
        <f ca="1">IF(AO197="NE",$V$10,IF(AB197=$V$3,IF(AP197&lt;1,$V$8,$V$2&amp;" "&amp;AP197&amp;" "&amp;$V$1),IF(AB197="SKLADEM",$V$6,IFERROR(IF(OR(AB197-TODAY()&gt;21,VLOOKUP(C197,[1]List1!$A:$E,4,FALSE)=0),AB197,DAY(AB197)&amp;"."&amp;MONTH(AB197)&amp;"."&amp;YEAR(AB197)&amp;" "&amp;$V$4&amp;VLOOKUP(C197,[1]List1!$A:$E,4,FALSE)&amp;" "&amp;$V$1),AB197))))</f>
        <v>AUF LAGER</v>
      </c>
      <c r="AD197" s="614" t="str">
        <f t="shared" ca="1" si="70"/>
        <v>AUF LAGER</v>
      </c>
      <c r="AE197" s="605"/>
      <c r="AF197" s="605"/>
      <c r="AG197" s="615"/>
      <c r="AH197" s="616"/>
      <c r="AI197" s="615"/>
      <c r="AJ197" s="617"/>
      <c r="AK197" s="617"/>
      <c r="AL197" s="617"/>
      <c r="AM197" s="617"/>
      <c r="AN197" s="292"/>
      <c r="AO197" s="567" t="str">
        <f t="shared" si="57"/>
        <v/>
      </c>
      <c r="AP197" s="568" t="str">
        <f>IF(AB197=$V$3,IF(VLOOKUP(C197,[1]List1!$A:$E,5,FALSE)=0,1,VLOOKUP(C197,[1]List1!$A:$E,5,FALSE)),"")</f>
        <v/>
      </c>
      <c r="AQ197" s="292" t="str">
        <f t="shared" si="58"/>
        <v/>
      </c>
      <c r="AR197" s="618" t="str">
        <f t="shared" si="59"/>
        <v/>
      </c>
      <c r="AS197" s="292" t="str">
        <f t="shared" si="60"/>
        <v/>
      </c>
      <c r="AT197" s="377" t="e">
        <f t="shared" si="61"/>
        <v>#N/A</v>
      </c>
      <c r="AU197" s="292" t="e">
        <f t="shared" si="62"/>
        <v>#N/A</v>
      </c>
    </row>
    <row r="198" spans="1:47" ht="15" customHeight="1">
      <c r="A198" s="601" t="str">
        <f>Kat.!B198</f>
        <v/>
      </c>
      <c r="B198" s="601">
        <f t="shared" si="48"/>
        <v>1</v>
      </c>
      <c r="C198" s="758" t="s">
        <v>2469</v>
      </c>
      <c r="D198" s="759"/>
      <c r="E198" s="760"/>
      <c r="F198" s="761"/>
      <c r="G198" s="762"/>
      <c r="H198" s="596"/>
      <c r="I198" s="763"/>
      <c r="J198" s="764"/>
      <c r="K198" s="765"/>
      <c r="L198" s="766"/>
      <c r="M198" s="764"/>
      <c r="N198" s="767"/>
      <c r="O198" s="763"/>
      <c r="P198" s="763"/>
      <c r="Q198" s="764"/>
      <c r="R198" s="764"/>
      <c r="S198" s="764"/>
      <c r="T198" s="761"/>
      <c r="U198" s="768"/>
      <c r="V198" s="768"/>
      <c r="W198" s="769" t="str">
        <f>IFERROR(VLOOKUP('General price list'!$C198,Popisy!A:P,MATCH($W$17,Popisy!$A$7:$P$7,0),FALSE),"---------------")</f>
        <v>Dumbum waistcoat softshell XL-limited edition</v>
      </c>
      <c r="X198" s="769" t="str">
        <f t="shared" si="69"/>
        <v/>
      </c>
      <c r="Y198" s="770">
        <f>IF(OR(AP198&lt;AA198,AND(NOT(OR(LEFT(AB198,3)="SKL",LEFT(AB198,3)=LEFT($V$2,3))),AA198&gt;0),AND('Deutsche Markt'!$AH$1=FALSE,J198="F4",AA198&gt;0)),"",AA198)</f>
        <v>0</v>
      </c>
      <c r="Z198" s="769"/>
      <c r="AA198" s="771">
        <f>'Deutsche Markt'!AA198</f>
        <v>0</v>
      </c>
      <c r="AB198" s="772" t="str">
        <f>IFERROR(IF(VLOOKUP(C198,[1]List1!$A:$D,2,FALSE)="VYPRODÁNO",$V$9,IF(VLOOKUP(C198,[1]List1!$A:$D,2,FALSE)="DOCHÁZÍ",$V$3,VLOOKUP(C198,[1]List1!$A:$D,2,FALSE))),"OFFLINE!")</f>
        <v>SKLADEM</v>
      </c>
      <c r="AC198" s="772" t="str">
        <f ca="1">IF(AO198="NE",$V$10,IF(AB198=$V$3,IF(AP198&lt;1,$V$8,$V$2&amp;" "&amp;AP198&amp;" "&amp;$V$1),IF(AB198="SKLADEM",$V$6,IFERROR(IF(OR(AB198-TODAY()&gt;21,VLOOKUP(C198,[1]List1!$A:$E,4,FALSE)=0),AB198,DAY(AB198)&amp;"."&amp;MONTH(AB198)&amp;"."&amp;YEAR(AB198)&amp;" "&amp;$V$4&amp;VLOOKUP(C198,[1]List1!$A:$E,4,FALSE)&amp;" "&amp;$V$1),AB198))))</f>
        <v>AUF LAGER</v>
      </c>
      <c r="AD198" s="772" t="str">
        <f t="shared" ca="1" si="70"/>
        <v>AUF LAGER</v>
      </c>
      <c r="AE198" s="605"/>
      <c r="AF198" s="605"/>
      <c r="AG198" s="615"/>
      <c r="AH198" s="616"/>
      <c r="AI198" s="615"/>
      <c r="AJ198" s="617"/>
      <c r="AK198" s="617"/>
      <c r="AL198" s="617"/>
      <c r="AM198" s="617"/>
      <c r="AN198" s="292"/>
      <c r="AO198" s="567" t="str">
        <f t="shared" si="57"/>
        <v/>
      </c>
      <c r="AP198" s="568" t="str">
        <f>IF(AB198=$V$3,IF(VLOOKUP(C198,[1]List1!$A:$E,5,FALSE)=0,1,VLOOKUP(C198,[1]List1!$A:$E,5,FALSE)),"")</f>
        <v/>
      </c>
      <c r="AQ198" s="292" t="str">
        <f t="shared" si="58"/>
        <v/>
      </c>
      <c r="AR198" s="618" t="str">
        <f t="shared" si="59"/>
        <v/>
      </c>
      <c r="AS198" s="292" t="str">
        <f t="shared" si="60"/>
        <v/>
      </c>
      <c r="AT198" s="377" t="e">
        <f t="shared" si="61"/>
        <v>#N/A</v>
      </c>
      <c r="AU198" s="292" t="e">
        <f t="shared" si="62"/>
        <v>#N/A</v>
      </c>
    </row>
    <row r="199" spans="1:47" ht="15" customHeight="1">
      <c r="A199" s="601" t="str">
        <f>Kat.!B199</f>
        <v/>
      </c>
      <c r="B199" s="601">
        <f t="shared" si="48"/>
        <v>1</v>
      </c>
      <c r="C199" s="758" t="s">
        <v>2471</v>
      </c>
      <c r="D199" s="759"/>
      <c r="E199" s="760"/>
      <c r="F199" s="761"/>
      <c r="G199" s="762"/>
      <c r="H199" s="596"/>
      <c r="I199" s="763"/>
      <c r="J199" s="764"/>
      <c r="K199" s="773"/>
      <c r="L199" s="766"/>
      <c r="M199" s="764"/>
      <c r="N199" s="767"/>
      <c r="O199" s="763"/>
      <c r="P199" s="763"/>
      <c r="Q199" s="764"/>
      <c r="R199" s="764"/>
      <c r="S199" s="764"/>
      <c r="T199" s="761"/>
      <c r="U199" s="768"/>
      <c r="V199" s="768"/>
      <c r="W199" s="769" t="str">
        <f>IFERROR(VLOOKUP('General price list'!$C199,Popisy!A:P,MATCH($W$17,Popisy!$A$7:$P$7,0),FALSE),"---------------")</f>
        <v>Dumbum waistcoat softshell XXL-limited edition</v>
      </c>
      <c r="X199" s="769" t="str">
        <f t="shared" si="69"/>
        <v/>
      </c>
      <c r="Y199" s="770">
        <f>IF(OR(AP199&lt;AA199,AND(NOT(OR(LEFT(AB199,3)="SKL",LEFT(AB199,3)=LEFT($V$2,3))),AA199&gt;0),AND('Deutsche Markt'!$AH$1=FALSE,J199="F4",AA199&gt;0)),"",AA199)</f>
        <v>0</v>
      </c>
      <c r="Z199" s="769"/>
      <c r="AA199" s="771">
        <f>'Deutsche Markt'!AA199</f>
        <v>0</v>
      </c>
      <c r="AB199" s="772" t="str">
        <f>IFERROR(IF(VLOOKUP(C199,[1]List1!$A:$D,2,FALSE)="VYPRODÁNO",$V$9,IF(VLOOKUP(C199,[1]List1!$A:$D,2,FALSE)="DOCHÁZÍ",$V$3,VLOOKUP(C199,[1]List1!$A:$D,2,FALSE))),"OFFLINE!")</f>
        <v>SKLADEM</v>
      </c>
      <c r="AC199" s="772" t="str">
        <f ca="1">IF(AO199="NE",$V$10,IF(AB199=$V$3,IF(AP199&lt;1,$V$8,$V$2&amp;" "&amp;AP199&amp;" "&amp;$V$1),IF(AB199="SKLADEM",$V$6,IFERROR(IF(OR(AB199-TODAY()&gt;21,VLOOKUP(C199,[1]List1!$A:$E,4,FALSE)=0),AB199,DAY(AB199)&amp;"."&amp;MONTH(AB199)&amp;"."&amp;YEAR(AB199)&amp;" "&amp;$V$4&amp;VLOOKUP(C199,[1]List1!$A:$E,4,FALSE)&amp;" "&amp;$V$1),AB199))))</f>
        <v>AUF LAGER</v>
      </c>
      <c r="AD199" s="772" t="str">
        <f t="shared" ca="1" si="70"/>
        <v>AUF LAGER</v>
      </c>
      <c r="AE199" s="605"/>
      <c r="AF199" s="605"/>
      <c r="AG199" s="615"/>
      <c r="AH199" s="616"/>
      <c r="AI199" s="615"/>
      <c r="AJ199" s="617"/>
      <c r="AK199" s="617"/>
      <c r="AL199" s="617"/>
      <c r="AM199" s="617"/>
      <c r="AN199" s="292"/>
      <c r="AO199" s="567" t="str">
        <f t="shared" si="57"/>
        <v/>
      </c>
      <c r="AP199" s="568" t="str">
        <f>IF(AB199=$V$3,IF(VLOOKUP(C199,[1]List1!$A:$E,5,FALSE)=0,1,VLOOKUP(C199,[1]List1!$A:$E,5,FALSE)),"")</f>
        <v/>
      </c>
      <c r="AQ199" s="292" t="str">
        <f t="shared" si="58"/>
        <v/>
      </c>
      <c r="AR199" s="618" t="str">
        <f t="shared" si="59"/>
        <v/>
      </c>
      <c r="AS199" s="292" t="str">
        <f t="shared" si="60"/>
        <v/>
      </c>
      <c r="AT199" s="377" t="e">
        <f t="shared" si="61"/>
        <v>#N/A</v>
      </c>
      <c r="AU199" s="292" t="e">
        <f t="shared" si="62"/>
        <v>#N/A</v>
      </c>
    </row>
    <row r="200" spans="1:47" ht="15" customHeight="1">
      <c r="A200" s="601" t="str">
        <f>Kat.!B200</f>
        <v/>
      </c>
      <c r="B200" s="601">
        <f t="shared" si="48"/>
        <v>1</v>
      </c>
      <c r="C200" s="758" t="s">
        <v>2473</v>
      </c>
      <c r="D200" s="759"/>
      <c r="E200" s="760"/>
      <c r="F200" s="761"/>
      <c r="G200" s="762"/>
      <c r="H200" s="596"/>
      <c r="I200" s="763"/>
      <c r="J200" s="764"/>
      <c r="K200" s="765"/>
      <c r="L200" s="766"/>
      <c r="M200" s="764"/>
      <c r="N200" s="767"/>
      <c r="O200" s="763"/>
      <c r="P200" s="763"/>
      <c r="Q200" s="764"/>
      <c r="R200" s="764"/>
      <c r="S200" s="764"/>
      <c r="T200" s="761"/>
      <c r="U200" s="768"/>
      <c r="V200" s="768"/>
      <c r="W200" s="769" t="str">
        <f>IFERROR(VLOOKUP('General price list'!$C200,Popisy!A:P,MATCH($W$17,Popisy!$A$7:$P$7,0),FALSE),"---------------")</f>
        <v>Dumbum fleece coat M -limited edition</v>
      </c>
      <c r="X200" s="769" t="str">
        <f t="shared" si="69"/>
        <v/>
      </c>
      <c r="Y200" s="770">
        <f>IF(OR(AP200&lt;AA200,AND(NOT(OR(LEFT(AB200,3)="SKL",LEFT(AB200,3)=LEFT($V$2,3))),AA200&gt;0),AND('Deutsche Markt'!$AH$1=FALSE,J200="F4",AA200&gt;0)),"",AA200)</f>
        <v>0</v>
      </c>
      <c r="Z200" s="769"/>
      <c r="AA200" s="771">
        <f>'Deutsche Markt'!AA200</f>
        <v>0</v>
      </c>
      <c r="AB200" s="772" t="str">
        <f>IFERROR(IF(VLOOKUP(C200,[1]List1!$A:$D,2,FALSE)="VYPRODÁNO",$V$9,IF(VLOOKUP(C200,[1]List1!$A:$D,2,FALSE)="DOCHÁZÍ",$V$3,VLOOKUP(C200,[1]List1!$A:$D,2,FALSE))),"OFFLINE!")</f>
        <v>16.02.2024</v>
      </c>
      <c r="AC200" s="772" t="str">
        <f ca="1">IF(AO200="NE",$V$10,IF(AB200=$V$3,IF(AP200&lt;1,$V$8,$V$2&amp;" "&amp;AP200&amp;" "&amp;$V$1),IF(AB200="SKLADEM",$V$6,IFERROR(IF(OR(AB200-TODAY()&gt;21,VLOOKUP(C200,[1]List1!$A:$E,4,FALSE)=0),AB200,DAY(AB200)&amp;"."&amp;MONTH(AB200)&amp;"."&amp;YEAR(AB200)&amp;" "&amp;$V$4&amp;VLOOKUP(C200,[1]List1!$A:$E,4,FALSE)&amp;" "&amp;$V$1),AB200))))</f>
        <v>16.2.2024 KOMMT 10 KTN</v>
      </c>
      <c r="AD200" s="772" t="str">
        <f t="shared" ca="1" si="70"/>
        <v>16.2.2024 KOMMT 10 KTN</v>
      </c>
      <c r="AE200" s="605"/>
      <c r="AF200" s="605"/>
      <c r="AG200" s="615"/>
      <c r="AH200" s="616"/>
      <c r="AI200" s="615"/>
      <c r="AJ200" s="617"/>
      <c r="AK200" s="617"/>
      <c r="AL200" s="617"/>
      <c r="AM200" s="617"/>
      <c r="AO200" s="567" t="str">
        <f t="shared" si="57"/>
        <v/>
      </c>
      <c r="AP200" s="568" t="str">
        <f>IF(AB200=$V$3,IF(VLOOKUP(C200,[1]List1!$A:$E,5,FALSE)=0,1,VLOOKUP(C200,[1]List1!$A:$E,5,FALSE)),"")</f>
        <v/>
      </c>
      <c r="AQ200" s="292" t="str">
        <f t="shared" si="58"/>
        <v/>
      </c>
      <c r="AR200" s="618" t="str">
        <f t="shared" si="59"/>
        <v/>
      </c>
      <c r="AS200" s="292" t="str">
        <f t="shared" si="60"/>
        <v/>
      </c>
      <c r="AT200" s="377" t="e">
        <f t="shared" si="61"/>
        <v>#N/A</v>
      </c>
      <c r="AU200" s="292" t="e">
        <f t="shared" si="62"/>
        <v>#N/A</v>
      </c>
    </row>
    <row r="201" spans="1:47" ht="15" customHeight="1">
      <c r="A201" s="601" t="str">
        <f>Kat.!B201</f>
        <v/>
      </c>
      <c r="B201" s="601">
        <f t="shared" si="48"/>
        <v>1</v>
      </c>
      <c r="C201" s="783" t="s">
        <v>2475</v>
      </c>
      <c r="D201" s="783"/>
      <c r="E201" s="764"/>
      <c r="F201" s="761"/>
      <c r="G201" s="762"/>
      <c r="H201" s="596"/>
      <c r="I201" s="787"/>
      <c r="J201" s="764"/>
      <c r="K201" s="773"/>
      <c r="L201" s="787"/>
      <c r="M201" s="764"/>
      <c r="N201" s="767"/>
      <c r="O201" s="763"/>
      <c r="P201" s="763"/>
      <c r="Q201" s="764"/>
      <c r="R201" s="764"/>
      <c r="S201" s="764"/>
      <c r="T201" s="764"/>
      <c r="U201" s="768"/>
      <c r="V201" s="768"/>
      <c r="W201" s="769" t="str">
        <f>IFERROR(VLOOKUP('General price list'!$C201,Popisy!A:P,MATCH($W$17,Popisy!$A$7:$P$7,0),FALSE),"---------------")</f>
        <v>Dumbum fleece coat L -limited edition</v>
      </c>
      <c r="X201" s="769" t="str">
        <f t="shared" si="69"/>
        <v/>
      </c>
      <c r="Y201" s="770">
        <f>IF(OR(AP201&lt;AA201,AND(NOT(OR(LEFT(AB201,3)="SKL",LEFT(AB201,3)=LEFT($V$2,3))),AA201&gt;0),AND('Deutsche Markt'!$AH$1=FALSE,J201="F4",AA201&gt;0)),"",AA201)</f>
        <v>0</v>
      </c>
      <c r="Z201" s="769"/>
      <c r="AA201" s="771">
        <f>'Deutsche Markt'!AA201</f>
        <v>0</v>
      </c>
      <c r="AB201" s="772" t="str">
        <f>IFERROR(IF(VLOOKUP(C201,[1]List1!$A:$D,2,FALSE)="VYPRODÁNO",$V$9,IF(VLOOKUP(C201,[1]List1!$A:$D,2,FALSE)="DOCHÁZÍ",$V$3,VLOOKUP(C201,[1]List1!$A:$D,2,FALSE))),"OFFLINE!")</f>
        <v>LETZTE STÜCKE</v>
      </c>
      <c r="AC201" s="772" t="str">
        <f ca="1">IF(AO201="NE",$V$10,IF(AB201=$V$3,IF(AP201&lt;1,$V$8,$V$2&amp;" "&amp;AP201&amp;" "&amp;$V$1),IF(AB201="SKLADEM",$V$6,IFERROR(IF(OR(AB201-TODAY()&gt;21,VLOOKUP(C201,[1]List1!$A:$E,4,FALSE)=0),AB201,DAY(AB201)&amp;"."&amp;MONTH(AB201)&amp;"."&amp;YEAR(AB201)&amp;" "&amp;$V$4&amp;VLOOKUP(C201,[1]List1!$A:$E,4,FALSE)&amp;" "&amp;$V$1),AB201))))</f>
        <v>LETZTE 2 KTN</v>
      </c>
      <c r="AD201" s="772" t="str">
        <f t="shared" ca="1" si="70"/>
        <v>LETZTE 2 KTN</v>
      </c>
      <c r="AE201" s="605"/>
      <c r="AF201" s="605"/>
      <c r="AG201" s="615"/>
      <c r="AH201" s="616"/>
      <c r="AI201" s="615"/>
      <c r="AJ201" s="617"/>
      <c r="AK201" s="617"/>
      <c r="AL201" s="617"/>
      <c r="AM201" s="617"/>
      <c r="AO201" s="567" t="str">
        <f t="shared" si="57"/>
        <v/>
      </c>
      <c r="AP201" s="568">
        <f>IF(AB201=$V$3,IF(VLOOKUP(C201,[1]List1!$A:$E,5,FALSE)=0,1,VLOOKUP(C201,[1]List1!$A:$E,5,FALSE)),"")</f>
        <v>2</v>
      </c>
      <c r="AQ201" s="292" t="str">
        <f t="shared" si="58"/>
        <v/>
      </c>
      <c r="AR201" s="618" t="str">
        <f t="shared" si="59"/>
        <v/>
      </c>
      <c r="AS201" s="292" t="str">
        <f t="shared" si="60"/>
        <v/>
      </c>
      <c r="AT201" s="377" t="e">
        <f t="shared" si="61"/>
        <v>#N/A</v>
      </c>
      <c r="AU201" s="292" t="e">
        <f t="shared" si="62"/>
        <v>#N/A</v>
      </c>
    </row>
    <row r="202" spans="1:47" ht="15" customHeight="1">
      <c r="A202" s="601" t="str">
        <f>Kat.!B202</f>
        <v/>
      </c>
      <c r="B202" s="601">
        <f t="shared" si="48"/>
        <v>1</v>
      </c>
      <c r="C202" s="778" t="s">
        <v>2477</v>
      </c>
      <c r="D202" s="778"/>
      <c r="E202" s="778"/>
      <c r="F202" s="779"/>
      <c r="G202" s="778"/>
      <c r="H202" s="778"/>
      <c r="I202" s="778"/>
      <c r="J202" s="778"/>
      <c r="K202" s="765"/>
      <c r="L202" s="778"/>
      <c r="M202" s="778"/>
      <c r="N202" s="778"/>
      <c r="O202" s="778"/>
      <c r="P202" s="778"/>
      <c r="Q202" s="778"/>
      <c r="R202" s="778"/>
      <c r="S202" s="778"/>
      <c r="T202" s="778"/>
      <c r="U202" s="778"/>
      <c r="V202" s="778"/>
      <c r="W202" s="778" t="str">
        <f>IFERROR(VLOOKUP('General price list'!$C202,Popisy!A:P,MATCH($W$17,Popisy!$A$7:$P$7,0),FALSE),"---------------")</f>
        <v>Dumbum fleece coat XL -limited edition</v>
      </c>
      <c r="X202" s="778" t="str">
        <f t="shared" si="69"/>
        <v/>
      </c>
      <c r="Y202" s="770">
        <f>IF(OR(AP202&lt;AA202,AND(NOT(OR(LEFT(AB202,3)="SKL",LEFT(AB202,3)=LEFT($V$2,3))),AA202&gt;0),AND('Deutsche Markt'!$AH$1=FALSE,J202="F4",AA202&gt;0)),"",AA202)</f>
        <v>0</v>
      </c>
      <c r="Z202" s="778"/>
      <c r="AA202" s="771">
        <f>'Deutsche Markt'!AA202</f>
        <v>0</v>
      </c>
      <c r="AB202" s="778" t="str">
        <f>IFERROR(IF(VLOOKUP(C202,[1]List1!$A:$D,2,FALSE)="VYPRODÁNO",$V$9,IF(VLOOKUP(C202,[1]List1!$A:$D,2,FALSE)="DOCHÁZÍ",$V$3,VLOOKUP(C202,[1]List1!$A:$D,2,FALSE))),"OFFLINE!")</f>
        <v>16.02.2024</v>
      </c>
      <c r="AC202" s="778" t="str">
        <f ca="1">IF(AO202="NE",$V$10,IF(AB202=$V$3,IF(AP202&lt;1,$V$8,$V$2&amp;" "&amp;AP202&amp;" "&amp;$V$1),IF(AB202="SKLADEM",$V$6,IFERROR(IF(OR(AB202-TODAY()&gt;21,VLOOKUP(C202,[1]List1!$A:$E,4,FALSE)=0),AB202,DAY(AB202)&amp;"."&amp;MONTH(AB202)&amp;"."&amp;YEAR(AB202)&amp;" "&amp;$V$4&amp;VLOOKUP(C202,[1]List1!$A:$E,4,FALSE)&amp;" "&amp;$V$1),AB202))))</f>
        <v>16.2.2024 KOMMT 10 KTN</v>
      </c>
      <c r="AD202" s="778" t="str">
        <f t="shared" ca="1" si="70"/>
        <v>16.2.2024 KOMMT 10 KTN</v>
      </c>
      <c r="AE202" s="599"/>
      <c r="AF202" s="599"/>
      <c r="AG202" s="599"/>
      <c r="AH202" s="599"/>
      <c r="AI202" s="599"/>
      <c r="AJ202" s="599"/>
      <c r="AK202" s="599"/>
      <c r="AL202" s="599"/>
      <c r="AM202" s="599"/>
      <c r="AN202" s="566"/>
      <c r="AO202" s="567" t="str">
        <f t="shared" si="57"/>
        <v/>
      </c>
      <c r="AP202" s="568" t="str">
        <f>IF(AB202=$V$3,IF(VLOOKUP(C202,[1]List1!$A:$E,5,FALSE)=0,1,VLOOKUP(C202,[1]List1!$A:$E,5,FALSE)),"")</f>
        <v/>
      </c>
      <c r="AQ202" s="292" t="str">
        <f t="shared" si="58"/>
        <v/>
      </c>
      <c r="AR202" s="618" t="str">
        <f t="shared" si="59"/>
        <v/>
      </c>
      <c r="AS202" s="292" t="str">
        <f t="shared" si="60"/>
        <v/>
      </c>
      <c r="AT202" s="377" t="e">
        <f t="shared" si="61"/>
        <v>#N/A</v>
      </c>
      <c r="AU202" s="292" t="e">
        <f t="shared" si="62"/>
        <v>#N/A</v>
      </c>
    </row>
    <row r="203" spans="1:47" ht="15" customHeight="1">
      <c r="A203" s="601" t="str">
        <f>Kat.!B203</f>
        <v/>
      </c>
      <c r="B203" s="601">
        <f t="shared" si="48"/>
        <v>1</v>
      </c>
      <c r="C203" s="783" t="s">
        <v>2479</v>
      </c>
      <c r="D203" s="783"/>
      <c r="E203" s="764"/>
      <c r="F203" s="761"/>
      <c r="G203" s="762"/>
      <c r="H203" s="596"/>
      <c r="I203" s="787"/>
      <c r="J203" s="764"/>
      <c r="K203" s="773"/>
      <c r="L203" s="787"/>
      <c r="M203" s="764"/>
      <c r="N203" s="767"/>
      <c r="O203" s="763"/>
      <c r="P203" s="763"/>
      <c r="Q203" s="764"/>
      <c r="R203" s="764"/>
      <c r="S203" s="764"/>
      <c r="T203" s="764"/>
      <c r="U203" s="768"/>
      <c r="V203" s="768"/>
      <c r="W203" s="769" t="str">
        <f>IFERROR(VLOOKUP('General price list'!$C203,Popisy!A:P,MATCH($W$17,Popisy!$A$7:$P$7,0),FALSE),"---------------")</f>
        <v>Dumbum fleece coat XXL -limited edition</v>
      </c>
      <c r="X203" s="769" t="str">
        <f t="shared" si="69"/>
        <v/>
      </c>
      <c r="Y203" s="770">
        <f>IF(OR(AP203&lt;AA203,AND(NOT(OR(LEFT(AB203,3)="SKL",LEFT(AB203,3)=LEFT($V$2,3))),AA203&gt;0),AND('Deutsche Markt'!$AH$1=FALSE,J203="F4",AA203&gt;0)),"",AA203)</f>
        <v>0</v>
      </c>
      <c r="Z203" s="769"/>
      <c r="AA203" s="771">
        <f>'Deutsche Markt'!AA203</f>
        <v>0</v>
      </c>
      <c r="AB203" s="772" t="str">
        <f>IFERROR(IF(VLOOKUP(C203,[1]List1!$A:$D,2,FALSE)="VYPRODÁNO",$V$9,IF(VLOOKUP(C203,[1]List1!$A:$D,2,FALSE)="DOCHÁZÍ",$V$3,VLOOKUP(C203,[1]List1!$A:$D,2,FALSE))),"OFFLINE!")</f>
        <v>AUSVERKAUFT</v>
      </c>
      <c r="AC203" s="772" t="str">
        <f ca="1">IF(AO203="NE",$V$10,IF(AB203=$V$3,IF(AP203&lt;1,$V$8,$V$2&amp;" "&amp;AP203&amp;" "&amp;$V$1),IF(AB203="SKLADEM",$V$6,IFERROR(IF(OR(AB203-TODAY()&gt;21,VLOOKUP(C203,[1]List1!$A:$E,4,FALSE)=0),AB203,DAY(AB203)&amp;"."&amp;MONTH(AB203)&amp;"."&amp;YEAR(AB203)&amp;" "&amp;$V$4&amp;VLOOKUP(C203,[1]List1!$A:$E,4,FALSE)&amp;" "&amp;$V$1),AB203))))</f>
        <v>AUSVERKAUFT</v>
      </c>
      <c r="AD203" s="772" t="str">
        <f t="shared" ca="1" si="70"/>
        <v>AUSVERKAUFT</v>
      </c>
      <c r="AE203" s="605"/>
      <c r="AF203" s="605"/>
      <c r="AG203" s="615"/>
      <c r="AH203" s="616"/>
      <c r="AI203" s="615"/>
      <c r="AJ203" s="617"/>
      <c r="AK203" s="617"/>
      <c r="AL203" s="617"/>
      <c r="AM203" s="617"/>
      <c r="AN203" s="292"/>
      <c r="AO203" s="567" t="str">
        <f t="shared" si="57"/>
        <v/>
      </c>
      <c r="AP203" s="568" t="str">
        <f>IF(AB203=$V$3,IF(VLOOKUP(C203,[1]List1!$A:$E,5,FALSE)=0,1,VLOOKUP(C203,[1]List1!$A:$E,5,FALSE)),"")</f>
        <v/>
      </c>
      <c r="AQ203" s="292" t="str">
        <f t="shared" si="58"/>
        <v/>
      </c>
      <c r="AR203" s="618" t="str">
        <f t="shared" si="59"/>
        <v/>
      </c>
      <c r="AS203" s="292" t="str">
        <f t="shared" si="60"/>
        <v/>
      </c>
      <c r="AT203" s="377" t="e">
        <f t="shared" si="61"/>
        <v>#N/A</v>
      </c>
      <c r="AU203" s="292" t="e">
        <f t="shared" si="62"/>
        <v>#N/A</v>
      </c>
    </row>
    <row r="204" spans="1:47" ht="15" customHeight="1">
      <c r="A204" s="601" t="str">
        <f>Kat.!B204</f>
        <v/>
      </c>
      <c r="B204" s="601">
        <f t="shared" si="48"/>
        <v>1</v>
      </c>
      <c r="C204" s="758" t="s">
        <v>2481</v>
      </c>
      <c r="D204" s="759"/>
      <c r="E204" s="760"/>
      <c r="F204" s="761"/>
      <c r="G204" s="762"/>
      <c r="H204" s="596"/>
      <c r="I204" s="763"/>
      <c r="J204" s="764"/>
      <c r="K204" s="765"/>
      <c r="L204" s="766"/>
      <c r="M204" s="764"/>
      <c r="N204" s="767"/>
      <c r="O204" s="763"/>
      <c r="P204" s="763"/>
      <c r="Q204" s="764"/>
      <c r="R204" s="764"/>
      <c r="S204" s="764"/>
      <c r="T204" s="761"/>
      <c r="U204" s="768"/>
      <c r="V204" s="768"/>
      <c r="W204" s="769" t="str">
        <f>IFERROR(VLOOKUP('General price list'!$C204,Popisy!A:P,MATCH($W$17,Popisy!$A$7:$P$7,0),FALSE),"---------------")</f>
        <v>Dumbum hoodie M -limited edition</v>
      </c>
      <c r="X204" s="769" t="str">
        <f t="shared" si="69"/>
        <v/>
      </c>
      <c r="Y204" s="770">
        <f>IF(OR(AP204&lt;AA204,AND(NOT(OR(LEFT(AB204,3)="SKL",LEFT(AB204,3)=LEFT($V$2,3))),AA204&gt;0),AND('Deutsche Markt'!$AH$1=FALSE,J204="F4",AA204&gt;0)),"",AA204)</f>
        <v>0</v>
      </c>
      <c r="Z204" s="769"/>
      <c r="AA204" s="771">
        <f>'Deutsche Markt'!AA204</f>
        <v>0</v>
      </c>
      <c r="AB204" s="772" t="str">
        <f>IFERROR(IF(VLOOKUP(C204,[1]List1!$A:$D,2,FALSE)="VYPRODÁNO",$V$9,IF(VLOOKUP(C204,[1]List1!$A:$D,2,FALSE)="DOCHÁZÍ",$V$3,VLOOKUP(C204,[1]List1!$A:$D,2,FALSE))),"OFFLINE!")</f>
        <v>SKLADEM</v>
      </c>
      <c r="AC204" s="772" t="str">
        <f ca="1">IF(AO204="NE",$V$10,IF(AB204=$V$3,IF(AP204&lt;1,$V$8,$V$2&amp;" "&amp;AP204&amp;" "&amp;$V$1),IF(AB204="SKLADEM",$V$6,IFERROR(IF(OR(AB204-TODAY()&gt;21,VLOOKUP(C204,[1]List1!$A:$E,4,FALSE)=0),AB204,DAY(AB204)&amp;"."&amp;MONTH(AB204)&amp;"."&amp;YEAR(AB204)&amp;" "&amp;$V$4&amp;VLOOKUP(C204,[1]List1!$A:$E,4,FALSE)&amp;" "&amp;$V$1),AB204))))</f>
        <v>AUF LAGER</v>
      </c>
      <c r="AD204" s="772" t="str">
        <f t="shared" ca="1" si="70"/>
        <v>AUF LAGER</v>
      </c>
      <c r="AE204" s="605"/>
      <c r="AF204" s="605"/>
      <c r="AG204" s="615"/>
      <c r="AH204" s="616"/>
      <c r="AI204" s="615"/>
      <c r="AJ204" s="617"/>
      <c r="AK204" s="617"/>
      <c r="AL204" s="617"/>
      <c r="AM204" s="617"/>
      <c r="AO204" s="567" t="str">
        <f t="shared" si="57"/>
        <v/>
      </c>
      <c r="AP204" s="568" t="str">
        <f>IF(AB204=$V$3,IF(VLOOKUP(C204,[1]List1!$A:$E,5,FALSE)=0,1,VLOOKUP(C204,[1]List1!$A:$E,5,FALSE)),"")</f>
        <v/>
      </c>
      <c r="AQ204" s="292" t="str">
        <f t="shared" si="58"/>
        <v/>
      </c>
      <c r="AR204" s="618" t="str">
        <f t="shared" si="59"/>
        <v/>
      </c>
      <c r="AS204" s="292" t="str">
        <f t="shared" si="60"/>
        <v/>
      </c>
      <c r="AT204" s="377" t="e">
        <f t="shared" si="61"/>
        <v>#N/A</v>
      </c>
      <c r="AU204" s="292" t="e">
        <f t="shared" si="62"/>
        <v>#N/A</v>
      </c>
    </row>
    <row r="205" spans="1:47" ht="15" customHeight="1">
      <c r="A205" s="601" t="str">
        <f>Kat.!B205</f>
        <v/>
      </c>
      <c r="B205" s="601">
        <f t="shared" si="48"/>
        <v>1</v>
      </c>
      <c r="C205" s="758" t="s">
        <v>2483</v>
      </c>
      <c r="D205" s="759"/>
      <c r="E205" s="760"/>
      <c r="F205" s="761"/>
      <c r="G205" s="762"/>
      <c r="H205" s="596"/>
      <c r="I205" s="763"/>
      <c r="J205" s="764"/>
      <c r="K205" s="773"/>
      <c r="L205" s="766"/>
      <c r="M205" s="764"/>
      <c r="N205" s="777"/>
      <c r="O205" s="763"/>
      <c r="P205" s="763"/>
      <c r="Q205" s="764"/>
      <c r="R205" s="764"/>
      <c r="S205" s="764"/>
      <c r="T205" s="764"/>
      <c r="U205" s="768"/>
      <c r="V205" s="768"/>
      <c r="W205" s="769" t="str">
        <f>IFERROR(VLOOKUP('General price list'!$C205,Popisy!A:P,MATCH($W$17,Popisy!$A$7:$P$7,0),FALSE),"---------------")</f>
        <v>Dumbum hoodie L -limited edition</v>
      </c>
      <c r="X205" s="769" t="str">
        <f t="shared" si="69"/>
        <v/>
      </c>
      <c r="Y205" s="770">
        <f>IF(OR(AP205&lt;AA205,AND(NOT(OR(LEFT(AB205,3)="SKL",LEFT(AB205,3)=LEFT($V$2,3))),AA205&gt;0),AND('Deutsche Markt'!$AH$1=FALSE,J205="F4",AA205&gt;0)),"",AA205)</f>
        <v>0</v>
      </c>
      <c r="Z205" s="769"/>
      <c r="AA205" s="771">
        <f>'Deutsche Markt'!AA205</f>
        <v>0</v>
      </c>
      <c r="AB205" s="772" t="str">
        <f>IFERROR(IF(VLOOKUP(C205,[1]List1!$A:$D,2,FALSE)="VYPRODÁNO",$V$9,IF(VLOOKUP(C205,[1]List1!$A:$D,2,FALSE)="DOCHÁZÍ",$V$3,VLOOKUP(C205,[1]List1!$A:$D,2,FALSE))),"OFFLINE!")</f>
        <v>SKLADEM</v>
      </c>
      <c r="AC205" s="772" t="str">
        <f ca="1">IF(AO205="NE",$V$10,IF(AB205=$V$3,IF(AP205&lt;1,$V$8,$V$2&amp;" "&amp;AP205&amp;" "&amp;$V$1),IF(AB205="SKLADEM",$V$6,IFERROR(IF(OR(AB205-TODAY()&gt;21,VLOOKUP(C205,[1]List1!$A:$E,4,FALSE)=0),AB205,DAY(AB205)&amp;"."&amp;MONTH(AB205)&amp;"."&amp;YEAR(AB205)&amp;" "&amp;$V$4&amp;VLOOKUP(C205,[1]List1!$A:$E,4,FALSE)&amp;" "&amp;$V$1),AB205))))</f>
        <v>AUF LAGER</v>
      </c>
      <c r="AD205" s="772" t="str">
        <f t="shared" ca="1" si="70"/>
        <v>AUF LAGER</v>
      </c>
      <c r="AE205" s="605"/>
      <c r="AF205" s="605"/>
      <c r="AG205" s="615"/>
      <c r="AH205" s="616"/>
      <c r="AI205" s="615"/>
      <c r="AJ205" s="617"/>
      <c r="AK205" s="617"/>
      <c r="AL205" s="617"/>
      <c r="AM205" s="617"/>
      <c r="AO205" s="567" t="str">
        <f t="shared" si="57"/>
        <v/>
      </c>
      <c r="AP205" s="568" t="str">
        <f>IF(AB205=$V$3,IF(VLOOKUP(C205,[1]List1!$A:$E,5,FALSE)=0,1,VLOOKUP(C205,[1]List1!$A:$E,5,FALSE)),"")</f>
        <v/>
      </c>
      <c r="AQ205" s="292" t="str">
        <f t="shared" si="58"/>
        <v/>
      </c>
      <c r="AR205" s="618" t="str">
        <f t="shared" si="59"/>
        <v/>
      </c>
      <c r="AS205" s="292" t="str">
        <f t="shared" si="60"/>
        <v/>
      </c>
      <c r="AT205" s="377" t="e">
        <f t="shared" si="61"/>
        <v>#N/A</v>
      </c>
      <c r="AU205" s="292" t="e">
        <f t="shared" si="62"/>
        <v>#N/A</v>
      </c>
    </row>
    <row r="206" spans="1:47" ht="15" customHeight="1">
      <c r="A206" s="601" t="str">
        <f>Kat.!B206</f>
        <v/>
      </c>
      <c r="B206" s="601">
        <f t="shared" si="48"/>
        <v>1</v>
      </c>
      <c r="C206" s="783" t="s">
        <v>2485</v>
      </c>
      <c r="D206" s="783"/>
      <c r="E206" s="764"/>
      <c r="F206" s="761"/>
      <c r="G206" s="762"/>
      <c r="H206" s="595"/>
      <c r="I206" s="764"/>
      <c r="J206" s="764"/>
      <c r="K206" s="765"/>
      <c r="L206" s="764"/>
      <c r="M206" s="764"/>
      <c r="N206" s="764"/>
      <c r="O206" s="764"/>
      <c r="P206" s="764"/>
      <c r="Q206" s="764"/>
      <c r="R206" s="764"/>
      <c r="S206" s="764"/>
      <c r="T206" s="764"/>
      <c r="U206" s="764"/>
      <c r="V206" s="764"/>
      <c r="W206" s="764"/>
      <c r="X206" s="764"/>
      <c r="Y206" s="770">
        <f>IF(OR(AP206&lt;AA206,AND(NOT(OR(LEFT(AB206,3)="SKL",LEFT(AB206,3)=LEFT($V$2,3))),AA206&gt;0),AND('Deutsche Markt'!$AH$1=FALSE,J206="F4",AA206&gt;0)),"",AA206)</f>
        <v>0</v>
      </c>
      <c r="Z206" s="764"/>
      <c r="AA206" s="771">
        <f>'Deutsche Markt'!AA206</f>
        <v>0</v>
      </c>
      <c r="AB206" s="772"/>
      <c r="AC206" s="785"/>
      <c r="AD206" s="785"/>
      <c r="AE206" s="609"/>
      <c r="AF206" s="609"/>
      <c r="AG206" s="627"/>
      <c r="AH206" s="609"/>
      <c r="AI206" s="627"/>
      <c r="AJ206" s="609"/>
      <c r="AK206" s="609"/>
      <c r="AL206" s="609"/>
      <c r="AM206" s="627"/>
      <c r="AO206" s="567" t="str">
        <f t="shared" si="57"/>
        <v/>
      </c>
      <c r="AP206" s="292" t="str">
        <f>IF(AB206=$V$3,IF(VLOOKUP(C206,[1]List1!$A:$E,5,FALSE)=0,1,VLOOKUP(C206,[1]List1!$A:$E,5,FALSE)),"")</f>
        <v/>
      </c>
      <c r="AQ206" s="292" t="str">
        <f t="shared" si="58"/>
        <v/>
      </c>
      <c r="AR206" s="618" t="str">
        <f t="shared" si="59"/>
        <v/>
      </c>
      <c r="AS206" s="292" t="str">
        <f t="shared" si="60"/>
        <v/>
      </c>
      <c r="AT206" s="377" t="e">
        <f t="shared" si="61"/>
        <v>#N/A</v>
      </c>
      <c r="AU206" s="292" t="e">
        <f t="shared" si="62"/>
        <v>#N/A</v>
      </c>
    </row>
    <row r="207" spans="1:47" ht="15" customHeight="1">
      <c r="A207" s="601" t="str">
        <f>Kat.!B207</f>
        <v/>
      </c>
      <c r="B207" s="601">
        <f t="shared" si="48"/>
        <v>1</v>
      </c>
      <c r="C207" s="775" t="s">
        <v>2487</v>
      </c>
      <c r="D207" s="776"/>
      <c r="E207" s="760"/>
      <c r="F207" s="761"/>
      <c r="G207" s="762"/>
      <c r="H207" s="596"/>
      <c r="I207" s="763"/>
      <c r="J207" s="764"/>
      <c r="K207" s="773"/>
      <c r="L207" s="782"/>
      <c r="M207" s="764"/>
      <c r="N207" s="767"/>
      <c r="O207" s="763"/>
      <c r="P207" s="763"/>
      <c r="Q207" s="764"/>
      <c r="R207" s="764"/>
      <c r="S207" s="764"/>
      <c r="T207" s="761"/>
      <c r="U207" s="768"/>
      <c r="V207" s="768"/>
      <c r="W207" s="769" t="str">
        <f>IFERROR(VLOOKUP('General price list'!$C207,Popisy!A:P,MATCH($W$17,Popisy!$A$7:$P$7,0),FALSE),"---------------")</f>
        <v>Dumbum hoodie XXL -limited edition</v>
      </c>
      <c r="X207" s="769" t="str">
        <f t="shared" ref="X207:X222" si="71">IF(AA207&lt;0.0001,"",AA207)</f>
        <v/>
      </c>
      <c r="Y207" s="770">
        <f>IF(OR(AP207&lt;AA207,AND(NOT(OR(LEFT(AB207,3)="SKL",LEFT(AB207,3)=LEFT($V$2,3))),AA207&gt;0),AND('Deutsche Markt'!$AH$1=FALSE,J207="F4",AA207&gt;0)),"",AA207)</f>
        <v>0</v>
      </c>
      <c r="Z207" s="769"/>
      <c r="AA207" s="771">
        <f>'Deutsche Markt'!AA207</f>
        <v>0</v>
      </c>
      <c r="AB207" s="772" t="str">
        <f>IFERROR(IF(VLOOKUP(C207,[1]List1!$A:$D,2,FALSE)="VYPRODÁNO",$V$9,IF(VLOOKUP(C207,[1]List1!$A:$D,2,FALSE)="DOCHÁZÍ",$V$3,VLOOKUP(C207,[1]List1!$A:$D,2,FALSE))),"OFFLINE!")</f>
        <v>AUSVERKAUFT</v>
      </c>
      <c r="AC207" s="772" t="str">
        <f ca="1">IF(AO207="NE",$V$10,IF(AB207=$V$3,IF(AP207&lt;1,$V$8,$V$2&amp;" "&amp;AP207&amp;" "&amp;$V$1),IF(AB207="SKLADEM",$V$6,IFERROR(IF(OR(AB207-TODAY()&gt;21,VLOOKUP(C207,[1]List1!$A:$E,4,FALSE)=0),AB207,DAY(AB207)&amp;"."&amp;MONTH(AB207)&amp;"."&amp;YEAR(AB207)&amp;" "&amp;$V$4&amp;VLOOKUP(C207,[1]List1!$A:$E,4,FALSE)&amp;" "&amp;$V$1),AB207))))</f>
        <v>AUSVERKAUFT</v>
      </c>
      <c r="AD207" s="772" t="str">
        <f t="shared" ref="AD207:AD222" ca="1" si="72">IFERROR(IF(AU207&lt;&gt;"",AU207,AC207),AC207)</f>
        <v>AUSVERKAUFT</v>
      </c>
      <c r="AE207" s="605"/>
      <c r="AF207" s="605"/>
      <c r="AG207" s="615"/>
      <c r="AH207" s="616"/>
      <c r="AI207" s="615"/>
      <c r="AJ207" s="617"/>
      <c r="AK207" s="617"/>
      <c r="AL207" s="617"/>
      <c r="AM207" s="617"/>
      <c r="AN207" s="292"/>
      <c r="AO207" s="567" t="str">
        <f t="shared" si="57"/>
        <v/>
      </c>
      <c r="AP207" s="568" t="str">
        <f>IF(AB207=$V$3,IF(VLOOKUP(C207,[1]List1!$A:$E,5,FALSE)=0,1,VLOOKUP(C207,[1]List1!$A:$E,5,FALSE)),"")</f>
        <v/>
      </c>
      <c r="AQ207" s="292" t="str">
        <f t="shared" si="58"/>
        <v/>
      </c>
      <c r="AR207" s="618" t="str">
        <f t="shared" si="59"/>
        <v/>
      </c>
      <c r="AS207" s="292" t="str">
        <f t="shared" si="60"/>
        <v/>
      </c>
      <c r="AT207" s="377" t="e">
        <f t="shared" si="61"/>
        <v>#N/A</v>
      </c>
      <c r="AU207" s="292" t="e">
        <f t="shared" si="62"/>
        <v>#N/A</v>
      </c>
    </row>
    <row r="208" spans="1:47" ht="15" customHeight="1">
      <c r="A208" s="601" t="str">
        <f>Kat.!B208</f>
        <v/>
      </c>
      <c r="B208" s="601">
        <f t="shared" si="48"/>
        <v>1</v>
      </c>
      <c r="C208" s="783" t="s">
        <v>13636</v>
      </c>
      <c r="D208" s="783"/>
      <c r="E208" s="764"/>
      <c r="F208" s="761"/>
      <c r="G208" s="762"/>
      <c r="H208" s="596"/>
      <c r="I208" s="787"/>
      <c r="J208" s="764"/>
      <c r="K208" s="765"/>
      <c r="L208" s="787"/>
      <c r="M208" s="764"/>
      <c r="N208" s="767"/>
      <c r="O208" s="763"/>
      <c r="P208" s="763"/>
      <c r="Q208" s="764"/>
      <c r="R208" s="764"/>
      <c r="S208" s="764"/>
      <c r="T208" s="764"/>
      <c r="U208" s="768"/>
      <c r="V208" s="768"/>
      <c r="W208" s="769" t="str">
        <f>IFERROR(VLOOKUP('General price list'!$C208,Popisy!A:P,MATCH($W$17,Popisy!$A$7:$P$7,0),FALSE),"---------------")</f>
        <v>---------------</v>
      </c>
      <c r="X208" s="769" t="str">
        <f t="shared" si="71"/>
        <v/>
      </c>
      <c r="Y208" s="770">
        <f>IF(OR(AP208&lt;AA208,AND(NOT(OR(LEFT(AB208,3)="SKL",LEFT(AB208,3)=LEFT($V$2,3))),AA208&gt;0),AND('Deutsche Markt'!$AH$1=FALSE,J208="F4",AA208&gt;0)),"",AA208)</f>
        <v>0</v>
      </c>
      <c r="Z208" s="769"/>
      <c r="AA208" s="771">
        <f>'Deutsche Markt'!AA208</f>
        <v>0</v>
      </c>
      <c r="AB208" s="772" t="str">
        <f>IFERROR(IF(VLOOKUP(C208,[1]List1!$A:$D,2,FALSE)="VYPRODÁNO",$V$9,IF(VLOOKUP(C208,[1]List1!$A:$D,2,FALSE)="DOCHÁZÍ",$V$3,VLOOKUP(C208,[1]List1!$A:$D,2,FALSE))),"OFFLINE!")</f>
        <v>AUSVERKAUFT</v>
      </c>
      <c r="AC208" s="772" t="str">
        <f ca="1">IF(AO208="NE",$V$10,IF(AB208=$V$3,IF(AP208&lt;1,$V$8,$V$2&amp;" "&amp;AP208&amp;" "&amp;$V$1),IF(AB208="SKLADEM",$V$6,IFERROR(IF(OR(AB208-TODAY()&gt;21,VLOOKUP(C208,[1]List1!$A:$E,4,FALSE)=0),AB208,DAY(AB208)&amp;"."&amp;MONTH(AB208)&amp;"."&amp;YEAR(AB208)&amp;" "&amp;$V$4&amp;VLOOKUP(C208,[1]List1!$A:$E,4,FALSE)&amp;" "&amp;$V$1),AB208))))</f>
        <v>AUSVERKAUFT</v>
      </c>
      <c r="AD208" s="772" t="str">
        <f t="shared" ca="1" si="72"/>
        <v>AUSVERKAUFT</v>
      </c>
      <c r="AE208" s="605"/>
      <c r="AF208" s="605"/>
      <c r="AG208" s="615"/>
      <c r="AH208" s="616"/>
      <c r="AI208" s="615"/>
      <c r="AJ208" s="617"/>
      <c r="AK208" s="617"/>
      <c r="AL208" s="617"/>
      <c r="AM208" s="617"/>
      <c r="AN208" s="292"/>
      <c r="AO208" s="567" t="str">
        <f t="shared" si="57"/>
        <v/>
      </c>
      <c r="AP208" s="568" t="str">
        <f>IF(AB208=$V$3,IF(VLOOKUP(C208,[1]List1!$A:$E,5,FALSE)=0,1,VLOOKUP(C208,[1]List1!$A:$E,5,FALSE)),"")</f>
        <v/>
      </c>
      <c r="AQ208" s="292" t="str">
        <f t="shared" si="58"/>
        <v/>
      </c>
      <c r="AR208" s="618" t="str">
        <f t="shared" si="59"/>
        <v/>
      </c>
      <c r="AS208" s="292" t="str">
        <f t="shared" si="60"/>
        <v/>
      </c>
      <c r="AT208" s="377" t="e">
        <f t="shared" si="61"/>
        <v>#N/A</v>
      </c>
      <c r="AU208" s="292" t="e">
        <f t="shared" si="62"/>
        <v>#N/A</v>
      </c>
    </row>
    <row r="209" spans="1:47" ht="15" customHeight="1">
      <c r="A209" s="601" t="str">
        <f>Kat.!B209</f>
        <v/>
      </c>
      <c r="B209" s="601">
        <f t="shared" si="48"/>
        <v>1</v>
      </c>
      <c r="C209" s="758" t="s">
        <v>13638</v>
      </c>
      <c r="D209" s="759"/>
      <c r="E209" s="760"/>
      <c r="F209" s="761"/>
      <c r="G209" s="762"/>
      <c r="H209" s="596"/>
      <c r="I209" s="763"/>
      <c r="J209" s="764"/>
      <c r="K209" s="773"/>
      <c r="L209" s="766"/>
      <c r="M209" s="764"/>
      <c r="N209" s="767"/>
      <c r="O209" s="763"/>
      <c r="P209" s="763"/>
      <c r="Q209" s="764"/>
      <c r="R209" s="764"/>
      <c r="S209" s="764"/>
      <c r="T209" s="761"/>
      <c r="U209" s="768"/>
      <c r="V209" s="768"/>
      <c r="W209" s="769" t="str">
        <f>IFERROR(VLOOKUP('General price list'!$C209,Popisy!A:P,MATCH($W$17,Popisy!$A$7:$P$7,0),FALSE),"---------------")</f>
        <v>---------------</v>
      </c>
      <c r="X209" s="769" t="str">
        <f t="shared" si="71"/>
        <v/>
      </c>
      <c r="Y209" s="770">
        <f>IF(OR(AP209&lt;AA209,AND(NOT(OR(LEFT(AB209,3)="SKL",LEFT(AB209,3)=LEFT($V$2,3))),AA209&gt;0),AND('Deutsche Markt'!$AH$1=FALSE,J209="F4",AA209&gt;0)),"",AA209)</f>
        <v>0</v>
      </c>
      <c r="Z209" s="769"/>
      <c r="AA209" s="771">
        <f>'Deutsche Markt'!AA209</f>
        <v>0</v>
      </c>
      <c r="AB209" s="772" t="str">
        <f>IFERROR(IF(VLOOKUP(C209,[1]List1!$A:$D,2,FALSE)="VYPRODÁNO",$V$9,IF(VLOOKUP(C209,[1]List1!$A:$D,2,FALSE)="DOCHÁZÍ",$V$3,VLOOKUP(C209,[1]List1!$A:$D,2,FALSE))),"OFFLINE!")</f>
        <v>SKLADEM</v>
      </c>
      <c r="AC209" s="772" t="str">
        <f ca="1">IF(AO209="NE",$V$10,IF(AB209=$V$3,IF(AP209&lt;1,$V$8,$V$2&amp;" "&amp;AP209&amp;" "&amp;$V$1),IF(AB209="SKLADEM",$V$6,IFERROR(IF(OR(AB209-TODAY()&gt;21,VLOOKUP(C209,[1]List1!$A:$E,4,FALSE)=0),AB209,DAY(AB209)&amp;"."&amp;MONTH(AB209)&amp;"."&amp;YEAR(AB209)&amp;" "&amp;$V$4&amp;VLOOKUP(C209,[1]List1!$A:$E,4,FALSE)&amp;" "&amp;$V$1),AB209))))</f>
        <v>AUF LAGER</v>
      </c>
      <c r="AD209" s="772" t="str">
        <f t="shared" ca="1" si="72"/>
        <v>AUF LAGER</v>
      </c>
      <c r="AE209" s="605"/>
      <c r="AF209" s="605"/>
      <c r="AG209" s="615"/>
      <c r="AH209" s="616"/>
      <c r="AI209" s="615"/>
      <c r="AJ209" s="617"/>
      <c r="AK209" s="617"/>
      <c r="AL209" s="617"/>
      <c r="AM209" s="617"/>
      <c r="AN209" s="292"/>
      <c r="AO209" s="567" t="str">
        <f t="shared" si="57"/>
        <v/>
      </c>
      <c r="AP209" s="568" t="str">
        <f>IF(AB209=$V$3,IF(VLOOKUP(C209,[1]List1!$A:$E,5,FALSE)=0,1,VLOOKUP(C209,[1]List1!$A:$E,5,FALSE)),"")</f>
        <v/>
      </c>
      <c r="AQ209" s="292" t="str">
        <f t="shared" si="58"/>
        <v/>
      </c>
      <c r="AR209" s="618" t="str">
        <f t="shared" si="59"/>
        <v/>
      </c>
      <c r="AS209" s="292" t="str">
        <f t="shared" si="60"/>
        <v/>
      </c>
      <c r="AT209" s="377" t="e">
        <f t="shared" si="61"/>
        <v>#N/A</v>
      </c>
      <c r="AU209" s="292" t="e">
        <f t="shared" si="62"/>
        <v>#N/A</v>
      </c>
    </row>
    <row r="210" spans="1:47" ht="15" customHeight="1">
      <c r="A210" s="601" t="str">
        <f>Kat.!B210</f>
        <v/>
      </c>
      <c r="B210" s="601">
        <f t="shared" si="48"/>
        <v>1</v>
      </c>
      <c r="C210" s="775" t="s">
        <v>13640</v>
      </c>
      <c r="D210" s="759"/>
      <c r="E210" s="760"/>
      <c r="F210" s="761"/>
      <c r="G210" s="762"/>
      <c r="H210" s="596"/>
      <c r="I210" s="763"/>
      <c r="J210" s="764"/>
      <c r="K210" s="765"/>
      <c r="L210" s="782"/>
      <c r="M210" s="764"/>
      <c r="N210" s="767"/>
      <c r="O210" s="763"/>
      <c r="P210" s="763"/>
      <c r="Q210" s="764"/>
      <c r="R210" s="764"/>
      <c r="S210" s="764"/>
      <c r="T210" s="761"/>
      <c r="U210" s="768"/>
      <c r="V210" s="768"/>
      <c r="W210" s="769" t="str">
        <f>IFERROR(VLOOKUP('General price list'!$C210,Popisy!A:P,MATCH($W$17,Popisy!$A$7:$P$7,0),FALSE),"---------------")</f>
        <v>---------------</v>
      </c>
      <c r="X210" s="769" t="str">
        <f t="shared" si="71"/>
        <v/>
      </c>
      <c r="Y210" s="770">
        <f>IF(OR(AP210&lt;AA210,AND(NOT(OR(LEFT(AB210,3)="SKL",LEFT(AB210,3)=LEFT($V$2,3))),AA210&gt;0),AND('Deutsche Markt'!$AH$1=FALSE,J210="F4",AA210&gt;0)),"",AA210)</f>
        <v>0</v>
      </c>
      <c r="Z210" s="769"/>
      <c r="AA210" s="771">
        <f>'Deutsche Markt'!AA210</f>
        <v>0</v>
      </c>
      <c r="AB210" s="772" t="str">
        <f>IFERROR(IF(VLOOKUP(C210,[1]List1!$A:$D,2,FALSE)="VYPRODÁNO",$V$9,IF(VLOOKUP(C210,[1]List1!$A:$D,2,FALSE)="DOCHÁZÍ",$V$3,VLOOKUP(C210,[1]List1!$A:$D,2,FALSE))),"OFFLINE!")</f>
        <v>AUSVERKAUFT</v>
      </c>
      <c r="AC210" s="772" t="str">
        <f ca="1">IF(AO210="NE",$V$10,IF(AB210=$V$3,IF(AP210&lt;1,$V$8,$V$2&amp;" "&amp;AP210&amp;" "&amp;$V$1),IF(AB210="SKLADEM",$V$6,IFERROR(IF(OR(AB210-TODAY()&gt;21,VLOOKUP(C210,[1]List1!$A:$E,4,FALSE)=0),AB210,DAY(AB210)&amp;"."&amp;MONTH(AB210)&amp;"."&amp;YEAR(AB210)&amp;" "&amp;$V$4&amp;VLOOKUP(C210,[1]List1!$A:$E,4,FALSE)&amp;" "&amp;$V$1),AB210))))</f>
        <v>AUSVERKAUFT</v>
      </c>
      <c r="AD210" s="772" t="str">
        <f t="shared" ca="1" si="72"/>
        <v>AUSVERKAUFT</v>
      </c>
      <c r="AE210" s="605"/>
      <c r="AF210" s="605"/>
      <c r="AG210" s="615"/>
      <c r="AH210" s="616"/>
      <c r="AI210" s="615"/>
      <c r="AJ210" s="617"/>
      <c r="AK210" s="617"/>
      <c r="AL210" s="617"/>
      <c r="AM210" s="617"/>
      <c r="AN210" s="292"/>
      <c r="AO210" s="567" t="str">
        <f t="shared" si="57"/>
        <v/>
      </c>
      <c r="AP210" s="568" t="str">
        <f>IF(AB210=$V$3,IF(VLOOKUP(C210,[1]List1!$A:$E,5,FALSE)=0,1,VLOOKUP(C210,[1]List1!$A:$E,5,FALSE)),"")</f>
        <v/>
      </c>
      <c r="AQ210" s="292" t="str">
        <f t="shared" si="58"/>
        <v/>
      </c>
      <c r="AR210" s="618" t="str">
        <f t="shared" si="59"/>
        <v/>
      </c>
      <c r="AS210" s="292" t="str">
        <f t="shared" si="60"/>
        <v/>
      </c>
      <c r="AT210" s="377" t="e">
        <f t="shared" si="61"/>
        <v>#N/A</v>
      </c>
      <c r="AU210" s="292" t="e">
        <f t="shared" si="62"/>
        <v>#N/A</v>
      </c>
    </row>
    <row r="211" spans="1:47" ht="15" customHeight="1">
      <c r="A211" s="601" t="str">
        <f>Kat.!$B$1&amp;Kat.!B211</f>
        <v/>
      </c>
      <c r="B211" s="601">
        <f t="shared" si="48"/>
        <v>1</v>
      </c>
      <c r="C211" s="163" t="s">
        <v>13642</v>
      </c>
      <c r="D211" s="163"/>
      <c r="E211" s="609"/>
      <c r="F211" s="605"/>
      <c r="G211" s="606"/>
      <c r="H211" s="607"/>
      <c r="I211" s="629"/>
      <c r="J211" s="609"/>
      <c r="K211" s="708"/>
      <c r="L211" s="629"/>
      <c r="M211" s="609"/>
      <c r="N211" s="612"/>
      <c r="O211" s="608"/>
      <c r="P211" s="608"/>
      <c r="Q211" s="609"/>
      <c r="R211" s="609"/>
      <c r="S211" s="609"/>
      <c r="T211" s="609"/>
      <c r="U211" s="613"/>
      <c r="V211" s="613"/>
      <c r="W211" s="601" t="str">
        <f>IFERROR(VLOOKUP('General price list'!$C211,Popisy!A:P,MATCH($W$17,Popisy!$A$7:$P$7,0),FALSE),"---------------")</f>
        <v>---------------</v>
      </c>
      <c r="X211" s="601" t="str">
        <f t="shared" si="71"/>
        <v/>
      </c>
      <c r="Y211" s="770">
        <f>IF(OR(AP211&lt;AA211,AND(NOT(OR(LEFT(AB211,3)="SKL",LEFT(AB211,3)=LEFT($V$2,3))),AA211&gt;0),AND('Deutsche Markt'!$AH$1=FALSE,J211="F4",AA211&gt;0)),"",AA211)</f>
        <v>0</v>
      </c>
      <c r="Z211" s="601"/>
      <c r="AA211" s="771">
        <f>'Deutsche Markt'!AA211</f>
        <v>0</v>
      </c>
      <c r="AB211" s="614" t="str">
        <f>IFERROR(IF(VLOOKUP(C211,[1]List1!$A:$D,2,FALSE)="VYPRODÁNO",$V$9,IF(VLOOKUP(C211,[1]List1!$A:$D,2,FALSE)="DOCHÁZÍ",$V$3,VLOOKUP(C211,[1]List1!$A:$D,2,FALSE))),"OFFLINE!")</f>
        <v>AUSVERKAUFT</v>
      </c>
      <c r="AC211" s="614" t="str">
        <f ca="1">IF(AO211="NE",$V$10,IF(AB211=$V$3,IF(AP211&lt;1,$V$8,$V$2&amp;" "&amp;AP211&amp;" "&amp;$V$1),IF(AB211="SKLADEM",$V$6,IFERROR(IF(OR(AB211-TODAY()&gt;21,VLOOKUP(C211,[1]List1!$A:$E,4,FALSE)=0),AB211,DAY(AB211)&amp;"."&amp;MONTH(AB211)&amp;"."&amp;YEAR(AB211)&amp;" "&amp;$V$4&amp;VLOOKUP(C211,[1]List1!$A:$E,4,FALSE)&amp;" "&amp;$V$1),AB211))))</f>
        <v>AUSVERKAUFT</v>
      </c>
      <c r="AD211" s="614" t="str">
        <f t="shared" ca="1" si="72"/>
        <v>AUSVERKAUFT</v>
      </c>
      <c r="AE211" s="605"/>
      <c r="AF211" s="605"/>
      <c r="AG211" s="615"/>
      <c r="AH211" s="616"/>
      <c r="AI211" s="615"/>
      <c r="AJ211" s="617"/>
      <c r="AK211" s="617"/>
      <c r="AL211" s="617"/>
      <c r="AM211" s="617"/>
      <c r="AN211" s="292"/>
      <c r="AO211" s="567" t="str">
        <f t="shared" si="57"/>
        <v/>
      </c>
      <c r="AP211" s="568" t="str">
        <f>IF(AB211=$V$3,IF(VLOOKUP(C211,[1]List1!$A:$E,5,FALSE)=0,1,VLOOKUP(C211,[1]List1!$A:$E,5,FALSE)),"")</f>
        <v/>
      </c>
      <c r="AQ211" s="292" t="str">
        <f t="shared" si="58"/>
        <v/>
      </c>
      <c r="AR211" s="618" t="str">
        <f t="shared" si="59"/>
        <v/>
      </c>
      <c r="AS211" s="292" t="str">
        <f t="shared" si="60"/>
        <v/>
      </c>
      <c r="AT211" s="377" t="e">
        <f t="shared" si="61"/>
        <v>#N/A</v>
      </c>
      <c r="AU211" s="292" t="e">
        <f t="shared" si="62"/>
        <v>#N/A</v>
      </c>
    </row>
    <row r="212" spans="1:47" ht="15" customHeight="1">
      <c r="A212" s="601" t="str">
        <f>Kat.!B212</f>
        <v/>
      </c>
      <c r="B212" s="601">
        <f t="shared" si="48"/>
        <v>1</v>
      </c>
      <c r="C212" s="758" t="s">
        <v>2489</v>
      </c>
      <c r="D212" s="759"/>
      <c r="E212" s="760"/>
      <c r="F212" s="761"/>
      <c r="G212" s="762"/>
      <c r="H212" s="596"/>
      <c r="I212" s="763"/>
      <c r="J212" s="764"/>
      <c r="K212" s="765"/>
      <c r="L212" s="782"/>
      <c r="M212" s="764"/>
      <c r="N212" s="767"/>
      <c r="O212" s="763"/>
      <c r="P212" s="763"/>
      <c r="Q212" s="764"/>
      <c r="R212" s="764"/>
      <c r="S212" s="764"/>
      <c r="T212" s="761"/>
      <c r="U212" s="768"/>
      <c r="V212" s="768"/>
      <c r="W212" s="769" t="str">
        <f>IFERROR(VLOOKUP('General price list'!$C212,Popisy!A:P,MATCH($W$17,Popisy!$A$7:$P$7,0),FALSE),"---------------")</f>
        <v>baseball cap Dumbum-limited edition</v>
      </c>
      <c r="X212" s="769" t="str">
        <f t="shared" si="71"/>
        <v/>
      </c>
      <c r="Y212" s="770">
        <f>IF(OR(AP212&lt;AA212,AND(NOT(OR(LEFT(AB212,3)="SKL",LEFT(AB212,3)=LEFT($V$2,3))),AA212&gt;0),AND('Deutsche Markt'!$AH$1=FALSE,J212="F4",AA212&gt;0)),"",AA212)</f>
        <v>0</v>
      </c>
      <c r="Z212" s="769"/>
      <c r="AA212" s="771">
        <f>'Deutsche Markt'!AA212</f>
        <v>0</v>
      </c>
      <c r="AB212" s="772" t="str">
        <f>IFERROR(IF(VLOOKUP(C212,[1]List1!$A:$D,2,FALSE)="VYPRODÁNO",$V$9,IF(VLOOKUP(C212,[1]List1!$A:$D,2,FALSE)="DOCHÁZÍ",$V$3,VLOOKUP(C212,[1]List1!$A:$D,2,FALSE))),"OFFLINE!")</f>
        <v>SKLADEM</v>
      </c>
      <c r="AC212" s="772" t="str">
        <f ca="1">IF(AO212="NE",$V$10,IF(AB212=$V$3,IF(AP212&lt;1,$V$8,$V$2&amp;" "&amp;AP212&amp;" "&amp;$V$1),IF(AB212="SKLADEM",$V$6,IFERROR(IF(OR(AB212-TODAY()&gt;21,VLOOKUP(C212,[1]List1!$A:$E,4,FALSE)=0),AB212,DAY(AB212)&amp;"."&amp;MONTH(AB212)&amp;"."&amp;YEAR(AB212)&amp;" "&amp;$V$4&amp;VLOOKUP(C212,[1]List1!$A:$E,4,FALSE)&amp;" "&amp;$V$1),AB212))))</f>
        <v>AUF LAGER</v>
      </c>
      <c r="AD212" s="772" t="str">
        <f t="shared" ca="1" si="72"/>
        <v>AUF LAGER</v>
      </c>
      <c r="AE212" s="605"/>
      <c r="AF212" s="605"/>
      <c r="AG212" s="615"/>
      <c r="AH212" s="616"/>
      <c r="AI212" s="615"/>
      <c r="AJ212" s="617"/>
      <c r="AK212" s="617"/>
      <c r="AL212" s="617"/>
      <c r="AM212" s="617"/>
      <c r="AN212" s="292"/>
      <c r="AO212" s="567" t="str">
        <f t="shared" si="57"/>
        <v/>
      </c>
      <c r="AP212" s="568" t="str">
        <f>IF(AB212=$V$3,IF(VLOOKUP(C212,[1]List1!$A:$E,5,FALSE)=0,1,VLOOKUP(C212,[1]List1!$A:$E,5,FALSE)),"")</f>
        <v/>
      </c>
      <c r="AQ212" s="292" t="str">
        <f t="shared" si="58"/>
        <v/>
      </c>
      <c r="AR212" s="618" t="str">
        <f t="shared" si="59"/>
        <v/>
      </c>
      <c r="AS212" s="292" t="str">
        <f t="shared" si="60"/>
        <v/>
      </c>
      <c r="AT212" s="377" t="e">
        <f t="shared" si="61"/>
        <v>#N/A</v>
      </c>
      <c r="AU212" s="292" t="e">
        <f t="shared" si="62"/>
        <v>#N/A</v>
      </c>
    </row>
    <row r="213" spans="1:47" ht="15" customHeight="1">
      <c r="A213" s="601" t="str">
        <f>Kat.!B213</f>
        <v/>
      </c>
      <c r="B213" s="601">
        <f t="shared" si="48"/>
        <v>1</v>
      </c>
      <c r="C213" s="758" t="s">
        <v>2491</v>
      </c>
      <c r="D213" s="759"/>
      <c r="E213" s="760"/>
      <c r="F213" s="761"/>
      <c r="G213" s="762"/>
      <c r="H213" s="596"/>
      <c r="I213" s="763"/>
      <c r="J213" s="764"/>
      <c r="K213" s="773"/>
      <c r="L213" s="766"/>
      <c r="M213" s="764"/>
      <c r="N213" s="777"/>
      <c r="O213" s="763"/>
      <c r="P213" s="763"/>
      <c r="Q213" s="764"/>
      <c r="R213" s="764"/>
      <c r="S213" s="764"/>
      <c r="T213" s="764"/>
      <c r="U213" s="768"/>
      <c r="V213" s="768"/>
      <c r="W213" s="769" t="str">
        <f>IFERROR(VLOOKUP('General price list'!$C213,Popisy!A:P,MATCH($W$17,Popisy!$A$7:$P$7,0),FALSE),"---------------")</f>
        <v>winter hat Dumbum -limited edition</v>
      </c>
      <c r="X213" s="769" t="str">
        <f t="shared" si="71"/>
        <v/>
      </c>
      <c r="Y213" s="770">
        <f>IF(OR(AP213&lt;AA213,AND(NOT(OR(LEFT(AB213,3)="SKL",LEFT(AB213,3)=LEFT($V$2,3))),AA213&gt;0),AND('Deutsche Markt'!$AH$1=FALSE,J213="F4",AA213&gt;0)),"",AA213)</f>
        <v>0</v>
      </c>
      <c r="Z213" s="769"/>
      <c r="AA213" s="771">
        <f>'Deutsche Markt'!AA213</f>
        <v>0</v>
      </c>
      <c r="AB213" s="772" t="str">
        <f>IFERROR(IF(VLOOKUP(C213,[1]List1!$A:$D,2,FALSE)="VYPRODÁNO",$V$9,IF(VLOOKUP(C213,[1]List1!$A:$D,2,FALSE)="DOCHÁZÍ",$V$3,VLOOKUP(C213,[1]List1!$A:$D,2,FALSE))),"OFFLINE!")</f>
        <v>SKLADEM</v>
      </c>
      <c r="AC213" s="772" t="str">
        <f ca="1">IF(AO213="NE",$V$10,IF(AB213=$V$3,IF(AP213&lt;1,$V$8,$V$2&amp;" "&amp;AP213&amp;" "&amp;$V$1),IF(AB213="SKLADEM",$V$6,IFERROR(IF(OR(AB213-TODAY()&gt;21,VLOOKUP(C213,[1]List1!$A:$E,4,FALSE)=0),AB213,DAY(AB213)&amp;"."&amp;MONTH(AB213)&amp;"."&amp;YEAR(AB213)&amp;" "&amp;$V$4&amp;VLOOKUP(C213,[1]List1!$A:$E,4,FALSE)&amp;" "&amp;$V$1),AB213))))</f>
        <v>AUF LAGER</v>
      </c>
      <c r="AD213" s="772" t="str">
        <f t="shared" ca="1" si="72"/>
        <v>AUF LAGER</v>
      </c>
      <c r="AE213" s="605"/>
      <c r="AF213" s="605"/>
      <c r="AG213" s="615"/>
      <c r="AH213" s="616"/>
      <c r="AI213" s="615"/>
      <c r="AJ213" s="617"/>
      <c r="AK213" s="617"/>
      <c r="AL213" s="617"/>
      <c r="AM213" s="617"/>
      <c r="AN213" s="292"/>
      <c r="AO213" s="567" t="str">
        <f t="shared" si="57"/>
        <v/>
      </c>
      <c r="AP213" s="568" t="str">
        <f>IF(AB213=$V$3,IF(VLOOKUP(C213,[1]List1!$A:$E,5,FALSE)=0,1,VLOOKUP(C213,[1]List1!$A:$E,5,FALSE)),"")</f>
        <v/>
      </c>
      <c r="AQ213" s="292" t="str">
        <f t="shared" si="58"/>
        <v/>
      </c>
      <c r="AR213" s="618" t="str">
        <f t="shared" si="59"/>
        <v/>
      </c>
      <c r="AS213" s="292" t="str">
        <f t="shared" si="60"/>
        <v/>
      </c>
      <c r="AT213" s="377" t="e">
        <f t="shared" si="61"/>
        <v>#N/A</v>
      </c>
      <c r="AU213" s="292" t="e">
        <f t="shared" si="62"/>
        <v>#N/A</v>
      </c>
    </row>
    <row r="214" spans="1:47" ht="15" customHeight="1">
      <c r="A214" s="601" t="str">
        <f>Kat.!B214</f>
        <v>Werbeartikel</v>
      </c>
      <c r="B214" s="601">
        <f t="shared" si="48"/>
        <v>0</v>
      </c>
      <c r="C214" s="758"/>
      <c r="D214" s="759"/>
      <c r="E214" s="760"/>
      <c r="F214" s="761"/>
      <c r="G214" s="762"/>
      <c r="H214" s="596"/>
      <c r="I214" s="763"/>
      <c r="J214" s="764"/>
      <c r="K214" s="765"/>
      <c r="L214" s="782"/>
      <c r="M214" s="764"/>
      <c r="N214" s="767"/>
      <c r="O214" s="763"/>
      <c r="P214" s="763"/>
      <c r="Q214" s="764"/>
      <c r="R214" s="764"/>
      <c r="S214" s="764"/>
      <c r="T214" s="761"/>
      <c r="U214" s="768"/>
      <c r="V214" s="768"/>
      <c r="W214" s="769" t="str">
        <f>IFERROR(VLOOKUP('General price list'!$C214,Popisy!A:P,MATCH($W$17,Popisy!$A$7:$P$7,0),FALSE),"---------------")</f>
        <v>---------------</v>
      </c>
      <c r="X214" s="769" t="str">
        <f t="shared" si="71"/>
        <v/>
      </c>
      <c r="Y214" s="770">
        <f>IF(OR(AP214&lt;AA214,AND(NOT(OR(LEFT(AB214,3)="SKL",LEFT(AB214,3)=LEFT($V$2,3))),AA214&gt;0),AND('Deutsche Markt'!$AH$1=FALSE,J214="F4",AA214&gt;0)),"",AA214)</f>
        <v>0</v>
      </c>
      <c r="Z214" s="769"/>
      <c r="AA214" s="771">
        <f>'Deutsche Markt'!AA214</f>
        <v>0</v>
      </c>
      <c r="AB214" s="772" t="str">
        <f>IFERROR(IF(VLOOKUP(C214,[1]List1!$A:$D,2,FALSE)="VYPRODÁNO",$V$9,IF(VLOOKUP(C214,[1]List1!$A:$D,2,FALSE)="DOCHÁZÍ",$V$3,VLOOKUP(C214,[1]List1!$A:$D,2,FALSE))),"OFFLINE!")</f>
        <v>OFFLINE!</v>
      </c>
      <c r="AC214" s="772" t="str">
        <f ca="1">IF(AO214="NE",$V$10,IF(AB214=$V$3,IF(AP214&lt;1,$V$8,$V$2&amp;" "&amp;AP214&amp;" "&amp;$V$1),IF(AB214="SKLADEM",$V$6,IFERROR(IF(OR(AB214-TODAY()&gt;21,VLOOKUP(C214,[1]List1!$A:$E,4,FALSE)=0),AB214,DAY(AB214)&amp;"."&amp;MONTH(AB214)&amp;"."&amp;YEAR(AB214)&amp;" "&amp;$V$4&amp;VLOOKUP(C214,[1]List1!$A:$E,4,FALSE)&amp;" "&amp;$V$1),AB214))))</f>
        <v>OFFLINE!</v>
      </c>
      <c r="AD214" s="772" t="str">
        <f t="shared" ca="1" si="72"/>
        <v>OFFLINE!</v>
      </c>
      <c r="AE214" s="605"/>
      <c r="AF214" s="605"/>
      <c r="AG214" s="615"/>
      <c r="AH214" s="616"/>
      <c r="AI214" s="615"/>
      <c r="AJ214" s="617"/>
      <c r="AK214" s="617"/>
      <c r="AL214" s="617"/>
      <c r="AM214" s="617"/>
      <c r="AN214" s="292"/>
      <c r="AO214" s="567" t="str">
        <f t="shared" si="57"/>
        <v/>
      </c>
      <c r="AP214" s="568" t="str">
        <f>IF(AB214=$V$3,IF(VLOOKUP(C214,[1]List1!$A:$E,5,FALSE)=0,1,VLOOKUP(C214,[1]List1!$A:$E,5,FALSE)),"")</f>
        <v/>
      </c>
      <c r="AQ214" s="292" t="str">
        <f t="shared" si="58"/>
        <v/>
      </c>
      <c r="AR214" s="618" t="str">
        <f t="shared" si="59"/>
        <v/>
      </c>
      <c r="AS214" s="292" t="str">
        <f t="shared" si="60"/>
        <v/>
      </c>
      <c r="AT214" s="377" t="e">
        <f t="shared" si="61"/>
        <v>#N/A</v>
      </c>
      <c r="AU214" s="292" t="e">
        <f t="shared" si="62"/>
        <v>#N/A</v>
      </c>
    </row>
    <row r="215" spans="1:47" ht="15" customHeight="1">
      <c r="A215" s="601" t="str">
        <f>Kat.!B215</f>
        <v/>
      </c>
      <c r="B215" s="601">
        <f t="shared" ref="B215:B278" si="73">IF(OR(L215="ZUGEWIESEN",AND(C215&lt;&gt;"",M215="")),1,IF(AB215=$V$3,1,0))</f>
        <v>1</v>
      </c>
      <c r="C215" s="758" t="s">
        <v>913</v>
      </c>
      <c r="D215" s="759"/>
      <c r="E215" s="760"/>
      <c r="F215" s="761"/>
      <c r="G215" s="762"/>
      <c r="H215" s="596"/>
      <c r="I215" s="763"/>
      <c r="J215" s="764"/>
      <c r="K215" s="773"/>
      <c r="L215" s="782"/>
      <c r="M215" s="764"/>
      <c r="N215" s="767"/>
      <c r="O215" s="763"/>
      <c r="P215" s="763"/>
      <c r="Q215" s="764"/>
      <c r="R215" s="764"/>
      <c r="S215" s="764"/>
      <c r="T215" s="761"/>
      <c r="U215" s="768"/>
      <c r="V215" s="768"/>
      <c r="W215" s="769" t="str">
        <f>IFERROR(VLOOKUP('General price list'!$C215,Popisy!A:P,MATCH($W$17,Popisy!$A$7:$P$7,0),FALSE),"---------------")</f>
        <v>Energiegetränk 250ml, made in EU</v>
      </c>
      <c r="X215" s="769" t="str">
        <f t="shared" si="71"/>
        <v/>
      </c>
      <c r="Y215" s="770">
        <f>IF(OR(AP215&lt;AA215,AND(NOT(OR(LEFT(AB215,3)="SKL",LEFT(AB215,3)=LEFT($V$2,3))),AA215&gt;0),AND('Deutsche Markt'!$AH$1=FALSE,J215="F4",AA215&gt;0)),"",AA215)</f>
        <v>0</v>
      </c>
      <c r="Z215" s="769"/>
      <c r="AA215" s="771">
        <f>'Deutsche Markt'!AA215</f>
        <v>0</v>
      </c>
      <c r="AB215" s="772" t="str">
        <f>IFERROR(IF(VLOOKUP(C215,[1]List1!$A:$D,2,FALSE)="VYPRODÁNO",$V$9,IF(VLOOKUP(C215,[1]List1!$A:$D,2,FALSE)="DOCHÁZÍ",$V$3,VLOOKUP(C215,[1]List1!$A:$D,2,FALSE))),"OFFLINE!")</f>
        <v>SKLADEM</v>
      </c>
      <c r="AC215" s="772" t="str">
        <f ca="1">IF(AO215="NE",$V$10,IF(AB215=$V$3,IF(AP215&lt;1,$V$8,$V$2&amp;" "&amp;AP215&amp;" "&amp;$V$1),IF(AB215="SKLADEM",$V$6,IFERROR(IF(OR(AB215-TODAY()&gt;21,VLOOKUP(C215,[1]List1!$A:$E,4,FALSE)=0),AB215,DAY(AB215)&amp;"."&amp;MONTH(AB215)&amp;"."&amp;YEAR(AB215)&amp;" "&amp;$V$4&amp;VLOOKUP(C215,[1]List1!$A:$E,4,FALSE)&amp;" "&amp;$V$1),AB215))))</f>
        <v>AUF LAGER</v>
      </c>
      <c r="AD215" s="772" t="str">
        <f t="shared" ca="1" si="72"/>
        <v>AUF LAGER</v>
      </c>
      <c r="AE215" s="605"/>
      <c r="AF215" s="605"/>
      <c r="AG215" s="615"/>
      <c r="AH215" s="616"/>
      <c r="AI215" s="615"/>
      <c r="AJ215" s="617"/>
      <c r="AK215" s="617"/>
      <c r="AL215" s="617"/>
      <c r="AM215" s="617"/>
      <c r="AN215" s="292"/>
      <c r="AO215" s="567" t="str">
        <f t="shared" si="57"/>
        <v/>
      </c>
      <c r="AP215" s="568" t="str">
        <f>IF(AB215=$V$3,IF(VLOOKUP(C215,[1]List1!$A:$E,5,FALSE)=0,1,VLOOKUP(C215,[1]List1!$A:$E,5,FALSE)),"")</f>
        <v/>
      </c>
      <c r="AQ215" s="292" t="str">
        <f t="shared" si="58"/>
        <v/>
      </c>
      <c r="AR215" s="618" t="str">
        <f t="shared" si="59"/>
        <v/>
      </c>
      <c r="AS215" s="292" t="str">
        <f t="shared" si="60"/>
        <v/>
      </c>
      <c r="AT215" s="377" t="e">
        <f t="shared" si="61"/>
        <v>#N/A</v>
      </c>
      <c r="AU215" s="292" t="e">
        <f t="shared" si="62"/>
        <v>#N/A</v>
      </c>
    </row>
    <row r="216" spans="1:47" ht="15" customHeight="1">
      <c r="A216" s="601" t="str">
        <f>Kat.!B216</f>
        <v>x</v>
      </c>
      <c r="B216" s="601">
        <f t="shared" si="73"/>
        <v>1</v>
      </c>
      <c r="C216" s="758" t="s">
        <v>926</v>
      </c>
      <c r="D216" s="759"/>
      <c r="E216" s="760"/>
      <c r="F216" s="761"/>
      <c r="G216" s="762"/>
      <c r="H216" s="596"/>
      <c r="I216" s="763"/>
      <c r="J216" s="764"/>
      <c r="K216" s="765"/>
      <c r="L216" s="782"/>
      <c r="M216" s="764"/>
      <c r="N216" s="767"/>
      <c r="O216" s="763"/>
      <c r="P216" s="763"/>
      <c r="Q216" s="764"/>
      <c r="R216" s="764"/>
      <c r="S216" s="764"/>
      <c r="T216" s="761"/>
      <c r="U216" s="768"/>
      <c r="V216" s="768"/>
      <c r="W216" s="769" t="str">
        <f>IFERROR(VLOOKUP('General price list'!$C216,Popisy!A:P,MATCH($W$17,Popisy!$A$7:$P$7,0),FALSE),"---------------")</f>
        <v>Abmessungen 200 x 85cm (Roll up No sound fireworks) - alleinstehend</v>
      </c>
      <c r="X216" s="769" t="str">
        <f t="shared" si="71"/>
        <v/>
      </c>
      <c r="Y216" s="770">
        <f>IF(OR(AP216&lt;AA216,AND(NOT(OR(LEFT(AB216,3)="SKL",LEFT(AB216,3)=LEFT($V$2,3))),AA216&gt;0),AND('Deutsche Markt'!$AH$1=FALSE,J216="F4",AA216&gt;0)),"",AA216)</f>
        <v>0</v>
      </c>
      <c r="Z216" s="769"/>
      <c r="AA216" s="771">
        <f>'Deutsche Markt'!AA216</f>
        <v>0</v>
      </c>
      <c r="AB216" s="772" t="str">
        <f>IFERROR(IF(VLOOKUP(C216,[1]List1!$A:$D,2,FALSE)="VYPRODÁNO",$V$9,IF(VLOOKUP(C216,[1]List1!$A:$D,2,FALSE)="DOCHÁZÍ",$V$3,VLOOKUP(C216,[1]List1!$A:$D,2,FALSE))),"OFFLINE!")</f>
        <v>SKLADEM</v>
      </c>
      <c r="AC216" s="772" t="str">
        <f ca="1">IF(AO216="NE",$V$10,IF(AB216=$V$3,IF(AP216&lt;1,$V$8,$V$2&amp;" "&amp;AP216&amp;" "&amp;$V$1),IF(AB216="SKLADEM",$V$6,IFERROR(IF(OR(AB216-TODAY()&gt;21,VLOOKUP(C216,[1]List1!$A:$E,4,FALSE)=0),AB216,DAY(AB216)&amp;"."&amp;MONTH(AB216)&amp;"."&amp;YEAR(AB216)&amp;" "&amp;$V$4&amp;VLOOKUP(C216,[1]List1!$A:$E,4,FALSE)&amp;" "&amp;$V$1),AB216))))</f>
        <v>AUF LAGER</v>
      </c>
      <c r="AD216" s="772" t="str">
        <f t="shared" ca="1" si="72"/>
        <v>AUF LAGER</v>
      </c>
      <c r="AE216" s="605"/>
      <c r="AF216" s="605"/>
      <c r="AG216" s="615"/>
      <c r="AH216" s="616"/>
      <c r="AI216" s="615"/>
      <c r="AJ216" s="617"/>
      <c r="AK216" s="617"/>
      <c r="AL216" s="617"/>
      <c r="AM216" s="617"/>
      <c r="AN216" s="292"/>
      <c r="AO216" s="567" t="str">
        <f t="shared" si="57"/>
        <v/>
      </c>
      <c r="AP216" s="568" t="str">
        <f>IF(AB216=$V$3,IF(VLOOKUP(C216,[1]List1!$A:$E,5,FALSE)=0,1,VLOOKUP(C216,[1]List1!$A:$E,5,FALSE)),"")</f>
        <v/>
      </c>
      <c r="AQ216" s="292" t="str">
        <f t="shared" si="58"/>
        <v/>
      </c>
      <c r="AR216" s="618" t="str">
        <f t="shared" si="59"/>
        <v/>
      </c>
      <c r="AS216" s="292" t="str">
        <f t="shared" si="60"/>
        <v/>
      </c>
      <c r="AT216" s="377" t="e">
        <f t="shared" si="61"/>
        <v>#N/A</v>
      </c>
      <c r="AU216" s="292" t="e">
        <f t="shared" si="62"/>
        <v>#N/A</v>
      </c>
    </row>
    <row r="217" spans="1:47" ht="15" customHeight="1">
      <c r="A217" s="601" t="str">
        <f>Kat.!B217</f>
        <v/>
      </c>
      <c r="B217" s="601">
        <f t="shared" si="73"/>
        <v>1</v>
      </c>
      <c r="C217" s="778" t="s">
        <v>13644</v>
      </c>
      <c r="D217" s="778"/>
      <c r="E217" s="778"/>
      <c r="F217" s="779"/>
      <c r="G217" s="778"/>
      <c r="H217" s="778"/>
      <c r="I217" s="778"/>
      <c r="J217" s="778"/>
      <c r="K217" s="773"/>
      <c r="L217" s="778"/>
      <c r="M217" s="778"/>
      <c r="N217" s="778"/>
      <c r="O217" s="778"/>
      <c r="P217" s="778"/>
      <c r="Q217" s="778"/>
      <c r="R217" s="778"/>
      <c r="S217" s="778"/>
      <c r="T217" s="778"/>
      <c r="U217" s="778"/>
      <c r="V217" s="778"/>
      <c r="W217" s="778" t="str">
        <f>IFERROR(VLOOKUP('General price list'!$C217,Popisy!A:P,MATCH($W$17,Popisy!$A$7:$P$7,0),FALSE),"---------------")</f>
        <v>---------------</v>
      </c>
      <c r="X217" s="778" t="str">
        <f t="shared" si="71"/>
        <v/>
      </c>
      <c r="Y217" s="770">
        <f>IF(OR(AP217&lt;AA217,AND(NOT(OR(LEFT(AB217,3)="SKL",LEFT(AB217,3)=LEFT($V$2,3))),AA217&gt;0),AND('Deutsche Markt'!$AH$1=FALSE,J217="F4",AA217&gt;0)),"",AA217)</f>
        <v>0</v>
      </c>
      <c r="Z217" s="778"/>
      <c r="AA217" s="771">
        <f>'Deutsche Markt'!AA217</f>
        <v>0</v>
      </c>
      <c r="AB217" s="778" t="str">
        <f>IFERROR(IF(VLOOKUP(C217,[1]List1!$A:$D,2,FALSE)="VYPRODÁNO",$V$9,IF(VLOOKUP(C217,[1]List1!$A:$D,2,FALSE)="DOCHÁZÍ",$V$3,VLOOKUP(C217,[1]List1!$A:$D,2,FALSE))),"OFFLINE!")</f>
        <v>SKLADEM</v>
      </c>
      <c r="AC217" s="778" t="str">
        <f ca="1">IF(AO217="NE",$V$10,IF(AB217=$V$3,IF(AP217&lt;1,$V$8,$V$2&amp;" "&amp;AP217&amp;" "&amp;$V$1),IF(AB217="SKLADEM",$V$6,IFERROR(IF(OR(AB217-TODAY()&gt;21,VLOOKUP(C217,[1]List1!$A:$E,4,FALSE)=0),AB217,DAY(AB217)&amp;"."&amp;MONTH(AB217)&amp;"."&amp;YEAR(AB217)&amp;" "&amp;$V$4&amp;VLOOKUP(C217,[1]List1!$A:$E,4,FALSE)&amp;" "&amp;$V$1),AB217))))</f>
        <v>AUF LAGER</v>
      </c>
      <c r="AD217" s="778" t="str">
        <f t="shared" ca="1" si="72"/>
        <v>AUF LAGER</v>
      </c>
      <c r="AE217" s="599"/>
      <c r="AF217" s="599"/>
      <c r="AG217" s="599"/>
      <c r="AH217" s="599"/>
      <c r="AI217" s="599"/>
      <c r="AJ217" s="599"/>
      <c r="AK217" s="599"/>
      <c r="AL217" s="599"/>
      <c r="AM217" s="599"/>
      <c r="AN217" s="566"/>
      <c r="AO217" s="567" t="str">
        <f t="shared" si="57"/>
        <v/>
      </c>
      <c r="AP217" s="568" t="str">
        <f>IF(AB217=$V$3,IF(VLOOKUP(C217,[1]List1!$A:$E,5,FALSE)=0,1,VLOOKUP(C217,[1]List1!$A:$E,5,FALSE)),"")</f>
        <v/>
      </c>
      <c r="AQ217" s="292" t="str">
        <f t="shared" si="58"/>
        <v/>
      </c>
      <c r="AR217" s="618" t="str">
        <f t="shared" si="59"/>
        <v/>
      </c>
      <c r="AS217" s="292" t="str">
        <f t="shared" si="60"/>
        <v/>
      </c>
      <c r="AT217" s="377" t="e">
        <f t="shared" si="61"/>
        <v>#N/A</v>
      </c>
      <c r="AU217" s="292" t="e">
        <f t="shared" si="62"/>
        <v>#N/A</v>
      </c>
    </row>
    <row r="218" spans="1:47" ht="15" customHeight="1">
      <c r="A218" s="601" t="str">
        <f>Kat.!B218</f>
        <v/>
      </c>
      <c r="B218" s="601">
        <f t="shared" si="73"/>
        <v>1</v>
      </c>
      <c r="C218" s="758" t="s">
        <v>950</v>
      </c>
      <c r="D218" s="759"/>
      <c r="E218" s="760"/>
      <c r="F218" s="761"/>
      <c r="G218" s="762"/>
      <c r="H218" s="596"/>
      <c r="I218" s="763"/>
      <c r="J218" s="764"/>
      <c r="K218" s="765"/>
      <c r="L218" s="766"/>
      <c r="M218" s="764"/>
      <c r="N218" s="767"/>
      <c r="O218" s="763"/>
      <c r="P218" s="763"/>
      <c r="Q218" s="764"/>
      <c r="R218" s="764"/>
      <c r="S218" s="764"/>
      <c r="T218" s="761"/>
      <c r="U218" s="768"/>
      <c r="V218" s="768"/>
      <c r="W218" s="769" t="str">
        <f>IFERROR(VLOOKUP('General price list'!$C218,Popisy!A:P,MATCH($W$17,Popisy!$A$7:$P$7,0),FALSE),"---------------")</f>
        <v>Abmessungen 84x60cm, auf höhe</v>
      </c>
      <c r="X218" s="769" t="str">
        <f t="shared" si="71"/>
        <v/>
      </c>
      <c r="Y218" s="770">
        <f>IF(OR(AP218&lt;AA218,AND(NOT(OR(LEFT(AB218,3)="SKL",LEFT(AB218,3)=LEFT($V$2,3))),AA218&gt;0),AND('Deutsche Markt'!$AH$1=FALSE,J218="F4",AA218&gt;0)),"",AA218)</f>
        <v>0</v>
      </c>
      <c r="Z218" s="769"/>
      <c r="AA218" s="771">
        <f>'Deutsche Markt'!AA218</f>
        <v>0</v>
      </c>
      <c r="AB218" s="772" t="str">
        <f>IFERROR(IF(VLOOKUP(C218,[1]List1!$A:$D,2,FALSE)="VYPRODÁNO",$V$9,IF(VLOOKUP(C218,[1]List1!$A:$D,2,FALSE)="DOCHÁZÍ",$V$3,VLOOKUP(C218,[1]List1!$A:$D,2,FALSE))),"OFFLINE!")</f>
        <v>SKLADEM</v>
      </c>
      <c r="AC218" s="772" t="str">
        <f ca="1">IF(AO218="NE",$V$10,IF(AB218=$V$3,IF(AP218&lt;1,$V$8,$V$2&amp;" "&amp;AP218&amp;" "&amp;$V$1),IF(AB218="SKLADEM",$V$6,IFERROR(IF(OR(AB218-TODAY()&gt;21,VLOOKUP(C218,[1]List1!$A:$E,4,FALSE)=0),AB218,DAY(AB218)&amp;"."&amp;MONTH(AB218)&amp;"."&amp;YEAR(AB218)&amp;" "&amp;$V$4&amp;VLOOKUP(C218,[1]List1!$A:$E,4,FALSE)&amp;" "&amp;$V$1),AB218))))</f>
        <v>AUF LAGER</v>
      </c>
      <c r="AD218" s="772" t="str">
        <f t="shared" ca="1" si="72"/>
        <v>AUF LAGER</v>
      </c>
      <c r="AE218" s="605"/>
      <c r="AF218" s="605"/>
      <c r="AG218" s="615"/>
      <c r="AH218" s="616"/>
      <c r="AI218" s="615"/>
      <c r="AJ218" s="617"/>
      <c r="AK218" s="617"/>
      <c r="AL218" s="617"/>
      <c r="AM218" s="617"/>
      <c r="AN218" s="292"/>
      <c r="AO218" s="567" t="str">
        <f t="shared" si="57"/>
        <v/>
      </c>
      <c r="AP218" s="568" t="str">
        <f>IF(AB218=$V$3,IF(VLOOKUP(C218,[1]List1!$A:$E,5,FALSE)=0,1,VLOOKUP(C218,[1]List1!$A:$E,5,FALSE)),"")</f>
        <v/>
      </c>
      <c r="AQ218" s="292" t="str">
        <f t="shared" si="58"/>
        <v/>
      </c>
      <c r="AR218" s="618" t="str">
        <f t="shared" si="59"/>
        <v/>
      </c>
      <c r="AS218" s="292" t="str">
        <f t="shared" si="60"/>
        <v/>
      </c>
      <c r="AT218" s="377" t="e">
        <f t="shared" si="61"/>
        <v>#N/A</v>
      </c>
      <c r="AU218" s="292" t="e">
        <f t="shared" si="62"/>
        <v>#N/A</v>
      </c>
    </row>
    <row r="219" spans="1:47" ht="15" customHeight="1">
      <c r="A219" s="601" t="str">
        <f>Kat.!B219</f>
        <v/>
      </c>
      <c r="B219" s="601">
        <f t="shared" si="73"/>
        <v>1</v>
      </c>
      <c r="C219" s="758" t="s">
        <v>953</v>
      </c>
      <c r="D219" s="759"/>
      <c r="E219" s="760"/>
      <c r="F219" s="761"/>
      <c r="G219" s="762"/>
      <c r="H219" s="596"/>
      <c r="I219" s="763"/>
      <c r="J219" s="764"/>
      <c r="K219" s="773"/>
      <c r="L219" s="766"/>
      <c r="M219" s="764"/>
      <c r="N219" s="777"/>
      <c r="O219" s="763"/>
      <c r="P219" s="763"/>
      <c r="Q219" s="764"/>
      <c r="R219" s="764"/>
      <c r="S219" s="764"/>
      <c r="T219" s="764"/>
      <c r="U219" s="768"/>
      <c r="V219" s="768"/>
      <c r="W219" s="769" t="str">
        <f>IFERROR(VLOOKUP('General price list'!$C219,Popisy!A:P,MATCH($W$17,Popisy!$A$7:$P$7,0),FALSE),"---------------")</f>
        <v>Feuerzeug mit der Turboflamme Dumbum</v>
      </c>
      <c r="X219" s="769" t="str">
        <f t="shared" si="71"/>
        <v/>
      </c>
      <c r="Y219" s="770">
        <f>IF(OR(AP219&lt;AA219,AND(NOT(OR(LEFT(AB219,3)="SKL",LEFT(AB219,3)=LEFT($V$2,3))),AA219&gt;0),AND('Deutsche Markt'!$AH$1=FALSE,J219="F4",AA219&gt;0)),"",AA219)</f>
        <v>0</v>
      </c>
      <c r="Z219" s="769"/>
      <c r="AA219" s="771">
        <f>'Deutsche Markt'!AA219</f>
        <v>0</v>
      </c>
      <c r="AB219" s="772" t="str">
        <f>IFERROR(IF(VLOOKUP(C219,[1]List1!$A:$D,2,FALSE)="VYPRODÁNO",$V$9,IF(VLOOKUP(C219,[1]List1!$A:$D,2,FALSE)="DOCHÁZÍ",$V$3,VLOOKUP(C219,[1]List1!$A:$D,2,FALSE))),"OFFLINE!")</f>
        <v>SKLADEM</v>
      </c>
      <c r="AC219" s="772" t="str">
        <f ca="1">IF(AO219="NE",$V$10,IF(AB219=$V$3,IF(AP219&lt;1,$V$8,$V$2&amp;" "&amp;AP219&amp;" "&amp;$V$1),IF(AB219="SKLADEM",$V$6,IFERROR(IF(OR(AB219-TODAY()&gt;21,VLOOKUP(C219,[1]List1!$A:$E,4,FALSE)=0),AB219,DAY(AB219)&amp;"."&amp;MONTH(AB219)&amp;"."&amp;YEAR(AB219)&amp;" "&amp;$V$4&amp;VLOOKUP(C219,[1]List1!$A:$E,4,FALSE)&amp;" "&amp;$V$1),AB219))))</f>
        <v>AUF LAGER</v>
      </c>
      <c r="AD219" s="772" t="str">
        <f t="shared" ca="1" si="72"/>
        <v>AUF LAGER</v>
      </c>
      <c r="AE219" s="605"/>
      <c r="AF219" s="605"/>
      <c r="AG219" s="615"/>
      <c r="AH219" s="616"/>
      <c r="AI219" s="615"/>
      <c r="AJ219" s="617"/>
      <c r="AK219" s="617"/>
      <c r="AL219" s="617"/>
      <c r="AM219" s="617"/>
      <c r="AN219" s="292"/>
      <c r="AO219" s="567" t="str">
        <f t="shared" si="57"/>
        <v/>
      </c>
      <c r="AP219" s="568" t="str">
        <f>IF(AB219=$V$3,IF(VLOOKUP(C219,[1]List1!$A:$E,5,FALSE)=0,1,VLOOKUP(C219,[1]List1!$A:$E,5,FALSE)),"")</f>
        <v/>
      </c>
      <c r="AQ219" s="292" t="str">
        <f t="shared" si="58"/>
        <v/>
      </c>
      <c r="AR219" s="618" t="str">
        <f t="shared" si="59"/>
        <v/>
      </c>
      <c r="AS219" s="292" t="str">
        <f t="shared" si="60"/>
        <v/>
      </c>
      <c r="AT219" s="377" t="e">
        <f t="shared" si="61"/>
        <v>#N/A</v>
      </c>
      <c r="AU219" s="292" t="e">
        <f t="shared" si="62"/>
        <v>#N/A</v>
      </c>
    </row>
    <row r="220" spans="1:47" ht="15" customHeight="1">
      <c r="A220" s="601" t="str">
        <f>Kat.!B220</f>
        <v/>
      </c>
      <c r="B220" s="601">
        <f t="shared" si="73"/>
        <v>1</v>
      </c>
      <c r="C220" s="758" t="s">
        <v>959</v>
      </c>
      <c r="D220" s="759"/>
      <c r="E220" s="760"/>
      <c r="F220" s="761"/>
      <c r="G220" s="762"/>
      <c r="H220" s="596"/>
      <c r="I220" s="763"/>
      <c r="J220" s="764"/>
      <c r="K220" s="765"/>
      <c r="L220" s="782"/>
      <c r="M220" s="764"/>
      <c r="N220" s="767"/>
      <c r="O220" s="763"/>
      <c r="P220" s="763"/>
      <c r="Q220" s="764"/>
      <c r="R220" s="764"/>
      <c r="S220" s="764"/>
      <c r="T220" s="761"/>
      <c r="U220" s="768"/>
      <c r="V220" s="768"/>
      <c r="W220" s="769" t="str">
        <f>IFERROR(VLOOKUP('General price list'!$C220,Popisy!A:P,MATCH($W$17,Popisy!$A$7:$P$7,0),FALSE),"---------------")</f>
        <v>USB Feuerzeug Dumbum</v>
      </c>
      <c r="X220" s="769" t="str">
        <f t="shared" si="71"/>
        <v/>
      </c>
      <c r="Y220" s="770">
        <f>IF(OR(AP220&lt;AA220,AND(NOT(OR(LEFT(AB220,3)="SKL",LEFT(AB220,3)=LEFT($V$2,3))),AA220&gt;0),AND('Deutsche Markt'!$AH$1=FALSE,J220="F4",AA220&gt;0)),"",AA220)</f>
        <v>0</v>
      </c>
      <c r="Z220" s="769"/>
      <c r="AA220" s="771">
        <f>'Deutsche Markt'!AA220</f>
        <v>0</v>
      </c>
      <c r="AB220" s="772" t="str">
        <f>IFERROR(IF(VLOOKUP(C220,[1]List1!$A:$D,2,FALSE)="VYPRODÁNO",$V$9,IF(VLOOKUP(C220,[1]List1!$A:$D,2,FALSE)="DOCHÁZÍ",$V$3,VLOOKUP(C220,[1]List1!$A:$D,2,FALSE))),"OFFLINE!")</f>
        <v>SKLADEM</v>
      </c>
      <c r="AC220" s="772" t="str">
        <f ca="1">IF(AO220="NE",$V$10,IF(AB220=$V$3,IF(AP220&lt;1,$V$8,$V$2&amp;" "&amp;AP220&amp;" "&amp;$V$1),IF(AB220="SKLADEM",$V$6,IFERROR(IF(OR(AB220-TODAY()&gt;21,VLOOKUP(C220,[1]List1!$A:$E,4,FALSE)=0),AB220,DAY(AB220)&amp;"."&amp;MONTH(AB220)&amp;"."&amp;YEAR(AB220)&amp;" "&amp;$V$4&amp;VLOOKUP(C220,[1]List1!$A:$E,4,FALSE)&amp;" "&amp;$V$1),AB220))))</f>
        <v>AUF LAGER</v>
      </c>
      <c r="AD220" s="772" t="str">
        <f t="shared" ca="1" si="72"/>
        <v>AUF LAGER</v>
      </c>
      <c r="AE220" s="605"/>
      <c r="AF220" s="605"/>
      <c r="AG220" s="615"/>
      <c r="AH220" s="616"/>
      <c r="AI220" s="615"/>
      <c r="AJ220" s="617"/>
      <c r="AK220" s="617"/>
      <c r="AL220" s="617"/>
      <c r="AM220" s="617"/>
      <c r="AN220" s="292"/>
      <c r="AO220" s="567" t="str">
        <f t="shared" si="57"/>
        <v/>
      </c>
      <c r="AP220" s="568" t="str">
        <f>IF(AB220=$V$3,IF(VLOOKUP(C220,[1]List1!$A:$E,5,FALSE)=0,1,VLOOKUP(C220,[1]List1!$A:$E,5,FALSE)),"")</f>
        <v/>
      </c>
      <c r="AQ220" s="292" t="str">
        <f t="shared" si="58"/>
        <v/>
      </c>
      <c r="AR220" s="618" t="str">
        <f t="shared" si="59"/>
        <v/>
      </c>
      <c r="AS220" s="292" t="str">
        <f t="shared" si="60"/>
        <v/>
      </c>
      <c r="AT220" s="377" t="e">
        <f t="shared" si="61"/>
        <v>#N/A</v>
      </c>
      <c r="AU220" s="292" t="e">
        <f t="shared" si="62"/>
        <v>#N/A</v>
      </c>
    </row>
    <row r="221" spans="1:47" ht="15" customHeight="1">
      <c r="A221" s="601" t="str">
        <f>Kat.!B221</f>
        <v/>
      </c>
      <c r="B221" s="601">
        <f t="shared" si="73"/>
        <v>1</v>
      </c>
      <c r="C221" s="758" t="s">
        <v>963</v>
      </c>
      <c r="D221" s="759"/>
      <c r="E221" s="760"/>
      <c r="F221" s="761"/>
      <c r="G221" s="762"/>
      <c r="H221" s="596"/>
      <c r="I221" s="763"/>
      <c r="J221" s="764"/>
      <c r="K221" s="773"/>
      <c r="L221" s="780"/>
      <c r="M221" s="764"/>
      <c r="N221" s="767"/>
      <c r="O221" s="763"/>
      <c r="P221" s="763"/>
      <c r="Q221" s="764"/>
      <c r="R221" s="764"/>
      <c r="S221" s="764"/>
      <c r="T221" s="761"/>
      <c r="U221" s="768"/>
      <c r="V221" s="768"/>
      <c r="W221" s="769" t="str">
        <f>IFERROR(VLOOKUP('General price list'!$C221,Popisy!A:P,MATCH($W$17,Popisy!$A$7:$P$7,0),FALSE),"---------------")</f>
        <v>Aufkleber Dumbum Abmessungen 17x15cm</v>
      </c>
      <c r="X221" s="769" t="str">
        <f t="shared" si="71"/>
        <v/>
      </c>
      <c r="Y221" s="770">
        <f>IF(OR(AP221&lt;AA221,AND(NOT(OR(LEFT(AB221,3)="SKL",LEFT(AB221,3)=LEFT($V$2,3))),AA221&gt;0),AND('Deutsche Markt'!$AH$1=FALSE,J221="F4",AA221&gt;0)),"",AA221)</f>
        <v>0</v>
      </c>
      <c r="Z221" s="769"/>
      <c r="AA221" s="771">
        <f>'Deutsche Markt'!AA221</f>
        <v>0</v>
      </c>
      <c r="AB221" s="772" t="str">
        <f>IFERROR(IF(VLOOKUP(C221,[1]List1!$A:$D,2,FALSE)="VYPRODÁNO",$V$9,IF(VLOOKUP(C221,[1]List1!$A:$D,2,FALSE)="DOCHÁZÍ",$V$3,VLOOKUP(C221,[1]List1!$A:$D,2,FALSE))),"OFFLINE!")</f>
        <v>SKLADEM</v>
      </c>
      <c r="AC221" s="772" t="str">
        <f ca="1">IF(AO221="NE",$V$10,IF(AB221=$V$3,IF(AP221&lt;1,$V$8,$V$2&amp;" "&amp;AP221&amp;" "&amp;$V$1),IF(AB221="SKLADEM",$V$6,IFERROR(IF(OR(AB221-TODAY()&gt;21,VLOOKUP(C221,[1]List1!$A:$E,4,FALSE)=0),AB221,DAY(AB221)&amp;"."&amp;MONTH(AB221)&amp;"."&amp;YEAR(AB221)&amp;" "&amp;$V$4&amp;VLOOKUP(C221,[1]List1!$A:$E,4,FALSE)&amp;" "&amp;$V$1),AB221))))</f>
        <v>AUF LAGER</v>
      </c>
      <c r="AD221" s="772" t="str">
        <f t="shared" ca="1" si="72"/>
        <v>AUF LAGER</v>
      </c>
      <c r="AE221" s="605"/>
      <c r="AF221" s="605"/>
      <c r="AG221" s="615"/>
      <c r="AH221" s="616"/>
      <c r="AI221" s="615"/>
      <c r="AJ221" s="617"/>
      <c r="AK221" s="617"/>
      <c r="AL221" s="617"/>
      <c r="AM221" s="617"/>
      <c r="AN221" s="292"/>
      <c r="AO221" s="567" t="str">
        <f t="shared" si="57"/>
        <v/>
      </c>
      <c r="AP221" s="568" t="str">
        <f>IF(AB221=$V$3,IF(VLOOKUP(C221,[1]List1!$A:$E,5,FALSE)=0,1,VLOOKUP(C221,[1]List1!$A:$E,5,FALSE)),"")</f>
        <v/>
      </c>
      <c r="AQ221" s="292" t="str">
        <f t="shared" si="58"/>
        <v/>
      </c>
      <c r="AR221" s="618" t="str">
        <f t="shared" si="59"/>
        <v/>
      </c>
      <c r="AS221" s="292" t="str">
        <f t="shared" si="60"/>
        <v/>
      </c>
      <c r="AT221" s="377" t="e">
        <f t="shared" si="61"/>
        <v>#N/A</v>
      </c>
      <c r="AU221" s="292" t="e">
        <f t="shared" si="62"/>
        <v>#N/A</v>
      </c>
    </row>
    <row r="222" spans="1:47" ht="15" customHeight="1">
      <c r="A222" s="601" t="str">
        <f>Kat.!B222</f>
        <v>x</v>
      </c>
      <c r="B222" s="601">
        <f t="shared" si="73"/>
        <v>1</v>
      </c>
      <c r="C222" s="783" t="s">
        <v>230</v>
      </c>
      <c r="D222" s="783"/>
      <c r="E222" s="764"/>
      <c r="F222" s="761"/>
      <c r="G222" s="762"/>
      <c r="H222" s="595"/>
      <c r="I222" s="764"/>
      <c r="J222" s="764"/>
      <c r="K222" s="765"/>
      <c r="L222" s="764"/>
      <c r="M222" s="764"/>
      <c r="N222" s="764"/>
      <c r="O222" s="764"/>
      <c r="P222" s="764"/>
      <c r="Q222" s="764"/>
      <c r="R222" s="764"/>
      <c r="S222" s="764"/>
      <c r="T222" s="764"/>
      <c r="U222" s="764"/>
      <c r="V222" s="764"/>
      <c r="W222" s="764" t="str">
        <f>IFERROR(VLOOKUP('General price list'!$C222,Popisy!A:P,MATCH($W$17,Popisy!$A$7:$P$7,0),FALSE),"---------------")</f>
        <v>Einkaufstasche Klásek/Dumbum, Abmessungen 50x40cm</v>
      </c>
      <c r="X222" s="764" t="str">
        <f t="shared" si="71"/>
        <v/>
      </c>
      <c r="Y222" s="770">
        <f>IF(OR(AP222&lt;AA222,AND(NOT(OR(LEFT(AB222,3)="SKL",LEFT(AB222,3)=LEFT($V$2,3))),AA222&gt;0),AND('Deutsche Markt'!$AH$1=FALSE,J222="F4",AA222&gt;0)),"",AA222)</f>
        <v>0</v>
      </c>
      <c r="Z222" s="764"/>
      <c r="AA222" s="771">
        <f>'Deutsche Markt'!AA222</f>
        <v>0</v>
      </c>
      <c r="AB222" s="772" t="str">
        <f>IFERROR(IF(VLOOKUP(C222,[1]List1!$A:$D,2,FALSE)="VYPRODÁNO",$V$9,IF(VLOOKUP(C222,[1]List1!$A:$D,2,FALSE)="DOCHÁZÍ",$V$3,VLOOKUP(C222,[1]List1!$A:$D,2,FALSE))),"OFFLINE!")</f>
        <v>AUSVERKAUFT</v>
      </c>
      <c r="AC222" s="785" t="str">
        <f ca="1">IF(AO222="NE",$V$10,IF(AB222=$V$3,IF(AP222&lt;1,$V$8,$V$2&amp;" "&amp;AP222&amp;" "&amp;$V$1),IF(AB222="SKLADEM",$V$6,IFERROR(IF(OR(AB222-TODAY()&gt;21,VLOOKUP(C222,[1]List1!$A:$E,4,FALSE)=0),AB222,DAY(AB222)&amp;"."&amp;MONTH(AB222)&amp;"."&amp;YEAR(AB222)&amp;" "&amp;$V$4&amp;VLOOKUP(C222,[1]List1!$A:$E,4,FALSE)&amp;" "&amp;$V$1),AB222))))</f>
        <v>AUSVERKAUFT</v>
      </c>
      <c r="AD222" s="785" t="str">
        <f t="shared" ca="1" si="72"/>
        <v>AUSVERKAUFT</v>
      </c>
      <c r="AE222" s="609"/>
      <c r="AF222" s="609"/>
      <c r="AG222" s="627"/>
      <c r="AH222" s="609"/>
      <c r="AI222" s="627"/>
      <c r="AJ222" s="609"/>
      <c r="AK222" s="609"/>
      <c r="AL222" s="609"/>
      <c r="AM222" s="627"/>
      <c r="AO222" s="567" t="str">
        <f t="shared" si="57"/>
        <v/>
      </c>
      <c r="AP222" s="568" t="str">
        <f>IF(AB222=$V$3,IF(VLOOKUP(C222,[1]List1!$A:$E,5,FALSE)=0,1,VLOOKUP(C222,[1]List1!$A:$E,5,FALSE)),"")</f>
        <v/>
      </c>
      <c r="AQ222" s="292" t="str">
        <f t="shared" si="58"/>
        <v/>
      </c>
      <c r="AR222" s="618" t="str">
        <f t="shared" si="59"/>
        <v/>
      </c>
      <c r="AS222" s="292" t="str">
        <f t="shared" si="60"/>
        <v/>
      </c>
      <c r="AT222" s="377" t="e">
        <f t="shared" si="61"/>
        <v>#N/A</v>
      </c>
      <c r="AU222" s="292" t="e">
        <f t="shared" si="62"/>
        <v>#N/A</v>
      </c>
    </row>
    <row r="223" spans="1:47" ht="15" customHeight="1">
      <c r="A223" s="601" t="str">
        <f>Kat.!B223</f>
        <v/>
      </c>
      <c r="B223" s="601">
        <f t="shared" si="73"/>
        <v>1</v>
      </c>
      <c r="C223" s="783" t="s">
        <v>731</v>
      </c>
      <c r="D223" s="783"/>
      <c r="E223" s="764"/>
      <c r="F223" s="761"/>
      <c r="G223" s="762"/>
      <c r="H223" s="596"/>
      <c r="I223" s="763"/>
      <c r="J223" s="764"/>
      <c r="K223" s="773"/>
      <c r="L223" s="769"/>
      <c r="M223" s="764"/>
      <c r="N223" s="767"/>
      <c r="O223" s="763"/>
      <c r="P223" s="763"/>
      <c r="Q223" s="764"/>
      <c r="R223" s="764"/>
      <c r="S223" s="764"/>
      <c r="T223" s="764"/>
      <c r="U223" s="768"/>
      <c r="V223" s="768"/>
      <c r="W223" s="769"/>
      <c r="X223" s="769"/>
      <c r="Y223" s="770">
        <f>IF(OR(AP223&lt;AA223,AND(NOT(OR(LEFT(AB223,3)="SKL",LEFT(AB223,3)=LEFT($V$2,3))),AA223&gt;0),AND('Deutsche Markt'!$AH$1=FALSE,J223="F4",AA223&gt;0)),"",AA223)</f>
        <v>0</v>
      </c>
      <c r="Z223" s="769"/>
      <c r="AA223" s="771">
        <f>'Deutsche Markt'!AA223</f>
        <v>0</v>
      </c>
      <c r="AB223" s="772"/>
      <c r="AC223" s="772"/>
      <c r="AD223" s="772"/>
      <c r="AE223" s="605"/>
      <c r="AF223" s="605"/>
      <c r="AG223" s="615"/>
      <c r="AH223" s="616"/>
      <c r="AI223" s="615"/>
      <c r="AJ223" s="617"/>
      <c r="AK223" s="617"/>
      <c r="AL223" s="617"/>
      <c r="AM223" s="617"/>
      <c r="AO223" s="567" t="str">
        <f t="shared" si="57"/>
        <v/>
      </c>
      <c r="AP223" s="568" t="str">
        <f>IF(AB223=$V$3,IF(VLOOKUP(C223,[1]List1!$A:$E,5,FALSE)=0,1,VLOOKUP(C223,[1]List1!$A:$E,5,FALSE)),"")</f>
        <v/>
      </c>
      <c r="AQ223" s="292" t="str">
        <f t="shared" si="58"/>
        <v/>
      </c>
      <c r="AR223" s="618" t="str">
        <f t="shared" si="59"/>
        <v/>
      </c>
      <c r="AS223" s="292" t="str">
        <f t="shared" si="60"/>
        <v/>
      </c>
      <c r="AT223" s="377" t="e">
        <f t="shared" si="61"/>
        <v>#N/A</v>
      </c>
      <c r="AU223" s="292" t="e">
        <f t="shared" si="62"/>
        <v>#N/A</v>
      </c>
    </row>
    <row r="224" spans="1:47" ht="15" customHeight="1">
      <c r="A224" s="601" t="str">
        <f>Kat.!B224</f>
        <v/>
      </c>
      <c r="B224" s="601">
        <f t="shared" si="73"/>
        <v>1</v>
      </c>
      <c r="C224" s="758" t="s">
        <v>13623</v>
      </c>
      <c r="D224" s="759"/>
      <c r="E224" s="760"/>
      <c r="F224" s="761"/>
      <c r="G224" s="762"/>
      <c r="H224" s="596"/>
      <c r="I224" s="763"/>
      <c r="J224" s="764"/>
      <c r="K224" s="765"/>
      <c r="L224" s="766"/>
      <c r="M224" s="764"/>
      <c r="N224" s="767"/>
      <c r="O224" s="763"/>
      <c r="P224" s="763"/>
      <c r="Q224" s="764"/>
      <c r="R224" s="764"/>
      <c r="S224" s="764"/>
      <c r="T224" s="761"/>
      <c r="U224" s="768"/>
      <c r="V224" s="768"/>
      <c r="W224" s="769" t="str">
        <f>IFERROR(VLOOKUP('General price list'!$C224,Popisy!A:P,MATCH($W$17,Popisy!$A$7:$P$7,0),FALSE),"---------------")</f>
        <v>---------------</v>
      </c>
      <c r="X224" s="769" t="str">
        <f t="shared" ref="X224:X227" si="74">IF(AA224&lt;0.0001,"",AA224)</f>
        <v/>
      </c>
      <c r="Y224" s="770">
        <f>IF(OR(AP224&lt;AA224,AND(NOT(OR(LEFT(AB224,3)="SKL",LEFT(AB224,3)=LEFT($V$2,3))),AA224&gt;0),AND('Deutsche Markt'!$AH$1=FALSE,J224="F4",AA224&gt;0)),"",AA224)</f>
        <v>0</v>
      </c>
      <c r="Z224" s="769"/>
      <c r="AA224" s="771">
        <f>'Deutsche Markt'!AA224</f>
        <v>0</v>
      </c>
      <c r="AB224" s="772" t="str">
        <f>IFERROR(IF(VLOOKUP(C224,[1]List1!$A:$D,2,FALSE)="VYPRODÁNO",$V$9,IF(VLOOKUP(C224,[1]List1!$A:$D,2,FALSE)="DOCHÁZÍ",$V$3,VLOOKUP(C224,[1]List1!$A:$D,2,FALSE))),"OFFLINE!")</f>
        <v>LETZTE STÜCKE</v>
      </c>
      <c r="AC224" s="772" t="str">
        <f ca="1">IF(AO224="NE",$V$10,IF(AB224=$V$3,IF(AP224&lt;1,$V$8,$V$2&amp;" "&amp;AP224&amp;" "&amp;$V$1),IF(AB224="SKLADEM",$V$6,IFERROR(IF(OR(AB224-TODAY()&gt;21,VLOOKUP(C224,[1]List1!$A:$E,4,FALSE)=0),AB224,DAY(AB224)&amp;"."&amp;MONTH(AB224)&amp;"."&amp;YEAR(AB224)&amp;" "&amp;$V$4&amp;VLOOKUP(C224,[1]List1!$A:$E,4,FALSE)&amp;" "&amp;$V$1),AB224))))</f>
        <v>LETZTE 6 KTN</v>
      </c>
      <c r="AD224" s="772" t="str">
        <f t="shared" ref="AD224:AD227" ca="1" si="75">IFERROR(IF(AU224&lt;&gt;"",AU224,AC224),AC224)</f>
        <v>LETZTE 6 KTN</v>
      </c>
      <c r="AE224" s="605"/>
      <c r="AF224" s="605"/>
      <c r="AG224" s="615"/>
      <c r="AH224" s="616"/>
      <c r="AI224" s="615"/>
      <c r="AJ224" s="617"/>
      <c r="AK224" s="617"/>
      <c r="AL224" s="617"/>
      <c r="AM224" s="617"/>
      <c r="AN224" s="292"/>
      <c r="AO224" s="567" t="str">
        <f t="shared" si="57"/>
        <v/>
      </c>
      <c r="AP224" s="568">
        <f>IF(AB224=$V$3,IF(VLOOKUP(C224,[1]List1!$A:$E,5,FALSE)=0,1,VLOOKUP(C224,[1]List1!$A:$E,5,FALSE)),"")</f>
        <v>6</v>
      </c>
      <c r="AQ224" s="292" t="str">
        <f t="shared" si="58"/>
        <v/>
      </c>
      <c r="AR224" s="618" t="str">
        <f t="shared" si="59"/>
        <v/>
      </c>
      <c r="AS224" s="292" t="str">
        <f t="shared" si="60"/>
        <v/>
      </c>
      <c r="AT224" s="377" t="e">
        <f t="shared" si="61"/>
        <v>#N/A</v>
      </c>
      <c r="AU224" s="292" t="e">
        <f t="shared" si="62"/>
        <v>#N/A</v>
      </c>
    </row>
    <row r="225" spans="1:47" ht="15" customHeight="1">
      <c r="A225" s="601" t="str">
        <f>Kat.!B225</f>
        <v/>
      </c>
      <c r="B225" s="601">
        <f t="shared" si="73"/>
        <v>1</v>
      </c>
      <c r="C225" s="758" t="s">
        <v>976</v>
      </c>
      <c r="D225" s="759"/>
      <c r="E225" s="760"/>
      <c r="F225" s="761"/>
      <c r="G225" s="762"/>
      <c r="H225" s="596"/>
      <c r="I225" s="763"/>
      <c r="J225" s="764"/>
      <c r="K225" s="773"/>
      <c r="L225" s="766"/>
      <c r="M225" s="764"/>
      <c r="N225" s="777"/>
      <c r="O225" s="763"/>
      <c r="P225" s="763"/>
      <c r="Q225" s="764"/>
      <c r="R225" s="764"/>
      <c r="S225" s="764"/>
      <c r="T225" s="764"/>
      <c r="U225" s="768"/>
      <c r="V225" s="768"/>
      <c r="W225" s="769" t="str">
        <f>IFERROR(VLOOKUP('General price list'!$C225,Popisy!A:P,MATCH($W$17,Popisy!$A$7:$P$7,0),FALSE),"---------------")</f>
        <v>Keramik-Becher Dumbum</v>
      </c>
      <c r="X225" s="769" t="str">
        <f t="shared" si="74"/>
        <v/>
      </c>
      <c r="Y225" s="770">
        <f>IF(OR(AP225&lt;AA225,AND(NOT(OR(LEFT(AB225,3)="SKL",LEFT(AB225,3)=LEFT($V$2,3))),AA225&gt;0),AND('Deutsche Markt'!$AH$1=FALSE,J225="F4",AA225&gt;0)),"",AA225)</f>
        <v>0</v>
      </c>
      <c r="Z225" s="769"/>
      <c r="AA225" s="771">
        <f>'Deutsche Markt'!AA225</f>
        <v>0</v>
      </c>
      <c r="AB225" s="772" t="str">
        <f>IFERROR(IF(VLOOKUP(C225,[1]List1!$A:$D,2,FALSE)="VYPRODÁNO",$V$9,IF(VLOOKUP(C225,[1]List1!$A:$D,2,FALSE)="DOCHÁZÍ",$V$3,VLOOKUP(C225,[1]List1!$A:$D,2,FALSE))),"OFFLINE!")</f>
        <v>SKLADEM</v>
      </c>
      <c r="AC225" s="772" t="str">
        <f ca="1">IF(AO225="NE",$V$10,IF(AB225=$V$3,IF(AP225&lt;1,$V$8,$V$2&amp;" "&amp;AP225&amp;" "&amp;$V$1),IF(AB225="SKLADEM",$V$6,IFERROR(IF(OR(AB225-TODAY()&gt;21,VLOOKUP(C225,[1]List1!$A:$E,4,FALSE)=0),AB225,DAY(AB225)&amp;"."&amp;MONTH(AB225)&amp;"."&amp;YEAR(AB225)&amp;" "&amp;$V$4&amp;VLOOKUP(C225,[1]List1!$A:$E,4,FALSE)&amp;" "&amp;$V$1),AB225))))</f>
        <v>AUF LAGER</v>
      </c>
      <c r="AD225" s="772" t="str">
        <f t="shared" ca="1" si="75"/>
        <v>AUF LAGER</v>
      </c>
      <c r="AE225" s="605"/>
      <c r="AF225" s="605"/>
      <c r="AG225" s="615"/>
      <c r="AH225" s="616"/>
      <c r="AI225" s="615"/>
      <c r="AJ225" s="617"/>
      <c r="AK225" s="617"/>
      <c r="AL225" s="617"/>
      <c r="AM225" s="617"/>
      <c r="AN225" s="292"/>
      <c r="AO225" s="567" t="str">
        <f t="shared" ref="AO225:AO227" si="76">IF($AK$3=1,IF(Y225=AA225,"","NE"),IF(AQ225=$V$10,"NE",""))</f>
        <v/>
      </c>
      <c r="AP225" s="568" t="str">
        <f>IF(AB225=$V$3,IF(VLOOKUP(C225,[1]List1!$A:$E,5,FALSE)=0,1,VLOOKUP(C225,[1]List1!$A:$E,5,FALSE)),"")</f>
        <v/>
      </c>
      <c r="AQ225" s="292" t="str">
        <f t="shared" ref="AQ225:AQ227" si="77">IF($AK$3=1,"",IF(OR(AA225&lt;&gt;"",AA225&lt;&gt;0),IF(OR(AB225=$V$6,AB225=$V$3,AB225=$V$9),$V$10,""),""))</f>
        <v/>
      </c>
      <c r="AR225" s="618" t="str">
        <f t="shared" ref="AR225:AR227" si="78">IF(AS225&lt;&gt;"","X","")</f>
        <v/>
      </c>
      <c r="AS225" s="292" t="str">
        <f t="shared" ref="AS225:AS227" si="79">IF(AND($AK$3=2,AQ225="",AA225&lt;&gt;""),AC225,"")</f>
        <v/>
      </c>
      <c r="AT225" s="377" t="e">
        <f t="shared" ref="AT225:AT227" si="80">IF(AS225=$AR$21,AA225,"")</f>
        <v>#N/A</v>
      </c>
      <c r="AU225" s="292" t="e">
        <f t="shared" ref="AU225:AU227" si="81">IF(OR(AA225="",AND(AS225&lt;&gt;"",AT225&lt;&gt;"")),"",$V$10)</f>
        <v>#N/A</v>
      </c>
    </row>
    <row r="226" spans="1:47" ht="15" customHeight="1">
      <c r="A226" s="601" t="str">
        <f>Kat.!B226</f>
        <v/>
      </c>
      <c r="B226" s="601">
        <f t="shared" si="73"/>
        <v>1</v>
      </c>
      <c r="C226" s="758" t="s">
        <v>981</v>
      </c>
      <c r="D226" s="759"/>
      <c r="E226" s="760"/>
      <c r="F226" s="761"/>
      <c r="G226" s="762"/>
      <c r="H226" s="596"/>
      <c r="I226" s="763"/>
      <c r="J226" s="764"/>
      <c r="K226" s="765"/>
      <c r="L226" s="782"/>
      <c r="M226" s="764"/>
      <c r="N226" s="767"/>
      <c r="O226" s="763"/>
      <c r="P226" s="763"/>
      <c r="Q226" s="764"/>
      <c r="R226" s="764"/>
      <c r="S226" s="764"/>
      <c r="T226" s="761"/>
      <c r="U226" s="768"/>
      <c r="V226" s="768"/>
      <c r="W226" s="769" t="str">
        <f>IFERROR(VLOOKUP('General price list'!$C226,Popisy!A:P,MATCH($W$17,Popisy!$A$7:$P$7,0),FALSE),"---------------")</f>
        <v>Mousepad Dumbum</v>
      </c>
      <c r="X226" s="769" t="str">
        <f t="shared" si="74"/>
        <v/>
      </c>
      <c r="Y226" s="770">
        <f>IF(OR(AP226&lt;AA226,AND(NOT(OR(LEFT(AB226,3)="SKL",LEFT(AB226,3)=LEFT($V$2,3))),AA226&gt;0),AND('Deutsche Markt'!$AH$1=FALSE,J226="F4",AA226&gt;0)),"",AA226)</f>
        <v>0</v>
      </c>
      <c r="Z226" s="769"/>
      <c r="AA226" s="771">
        <f>'Deutsche Markt'!AA226</f>
        <v>0</v>
      </c>
      <c r="AB226" s="772" t="str">
        <f>IFERROR(IF(VLOOKUP(C226,[1]List1!$A:$D,2,FALSE)="VYPRODÁNO",$V$9,IF(VLOOKUP(C226,[1]List1!$A:$D,2,FALSE)="DOCHÁZÍ",$V$3,VLOOKUP(C226,[1]List1!$A:$D,2,FALSE))),"OFFLINE!")</f>
        <v>LETZTE STÜCKE</v>
      </c>
      <c r="AC226" s="772" t="str">
        <f ca="1">IF(AO226="NE",$V$10,IF(AB226=$V$3,IF(AP226&lt;1,$V$8,$V$2&amp;" "&amp;AP226&amp;" "&amp;$V$1),IF(AB226="SKLADEM",$V$6,IFERROR(IF(OR(AB226-TODAY()&gt;21,VLOOKUP(C226,[1]List1!$A:$E,4,FALSE)=0),AB226,DAY(AB226)&amp;"."&amp;MONTH(AB226)&amp;"."&amp;YEAR(AB226)&amp;" "&amp;$V$4&amp;VLOOKUP(C226,[1]List1!$A:$E,4,FALSE)&amp;" "&amp;$V$1),AB226))))</f>
        <v>LETZTE 5 KTN</v>
      </c>
      <c r="AD226" s="772" t="str">
        <f t="shared" ca="1" si="75"/>
        <v>LETZTE 5 KTN</v>
      </c>
      <c r="AE226" s="605"/>
      <c r="AF226" s="605"/>
      <c r="AG226" s="615"/>
      <c r="AH226" s="616"/>
      <c r="AI226" s="615"/>
      <c r="AJ226" s="617"/>
      <c r="AK226" s="617"/>
      <c r="AL226" s="617"/>
      <c r="AM226" s="617"/>
      <c r="AN226" s="292"/>
      <c r="AO226" s="567" t="str">
        <f t="shared" si="76"/>
        <v/>
      </c>
      <c r="AP226" s="568">
        <f>IF(AB226=$V$3,IF(VLOOKUP(C226,[1]List1!$A:$E,5,FALSE)=0,1,VLOOKUP(C226,[1]List1!$A:$E,5,FALSE)),"")</f>
        <v>5</v>
      </c>
      <c r="AQ226" s="292" t="str">
        <f t="shared" si="77"/>
        <v/>
      </c>
      <c r="AR226" s="618" t="str">
        <f t="shared" si="78"/>
        <v/>
      </c>
      <c r="AS226" s="292" t="str">
        <f t="shared" si="79"/>
        <v/>
      </c>
      <c r="AT226" s="377" t="e">
        <f t="shared" si="80"/>
        <v>#N/A</v>
      </c>
      <c r="AU226" s="292" t="e">
        <f t="shared" si="81"/>
        <v>#N/A</v>
      </c>
    </row>
    <row r="227" spans="1:47" ht="15" customHeight="1">
      <c r="A227" s="601" t="str">
        <f>Kat.!B227</f>
        <v>x</v>
      </c>
      <c r="B227" s="601">
        <f t="shared" si="73"/>
        <v>1</v>
      </c>
      <c r="C227" s="775" t="s">
        <v>986</v>
      </c>
      <c r="D227" s="759"/>
      <c r="E227" s="760"/>
      <c r="F227" s="761"/>
      <c r="G227" s="762"/>
      <c r="H227" s="596"/>
      <c r="I227" s="763"/>
      <c r="J227" s="764"/>
      <c r="K227" s="773"/>
      <c r="L227" s="782"/>
      <c r="M227" s="764"/>
      <c r="N227" s="767"/>
      <c r="O227" s="763"/>
      <c r="P227" s="763"/>
      <c r="Q227" s="764"/>
      <c r="R227" s="764"/>
      <c r="S227" s="764"/>
      <c r="T227" s="761"/>
      <c r="U227" s="768"/>
      <c r="V227" s="768"/>
      <c r="W227" s="769" t="str">
        <f>IFERROR(VLOOKUP('General price list'!$C227,Popisy!A:P,MATCH($W$17,Popisy!$A$7:$P$7,0),FALSE),"---------------")</f>
        <v>Regenschirm Dumbum</v>
      </c>
      <c r="X227" s="769" t="str">
        <f t="shared" si="74"/>
        <v/>
      </c>
      <c r="Y227" s="770">
        <f>IF(OR(AP227&lt;AA227,AND(NOT(OR(LEFT(AB227,3)="SKL",LEFT(AB227,3)=LEFT($V$2,3))),AA227&gt;0),AND('Deutsche Markt'!$AH$1=FALSE,J227="F4",AA227&gt;0)),"",AA227)</f>
        <v>0</v>
      </c>
      <c r="Z227" s="769"/>
      <c r="AA227" s="771">
        <f>'Deutsche Markt'!AA227</f>
        <v>0</v>
      </c>
      <c r="AB227" s="772" t="str">
        <f>IFERROR(IF(VLOOKUP(C227,[1]List1!$A:$D,2,FALSE)="VYPRODÁNO",$V$9,IF(VLOOKUP(C227,[1]List1!$A:$D,2,FALSE)="DOCHÁZÍ",$V$3,VLOOKUP(C227,[1]List1!$A:$D,2,FALSE))),"OFFLINE!")</f>
        <v>SKLADEM</v>
      </c>
      <c r="AC227" s="772" t="str">
        <f ca="1">IF(AO227="NE",$V$10,IF(AB227=$V$3,IF(AP227&lt;1,$V$8,$V$2&amp;" "&amp;AP227&amp;" "&amp;$V$1),IF(AB227="SKLADEM",$V$6,IFERROR(IF(OR(AB227-TODAY()&gt;21,VLOOKUP(C227,[1]List1!$A:$E,4,FALSE)=0),AB227,DAY(AB227)&amp;"."&amp;MONTH(AB227)&amp;"."&amp;YEAR(AB227)&amp;" "&amp;$V$4&amp;VLOOKUP(C227,[1]List1!$A:$E,4,FALSE)&amp;" "&amp;$V$1),AB227))))</f>
        <v>AUF LAGER</v>
      </c>
      <c r="AD227" s="772" t="str">
        <f t="shared" ca="1" si="75"/>
        <v>AUF LAGER</v>
      </c>
      <c r="AE227" s="605"/>
      <c r="AF227" s="605"/>
      <c r="AG227" s="615"/>
      <c r="AH227" s="616"/>
      <c r="AI227" s="615"/>
      <c r="AJ227" s="617"/>
      <c r="AK227" s="617"/>
      <c r="AL227" s="617"/>
      <c r="AM227" s="617"/>
      <c r="AO227" s="567" t="str">
        <f t="shared" si="76"/>
        <v/>
      </c>
      <c r="AP227" s="568" t="str">
        <f>IF(AB227=$V$3,IF(VLOOKUP(C227,[1]List1!$A:$E,5,FALSE)=0,1,VLOOKUP(C227,[1]List1!$A:$E,5,FALSE)),"")</f>
        <v/>
      </c>
      <c r="AQ227" s="292" t="str">
        <f t="shared" si="77"/>
        <v/>
      </c>
      <c r="AR227" s="618" t="str">
        <f t="shared" si="78"/>
        <v/>
      </c>
      <c r="AS227" s="292" t="str">
        <f t="shared" si="79"/>
        <v/>
      </c>
      <c r="AT227" s="377" t="e">
        <f t="shared" si="80"/>
        <v>#N/A</v>
      </c>
      <c r="AU227" s="292" t="e">
        <f t="shared" si="81"/>
        <v>#N/A</v>
      </c>
    </row>
    <row r="228" spans="1:47" ht="15" customHeight="1">
      <c r="A228" s="601" t="str">
        <f>Kat.!B228</f>
        <v/>
      </c>
      <c r="B228" s="601">
        <f t="shared" si="73"/>
        <v>1</v>
      </c>
      <c r="C228" s="758" t="s">
        <v>13215</v>
      </c>
      <c r="D228" s="759"/>
      <c r="E228" s="760"/>
      <c r="F228" s="761"/>
      <c r="G228" s="762"/>
      <c r="H228" s="596"/>
      <c r="I228" s="763"/>
      <c r="J228" s="764"/>
      <c r="K228" s="765"/>
      <c r="L228" s="782"/>
      <c r="M228" s="764"/>
      <c r="N228" s="767"/>
      <c r="O228" s="763"/>
      <c r="P228" s="763"/>
      <c r="Q228" s="764"/>
      <c r="R228" s="764"/>
      <c r="S228" s="764"/>
      <c r="T228" s="761"/>
      <c r="U228" s="768"/>
      <c r="V228" s="768"/>
      <c r="W228" s="769"/>
      <c r="X228" s="769"/>
      <c r="Y228" s="770">
        <f>IF(OR(AP228&lt;AA228,AND(NOT(OR(LEFT(AB228,3)="SKL",LEFT(AB228,3)=LEFT($V$2,3))),AA228&gt;0),AND('Deutsche Markt'!$AH$1=FALSE,J228="F4",AA228&gt;0)),"",AA228)</f>
        <v>0</v>
      </c>
      <c r="Z228" s="769"/>
      <c r="AA228" s="771">
        <f>'Deutsche Markt'!AA228</f>
        <v>0</v>
      </c>
      <c r="AB228" s="772"/>
      <c r="AC228" s="772"/>
      <c r="AD228" s="772"/>
      <c r="AE228" s="605"/>
      <c r="AF228" s="605"/>
      <c r="AG228" s="615"/>
      <c r="AH228" s="616"/>
      <c r="AI228" s="615"/>
      <c r="AJ228" s="617"/>
      <c r="AK228" s="617"/>
      <c r="AL228" s="617"/>
      <c r="AM228" s="617"/>
      <c r="AO228" s="567" t="str">
        <f t="shared" ref="AO228:AO288" si="82">IF($AK$3=1,IF(Y228=AA228,"","NE"),IF(AQ228=$V$10,"NE",""))</f>
        <v/>
      </c>
      <c r="AP228" s="568" t="str">
        <f>IF(AB228=$V$3,IF(VLOOKUP(C228,[1]List1!$A:$E,5,FALSE)=0,1,VLOOKUP(C228,[1]List1!$A:$E,5,FALSE)),"")</f>
        <v/>
      </c>
      <c r="AQ228" s="292" t="str">
        <f t="shared" ref="AQ228:AQ288" si="83">IF($AK$3=1,"",IF(OR(AA228&lt;&gt;"",AA228&lt;&gt;0),IF(OR(AB228=$V$6,AB228=$V$3,AB228=$V$9),$V$10,""),""))</f>
        <v/>
      </c>
      <c r="AR228" s="618" t="str">
        <f t="shared" ref="AR228:AR288" si="84">IF(AS228&lt;&gt;"","X","")</f>
        <v/>
      </c>
      <c r="AS228" s="292" t="str">
        <f t="shared" ref="AS228:AS288" si="85">IF(AND($AK$3=2,AQ228="",AA228&lt;&gt;""),AC228,"")</f>
        <v/>
      </c>
      <c r="AT228" s="377" t="e">
        <f t="shared" ref="AT228:AT288" si="86">IF(AS228=$AR$21,AA228,"")</f>
        <v>#N/A</v>
      </c>
      <c r="AU228" s="292" t="e">
        <f t="shared" ref="AU228:AU288" si="87">IF(OR(AA228="",AND(AS228&lt;&gt;"",AT228&lt;&gt;"")),"",$V$10)</f>
        <v>#N/A</v>
      </c>
    </row>
    <row r="229" spans="1:47" ht="15" customHeight="1">
      <c r="A229" s="601" t="str">
        <f>Kat.!B229</f>
        <v>Sonstiges</v>
      </c>
      <c r="B229" s="601">
        <f t="shared" si="73"/>
        <v>0</v>
      </c>
      <c r="C229" s="783"/>
      <c r="D229" s="783"/>
      <c r="E229" s="764"/>
      <c r="F229" s="761"/>
      <c r="G229" s="762"/>
      <c r="H229" s="596"/>
      <c r="I229" s="787"/>
      <c r="J229" s="764"/>
      <c r="K229" s="773"/>
      <c r="L229" s="787"/>
      <c r="M229" s="764"/>
      <c r="N229" s="767"/>
      <c r="O229" s="763"/>
      <c r="P229" s="763"/>
      <c r="Q229" s="764"/>
      <c r="R229" s="764"/>
      <c r="S229" s="764"/>
      <c r="T229" s="764"/>
      <c r="U229" s="768"/>
      <c r="V229" s="768"/>
      <c r="W229" s="769" t="str">
        <f>IFERROR(VLOOKUP('General price list'!$C229,Popisy!A:P,MATCH($W$17,Popisy!$A$7:$P$7,0),FALSE),"---------------")</f>
        <v>---------------</v>
      </c>
      <c r="X229" s="769" t="str">
        <f t="shared" ref="X229:X230" si="88">IF(AA229&lt;0.0001,"",AA229)</f>
        <v/>
      </c>
      <c r="Y229" s="770">
        <f>IF(OR(AP229&lt;AA229,AND(NOT(OR(LEFT(AB229,3)="SKL",LEFT(AB229,3)=LEFT($V$2,3))),AA229&gt;0),AND('Deutsche Markt'!$AH$1=FALSE,J229="F4",AA229&gt;0)),"",AA229)</f>
        <v>0</v>
      </c>
      <c r="Z229" s="769"/>
      <c r="AA229" s="771">
        <f>'Deutsche Markt'!AA229</f>
        <v>0</v>
      </c>
      <c r="AB229" s="772" t="str">
        <f>IFERROR(IF(VLOOKUP(C229,[1]List1!$A:$D,2,FALSE)="VYPRODÁNO",$V$9,IF(VLOOKUP(C229,[1]List1!$A:$D,2,FALSE)="DOCHÁZÍ",$V$3,VLOOKUP(C229,[1]List1!$A:$D,2,FALSE))),"OFFLINE!")</f>
        <v>OFFLINE!</v>
      </c>
      <c r="AC229" s="772" t="str">
        <f ca="1">IF(AO229="NE",$V$10,IF(AB229=$V$3,IF(AP229&lt;1,$V$8,$V$2&amp;" "&amp;AP229&amp;" "&amp;$V$1),IF(AB229="SKLADEM",$V$6,IFERROR(IF(OR(AB229-TODAY()&gt;21,VLOOKUP(C229,[1]List1!$A:$E,4,FALSE)=0),AB229,DAY(AB229)&amp;"."&amp;MONTH(AB229)&amp;"."&amp;YEAR(AB229)&amp;" "&amp;$V$4&amp;VLOOKUP(C229,[1]List1!$A:$E,4,FALSE)&amp;" "&amp;$V$1),AB229))))</f>
        <v>OFFLINE!</v>
      </c>
      <c r="AD229" s="772" t="str">
        <f t="shared" ref="AD229:AD230" ca="1" si="89">IFERROR(IF(AU229&lt;&gt;"",AU229,AC229),AC229)</f>
        <v>OFFLINE!</v>
      </c>
      <c r="AE229" s="605"/>
      <c r="AF229" s="605"/>
      <c r="AG229" s="615"/>
      <c r="AH229" s="616"/>
      <c r="AI229" s="615"/>
      <c r="AJ229" s="617"/>
      <c r="AK229" s="617"/>
      <c r="AL229" s="617"/>
      <c r="AM229" s="617"/>
      <c r="AO229" s="567" t="str">
        <f t="shared" si="82"/>
        <v/>
      </c>
      <c r="AP229" s="568" t="str">
        <f>IF(AB229=$V$3,IF(VLOOKUP(C229,[1]List1!$A:$E,5,FALSE)=0,1,VLOOKUP(C229,[1]List1!$A:$E,5,FALSE)),"")</f>
        <v/>
      </c>
      <c r="AQ229" s="292" t="str">
        <f t="shared" si="83"/>
        <v/>
      </c>
      <c r="AR229" s="618" t="str">
        <f t="shared" si="84"/>
        <v/>
      </c>
      <c r="AS229" s="292" t="str">
        <f t="shared" si="85"/>
        <v/>
      </c>
      <c r="AT229" s="377" t="e">
        <f t="shared" si="86"/>
        <v>#N/A</v>
      </c>
      <c r="AU229" s="292" t="e">
        <f t="shared" si="87"/>
        <v>#N/A</v>
      </c>
    </row>
    <row r="230" spans="1:47" ht="15" customHeight="1">
      <c r="A230" s="601" t="str">
        <f>Kat.!$B$1&amp;Kat.!B230</f>
        <v/>
      </c>
      <c r="B230" s="601">
        <f t="shared" si="73"/>
        <v>1</v>
      </c>
      <c r="C230" s="602" t="s">
        <v>994</v>
      </c>
      <c r="D230" s="603"/>
      <c r="E230" s="604"/>
      <c r="F230" s="605"/>
      <c r="G230" s="606"/>
      <c r="H230" s="607"/>
      <c r="I230" s="608"/>
      <c r="J230" s="609"/>
      <c r="K230" s="708"/>
      <c r="L230" s="623"/>
      <c r="M230" s="609"/>
      <c r="N230" s="612"/>
      <c r="O230" s="608"/>
      <c r="P230" s="608"/>
      <c r="Q230" s="609"/>
      <c r="R230" s="609"/>
      <c r="S230" s="609"/>
      <c r="T230" s="605"/>
      <c r="U230" s="613"/>
      <c r="V230" s="613"/>
      <c r="W230" s="601" t="str">
        <f>IFERROR(VLOOKUP('General price list'!$C230,Popisy!A:P,MATCH($W$17,Popisy!$A$7:$P$7,0),FALSE),"---------------")</f>
        <v>Abfeuereinrichtung für die Fernabfeuerung (4 Positionen) + Fernbediengerät + 4 Stk. Elektrische Zünder</v>
      </c>
      <c r="X230" s="601" t="str">
        <f t="shared" si="88"/>
        <v/>
      </c>
      <c r="Y230" s="770">
        <f>IF(OR(AP230&lt;AA230,AND(NOT(OR(LEFT(AB230,3)="SKL",LEFT(AB230,3)=LEFT($V$2,3))),AA230&gt;0),AND('Deutsche Markt'!$AH$1=FALSE,J230="F4",AA230&gt;0)),"",AA230)</f>
        <v>0</v>
      </c>
      <c r="Z230" s="601"/>
      <c r="AA230" s="771">
        <f>'Deutsche Markt'!AA230</f>
        <v>0</v>
      </c>
      <c r="AB230" s="614" t="str">
        <f>IFERROR(IF(VLOOKUP(C230,[1]List1!$A:$D,2,FALSE)="VYPRODÁNO",$V$9,IF(VLOOKUP(C230,[1]List1!$A:$D,2,FALSE)="DOCHÁZÍ",$V$3,VLOOKUP(C230,[1]List1!$A:$D,2,FALSE))),"OFFLINE!")</f>
        <v>SKLADEM</v>
      </c>
      <c r="AC230" s="614" t="str">
        <f ca="1">IF(AO230="NE",$V$10,IF(AB230=$V$3,IF(AP230&lt;1,$V$8,$V$2&amp;" "&amp;AP230&amp;" "&amp;$V$1),IF(AB230="SKLADEM",$V$6,IFERROR(IF(OR(AB230-TODAY()&gt;21,VLOOKUP(C230,[1]List1!$A:$E,4,FALSE)=0),AB230,DAY(AB230)&amp;"."&amp;MONTH(AB230)&amp;"."&amp;YEAR(AB230)&amp;" "&amp;$V$4&amp;VLOOKUP(C230,[1]List1!$A:$E,4,FALSE)&amp;" "&amp;$V$1),AB230))))</f>
        <v>AUF LAGER</v>
      </c>
      <c r="AD230" s="614" t="str">
        <f t="shared" ca="1" si="89"/>
        <v>AUF LAGER</v>
      </c>
      <c r="AE230" s="605"/>
      <c r="AF230" s="605"/>
      <c r="AG230" s="615"/>
      <c r="AH230" s="616"/>
      <c r="AI230" s="615"/>
      <c r="AJ230" s="617"/>
      <c r="AK230" s="617"/>
      <c r="AL230" s="617"/>
      <c r="AM230" s="617"/>
      <c r="AO230" s="567" t="str">
        <f t="shared" si="82"/>
        <v/>
      </c>
      <c r="AP230" s="568" t="str">
        <f>IF(AB230=$V$3,IF(VLOOKUP(C230,[1]List1!$A:$E,5,FALSE)=0,1,VLOOKUP(C230,[1]List1!$A:$E,5,FALSE)),"")</f>
        <v/>
      </c>
      <c r="AQ230" s="292" t="str">
        <f t="shared" si="83"/>
        <v/>
      </c>
      <c r="AR230" s="618" t="str">
        <f t="shared" si="84"/>
        <v/>
      </c>
      <c r="AS230" s="292" t="str">
        <f t="shared" si="85"/>
        <v/>
      </c>
      <c r="AT230" s="377" t="e">
        <f t="shared" si="86"/>
        <v>#N/A</v>
      </c>
      <c r="AU230" s="292" t="e">
        <f t="shared" si="87"/>
        <v>#N/A</v>
      </c>
    </row>
    <row r="231" spans="1:47" ht="15" customHeight="1">
      <c r="A231" s="601" t="str">
        <f>Kat.!B231</f>
        <v>Batterien der raketen 25-1000 schuss, 8mm Mörser-1.4G</v>
      </c>
      <c r="B231" s="601">
        <f t="shared" si="73"/>
        <v>0</v>
      </c>
      <c r="C231" s="758"/>
      <c r="D231" s="759"/>
      <c r="E231" s="760"/>
      <c r="F231" s="761"/>
      <c r="G231" s="762"/>
      <c r="H231" s="596"/>
      <c r="I231" s="763"/>
      <c r="J231" s="764"/>
      <c r="K231" s="781"/>
      <c r="L231" s="766"/>
      <c r="M231" s="764"/>
      <c r="N231" s="777"/>
      <c r="O231" s="763"/>
      <c r="P231" s="763"/>
      <c r="Q231" s="764"/>
      <c r="R231" s="764"/>
      <c r="S231" s="764"/>
      <c r="T231" s="764"/>
      <c r="U231" s="768"/>
      <c r="V231" s="768"/>
      <c r="W231" s="769"/>
      <c r="X231" s="769"/>
      <c r="Y231" s="770">
        <f>IF(OR(AP231&lt;AA231,AND(NOT(OR(LEFT(AB231,3)="SKL",LEFT(AB231,3)=LEFT($V$2,3))),AA231&gt;0),AND('Deutsche Markt'!$AH$1=FALSE,J231="F4",AA231&gt;0)),"",AA231)</f>
        <v>0</v>
      </c>
      <c r="Z231" s="769"/>
      <c r="AA231" s="771">
        <f>'Deutsche Markt'!AA231</f>
        <v>0</v>
      </c>
      <c r="AB231" s="772"/>
      <c r="AC231" s="772"/>
      <c r="AD231" s="772"/>
      <c r="AE231" s="605"/>
      <c r="AF231" s="605"/>
      <c r="AG231" s="615"/>
      <c r="AH231" s="616"/>
      <c r="AI231" s="615"/>
      <c r="AJ231" s="617"/>
      <c r="AK231" s="617"/>
      <c r="AL231" s="617"/>
      <c r="AM231" s="617"/>
      <c r="AO231" s="567" t="str">
        <f t="shared" si="82"/>
        <v/>
      </c>
      <c r="AP231" s="568" t="str">
        <f>IF(AB231=$V$3,IF(VLOOKUP(C231,[1]List1!$A:$E,5,FALSE)=0,1,VLOOKUP(C231,[1]List1!$A:$E,5,FALSE)),"")</f>
        <v/>
      </c>
      <c r="AQ231" s="292" t="str">
        <f t="shared" si="83"/>
        <v/>
      </c>
      <c r="AR231" s="618" t="str">
        <f t="shared" si="84"/>
        <v/>
      </c>
      <c r="AS231" s="292" t="str">
        <f t="shared" si="85"/>
        <v/>
      </c>
      <c r="AT231" s="377" t="e">
        <f t="shared" si="86"/>
        <v>#N/A</v>
      </c>
      <c r="AU231" s="292" t="e">
        <f t="shared" si="87"/>
        <v>#N/A</v>
      </c>
    </row>
    <row r="232" spans="1:47" ht="15" customHeight="1">
      <c r="A232" s="601" t="str">
        <f>Kat.!B232</f>
        <v/>
      </c>
      <c r="B232" s="601">
        <f t="shared" si="73"/>
        <v>1</v>
      </c>
      <c r="C232" s="758" t="s">
        <v>1008</v>
      </c>
      <c r="D232" s="759"/>
      <c r="E232" s="760"/>
      <c r="F232" s="761"/>
      <c r="G232" s="762"/>
      <c r="H232" s="596"/>
      <c r="I232" s="763"/>
      <c r="J232" s="764"/>
      <c r="K232" s="774"/>
      <c r="L232" s="766"/>
      <c r="M232" s="764"/>
      <c r="N232" s="767"/>
      <c r="O232" s="763"/>
      <c r="P232" s="763"/>
      <c r="Q232" s="764"/>
      <c r="R232" s="764"/>
      <c r="S232" s="764"/>
      <c r="T232" s="761"/>
      <c r="U232" s="768"/>
      <c r="V232" s="768"/>
      <c r="W232" s="769" t="str">
        <f>IFERROR(VLOOKUP('General price list'!$C232,Popisy!A:P,MATCH($W$17,Popisy!$A$7:$P$7,0),FALSE),"---------------")</f>
        <v>Silberne pfeifende Kometen mit der Explosion</v>
      </c>
      <c r="X232" s="769" t="str">
        <f t="shared" ref="X232:X239" si="90">IF(AA232&lt;0.0001,"",AA232)</f>
        <v/>
      </c>
      <c r="Y232" s="770">
        <f>IF(OR(AP232&lt;AA232,AND(NOT(OR(LEFT(AB232,3)="SKL",LEFT(AB232,3)=LEFT($V$2,3))),AA232&gt;0),AND('Deutsche Markt'!$AH$1=FALSE,J232="F4",AA232&gt;0)),"",AA232)</f>
        <v>0</v>
      </c>
      <c r="Z232" s="769"/>
      <c r="AA232" s="771">
        <f>'Deutsche Markt'!AA232</f>
        <v>0</v>
      </c>
      <c r="AB232" s="772" t="str">
        <f>IFERROR(IF(VLOOKUP(C232,[1]List1!$A:$D,2,FALSE)="VYPRODÁNO",$V$9,IF(VLOOKUP(C232,[1]List1!$A:$D,2,FALSE)="DOCHÁZÍ",$V$3,VLOOKUP(C232,[1]List1!$A:$D,2,FALSE))),"OFFLINE!")</f>
        <v>SKLADEM</v>
      </c>
      <c r="AC232" s="772" t="str">
        <f ca="1">IF(AO232="NE",$V$10,IF(AB232=$V$3,IF(AP232&lt;1,$V$8,$V$2&amp;" "&amp;AP232&amp;" "&amp;$V$1),IF(AB232="SKLADEM",$V$6,IFERROR(IF(OR(AB232-TODAY()&gt;21,VLOOKUP(C232,[1]List1!$A:$E,4,FALSE)=0),AB232,DAY(AB232)&amp;"."&amp;MONTH(AB232)&amp;"."&amp;YEAR(AB232)&amp;" "&amp;$V$4&amp;VLOOKUP(C232,[1]List1!$A:$E,4,FALSE)&amp;" "&amp;$V$1),AB232))))</f>
        <v>AUF LAGER</v>
      </c>
      <c r="AD232" s="772" t="str">
        <f t="shared" ref="AD232:AD239" ca="1" si="91">IFERROR(IF(AU232&lt;&gt;"",AU232,AC232),AC232)</f>
        <v>AUF LAGER</v>
      </c>
      <c r="AE232" s="605"/>
      <c r="AF232" s="605"/>
      <c r="AG232" s="615"/>
      <c r="AH232" s="616"/>
      <c r="AI232" s="615"/>
      <c r="AJ232" s="617"/>
      <c r="AK232" s="617"/>
      <c r="AL232" s="617"/>
      <c r="AM232" s="617"/>
      <c r="AO232" s="567" t="str">
        <f t="shared" si="82"/>
        <v/>
      </c>
      <c r="AP232" s="568" t="str">
        <f>IF(AB232=$V$3,IF(VLOOKUP(C232,[1]List1!$A:$E,5,FALSE)=0,1,VLOOKUP(C232,[1]List1!$A:$E,5,FALSE)),"")</f>
        <v/>
      </c>
      <c r="AQ232" s="292" t="str">
        <f t="shared" si="83"/>
        <v/>
      </c>
      <c r="AR232" s="618" t="str">
        <f t="shared" si="84"/>
        <v/>
      </c>
      <c r="AS232" s="292" t="str">
        <f t="shared" si="85"/>
        <v/>
      </c>
      <c r="AT232" s="377" t="e">
        <f t="shared" si="86"/>
        <v>#N/A</v>
      </c>
      <c r="AU232" s="292" t="e">
        <f t="shared" si="87"/>
        <v>#N/A</v>
      </c>
    </row>
    <row r="233" spans="1:47" ht="15" customHeight="1">
      <c r="A233" s="601" t="str">
        <f>Kat.!B233</f>
        <v/>
      </c>
      <c r="B233" s="601">
        <f t="shared" si="73"/>
        <v>1</v>
      </c>
      <c r="C233" s="783" t="s">
        <v>1012</v>
      </c>
      <c r="D233" s="783"/>
      <c r="E233" s="764"/>
      <c r="F233" s="761"/>
      <c r="G233" s="762"/>
      <c r="H233" s="596"/>
      <c r="I233" s="763"/>
      <c r="J233" s="764"/>
      <c r="K233" s="781"/>
      <c r="L233" s="769"/>
      <c r="M233" s="764"/>
      <c r="N233" s="767"/>
      <c r="O233" s="763"/>
      <c r="P233" s="763"/>
      <c r="Q233" s="764"/>
      <c r="R233" s="764"/>
      <c r="S233" s="764"/>
      <c r="T233" s="764"/>
      <c r="U233" s="768"/>
      <c r="V233" s="768"/>
      <c r="W233" s="769" t="str">
        <f>IFERROR(VLOOKUP('General price list'!$C233,Popisy!A:P,MATCH($W$17,Popisy!$A$7:$P$7,0),FALSE),"---------------")</f>
        <v>Silberne pfeifende Kometen mit der Explosion</v>
      </c>
      <c r="X233" s="769" t="str">
        <f t="shared" si="90"/>
        <v/>
      </c>
      <c r="Y233" s="770">
        <f>IF(OR(AP233&lt;AA233,AND(NOT(OR(LEFT(AB233,3)="SKL",LEFT(AB233,3)=LEFT($V$2,3))),AA233&gt;0),AND('Deutsche Markt'!$AH$1=FALSE,J233="F4",AA233&gt;0)),"",AA233)</f>
        <v>0</v>
      </c>
      <c r="Z233" s="769"/>
      <c r="AA233" s="771">
        <f>'Deutsche Markt'!AA233</f>
        <v>0</v>
      </c>
      <c r="AB233" s="772" t="str">
        <f>IFERROR(IF(VLOOKUP(C233,[1]List1!$A:$D,2,FALSE)="VYPRODÁNO",$V$9,IF(VLOOKUP(C233,[1]List1!$A:$D,2,FALSE)="DOCHÁZÍ",$V$3,VLOOKUP(C233,[1]List1!$A:$D,2,FALSE))),"OFFLINE!")</f>
        <v>SKLADEM</v>
      </c>
      <c r="AC233" s="772" t="str">
        <f ca="1">IF(AO233="NE",$V$10,IF(AB233=$V$3,IF(AP233&lt;1,$V$8,$V$2&amp;" "&amp;AP233&amp;" "&amp;$V$1),IF(AB233="SKLADEM",$V$6,IFERROR(IF(OR(AB233-TODAY()&gt;21,VLOOKUP(C233,[1]List1!$A:$E,4,FALSE)=0),AB233,DAY(AB233)&amp;"."&amp;MONTH(AB233)&amp;"."&amp;YEAR(AB233)&amp;" "&amp;$V$4&amp;VLOOKUP(C233,[1]List1!$A:$E,4,FALSE)&amp;" "&amp;$V$1),AB233))))</f>
        <v>AUF LAGER</v>
      </c>
      <c r="AD233" s="772" t="str">
        <f t="shared" ca="1" si="91"/>
        <v>AUF LAGER</v>
      </c>
      <c r="AE233" s="605"/>
      <c r="AF233" s="605"/>
      <c r="AG233" s="615"/>
      <c r="AH233" s="616"/>
      <c r="AI233" s="615"/>
      <c r="AJ233" s="617"/>
      <c r="AK233" s="617"/>
      <c r="AL233" s="617"/>
      <c r="AM233" s="617"/>
      <c r="AO233" s="567" t="str">
        <f t="shared" si="82"/>
        <v/>
      </c>
      <c r="AP233" s="568" t="str">
        <f>IF(AB233=$V$3,IF(VLOOKUP(C233,[1]List1!$A:$E,5,FALSE)=0,1,VLOOKUP(C233,[1]List1!$A:$E,5,FALSE)),"")</f>
        <v/>
      </c>
      <c r="AQ233" s="292" t="str">
        <f t="shared" si="83"/>
        <v/>
      </c>
      <c r="AR233" s="618" t="str">
        <f t="shared" si="84"/>
        <v/>
      </c>
      <c r="AS233" s="292" t="str">
        <f t="shared" si="85"/>
        <v/>
      </c>
      <c r="AT233" s="377" t="e">
        <f t="shared" si="86"/>
        <v>#N/A</v>
      </c>
      <c r="AU233" s="292" t="e">
        <f t="shared" si="87"/>
        <v>#N/A</v>
      </c>
    </row>
    <row r="234" spans="1:47" ht="15" customHeight="1">
      <c r="A234" s="601" t="str">
        <f>Kat.!B234</f>
        <v/>
      </c>
      <c r="B234" s="601">
        <f t="shared" si="73"/>
        <v>1</v>
      </c>
      <c r="C234" s="758" t="s">
        <v>1015</v>
      </c>
      <c r="D234" s="759"/>
      <c r="E234" s="760"/>
      <c r="F234" s="761"/>
      <c r="G234" s="762"/>
      <c r="H234" s="596"/>
      <c r="I234" s="763"/>
      <c r="J234" s="764"/>
      <c r="K234" s="774"/>
      <c r="L234" s="766"/>
      <c r="M234" s="764"/>
      <c r="N234" s="777"/>
      <c r="O234" s="763"/>
      <c r="P234" s="763"/>
      <c r="Q234" s="764"/>
      <c r="R234" s="764"/>
      <c r="S234" s="764"/>
      <c r="T234" s="764"/>
      <c r="U234" s="768"/>
      <c r="V234" s="768"/>
      <c r="W234" s="769" t="str">
        <f>IFERROR(VLOOKUP('General price list'!$C234,Popisy!A:P,MATCH($W$17,Popisy!$A$7:$P$7,0),FALSE),"---------------")</f>
        <v>Silberne pfeifende Kometen mit der Explosion</v>
      </c>
      <c r="X234" s="769" t="str">
        <f t="shared" si="90"/>
        <v/>
      </c>
      <c r="Y234" s="770">
        <f>IF(OR(AP234&lt;AA234,AND(NOT(OR(LEFT(AB234,3)="SKL",LEFT(AB234,3)=LEFT($V$2,3))),AA234&gt;0),AND('Deutsche Markt'!$AH$1=FALSE,J234="F4",AA234&gt;0)),"",AA234)</f>
        <v>0</v>
      </c>
      <c r="Z234" s="769"/>
      <c r="AA234" s="771">
        <f>'Deutsche Markt'!AA234</f>
        <v>0</v>
      </c>
      <c r="AB234" s="772" t="str">
        <f>IFERROR(IF(VLOOKUP(C234,[1]List1!$A:$D,2,FALSE)="VYPRODÁNO",$V$9,IF(VLOOKUP(C234,[1]List1!$A:$D,2,FALSE)="DOCHÁZÍ",$V$3,VLOOKUP(C234,[1]List1!$A:$D,2,FALSE))),"OFFLINE!")</f>
        <v>SKLADEM</v>
      </c>
      <c r="AC234" s="772" t="str">
        <f ca="1">IF(AO234="NE",$V$10,IF(AB234=$V$3,IF(AP234&lt;1,$V$8,$V$2&amp;" "&amp;AP234&amp;" "&amp;$V$1),IF(AB234="SKLADEM",$V$6,IFERROR(IF(OR(AB234-TODAY()&gt;21,VLOOKUP(C234,[1]List1!$A:$E,4,FALSE)=0),AB234,DAY(AB234)&amp;"."&amp;MONTH(AB234)&amp;"."&amp;YEAR(AB234)&amp;" "&amp;$V$4&amp;VLOOKUP(C234,[1]List1!$A:$E,4,FALSE)&amp;" "&amp;$V$1),AB234))))</f>
        <v>AUF LAGER</v>
      </c>
      <c r="AD234" s="772" t="str">
        <f t="shared" ca="1" si="91"/>
        <v>AUF LAGER</v>
      </c>
      <c r="AE234" s="605"/>
      <c r="AF234" s="605"/>
      <c r="AG234" s="615"/>
      <c r="AH234" s="616"/>
      <c r="AI234" s="615"/>
      <c r="AJ234" s="617"/>
      <c r="AK234" s="617"/>
      <c r="AL234" s="617"/>
      <c r="AM234" s="617"/>
      <c r="AO234" s="567" t="str">
        <f t="shared" si="82"/>
        <v/>
      </c>
      <c r="AP234" s="568" t="str">
        <f>IF(AB234=$V$3,IF(VLOOKUP(C234,[1]List1!$A:$E,5,FALSE)=0,1,VLOOKUP(C234,[1]List1!$A:$E,5,FALSE)),"")</f>
        <v/>
      </c>
      <c r="AQ234" s="292" t="str">
        <f t="shared" si="83"/>
        <v/>
      </c>
      <c r="AR234" s="618" t="str">
        <f t="shared" si="84"/>
        <v/>
      </c>
      <c r="AS234" s="292" t="str">
        <f t="shared" si="85"/>
        <v/>
      </c>
      <c r="AT234" s="377" t="e">
        <f t="shared" si="86"/>
        <v>#N/A</v>
      </c>
      <c r="AU234" s="292" t="e">
        <f t="shared" si="87"/>
        <v>#N/A</v>
      </c>
    </row>
    <row r="235" spans="1:47" ht="15" customHeight="1">
      <c r="A235" s="601" t="str">
        <f>Kat.!B235</f>
        <v/>
      </c>
      <c r="B235" s="601">
        <f t="shared" si="73"/>
        <v>1</v>
      </c>
      <c r="C235" s="783" t="s">
        <v>1016</v>
      </c>
      <c r="D235" s="783"/>
      <c r="E235" s="764"/>
      <c r="F235" s="761"/>
      <c r="G235" s="762"/>
      <c r="H235" s="596"/>
      <c r="I235" s="787"/>
      <c r="J235" s="764"/>
      <c r="K235" s="781"/>
      <c r="L235" s="787"/>
      <c r="M235" s="764"/>
      <c r="N235" s="767"/>
      <c r="O235" s="763"/>
      <c r="P235" s="763"/>
      <c r="Q235" s="764"/>
      <c r="R235" s="764"/>
      <c r="S235" s="764"/>
      <c r="T235" s="764"/>
      <c r="U235" s="768"/>
      <c r="V235" s="768"/>
      <c r="W235" s="769" t="str">
        <f>IFERROR(VLOOKUP('General price list'!$C235,Popisy!A:P,MATCH($W$17,Popisy!$A$7:$P$7,0),FALSE),"---------------")</f>
        <v>Silberne pfeifende Kometen mit der Explosion</v>
      </c>
      <c r="X235" s="769" t="str">
        <f t="shared" si="90"/>
        <v/>
      </c>
      <c r="Y235" s="770">
        <f>IF(OR(AP235&lt;AA235,AND(NOT(OR(LEFT(AB235,3)="SKL",LEFT(AB235,3)=LEFT($V$2,3))),AA235&gt;0),AND('Deutsche Markt'!$AH$1=FALSE,J235="F4",AA235&gt;0)),"",AA235)</f>
        <v>0</v>
      </c>
      <c r="Z235" s="769"/>
      <c r="AA235" s="771">
        <f>'Deutsche Markt'!AA235</f>
        <v>0</v>
      </c>
      <c r="AB235" s="772" t="str">
        <f>IFERROR(IF(VLOOKUP(C235,[1]List1!$A:$D,2,FALSE)="VYPRODÁNO",$V$9,IF(VLOOKUP(C235,[1]List1!$A:$D,2,FALSE)="DOCHÁZÍ",$V$3,VLOOKUP(C235,[1]List1!$A:$D,2,FALSE))),"OFFLINE!")</f>
        <v>15.05.2024</v>
      </c>
      <c r="AC235" s="772" t="str">
        <f ca="1">IF(AO235="NE",$V$10,IF(AB235=$V$3,IF(AP235&lt;1,$V$8,$V$2&amp;" "&amp;AP235&amp;" "&amp;$V$1),IF(AB235="SKLADEM",$V$6,IFERROR(IF(OR(AB235-TODAY()&gt;21,VLOOKUP(C235,[1]List1!$A:$E,4,FALSE)=0),AB235,DAY(AB235)&amp;"."&amp;MONTH(AB235)&amp;"."&amp;YEAR(AB235)&amp;" "&amp;$V$4&amp;VLOOKUP(C235,[1]List1!$A:$E,4,FALSE)&amp;" "&amp;$V$1),AB235))))</f>
        <v>15.05.2024</v>
      </c>
      <c r="AD235" s="772" t="str">
        <f t="shared" ca="1" si="91"/>
        <v>15.05.2024</v>
      </c>
      <c r="AE235" s="605"/>
      <c r="AF235" s="605"/>
      <c r="AG235" s="615"/>
      <c r="AH235" s="616"/>
      <c r="AI235" s="615"/>
      <c r="AJ235" s="617"/>
      <c r="AK235" s="617"/>
      <c r="AL235" s="617"/>
      <c r="AM235" s="617"/>
      <c r="AO235" s="567" t="str">
        <f t="shared" si="82"/>
        <v/>
      </c>
      <c r="AP235" s="568" t="str">
        <f>IF(AB235=$V$3,IF(VLOOKUP(C235,[1]List1!$A:$E,5,FALSE)=0,1,VLOOKUP(C235,[1]List1!$A:$E,5,FALSE)),"")</f>
        <v/>
      </c>
      <c r="AQ235" s="292" t="str">
        <f t="shared" si="83"/>
        <v/>
      </c>
      <c r="AR235" s="618" t="str">
        <f t="shared" si="84"/>
        <v/>
      </c>
      <c r="AS235" s="292" t="str">
        <f t="shared" si="85"/>
        <v/>
      </c>
      <c r="AT235" s="377" t="e">
        <f t="shared" si="86"/>
        <v>#N/A</v>
      </c>
      <c r="AU235" s="292" t="e">
        <f t="shared" si="87"/>
        <v>#N/A</v>
      </c>
    </row>
    <row r="236" spans="1:47" ht="15" customHeight="1">
      <c r="A236" s="599" t="str">
        <f>Kat.!$B$1&amp;Kat.!B236</f>
        <v>Batterien 100 schuss, 8mm Mörser-1.4G</v>
      </c>
      <c r="B236" s="601">
        <f t="shared" si="73"/>
        <v>0</v>
      </c>
      <c r="C236" s="599"/>
      <c r="D236" s="599"/>
      <c r="E236" s="599"/>
      <c r="F236" s="600"/>
      <c r="G236" s="599"/>
      <c r="H236" s="599"/>
      <c r="I236" s="599"/>
      <c r="J236" s="599"/>
      <c r="K236" s="708"/>
      <c r="L236" s="599"/>
      <c r="M236" s="599"/>
      <c r="N236" s="599"/>
      <c r="O236" s="599"/>
      <c r="P236" s="599"/>
      <c r="Q236" s="599"/>
      <c r="R236" s="599"/>
      <c r="S236" s="599"/>
      <c r="T236" s="599"/>
      <c r="U236" s="599"/>
      <c r="V236" s="599"/>
      <c r="W236" s="599" t="str">
        <f>IFERROR(VLOOKUP('General price list'!$C236,Popisy!A:P,MATCH($W$17,Popisy!$A$7:$P$7,0),FALSE),"---------------")</f>
        <v>---------------</v>
      </c>
      <c r="X236" s="599" t="str">
        <f t="shared" si="90"/>
        <v/>
      </c>
      <c r="Y236" s="770">
        <f>IF(OR(AP236&lt;AA236,AND(NOT(OR(LEFT(AB236,3)="SKL",LEFT(AB236,3)=LEFT($V$2,3))),AA236&gt;0),AND('Deutsche Markt'!$AH$1=FALSE,J236="F4",AA236&gt;0)),"",AA236)</f>
        <v>0</v>
      </c>
      <c r="Z236" s="599"/>
      <c r="AA236" s="771">
        <f>'Deutsche Markt'!AA236</f>
        <v>0</v>
      </c>
      <c r="AB236" s="599" t="str">
        <f>IFERROR(IF(VLOOKUP(C236,[1]List1!$A:$D,2,FALSE)="VYPRODÁNO",$V$9,IF(VLOOKUP(C236,[1]List1!$A:$D,2,FALSE)="DOCHÁZÍ",$V$3,VLOOKUP(C236,[1]List1!$A:$D,2,FALSE))),"OFFLINE!")</f>
        <v>OFFLINE!</v>
      </c>
      <c r="AC236" s="599" t="str">
        <f ca="1">IF(AO236="NE",$V$10,IF(AB236=$V$3,IF(AP236&lt;1,$V$8,$V$2&amp;" "&amp;AP236&amp;" "&amp;$V$1),IF(AB236="SKLADEM",$V$6,IFERROR(IF(OR(AB236-TODAY()&gt;21,VLOOKUP(C236,[1]List1!$A:$E,4,FALSE)=0),AB236,DAY(AB236)&amp;"."&amp;MONTH(AB236)&amp;"."&amp;YEAR(AB236)&amp;" "&amp;$V$4&amp;VLOOKUP(C236,[1]List1!$A:$E,4,FALSE)&amp;" "&amp;$V$1),AB236))))</f>
        <v>OFFLINE!</v>
      </c>
      <c r="AD236" s="599" t="str">
        <f t="shared" ca="1" si="91"/>
        <v>OFFLINE!</v>
      </c>
      <c r="AE236" s="599"/>
      <c r="AF236" s="599"/>
      <c r="AG236" s="599"/>
      <c r="AH236" s="599"/>
      <c r="AI236" s="599"/>
      <c r="AJ236" s="599"/>
      <c r="AK236" s="599"/>
      <c r="AL236" s="599"/>
      <c r="AM236" s="599"/>
      <c r="AN236" s="566"/>
      <c r="AO236" s="567" t="str">
        <f t="shared" si="82"/>
        <v/>
      </c>
      <c r="AP236" s="568" t="str">
        <f>IF(AB236=$V$3,IF(VLOOKUP(C236,[1]List1!$A:$E,5,FALSE)=0,1,VLOOKUP(C236,[1]List1!$A:$E,5,FALSE)),"")</f>
        <v/>
      </c>
      <c r="AQ236" s="292" t="str">
        <f t="shared" si="83"/>
        <v/>
      </c>
      <c r="AR236" s="618" t="str">
        <f t="shared" si="84"/>
        <v/>
      </c>
      <c r="AS236" s="292" t="str">
        <f t="shared" si="85"/>
        <v/>
      </c>
      <c r="AT236" s="377" t="e">
        <f t="shared" si="86"/>
        <v>#N/A</v>
      </c>
      <c r="AU236" s="292" t="e">
        <f t="shared" si="87"/>
        <v>#N/A</v>
      </c>
    </row>
    <row r="237" spans="1:47" ht="15" customHeight="1">
      <c r="A237" s="601" t="str">
        <f>Kat.!B237</f>
        <v/>
      </c>
      <c r="B237" s="601">
        <f t="shared" si="73"/>
        <v>1</v>
      </c>
      <c r="C237" s="758" t="s">
        <v>4825</v>
      </c>
      <c r="D237" s="759"/>
      <c r="E237" s="760"/>
      <c r="F237" s="761"/>
      <c r="G237" s="762"/>
      <c r="H237" s="596"/>
      <c r="I237" s="763"/>
      <c r="J237" s="764"/>
      <c r="K237" s="781"/>
      <c r="L237" s="766"/>
      <c r="M237" s="764"/>
      <c r="N237" s="767"/>
      <c r="O237" s="763"/>
      <c r="P237" s="763"/>
      <c r="Q237" s="764"/>
      <c r="R237" s="764"/>
      <c r="S237" s="764"/>
      <c r="T237" s="761"/>
      <c r="U237" s="768"/>
      <c r="V237" s="768"/>
      <c r="W237" s="769" t="str">
        <f>IFERROR(VLOOKUP('General price list'!$C237,Popisy!A:P,MATCH($W$17,Popisy!$A$7:$P$7,0),FALSE),"---------------")</f>
        <v>Bunte und knisternde Kometen</v>
      </c>
      <c r="X237" s="769" t="str">
        <f t="shared" si="90"/>
        <v/>
      </c>
      <c r="Y237" s="770">
        <f>IF(OR(AP237&lt;AA237,AND(NOT(OR(LEFT(AB237,3)="SKL",LEFT(AB237,3)=LEFT($V$2,3))),AA237&gt;0),AND('Deutsche Markt'!$AH$1=FALSE,J237="F4",AA237&gt;0)),"",AA237)</f>
        <v>0</v>
      </c>
      <c r="Z237" s="769"/>
      <c r="AA237" s="771">
        <f>'Deutsche Markt'!AA237</f>
        <v>0</v>
      </c>
      <c r="AB237" s="772" t="str">
        <f>IFERROR(IF(VLOOKUP(C237,[1]List1!$A:$D,2,FALSE)="VYPRODÁNO",$V$9,IF(VLOOKUP(C237,[1]List1!$A:$D,2,FALSE)="DOCHÁZÍ",$V$3,VLOOKUP(C237,[1]List1!$A:$D,2,FALSE))),"OFFLINE!")</f>
        <v>SKLADEM</v>
      </c>
      <c r="AC237" s="772" t="str">
        <f ca="1">IF(AO237="NE",$V$10,IF(AB237=$V$3,IF(AP237&lt;1,$V$8,$V$2&amp;" "&amp;AP237&amp;" "&amp;$V$1),IF(AB237="SKLADEM",$V$6,IFERROR(IF(OR(AB237-TODAY()&gt;21,VLOOKUP(C237,[1]List1!$A:$E,4,FALSE)=0),AB237,DAY(AB237)&amp;"."&amp;MONTH(AB237)&amp;"."&amp;YEAR(AB237)&amp;" "&amp;$V$4&amp;VLOOKUP(C237,[1]List1!$A:$E,4,FALSE)&amp;" "&amp;$V$1),AB237))))</f>
        <v>AUF LAGER</v>
      </c>
      <c r="AD237" s="772" t="str">
        <f t="shared" ca="1" si="91"/>
        <v>AUF LAGER</v>
      </c>
      <c r="AE237" s="605"/>
      <c r="AF237" s="605"/>
      <c r="AG237" s="615"/>
      <c r="AH237" s="616"/>
      <c r="AI237" s="615"/>
      <c r="AJ237" s="617"/>
      <c r="AK237" s="617"/>
      <c r="AL237" s="617"/>
      <c r="AM237" s="617"/>
      <c r="AO237" s="567" t="str">
        <f t="shared" si="82"/>
        <v/>
      </c>
      <c r="AP237" s="568" t="str">
        <f>IF(AB237=$V$3,IF(VLOOKUP(C237,[1]List1!$A:$E,5,FALSE)=0,1,VLOOKUP(C237,[1]List1!$A:$E,5,FALSE)),"")</f>
        <v/>
      </c>
      <c r="AQ237" s="292" t="str">
        <f t="shared" si="83"/>
        <v/>
      </c>
      <c r="AR237" s="618" t="str">
        <f t="shared" si="84"/>
        <v/>
      </c>
      <c r="AS237" s="292" t="str">
        <f t="shared" si="85"/>
        <v/>
      </c>
      <c r="AT237" s="377" t="e">
        <f t="shared" si="86"/>
        <v>#N/A</v>
      </c>
      <c r="AU237" s="292" t="e">
        <f t="shared" si="87"/>
        <v>#N/A</v>
      </c>
    </row>
    <row r="238" spans="1:47" ht="15" customHeight="1">
      <c r="A238" s="601" t="str">
        <f>Kat.!B238</f>
        <v>Batterien 16 schuss, 14mm Mörser-1.4G</v>
      </c>
      <c r="B238" s="601">
        <f t="shared" si="73"/>
        <v>0</v>
      </c>
      <c r="C238" s="758"/>
      <c r="D238" s="759"/>
      <c r="E238" s="760"/>
      <c r="F238" s="761"/>
      <c r="G238" s="762"/>
      <c r="H238" s="596"/>
      <c r="I238" s="763"/>
      <c r="J238" s="764"/>
      <c r="K238" s="774"/>
      <c r="L238" s="766"/>
      <c r="M238" s="764"/>
      <c r="N238" s="777"/>
      <c r="O238" s="763"/>
      <c r="P238" s="763"/>
      <c r="Q238" s="764"/>
      <c r="R238" s="764"/>
      <c r="S238" s="764"/>
      <c r="T238" s="764"/>
      <c r="U238" s="768"/>
      <c r="V238" s="768"/>
      <c r="W238" s="769" t="str">
        <f>IFERROR(VLOOKUP('General price list'!$C238,Popisy!A:P,MATCH($W$17,Popisy!$A$7:$P$7,0),FALSE),"---------------")</f>
        <v>---------------</v>
      </c>
      <c r="X238" s="769" t="str">
        <f t="shared" si="90"/>
        <v/>
      </c>
      <c r="Y238" s="770">
        <f>IF(OR(AP238&lt;AA238,AND(NOT(OR(LEFT(AB238,3)="SKL",LEFT(AB238,3)=LEFT($V$2,3))),AA238&gt;0),AND('Deutsche Markt'!$AH$1=FALSE,J238="F4",AA238&gt;0)),"",AA238)</f>
        <v>0</v>
      </c>
      <c r="Z238" s="769"/>
      <c r="AA238" s="771">
        <f>'Deutsche Markt'!AA238</f>
        <v>0</v>
      </c>
      <c r="AB238" s="772" t="str">
        <f>IFERROR(IF(VLOOKUP(C238,[1]List1!$A:$D,2,FALSE)="VYPRODÁNO",$V$9,IF(VLOOKUP(C238,[1]List1!$A:$D,2,FALSE)="DOCHÁZÍ",$V$3,VLOOKUP(C238,[1]List1!$A:$D,2,FALSE))),"OFFLINE!")</f>
        <v>OFFLINE!</v>
      </c>
      <c r="AC238" s="772" t="str">
        <f ca="1">IF(AO238="NE",$V$10,IF(AB238=$V$3,IF(AP238&lt;1,$V$8,$V$2&amp;" "&amp;AP238&amp;" "&amp;$V$1),IF(AB238="SKLADEM",$V$6,IFERROR(IF(OR(AB238-TODAY()&gt;21,VLOOKUP(C238,[1]List1!$A:$E,4,FALSE)=0),AB238,DAY(AB238)&amp;"."&amp;MONTH(AB238)&amp;"."&amp;YEAR(AB238)&amp;" "&amp;$V$4&amp;VLOOKUP(C238,[1]List1!$A:$E,4,FALSE)&amp;" "&amp;$V$1),AB238))))</f>
        <v>OFFLINE!</v>
      </c>
      <c r="AD238" s="772" t="str">
        <f t="shared" ca="1" si="91"/>
        <v>OFFLINE!</v>
      </c>
      <c r="AE238" s="605"/>
      <c r="AF238" s="605"/>
      <c r="AG238" s="615"/>
      <c r="AH238" s="616"/>
      <c r="AI238" s="615"/>
      <c r="AJ238" s="617"/>
      <c r="AK238" s="617"/>
      <c r="AL238" s="617"/>
      <c r="AM238" s="617"/>
      <c r="AO238" s="567" t="str">
        <f t="shared" si="82"/>
        <v/>
      </c>
      <c r="AP238" s="568" t="str">
        <f>IF(AB238=$V$3,IF(VLOOKUP(C238,[1]List1!$A:$E,5,FALSE)=0,1,VLOOKUP(C238,[1]List1!$A:$E,5,FALSE)),"")</f>
        <v/>
      </c>
      <c r="AQ238" s="292" t="str">
        <f t="shared" si="83"/>
        <v/>
      </c>
      <c r="AR238" s="618" t="str">
        <f t="shared" si="84"/>
        <v/>
      </c>
      <c r="AS238" s="292" t="str">
        <f t="shared" si="85"/>
        <v/>
      </c>
      <c r="AT238" s="377" t="e">
        <f t="shared" si="86"/>
        <v>#N/A</v>
      </c>
      <c r="AU238" s="292" t="e">
        <f t="shared" si="87"/>
        <v>#N/A</v>
      </c>
    </row>
    <row r="239" spans="1:47" ht="15" customHeight="1">
      <c r="A239" s="601" t="str">
        <f>Kat.!$B$1&amp;Kat.!B239</f>
        <v/>
      </c>
      <c r="B239" s="601">
        <f t="shared" si="73"/>
        <v>1</v>
      </c>
      <c r="C239" s="620" t="s">
        <v>1018</v>
      </c>
      <c r="D239" s="603"/>
      <c r="E239" s="604"/>
      <c r="F239" s="605"/>
      <c r="G239" s="606"/>
      <c r="H239" s="607"/>
      <c r="I239" s="608"/>
      <c r="J239" s="609"/>
      <c r="K239" s="708"/>
      <c r="L239" s="623"/>
      <c r="M239" s="609"/>
      <c r="N239" s="612"/>
      <c r="O239" s="608"/>
      <c r="P239" s="608"/>
      <c r="Q239" s="609"/>
      <c r="R239" s="609"/>
      <c r="S239" s="609"/>
      <c r="T239" s="605"/>
      <c r="U239" s="613"/>
      <c r="V239" s="613"/>
      <c r="W239" s="601" t="str">
        <f>IFERROR(VLOOKUP('General price list'!$C239,Popisy!A:P,MATCH($W$17,Popisy!$A$7:$P$7,0),FALSE),"---------------")</f>
        <v>4 verschiedenfarbige Effekte</v>
      </c>
      <c r="X239" s="601" t="str">
        <f t="shared" si="90"/>
        <v/>
      </c>
      <c r="Y239" s="770">
        <f>IF(OR(AP239&lt;AA239,AND(NOT(OR(LEFT(AB239,3)="SKL",LEFT(AB239,3)=LEFT($V$2,3))),AA239&gt;0),AND('Deutsche Markt'!$AH$1=FALSE,J239="F4",AA239&gt;0)),"",AA239)</f>
        <v>0</v>
      </c>
      <c r="Z239" s="601"/>
      <c r="AA239" s="771">
        <f>'Deutsche Markt'!AA239</f>
        <v>0</v>
      </c>
      <c r="AB239" s="614" t="str">
        <f>IFERROR(IF(VLOOKUP(C239,[1]List1!$A:$D,2,FALSE)="VYPRODÁNO",$V$9,IF(VLOOKUP(C239,[1]List1!$A:$D,2,FALSE)="DOCHÁZÍ",$V$3,VLOOKUP(C239,[1]List1!$A:$D,2,FALSE))),"OFFLINE!")</f>
        <v>30.09.2024</v>
      </c>
      <c r="AC239" s="614" t="str">
        <f ca="1">IF(AO239="NE",$V$10,IF(AB239=$V$3,IF(AP239&lt;1,$V$8,$V$2&amp;" "&amp;AP239&amp;" "&amp;$V$1),IF(AB239="SKLADEM",$V$6,IFERROR(IF(OR(AB239-TODAY()&gt;21,VLOOKUP(C239,[1]List1!$A:$E,4,FALSE)=0),AB239,DAY(AB239)&amp;"."&amp;MONTH(AB239)&amp;"."&amp;YEAR(AB239)&amp;" "&amp;$V$4&amp;VLOOKUP(C239,[1]List1!$A:$E,4,FALSE)&amp;" "&amp;$V$1),AB239))))</f>
        <v>30.09.2024</v>
      </c>
      <c r="AD239" s="614" t="str">
        <f t="shared" ca="1" si="91"/>
        <v>30.09.2024</v>
      </c>
      <c r="AE239" s="605"/>
      <c r="AF239" s="605"/>
      <c r="AG239" s="615"/>
      <c r="AH239" s="616"/>
      <c r="AI239" s="615"/>
      <c r="AJ239" s="617"/>
      <c r="AK239" s="617"/>
      <c r="AL239" s="617"/>
      <c r="AM239" s="617"/>
      <c r="AO239" s="567" t="str">
        <f t="shared" si="82"/>
        <v/>
      </c>
      <c r="AP239" s="568" t="str">
        <f>IF(AB239=$V$3,IF(VLOOKUP(C239,[1]List1!$A:$E,5,FALSE)=0,1,VLOOKUP(C239,[1]List1!$A:$E,5,FALSE)),"")</f>
        <v/>
      </c>
      <c r="AQ239" s="292" t="str">
        <f t="shared" si="83"/>
        <v/>
      </c>
      <c r="AR239" s="618" t="str">
        <f t="shared" si="84"/>
        <v/>
      </c>
      <c r="AS239" s="292" t="str">
        <f t="shared" si="85"/>
        <v/>
      </c>
      <c r="AT239" s="377" t="e">
        <f t="shared" si="86"/>
        <v>#N/A</v>
      </c>
      <c r="AU239" s="292" t="e">
        <f t="shared" si="87"/>
        <v>#N/A</v>
      </c>
    </row>
    <row r="240" spans="1:47" ht="15" customHeight="1">
      <c r="A240" s="601" t="str">
        <f>Kat.!B240</f>
        <v>Batterien 208 schuss, 14mm normal+ schräg Mörser-1.4G</v>
      </c>
      <c r="B240" s="601">
        <f t="shared" si="73"/>
        <v>0</v>
      </c>
      <c r="C240" s="758"/>
      <c r="D240" s="759"/>
      <c r="E240" s="760"/>
      <c r="F240" s="761"/>
      <c r="G240" s="762"/>
      <c r="H240" s="596"/>
      <c r="I240" s="763"/>
      <c r="J240" s="764"/>
      <c r="K240" s="765"/>
      <c r="L240" s="780"/>
      <c r="M240" s="764"/>
      <c r="N240" s="767"/>
      <c r="O240" s="763"/>
      <c r="P240" s="763"/>
      <c r="Q240" s="764"/>
      <c r="R240" s="764"/>
      <c r="S240" s="764"/>
      <c r="T240" s="761"/>
      <c r="U240" s="768"/>
      <c r="V240" s="768"/>
      <c r="W240" s="769"/>
      <c r="X240" s="769"/>
      <c r="Y240" s="770">
        <f>IF(OR(AP240&lt;AA240,AND(NOT(OR(LEFT(AB240,3)="SKL",LEFT(AB240,3)=LEFT($V$2,3))),AA240&gt;0),AND('Deutsche Markt'!$AH$1=FALSE,J240="F4",AA240&gt;0)),"",AA240)</f>
        <v>0</v>
      </c>
      <c r="Z240" s="769"/>
      <c r="AA240" s="771">
        <f>'Deutsche Markt'!AA240</f>
        <v>0</v>
      </c>
      <c r="AB240" s="772"/>
      <c r="AC240" s="772"/>
      <c r="AD240" s="772"/>
      <c r="AE240" s="605"/>
      <c r="AF240" s="605"/>
      <c r="AG240" s="615"/>
      <c r="AH240" s="616"/>
      <c r="AI240" s="615"/>
      <c r="AJ240" s="617"/>
      <c r="AK240" s="617"/>
      <c r="AL240" s="617"/>
      <c r="AM240" s="617"/>
      <c r="AO240" s="567" t="str">
        <f t="shared" si="82"/>
        <v/>
      </c>
      <c r="AP240" s="568" t="str">
        <f>IF(AB240=$V$3,IF(VLOOKUP(C240,[1]List1!$A:$E,5,FALSE)=0,1,VLOOKUP(C240,[1]List1!$A:$E,5,FALSE)),"")</f>
        <v/>
      </c>
      <c r="AQ240" s="292" t="str">
        <f t="shared" si="83"/>
        <v/>
      </c>
      <c r="AR240" s="618" t="str">
        <f t="shared" si="84"/>
        <v/>
      </c>
      <c r="AS240" s="292" t="str">
        <f t="shared" si="85"/>
        <v/>
      </c>
      <c r="AT240" s="377" t="e">
        <f t="shared" si="86"/>
        <v>#N/A</v>
      </c>
      <c r="AU240" s="292" t="e">
        <f t="shared" si="87"/>
        <v>#N/A</v>
      </c>
    </row>
    <row r="241" spans="1:47" ht="15" customHeight="1">
      <c r="A241" s="601" t="str">
        <f>Kat.!B241</f>
        <v/>
      </c>
      <c r="B241" s="601">
        <f t="shared" si="73"/>
        <v>1</v>
      </c>
      <c r="C241" s="783" t="s">
        <v>2334</v>
      </c>
      <c r="D241" s="783"/>
      <c r="E241" s="764"/>
      <c r="F241" s="761"/>
      <c r="G241" s="762"/>
      <c r="H241" s="595"/>
      <c r="I241" s="764"/>
      <c r="J241" s="764"/>
      <c r="K241" s="773"/>
      <c r="L241" s="764"/>
      <c r="M241" s="764"/>
      <c r="N241" s="764"/>
      <c r="O241" s="764"/>
      <c r="P241" s="764"/>
      <c r="Q241" s="764"/>
      <c r="R241" s="764"/>
      <c r="S241" s="764"/>
      <c r="T241" s="764"/>
      <c r="U241" s="764"/>
      <c r="V241" s="764"/>
      <c r="W241" s="764" t="str">
        <f>IFERROR(VLOOKUP('General price list'!$C241,Popisy!A:P,MATCH($W$17,Popisy!$A$7:$P$7,0),FALSE),"---------------")</f>
        <v>20 verschiedenfarbige Effekte</v>
      </c>
      <c r="X241" s="764" t="str">
        <f t="shared" ref="X241:X246" si="92">IF(AA241&lt;0.0001,"",AA241)</f>
        <v/>
      </c>
      <c r="Y241" s="770">
        <f>IF(OR(AP241&lt;AA241,AND(NOT(OR(LEFT(AB241,3)="SKL",LEFT(AB241,3)=LEFT($V$2,3))),AA241&gt;0),AND('Deutsche Markt'!$AH$1=FALSE,J241="F4",AA241&gt;0)),"",AA241)</f>
        <v>0</v>
      </c>
      <c r="Z241" s="764"/>
      <c r="AA241" s="771">
        <f>'Deutsche Markt'!AA241</f>
        <v>0</v>
      </c>
      <c r="AB241" s="772" t="str">
        <f>IFERROR(IF(VLOOKUP(C241,[1]List1!$A:$D,2,FALSE)="VYPRODÁNO",$V$9,IF(VLOOKUP(C241,[1]List1!$A:$D,2,FALSE)="DOCHÁZÍ",$V$3,VLOOKUP(C241,[1]List1!$A:$D,2,FALSE))),"OFFLINE!")</f>
        <v>30.09.2024</v>
      </c>
      <c r="AC241" s="785" t="str">
        <f ca="1">IF(AO241="NE",$V$10,IF(AB241=$V$3,IF(AP241&lt;1,$V$8,$V$2&amp;" "&amp;AP241&amp;" "&amp;$V$1),IF(AB241="SKLADEM",$V$6,IFERROR(IF(OR(AB241-TODAY()&gt;21,VLOOKUP(C241,[1]List1!$A:$E,4,FALSE)=0),AB241,DAY(AB241)&amp;"."&amp;MONTH(AB241)&amp;"."&amp;YEAR(AB241)&amp;" "&amp;$V$4&amp;VLOOKUP(C241,[1]List1!$A:$E,4,FALSE)&amp;" "&amp;$V$1),AB241))))</f>
        <v>30.09.2024</v>
      </c>
      <c r="AD241" s="785" t="str">
        <f t="shared" ref="AD241:AD246" ca="1" si="93">IFERROR(IF(AU241&lt;&gt;"",AU241,AC241),AC241)</f>
        <v>30.09.2024</v>
      </c>
      <c r="AE241" s="609"/>
      <c r="AF241" s="609"/>
      <c r="AG241" s="627"/>
      <c r="AH241" s="609"/>
      <c r="AI241" s="627"/>
      <c r="AJ241" s="609"/>
      <c r="AK241" s="609"/>
      <c r="AL241" s="609"/>
      <c r="AM241" s="627"/>
      <c r="AO241" s="567" t="str">
        <f t="shared" si="82"/>
        <v/>
      </c>
      <c r="AP241" s="568" t="str">
        <f>IF(AB241=$V$3,IF(VLOOKUP(C241,[1]List1!$A:$E,5,FALSE)=0,1,VLOOKUP(C241,[1]List1!$A:$E,5,FALSE)),"")</f>
        <v/>
      </c>
      <c r="AQ241" s="292" t="str">
        <f t="shared" si="83"/>
        <v/>
      </c>
      <c r="AR241" s="618" t="str">
        <f t="shared" si="84"/>
        <v/>
      </c>
      <c r="AS241" s="292" t="str">
        <f t="shared" si="85"/>
        <v/>
      </c>
      <c r="AT241" s="377" t="e">
        <f t="shared" si="86"/>
        <v>#N/A</v>
      </c>
      <c r="AU241" s="292" t="e">
        <f t="shared" si="87"/>
        <v>#N/A</v>
      </c>
    </row>
    <row r="242" spans="1:47" ht="15" customHeight="1">
      <c r="A242" s="601" t="str">
        <f>Kat.!B242</f>
        <v>Batterien 9 schuss, 20mm Mörser-1.3G</v>
      </c>
      <c r="B242" s="601">
        <f t="shared" si="73"/>
        <v>0</v>
      </c>
      <c r="C242" s="783"/>
      <c r="D242" s="783"/>
      <c r="E242" s="764"/>
      <c r="F242" s="761"/>
      <c r="G242" s="762"/>
      <c r="H242" s="596"/>
      <c r="I242" s="763"/>
      <c r="J242" s="764"/>
      <c r="K242" s="765"/>
      <c r="L242" s="769"/>
      <c r="M242" s="764"/>
      <c r="N242" s="784"/>
      <c r="O242" s="784"/>
      <c r="P242" s="763"/>
      <c r="Q242" s="764"/>
      <c r="R242" s="764"/>
      <c r="S242" s="764"/>
      <c r="T242" s="764"/>
      <c r="U242" s="768"/>
      <c r="V242" s="768"/>
      <c r="W242" s="769" t="str">
        <f>IFERROR(VLOOKUP('General price list'!$C242,Popisy!A:P,MATCH($W$17,Popisy!$A$7:$P$7,0),FALSE),"---------------")</f>
        <v>---------------</v>
      </c>
      <c r="X242" s="769" t="str">
        <f t="shared" si="92"/>
        <v/>
      </c>
      <c r="Y242" s="770">
        <f>IF(OR(AP242&lt;AA242,AND(NOT(OR(LEFT(AB242,3)="SKL",LEFT(AB242,3)=LEFT($V$2,3))),AA242&gt;0),AND('Deutsche Markt'!$AH$1=FALSE,J242="F4",AA242&gt;0)),"",AA242)</f>
        <v>0</v>
      </c>
      <c r="Z242" s="769"/>
      <c r="AA242" s="771">
        <f>'Deutsche Markt'!AA242</f>
        <v>0</v>
      </c>
      <c r="AB242" s="772" t="str">
        <f>IFERROR(IF(VLOOKUP(C242,[1]List1!$A:$D,2,FALSE)="VYPRODÁNO",$V$9,IF(VLOOKUP(C242,[1]List1!$A:$D,2,FALSE)="DOCHÁZÍ",$V$3,VLOOKUP(C242,[1]List1!$A:$D,2,FALSE))),"OFFLINE!")</f>
        <v>OFFLINE!</v>
      </c>
      <c r="AC242" s="772" t="str">
        <f ca="1">IF(AO242="NE",$V$10,IF(AB242=$V$3,IF(AP242&lt;1,$V$8,$V$2&amp;" "&amp;AP242&amp;" "&amp;$V$1),IF(AB242="SKLADEM",$V$6,IFERROR(IF(OR(AB242-TODAY()&gt;21,VLOOKUP(C242,[1]List1!$A:$E,4,FALSE)=0),AB242,DAY(AB242)&amp;"."&amp;MONTH(AB242)&amp;"."&amp;YEAR(AB242)&amp;" "&amp;$V$4&amp;VLOOKUP(C242,[1]List1!$A:$E,4,FALSE)&amp;" "&amp;$V$1),AB242))))</f>
        <v>OFFLINE!</v>
      </c>
      <c r="AD242" s="772" t="str">
        <f t="shared" ca="1" si="93"/>
        <v>OFFLINE!</v>
      </c>
      <c r="AE242" s="605"/>
      <c r="AF242" s="605"/>
      <c r="AG242" s="615"/>
      <c r="AH242" s="616"/>
      <c r="AI242" s="615"/>
      <c r="AJ242" s="617"/>
      <c r="AK242" s="617"/>
      <c r="AL242" s="617"/>
      <c r="AM242" s="617"/>
      <c r="AO242" s="567" t="str">
        <f t="shared" si="82"/>
        <v/>
      </c>
      <c r="AP242" s="568" t="str">
        <f>IF(AB242=$V$3,IF(VLOOKUP(C242,[1]List1!$A:$E,5,FALSE)=0,1,VLOOKUP(C242,[1]List1!$A:$E,5,FALSE)),"")</f>
        <v/>
      </c>
      <c r="AQ242" s="292" t="str">
        <f t="shared" si="83"/>
        <v/>
      </c>
      <c r="AR242" s="618" t="str">
        <f t="shared" si="84"/>
        <v/>
      </c>
      <c r="AS242" s="292" t="str">
        <f t="shared" si="85"/>
        <v/>
      </c>
      <c r="AT242" s="377" t="e">
        <f t="shared" si="86"/>
        <v>#N/A</v>
      </c>
      <c r="AU242" s="292" t="e">
        <f t="shared" si="87"/>
        <v>#N/A</v>
      </c>
    </row>
    <row r="243" spans="1:47" ht="15" customHeight="1">
      <c r="A243" s="601" t="str">
        <f>Kat.!B243</f>
        <v/>
      </c>
      <c r="B243" s="601">
        <f t="shared" si="73"/>
        <v>1</v>
      </c>
      <c r="C243" s="778" t="s">
        <v>1022</v>
      </c>
      <c r="D243" s="778"/>
      <c r="E243" s="778"/>
      <c r="F243" s="779"/>
      <c r="G243" s="778"/>
      <c r="H243" s="778"/>
      <c r="I243" s="778"/>
      <c r="J243" s="778"/>
      <c r="K243" s="773"/>
      <c r="L243" s="778"/>
      <c r="M243" s="778"/>
      <c r="N243" s="778"/>
      <c r="O243" s="778"/>
      <c r="P243" s="778"/>
      <c r="Q243" s="778"/>
      <c r="R243" s="778"/>
      <c r="S243" s="778"/>
      <c r="T243" s="778"/>
      <c r="U243" s="778"/>
      <c r="V243" s="778"/>
      <c r="W243" s="778" t="str">
        <f>IFERROR(VLOOKUP('General price list'!$C243,Popisy!A:P,MATCH($W$17,Popisy!$A$7:$P$7,0),FALSE),"---------------")</f>
        <v>3 verschiedenfarbige Effekte</v>
      </c>
      <c r="X243" s="778" t="str">
        <f t="shared" si="92"/>
        <v/>
      </c>
      <c r="Y243" s="770">
        <f>IF(OR(AP243&lt;AA243,AND(NOT(OR(LEFT(AB243,3)="SKL",LEFT(AB243,3)=LEFT($V$2,3))),AA243&gt;0),AND('Deutsche Markt'!$AH$1=FALSE,J243="F4",AA243&gt;0)),"",AA243)</f>
        <v>0</v>
      </c>
      <c r="Z243" s="778"/>
      <c r="AA243" s="771">
        <f>'Deutsche Markt'!AA243</f>
        <v>0</v>
      </c>
      <c r="AB243" s="778" t="str">
        <f>IFERROR(IF(VLOOKUP(C243,[1]List1!$A:$D,2,FALSE)="VYPRODÁNO",$V$9,IF(VLOOKUP(C243,[1]List1!$A:$D,2,FALSE)="DOCHÁZÍ",$V$3,VLOOKUP(C243,[1]List1!$A:$D,2,FALSE))),"OFFLINE!")</f>
        <v>15.06.2024</v>
      </c>
      <c r="AC243" s="778" t="str">
        <f ca="1">IF(AO243="NE",$V$10,IF(AB243=$V$3,IF(AP243&lt;1,$V$8,$V$2&amp;" "&amp;AP243&amp;" "&amp;$V$1),IF(AB243="SKLADEM",$V$6,IFERROR(IF(OR(AB243-TODAY()&gt;21,VLOOKUP(C243,[1]List1!$A:$E,4,FALSE)=0),AB243,DAY(AB243)&amp;"."&amp;MONTH(AB243)&amp;"."&amp;YEAR(AB243)&amp;" "&amp;$V$4&amp;VLOOKUP(C243,[1]List1!$A:$E,4,FALSE)&amp;" "&amp;$V$1),AB243))))</f>
        <v>15.06.2024</v>
      </c>
      <c r="AD243" s="778" t="str">
        <f t="shared" ca="1" si="93"/>
        <v>15.06.2024</v>
      </c>
      <c r="AE243" s="599"/>
      <c r="AF243" s="599"/>
      <c r="AG243" s="599"/>
      <c r="AH243" s="599"/>
      <c r="AI243" s="599"/>
      <c r="AJ243" s="599"/>
      <c r="AK243" s="599"/>
      <c r="AL243" s="599"/>
      <c r="AM243" s="599"/>
      <c r="AN243" s="566"/>
      <c r="AO243" s="567" t="str">
        <f t="shared" si="82"/>
        <v/>
      </c>
      <c r="AP243" s="568" t="str">
        <f>IF(AB243=$V$3,IF(VLOOKUP(C243,[1]List1!$A:$E,5,FALSE)=0,1,VLOOKUP(C243,[1]List1!$A:$E,5,FALSE)),"")</f>
        <v/>
      </c>
      <c r="AQ243" s="292" t="str">
        <f t="shared" si="83"/>
        <v/>
      </c>
      <c r="AR243" s="618" t="str">
        <f t="shared" si="84"/>
        <v/>
      </c>
      <c r="AS243" s="292" t="str">
        <f t="shared" si="85"/>
        <v/>
      </c>
      <c r="AT243" s="377" t="e">
        <f t="shared" si="86"/>
        <v>#N/A</v>
      </c>
      <c r="AU243" s="292" t="e">
        <f t="shared" si="87"/>
        <v>#N/A</v>
      </c>
    </row>
    <row r="244" spans="1:47" ht="15" customHeight="1">
      <c r="A244" s="601" t="str">
        <f>Kat.!B244</f>
        <v/>
      </c>
      <c r="B244" s="601">
        <f t="shared" si="73"/>
        <v>1</v>
      </c>
      <c r="C244" s="775" t="s">
        <v>1027</v>
      </c>
      <c r="D244" s="759"/>
      <c r="E244" s="760"/>
      <c r="F244" s="761"/>
      <c r="G244" s="762"/>
      <c r="H244" s="596"/>
      <c r="I244" s="763"/>
      <c r="J244" s="764"/>
      <c r="K244" s="765"/>
      <c r="L244" s="782"/>
      <c r="M244" s="764"/>
      <c r="N244" s="767"/>
      <c r="O244" s="777"/>
      <c r="P244" s="763"/>
      <c r="Q244" s="764"/>
      <c r="R244" s="764"/>
      <c r="S244" s="764"/>
      <c r="T244" s="764"/>
      <c r="U244" s="768"/>
      <c r="V244" s="768"/>
      <c r="W244" s="769" t="str">
        <f>IFERROR(VLOOKUP('General price list'!$C244,Popisy!A:P,MATCH($W$17,Popisy!$A$7:$P$7,0),FALSE),"---------------")</f>
        <v>3 verschiedenfarbige Effekte</v>
      </c>
      <c r="X244" s="769" t="str">
        <f t="shared" si="92"/>
        <v/>
      </c>
      <c r="Y244" s="770">
        <f>IF(OR(AP244&lt;AA244,AND(NOT(OR(LEFT(AB244,3)="SKL",LEFT(AB244,3)=LEFT($V$2,3))),AA244&gt;0),AND('Deutsche Markt'!$AH$1=FALSE,J244="F4",AA244&gt;0)),"",AA244)</f>
        <v>0</v>
      </c>
      <c r="Z244" s="769"/>
      <c r="AA244" s="771">
        <f>'Deutsche Markt'!AA244</f>
        <v>0</v>
      </c>
      <c r="AB244" s="772" t="str">
        <f>IFERROR(IF(VLOOKUP(C244,[1]List1!$A:$D,2,FALSE)="VYPRODÁNO",$V$9,IF(VLOOKUP(C244,[1]List1!$A:$D,2,FALSE)="DOCHÁZÍ",$V$3,VLOOKUP(C244,[1]List1!$A:$D,2,FALSE))),"OFFLINE!")</f>
        <v>SKLADEM</v>
      </c>
      <c r="AC244" s="772" t="str">
        <f ca="1">IF(AO244="NE",$V$10,IF(AB244=$V$3,IF(AP244&lt;1,$V$8,$V$2&amp;" "&amp;AP244&amp;" "&amp;$V$1),IF(AB244="SKLADEM",$V$6,IFERROR(IF(OR(AB244-TODAY()&gt;21,VLOOKUP(C244,[1]List1!$A:$E,4,FALSE)=0),AB244,DAY(AB244)&amp;"."&amp;MONTH(AB244)&amp;"."&amp;YEAR(AB244)&amp;" "&amp;$V$4&amp;VLOOKUP(C244,[1]List1!$A:$E,4,FALSE)&amp;" "&amp;$V$1),AB244))))</f>
        <v>AUF LAGER</v>
      </c>
      <c r="AD244" s="772" t="str">
        <f t="shared" ca="1" si="93"/>
        <v>AUF LAGER</v>
      </c>
      <c r="AE244" s="605"/>
      <c r="AF244" s="605"/>
      <c r="AG244" s="615"/>
      <c r="AH244" s="616"/>
      <c r="AI244" s="615"/>
      <c r="AJ244" s="617"/>
      <c r="AK244" s="617"/>
      <c r="AL244" s="617"/>
      <c r="AM244" s="617"/>
      <c r="AO244" s="567" t="str">
        <f t="shared" si="82"/>
        <v/>
      </c>
      <c r="AP244" s="568" t="str">
        <f>IF(AB244=$V$3,IF(VLOOKUP(C244,[1]List1!$A:$E,5,FALSE)=0,1,VLOOKUP(C244,[1]List1!$A:$E,5,FALSE)),"")</f>
        <v/>
      </c>
      <c r="AQ244" s="292" t="str">
        <f t="shared" si="83"/>
        <v/>
      </c>
      <c r="AR244" s="618" t="str">
        <f t="shared" si="84"/>
        <v/>
      </c>
      <c r="AS244" s="292" t="str">
        <f t="shared" si="85"/>
        <v/>
      </c>
      <c r="AT244" s="377" t="e">
        <f t="shared" si="86"/>
        <v>#N/A</v>
      </c>
      <c r="AU244" s="292" t="e">
        <f t="shared" si="87"/>
        <v>#N/A</v>
      </c>
    </row>
    <row r="245" spans="1:47" ht="15" customHeight="1">
      <c r="A245" s="601" t="str">
        <f>Kat.!B245</f>
        <v>Batterien 16 schuss, 20mm Mörser-1.3G</v>
      </c>
      <c r="B245" s="601">
        <f t="shared" si="73"/>
        <v>0</v>
      </c>
      <c r="C245" s="775"/>
      <c r="D245" s="776"/>
      <c r="E245" s="760"/>
      <c r="F245" s="761"/>
      <c r="G245" s="762"/>
      <c r="H245" s="596"/>
      <c r="I245" s="763"/>
      <c r="J245" s="764"/>
      <c r="K245" s="773"/>
      <c r="L245" s="782"/>
      <c r="M245" s="764"/>
      <c r="N245" s="767"/>
      <c r="O245" s="763"/>
      <c r="P245" s="763"/>
      <c r="Q245" s="764"/>
      <c r="R245" s="764"/>
      <c r="S245" s="764"/>
      <c r="T245" s="761"/>
      <c r="U245" s="768"/>
      <c r="V245" s="768"/>
      <c r="W245" s="769" t="str">
        <f>IFERROR(VLOOKUP('General price list'!$C245,Popisy!A:P,MATCH($W$17,Popisy!$A$7:$P$7,0),FALSE),"---------------")</f>
        <v>---------------</v>
      </c>
      <c r="X245" s="769" t="str">
        <f t="shared" si="92"/>
        <v/>
      </c>
      <c r="Y245" s="770">
        <f>IF(OR(AP245&lt;AA245,AND(NOT(OR(LEFT(AB245,3)="SKL",LEFT(AB245,3)=LEFT($V$2,3))),AA245&gt;0),AND('Deutsche Markt'!$AH$1=FALSE,J245="F4",AA245&gt;0)),"",AA245)</f>
        <v>0</v>
      </c>
      <c r="Z245" s="769"/>
      <c r="AA245" s="771">
        <f>'Deutsche Markt'!AA245</f>
        <v>0</v>
      </c>
      <c r="AB245" s="772" t="str">
        <f>IFERROR(IF(VLOOKUP(C245,[1]List1!$A:$D,2,FALSE)="VYPRODÁNO",$V$9,IF(VLOOKUP(C245,[1]List1!$A:$D,2,FALSE)="DOCHÁZÍ",$V$3,VLOOKUP(C245,[1]List1!$A:$D,2,FALSE))),"OFFLINE!")</f>
        <v>OFFLINE!</v>
      </c>
      <c r="AC245" s="772" t="str">
        <f ca="1">IF(AO245="NE",$V$10,IF(AB245=$V$3,IF(AP245&lt;1,$V$8,$V$2&amp;" "&amp;AP245&amp;" "&amp;$V$1),IF(AB245="SKLADEM",$V$6,IFERROR(IF(OR(AB245-TODAY()&gt;21,VLOOKUP(C245,[1]List1!$A:$E,4,FALSE)=0),AB245,DAY(AB245)&amp;"."&amp;MONTH(AB245)&amp;"."&amp;YEAR(AB245)&amp;" "&amp;$V$4&amp;VLOOKUP(C245,[1]List1!$A:$E,4,FALSE)&amp;" "&amp;$V$1),AB245))))</f>
        <v>OFFLINE!</v>
      </c>
      <c r="AD245" s="772" t="str">
        <f t="shared" ca="1" si="93"/>
        <v>OFFLINE!</v>
      </c>
      <c r="AE245" s="605"/>
      <c r="AF245" s="605"/>
      <c r="AG245" s="615"/>
      <c r="AH245" s="616"/>
      <c r="AI245" s="615"/>
      <c r="AJ245" s="617"/>
      <c r="AK245" s="617"/>
      <c r="AL245" s="617"/>
      <c r="AM245" s="617"/>
      <c r="AO245" s="567" t="str">
        <f t="shared" si="82"/>
        <v/>
      </c>
      <c r="AP245" s="568" t="str">
        <f>IF(AB245=$V$3,IF(VLOOKUP(C245,[1]List1!$A:$E,5,FALSE)=0,1,VLOOKUP(C245,[1]List1!$A:$E,5,FALSE)),"")</f>
        <v/>
      </c>
      <c r="AQ245" s="292" t="str">
        <f t="shared" si="83"/>
        <v/>
      </c>
      <c r="AR245" s="618" t="str">
        <f t="shared" si="84"/>
        <v/>
      </c>
      <c r="AS245" s="292" t="str">
        <f t="shared" si="85"/>
        <v/>
      </c>
      <c r="AT245" s="377" t="e">
        <f t="shared" si="86"/>
        <v>#N/A</v>
      </c>
      <c r="AU245" s="292" t="e">
        <f t="shared" si="87"/>
        <v>#N/A</v>
      </c>
    </row>
    <row r="246" spans="1:47" ht="15" customHeight="1">
      <c r="A246" s="601" t="str">
        <f>Kat.!B246</f>
        <v/>
      </c>
      <c r="B246" s="601">
        <f t="shared" si="73"/>
        <v>1</v>
      </c>
      <c r="C246" s="778" t="s">
        <v>1029</v>
      </c>
      <c r="D246" s="778"/>
      <c r="E246" s="778"/>
      <c r="F246" s="779"/>
      <c r="G246" s="778"/>
      <c r="H246" s="778"/>
      <c r="I246" s="778"/>
      <c r="J246" s="778"/>
      <c r="K246" s="765"/>
      <c r="L246" s="778"/>
      <c r="M246" s="778"/>
      <c r="N246" s="778"/>
      <c r="O246" s="778"/>
      <c r="P246" s="778"/>
      <c r="Q246" s="778"/>
      <c r="R246" s="778"/>
      <c r="S246" s="778"/>
      <c r="T246" s="778"/>
      <c r="U246" s="778"/>
      <c r="V246" s="778"/>
      <c r="W246" s="778" t="str">
        <f>IFERROR(VLOOKUP('General price list'!$C246,Popisy!A:P,MATCH($W$17,Popisy!$A$7:$P$7,0),FALSE),"---------------")</f>
        <v>Silberne Mine mit der roten Spur und mit der titanischen Detonation</v>
      </c>
      <c r="X246" s="778" t="str">
        <f t="shared" si="92"/>
        <v/>
      </c>
      <c r="Y246" s="770">
        <f>IF(OR(AP246&lt;AA246,AND(NOT(OR(LEFT(AB246,3)="SKL",LEFT(AB246,3)=LEFT($V$2,3))),AA246&gt;0),AND('Deutsche Markt'!$AH$1=FALSE,J246="F4",AA246&gt;0)),"",AA246)</f>
        <v>0</v>
      </c>
      <c r="Z246" s="778"/>
      <c r="AA246" s="771">
        <f>'Deutsche Markt'!AA246</f>
        <v>0</v>
      </c>
      <c r="AB246" s="778" t="str">
        <f>IFERROR(IF(VLOOKUP(C246,[1]List1!$A:$D,2,FALSE)="VYPRODÁNO",$V$9,IF(VLOOKUP(C246,[1]List1!$A:$D,2,FALSE)="DOCHÁZÍ",$V$3,VLOOKUP(C246,[1]List1!$A:$D,2,FALSE))),"OFFLINE!")</f>
        <v>15.06.2024</v>
      </c>
      <c r="AC246" s="778" t="str">
        <f ca="1">IF(AO246="NE",$V$10,IF(AB246=$V$3,IF(AP246&lt;1,$V$8,$V$2&amp;" "&amp;AP246&amp;" "&amp;$V$1),IF(AB246="SKLADEM",$V$6,IFERROR(IF(OR(AB246-TODAY()&gt;21,VLOOKUP(C246,[1]List1!$A:$E,4,FALSE)=0),AB246,DAY(AB246)&amp;"."&amp;MONTH(AB246)&amp;"."&amp;YEAR(AB246)&amp;" "&amp;$V$4&amp;VLOOKUP(C246,[1]List1!$A:$E,4,FALSE)&amp;" "&amp;$V$1),AB246))))</f>
        <v>15.06.2024</v>
      </c>
      <c r="AD246" s="778" t="str">
        <f t="shared" ca="1" si="93"/>
        <v>15.06.2024</v>
      </c>
      <c r="AE246" s="599"/>
      <c r="AF246" s="599"/>
      <c r="AG246" s="599"/>
      <c r="AH246" s="599"/>
      <c r="AI246" s="599"/>
      <c r="AJ246" s="599"/>
      <c r="AK246" s="599"/>
      <c r="AL246" s="599"/>
      <c r="AM246" s="599"/>
      <c r="AN246" s="566"/>
      <c r="AO246" s="567" t="str">
        <f t="shared" si="82"/>
        <v/>
      </c>
      <c r="AP246" s="568" t="str">
        <f>IF(AB246=$V$3,IF(VLOOKUP(C246,[1]List1!$A:$E,5,FALSE)=0,1,VLOOKUP(C246,[1]List1!$A:$E,5,FALSE)),"")</f>
        <v/>
      </c>
      <c r="AQ246" s="292" t="str">
        <f t="shared" si="83"/>
        <v/>
      </c>
      <c r="AR246" s="618" t="str">
        <f t="shared" si="84"/>
        <v/>
      </c>
      <c r="AS246" s="292" t="str">
        <f t="shared" si="85"/>
        <v/>
      </c>
      <c r="AT246" s="377" t="e">
        <f t="shared" si="86"/>
        <v>#N/A</v>
      </c>
      <c r="AU246" s="292" t="e">
        <f t="shared" si="87"/>
        <v>#N/A</v>
      </c>
    </row>
    <row r="247" spans="1:47" ht="15" customHeight="1">
      <c r="A247" s="601" t="str">
        <f>Kat.!B247</f>
        <v/>
      </c>
      <c r="B247" s="601">
        <f t="shared" si="73"/>
        <v>1</v>
      </c>
      <c r="C247" s="775" t="s">
        <v>4856</v>
      </c>
      <c r="D247" s="759"/>
      <c r="E247" s="760"/>
      <c r="F247" s="761"/>
      <c r="G247" s="762"/>
      <c r="H247" s="596"/>
      <c r="I247" s="763"/>
      <c r="J247" s="764"/>
      <c r="K247" s="773"/>
      <c r="L247" s="782"/>
      <c r="M247" s="764"/>
      <c r="N247" s="791"/>
      <c r="O247" s="763"/>
      <c r="P247" s="763"/>
      <c r="Q247" s="764"/>
      <c r="R247" s="764"/>
      <c r="S247" s="764"/>
      <c r="T247" s="764"/>
      <c r="U247" s="768"/>
      <c r="V247" s="768"/>
      <c r="W247" s="769"/>
      <c r="X247" s="769"/>
      <c r="Y247" s="770">
        <f>IF(OR(AP247&lt;AA247,AND(NOT(OR(LEFT(AB247,3)="SKL",LEFT(AB247,3)=LEFT($V$2,3))),AA247&gt;0),AND('Deutsche Markt'!$AH$1=FALSE,J247="F4",AA247&gt;0)),"",AA247)</f>
        <v>0</v>
      </c>
      <c r="Z247" s="769"/>
      <c r="AA247" s="771">
        <f>'Deutsche Markt'!AA247</f>
        <v>0</v>
      </c>
      <c r="AB247" s="772"/>
      <c r="AC247" s="772"/>
      <c r="AD247" s="772"/>
      <c r="AE247" s="605"/>
      <c r="AF247" s="605"/>
      <c r="AG247" s="615"/>
      <c r="AH247" s="616"/>
      <c r="AI247" s="615"/>
      <c r="AJ247" s="617"/>
      <c r="AK247" s="617"/>
      <c r="AL247" s="617"/>
      <c r="AM247" s="617"/>
      <c r="AO247" s="567" t="str">
        <f t="shared" si="82"/>
        <v/>
      </c>
      <c r="AP247" s="568" t="str">
        <f>IF(AB247=$V$3,IF(VLOOKUP(C247,[1]List1!$A:$E,5,FALSE)=0,1,VLOOKUP(C247,[1]List1!$A:$E,5,FALSE)),"")</f>
        <v/>
      </c>
      <c r="AQ247" s="292" t="str">
        <f t="shared" si="83"/>
        <v/>
      </c>
      <c r="AR247" s="618" t="str">
        <f t="shared" si="84"/>
        <v/>
      </c>
      <c r="AS247" s="292" t="str">
        <f t="shared" si="85"/>
        <v/>
      </c>
      <c r="AT247" s="377" t="e">
        <f t="shared" si="86"/>
        <v>#N/A</v>
      </c>
      <c r="AU247" s="292" t="e">
        <f t="shared" si="87"/>
        <v>#N/A</v>
      </c>
    </row>
    <row r="248" spans="1:47" ht="15" customHeight="1">
      <c r="A248" s="624" t="str">
        <f>Kat.!$B$1&amp;Kat.!B248</f>
        <v/>
      </c>
      <c r="B248" s="601">
        <f t="shared" si="73"/>
        <v>1</v>
      </c>
      <c r="C248" s="163" t="s">
        <v>4866</v>
      </c>
      <c r="D248" s="163"/>
      <c r="E248" s="609"/>
      <c r="F248" s="605"/>
      <c r="G248" s="606"/>
      <c r="H248" s="625"/>
      <c r="I248" s="609"/>
      <c r="J248" s="609"/>
      <c r="K248" s="708"/>
      <c r="L248" s="609"/>
      <c r="M248" s="609"/>
      <c r="N248" s="609"/>
      <c r="O248" s="609"/>
      <c r="P248" s="609"/>
      <c r="Q248" s="609"/>
      <c r="R248" s="609"/>
      <c r="S248" s="609"/>
      <c r="T248" s="609"/>
      <c r="U248" s="609"/>
      <c r="V248" s="609"/>
      <c r="W248" s="609" t="str">
        <f>IFERROR(VLOOKUP('General price list'!$C248,Popisy!A:P,MATCH($W$17,Popisy!$A$7:$P$7,0),FALSE),"---------------")</f>
        <v>Silberne Mine mit der roten Spur und mit der titanischen Detonation</v>
      </c>
      <c r="X248" s="609" t="str">
        <f t="shared" ref="X248:X250" si="94">IF(AA248&lt;0.0001,"",AA248)</f>
        <v/>
      </c>
      <c r="Y248" s="770">
        <f>IF(OR(AP248&lt;AA248,AND(NOT(OR(LEFT(AB248,3)="SKL",LEFT(AB248,3)=LEFT($V$2,3))),AA248&gt;0),AND('Deutsche Markt'!$AH$1=FALSE,J248="F4",AA248&gt;0)),"",AA248)</f>
        <v>0</v>
      </c>
      <c r="Z248" s="609"/>
      <c r="AA248" s="771">
        <f>'Deutsche Markt'!AA248</f>
        <v>0</v>
      </c>
      <c r="AB248" s="614" t="str">
        <f>IFERROR(IF(VLOOKUP(C248,[1]List1!$A:$D,2,FALSE)="VYPRODÁNO",$V$9,IF(VLOOKUP(C248,[1]List1!$A:$D,2,FALSE)="DOCHÁZÍ",$V$3,VLOOKUP(C248,[1]List1!$A:$D,2,FALSE))),"OFFLINE!")</f>
        <v>SKLADEM</v>
      </c>
      <c r="AC248" s="626" t="str">
        <f ca="1">IF(AO248="NE",$V$10,IF(AB248=$V$3,IF(AP248&lt;1,$V$8,$V$2&amp;" "&amp;AP248&amp;" "&amp;$V$1),IF(AB248="SKLADEM",$V$6,IFERROR(IF(OR(AB248-TODAY()&gt;21,VLOOKUP(C248,[1]List1!$A:$E,4,FALSE)=0),AB248,DAY(AB248)&amp;"."&amp;MONTH(AB248)&amp;"."&amp;YEAR(AB248)&amp;" "&amp;$V$4&amp;VLOOKUP(C248,[1]List1!$A:$E,4,FALSE)&amp;" "&amp;$V$1),AB248))))</f>
        <v>AUF LAGER</v>
      </c>
      <c r="AD248" s="626" t="str">
        <f t="shared" ref="AD248:AD250" ca="1" si="95">IFERROR(IF(AU248&lt;&gt;"",AU248,AC248),AC248)</f>
        <v>AUF LAGER</v>
      </c>
      <c r="AE248" s="609"/>
      <c r="AF248" s="609"/>
      <c r="AG248" s="627"/>
      <c r="AH248" s="609"/>
      <c r="AI248" s="627"/>
      <c r="AJ248" s="609"/>
      <c r="AK248" s="609"/>
      <c r="AL248" s="609"/>
      <c r="AM248" s="627"/>
      <c r="AO248" s="567" t="str">
        <f t="shared" si="82"/>
        <v/>
      </c>
      <c r="AP248" s="292" t="str">
        <f>IF(AB248=$V$3,IF(VLOOKUP(C248,[1]List1!$A:$E,5,FALSE)=0,1,VLOOKUP(C248,[1]List1!$A:$E,5,FALSE)),"")</f>
        <v/>
      </c>
      <c r="AQ248" s="292" t="str">
        <f t="shared" si="83"/>
        <v/>
      </c>
      <c r="AR248" s="618" t="str">
        <f t="shared" si="84"/>
        <v/>
      </c>
      <c r="AS248" s="292" t="str">
        <f t="shared" si="85"/>
        <v/>
      </c>
      <c r="AT248" s="377" t="e">
        <f t="shared" si="86"/>
        <v>#N/A</v>
      </c>
      <c r="AU248" s="292" t="e">
        <f t="shared" si="87"/>
        <v>#N/A</v>
      </c>
    </row>
    <row r="249" spans="1:47" ht="15" customHeight="1">
      <c r="A249" s="601" t="str">
        <f>Kat.!B249</f>
        <v/>
      </c>
      <c r="B249" s="601">
        <f t="shared" si="73"/>
        <v>1</v>
      </c>
      <c r="C249" s="758" t="s">
        <v>1033</v>
      </c>
      <c r="D249" s="759"/>
      <c r="E249" s="760"/>
      <c r="F249" s="761"/>
      <c r="G249" s="762"/>
      <c r="H249" s="596"/>
      <c r="I249" s="763"/>
      <c r="J249" s="764"/>
      <c r="K249" s="781"/>
      <c r="L249" s="782"/>
      <c r="M249" s="764"/>
      <c r="N249" s="767"/>
      <c r="O249" s="777"/>
      <c r="P249" s="763"/>
      <c r="Q249" s="764"/>
      <c r="R249" s="764"/>
      <c r="S249" s="764"/>
      <c r="T249" s="764"/>
      <c r="U249" s="768"/>
      <c r="V249" s="768"/>
      <c r="W249" s="769" t="str">
        <f>IFERROR(VLOOKUP('General price list'!$C249,Popisy!A:P,MATCH($W$17,Popisy!$A$7:$P$7,0),FALSE),"---------------")</f>
        <v>4 verschiedenfarbige Effekte</v>
      </c>
      <c r="X249" s="769" t="str">
        <f t="shared" si="94"/>
        <v/>
      </c>
      <c r="Y249" s="770">
        <f>IF(OR(AP249&lt;AA249,AND(NOT(OR(LEFT(AB249,3)="SKL",LEFT(AB249,3)=LEFT($V$2,3))),AA249&gt;0),AND('Deutsche Markt'!$AH$1=FALSE,J249="F4",AA249&gt;0)),"",AA249)</f>
        <v>0</v>
      </c>
      <c r="Z249" s="769"/>
      <c r="AA249" s="771">
        <f>'Deutsche Markt'!AA249</f>
        <v>0</v>
      </c>
      <c r="AB249" s="772" t="str">
        <f>IFERROR(IF(VLOOKUP(C249,[1]List1!$A:$D,2,FALSE)="VYPRODÁNO",$V$9,IF(VLOOKUP(C249,[1]List1!$A:$D,2,FALSE)="DOCHÁZÍ",$V$3,VLOOKUP(C249,[1]List1!$A:$D,2,FALSE))),"OFFLINE!")</f>
        <v>SKLADEM</v>
      </c>
      <c r="AC249" s="772" t="str">
        <f ca="1">IF(AO249="NE",$V$10,IF(AB249=$V$3,IF(AP249&lt;1,$V$8,$V$2&amp;" "&amp;AP249&amp;" "&amp;$V$1),IF(AB249="SKLADEM",$V$6,IFERROR(IF(OR(AB249-TODAY()&gt;21,VLOOKUP(C249,[1]List1!$A:$E,4,FALSE)=0),AB249,DAY(AB249)&amp;"."&amp;MONTH(AB249)&amp;"."&amp;YEAR(AB249)&amp;" "&amp;$V$4&amp;VLOOKUP(C249,[1]List1!$A:$E,4,FALSE)&amp;" "&amp;$V$1),AB249))))</f>
        <v>AUF LAGER</v>
      </c>
      <c r="AD249" s="772" t="str">
        <f t="shared" ca="1" si="95"/>
        <v>AUF LAGER</v>
      </c>
      <c r="AE249" s="605"/>
      <c r="AF249" s="605"/>
      <c r="AG249" s="615"/>
      <c r="AH249" s="616"/>
      <c r="AI249" s="615"/>
      <c r="AJ249" s="617"/>
      <c r="AK249" s="617"/>
      <c r="AL249" s="617"/>
      <c r="AM249" s="617"/>
      <c r="AO249" s="567" t="str">
        <f t="shared" si="82"/>
        <v/>
      </c>
      <c r="AP249" s="568" t="str">
        <f>IF(AB249=$V$3,IF(VLOOKUP(C249,[1]List1!$A:$E,5,FALSE)=0,1,VLOOKUP(C249,[1]List1!$A:$E,5,FALSE)),"")</f>
        <v/>
      </c>
      <c r="AQ249" s="292" t="str">
        <f t="shared" si="83"/>
        <v/>
      </c>
      <c r="AR249" s="618" t="str">
        <f t="shared" si="84"/>
        <v/>
      </c>
      <c r="AS249" s="292" t="str">
        <f t="shared" si="85"/>
        <v/>
      </c>
      <c r="AT249" s="377" t="e">
        <f t="shared" si="86"/>
        <v>#N/A</v>
      </c>
      <c r="AU249" s="292" t="e">
        <f t="shared" si="87"/>
        <v>#N/A</v>
      </c>
    </row>
    <row r="250" spans="1:47" ht="15" customHeight="1">
      <c r="A250" s="601" t="str">
        <f>Kat.!B250</f>
        <v/>
      </c>
      <c r="B250" s="601">
        <f t="shared" si="73"/>
        <v>1</v>
      </c>
      <c r="C250" s="758" t="s">
        <v>1034</v>
      </c>
      <c r="D250" s="759"/>
      <c r="E250" s="760"/>
      <c r="F250" s="761"/>
      <c r="G250" s="762"/>
      <c r="H250" s="596"/>
      <c r="I250" s="763"/>
      <c r="J250" s="764"/>
      <c r="K250" s="774"/>
      <c r="L250" s="766"/>
      <c r="M250" s="764"/>
      <c r="N250" s="767"/>
      <c r="O250" s="763"/>
      <c r="P250" s="763"/>
      <c r="Q250" s="764"/>
      <c r="R250" s="764"/>
      <c r="S250" s="764"/>
      <c r="T250" s="761"/>
      <c r="U250" s="768"/>
      <c r="V250" s="768"/>
      <c r="W250" s="769" t="str">
        <f>IFERROR(VLOOKUP('General price list'!$C250,Popisy!A:P,MATCH($W$17,Popisy!$A$7:$P$7,0),FALSE),"---------------")</f>
        <v>4 verschiedenfarbige Effekte</v>
      </c>
      <c r="X250" s="769" t="str">
        <f t="shared" si="94"/>
        <v/>
      </c>
      <c r="Y250" s="770">
        <f>IF(OR(AP250&lt;AA250,AND(NOT(OR(LEFT(AB250,3)="SKL",LEFT(AB250,3)=LEFT($V$2,3))),AA250&gt;0),AND('Deutsche Markt'!$AH$1=FALSE,J250="F4",AA250&gt;0)),"",AA250)</f>
        <v>0</v>
      </c>
      <c r="Z250" s="769"/>
      <c r="AA250" s="771">
        <f>'Deutsche Markt'!AA250</f>
        <v>0</v>
      </c>
      <c r="AB250" s="772" t="str">
        <f>IFERROR(IF(VLOOKUP(C250,[1]List1!$A:$D,2,FALSE)="VYPRODÁNO",$V$9,IF(VLOOKUP(C250,[1]List1!$A:$D,2,FALSE)="DOCHÁZÍ",$V$3,VLOOKUP(C250,[1]List1!$A:$D,2,FALSE))),"OFFLINE!")</f>
        <v>SKLADEM</v>
      </c>
      <c r="AC250" s="772" t="str">
        <f ca="1">IF(AO250="NE",$V$10,IF(AB250=$V$3,IF(AP250&lt;1,$V$8,$V$2&amp;" "&amp;AP250&amp;" "&amp;$V$1),IF(AB250="SKLADEM",$V$6,IFERROR(IF(OR(AB250-TODAY()&gt;21,VLOOKUP(C250,[1]List1!$A:$E,4,FALSE)=0),AB250,DAY(AB250)&amp;"."&amp;MONTH(AB250)&amp;"."&amp;YEAR(AB250)&amp;" "&amp;$V$4&amp;VLOOKUP(C250,[1]List1!$A:$E,4,FALSE)&amp;" "&amp;$V$1),AB250))))</f>
        <v>AUF LAGER</v>
      </c>
      <c r="AD250" s="772" t="str">
        <f t="shared" ca="1" si="95"/>
        <v>AUF LAGER</v>
      </c>
      <c r="AE250" s="605"/>
      <c r="AF250" s="605"/>
      <c r="AG250" s="615"/>
      <c r="AH250" s="616"/>
      <c r="AI250" s="615"/>
      <c r="AJ250" s="617"/>
      <c r="AK250" s="617"/>
      <c r="AL250" s="617"/>
      <c r="AM250" s="617"/>
      <c r="AN250" s="292"/>
      <c r="AO250" s="567" t="str">
        <f t="shared" si="82"/>
        <v/>
      </c>
      <c r="AP250" s="568" t="str">
        <f>IF(AB250=$V$3,IF(VLOOKUP(C250,[1]List1!$A:$E,5,FALSE)=0,1,VLOOKUP(C250,[1]List1!$A:$E,5,FALSE)),"")</f>
        <v/>
      </c>
      <c r="AQ250" s="292" t="str">
        <f t="shared" si="83"/>
        <v/>
      </c>
      <c r="AR250" s="618" t="str">
        <f t="shared" si="84"/>
        <v/>
      </c>
      <c r="AS250" s="292" t="str">
        <f t="shared" si="85"/>
        <v/>
      </c>
      <c r="AT250" s="377" t="e">
        <f t="shared" si="86"/>
        <v>#N/A</v>
      </c>
      <c r="AU250" s="292" t="e">
        <f t="shared" si="87"/>
        <v>#N/A</v>
      </c>
    </row>
    <row r="251" spans="1:47" ht="15" customHeight="1">
      <c r="A251" s="601" t="str">
        <f>Kat.!B251</f>
        <v/>
      </c>
      <c r="B251" s="601">
        <f t="shared" si="73"/>
        <v>1</v>
      </c>
      <c r="C251" s="783" t="s">
        <v>1036</v>
      </c>
      <c r="D251" s="783"/>
      <c r="E251" s="764"/>
      <c r="F251" s="761"/>
      <c r="G251" s="762"/>
      <c r="H251" s="595"/>
      <c r="I251" s="764"/>
      <c r="J251" s="764"/>
      <c r="K251" s="781"/>
      <c r="L251" s="764"/>
      <c r="M251" s="764"/>
      <c r="N251" s="764"/>
      <c r="O251" s="764"/>
      <c r="P251" s="764"/>
      <c r="Q251" s="764"/>
      <c r="R251" s="764"/>
      <c r="S251" s="764"/>
      <c r="T251" s="764"/>
      <c r="U251" s="764"/>
      <c r="V251" s="764"/>
      <c r="W251" s="764"/>
      <c r="X251" s="764"/>
      <c r="Y251" s="770">
        <f>IF(OR(AP251&lt;AA251,AND(NOT(OR(LEFT(AB251,3)="SKL",LEFT(AB251,3)=LEFT($V$2,3))),AA251&gt;0),AND('Deutsche Markt'!$AH$1=FALSE,J251="F4",AA251&gt;0)),"",AA251)</f>
        <v>0</v>
      </c>
      <c r="Z251" s="764"/>
      <c r="AA251" s="771">
        <f>'Deutsche Markt'!AA251</f>
        <v>0</v>
      </c>
      <c r="AB251" s="772"/>
      <c r="AC251" s="785"/>
      <c r="AD251" s="785"/>
      <c r="AE251" s="609"/>
      <c r="AF251" s="609"/>
      <c r="AG251" s="627"/>
      <c r="AH251" s="609"/>
      <c r="AI251" s="627"/>
      <c r="AJ251" s="609"/>
      <c r="AK251" s="609"/>
      <c r="AL251" s="609"/>
      <c r="AM251" s="627"/>
      <c r="AO251" s="567" t="str">
        <f t="shared" si="82"/>
        <v/>
      </c>
      <c r="AP251" s="568" t="str">
        <f>IF(AB251=$V$3,IF(VLOOKUP(C251,[1]List1!$A:$E,5,FALSE)=0,1,VLOOKUP(C251,[1]List1!$A:$E,5,FALSE)),"")</f>
        <v/>
      </c>
      <c r="AQ251" s="292" t="str">
        <f t="shared" si="83"/>
        <v/>
      </c>
      <c r="AR251" s="618" t="str">
        <f t="shared" si="84"/>
        <v/>
      </c>
      <c r="AS251" s="292" t="str">
        <f t="shared" si="85"/>
        <v/>
      </c>
      <c r="AT251" s="377" t="e">
        <f t="shared" si="86"/>
        <v>#N/A</v>
      </c>
      <c r="AU251" s="292" t="e">
        <f t="shared" si="87"/>
        <v>#N/A</v>
      </c>
    </row>
    <row r="252" spans="1:47" ht="15" customHeight="1">
      <c r="A252" s="601" t="str">
        <f>Kat.!B252</f>
        <v/>
      </c>
      <c r="B252" s="601">
        <f t="shared" si="73"/>
        <v>1</v>
      </c>
      <c r="C252" s="758" t="s">
        <v>1039</v>
      </c>
      <c r="D252" s="759"/>
      <c r="E252" s="760"/>
      <c r="F252" s="761"/>
      <c r="G252" s="762"/>
      <c r="H252" s="596"/>
      <c r="I252" s="763"/>
      <c r="J252" s="764"/>
      <c r="K252" s="774"/>
      <c r="L252" s="766"/>
      <c r="M252" s="764"/>
      <c r="N252" s="767"/>
      <c r="O252" s="763"/>
      <c r="P252" s="763"/>
      <c r="Q252" s="764"/>
      <c r="R252" s="764"/>
      <c r="S252" s="764"/>
      <c r="T252" s="761"/>
      <c r="U252" s="768"/>
      <c r="V252" s="768"/>
      <c r="W252" s="769" t="str">
        <f>IFERROR(VLOOKUP('General price list'!$C252,Popisy!A:P,MATCH($W$17,Popisy!$A$7:$P$7,0),FALSE),"---------------")</f>
        <v>4 verschiedenfarbige Effekte</v>
      </c>
      <c r="X252" s="769" t="str">
        <f t="shared" ref="X252" si="96">IF(AA252&lt;0.0001,"",AA252)</f>
        <v/>
      </c>
      <c r="Y252" s="770">
        <f>IF(OR(AP252&lt;AA252,AND(NOT(OR(LEFT(AB252,3)="SKL",LEFT(AB252,3)=LEFT($V$2,3))),AA252&gt;0),AND('Deutsche Markt'!$AH$1=FALSE,J252="F4",AA252&gt;0)),"",AA252)</f>
        <v>0</v>
      </c>
      <c r="Z252" s="769"/>
      <c r="AA252" s="771">
        <f>'Deutsche Markt'!AA252</f>
        <v>0</v>
      </c>
      <c r="AB252" s="772" t="str">
        <f>IFERROR(IF(VLOOKUP(C252,[1]List1!$A:$D,2,FALSE)="VYPRODÁNO",$V$9,IF(VLOOKUP(C252,[1]List1!$A:$D,2,FALSE)="DOCHÁZÍ",$V$3,VLOOKUP(C252,[1]List1!$A:$D,2,FALSE))),"OFFLINE!")</f>
        <v>15.09.2024</v>
      </c>
      <c r="AC252" s="772" t="str">
        <f ca="1">IF(AO252="NE",$V$10,IF(AB252=$V$3,IF(AP252&lt;1,$V$8,$V$2&amp;" "&amp;AP252&amp;" "&amp;$V$1),IF(AB252="SKLADEM",$V$6,IFERROR(IF(OR(AB252-TODAY()&gt;21,VLOOKUP(C252,[1]List1!$A:$E,4,FALSE)=0),AB252,DAY(AB252)&amp;"."&amp;MONTH(AB252)&amp;"."&amp;YEAR(AB252)&amp;" "&amp;$V$4&amp;VLOOKUP(C252,[1]List1!$A:$E,4,FALSE)&amp;" "&amp;$V$1),AB252))))</f>
        <v>15.09.2024</v>
      </c>
      <c r="AD252" s="772" t="str">
        <f t="shared" ref="AD252" ca="1" si="97">IFERROR(IF(AU252&lt;&gt;"",AU252,AC252),AC252)</f>
        <v>15.09.2024</v>
      </c>
      <c r="AE252" s="605"/>
      <c r="AF252" s="605"/>
      <c r="AG252" s="615"/>
      <c r="AH252" s="616"/>
      <c r="AI252" s="615"/>
      <c r="AJ252" s="617"/>
      <c r="AK252" s="617"/>
      <c r="AL252" s="617"/>
      <c r="AM252" s="617"/>
      <c r="AN252" s="292"/>
      <c r="AO252" s="567" t="str">
        <f t="shared" si="82"/>
        <v/>
      </c>
      <c r="AP252" s="568" t="str">
        <f>IF(AB252=$V$3,IF(VLOOKUP(C252,[1]List1!$A:$E,5,FALSE)=0,1,VLOOKUP(C252,[1]List1!$A:$E,5,FALSE)),"")</f>
        <v/>
      </c>
      <c r="AQ252" s="292" t="str">
        <f t="shared" si="83"/>
        <v/>
      </c>
      <c r="AR252" s="618" t="str">
        <f t="shared" si="84"/>
        <v/>
      </c>
      <c r="AS252" s="292" t="str">
        <f t="shared" si="85"/>
        <v/>
      </c>
      <c r="AT252" s="377" t="e">
        <f t="shared" si="86"/>
        <v>#N/A</v>
      </c>
      <c r="AU252" s="292" t="e">
        <f t="shared" si="87"/>
        <v>#N/A</v>
      </c>
    </row>
    <row r="253" spans="1:47" ht="15" customHeight="1">
      <c r="A253" s="601" t="str">
        <f>Kat.!B253</f>
        <v/>
      </c>
      <c r="B253" s="601">
        <f t="shared" si="73"/>
        <v>1</v>
      </c>
      <c r="C253" s="775" t="s">
        <v>1041</v>
      </c>
      <c r="D253" s="776"/>
      <c r="E253" s="760"/>
      <c r="F253" s="761"/>
      <c r="G253" s="762"/>
      <c r="H253" s="596"/>
      <c r="I253" s="763"/>
      <c r="J253" s="764"/>
      <c r="K253" s="781"/>
      <c r="L253" s="782"/>
      <c r="M253" s="764"/>
      <c r="N253" s="767"/>
      <c r="O253" s="763"/>
      <c r="P253" s="763"/>
      <c r="Q253" s="764"/>
      <c r="R253" s="764"/>
      <c r="S253" s="764"/>
      <c r="T253" s="761"/>
      <c r="U253" s="768"/>
      <c r="V253" s="768"/>
      <c r="W253" s="769"/>
      <c r="X253" s="769"/>
      <c r="Y253" s="770">
        <f>IF(OR(AP253&lt;AA253,AND(NOT(OR(LEFT(AB253,3)="SKL",LEFT(AB253,3)=LEFT($V$2,3))),AA253&gt;0),AND('Deutsche Markt'!$AH$1=FALSE,J253="F4",AA253&gt;0)),"",AA253)</f>
        <v>0</v>
      </c>
      <c r="Z253" s="769"/>
      <c r="AA253" s="771">
        <f>'Deutsche Markt'!AA253</f>
        <v>0</v>
      </c>
      <c r="AB253" s="772"/>
      <c r="AC253" s="772"/>
      <c r="AD253" s="772"/>
      <c r="AE253" s="605"/>
      <c r="AF253" s="605"/>
      <c r="AG253" s="615"/>
      <c r="AH253" s="616"/>
      <c r="AI253" s="615"/>
      <c r="AJ253" s="617"/>
      <c r="AK253" s="617"/>
      <c r="AL253" s="617"/>
      <c r="AM253" s="617"/>
      <c r="AN253" s="292"/>
      <c r="AO253" s="567" t="str">
        <f t="shared" si="82"/>
        <v/>
      </c>
      <c r="AP253" s="568" t="str">
        <f>IF(AB253=$V$3,IF(VLOOKUP(C253,[1]List1!$A:$E,5,FALSE)=0,1,VLOOKUP(C253,[1]List1!$A:$E,5,FALSE)),"")</f>
        <v/>
      </c>
      <c r="AQ253" s="292" t="str">
        <f t="shared" si="83"/>
        <v/>
      </c>
      <c r="AR253" s="618" t="str">
        <f t="shared" si="84"/>
        <v/>
      </c>
      <c r="AS253" s="292" t="str">
        <f t="shared" si="85"/>
        <v/>
      </c>
      <c r="AT253" s="377" t="e">
        <f t="shared" si="86"/>
        <v>#N/A</v>
      </c>
      <c r="AU253" s="292" t="e">
        <f t="shared" si="87"/>
        <v>#N/A</v>
      </c>
    </row>
    <row r="254" spans="1:47" ht="15" customHeight="1">
      <c r="A254" s="601" t="str">
        <f>Kat.!B254</f>
        <v>Batterien 16 schuss, 20mm Mörser-1.4G</v>
      </c>
      <c r="B254" s="601">
        <f t="shared" si="73"/>
        <v>0</v>
      </c>
      <c r="C254" s="775"/>
      <c r="D254" s="759"/>
      <c r="E254" s="764"/>
      <c r="F254" s="761"/>
      <c r="G254" s="762"/>
      <c r="H254" s="596"/>
      <c r="I254" s="763"/>
      <c r="J254" s="764"/>
      <c r="K254" s="774"/>
      <c r="L254" s="766"/>
      <c r="M254" s="764"/>
      <c r="N254" s="767"/>
      <c r="O254" s="763"/>
      <c r="P254" s="763"/>
      <c r="Q254" s="764"/>
      <c r="R254" s="764"/>
      <c r="S254" s="764"/>
      <c r="T254" s="761"/>
      <c r="U254" s="768"/>
      <c r="V254" s="768"/>
      <c r="W254" s="769" t="str">
        <f>IFERROR(VLOOKUP('General price list'!$C254,Popisy!A:P,MATCH($W$17,Popisy!$A$7:$P$7,0),FALSE),"---------------")</f>
        <v>---------------</v>
      </c>
      <c r="X254" s="769" t="str">
        <f t="shared" ref="X254:X257" si="98">IF(AA254&lt;0.0001,"",AA254)</f>
        <v/>
      </c>
      <c r="Y254" s="770">
        <f>IF(OR(AP254&lt;AA254,AND(NOT(OR(LEFT(AB254,3)="SKL",LEFT(AB254,3)=LEFT($V$2,3))),AA254&gt;0),AND('Deutsche Markt'!$AH$1=FALSE,J254="F4",AA254&gt;0)),"",AA254)</f>
        <v>0</v>
      </c>
      <c r="Z254" s="769"/>
      <c r="AA254" s="771">
        <f>'Deutsche Markt'!AA254</f>
        <v>0</v>
      </c>
      <c r="AB254" s="772" t="str">
        <f>IFERROR(IF(VLOOKUP(C254,[1]List1!$A:$D,2,FALSE)="VYPRODÁNO",$V$9,IF(VLOOKUP(C254,[1]List1!$A:$D,2,FALSE)="DOCHÁZÍ",$V$3,VLOOKUP(C254,[1]List1!$A:$D,2,FALSE))),"OFFLINE!")</f>
        <v>OFFLINE!</v>
      </c>
      <c r="AC254" s="772" t="str">
        <f ca="1">IF(AO254="NE",$V$10,IF(AB254=$V$3,IF(AP254&lt;1,$V$8,$V$2&amp;" "&amp;AP254&amp;" "&amp;$V$1),IF(AB254="SKLADEM",$V$6,IFERROR(IF(OR(AB254-TODAY()&gt;21,VLOOKUP(C254,[1]List1!$A:$E,4,FALSE)=0),AB254,DAY(AB254)&amp;"."&amp;MONTH(AB254)&amp;"."&amp;YEAR(AB254)&amp;" "&amp;$V$4&amp;VLOOKUP(C254,[1]List1!$A:$E,4,FALSE)&amp;" "&amp;$V$1),AB254))))</f>
        <v>OFFLINE!</v>
      </c>
      <c r="AD254" s="772" t="str">
        <f t="shared" ref="AD254:AD257" ca="1" si="99">IFERROR(IF(AU254&lt;&gt;"",AU254,AC254),AC254)</f>
        <v>OFFLINE!</v>
      </c>
      <c r="AE254" s="605"/>
      <c r="AF254" s="605"/>
      <c r="AG254" s="615"/>
      <c r="AH254" s="616"/>
      <c r="AI254" s="615"/>
      <c r="AJ254" s="617"/>
      <c r="AK254" s="617"/>
      <c r="AL254" s="617"/>
      <c r="AM254" s="617"/>
      <c r="AN254" s="292"/>
      <c r="AO254" s="567" t="str">
        <f t="shared" si="82"/>
        <v/>
      </c>
      <c r="AP254" s="568" t="str">
        <f>IF(AB254=$V$3,IF(VLOOKUP(C254,[1]List1!$A:$E,5,FALSE)=0,1,VLOOKUP(C254,[1]List1!$A:$E,5,FALSE)),"")</f>
        <v/>
      </c>
      <c r="AQ254" s="292" t="str">
        <f t="shared" si="83"/>
        <v/>
      </c>
      <c r="AR254" s="618" t="str">
        <f t="shared" si="84"/>
        <v/>
      </c>
      <c r="AS254" s="292" t="str">
        <f t="shared" si="85"/>
        <v/>
      </c>
      <c r="AT254" s="377" t="e">
        <f t="shared" si="86"/>
        <v>#N/A</v>
      </c>
      <c r="AU254" s="292" t="e">
        <f t="shared" si="87"/>
        <v>#N/A</v>
      </c>
    </row>
    <row r="255" spans="1:47" ht="15" customHeight="1">
      <c r="A255" s="599" t="str">
        <f>Kat.!$B$1&amp;Kat.!B255</f>
        <v/>
      </c>
      <c r="B255" s="601">
        <f t="shared" si="73"/>
        <v>1</v>
      </c>
      <c r="C255" s="599" t="s">
        <v>1044</v>
      </c>
      <c r="D255" s="599"/>
      <c r="E255" s="599"/>
      <c r="F255" s="600"/>
      <c r="G255" s="599"/>
      <c r="H255" s="599"/>
      <c r="I255" s="599"/>
      <c r="J255" s="599"/>
      <c r="K255" s="708"/>
      <c r="L255" s="599"/>
      <c r="M255" s="599"/>
      <c r="N255" s="599"/>
      <c r="O255" s="599"/>
      <c r="P255" s="599"/>
      <c r="Q255" s="599"/>
      <c r="R255" s="599"/>
      <c r="S255" s="599"/>
      <c r="T255" s="599"/>
      <c r="U255" s="599"/>
      <c r="V255" s="599"/>
      <c r="W255" s="599" t="str">
        <f>IFERROR(VLOOKUP('General price list'!$C255,Popisy!A:P,MATCH($W$17,Popisy!$A$7:$P$7,0),FALSE),"---------------")</f>
        <v>4 verschiedenfarbige Effekte</v>
      </c>
      <c r="X255" s="599" t="str">
        <f t="shared" si="98"/>
        <v/>
      </c>
      <c r="Y255" s="770">
        <f>IF(OR(AP255&lt;AA255,AND(NOT(OR(LEFT(AB255,3)="SKL",LEFT(AB255,3)=LEFT($V$2,3))),AA255&gt;0),AND('Deutsche Markt'!$AH$1=FALSE,J255="F4",AA255&gt;0)),"",AA255)</f>
        <v>0</v>
      </c>
      <c r="Z255" s="599"/>
      <c r="AA255" s="771">
        <f>'Deutsche Markt'!AA255</f>
        <v>0</v>
      </c>
      <c r="AB255" s="599" t="str">
        <f>IFERROR(IF(VLOOKUP(C255,[1]List1!$A:$D,2,FALSE)="VYPRODÁNO",$V$9,IF(VLOOKUP(C255,[1]List1!$A:$D,2,FALSE)="DOCHÁZÍ",$V$3,VLOOKUP(C255,[1]List1!$A:$D,2,FALSE))),"OFFLINE!")</f>
        <v>SKLADEM</v>
      </c>
      <c r="AC255" s="599" t="str">
        <f ca="1">IF(AO255="NE",$V$10,IF(AB255=$V$3,IF(AP255&lt;1,$V$8,$V$2&amp;" "&amp;AP255&amp;" "&amp;$V$1),IF(AB255="SKLADEM",$V$6,IFERROR(IF(OR(AB255-TODAY()&gt;21,VLOOKUP(C255,[1]List1!$A:$E,4,FALSE)=0),AB255,DAY(AB255)&amp;"."&amp;MONTH(AB255)&amp;"."&amp;YEAR(AB255)&amp;" "&amp;$V$4&amp;VLOOKUP(C255,[1]List1!$A:$E,4,FALSE)&amp;" "&amp;$V$1),AB255))))</f>
        <v>AUF LAGER</v>
      </c>
      <c r="AD255" s="599" t="str">
        <f t="shared" ca="1" si="99"/>
        <v>AUF LAGER</v>
      </c>
      <c r="AE255" s="599"/>
      <c r="AF255" s="599"/>
      <c r="AG255" s="599"/>
      <c r="AH255" s="599"/>
      <c r="AI255" s="599"/>
      <c r="AJ255" s="599"/>
      <c r="AK255" s="599"/>
      <c r="AL255" s="599"/>
      <c r="AM255" s="599"/>
      <c r="AN255" s="566"/>
      <c r="AO255" s="567" t="str">
        <f t="shared" si="82"/>
        <v/>
      </c>
      <c r="AP255" s="568" t="str">
        <f>IF(AB255=$V$3,IF(VLOOKUP(C255,[1]List1!$A:$E,5,FALSE)=0,1,VLOOKUP(C255,[1]List1!$A:$E,5,FALSE)),"")</f>
        <v/>
      </c>
      <c r="AQ255" s="292" t="str">
        <f t="shared" si="83"/>
        <v/>
      </c>
      <c r="AR255" s="618" t="str">
        <f t="shared" si="84"/>
        <v/>
      </c>
      <c r="AS255" s="292" t="str">
        <f t="shared" si="85"/>
        <v/>
      </c>
      <c r="AT255" s="377" t="e">
        <f t="shared" si="86"/>
        <v>#N/A</v>
      </c>
      <c r="AU255" s="292" t="e">
        <f t="shared" si="87"/>
        <v>#N/A</v>
      </c>
    </row>
    <row r="256" spans="1:47" ht="15" customHeight="1">
      <c r="A256" s="601" t="str">
        <f>Kat.!B256</f>
        <v/>
      </c>
      <c r="B256" s="601">
        <f t="shared" si="73"/>
        <v>1</v>
      </c>
      <c r="C256" s="783" t="s">
        <v>1045</v>
      </c>
      <c r="D256" s="776"/>
      <c r="E256" s="764"/>
      <c r="F256" s="761"/>
      <c r="G256" s="762"/>
      <c r="H256" s="596"/>
      <c r="I256" s="763"/>
      <c r="J256" s="764"/>
      <c r="K256" s="765"/>
      <c r="L256" s="769"/>
      <c r="M256" s="760"/>
      <c r="N256" s="763"/>
      <c r="O256" s="792"/>
      <c r="P256" s="763"/>
      <c r="Q256" s="793"/>
      <c r="R256" s="761"/>
      <c r="S256" s="761"/>
      <c r="T256" s="761"/>
      <c r="U256" s="768"/>
      <c r="V256" s="768"/>
      <c r="W256" s="769" t="str">
        <f>IFERROR(VLOOKUP('General price list'!$C256,Popisy!A:P,MATCH($W$17,Popisy!$A$7:$P$7,0),FALSE),"---------------")</f>
        <v>4 verschiedenfarbige Effekte</v>
      </c>
      <c r="X256" s="769" t="str">
        <f t="shared" si="98"/>
        <v/>
      </c>
      <c r="Y256" s="770">
        <f>IF(OR(AP256&lt;AA256,AND(NOT(OR(LEFT(AB256,3)="SKL",LEFT(AB256,3)=LEFT($V$2,3))),AA256&gt;0),AND('Deutsche Markt'!$AH$1=FALSE,J256="F4",AA256&gt;0)),"",AA256)</f>
        <v>0</v>
      </c>
      <c r="Z256" s="769"/>
      <c r="AA256" s="771">
        <f>'Deutsche Markt'!AA256</f>
        <v>0</v>
      </c>
      <c r="AB256" s="772" t="str">
        <f>IFERROR(IF(VLOOKUP(C256,[1]List1!$A:$D,2,FALSE)="VYPRODÁNO",$V$9,IF(VLOOKUP(C256,[1]List1!$A:$D,2,FALSE)="DOCHÁZÍ",$V$3,VLOOKUP(C256,[1]List1!$A:$D,2,FALSE))),"OFFLINE!")</f>
        <v>SKLADEM</v>
      </c>
      <c r="AC256" s="772" t="str">
        <f ca="1">IF(AO256="NE",$V$10,IF(AB256=$V$3,IF(AP256&lt;1,$V$8,$V$2&amp;" "&amp;AP256&amp;" "&amp;$V$1),IF(AB256="SKLADEM",$V$6,IFERROR(IF(OR(AB256-TODAY()&gt;21,VLOOKUP(C256,[1]List1!$A:$E,4,FALSE)=0),AB256,DAY(AB256)&amp;"."&amp;MONTH(AB256)&amp;"."&amp;YEAR(AB256)&amp;" "&amp;$V$4&amp;VLOOKUP(C256,[1]List1!$A:$E,4,FALSE)&amp;" "&amp;$V$1),AB256))))</f>
        <v>AUF LAGER</v>
      </c>
      <c r="AD256" s="772" t="str">
        <f t="shared" ca="1" si="99"/>
        <v>AUF LAGER</v>
      </c>
      <c r="AE256" s="605"/>
      <c r="AF256" s="605"/>
      <c r="AG256" s="615"/>
      <c r="AH256" s="616"/>
      <c r="AI256" s="615"/>
      <c r="AJ256" s="617"/>
      <c r="AK256" s="617"/>
      <c r="AL256" s="617"/>
      <c r="AM256" s="617"/>
      <c r="AN256" s="542"/>
      <c r="AO256" s="567" t="str">
        <f t="shared" si="82"/>
        <v/>
      </c>
      <c r="AP256" s="568" t="str">
        <f>IF(AB256=$V$3,IF(VLOOKUP(C256,[1]List1!$A:$E,5,FALSE)=0,1,VLOOKUP(C256,[1]List1!$A:$E,5,FALSE)),"")</f>
        <v/>
      </c>
      <c r="AQ256" s="292" t="str">
        <f t="shared" si="83"/>
        <v/>
      </c>
      <c r="AR256" s="618" t="str">
        <f t="shared" si="84"/>
        <v/>
      </c>
      <c r="AS256" s="292" t="str">
        <f t="shared" si="85"/>
        <v/>
      </c>
      <c r="AT256" s="377" t="e">
        <f t="shared" si="86"/>
        <v>#N/A</v>
      </c>
      <c r="AU256" s="292" t="e">
        <f t="shared" si="87"/>
        <v>#N/A</v>
      </c>
    </row>
    <row r="257" spans="1:47" ht="15" customHeight="1">
      <c r="A257" s="601" t="str">
        <f>Kat.!B257</f>
        <v/>
      </c>
      <c r="B257" s="601">
        <f t="shared" si="73"/>
        <v>1</v>
      </c>
      <c r="C257" s="775" t="s">
        <v>1046</v>
      </c>
      <c r="D257" s="759"/>
      <c r="E257" s="764"/>
      <c r="F257" s="761"/>
      <c r="G257" s="762"/>
      <c r="H257" s="596"/>
      <c r="I257" s="763"/>
      <c r="J257" s="764"/>
      <c r="K257" s="773"/>
      <c r="L257" s="766"/>
      <c r="M257" s="764"/>
      <c r="N257" s="767"/>
      <c r="O257" s="763"/>
      <c r="P257" s="763"/>
      <c r="Q257" s="764"/>
      <c r="R257" s="764"/>
      <c r="S257" s="764"/>
      <c r="T257" s="761"/>
      <c r="U257" s="768"/>
      <c r="V257" s="768"/>
      <c r="W257" s="769" t="str">
        <f>IFERROR(VLOOKUP('General price list'!$C257,Popisy!A:P,MATCH($W$17,Popisy!$A$7:$P$7,0),FALSE),"---------------")</f>
        <v>4 verschiedenfarbige Effekte</v>
      </c>
      <c r="X257" s="769" t="str">
        <f t="shared" si="98"/>
        <v/>
      </c>
      <c r="Y257" s="770">
        <f>IF(OR(AP257&lt;AA257,AND(NOT(OR(LEFT(AB257,3)="SKL",LEFT(AB257,3)=LEFT($V$2,3))),AA257&gt;0),AND('Deutsche Markt'!$AH$1=FALSE,J257="F4",AA257&gt;0)),"",AA257)</f>
        <v>0</v>
      </c>
      <c r="Z257" s="769"/>
      <c r="AA257" s="771">
        <f>'Deutsche Markt'!AA257</f>
        <v>0</v>
      </c>
      <c r="AB257" s="772" t="str">
        <f>IFERROR(IF(VLOOKUP(C257,[1]List1!$A:$D,2,FALSE)="VYPRODÁNO",$V$9,IF(VLOOKUP(C257,[1]List1!$A:$D,2,FALSE)="DOCHÁZÍ",$V$3,VLOOKUP(C257,[1]List1!$A:$D,2,FALSE))),"OFFLINE!")</f>
        <v>SKLADEM</v>
      </c>
      <c r="AC257" s="772" t="str">
        <f ca="1">IF(AO257="NE",$V$10,IF(AB257=$V$3,IF(AP257&lt;1,$V$8,$V$2&amp;" "&amp;AP257&amp;" "&amp;$V$1),IF(AB257="SKLADEM",$V$6,IFERROR(IF(OR(AB257-TODAY()&gt;21,VLOOKUP(C257,[1]List1!$A:$E,4,FALSE)=0),AB257,DAY(AB257)&amp;"."&amp;MONTH(AB257)&amp;"."&amp;YEAR(AB257)&amp;" "&amp;$V$4&amp;VLOOKUP(C257,[1]List1!$A:$E,4,FALSE)&amp;" "&amp;$V$1),AB257))))</f>
        <v>AUF LAGER</v>
      </c>
      <c r="AD257" s="772" t="str">
        <f t="shared" ca="1" si="99"/>
        <v>AUF LAGER</v>
      </c>
      <c r="AE257" s="605"/>
      <c r="AF257" s="605"/>
      <c r="AG257" s="615"/>
      <c r="AH257" s="616"/>
      <c r="AI257" s="615"/>
      <c r="AJ257" s="617"/>
      <c r="AK257" s="617"/>
      <c r="AL257" s="617"/>
      <c r="AM257" s="617"/>
      <c r="AN257" s="292"/>
      <c r="AO257" s="567" t="str">
        <f t="shared" si="82"/>
        <v/>
      </c>
      <c r="AP257" s="568" t="str">
        <f>IF(AB257=$V$3,IF(VLOOKUP(C257,[1]List1!$A:$E,5,FALSE)=0,1,VLOOKUP(C257,[1]List1!$A:$E,5,FALSE)),"")</f>
        <v/>
      </c>
      <c r="AQ257" s="292" t="str">
        <f t="shared" si="83"/>
        <v/>
      </c>
      <c r="AR257" s="618" t="str">
        <f t="shared" si="84"/>
        <v/>
      </c>
      <c r="AS257" s="292" t="str">
        <f t="shared" si="85"/>
        <v/>
      </c>
      <c r="AT257" s="377" t="e">
        <f t="shared" si="86"/>
        <v>#N/A</v>
      </c>
      <c r="AU257" s="292" t="e">
        <f t="shared" si="87"/>
        <v>#N/A</v>
      </c>
    </row>
    <row r="258" spans="1:47" ht="15" customHeight="1">
      <c r="A258" s="601" t="str">
        <f>Kat.!B258</f>
        <v/>
      </c>
      <c r="B258" s="601">
        <f t="shared" si="73"/>
        <v>1</v>
      </c>
      <c r="C258" s="783" t="s">
        <v>1047</v>
      </c>
      <c r="D258" s="783"/>
      <c r="E258" s="764"/>
      <c r="F258" s="761"/>
      <c r="G258" s="762"/>
      <c r="H258" s="596"/>
      <c r="I258" s="787"/>
      <c r="J258" s="764"/>
      <c r="K258" s="765"/>
      <c r="L258" s="787"/>
      <c r="M258" s="764"/>
      <c r="N258" s="767"/>
      <c r="O258" s="763"/>
      <c r="P258" s="763"/>
      <c r="Q258" s="764"/>
      <c r="R258" s="764"/>
      <c r="S258" s="764"/>
      <c r="T258" s="764"/>
      <c r="U258" s="768"/>
      <c r="V258" s="768"/>
      <c r="W258" s="769"/>
      <c r="X258" s="769"/>
      <c r="Y258" s="770">
        <f>IF(OR(AP258&lt;AA258,AND(NOT(OR(LEFT(AB258,3)="SKL",LEFT(AB258,3)=LEFT($V$2,3))),AA258&gt;0),AND('Deutsche Markt'!$AH$1=FALSE,J258="F4",AA258&gt;0)),"",AA258)</f>
        <v>0</v>
      </c>
      <c r="Z258" s="769"/>
      <c r="AA258" s="771">
        <f>'Deutsche Markt'!AA258</f>
        <v>0</v>
      </c>
      <c r="AB258" s="772"/>
      <c r="AC258" s="772"/>
      <c r="AD258" s="772"/>
      <c r="AE258" s="605"/>
      <c r="AF258" s="605"/>
      <c r="AG258" s="615"/>
      <c r="AH258" s="616"/>
      <c r="AI258" s="615"/>
      <c r="AJ258" s="617"/>
      <c r="AK258" s="617"/>
      <c r="AL258" s="617"/>
      <c r="AM258" s="617"/>
      <c r="AN258" s="292"/>
      <c r="AO258" s="567" t="str">
        <f t="shared" si="82"/>
        <v/>
      </c>
      <c r="AP258" s="568" t="str">
        <f>IF(AB258=$V$3,IF(VLOOKUP(C258,[1]List1!$A:$E,5,FALSE)=0,1,VLOOKUP(C258,[1]List1!$A:$E,5,FALSE)),"")</f>
        <v/>
      </c>
      <c r="AQ258" s="292" t="str">
        <f t="shared" si="83"/>
        <v/>
      </c>
      <c r="AR258" s="618" t="str">
        <f t="shared" si="84"/>
        <v/>
      </c>
      <c r="AS258" s="292" t="str">
        <f t="shared" si="85"/>
        <v/>
      </c>
      <c r="AT258" s="377" t="e">
        <f t="shared" si="86"/>
        <v>#N/A</v>
      </c>
      <c r="AU258" s="292" t="e">
        <f t="shared" si="87"/>
        <v>#N/A</v>
      </c>
    </row>
    <row r="259" spans="1:47" ht="15" customHeight="1">
      <c r="A259" s="601" t="str">
        <f>Kat.!$B$1&amp;Kat.!B259</f>
        <v>Batterien 25 schuss, 20mm Mörser-1.3G</v>
      </c>
      <c r="B259" s="601">
        <f t="shared" si="73"/>
        <v>0</v>
      </c>
      <c r="C259" s="620"/>
      <c r="D259" s="603"/>
      <c r="E259" s="609"/>
      <c r="F259" s="605"/>
      <c r="G259" s="606"/>
      <c r="H259" s="607"/>
      <c r="I259" s="608"/>
      <c r="J259" s="609"/>
      <c r="K259" s="708"/>
      <c r="L259" s="611"/>
      <c r="M259" s="609"/>
      <c r="N259" s="612"/>
      <c r="O259" s="608"/>
      <c r="P259" s="608"/>
      <c r="Q259" s="609"/>
      <c r="R259" s="609"/>
      <c r="S259" s="609"/>
      <c r="T259" s="605"/>
      <c r="U259" s="613"/>
      <c r="V259" s="613"/>
      <c r="W259" s="601" t="str">
        <f>IFERROR(VLOOKUP('General price list'!$C259,Popisy!A:P,MATCH($W$17,Popisy!$A$7:$P$7,0),FALSE),"---------------")</f>
        <v>---------------</v>
      </c>
      <c r="X259" s="601" t="str">
        <f t="shared" ref="X259:X262" si="100">IF(AA259&lt;0.0001,"",AA259)</f>
        <v/>
      </c>
      <c r="Y259" s="770">
        <f>IF(OR(AP259&lt;AA259,AND(NOT(OR(LEFT(AB259,3)="SKL",LEFT(AB259,3)=LEFT($V$2,3))),AA259&gt;0),AND('Deutsche Markt'!$AH$1=FALSE,J259="F4",AA259&gt;0)),"",AA259)</f>
        <v>0</v>
      </c>
      <c r="Z259" s="601"/>
      <c r="AA259" s="771">
        <f>'Deutsche Markt'!AA259</f>
        <v>0</v>
      </c>
      <c r="AB259" s="614" t="str">
        <f>IFERROR(IF(VLOOKUP(C259,[1]List1!$A:$D,2,FALSE)="VYPRODÁNO",$V$9,IF(VLOOKUP(C259,[1]List1!$A:$D,2,FALSE)="DOCHÁZÍ",$V$3,VLOOKUP(C259,[1]List1!$A:$D,2,FALSE))),"OFFLINE!")</f>
        <v>OFFLINE!</v>
      </c>
      <c r="AC259" s="614" t="str">
        <f ca="1">IF(AO259="NE",$V$10,IF(AB259=$V$3,IF(AP259&lt;1,$V$8,$V$2&amp;" "&amp;AP259&amp;" "&amp;$V$1),IF(AB259="SKLADEM",$V$6,IFERROR(IF(OR(AB259-TODAY()&gt;21,VLOOKUP(C259,[1]List1!$A:$E,4,FALSE)=0),AB259,DAY(AB259)&amp;"."&amp;MONTH(AB259)&amp;"."&amp;YEAR(AB259)&amp;" "&amp;$V$4&amp;VLOOKUP(C259,[1]List1!$A:$E,4,FALSE)&amp;" "&amp;$V$1),AB259))))</f>
        <v>OFFLINE!</v>
      </c>
      <c r="AD259" s="614" t="str">
        <f t="shared" ref="AD259:AD262" ca="1" si="101">IFERROR(IF(AU259&lt;&gt;"",AU259,AC259),AC259)</f>
        <v>OFFLINE!</v>
      </c>
      <c r="AE259" s="605"/>
      <c r="AF259" s="605"/>
      <c r="AG259" s="615"/>
      <c r="AH259" s="616"/>
      <c r="AI259" s="615"/>
      <c r="AJ259" s="617"/>
      <c r="AK259" s="617"/>
      <c r="AL259" s="617"/>
      <c r="AM259" s="617"/>
      <c r="AN259" s="292"/>
      <c r="AO259" s="567" t="str">
        <f t="shared" si="82"/>
        <v/>
      </c>
      <c r="AP259" s="568" t="str">
        <f>IF(AB259=$V$3,IF(VLOOKUP(C259,[1]List1!$A:$E,5,FALSE)=0,1,VLOOKUP(C259,[1]List1!$A:$E,5,FALSE)),"")</f>
        <v/>
      </c>
      <c r="AQ259" s="292" t="str">
        <f t="shared" si="83"/>
        <v/>
      </c>
      <c r="AR259" s="618" t="str">
        <f t="shared" si="84"/>
        <v/>
      </c>
      <c r="AS259" s="292" t="str">
        <f t="shared" si="85"/>
        <v/>
      </c>
      <c r="AT259" s="377" t="e">
        <f t="shared" si="86"/>
        <v>#N/A</v>
      </c>
      <c r="AU259" s="292" t="e">
        <f t="shared" si="87"/>
        <v>#N/A</v>
      </c>
    </row>
    <row r="260" spans="1:47" ht="15" customHeight="1">
      <c r="A260" s="601" t="str">
        <f>Kat.!B260</f>
        <v/>
      </c>
      <c r="B260" s="601">
        <f t="shared" si="73"/>
        <v>1</v>
      </c>
      <c r="C260" s="783" t="s">
        <v>1051</v>
      </c>
      <c r="D260" s="783"/>
      <c r="E260" s="764"/>
      <c r="F260" s="761"/>
      <c r="G260" s="762"/>
      <c r="H260" s="596"/>
      <c r="I260" s="787"/>
      <c r="J260" s="764"/>
      <c r="K260" s="765"/>
      <c r="L260" s="787"/>
      <c r="M260" s="764"/>
      <c r="N260" s="767"/>
      <c r="O260" s="763"/>
      <c r="P260" s="763"/>
      <c r="Q260" s="764"/>
      <c r="R260" s="764"/>
      <c r="S260" s="764"/>
      <c r="T260" s="764"/>
      <c r="U260" s="768"/>
      <c r="V260" s="768"/>
      <c r="W260" s="769" t="str">
        <f>IFERROR(VLOOKUP('General price list'!$C260,Popisy!A:P,MATCH($W$17,Popisy!$A$7:$P$7,0),FALSE),"---------------")</f>
        <v>5 verschiedenfarbige Effekte</v>
      </c>
      <c r="X260" s="769" t="str">
        <f t="shared" si="100"/>
        <v/>
      </c>
      <c r="Y260" s="770">
        <f>IF(OR(AP260&lt;AA260,AND(NOT(OR(LEFT(AB260,3)="SKL",LEFT(AB260,3)=LEFT($V$2,3))),AA260&gt;0),AND('Deutsche Markt'!$AH$1=FALSE,J260="F4",AA260&gt;0)),"",AA260)</f>
        <v>0</v>
      </c>
      <c r="Z260" s="769"/>
      <c r="AA260" s="771">
        <f>'Deutsche Markt'!AA260</f>
        <v>0</v>
      </c>
      <c r="AB260" s="772" t="str">
        <f>IFERROR(IF(VLOOKUP(C260,[1]List1!$A:$D,2,FALSE)="VYPRODÁNO",$V$9,IF(VLOOKUP(C260,[1]List1!$A:$D,2,FALSE)="DOCHÁZÍ",$V$3,VLOOKUP(C260,[1]List1!$A:$D,2,FALSE))),"OFFLINE!")</f>
        <v>SKLADEM</v>
      </c>
      <c r="AC260" s="772" t="str">
        <f ca="1">IF(AO260="NE",$V$10,IF(AB260=$V$3,IF(AP260&lt;1,$V$8,$V$2&amp;" "&amp;AP260&amp;" "&amp;$V$1),IF(AB260="SKLADEM",$V$6,IFERROR(IF(OR(AB260-TODAY()&gt;21,VLOOKUP(C260,[1]List1!$A:$E,4,FALSE)=0),AB260,DAY(AB260)&amp;"."&amp;MONTH(AB260)&amp;"."&amp;YEAR(AB260)&amp;" "&amp;$V$4&amp;VLOOKUP(C260,[1]List1!$A:$E,4,FALSE)&amp;" "&amp;$V$1),AB260))))</f>
        <v>AUF LAGER</v>
      </c>
      <c r="AD260" s="772" t="str">
        <f t="shared" ca="1" si="101"/>
        <v>AUF LAGER</v>
      </c>
      <c r="AE260" s="605"/>
      <c r="AF260" s="605"/>
      <c r="AG260" s="615"/>
      <c r="AH260" s="616"/>
      <c r="AI260" s="615"/>
      <c r="AJ260" s="617"/>
      <c r="AK260" s="617"/>
      <c r="AL260" s="617"/>
      <c r="AM260" s="617"/>
      <c r="AN260" s="292"/>
      <c r="AO260" s="567" t="str">
        <f t="shared" si="82"/>
        <v/>
      </c>
      <c r="AP260" s="568" t="str">
        <f>IF(AB260=$V$3,IF(VLOOKUP(C260,[1]List1!$A:$E,5,FALSE)=0,1,VLOOKUP(C260,[1]List1!$A:$E,5,FALSE)),"")</f>
        <v/>
      </c>
      <c r="AQ260" s="292" t="str">
        <f t="shared" si="83"/>
        <v/>
      </c>
      <c r="AR260" s="618" t="str">
        <f t="shared" si="84"/>
        <v/>
      </c>
      <c r="AS260" s="292" t="str">
        <f t="shared" si="85"/>
        <v/>
      </c>
      <c r="AT260" s="377" t="e">
        <f t="shared" si="86"/>
        <v>#N/A</v>
      </c>
      <c r="AU260" s="292" t="e">
        <f t="shared" si="87"/>
        <v>#N/A</v>
      </c>
    </row>
    <row r="261" spans="1:47" ht="15" customHeight="1">
      <c r="A261" s="601" t="str">
        <f>Kat.!$B$1&amp;Kat.!B261</f>
        <v/>
      </c>
      <c r="B261" s="601">
        <f t="shared" si="73"/>
        <v>1</v>
      </c>
      <c r="C261" s="620" t="s">
        <v>1054</v>
      </c>
      <c r="D261" s="235"/>
      <c r="E261" s="633"/>
      <c r="F261" s="605"/>
      <c r="G261" s="606"/>
      <c r="H261" s="607"/>
      <c r="I261" s="608"/>
      <c r="J261" s="609"/>
      <c r="K261" s="708"/>
      <c r="L261" s="601"/>
      <c r="M261" s="609"/>
      <c r="N261" s="612"/>
      <c r="O261" s="621"/>
      <c r="P261" s="608"/>
      <c r="Q261" s="609"/>
      <c r="R261" s="609"/>
      <c r="S261" s="609"/>
      <c r="T261" s="609"/>
      <c r="U261" s="613"/>
      <c r="V261" s="613"/>
      <c r="W261" s="601" t="str">
        <f>IFERROR(VLOOKUP('General price list'!$C261,Popisy!A:P,MATCH($W$17,Popisy!$A$7:$P$7,0),FALSE),"---------------")</f>
        <v>5 verschiedenfarbige Effekte</v>
      </c>
      <c r="X261" s="601" t="str">
        <f t="shared" si="100"/>
        <v/>
      </c>
      <c r="Y261" s="770">
        <f>IF(OR(AP261&lt;AA261,AND(NOT(OR(LEFT(AB261,3)="SKL",LEFT(AB261,3)=LEFT($V$2,3))),AA261&gt;0),AND('Deutsche Markt'!$AH$1=FALSE,J261="F4",AA261&gt;0)),"",AA261)</f>
        <v>0</v>
      </c>
      <c r="Z261" s="601"/>
      <c r="AA261" s="771">
        <f>'Deutsche Markt'!AA261</f>
        <v>0</v>
      </c>
      <c r="AB261" s="614" t="str">
        <f>IFERROR(IF(VLOOKUP(C261,[1]List1!$A:$D,2,FALSE)="VYPRODÁNO",$V$9,IF(VLOOKUP(C261,[1]List1!$A:$D,2,FALSE)="DOCHÁZÍ",$V$3,VLOOKUP(C261,[1]List1!$A:$D,2,FALSE))),"OFFLINE!")</f>
        <v>30.09.2024</v>
      </c>
      <c r="AC261" s="614" t="str">
        <f ca="1">IF(AO261="NE",$V$10,IF(AB261=$V$3,IF(AP261&lt;1,$V$8,$V$2&amp;" "&amp;AP261&amp;" "&amp;$V$1),IF(AB261="SKLADEM",$V$6,IFERROR(IF(OR(AB261-TODAY()&gt;21,VLOOKUP(C261,[1]List1!$A:$E,4,FALSE)=0),AB261,DAY(AB261)&amp;"."&amp;MONTH(AB261)&amp;"."&amp;YEAR(AB261)&amp;" "&amp;$V$4&amp;VLOOKUP(C261,[1]List1!$A:$E,4,FALSE)&amp;" "&amp;$V$1),AB261))))</f>
        <v>30.09.2024</v>
      </c>
      <c r="AD261" s="614" t="str">
        <f t="shared" ca="1" si="101"/>
        <v>30.09.2024</v>
      </c>
      <c r="AE261" s="605"/>
      <c r="AF261" s="605"/>
      <c r="AG261" s="615"/>
      <c r="AH261" s="616"/>
      <c r="AI261" s="615"/>
      <c r="AJ261" s="617"/>
      <c r="AK261" s="617"/>
      <c r="AL261" s="617"/>
      <c r="AM261" s="617"/>
      <c r="AN261" s="292"/>
      <c r="AO261" s="567" t="str">
        <f t="shared" si="82"/>
        <v/>
      </c>
      <c r="AP261" s="568" t="str">
        <f>IF(AB261=$V$3,IF(VLOOKUP(C261,[1]List1!$A:$E,5,FALSE)=0,1,VLOOKUP(C261,[1]List1!$A:$E,5,FALSE)),"")</f>
        <v/>
      </c>
      <c r="AQ261" s="292" t="str">
        <f t="shared" si="83"/>
        <v/>
      </c>
      <c r="AR261" s="618" t="str">
        <f t="shared" si="84"/>
        <v/>
      </c>
      <c r="AS261" s="292" t="str">
        <f t="shared" si="85"/>
        <v/>
      </c>
      <c r="AT261" s="377" t="e">
        <f t="shared" si="86"/>
        <v>#N/A</v>
      </c>
      <c r="AU261" s="292" t="e">
        <f t="shared" si="87"/>
        <v>#N/A</v>
      </c>
    </row>
    <row r="262" spans="1:47" ht="15" customHeight="1">
      <c r="A262" s="601" t="str">
        <f>Kat.!B262</f>
        <v/>
      </c>
      <c r="B262" s="601">
        <f t="shared" si="73"/>
        <v>1</v>
      </c>
      <c r="C262" s="778" t="s">
        <v>1056</v>
      </c>
      <c r="D262" s="778"/>
      <c r="E262" s="778"/>
      <c r="F262" s="779"/>
      <c r="G262" s="778"/>
      <c r="H262" s="778"/>
      <c r="I262" s="778"/>
      <c r="J262" s="778"/>
      <c r="K262" s="765"/>
      <c r="L262" s="778"/>
      <c r="M262" s="778"/>
      <c r="N262" s="778"/>
      <c r="O262" s="778"/>
      <c r="P262" s="778"/>
      <c r="Q262" s="778"/>
      <c r="R262" s="778"/>
      <c r="S262" s="778"/>
      <c r="T262" s="778"/>
      <c r="U262" s="778"/>
      <c r="V262" s="778"/>
      <c r="W262" s="778" t="str">
        <f>IFERROR(VLOOKUP('General price list'!$C262,Popisy!A:P,MATCH($W$17,Popisy!$A$7:$P$7,0),FALSE),"---------------")</f>
        <v>5 verschiedenfarbige Effekte</v>
      </c>
      <c r="X262" s="778" t="str">
        <f t="shared" si="100"/>
        <v/>
      </c>
      <c r="Y262" s="770">
        <f>IF(OR(AP262&lt;AA262,AND(NOT(OR(LEFT(AB262,3)="SKL",LEFT(AB262,3)=LEFT($V$2,3))),AA262&gt;0),AND('Deutsche Markt'!$AH$1=FALSE,J262="F4",AA262&gt;0)),"",AA262)</f>
        <v>0</v>
      </c>
      <c r="Z262" s="778"/>
      <c r="AA262" s="771">
        <f>'Deutsche Markt'!AA262</f>
        <v>0</v>
      </c>
      <c r="AB262" s="778" t="str">
        <f>IFERROR(IF(VLOOKUP(C262,[1]List1!$A:$D,2,FALSE)="VYPRODÁNO",$V$9,IF(VLOOKUP(C262,[1]List1!$A:$D,2,FALSE)="DOCHÁZÍ",$V$3,VLOOKUP(C262,[1]List1!$A:$D,2,FALSE))),"OFFLINE!")</f>
        <v>SKLADEM</v>
      </c>
      <c r="AC262" s="778" t="str">
        <f ca="1">IF(AO262="NE",$V$10,IF(AB262=$V$3,IF(AP262&lt;1,$V$8,$V$2&amp;" "&amp;AP262&amp;" "&amp;$V$1),IF(AB262="SKLADEM",$V$6,IFERROR(IF(OR(AB262-TODAY()&gt;21,VLOOKUP(C262,[1]List1!$A:$E,4,FALSE)=0),AB262,DAY(AB262)&amp;"."&amp;MONTH(AB262)&amp;"."&amp;YEAR(AB262)&amp;" "&amp;$V$4&amp;VLOOKUP(C262,[1]List1!$A:$E,4,FALSE)&amp;" "&amp;$V$1),AB262))))</f>
        <v>AUF LAGER</v>
      </c>
      <c r="AD262" s="778" t="str">
        <f t="shared" ca="1" si="101"/>
        <v>AUF LAGER</v>
      </c>
      <c r="AE262" s="599"/>
      <c r="AF262" s="599"/>
      <c r="AG262" s="599"/>
      <c r="AH262" s="599"/>
      <c r="AI262" s="599"/>
      <c r="AJ262" s="599"/>
      <c r="AK262" s="599"/>
      <c r="AL262" s="599"/>
      <c r="AM262" s="599"/>
      <c r="AN262" s="566"/>
      <c r="AO262" s="567" t="str">
        <f t="shared" si="82"/>
        <v/>
      </c>
      <c r="AP262" s="568" t="str">
        <f>IF(AB262=$V$3,IF(VLOOKUP(C262,[1]List1!$A:$E,5,FALSE)=0,1,VLOOKUP(C262,[1]List1!$A:$E,5,FALSE)),"")</f>
        <v/>
      </c>
      <c r="AQ262" s="292" t="str">
        <f t="shared" si="83"/>
        <v/>
      </c>
      <c r="AR262" s="618" t="str">
        <f t="shared" si="84"/>
        <v/>
      </c>
      <c r="AS262" s="292" t="str">
        <f t="shared" si="85"/>
        <v/>
      </c>
      <c r="AT262" s="377" t="e">
        <f t="shared" si="86"/>
        <v>#N/A</v>
      </c>
      <c r="AU262" s="292" t="e">
        <f t="shared" si="87"/>
        <v>#N/A</v>
      </c>
    </row>
    <row r="263" spans="1:47" ht="15" customHeight="1">
      <c r="A263" s="601" t="str">
        <f>Kat.!B263</f>
        <v/>
      </c>
      <c r="B263" s="601">
        <f t="shared" si="73"/>
        <v>1</v>
      </c>
      <c r="C263" s="775" t="s">
        <v>1058</v>
      </c>
      <c r="D263" s="759"/>
      <c r="E263" s="760"/>
      <c r="F263" s="761"/>
      <c r="G263" s="762"/>
      <c r="H263" s="596"/>
      <c r="I263" s="763"/>
      <c r="J263" s="764"/>
      <c r="K263" s="773"/>
      <c r="L263" s="766"/>
      <c r="M263" s="764"/>
      <c r="N263" s="767"/>
      <c r="O263" s="763"/>
      <c r="P263" s="763"/>
      <c r="Q263" s="764"/>
      <c r="R263" s="764"/>
      <c r="S263" s="764"/>
      <c r="T263" s="761"/>
      <c r="U263" s="768"/>
      <c r="V263" s="768"/>
      <c r="W263" s="769"/>
      <c r="X263" s="769"/>
      <c r="Y263" s="770">
        <f>IF(OR(AP263&lt;AA263,AND(NOT(OR(LEFT(AB263,3)="SKL",LEFT(AB263,3)=LEFT($V$2,3))),AA263&gt;0),AND('Deutsche Markt'!$AH$1=FALSE,J263="F4",AA263&gt;0)),"",AA263)</f>
        <v>0</v>
      </c>
      <c r="Z263" s="769"/>
      <c r="AA263" s="771">
        <f>'Deutsche Markt'!AA263</f>
        <v>0</v>
      </c>
      <c r="AB263" s="772"/>
      <c r="AC263" s="772"/>
      <c r="AD263" s="772"/>
      <c r="AE263" s="605"/>
      <c r="AF263" s="605"/>
      <c r="AG263" s="615"/>
      <c r="AH263" s="616"/>
      <c r="AI263" s="615"/>
      <c r="AJ263" s="617"/>
      <c r="AK263" s="617"/>
      <c r="AL263" s="617"/>
      <c r="AM263" s="617"/>
      <c r="AN263" s="292"/>
      <c r="AO263" s="567" t="str">
        <f t="shared" si="82"/>
        <v/>
      </c>
      <c r="AP263" s="568" t="str">
        <f>IF(AB263=$V$3,IF(VLOOKUP(C263,[1]List1!$A:$E,5,FALSE)=0,1,VLOOKUP(C263,[1]List1!$A:$E,5,FALSE)),"")</f>
        <v/>
      </c>
      <c r="AQ263" s="292" t="str">
        <f t="shared" si="83"/>
        <v/>
      </c>
      <c r="AR263" s="618" t="str">
        <f t="shared" si="84"/>
        <v/>
      </c>
      <c r="AS263" s="292" t="str">
        <f t="shared" si="85"/>
        <v/>
      </c>
      <c r="AT263" s="377" t="e">
        <f t="shared" si="86"/>
        <v>#N/A</v>
      </c>
      <c r="AU263" s="292" t="e">
        <f t="shared" si="87"/>
        <v>#N/A</v>
      </c>
    </row>
    <row r="264" spans="1:47" ht="15" customHeight="1">
      <c r="A264" s="601" t="str">
        <f>Kat.!B264</f>
        <v/>
      </c>
      <c r="B264" s="601">
        <f t="shared" si="73"/>
        <v>1</v>
      </c>
      <c r="C264" s="758" t="s">
        <v>1063</v>
      </c>
      <c r="D264" s="759"/>
      <c r="E264" s="760"/>
      <c r="F264" s="761"/>
      <c r="G264" s="762"/>
      <c r="H264" s="596"/>
      <c r="I264" s="763"/>
      <c r="J264" s="764"/>
      <c r="K264" s="765"/>
      <c r="L264" s="766"/>
      <c r="M264" s="764"/>
      <c r="N264" s="767"/>
      <c r="O264" s="763"/>
      <c r="P264" s="763"/>
      <c r="Q264" s="764"/>
      <c r="R264" s="764"/>
      <c r="S264" s="764"/>
      <c r="T264" s="761"/>
      <c r="U264" s="768"/>
      <c r="V264" s="768"/>
      <c r="W264" s="769" t="str">
        <f>IFERROR(VLOOKUP('General price list'!$C264,Popisy!A:P,MATCH($W$17,Popisy!$A$7:$P$7,0),FALSE),"---------------")</f>
        <v>Rote Welle mit der knallenden Mitte, silberne Mine mit der roten Spur und der titanischen Detonation</v>
      </c>
      <c r="X264" s="769" t="str">
        <f t="shared" ref="X264:X265" si="102">IF(AA264&lt;0.0001,"",AA264)</f>
        <v/>
      </c>
      <c r="Y264" s="770">
        <f>IF(OR(AP264&lt;AA264,AND(NOT(OR(LEFT(AB264,3)="SKL",LEFT(AB264,3)=LEFT($V$2,3))),AA264&gt;0),AND('Deutsche Markt'!$AH$1=FALSE,J264="F4",AA264&gt;0)),"",AA264)</f>
        <v>0</v>
      </c>
      <c r="Z264" s="769"/>
      <c r="AA264" s="771">
        <f>'Deutsche Markt'!AA264</f>
        <v>0</v>
      </c>
      <c r="AB264" s="772" t="str">
        <f>IFERROR(IF(VLOOKUP(C264,[1]List1!$A:$D,2,FALSE)="VYPRODÁNO",$V$9,IF(VLOOKUP(C264,[1]List1!$A:$D,2,FALSE)="DOCHÁZÍ",$V$3,VLOOKUP(C264,[1]List1!$A:$D,2,FALSE))),"OFFLINE!")</f>
        <v>15.09.2024</v>
      </c>
      <c r="AC264" s="772" t="str">
        <f ca="1">IF(AO264="NE",$V$10,IF(AB264=$V$3,IF(AP264&lt;1,$V$8,$V$2&amp;" "&amp;AP264&amp;" "&amp;$V$1),IF(AB264="SKLADEM",$V$6,IFERROR(IF(OR(AB264-TODAY()&gt;21,VLOOKUP(C264,[1]List1!$A:$E,4,FALSE)=0),AB264,DAY(AB264)&amp;"."&amp;MONTH(AB264)&amp;"."&amp;YEAR(AB264)&amp;" "&amp;$V$4&amp;VLOOKUP(C264,[1]List1!$A:$E,4,FALSE)&amp;" "&amp;$V$1),AB264))))</f>
        <v>15.09.2024</v>
      </c>
      <c r="AD264" s="772" t="str">
        <f t="shared" ref="AD264:AD265" ca="1" si="103">IFERROR(IF(AU264&lt;&gt;"",AU264,AC264),AC264)</f>
        <v>15.09.2024</v>
      </c>
      <c r="AE264" s="605"/>
      <c r="AF264" s="605"/>
      <c r="AG264" s="615"/>
      <c r="AH264" s="616"/>
      <c r="AI264" s="615"/>
      <c r="AJ264" s="617"/>
      <c r="AK264" s="617"/>
      <c r="AL264" s="617"/>
      <c r="AM264" s="617"/>
      <c r="AO264" s="567" t="str">
        <f t="shared" si="82"/>
        <v/>
      </c>
      <c r="AP264" s="568" t="str">
        <f>IF(AB264=$V$3,IF(VLOOKUP(C264,[1]List1!$A:$E,5,FALSE)=0,1,VLOOKUP(C264,[1]List1!$A:$E,5,FALSE)),"")</f>
        <v/>
      </c>
      <c r="AQ264" s="292" t="str">
        <f t="shared" si="83"/>
        <v/>
      </c>
      <c r="AR264" s="618" t="str">
        <f t="shared" si="84"/>
        <v/>
      </c>
      <c r="AS264" s="292" t="str">
        <f t="shared" si="85"/>
        <v/>
      </c>
      <c r="AT264" s="377" t="e">
        <f t="shared" si="86"/>
        <v>#N/A</v>
      </c>
      <c r="AU264" s="292" t="e">
        <f t="shared" si="87"/>
        <v>#N/A</v>
      </c>
    </row>
    <row r="265" spans="1:47" ht="15" customHeight="1">
      <c r="A265" s="601" t="str">
        <f>Kat.!B265</f>
        <v/>
      </c>
      <c r="B265" s="601">
        <f t="shared" si="73"/>
        <v>1</v>
      </c>
      <c r="C265" s="783" t="s">
        <v>1068</v>
      </c>
      <c r="D265" s="759"/>
      <c r="E265" s="760"/>
      <c r="F265" s="761"/>
      <c r="G265" s="762"/>
      <c r="H265" s="596"/>
      <c r="I265" s="763"/>
      <c r="J265" s="764"/>
      <c r="K265" s="773"/>
      <c r="L265" s="766"/>
      <c r="M265" s="764"/>
      <c r="N265" s="767"/>
      <c r="O265" s="763"/>
      <c r="P265" s="763"/>
      <c r="Q265" s="764"/>
      <c r="R265" s="764"/>
      <c r="S265" s="764"/>
      <c r="T265" s="764"/>
      <c r="U265" s="768"/>
      <c r="V265" s="768"/>
      <c r="W265" s="769" t="str">
        <f>IFERROR(VLOOKUP('General price list'!$C265,Popisy!A:P,MATCH($W$17,Popisy!$A$7:$P$7,0),FALSE),"---------------")</f>
        <v>Silberne Welle mit grünen Enden und mit der blinkenden Mitte, orangenfarbige Spur mit orangenfarbigen Perlen und mit knallenden Sternen</v>
      </c>
      <c r="X265" s="769" t="str">
        <f t="shared" si="102"/>
        <v/>
      </c>
      <c r="Y265" s="770">
        <f>IF(OR(AP265&lt;AA265,AND(NOT(OR(LEFT(AB265,3)="SKL",LEFT(AB265,3)=LEFT($V$2,3))),AA265&gt;0),AND('Deutsche Markt'!$AH$1=FALSE,J265="F4",AA265&gt;0)),"",AA265)</f>
        <v>0</v>
      </c>
      <c r="Z265" s="769"/>
      <c r="AA265" s="771">
        <f>'Deutsche Markt'!AA265</f>
        <v>0</v>
      </c>
      <c r="AB265" s="772" t="str">
        <f>IFERROR(IF(VLOOKUP(C265,[1]List1!$A:$D,2,FALSE)="VYPRODÁNO",$V$9,IF(VLOOKUP(C265,[1]List1!$A:$D,2,FALSE)="DOCHÁZÍ",$V$3,VLOOKUP(C265,[1]List1!$A:$D,2,FALSE))),"OFFLINE!")</f>
        <v>SKLADEM</v>
      </c>
      <c r="AC265" s="772" t="str">
        <f ca="1">IF(AO265="NE",$V$10,IF(AB265=$V$3,IF(AP265&lt;1,$V$8,$V$2&amp;" "&amp;AP265&amp;" "&amp;$V$1),IF(AB265="SKLADEM",$V$6,IFERROR(IF(OR(AB265-TODAY()&gt;21,VLOOKUP(C265,[1]List1!$A:$E,4,FALSE)=0),AB265,DAY(AB265)&amp;"."&amp;MONTH(AB265)&amp;"."&amp;YEAR(AB265)&amp;" "&amp;$V$4&amp;VLOOKUP(C265,[1]List1!$A:$E,4,FALSE)&amp;" "&amp;$V$1),AB265))))</f>
        <v>AUF LAGER</v>
      </c>
      <c r="AD265" s="772" t="str">
        <f t="shared" ca="1" si="103"/>
        <v>AUF LAGER</v>
      </c>
      <c r="AE265" s="605"/>
      <c r="AF265" s="605"/>
      <c r="AG265" s="615"/>
      <c r="AH265" s="616"/>
      <c r="AI265" s="615"/>
      <c r="AJ265" s="617"/>
      <c r="AK265" s="617"/>
      <c r="AL265" s="617"/>
      <c r="AM265" s="617"/>
      <c r="AN265" s="292"/>
      <c r="AO265" s="567" t="str">
        <f t="shared" si="82"/>
        <v/>
      </c>
      <c r="AP265" s="568" t="str">
        <f>IF(AB265=$V$3,IF(VLOOKUP(C265,[1]List1!$A:$E,5,FALSE)=0,1,VLOOKUP(C265,[1]List1!$A:$E,5,FALSE)),"")</f>
        <v/>
      </c>
      <c r="AQ265" s="292" t="str">
        <f t="shared" si="83"/>
        <v/>
      </c>
      <c r="AR265" s="618" t="str">
        <f t="shared" si="84"/>
        <v/>
      </c>
      <c r="AS265" s="292" t="str">
        <f t="shared" si="85"/>
        <v/>
      </c>
      <c r="AT265" s="377" t="e">
        <f t="shared" si="86"/>
        <v>#N/A</v>
      </c>
      <c r="AU265" s="292" t="e">
        <f t="shared" si="87"/>
        <v>#N/A</v>
      </c>
    </row>
    <row r="266" spans="1:47" ht="15" customHeight="1">
      <c r="A266" s="599" t="str">
        <f>Kat.!$B$1&amp;Kat.!B266</f>
        <v/>
      </c>
      <c r="B266" s="601">
        <f t="shared" si="73"/>
        <v>1</v>
      </c>
      <c r="C266" s="599" t="s">
        <v>1073</v>
      </c>
      <c r="D266" s="599"/>
      <c r="E266" s="599"/>
      <c r="F266" s="600"/>
      <c r="G266" s="599"/>
      <c r="H266" s="599"/>
      <c r="I266" s="599"/>
      <c r="J266" s="599"/>
      <c r="K266" s="708"/>
      <c r="L266" s="599"/>
      <c r="M266" s="599"/>
      <c r="N266" s="599"/>
      <c r="O266" s="599"/>
      <c r="P266" s="599"/>
      <c r="Q266" s="599"/>
      <c r="R266" s="599"/>
      <c r="S266" s="599"/>
      <c r="T266" s="599"/>
      <c r="U266" s="599"/>
      <c r="V266" s="599"/>
      <c r="W266" s="599"/>
      <c r="X266" s="599"/>
      <c r="Y266" s="770">
        <f>IF(OR(AP266&lt;AA266,AND(NOT(OR(LEFT(AB266,3)="SKL",LEFT(AB266,3)=LEFT($V$2,3))),AA266&gt;0),AND('Deutsche Markt'!$AH$1=FALSE,J266="F4",AA266&gt;0)),"",AA266)</f>
        <v>0</v>
      </c>
      <c r="Z266" s="599"/>
      <c r="AA266" s="771">
        <f>'Deutsche Markt'!AA266</f>
        <v>0</v>
      </c>
      <c r="AB266" s="599"/>
      <c r="AC266" s="599">
        <f ca="1">IF(AO266="NE",$V$10,IF(AB266=$V$3,IF(AP266&lt;1,$V$8,$V$2&amp;" "&amp;AP266&amp;" "&amp;$V$1),IF(AB266="SKLADEM",$V$6,IFERROR(IF(OR(AB266-TODAY()&gt;21,VLOOKUP(C266,[1]List1!$A:$E,4,FALSE)=0),AB266,DAY(AB266)&amp;"."&amp;MONTH(AB266)&amp;"."&amp;YEAR(AB266)&amp;" "&amp;$V$4&amp;VLOOKUP(C266,[1]List1!$A:$E,4,FALSE)&amp;" "&amp;$V$1),AB266))))</f>
        <v>0</v>
      </c>
      <c r="AD266" s="599"/>
      <c r="AE266" s="599"/>
      <c r="AF266" s="599"/>
      <c r="AG266" s="599"/>
      <c r="AH266" s="599"/>
      <c r="AI266" s="599"/>
      <c r="AJ266" s="599"/>
      <c r="AK266" s="599"/>
      <c r="AL266" s="599"/>
      <c r="AM266" s="599"/>
      <c r="AN266" s="566"/>
      <c r="AO266" s="567" t="str">
        <f t="shared" si="82"/>
        <v/>
      </c>
      <c r="AP266" s="568" t="str">
        <f>IF(AB266=$V$3,IF(VLOOKUP(C266,[1]List1!$A:$E,5,FALSE)=0,1,VLOOKUP(C266,[1]List1!$A:$E,5,FALSE)),"")</f>
        <v/>
      </c>
      <c r="AQ266" s="292" t="str">
        <f t="shared" si="83"/>
        <v/>
      </c>
      <c r="AR266" s="618" t="str">
        <f t="shared" si="84"/>
        <v/>
      </c>
      <c r="AS266" s="292" t="str">
        <f t="shared" si="85"/>
        <v/>
      </c>
      <c r="AT266" s="377" t="e">
        <f t="shared" si="86"/>
        <v>#N/A</v>
      </c>
      <c r="AU266" s="292" t="e">
        <f t="shared" si="87"/>
        <v>#N/A</v>
      </c>
    </row>
    <row r="267" spans="1:47" ht="15" customHeight="1">
      <c r="A267" s="601" t="str">
        <f>Kat.!B267</f>
        <v/>
      </c>
      <c r="B267" s="601">
        <f t="shared" si="73"/>
        <v>1</v>
      </c>
      <c r="C267" s="775" t="s">
        <v>1082</v>
      </c>
      <c r="D267" s="759"/>
      <c r="E267" s="760"/>
      <c r="F267" s="761"/>
      <c r="G267" s="762"/>
      <c r="H267" s="596"/>
      <c r="I267" s="763"/>
      <c r="J267" s="764"/>
      <c r="K267" s="781"/>
      <c r="L267" s="766"/>
      <c r="M267" s="764"/>
      <c r="N267" s="777"/>
      <c r="O267" s="763"/>
      <c r="P267" s="763"/>
      <c r="Q267" s="764"/>
      <c r="R267" s="764"/>
      <c r="S267" s="764"/>
      <c r="T267" s="764"/>
      <c r="U267" s="768"/>
      <c r="V267" s="768"/>
      <c r="W267" s="769" t="str">
        <f>IFERROR(VLOOKUP('General price list'!$C267,Popisy!A:P,MATCH($W$17,Popisy!$A$7:$P$7,0),FALSE),"---------------")</f>
        <v>Blaue Palme mit der goldenen blinkenden Mitte</v>
      </c>
      <c r="X267" s="769" t="str">
        <f t="shared" ref="X267" si="104">IF(AA267&lt;0.0001,"",AA267)</f>
        <v/>
      </c>
      <c r="Y267" s="770">
        <f>IF(OR(AP267&lt;AA267,AND(NOT(OR(LEFT(AB267,3)="SKL",LEFT(AB267,3)=LEFT($V$2,3))),AA267&gt;0),AND('Deutsche Markt'!$AH$1=FALSE,J267="F4",AA267&gt;0)),"",AA267)</f>
        <v>0</v>
      </c>
      <c r="Z267" s="769"/>
      <c r="AA267" s="771">
        <f>'Deutsche Markt'!AA267</f>
        <v>0</v>
      </c>
      <c r="AB267" s="772" t="str">
        <f>IFERROR(IF(VLOOKUP(C267,[1]List1!$A:$D,2,FALSE)="VYPRODÁNO",$V$9,IF(VLOOKUP(C267,[1]List1!$A:$D,2,FALSE)="DOCHÁZÍ",$V$3,VLOOKUP(C267,[1]List1!$A:$D,2,FALSE))),"OFFLINE!")</f>
        <v>15.09.2024</v>
      </c>
      <c r="AC267" s="772" t="str">
        <f ca="1">IF(AO267="NE",$V$10,IF(AB267=$V$3,IF(AP267&lt;1,$V$8,$V$2&amp;" "&amp;AP267&amp;" "&amp;$V$1),IF(AB267="SKLADEM",$V$6,IFERROR(IF(OR(AB267-TODAY()&gt;21,VLOOKUP(C267,[1]List1!$A:$E,4,FALSE)=0),AB267,DAY(AB267)&amp;"."&amp;MONTH(AB267)&amp;"."&amp;YEAR(AB267)&amp;" "&amp;$V$4&amp;VLOOKUP(C267,[1]List1!$A:$E,4,FALSE)&amp;" "&amp;$V$1),AB267))))</f>
        <v>15.09.2024</v>
      </c>
      <c r="AD267" s="772" t="str">
        <f t="shared" ref="AD267" ca="1" si="105">IFERROR(IF(AU267&lt;&gt;"",AU267,AC267),AC267)</f>
        <v>15.09.2024</v>
      </c>
      <c r="AE267" s="605"/>
      <c r="AF267" s="605"/>
      <c r="AG267" s="615"/>
      <c r="AH267" s="616"/>
      <c r="AI267" s="615"/>
      <c r="AJ267" s="617"/>
      <c r="AK267" s="617"/>
      <c r="AL267" s="617"/>
      <c r="AM267" s="617"/>
      <c r="AN267" s="292"/>
      <c r="AO267" s="567" t="str">
        <f t="shared" si="82"/>
        <v/>
      </c>
      <c r="AP267" s="568" t="str">
        <f>IF(AB267=$V$3,IF(VLOOKUP(C267,[1]List1!$A:$E,5,FALSE)=0,1,VLOOKUP(C267,[1]List1!$A:$E,5,FALSE)),"")</f>
        <v/>
      </c>
      <c r="AQ267" s="292" t="str">
        <f t="shared" si="83"/>
        <v/>
      </c>
      <c r="AR267" s="618" t="str">
        <f t="shared" si="84"/>
        <v/>
      </c>
      <c r="AS267" s="292" t="str">
        <f t="shared" si="85"/>
        <v/>
      </c>
      <c r="AT267" s="377" t="e">
        <f t="shared" si="86"/>
        <v>#N/A</v>
      </c>
      <c r="AU267" s="292" t="e">
        <f t="shared" si="87"/>
        <v>#N/A</v>
      </c>
    </row>
    <row r="268" spans="1:47" ht="15" customHeight="1">
      <c r="A268" s="601" t="str">
        <f>Kat.!B268</f>
        <v>Batterien 25 schuss, 20mm Mörser-1.4G</v>
      </c>
      <c r="B268" s="601">
        <f t="shared" si="73"/>
        <v>0</v>
      </c>
      <c r="C268" s="778"/>
      <c r="D268" s="778"/>
      <c r="E268" s="778"/>
      <c r="F268" s="779"/>
      <c r="G268" s="778"/>
      <c r="H268" s="778"/>
      <c r="I268" s="778"/>
      <c r="J268" s="778"/>
      <c r="K268" s="774"/>
      <c r="L268" s="778"/>
      <c r="M268" s="778"/>
      <c r="N268" s="778"/>
      <c r="O268" s="778"/>
      <c r="P268" s="778"/>
      <c r="Q268" s="778"/>
      <c r="R268" s="778"/>
      <c r="S268" s="778"/>
      <c r="T268" s="778"/>
      <c r="U268" s="778"/>
      <c r="V268" s="778"/>
      <c r="W268" s="778"/>
      <c r="X268" s="778"/>
      <c r="Y268" s="770">
        <f>IF(OR(AP268&lt;AA268,AND(NOT(OR(LEFT(AB268,3)="SKL",LEFT(AB268,3)=LEFT($V$2,3))),AA268&gt;0),AND('Deutsche Markt'!$AH$1=FALSE,J268="F4",AA268&gt;0)),"",AA268)</f>
        <v>0</v>
      </c>
      <c r="Z268" s="778"/>
      <c r="AA268" s="771">
        <f>'Deutsche Markt'!AA268</f>
        <v>0</v>
      </c>
      <c r="AB268" s="778"/>
      <c r="AC268" s="778"/>
      <c r="AD268" s="778"/>
      <c r="AE268" s="599"/>
      <c r="AF268" s="599"/>
      <c r="AG268" s="599"/>
      <c r="AH268" s="599"/>
      <c r="AI268" s="599"/>
      <c r="AJ268" s="599"/>
      <c r="AK268" s="599"/>
      <c r="AL268" s="599"/>
      <c r="AM268" s="599"/>
      <c r="AN268" s="566"/>
      <c r="AO268" s="567" t="str">
        <f t="shared" si="82"/>
        <v/>
      </c>
      <c r="AP268" s="568" t="str">
        <f>IF(AB268=$V$3,IF(VLOOKUP(C268,[1]List1!$A:$E,5,FALSE)=0,1,VLOOKUP(C268,[1]List1!$A:$E,5,FALSE)),"")</f>
        <v/>
      </c>
      <c r="AQ268" s="292" t="str">
        <f t="shared" si="83"/>
        <v/>
      </c>
      <c r="AR268" s="618" t="str">
        <f t="shared" si="84"/>
        <v/>
      </c>
      <c r="AS268" s="292" t="str">
        <f t="shared" si="85"/>
        <v/>
      </c>
      <c r="AT268" s="377" t="e">
        <f t="shared" si="86"/>
        <v>#N/A</v>
      </c>
      <c r="AU268" s="292" t="e">
        <f t="shared" si="87"/>
        <v>#N/A</v>
      </c>
    </row>
    <row r="269" spans="1:47" ht="15" customHeight="1">
      <c r="A269" s="601" t="str">
        <f>Kat.!B269</f>
        <v/>
      </c>
      <c r="B269" s="601">
        <f t="shared" si="73"/>
        <v>1</v>
      </c>
      <c r="C269" s="783" t="s">
        <v>1060</v>
      </c>
      <c r="D269" s="783"/>
      <c r="E269" s="764"/>
      <c r="F269" s="761"/>
      <c r="G269" s="762"/>
      <c r="H269" s="595"/>
      <c r="I269" s="764"/>
      <c r="J269" s="764"/>
      <c r="K269" s="781"/>
      <c r="L269" s="764"/>
      <c r="M269" s="764"/>
      <c r="N269" s="764"/>
      <c r="O269" s="764"/>
      <c r="P269" s="764"/>
      <c r="Q269" s="764"/>
      <c r="R269" s="764"/>
      <c r="S269" s="764"/>
      <c r="T269" s="764"/>
      <c r="U269" s="764"/>
      <c r="V269" s="764"/>
      <c r="W269" s="764" t="str">
        <f>IFERROR(VLOOKUP('General price list'!$C269,Popisy!A:P,MATCH($W$17,Popisy!$A$7:$P$7,0),FALSE),"---------------")</f>
        <v>5 verschiedenfarbige Effekte</v>
      </c>
      <c r="X269" s="764" t="str">
        <f t="shared" ref="X269" si="106">IF(AA269&lt;0.0001,"",AA269)</f>
        <v/>
      </c>
      <c r="Y269" s="770">
        <f>IF(OR(AP269&lt;AA269,AND(NOT(OR(LEFT(AB269,3)="SKL",LEFT(AB269,3)=LEFT($V$2,3))),AA269&gt;0),AND('Deutsche Markt'!$AH$1=FALSE,J269="F4",AA269&gt;0)),"",AA269)</f>
        <v>0</v>
      </c>
      <c r="Z269" s="764"/>
      <c r="AA269" s="771">
        <f>'Deutsche Markt'!AA269</f>
        <v>0</v>
      </c>
      <c r="AB269" s="772" t="str">
        <f>IFERROR(IF(VLOOKUP(C269,[1]List1!$A:$D,2,FALSE)="VYPRODÁNO",$V$9,IF(VLOOKUP(C269,[1]List1!$A:$D,2,FALSE)="DOCHÁZÍ",$V$3,VLOOKUP(C269,[1]List1!$A:$D,2,FALSE))),"OFFLINE!")</f>
        <v>LETZTE STÜCKE</v>
      </c>
      <c r="AC269" s="785" t="str">
        <f ca="1">IF(AO269="NE",$V$10,IF(AB269=$V$3,IF(AP269&lt;1,$V$8,$V$2&amp;" "&amp;AP269&amp;" "&amp;$V$1),IF(AB269="SKLADEM",$V$6,IFERROR(IF(OR(AB269-TODAY()&gt;21,VLOOKUP(C269,[1]List1!$A:$E,4,FALSE)=0),AB269,DAY(AB269)&amp;"."&amp;MONTH(AB269)&amp;"."&amp;YEAR(AB269)&amp;" "&amp;$V$4&amp;VLOOKUP(C269,[1]List1!$A:$E,4,FALSE)&amp;" "&amp;$V$1),AB269))))</f>
        <v>LETZTE 10 KTN</v>
      </c>
      <c r="AD269" s="785" t="str">
        <f t="shared" ref="AD269" ca="1" si="107">IFERROR(IF(AU269&lt;&gt;"",AU269,AC269),AC269)</f>
        <v>LETZTE 10 KTN</v>
      </c>
      <c r="AE269" s="609"/>
      <c r="AF269" s="609"/>
      <c r="AG269" s="627"/>
      <c r="AH269" s="609"/>
      <c r="AI269" s="627"/>
      <c r="AJ269" s="609"/>
      <c r="AK269" s="609"/>
      <c r="AL269" s="609"/>
      <c r="AM269" s="627"/>
      <c r="AO269" s="567" t="str">
        <f t="shared" si="82"/>
        <v/>
      </c>
      <c r="AP269" s="568">
        <f>IF(AB269=$V$3,IF(VLOOKUP(C269,[1]List1!$A:$E,5,FALSE)=0,1,VLOOKUP(C269,[1]List1!$A:$E,5,FALSE)),"")</f>
        <v>10</v>
      </c>
      <c r="AQ269" s="292" t="str">
        <f t="shared" si="83"/>
        <v/>
      </c>
      <c r="AR269" s="618" t="str">
        <f t="shared" si="84"/>
        <v/>
      </c>
      <c r="AS269" s="292" t="str">
        <f t="shared" si="85"/>
        <v/>
      </c>
      <c r="AT269" s="377" t="e">
        <f t="shared" si="86"/>
        <v>#N/A</v>
      </c>
      <c r="AU269" s="292" t="e">
        <f t="shared" si="87"/>
        <v>#N/A</v>
      </c>
    </row>
    <row r="270" spans="1:47" ht="15" customHeight="1">
      <c r="A270" s="601" t="str">
        <f>Kat.!B270</f>
        <v/>
      </c>
      <c r="B270" s="601">
        <f t="shared" si="73"/>
        <v>1</v>
      </c>
      <c r="C270" s="758" t="s">
        <v>1061</v>
      </c>
      <c r="D270" s="783"/>
      <c r="E270" s="764"/>
      <c r="F270" s="761"/>
      <c r="G270" s="762"/>
      <c r="H270" s="596"/>
      <c r="I270" s="787"/>
      <c r="J270" s="764"/>
      <c r="K270" s="774"/>
      <c r="L270" s="787"/>
      <c r="M270" s="764"/>
      <c r="N270" s="767"/>
      <c r="O270" s="763"/>
      <c r="P270" s="763"/>
      <c r="Q270" s="764"/>
      <c r="R270" s="764"/>
      <c r="S270" s="764"/>
      <c r="T270" s="764"/>
      <c r="U270" s="768"/>
      <c r="V270" s="768"/>
      <c r="W270" s="769"/>
      <c r="X270" s="769"/>
      <c r="Y270" s="770">
        <f>IF(OR(AP270&lt;AA270,AND(NOT(OR(LEFT(AB270,3)="SKL",LEFT(AB270,3)=LEFT($V$2,3))),AA270&gt;0),AND('Deutsche Markt'!$AH$1=FALSE,J270="F4",AA270&gt;0)),"",AA270)</f>
        <v>0</v>
      </c>
      <c r="Z270" s="769"/>
      <c r="AA270" s="771">
        <f>'Deutsche Markt'!AA270</f>
        <v>0</v>
      </c>
      <c r="AB270" s="772"/>
      <c r="AC270" s="772"/>
      <c r="AD270" s="772"/>
      <c r="AE270" s="605"/>
      <c r="AF270" s="605"/>
      <c r="AG270" s="615"/>
      <c r="AH270" s="616"/>
      <c r="AI270" s="615"/>
      <c r="AJ270" s="617"/>
      <c r="AK270" s="617"/>
      <c r="AL270" s="617"/>
      <c r="AM270" s="617"/>
      <c r="AN270" s="292"/>
      <c r="AO270" s="567" t="str">
        <f t="shared" si="82"/>
        <v/>
      </c>
      <c r="AP270" s="568" t="str">
        <f>IF(AB270=$V$3,IF(VLOOKUP(C270,[1]List1!$A:$E,5,FALSE)=0,1,VLOOKUP(C270,[1]List1!$A:$E,5,FALSE)),"")</f>
        <v/>
      </c>
      <c r="AQ270" s="292" t="str">
        <f t="shared" si="83"/>
        <v/>
      </c>
      <c r="AR270" s="618" t="str">
        <f t="shared" si="84"/>
        <v/>
      </c>
      <c r="AS270" s="292" t="str">
        <f t="shared" si="85"/>
        <v/>
      </c>
      <c r="AT270" s="377" t="e">
        <f t="shared" si="86"/>
        <v>#N/A</v>
      </c>
      <c r="AU270" s="292" t="e">
        <f t="shared" si="87"/>
        <v>#N/A</v>
      </c>
    </row>
    <row r="271" spans="1:47" ht="15" customHeight="1">
      <c r="A271" s="601" t="str">
        <f>Kat.!$B$1&amp;Kat.!B271</f>
        <v/>
      </c>
      <c r="B271" s="601">
        <f t="shared" si="73"/>
        <v>1</v>
      </c>
      <c r="C271" s="620" t="s">
        <v>1062</v>
      </c>
      <c r="D271" s="235"/>
      <c r="E271" s="604"/>
      <c r="F271" s="605"/>
      <c r="G271" s="606"/>
      <c r="H271" s="607"/>
      <c r="I271" s="608"/>
      <c r="J271" s="609"/>
      <c r="K271" s="708"/>
      <c r="L271" s="623"/>
      <c r="M271" s="609"/>
      <c r="N271" s="612"/>
      <c r="O271" s="608"/>
      <c r="P271" s="608"/>
      <c r="Q271" s="609"/>
      <c r="R271" s="609"/>
      <c r="S271" s="609"/>
      <c r="T271" s="605"/>
      <c r="U271" s="613"/>
      <c r="V271" s="613"/>
      <c r="W271" s="601" t="str">
        <f>IFERROR(VLOOKUP('General price list'!$C271,Popisy!A:P,MATCH($W$17,Popisy!$A$7:$P$7,0),FALSE),"---------------")</f>
        <v>5 verschiedenfarbige Effekte</v>
      </c>
      <c r="X271" s="601" t="str">
        <f t="shared" ref="X271:X276" si="108">IF(AA271&lt;0.0001,"",AA271)</f>
        <v/>
      </c>
      <c r="Y271" s="770">
        <f>IF(OR(AP271&lt;AA271,AND(NOT(OR(LEFT(AB271,3)="SKL",LEFT(AB271,3)=LEFT($V$2,3))),AA271&gt;0),AND('Deutsche Markt'!$AH$1=FALSE,J271="F4",AA271&gt;0)),"",AA271)</f>
        <v>0</v>
      </c>
      <c r="Z271" s="601"/>
      <c r="AA271" s="771">
        <f>'Deutsche Markt'!AA271</f>
        <v>0</v>
      </c>
      <c r="AB271" s="614" t="str">
        <f>IFERROR(IF(VLOOKUP(C271,[1]List1!$A:$D,2,FALSE)="VYPRODÁNO",$V$9,IF(VLOOKUP(C271,[1]List1!$A:$D,2,FALSE)="DOCHÁZÍ",$V$3,VLOOKUP(C271,[1]List1!$A:$D,2,FALSE))),"OFFLINE!")</f>
        <v>SKLADEM</v>
      </c>
      <c r="AC271" s="614" t="str">
        <f ca="1">IF(AO271="NE",$V$10,IF(AB271=$V$3,IF(AP271&lt;1,$V$8,$V$2&amp;" "&amp;AP271&amp;" "&amp;$V$1),IF(AB271="SKLADEM",$V$6,IFERROR(IF(OR(AB271-TODAY()&gt;21,VLOOKUP(C271,[1]List1!$A:$E,4,FALSE)=0),AB271,DAY(AB271)&amp;"."&amp;MONTH(AB271)&amp;"."&amp;YEAR(AB271)&amp;" "&amp;$V$4&amp;VLOOKUP(C271,[1]List1!$A:$E,4,FALSE)&amp;" "&amp;$V$1),AB271))))</f>
        <v>AUF LAGER</v>
      </c>
      <c r="AD271" s="614" t="str">
        <f t="shared" ref="AD271:AD276" ca="1" si="109">IFERROR(IF(AU271&lt;&gt;"",AU271,AC271),AC271)</f>
        <v>AUF LAGER</v>
      </c>
      <c r="AE271" s="605"/>
      <c r="AF271" s="605"/>
      <c r="AG271" s="615"/>
      <c r="AH271" s="616"/>
      <c r="AI271" s="615"/>
      <c r="AJ271" s="617"/>
      <c r="AK271" s="617"/>
      <c r="AL271" s="617"/>
      <c r="AM271" s="617"/>
      <c r="AN271" s="292"/>
      <c r="AO271" s="567" t="str">
        <f t="shared" si="82"/>
        <v/>
      </c>
      <c r="AP271" s="568" t="str">
        <f>IF(AB271=$V$3,IF(VLOOKUP(C271,[1]List1!$A:$E,5,FALSE)=0,1,VLOOKUP(C271,[1]List1!$A:$E,5,FALSE)),"")</f>
        <v/>
      </c>
      <c r="AQ271" s="292" t="str">
        <f t="shared" si="83"/>
        <v/>
      </c>
      <c r="AR271" s="618" t="str">
        <f t="shared" si="84"/>
        <v/>
      </c>
      <c r="AS271" s="292" t="str">
        <f t="shared" si="85"/>
        <v/>
      </c>
      <c r="AT271" s="377" t="e">
        <f t="shared" si="86"/>
        <v>#N/A</v>
      </c>
      <c r="AU271" s="292" t="e">
        <f t="shared" si="87"/>
        <v>#N/A</v>
      </c>
    </row>
    <row r="272" spans="1:47" ht="15" customHeight="1">
      <c r="A272" s="601" t="str">
        <f>Kat.!B272</f>
        <v>Batterien 49 schuss, 20mm Mörser-1.3G</v>
      </c>
      <c r="B272" s="601">
        <f t="shared" si="73"/>
        <v>0</v>
      </c>
      <c r="C272" s="758"/>
      <c r="D272" s="759"/>
      <c r="E272" s="760"/>
      <c r="F272" s="761"/>
      <c r="G272" s="762"/>
      <c r="H272" s="596"/>
      <c r="I272" s="763"/>
      <c r="J272" s="764"/>
      <c r="K272" s="765"/>
      <c r="L272" s="782"/>
      <c r="M272" s="764"/>
      <c r="N272" s="767"/>
      <c r="O272" s="763"/>
      <c r="P272" s="763"/>
      <c r="Q272" s="764"/>
      <c r="R272" s="764"/>
      <c r="S272" s="764"/>
      <c r="T272" s="761"/>
      <c r="U272" s="768"/>
      <c r="V272" s="768"/>
      <c r="W272" s="769" t="str">
        <f>IFERROR(VLOOKUP('General price list'!$C272,Popisy!A:P,MATCH($W$17,Popisy!$A$7:$P$7,0),FALSE),"---------------")</f>
        <v>---------------</v>
      </c>
      <c r="X272" s="769" t="str">
        <f t="shared" si="108"/>
        <v/>
      </c>
      <c r="Y272" s="770">
        <f>IF(OR(AP272&lt;AA272,AND(NOT(OR(LEFT(AB272,3)="SKL",LEFT(AB272,3)=LEFT($V$2,3))),AA272&gt;0),AND('Deutsche Markt'!$AH$1=FALSE,J272="F4",AA272&gt;0)),"",AA272)</f>
        <v>0</v>
      </c>
      <c r="Z272" s="769"/>
      <c r="AA272" s="771">
        <f>'Deutsche Markt'!AA272</f>
        <v>0</v>
      </c>
      <c r="AB272" s="772" t="str">
        <f>IFERROR(IF(VLOOKUP(C272,[1]List1!$A:$D,2,FALSE)="VYPRODÁNO",$V$9,IF(VLOOKUP(C272,[1]List1!$A:$D,2,FALSE)="DOCHÁZÍ",$V$3,VLOOKUP(C272,[1]List1!$A:$D,2,FALSE))),"OFFLINE!")</f>
        <v>OFFLINE!</v>
      </c>
      <c r="AC272" s="772" t="str">
        <f ca="1">IF(AO272="NE",$V$10,IF(AB272=$V$3,IF(AP272&lt;1,$V$8,$V$2&amp;" "&amp;AP272&amp;" "&amp;$V$1),IF(AB272="SKLADEM",$V$6,IFERROR(IF(OR(AB272-TODAY()&gt;21,VLOOKUP(C272,[1]List1!$A:$E,4,FALSE)=0),AB272,DAY(AB272)&amp;"."&amp;MONTH(AB272)&amp;"."&amp;YEAR(AB272)&amp;" "&amp;$V$4&amp;VLOOKUP(C272,[1]List1!$A:$E,4,FALSE)&amp;" "&amp;$V$1),AB272))))</f>
        <v>OFFLINE!</v>
      </c>
      <c r="AD272" s="772" t="str">
        <f t="shared" ca="1" si="109"/>
        <v>OFFLINE!</v>
      </c>
      <c r="AE272" s="605"/>
      <c r="AF272" s="605"/>
      <c r="AG272" s="615"/>
      <c r="AH272" s="616"/>
      <c r="AI272" s="615"/>
      <c r="AJ272" s="617"/>
      <c r="AK272" s="617"/>
      <c r="AL272" s="617"/>
      <c r="AM272" s="617"/>
      <c r="AN272" s="292"/>
      <c r="AO272" s="567" t="str">
        <f t="shared" si="82"/>
        <v/>
      </c>
      <c r="AP272" s="568" t="str">
        <f>IF(AB272=$V$3,IF(VLOOKUP(C272,[1]List1!$A:$E,5,FALSE)=0,1,VLOOKUP(C272,[1]List1!$A:$E,5,FALSE)),"")</f>
        <v/>
      </c>
      <c r="AQ272" s="292" t="str">
        <f t="shared" si="83"/>
        <v/>
      </c>
      <c r="AR272" s="618" t="str">
        <f t="shared" si="84"/>
        <v/>
      </c>
      <c r="AS272" s="292" t="str">
        <f t="shared" si="85"/>
        <v/>
      </c>
      <c r="AT272" s="377" t="e">
        <f t="shared" si="86"/>
        <v>#N/A</v>
      </c>
      <c r="AU272" s="292" t="e">
        <f t="shared" si="87"/>
        <v>#N/A</v>
      </c>
    </row>
    <row r="273" spans="1:47" ht="15" customHeight="1">
      <c r="A273" s="601" t="str">
        <f>Kat.!B273</f>
        <v/>
      </c>
      <c r="B273" s="601">
        <f t="shared" si="73"/>
        <v>1</v>
      </c>
      <c r="C273" s="783" t="s">
        <v>1088</v>
      </c>
      <c r="D273" s="783"/>
      <c r="E273" s="764"/>
      <c r="F273" s="761"/>
      <c r="G273" s="762"/>
      <c r="H273" s="595"/>
      <c r="I273" s="764"/>
      <c r="J273" s="764"/>
      <c r="K273" s="773"/>
      <c r="L273" s="764"/>
      <c r="M273" s="764"/>
      <c r="N273" s="764"/>
      <c r="O273" s="764"/>
      <c r="P273" s="764"/>
      <c r="Q273" s="764"/>
      <c r="R273" s="764"/>
      <c r="S273" s="764"/>
      <c r="T273" s="764"/>
      <c r="U273" s="764"/>
      <c r="V273" s="764"/>
      <c r="W273" s="764" t="str">
        <f>IFERROR(VLOOKUP('General price list'!$C273,Popisy!A:P,MATCH($W$17,Popisy!$A$7:$P$7,0),FALSE),"---------------")</f>
        <v>7 verschiedenfarbige Effekte</v>
      </c>
      <c r="X273" s="764" t="str">
        <f t="shared" si="108"/>
        <v/>
      </c>
      <c r="Y273" s="770">
        <f>IF(OR(AP273&lt;AA273,AND(NOT(OR(LEFT(AB273,3)="SKL",LEFT(AB273,3)=LEFT($V$2,3))),AA273&gt;0),AND('Deutsche Markt'!$AH$1=FALSE,J273="F4",AA273&gt;0)),"",AA273)</f>
        <v>0</v>
      </c>
      <c r="Z273" s="764"/>
      <c r="AA273" s="771">
        <f>'Deutsche Markt'!AA273</f>
        <v>0</v>
      </c>
      <c r="AB273" s="772" t="str">
        <f>IFERROR(IF(VLOOKUP(C273,[1]List1!$A:$D,2,FALSE)="VYPRODÁNO",$V$9,IF(VLOOKUP(C273,[1]List1!$A:$D,2,FALSE)="DOCHÁZÍ",$V$3,VLOOKUP(C273,[1]List1!$A:$D,2,FALSE))),"OFFLINE!")</f>
        <v>SKLADEM</v>
      </c>
      <c r="AC273" s="785" t="str">
        <f ca="1">IF(AO273="NE",$V$10,IF(AB273=$V$3,IF(AP273&lt;1,$V$8,$V$2&amp;" "&amp;AP273&amp;" "&amp;$V$1),IF(AB273="SKLADEM",$V$6,IFERROR(IF(OR(AB273-TODAY()&gt;21,VLOOKUP(C273,[1]List1!$A:$E,4,FALSE)=0),AB273,DAY(AB273)&amp;"."&amp;MONTH(AB273)&amp;"."&amp;YEAR(AB273)&amp;" "&amp;$V$4&amp;VLOOKUP(C273,[1]List1!$A:$E,4,FALSE)&amp;" "&amp;$V$1),AB273))))</f>
        <v>AUF LAGER</v>
      </c>
      <c r="AD273" s="785" t="str">
        <f t="shared" ca="1" si="109"/>
        <v>AUF LAGER</v>
      </c>
      <c r="AE273" s="609"/>
      <c r="AF273" s="609"/>
      <c r="AG273" s="627"/>
      <c r="AH273" s="609"/>
      <c r="AI273" s="627"/>
      <c r="AJ273" s="609"/>
      <c r="AK273" s="609"/>
      <c r="AL273" s="609"/>
      <c r="AM273" s="627"/>
      <c r="AO273" s="567" t="str">
        <f t="shared" si="82"/>
        <v/>
      </c>
      <c r="AP273" s="568" t="str">
        <f>IF(AB273=$V$3,IF(VLOOKUP(C273,[1]List1!$A:$E,5,FALSE)=0,1,VLOOKUP(C273,[1]List1!$A:$E,5,FALSE)),"")</f>
        <v/>
      </c>
      <c r="AQ273" s="292" t="str">
        <f t="shared" si="83"/>
        <v/>
      </c>
      <c r="AR273" s="618" t="str">
        <f t="shared" si="84"/>
        <v/>
      </c>
      <c r="AS273" s="292" t="str">
        <f t="shared" si="85"/>
        <v/>
      </c>
      <c r="AT273" s="377" t="e">
        <f t="shared" si="86"/>
        <v>#N/A</v>
      </c>
      <c r="AU273" s="292" t="e">
        <f t="shared" si="87"/>
        <v>#N/A</v>
      </c>
    </row>
    <row r="274" spans="1:47" ht="15" customHeight="1">
      <c r="A274" s="601" t="str">
        <f>Kat.!$B$1&amp;Kat.!B274</f>
        <v/>
      </c>
      <c r="B274" s="601">
        <f t="shared" si="73"/>
        <v>1</v>
      </c>
      <c r="C274" s="602" t="s">
        <v>1090</v>
      </c>
      <c r="D274" s="603"/>
      <c r="E274" s="604"/>
      <c r="F274" s="605"/>
      <c r="G274" s="606"/>
      <c r="H274" s="607"/>
      <c r="I274" s="608"/>
      <c r="J274" s="609"/>
      <c r="K274" s="708"/>
      <c r="L274" s="623"/>
      <c r="M274" s="609"/>
      <c r="N274" s="612"/>
      <c r="O274" s="608"/>
      <c r="P274" s="608"/>
      <c r="Q274" s="609"/>
      <c r="R274" s="609"/>
      <c r="S274" s="609"/>
      <c r="T274" s="605"/>
      <c r="U274" s="613"/>
      <c r="V274" s="613"/>
      <c r="W274" s="601" t="str">
        <f>IFERROR(VLOOKUP('General price list'!$C274,Popisy!A:P,MATCH($W$17,Popisy!$A$7:$P$7,0),FALSE),"---------------")</f>
        <v>7 verschiedenfarbige Effekte</v>
      </c>
      <c r="X274" s="601" t="str">
        <f t="shared" si="108"/>
        <v/>
      </c>
      <c r="Y274" s="770">
        <f>IF(OR(AP274&lt;AA274,AND(NOT(OR(LEFT(AB274,3)="SKL",LEFT(AB274,3)=LEFT($V$2,3))),AA274&gt;0),AND('Deutsche Markt'!$AH$1=FALSE,J274="F4",AA274&gt;0)),"",AA274)</f>
        <v>0</v>
      </c>
      <c r="Z274" s="601"/>
      <c r="AA274" s="771">
        <f>'Deutsche Markt'!AA274</f>
        <v>0</v>
      </c>
      <c r="AB274" s="614" t="str">
        <f>IFERROR(IF(VLOOKUP(C274,[1]List1!$A:$D,2,FALSE)="VYPRODÁNO",$V$9,IF(VLOOKUP(C274,[1]List1!$A:$D,2,FALSE)="DOCHÁZÍ",$V$3,VLOOKUP(C274,[1]List1!$A:$D,2,FALSE))),"OFFLINE!")</f>
        <v>SKLADEM</v>
      </c>
      <c r="AC274" s="614" t="str">
        <f ca="1">IF(AO274="NE",$V$10,IF(AB274=$V$3,IF(AP274&lt;1,$V$8,$V$2&amp;" "&amp;AP274&amp;" "&amp;$V$1),IF(AB274="SKLADEM",$V$6,IFERROR(IF(OR(AB274-TODAY()&gt;21,VLOOKUP(C274,[1]List1!$A:$E,4,FALSE)=0),AB274,DAY(AB274)&amp;"."&amp;MONTH(AB274)&amp;"."&amp;YEAR(AB274)&amp;" "&amp;$V$4&amp;VLOOKUP(C274,[1]List1!$A:$E,4,FALSE)&amp;" "&amp;$V$1),AB274))))</f>
        <v>AUF LAGER</v>
      </c>
      <c r="AD274" s="614" t="str">
        <f t="shared" ca="1" si="109"/>
        <v>AUF LAGER</v>
      </c>
      <c r="AE274" s="605"/>
      <c r="AF274" s="605"/>
      <c r="AG274" s="615"/>
      <c r="AH274" s="616"/>
      <c r="AI274" s="615"/>
      <c r="AJ274" s="617"/>
      <c r="AK274" s="617"/>
      <c r="AL274" s="617"/>
      <c r="AM274" s="617"/>
      <c r="AN274" s="292"/>
      <c r="AO274" s="567" t="str">
        <f t="shared" si="82"/>
        <v/>
      </c>
      <c r="AP274" s="568" t="str">
        <f>IF(AB274=$V$3,IF(VLOOKUP(C274,[1]List1!$A:$E,5,FALSE)=0,1,VLOOKUP(C274,[1]List1!$A:$E,5,FALSE)),"")</f>
        <v/>
      </c>
      <c r="AQ274" s="292" t="str">
        <f t="shared" si="83"/>
        <v/>
      </c>
      <c r="AR274" s="618" t="str">
        <f t="shared" si="84"/>
        <v/>
      </c>
      <c r="AS274" s="292" t="str">
        <f t="shared" si="85"/>
        <v/>
      </c>
      <c r="AT274" s="377" t="e">
        <f t="shared" si="86"/>
        <v>#N/A</v>
      </c>
      <c r="AU274" s="292" t="e">
        <f t="shared" si="87"/>
        <v>#N/A</v>
      </c>
    </row>
    <row r="275" spans="1:47" ht="15" customHeight="1">
      <c r="A275" s="601" t="str">
        <f>Kat.!B275</f>
        <v/>
      </c>
      <c r="B275" s="601">
        <f t="shared" si="73"/>
        <v>1</v>
      </c>
      <c r="C275" s="778" t="s">
        <v>1093</v>
      </c>
      <c r="D275" s="778"/>
      <c r="E275" s="778"/>
      <c r="F275" s="779"/>
      <c r="G275" s="778"/>
      <c r="H275" s="778"/>
      <c r="I275" s="778"/>
      <c r="J275" s="778"/>
      <c r="K275" s="781"/>
      <c r="L275" s="778"/>
      <c r="M275" s="778"/>
      <c r="N275" s="778"/>
      <c r="O275" s="778"/>
      <c r="P275" s="778"/>
      <c r="Q275" s="778"/>
      <c r="R275" s="778"/>
      <c r="S275" s="778"/>
      <c r="T275" s="778"/>
      <c r="U275" s="778"/>
      <c r="V275" s="778"/>
      <c r="W275" s="778" t="str">
        <f>IFERROR(VLOOKUP('General price list'!$C275,Popisy!A:P,MATCH($W$17,Popisy!$A$7:$P$7,0),FALSE),"---------------")</f>
        <v>7 verschiedenfarbige Effekte</v>
      </c>
      <c r="X275" s="778" t="str">
        <f t="shared" si="108"/>
        <v/>
      </c>
      <c r="Y275" s="770">
        <f>IF(OR(AP275&lt;AA275,AND(NOT(OR(LEFT(AB275,3)="SKL",LEFT(AB275,3)=LEFT($V$2,3))),AA275&gt;0),AND('Deutsche Markt'!$AH$1=FALSE,J275="F4",AA275&gt;0)),"",AA275)</f>
        <v>0</v>
      </c>
      <c r="Z275" s="778"/>
      <c r="AA275" s="771">
        <f>'Deutsche Markt'!AA275</f>
        <v>0</v>
      </c>
      <c r="AB275" s="778" t="str">
        <f>IFERROR(IF(VLOOKUP(C275,[1]List1!$A:$D,2,FALSE)="VYPRODÁNO",$V$9,IF(VLOOKUP(C275,[1]List1!$A:$D,2,FALSE)="DOCHÁZÍ",$V$3,VLOOKUP(C275,[1]List1!$A:$D,2,FALSE))),"OFFLINE!")</f>
        <v>SKLADEM</v>
      </c>
      <c r="AC275" s="778" t="str">
        <f ca="1">IF(AO275="NE",$V$10,IF(AB275=$V$3,IF(AP275&lt;1,$V$8,$V$2&amp;" "&amp;AP275&amp;" "&amp;$V$1),IF(AB275="SKLADEM",$V$6,IFERROR(IF(OR(AB275-TODAY()&gt;21,VLOOKUP(C275,[1]List1!$A:$E,4,FALSE)=0),AB275,DAY(AB275)&amp;"."&amp;MONTH(AB275)&amp;"."&amp;YEAR(AB275)&amp;" "&amp;$V$4&amp;VLOOKUP(C275,[1]List1!$A:$E,4,FALSE)&amp;" "&amp;$V$1),AB275))))</f>
        <v>AUF LAGER</v>
      </c>
      <c r="AD275" s="778" t="str">
        <f t="shared" ca="1" si="109"/>
        <v>AUF LAGER</v>
      </c>
      <c r="AE275" s="599"/>
      <c r="AF275" s="599"/>
      <c r="AG275" s="599"/>
      <c r="AH275" s="599"/>
      <c r="AI275" s="599"/>
      <c r="AJ275" s="599"/>
      <c r="AK275" s="599"/>
      <c r="AL275" s="599"/>
      <c r="AM275" s="599"/>
      <c r="AN275" s="566"/>
      <c r="AO275" s="567" t="str">
        <f t="shared" si="82"/>
        <v/>
      </c>
      <c r="AP275" s="568" t="str">
        <f>IF(AB275=$V$3,IF(VLOOKUP(C275,[1]List1!$A:$E,5,FALSE)=0,1,VLOOKUP(C275,[1]List1!$A:$E,5,FALSE)),"")</f>
        <v/>
      </c>
      <c r="AQ275" s="292" t="str">
        <f t="shared" si="83"/>
        <v/>
      </c>
      <c r="AR275" s="618" t="str">
        <f t="shared" si="84"/>
        <v/>
      </c>
      <c r="AS275" s="292" t="str">
        <f t="shared" si="85"/>
        <v/>
      </c>
      <c r="AT275" s="377" t="e">
        <f t="shared" si="86"/>
        <v>#N/A</v>
      </c>
      <c r="AU275" s="292" t="e">
        <f t="shared" si="87"/>
        <v>#N/A</v>
      </c>
    </row>
    <row r="276" spans="1:47" ht="15" customHeight="1">
      <c r="A276" s="601" t="str">
        <f>Kat.!$B$1&amp;Kat.!B276</f>
        <v>Batterien 49 schuss, 20mm Mörser-1.4G</v>
      </c>
      <c r="B276" s="601">
        <f t="shared" si="73"/>
        <v>0</v>
      </c>
      <c r="C276" s="602"/>
      <c r="D276" s="603"/>
      <c r="E276" s="604"/>
      <c r="F276" s="605"/>
      <c r="G276" s="606"/>
      <c r="H276" s="607"/>
      <c r="I276" s="608"/>
      <c r="J276" s="609"/>
      <c r="K276" s="708"/>
      <c r="L276" s="611"/>
      <c r="M276" s="609"/>
      <c r="N276" s="621"/>
      <c r="O276" s="608"/>
      <c r="P276" s="608"/>
      <c r="Q276" s="609"/>
      <c r="R276" s="609"/>
      <c r="S276" s="609"/>
      <c r="T276" s="609"/>
      <c r="U276" s="613"/>
      <c r="V276" s="613"/>
      <c r="W276" s="601" t="str">
        <f>IFERROR(VLOOKUP('General price list'!$C276,Popisy!A:P,MATCH($W$17,Popisy!$A$7:$P$7,0),FALSE),"---------------")</f>
        <v>---------------</v>
      </c>
      <c r="X276" s="601" t="str">
        <f t="shared" si="108"/>
        <v/>
      </c>
      <c r="Y276" s="770">
        <f>IF(OR(AP276&lt;AA276,AND(NOT(OR(LEFT(AB276,3)="SKL",LEFT(AB276,3)=LEFT($V$2,3))),AA276&gt;0),AND('Deutsche Markt'!$AH$1=FALSE,J276="F4",AA276&gt;0)),"",AA276)</f>
        <v>0</v>
      </c>
      <c r="Z276" s="601"/>
      <c r="AA276" s="771">
        <f>'Deutsche Markt'!AA276</f>
        <v>0</v>
      </c>
      <c r="AB276" s="614" t="str">
        <f>IFERROR(IF(VLOOKUP(C276,[1]List1!$A:$D,2,FALSE)="VYPRODÁNO",$V$9,IF(VLOOKUP(C276,[1]List1!$A:$D,2,FALSE)="DOCHÁZÍ",$V$3,VLOOKUP(C276,[1]List1!$A:$D,2,FALSE))),"OFFLINE!")</f>
        <v>OFFLINE!</v>
      </c>
      <c r="AC276" s="614" t="str">
        <f ca="1">IF(AO276="NE",$V$10,IF(AB276=$V$3,IF(AP276&lt;1,$V$8,$V$2&amp;" "&amp;AP276&amp;" "&amp;$V$1),IF(AB276="SKLADEM",$V$6,IFERROR(IF(OR(AB276-TODAY()&gt;21,VLOOKUP(C276,[1]List1!$A:$E,4,FALSE)=0),AB276,DAY(AB276)&amp;"."&amp;MONTH(AB276)&amp;"."&amp;YEAR(AB276)&amp;" "&amp;$V$4&amp;VLOOKUP(C276,[1]List1!$A:$E,4,FALSE)&amp;" "&amp;$V$1),AB276))))</f>
        <v>OFFLINE!</v>
      </c>
      <c r="AD276" s="614" t="str">
        <f t="shared" ca="1" si="109"/>
        <v>OFFLINE!</v>
      </c>
      <c r="AE276" s="605"/>
      <c r="AF276" s="605"/>
      <c r="AG276" s="615"/>
      <c r="AH276" s="616"/>
      <c r="AI276" s="615"/>
      <c r="AJ276" s="617"/>
      <c r="AK276" s="617"/>
      <c r="AL276" s="617"/>
      <c r="AM276" s="617"/>
      <c r="AO276" s="567" t="str">
        <f t="shared" si="82"/>
        <v/>
      </c>
      <c r="AP276" s="568" t="str">
        <f>IF(AB276=$V$3,IF(VLOOKUP(C276,[1]List1!$A:$E,5,FALSE)=0,1,VLOOKUP(C276,[1]List1!$A:$E,5,FALSE)),"")</f>
        <v/>
      </c>
      <c r="AQ276" s="292" t="str">
        <f t="shared" si="83"/>
        <v/>
      </c>
      <c r="AR276" s="618" t="str">
        <f t="shared" si="84"/>
        <v/>
      </c>
      <c r="AS276" s="292" t="str">
        <f t="shared" si="85"/>
        <v/>
      </c>
      <c r="AT276" s="377" t="e">
        <f t="shared" si="86"/>
        <v>#N/A</v>
      </c>
      <c r="AU276" s="292" t="e">
        <f t="shared" si="87"/>
        <v>#N/A</v>
      </c>
    </row>
    <row r="277" spans="1:47" ht="15" customHeight="1">
      <c r="A277" s="601" t="str">
        <f>Kat.!B277</f>
        <v/>
      </c>
      <c r="B277" s="601">
        <f t="shared" si="73"/>
        <v>1</v>
      </c>
      <c r="C277" s="775" t="s">
        <v>1095</v>
      </c>
      <c r="D277" s="776"/>
      <c r="E277" s="760"/>
      <c r="F277" s="761"/>
      <c r="G277" s="762"/>
      <c r="H277" s="596"/>
      <c r="I277" s="763"/>
      <c r="J277" s="764"/>
      <c r="K277" s="781"/>
      <c r="L277" s="782"/>
      <c r="M277" s="764"/>
      <c r="N277" s="767"/>
      <c r="O277" s="763"/>
      <c r="P277" s="763"/>
      <c r="Q277" s="764"/>
      <c r="R277" s="764"/>
      <c r="S277" s="764"/>
      <c r="T277" s="761"/>
      <c r="U277" s="768"/>
      <c r="V277" s="768"/>
      <c r="W277" s="769"/>
      <c r="X277" s="769"/>
      <c r="Y277" s="770">
        <f>IF(OR(AP277&lt;AA277,AND(NOT(OR(LEFT(AB277,3)="SKL",LEFT(AB277,3)=LEFT($V$2,3))),AA277&gt;0),AND('Deutsche Markt'!$AH$1=FALSE,J277="F4",AA277&gt;0)),"",AA277)</f>
        <v>0</v>
      </c>
      <c r="Z277" s="769"/>
      <c r="AA277" s="771">
        <f>'Deutsche Markt'!AA277</f>
        <v>0</v>
      </c>
      <c r="AB277" s="772"/>
      <c r="AC277" s="772"/>
      <c r="AD277" s="772"/>
      <c r="AE277" s="605"/>
      <c r="AF277" s="605"/>
      <c r="AG277" s="615"/>
      <c r="AH277" s="616"/>
      <c r="AI277" s="615"/>
      <c r="AJ277" s="617"/>
      <c r="AK277" s="617"/>
      <c r="AL277" s="617"/>
      <c r="AM277" s="617"/>
      <c r="AO277" s="567" t="str">
        <f t="shared" si="82"/>
        <v/>
      </c>
      <c r="AP277" s="568" t="str">
        <f>IF(AB277=$V$3,IF(VLOOKUP(C277,[1]List1!$A:$E,5,FALSE)=0,1,VLOOKUP(C277,[1]List1!$A:$E,5,FALSE)),"")</f>
        <v/>
      </c>
      <c r="AQ277" s="292" t="str">
        <f t="shared" si="83"/>
        <v/>
      </c>
      <c r="AR277" s="618" t="str">
        <f t="shared" si="84"/>
        <v/>
      </c>
      <c r="AS277" s="292" t="str">
        <f t="shared" si="85"/>
        <v/>
      </c>
      <c r="AT277" s="377" t="e">
        <f t="shared" si="86"/>
        <v>#N/A</v>
      </c>
      <c r="AU277" s="292" t="e">
        <f t="shared" si="87"/>
        <v>#N/A</v>
      </c>
    </row>
    <row r="278" spans="1:47" ht="15" customHeight="1">
      <c r="A278" s="601" t="str">
        <f>Kat.!B278</f>
        <v/>
      </c>
      <c r="B278" s="601">
        <f t="shared" si="73"/>
        <v>1</v>
      </c>
      <c r="C278" s="778" t="s">
        <v>1096</v>
      </c>
      <c r="D278" s="778"/>
      <c r="E278" s="778"/>
      <c r="F278" s="779"/>
      <c r="G278" s="778"/>
      <c r="H278" s="778"/>
      <c r="I278" s="778"/>
      <c r="J278" s="778"/>
      <c r="K278" s="774"/>
      <c r="L278" s="778"/>
      <c r="M278" s="778"/>
      <c r="N278" s="778"/>
      <c r="O278" s="778"/>
      <c r="P278" s="778"/>
      <c r="Q278" s="778"/>
      <c r="R278" s="778"/>
      <c r="S278" s="778"/>
      <c r="T278" s="778"/>
      <c r="U278" s="778"/>
      <c r="V278" s="778"/>
      <c r="W278" s="778" t="str">
        <f>IFERROR(VLOOKUP('General price list'!$C278,Popisy!A:P,MATCH($W$17,Popisy!$A$7:$P$7,0),FALSE),"---------------")</f>
        <v>7 verschiedenfarbige Effekte</v>
      </c>
      <c r="X278" s="778" t="str">
        <f t="shared" ref="X278:X283" si="110">IF(AA278&lt;0.0001,"",AA278)</f>
        <v/>
      </c>
      <c r="Y278" s="770">
        <f>IF(OR(AP278&lt;AA278,AND(NOT(OR(LEFT(AB278,3)="SKL",LEFT(AB278,3)=LEFT($V$2,3))),AA278&gt;0),AND('Deutsche Markt'!$AH$1=FALSE,J278="F4",AA278&gt;0)),"",AA278)</f>
        <v>0</v>
      </c>
      <c r="Z278" s="778"/>
      <c r="AA278" s="771">
        <f>'Deutsche Markt'!AA278</f>
        <v>0</v>
      </c>
      <c r="AB278" s="778" t="str">
        <f>IFERROR(IF(VLOOKUP(C278,[1]List1!$A:$D,2,FALSE)="VYPRODÁNO",$V$9,IF(VLOOKUP(C278,[1]List1!$A:$D,2,FALSE)="DOCHÁZÍ",$V$3,VLOOKUP(C278,[1]List1!$A:$D,2,FALSE))),"OFFLINE!")</f>
        <v>SKLADEM</v>
      </c>
      <c r="AC278" s="778" t="str">
        <f ca="1">IF(AO278="NE",$V$10,IF(AB278=$V$3,IF(AP278&lt;1,$V$8,$V$2&amp;" "&amp;AP278&amp;" "&amp;$V$1),IF(AB278="SKLADEM",$V$6,IFERROR(IF(OR(AB278-TODAY()&gt;21,VLOOKUP(C278,[1]List1!$A:$E,4,FALSE)=0),AB278,DAY(AB278)&amp;"."&amp;MONTH(AB278)&amp;"."&amp;YEAR(AB278)&amp;" "&amp;$V$4&amp;VLOOKUP(C278,[1]List1!$A:$E,4,FALSE)&amp;" "&amp;$V$1),AB278))))</f>
        <v>AUF LAGER</v>
      </c>
      <c r="AD278" s="778" t="str">
        <f t="shared" ref="AD278:AD283" ca="1" si="111">IFERROR(IF(AU278&lt;&gt;"",AU278,AC278),AC278)</f>
        <v>AUF LAGER</v>
      </c>
      <c r="AE278" s="599"/>
      <c r="AF278" s="599"/>
      <c r="AG278" s="599"/>
      <c r="AH278" s="599"/>
      <c r="AI278" s="599"/>
      <c r="AJ278" s="599"/>
      <c r="AK278" s="599"/>
      <c r="AL278" s="599"/>
      <c r="AM278" s="599"/>
      <c r="AN278" s="566"/>
      <c r="AO278" s="567" t="str">
        <f t="shared" si="82"/>
        <v/>
      </c>
      <c r="AP278" s="568" t="str">
        <f>IF(AB278=$V$3,IF(VLOOKUP(C278,[1]List1!$A:$E,5,FALSE)=0,1,VLOOKUP(C278,[1]List1!$A:$E,5,FALSE)),"")</f>
        <v/>
      </c>
      <c r="AQ278" s="292" t="str">
        <f t="shared" si="83"/>
        <v/>
      </c>
      <c r="AR278" s="618" t="str">
        <f t="shared" si="84"/>
        <v/>
      </c>
      <c r="AS278" s="292" t="str">
        <f t="shared" si="85"/>
        <v/>
      </c>
      <c r="AT278" s="377" t="e">
        <f t="shared" si="86"/>
        <v>#N/A</v>
      </c>
      <c r="AU278" s="292" t="e">
        <f t="shared" si="87"/>
        <v>#N/A</v>
      </c>
    </row>
    <row r="279" spans="1:47" ht="15" customHeight="1">
      <c r="A279" s="601" t="str">
        <f>Kat.!$B$1&amp;Kat.!B279</f>
        <v/>
      </c>
      <c r="B279" s="601">
        <f t="shared" ref="B279:B344" si="112">IF(OR(L279="ZUGEWIESEN",AND(C279&lt;&gt;"",M279="")),1,IF(AB279=$V$3,1,0))</f>
        <v>1</v>
      </c>
      <c r="C279" s="602" t="s">
        <v>1098</v>
      </c>
      <c r="D279" s="603"/>
      <c r="E279" s="604"/>
      <c r="F279" s="605"/>
      <c r="G279" s="606"/>
      <c r="H279" s="607"/>
      <c r="I279" s="608"/>
      <c r="J279" s="609"/>
      <c r="K279" s="708"/>
      <c r="L279" s="623"/>
      <c r="M279" s="609"/>
      <c r="N279" s="612"/>
      <c r="O279" s="608"/>
      <c r="P279" s="608"/>
      <c r="Q279" s="609"/>
      <c r="R279" s="609"/>
      <c r="S279" s="609"/>
      <c r="T279" s="605"/>
      <c r="U279" s="613"/>
      <c r="V279" s="613"/>
      <c r="W279" s="601" t="str">
        <f>IFERROR(VLOOKUP('General price list'!$C279,Popisy!A:P,MATCH($W$17,Popisy!$A$7:$P$7,0),FALSE),"---------------")</f>
        <v>7 verschiedenfarbige Effekte</v>
      </c>
      <c r="X279" s="601" t="str">
        <f t="shared" si="110"/>
        <v/>
      </c>
      <c r="Y279" s="770">
        <f>IF(OR(AP279&lt;AA279,AND(NOT(OR(LEFT(AB279,3)="SKL",LEFT(AB279,3)=LEFT($V$2,3))),AA279&gt;0),AND('Deutsche Markt'!$AH$1=FALSE,J279="F4",AA279&gt;0)),"",AA279)</f>
        <v>0</v>
      </c>
      <c r="Z279" s="601"/>
      <c r="AA279" s="771">
        <f>'Deutsche Markt'!AA279</f>
        <v>0</v>
      </c>
      <c r="AB279" s="614" t="str">
        <f>IFERROR(IF(VLOOKUP(C279,[1]List1!$A:$D,2,FALSE)="VYPRODÁNO",$V$9,IF(VLOOKUP(C279,[1]List1!$A:$D,2,FALSE)="DOCHÁZÍ",$V$3,VLOOKUP(C279,[1]List1!$A:$D,2,FALSE))),"OFFLINE!")</f>
        <v>20.06.2024</v>
      </c>
      <c r="AC279" s="614" t="str">
        <f ca="1">IF(AO279="NE",$V$10,IF(AB279=$V$3,IF(AP279&lt;1,$V$8,$V$2&amp;" "&amp;AP279&amp;" "&amp;$V$1),IF(AB279="SKLADEM",$V$6,IFERROR(IF(OR(AB279-TODAY()&gt;21,VLOOKUP(C279,[1]List1!$A:$E,4,FALSE)=0),AB279,DAY(AB279)&amp;"."&amp;MONTH(AB279)&amp;"."&amp;YEAR(AB279)&amp;" "&amp;$V$4&amp;VLOOKUP(C279,[1]List1!$A:$E,4,FALSE)&amp;" "&amp;$V$1),AB279))))</f>
        <v>20.06.2024</v>
      </c>
      <c r="AD279" s="614" t="str">
        <f t="shared" ca="1" si="111"/>
        <v>20.06.2024</v>
      </c>
      <c r="AE279" s="605"/>
      <c r="AF279" s="605"/>
      <c r="AG279" s="615"/>
      <c r="AH279" s="616"/>
      <c r="AI279" s="615"/>
      <c r="AJ279" s="617"/>
      <c r="AK279" s="617"/>
      <c r="AL279" s="617"/>
      <c r="AM279" s="617"/>
      <c r="AO279" s="567" t="str">
        <f t="shared" si="82"/>
        <v/>
      </c>
      <c r="AP279" s="568" t="str">
        <f>IF(AB279=$V$3,IF(VLOOKUP(C279,[1]List1!$A:$E,5,FALSE)=0,1,VLOOKUP(C279,[1]List1!$A:$E,5,FALSE)),"")</f>
        <v/>
      </c>
      <c r="AQ279" s="292" t="str">
        <f t="shared" si="83"/>
        <v/>
      </c>
      <c r="AR279" s="618" t="str">
        <f t="shared" si="84"/>
        <v/>
      </c>
      <c r="AS279" s="292" t="str">
        <f t="shared" si="85"/>
        <v/>
      </c>
      <c r="AT279" s="377" t="e">
        <f t="shared" si="86"/>
        <v>#N/A</v>
      </c>
      <c r="AU279" s="292" t="e">
        <f t="shared" si="87"/>
        <v>#N/A</v>
      </c>
    </row>
    <row r="280" spans="1:47" ht="15" customHeight="1">
      <c r="A280" s="601" t="str">
        <f>Kat.!B280</f>
        <v>Batterien 49 schuss, 20mm schräg Mörser-1.3G</v>
      </c>
      <c r="B280" s="601">
        <f t="shared" si="112"/>
        <v>0</v>
      </c>
      <c r="C280" s="778"/>
      <c r="D280" s="778"/>
      <c r="E280" s="778"/>
      <c r="F280" s="779"/>
      <c r="G280" s="778"/>
      <c r="H280" s="778"/>
      <c r="I280" s="778"/>
      <c r="J280" s="778"/>
      <c r="K280" s="765"/>
      <c r="L280" s="778"/>
      <c r="M280" s="778"/>
      <c r="N280" s="778"/>
      <c r="O280" s="778"/>
      <c r="P280" s="778"/>
      <c r="Q280" s="778"/>
      <c r="R280" s="778"/>
      <c r="S280" s="778"/>
      <c r="T280" s="778"/>
      <c r="U280" s="778"/>
      <c r="V280" s="778"/>
      <c r="W280" s="778" t="str">
        <f>IFERROR(VLOOKUP('General price list'!$C280,Popisy!A:P,MATCH($W$17,Popisy!$A$7:$P$7,0),FALSE),"---------------")</f>
        <v>---------------</v>
      </c>
      <c r="X280" s="778" t="str">
        <f t="shared" si="110"/>
        <v/>
      </c>
      <c r="Y280" s="770">
        <f>IF(OR(AP280&lt;AA280,AND(NOT(OR(LEFT(AB280,3)="SKL",LEFT(AB280,3)=LEFT($V$2,3))),AA280&gt;0),AND('Deutsche Markt'!$AH$1=FALSE,J280="F4",AA280&gt;0)),"",AA280)</f>
        <v>0</v>
      </c>
      <c r="Z280" s="778"/>
      <c r="AA280" s="771">
        <f>'Deutsche Markt'!AA280</f>
        <v>0</v>
      </c>
      <c r="AB280" s="778" t="str">
        <f>IFERROR(IF(VLOOKUP(C280,[1]List1!$A:$D,2,FALSE)="VYPRODÁNO",$V$9,IF(VLOOKUP(C280,[1]List1!$A:$D,2,FALSE)="DOCHÁZÍ",$V$3,VLOOKUP(C280,[1]List1!$A:$D,2,FALSE))),"OFFLINE!")</f>
        <v>OFFLINE!</v>
      </c>
      <c r="AC280" s="778" t="str">
        <f ca="1">IF(AO280="NE",$V$10,IF(AB280=$V$3,IF(AP280&lt;1,$V$8,$V$2&amp;" "&amp;AP280&amp;" "&amp;$V$1),IF(AB280="SKLADEM",$V$6,IFERROR(IF(OR(AB280-TODAY()&gt;21,VLOOKUP(C280,[1]List1!$A:$E,4,FALSE)=0),AB280,DAY(AB280)&amp;"."&amp;MONTH(AB280)&amp;"."&amp;YEAR(AB280)&amp;" "&amp;$V$4&amp;VLOOKUP(C280,[1]List1!$A:$E,4,FALSE)&amp;" "&amp;$V$1),AB280))))</f>
        <v>OFFLINE!</v>
      </c>
      <c r="AD280" s="778" t="str">
        <f t="shared" ca="1" si="111"/>
        <v>OFFLINE!</v>
      </c>
      <c r="AE280" s="599"/>
      <c r="AF280" s="599"/>
      <c r="AG280" s="599"/>
      <c r="AH280" s="599"/>
      <c r="AI280" s="599"/>
      <c r="AJ280" s="599"/>
      <c r="AK280" s="599"/>
      <c r="AL280" s="599"/>
      <c r="AM280" s="599"/>
      <c r="AN280" s="566"/>
      <c r="AO280" s="567" t="str">
        <f t="shared" si="82"/>
        <v/>
      </c>
      <c r="AP280" s="568" t="str">
        <f>IF(AB280=$V$3,IF(VLOOKUP(C280,[1]List1!$A:$E,5,FALSE)=0,1,VLOOKUP(C280,[1]List1!$A:$E,5,FALSE)),"")</f>
        <v/>
      </c>
      <c r="AQ280" s="292" t="str">
        <f t="shared" si="83"/>
        <v/>
      </c>
      <c r="AR280" s="618" t="str">
        <f t="shared" si="84"/>
        <v/>
      </c>
      <c r="AS280" s="292" t="str">
        <f t="shared" si="85"/>
        <v/>
      </c>
      <c r="AT280" s="377" t="e">
        <f t="shared" si="86"/>
        <v>#N/A</v>
      </c>
      <c r="AU280" s="292" t="e">
        <f t="shared" si="87"/>
        <v>#N/A</v>
      </c>
    </row>
    <row r="281" spans="1:47" ht="15" customHeight="1">
      <c r="A281" s="601" t="str">
        <f>Kat.!B281</f>
        <v/>
      </c>
      <c r="B281" s="601">
        <f t="shared" si="112"/>
        <v>1</v>
      </c>
      <c r="C281" s="758" t="s">
        <v>1099</v>
      </c>
      <c r="D281" s="759"/>
      <c r="E281" s="760"/>
      <c r="F281" s="761"/>
      <c r="G281" s="762"/>
      <c r="H281" s="596"/>
      <c r="I281" s="763"/>
      <c r="J281" s="764"/>
      <c r="K281" s="773"/>
      <c r="L281" s="782"/>
      <c r="M281" s="764"/>
      <c r="N281" s="767"/>
      <c r="O281" s="763"/>
      <c r="P281" s="763"/>
      <c r="Q281" s="764"/>
      <c r="R281" s="764"/>
      <c r="S281" s="764"/>
      <c r="T281" s="761"/>
      <c r="U281" s="768"/>
      <c r="V281" s="768"/>
      <c r="W281" s="769" t="str">
        <f>IFERROR(VLOOKUP('General price list'!$C281,Popisy!A:P,MATCH($W$17,Popisy!$A$7:$P$7,0),FALSE),"---------------")</f>
        <v>7 verschiedenfarbige Effekte</v>
      </c>
      <c r="X281" s="769" t="str">
        <f t="shared" si="110"/>
        <v/>
      </c>
      <c r="Y281" s="770">
        <f>IF(OR(AP281&lt;AA281,AND(NOT(OR(LEFT(AB281,3)="SKL",LEFT(AB281,3)=LEFT($V$2,3))),AA281&gt;0),AND('Deutsche Markt'!$AH$1=FALSE,J281="F4",AA281&gt;0)),"",AA281)</f>
        <v>0</v>
      </c>
      <c r="Z281" s="769"/>
      <c r="AA281" s="771">
        <f>'Deutsche Markt'!AA281</f>
        <v>0</v>
      </c>
      <c r="AB281" s="772" t="str">
        <f>IFERROR(IF(VLOOKUP(C281,[1]List1!$A:$D,2,FALSE)="VYPRODÁNO",$V$9,IF(VLOOKUP(C281,[1]List1!$A:$D,2,FALSE)="DOCHÁZÍ",$V$3,VLOOKUP(C281,[1]List1!$A:$D,2,FALSE))),"OFFLINE!")</f>
        <v>SKLADEM</v>
      </c>
      <c r="AC281" s="772" t="str">
        <f ca="1">IF(AO281="NE",$V$10,IF(AB281=$V$3,IF(AP281&lt;1,$V$8,$V$2&amp;" "&amp;AP281&amp;" "&amp;$V$1),IF(AB281="SKLADEM",$V$6,IFERROR(IF(OR(AB281-TODAY()&gt;21,VLOOKUP(C281,[1]List1!$A:$E,4,FALSE)=0),AB281,DAY(AB281)&amp;"."&amp;MONTH(AB281)&amp;"."&amp;YEAR(AB281)&amp;" "&amp;$V$4&amp;VLOOKUP(C281,[1]List1!$A:$E,4,FALSE)&amp;" "&amp;$V$1),AB281))))</f>
        <v>AUF LAGER</v>
      </c>
      <c r="AD281" s="772" t="str">
        <f t="shared" ca="1" si="111"/>
        <v>AUF LAGER</v>
      </c>
      <c r="AE281" s="605"/>
      <c r="AF281" s="605"/>
      <c r="AG281" s="615"/>
      <c r="AH281" s="616"/>
      <c r="AI281" s="615"/>
      <c r="AJ281" s="617"/>
      <c r="AK281" s="617"/>
      <c r="AL281" s="617"/>
      <c r="AM281" s="617"/>
      <c r="AO281" s="567" t="str">
        <f t="shared" si="82"/>
        <v/>
      </c>
      <c r="AP281" s="568" t="str">
        <f>IF(AB281=$V$3,IF(VLOOKUP(C281,[1]List1!$A:$E,5,FALSE)=0,1,VLOOKUP(C281,[1]List1!$A:$E,5,FALSE)),"")</f>
        <v/>
      </c>
      <c r="AQ281" s="292" t="str">
        <f t="shared" si="83"/>
        <v/>
      </c>
      <c r="AR281" s="618" t="str">
        <f t="shared" si="84"/>
        <v/>
      </c>
      <c r="AS281" s="292" t="str">
        <f t="shared" si="85"/>
        <v/>
      </c>
      <c r="AT281" s="377" t="e">
        <f t="shared" si="86"/>
        <v>#N/A</v>
      </c>
      <c r="AU281" s="292" t="e">
        <f t="shared" si="87"/>
        <v>#N/A</v>
      </c>
    </row>
    <row r="282" spans="1:47" ht="15" customHeight="1">
      <c r="A282" s="601" t="str">
        <f>Kat.!B282</f>
        <v/>
      </c>
      <c r="B282" s="601">
        <f t="shared" si="112"/>
        <v>1</v>
      </c>
      <c r="C282" s="783" t="s">
        <v>1101</v>
      </c>
      <c r="D282" s="783"/>
      <c r="E282" s="764"/>
      <c r="F282" s="761"/>
      <c r="G282" s="762"/>
      <c r="H282" s="595"/>
      <c r="I282" s="764"/>
      <c r="J282" s="764"/>
      <c r="K282" s="765"/>
      <c r="L282" s="764"/>
      <c r="M282" s="764"/>
      <c r="N282" s="764"/>
      <c r="O282" s="764"/>
      <c r="P282" s="764"/>
      <c r="Q282" s="764"/>
      <c r="R282" s="764"/>
      <c r="S282" s="764"/>
      <c r="T282" s="764"/>
      <c r="U282" s="764"/>
      <c r="V282" s="764"/>
      <c r="W282" s="764" t="str">
        <f>IFERROR(VLOOKUP('General price list'!$C282,Popisy!A:P,MATCH($W$17,Popisy!$A$7:$P$7,0),FALSE),"---------------")</f>
        <v>7 verschiedenfarbige Effekte</v>
      </c>
      <c r="X282" s="764" t="str">
        <f t="shared" si="110"/>
        <v/>
      </c>
      <c r="Y282" s="770">
        <f>IF(OR(AP282&lt;AA282,AND(NOT(OR(LEFT(AB282,3)="SKL",LEFT(AB282,3)=LEFT($V$2,3))),AA282&gt;0),AND('Deutsche Markt'!$AH$1=FALSE,J282="F4",AA282&gt;0)),"",AA282)</f>
        <v>0</v>
      </c>
      <c r="Z282" s="764"/>
      <c r="AA282" s="771">
        <f>'Deutsche Markt'!AA282</f>
        <v>0</v>
      </c>
      <c r="AB282" s="772" t="str">
        <f>IFERROR(IF(VLOOKUP(C282,[1]List1!$A:$D,2,FALSE)="VYPRODÁNO",$V$9,IF(VLOOKUP(C282,[1]List1!$A:$D,2,FALSE)="DOCHÁZÍ",$V$3,VLOOKUP(C282,[1]List1!$A:$D,2,FALSE))),"OFFLINE!")</f>
        <v>30.09.2024</v>
      </c>
      <c r="AC282" s="785" t="str">
        <f ca="1">IF(AO282="NE",$V$10,IF(AB282=$V$3,IF(AP282&lt;1,$V$8,$V$2&amp;" "&amp;AP282&amp;" "&amp;$V$1),IF(AB282="SKLADEM",$V$6,IFERROR(IF(OR(AB282-TODAY()&gt;21,VLOOKUP(C282,[1]List1!$A:$E,4,FALSE)=0),AB282,DAY(AB282)&amp;"."&amp;MONTH(AB282)&amp;"."&amp;YEAR(AB282)&amp;" "&amp;$V$4&amp;VLOOKUP(C282,[1]List1!$A:$E,4,FALSE)&amp;" "&amp;$V$1),AB282))))</f>
        <v>30.09.2024</v>
      </c>
      <c r="AD282" s="785" t="str">
        <f t="shared" ca="1" si="111"/>
        <v>30.09.2024</v>
      </c>
      <c r="AE282" s="609"/>
      <c r="AF282" s="609"/>
      <c r="AG282" s="627"/>
      <c r="AH282" s="609"/>
      <c r="AI282" s="627"/>
      <c r="AJ282" s="609"/>
      <c r="AK282" s="609"/>
      <c r="AL282" s="609"/>
      <c r="AM282" s="627"/>
      <c r="AO282" s="567" t="str">
        <f t="shared" si="82"/>
        <v/>
      </c>
      <c r="AP282" s="568" t="str">
        <f>IF(AB282=$V$3,IF(VLOOKUP(C282,[1]List1!$A:$E,5,FALSE)=0,1,VLOOKUP(C282,[1]List1!$A:$E,5,FALSE)),"")</f>
        <v/>
      </c>
      <c r="AQ282" s="292" t="str">
        <f t="shared" si="83"/>
        <v/>
      </c>
      <c r="AR282" s="618" t="str">
        <f t="shared" si="84"/>
        <v/>
      </c>
      <c r="AS282" s="292" t="str">
        <f t="shared" si="85"/>
        <v/>
      </c>
      <c r="AT282" s="377" t="e">
        <f t="shared" si="86"/>
        <v>#N/A</v>
      </c>
      <c r="AU282" s="292" t="e">
        <f t="shared" si="87"/>
        <v>#N/A</v>
      </c>
    </row>
    <row r="283" spans="1:47" ht="15" customHeight="1">
      <c r="A283" s="601" t="str">
        <f>Kat.!B283</f>
        <v>x</v>
      </c>
      <c r="B283" s="601">
        <f t="shared" si="112"/>
        <v>1</v>
      </c>
      <c r="C283" s="758" t="s">
        <v>1103</v>
      </c>
      <c r="D283" s="759"/>
      <c r="E283" s="760"/>
      <c r="F283" s="761"/>
      <c r="G283" s="762"/>
      <c r="H283" s="596"/>
      <c r="I283" s="763"/>
      <c r="J283" s="764"/>
      <c r="K283" s="773"/>
      <c r="L283" s="782"/>
      <c r="M283" s="764"/>
      <c r="N283" s="767"/>
      <c r="O283" s="763"/>
      <c r="P283" s="763"/>
      <c r="Q283" s="764"/>
      <c r="R283" s="764"/>
      <c r="S283" s="764"/>
      <c r="T283" s="761"/>
      <c r="U283" s="768"/>
      <c r="V283" s="768"/>
      <c r="W283" s="769" t="str">
        <f>IFERROR(VLOOKUP('General price list'!$C283,Popisy!A:P,MATCH($W$17,Popisy!$A$7:$P$7,0),FALSE),"---------------")</f>
        <v>7 verschiedenfarbige Effekte</v>
      </c>
      <c r="X283" s="769" t="str">
        <f t="shared" si="110"/>
        <v/>
      </c>
      <c r="Y283" s="770">
        <f>IF(OR(AP283&lt;AA283,AND(NOT(OR(LEFT(AB283,3)="SKL",LEFT(AB283,3)=LEFT($V$2,3))),AA283&gt;0),AND('Deutsche Markt'!$AH$1=FALSE,J283="F4",AA283&gt;0)),"",AA283)</f>
        <v>0</v>
      </c>
      <c r="Z283" s="769"/>
      <c r="AA283" s="771">
        <f>'Deutsche Markt'!AA283</f>
        <v>0</v>
      </c>
      <c r="AB283" s="772" t="str">
        <f>IFERROR(IF(VLOOKUP(C283,[1]List1!$A:$D,2,FALSE)="VYPRODÁNO",$V$9,IF(VLOOKUP(C283,[1]List1!$A:$D,2,FALSE)="DOCHÁZÍ",$V$3,VLOOKUP(C283,[1]List1!$A:$D,2,FALSE))),"OFFLINE!")</f>
        <v>SKLADEM</v>
      </c>
      <c r="AC283" s="772" t="str">
        <f ca="1">IF(AO283="NE",$V$10,IF(AB283=$V$3,IF(AP283&lt;1,$V$8,$V$2&amp;" "&amp;AP283&amp;" "&amp;$V$1),IF(AB283="SKLADEM",$V$6,IFERROR(IF(OR(AB283-TODAY()&gt;21,VLOOKUP(C283,[1]List1!$A:$E,4,FALSE)=0),AB283,DAY(AB283)&amp;"."&amp;MONTH(AB283)&amp;"."&amp;YEAR(AB283)&amp;" "&amp;$V$4&amp;VLOOKUP(C283,[1]List1!$A:$E,4,FALSE)&amp;" "&amp;$V$1),AB283))))</f>
        <v>AUF LAGER</v>
      </c>
      <c r="AD283" s="772" t="str">
        <f t="shared" ca="1" si="111"/>
        <v>AUF LAGER</v>
      </c>
      <c r="AE283" s="605"/>
      <c r="AF283" s="605"/>
      <c r="AG283" s="615"/>
      <c r="AH283" s="616"/>
      <c r="AI283" s="615"/>
      <c r="AJ283" s="617"/>
      <c r="AK283" s="617"/>
      <c r="AL283" s="617"/>
      <c r="AM283" s="617"/>
      <c r="AO283" s="567" t="str">
        <f t="shared" si="82"/>
        <v/>
      </c>
      <c r="AP283" s="568" t="str">
        <f>IF(AB283=$V$3,IF(VLOOKUP(C283,[1]List1!$A:$E,5,FALSE)=0,1,VLOOKUP(C283,[1]List1!$A:$E,5,FALSE)),"")</f>
        <v/>
      </c>
      <c r="AQ283" s="292" t="str">
        <f t="shared" si="83"/>
        <v/>
      </c>
      <c r="AR283" s="618" t="str">
        <f t="shared" si="84"/>
        <v/>
      </c>
      <c r="AS283" s="292" t="str">
        <f t="shared" si="85"/>
        <v/>
      </c>
      <c r="AT283" s="377" t="e">
        <f t="shared" si="86"/>
        <v>#N/A</v>
      </c>
      <c r="AU283" s="292" t="e">
        <f t="shared" si="87"/>
        <v>#N/A</v>
      </c>
    </row>
    <row r="284" spans="1:47" ht="15" customHeight="1">
      <c r="A284" s="601" t="str">
        <f>Kat.!B284</f>
        <v/>
      </c>
      <c r="B284" s="601">
        <f t="shared" si="112"/>
        <v>1</v>
      </c>
      <c r="C284" s="758" t="s">
        <v>1106</v>
      </c>
      <c r="D284" s="759"/>
      <c r="E284" s="760"/>
      <c r="F284" s="761"/>
      <c r="G284" s="762"/>
      <c r="H284" s="596"/>
      <c r="I284" s="763"/>
      <c r="J284" s="764"/>
      <c r="K284" s="765"/>
      <c r="L284" s="766"/>
      <c r="M284" s="764"/>
      <c r="N284" s="767"/>
      <c r="O284" s="763"/>
      <c r="P284" s="763"/>
      <c r="Q284" s="764"/>
      <c r="R284" s="764"/>
      <c r="S284" s="764"/>
      <c r="T284" s="761"/>
      <c r="U284" s="768"/>
      <c r="V284" s="768"/>
      <c r="W284" s="769"/>
      <c r="X284" s="769"/>
      <c r="Y284" s="770">
        <f>IF(OR(AP284&lt;AA284,AND(NOT(OR(LEFT(AB284,3)="SKL",LEFT(AB284,3)=LEFT($V$2,3))),AA284&gt;0),AND('Deutsche Markt'!$AH$1=FALSE,J284="F4",AA284&gt;0)),"",AA284)</f>
        <v>0</v>
      </c>
      <c r="Z284" s="769"/>
      <c r="AA284" s="771">
        <f>'Deutsche Markt'!AA284</f>
        <v>0</v>
      </c>
      <c r="AB284" s="772"/>
      <c r="AC284" s="772"/>
      <c r="AD284" s="772"/>
      <c r="AE284" s="605"/>
      <c r="AF284" s="605"/>
      <c r="AG284" s="615"/>
      <c r="AH284" s="616"/>
      <c r="AI284" s="615"/>
      <c r="AJ284" s="617"/>
      <c r="AK284" s="617"/>
      <c r="AL284" s="617"/>
      <c r="AM284" s="617"/>
      <c r="AO284" s="567" t="str">
        <f t="shared" si="82"/>
        <v/>
      </c>
      <c r="AP284" s="568" t="str">
        <f>IF(AB284=$V$3,IF(VLOOKUP(C284,[1]List1!$A:$E,5,FALSE)=0,1,VLOOKUP(C284,[1]List1!$A:$E,5,FALSE)),"")</f>
        <v/>
      </c>
      <c r="AQ284" s="292" t="str">
        <f t="shared" si="83"/>
        <v/>
      </c>
      <c r="AR284" s="618" t="str">
        <f t="shared" si="84"/>
        <v/>
      </c>
      <c r="AS284" s="292" t="str">
        <f t="shared" si="85"/>
        <v/>
      </c>
      <c r="AT284" s="377" t="e">
        <f t="shared" si="86"/>
        <v>#N/A</v>
      </c>
      <c r="AU284" s="292" t="e">
        <f t="shared" si="87"/>
        <v>#N/A</v>
      </c>
    </row>
    <row r="285" spans="1:47" ht="15" customHeight="1">
      <c r="A285" s="601" t="str">
        <f>Kat.!B285</f>
        <v>Batterien 49 schuss, 20mm schräg Mörser-1.4G</v>
      </c>
      <c r="B285" s="601">
        <f t="shared" si="112"/>
        <v>0</v>
      </c>
      <c r="C285" s="778"/>
      <c r="D285" s="778"/>
      <c r="E285" s="778"/>
      <c r="F285" s="779"/>
      <c r="G285" s="778"/>
      <c r="H285" s="778"/>
      <c r="I285" s="778"/>
      <c r="J285" s="778"/>
      <c r="K285" s="773"/>
      <c r="L285" s="778"/>
      <c r="M285" s="778"/>
      <c r="N285" s="778"/>
      <c r="O285" s="778"/>
      <c r="P285" s="778"/>
      <c r="Q285" s="778"/>
      <c r="R285" s="778"/>
      <c r="S285" s="778"/>
      <c r="T285" s="778"/>
      <c r="U285" s="778"/>
      <c r="V285" s="778"/>
      <c r="W285" s="778" t="str">
        <f>IFERROR(VLOOKUP('General price list'!$C285,Popisy!A:P,MATCH($W$17,Popisy!$A$7:$P$7,0),FALSE),"---------------")</f>
        <v>---------------</v>
      </c>
      <c r="X285" s="778" t="str">
        <f t="shared" ref="X285:X292" si="113">IF(AA285&lt;0.0001,"",AA285)</f>
        <v/>
      </c>
      <c r="Y285" s="770">
        <f>IF(OR(AP285&lt;AA285,AND(NOT(OR(LEFT(AB285,3)="SKL",LEFT(AB285,3)=LEFT($V$2,3))),AA285&gt;0),AND('Deutsche Markt'!$AH$1=FALSE,J285="F4",AA285&gt;0)),"",AA285)</f>
        <v>0</v>
      </c>
      <c r="Z285" s="778"/>
      <c r="AA285" s="771">
        <f>'Deutsche Markt'!AA285</f>
        <v>0</v>
      </c>
      <c r="AB285" s="778" t="str">
        <f>IFERROR(IF(VLOOKUP(C285,[1]List1!$A:$D,2,FALSE)="VYPRODÁNO",$V$9,IF(VLOOKUP(C285,[1]List1!$A:$D,2,FALSE)="DOCHÁZÍ",$V$3,VLOOKUP(C285,[1]List1!$A:$D,2,FALSE))),"OFFLINE!")</f>
        <v>OFFLINE!</v>
      </c>
      <c r="AC285" s="778" t="str">
        <f ca="1">IF(AO285="NE",$V$10,IF(AB285=$V$3,IF(AP285&lt;1,$V$8,$V$2&amp;" "&amp;AP285&amp;" "&amp;$V$1),IF(AB285="SKLADEM",$V$6,IFERROR(IF(OR(AB285-TODAY()&gt;21,VLOOKUP(C285,[1]List1!$A:$E,4,FALSE)=0),AB285,DAY(AB285)&amp;"."&amp;MONTH(AB285)&amp;"."&amp;YEAR(AB285)&amp;" "&amp;$V$4&amp;VLOOKUP(C285,[1]List1!$A:$E,4,FALSE)&amp;" "&amp;$V$1),AB285))))</f>
        <v>OFFLINE!</v>
      </c>
      <c r="AD285" s="778" t="str">
        <f t="shared" ref="AD285:AD292" ca="1" si="114">IFERROR(IF(AU285&lt;&gt;"",AU285,AC285),AC285)</f>
        <v>OFFLINE!</v>
      </c>
      <c r="AE285" s="599"/>
      <c r="AF285" s="599"/>
      <c r="AG285" s="599"/>
      <c r="AH285" s="599"/>
      <c r="AI285" s="599"/>
      <c r="AJ285" s="599"/>
      <c r="AK285" s="599"/>
      <c r="AL285" s="599"/>
      <c r="AM285" s="599"/>
      <c r="AN285" s="566"/>
      <c r="AO285" s="567" t="str">
        <f t="shared" si="82"/>
        <v/>
      </c>
      <c r="AP285" s="568" t="str">
        <f>IF(AB285=$V$3,IF(VLOOKUP(C285,[1]List1!$A:$E,5,FALSE)=0,1,VLOOKUP(C285,[1]List1!$A:$E,5,FALSE)),"")</f>
        <v/>
      </c>
      <c r="AQ285" s="292" t="str">
        <f t="shared" si="83"/>
        <v/>
      </c>
      <c r="AR285" s="618" t="str">
        <f t="shared" si="84"/>
        <v/>
      </c>
      <c r="AS285" s="292" t="str">
        <f t="shared" si="85"/>
        <v/>
      </c>
      <c r="AT285" s="377" t="e">
        <f t="shared" si="86"/>
        <v>#N/A</v>
      </c>
      <c r="AU285" s="292" t="e">
        <f t="shared" si="87"/>
        <v>#N/A</v>
      </c>
    </row>
    <row r="286" spans="1:47" ht="15" customHeight="1">
      <c r="A286" s="601" t="str">
        <f>Kat.!$B$1&amp;Kat.!B286</f>
        <v/>
      </c>
      <c r="B286" s="601">
        <f t="shared" si="112"/>
        <v>1</v>
      </c>
      <c r="C286" s="163" t="s">
        <v>1105</v>
      </c>
      <c r="D286" s="235"/>
      <c r="E286" s="604"/>
      <c r="F286" s="605"/>
      <c r="G286" s="606"/>
      <c r="H286" s="607"/>
      <c r="I286" s="608"/>
      <c r="J286" s="609"/>
      <c r="K286" s="708"/>
      <c r="L286" s="623"/>
      <c r="M286" s="609"/>
      <c r="N286" s="612"/>
      <c r="O286" s="608"/>
      <c r="P286" s="608"/>
      <c r="Q286" s="609"/>
      <c r="R286" s="609"/>
      <c r="S286" s="609"/>
      <c r="T286" s="605"/>
      <c r="U286" s="613"/>
      <c r="V286" s="613"/>
      <c r="W286" s="601" t="str">
        <f>IFERROR(VLOOKUP('General price list'!$C286,Popisy!A:P,MATCH($W$17,Popisy!$A$7:$P$7,0),FALSE),"---------------")</f>
        <v>7 verschiedenfarbige Effekte</v>
      </c>
      <c r="X286" s="601" t="str">
        <f t="shared" si="113"/>
        <v/>
      </c>
      <c r="Y286" s="770">
        <f>IF(OR(AP286&lt;AA286,AND(NOT(OR(LEFT(AB286,3)="SKL",LEFT(AB286,3)=LEFT($V$2,3))),AA286&gt;0),AND('Deutsche Markt'!$AH$1=FALSE,J286="F4",AA286&gt;0)),"",AA286)</f>
        <v>0</v>
      </c>
      <c r="Z286" s="601"/>
      <c r="AA286" s="771">
        <f>'Deutsche Markt'!AA286</f>
        <v>0</v>
      </c>
      <c r="AB286" s="614" t="str">
        <f>IFERROR(IF(VLOOKUP(C286,[1]List1!$A:$D,2,FALSE)="VYPRODÁNO",$V$9,IF(VLOOKUP(C286,[1]List1!$A:$D,2,FALSE)="DOCHÁZÍ",$V$3,VLOOKUP(C286,[1]List1!$A:$D,2,FALSE))),"OFFLINE!")</f>
        <v>30.09.2024</v>
      </c>
      <c r="AC286" s="614" t="str">
        <f ca="1">IF(AO286="NE",$V$10,IF(AB286=$V$3,IF(AP286&lt;1,$V$8,$V$2&amp;" "&amp;AP286&amp;" "&amp;$V$1),IF(AB286="SKLADEM",$V$6,IFERROR(IF(OR(AB286-TODAY()&gt;21,VLOOKUP(C286,[1]List1!$A:$E,4,FALSE)=0),AB286,DAY(AB286)&amp;"."&amp;MONTH(AB286)&amp;"."&amp;YEAR(AB286)&amp;" "&amp;$V$4&amp;VLOOKUP(C286,[1]List1!$A:$E,4,FALSE)&amp;" "&amp;$V$1),AB286))))</f>
        <v>30.09.2024</v>
      </c>
      <c r="AD286" s="614" t="str">
        <f t="shared" ca="1" si="114"/>
        <v>30.09.2024</v>
      </c>
      <c r="AE286" s="605"/>
      <c r="AF286" s="605"/>
      <c r="AG286" s="615"/>
      <c r="AH286" s="616"/>
      <c r="AI286" s="615"/>
      <c r="AJ286" s="617"/>
      <c r="AK286" s="617"/>
      <c r="AL286" s="617"/>
      <c r="AM286" s="617"/>
      <c r="AO286" s="567" t="str">
        <f t="shared" si="82"/>
        <v/>
      </c>
      <c r="AP286" s="568" t="str">
        <f>IF(AB286=$V$3,IF(VLOOKUP(C286,[1]List1!$A:$E,5,FALSE)=0,1,VLOOKUP(C286,[1]List1!$A:$E,5,FALSE)),"")</f>
        <v/>
      </c>
      <c r="AQ286" s="292" t="str">
        <f t="shared" si="83"/>
        <v/>
      </c>
      <c r="AR286" s="618" t="str">
        <f t="shared" si="84"/>
        <v/>
      </c>
      <c r="AS286" s="292" t="str">
        <f t="shared" si="85"/>
        <v/>
      </c>
      <c r="AT286" s="377" t="e">
        <f t="shared" si="86"/>
        <v>#N/A</v>
      </c>
      <c r="AU286" s="292" t="e">
        <f t="shared" si="87"/>
        <v>#N/A</v>
      </c>
    </row>
    <row r="287" spans="1:47" ht="15" customHeight="1">
      <c r="A287" s="601" t="str">
        <f>Kat.!B287</f>
        <v>Batterien 64 schuss, 20mm Mörser-1.3G</v>
      </c>
      <c r="B287" s="601">
        <f t="shared" si="112"/>
        <v>0</v>
      </c>
      <c r="C287" s="778"/>
      <c r="D287" s="778"/>
      <c r="E287" s="778"/>
      <c r="F287" s="779"/>
      <c r="G287" s="778"/>
      <c r="H287" s="778"/>
      <c r="I287" s="778"/>
      <c r="J287" s="778"/>
      <c r="K287" s="781"/>
      <c r="L287" s="778"/>
      <c r="M287" s="778"/>
      <c r="N287" s="778"/>
      <c r="O287" s="778"/>
      <c r="P287" s="778"/>
      <c r="Q287" s="778"/>
      <c r="R287" s="778"/>
      <c r="S287" s="778"/>
      <c r="T287" s="778"/>
      <c r="U287" s="778"/>
      <c r="V287" s="778"/>
      <c r="W287" s="778" t="str">
        <f>IFERROR(VLOOKUP('General price list'!$C287,Popisy!A:P,MATCH($W$17,Popisy!$A$7:$P$7,0),FALSE),"---------------")</f>
        <v>---------------</v>
      </c>
      <c r="X287" s="778" t="str">
        <f t="shared" si="113"/>
        <v/>
      </c>
      <c r="Y287" s="770">
        <f>IF(OR(AP287&lt;AA287,AND(NOT(OR(LEFT(AB287,3)="SKL",LEFT(AB287,3)=LEFT($V$2,3))),AA287&gt;0),AND('Deutsche Markt'!$AH$1=FALSE,J287="F4",AA287&gt;0)),"",AA287)</f>
        <v>0</v>
      </c>
      <c r="Z287" s="778"/>
      <c r="AA287" s="771">
        <f>'Deutsche Markt'!AA287</f>
        <v>0</v>
      </c>
      <c r="AB287" s="778" t="str">
        <f>IFERROR(IF(VLOOKUP(C287,[1]List1!$A:$D,2,FALSE)="VYPRODÁNO",$V$9,IF(VLOOKUP(C287,[1]List1!$A:$D,2,FALSE)="DOCHÁZÍ",$V$3,VLOOKUP(C287,[1]List1!$A:$D,2,FALSE))),"OFFLINE!")</f>
        <v>OFFLINE!</v>
      </c>
      <c r="AC287" s="778" t="str">
        <f ca="1">IF(AO287="NE",$V$10,IF(AB287=$V$3,IF(AP287&lt;1,$V$8,$V$2&amp;" "&amp;AP287&amp;" "&amp;$V$1),IF(AB287="SKLADEM",$V$6,IFERROR(IF(OR(AB287-TODAY()&gt;21,VLOOKUP(C287,[1]List1!$A:$E,4,FALSE)=0),AB287,DAY(AB287)&amp;"."&amp;MONTH(AB287)&amp;"."&amp;YEAR(AB287)&amp;" "&amp;$V$4&amp;VLOOKUP(C287,[1]List1!$A:$E,4,FALSE)&amp;" "&amp;$V$1),AB287))))</f>
        <v>OFFLINE!</v>
      </c>
      <c r="AD287" s="778" t="str">
        <f t="shared" ca="1" si="114"/>
        <v>OFFLINE!</v>
      </c>
      <c r="AE287" s="599"/>
      <c r="AF287" s="599"/>
      <c r="AG287" s="599"/>
      <c r="AH287" s="599"/>
      <c r="AI287" s="599"/>
      <c r="AJ287" s="599"/>
      <c r="AK287" s="599"/>
      <c r="AL287" s="599"/>
      <c r="AM287" s="599"/>
      <c r="AN287" s="566"/>
      <c r="AO287" s="567" t="str">
        <f t="shared" si="82"/>
        <v/>
      </c>
      <c r="AP287" s="568" t="str">
        <f>IF(AB287=$V$3,IF(VLOOKUP(C287,[1]List1!$A:$E,5,FALSE)=0,1,VLOOKUP(C287,[1]List1!$A:$E,5,FALSE)),"")</f>
        <v/>
      </c>
      <c r="AQ287" s="292" t="str">
        <f t="shared" si="83"/>
        <v/>
      </c>
      <c r="AR287" s="618" t="str">
        <f t="shared" si="84"/>
        <v/>
      </c>
      <c r="AS287" s="292" t="str">
        <f t="shared" si="85"/>
        <v/>
      </c>
      <c r="AT287" s="377" t="e">
        <f t="shared" si="86"/>
        <v>#N/A</v>
      </c>
      <c r="AU287" s="292" t="e">
        <f t="shared" si="87"/>
        <v>#N/A</v>
      </c>
    </row>
    <row r="288" spans="1:47" ht="15" customHeight="1">
      <c r="A288" s="601" t="str">
        <f>Kat.!B288</f>
        <v/>
      </c>
      <c r="B288" s="601">
        <f t="shared" si="112"/>
        <v>1</v>
      </c>
      <c r="C288" s="783" t="s">
        <v>1109</v>
      </c>
      <c r="D288" s="783"/>
      <c r="E288" s="764"/>
      <c r="F288" s="761"/>
      <c r="G288" s="762"/>
      <c r="H288" s="595"/>
      <c r="I288" s="764"/>
      <c r="J288" s="764"/>
      <c r="K288" s="774"/>
      <c r="L288" s="764"/>
      <c r="M288" s="764"/>
      <c r="N288" s="764"/>
      <c r="O288" s="764"/>
      <c r="P288" s="764"/>
      <c r="Q288" s="764"/>
      <c r="R288" s="764"/>
      <c r="S288" s="764"/>
      <c r="T288" s="764"/>
      <c r="U288" s="764"/>
      <c r="V288" s="764"/>
      <c r="W288" s="764" t="str">
        <f>IFERROR(VLOOKUP('General price list'!$C288,Popisy!A:P,MATCH($W$17,Popisy!$A$7:$P$7,0),FALSE),"---------------")</f>
        <v>8 verschiedenfarbige Effekte</v>
      </c>
      <c r="X288" s="764" t="str">
        <f t="shared" si="113"/>
        <v/>
      </c>
      <c r="Y288" s="770">
        <f>IF(OR(AP288&lt;AA288,AND(NOT(OR(LEFT(AB288,3)="SKL",LEFT(AB288,3)=LEFT($V$2,3))),AA288&gt;0),AND('Deutsche Markt'!$AH$1=FALSE,J288="F4",AA288&gt;0)),"",AA288)</f>
        <v>0</v>
      </c>
      <c r="Z288" s="764"/>
      <c r="AA288" s="771">
        <f>'Deutsche Markt'!AA288</f>
        <v>0</v>
      </c>
      <c r="AB288" s="772" t="str">
        <f>IFERROR(IF(VLOOKUP(C288,[1]List1!$A:$D,2,FALSE)="VYPRODÁNO",$V$9,IF(VLOOKUP(C288,[1]List1!$A:$D,2,FALSE)="DOCHÁZÍ",$V$3,VLOOKUP(C288,[1]List1!$A:$D,2,FALSE))),"OFFLINE!")</f>
        <v>SKLADEM</v>
      </c>
      <c r="AC288" s="785" t="str">
        <f ca="1">IF(AO288="NE",$V$10,IF(AB288=$V$3,IF(AP288&lt;1,$V$8,$V$2&amp;" "&amp;AP288&amp;" "&amp;$V$1),IF(AB288="SKLADEM",$V$6,IFERROR(IF(OR(AB288-TODAY()&gt;21,VLOOKUP(C288,[1]List1!$A:$E,4,FALSE)=0),AB288,DAY(AB288)&amp;"."&amp;MONTH(AB288)&amp;"."&amp;YEAR(AB288)&amp;" "&amp;$V$4&amp;VLOOKUP(C288,[1]List1!$A:$E,4,FALSE)&amp;" "&amp;$V$1),AB288))))</f>
        <v>AUF LAGER</v>
      </c>
      <c r="AD288" s="785" t="str">
        <f t="shared" ca="1" si="114"/>
        <v>AUF LAGER</v>
      </c>
      <c r="AE288" s="609"/>
      <c r="AF288" s="609"/>
      <c r="AG288" s="627"/>
      <c r="AH288" s="609"/>
      <c r="AI288" s="627"/>
      <c r="AJ288" s="609"/>
      <c r="AK288" s="609"/>
      <c r="AL288" s="609"/>
      <c r="AM288" s="627"/>
      <c r="AO288" s="567" t="str">
        <f t="shared" si="82"/>
        <v/>
      </c>
      <c r="AP288" s="292" t="str">
        <f>IF(AB288=$V$3,IF(VLOOKUP(C288,[1]List1!$A:$E,5,FALSE)=0,1,VLOOKUP(C288,[1]List1!$A:$E,5,FALSE)),"")</f>
        <v/>
      </c>
      <c r="AQ288" s="292" t="str">
        <f t="shared" si="83"/>
        <v/>
      </c>
      <c r="AR288" s="618" t="str">
        <f t="shared" si="84"/>
        <v/>
      </c>
      <c r="AS288" s="292" t="str">
        <f t="shared" si="85"/>
        <v/>
      </c>
      <c r="AT288" s="377" t="e">
        <f t="shared" si="86"/>
        <v>#N/A</v>
      </c>
      <c r="AU288" s="292" t="e">
        <f t="shared" si="87"/>
        <v>#N/A</v>
      </c>
    </row>
    <row r="289" spans="1:47" ht="15" customHeight="1">
      <c r="A289" s="601" t="str">
        <f>Kat.!B289</f>
        <v/>
      </c>
      <c r="B289" s="601">
        <f t="shared" si="112"/>
        <v>1</v>
      </c>
      <c r="C289" s="783" t="s">
        <v>1114</v>
      </c>
      <c r="D289" s="776"/>
      <c r="E289" s="760"/>
      <c r="F289" s="761"/>
      <c r="G289" s="762"/>
      <c r="H289" s="596"/>
      <c r="I289" s="763"/>
      <c r="J289" s="764"/>
      <c r="K289" s="781"/>
      <c r="L289" s="782"/>
      <c r="M289" s="764"/>
      <c r="N289" s="767"/>
      <c r="O289" s="763"/>
      <c r="P289" s="763"/>
      <c r="Q289" s="764"/>
      <c r="R289" s="764"/>
      <c r="S289" s="764"/>
      <c r="T289" s="764"/>
      <c r="U289" s="768"/>
      <c r="V289" s="768"/>
      <c r="W289" s="769" t="str">
        <f>IFERROR(VLOOKUP('General price list'!$C289,Popisy!A:P,MATCH($W$17,Popisy!$A$7:$P$7,0),FALSE),"---------------")</f>
        <v>8 verschiedenfarbige Effekte</v>
      </c>
      <c r="X289" s="769" t="str">
        <f t="shared" si="113"/>
        <v/>
      </c>
      <c r="Y289" s="770">
        <f>IF(OR(AP289&lt;AA289,AND(NOT(OR(LEFT(AB289,3)="SKL",LEFT(AB289,3)=LEFT($V$2,3))),AA289&gt;0),AND('Deutsche Markt'!$AH$1=FALSE,J289="F4",AA289&gt;0)),"",AA289)</f>
        <v>0</v>
      </c>
      <c r="Z289" s="769"/>
      <c r="AA289" s="771">
        <f>'Deutsche Markt'!AA289</f>
        <v>0</v>
      </c>
      <c r="AB289" s="772" t="str">
        <f>IFERROR(IF(VLOOKUP(C289,[1]List1!$A:$D,2,FALSE)="VYPRODÁNO",$V$9,IF(VLOOKUP(C289,[1]List1!$A:$D,2,FALSE)="DOCHÁZÍ",$V$3,VLOOKUP(C289,[1]List1!$A:$D,2,FALSE))),"OFFLINE!")</f>
        <v>SKLADEM</v>
      </c>
      <c r="AC289" s="772" t="str">
        <f ca="1">IF(AO289="NE",$V$10,IF(AB289=$V$3,IF(AP289&lt;1,$V$8,$V$2&amp;" "&amp;AP289&amp;" "&amp;$V$1),IF(AB289="SKLADEM",$V$6,IFERROR(IF(OR(AB289-TODAY()&gt;21,VLOOKUP(C289,[1]List1!$A:$E,4,FALSE)=0),AB289,DAY(AB289)&amp;"."&amp;MONTH(AB289)&amp;"."&amp;YEAR(AB289)&amp;" "&amp;$V$4&amp;VLOOKUP(C289,[1]List1!$A:$E,4,FALSE)&amp;" "&amp;$V$1),AB289))))</f>
        <v>AUF LAGER</v>
      </c>
      <c r="AD289" s="772" t="str">
        <f t="shared" ca="1" si="114"/>
        <v>AUF LAGER</v>
      </c>
      <c r="AE289" s="605"/>
      <c r="AF289" s="605"/>
      <c r="AG289" s="615"/>
      <c r="AH289" s="616"/>
      <c r="AI289" s="615"/>
      <c r="AJ289" s="617"/>
      <c r="AK289" s="617"/>
      <c r="AL289" s="617"/>
      <c r="AM289" s="617"/>
      <c r="AO289" s="567" t="str">
        <f t="shared" ref="AO289:AO292" si="115">IF($AK$3=1,IF(Y289=AA289,"","NE"),IF(AQ289=$V$10,"NE",""))</f>
        <v/>
      </c>
      <c r="AP289" s="568" t="str">
        <f>IF(AB289=$V$3,IF(VLOOKUP(C289,[1]List1!$A:$E,5,FALSE)=0,1,VLOOKUP(C289,[1]List1!$A:$E,5,FALSE)),"")</f>
        <v/>
      </c>
      <c r="AQ289" s="292" t="str">
        <f t="shared" ref="AQ289:AQ292" si="116">IF($AK$3=1,"",IF(OR(AA289&lt;&gt;"",AA289&lt;&gt;0),IF(OR(AB289=$V$6,AB289=$V$3,AB289=$V$9),$V$10,""),""))</f>
        <v/>
      </c>
      <c r="AR289" s="618" t="str">
        <f t="shared" ref="AR289:AR292" si="117">IF(AS289&lt;&gt;"","X","")</f>
        <v/>
      </c>
      <c r="AS289" s="292" t="str">
        <f t="shared" ref="AS289:AS292" si="118">IF(AND($AK$3=2,AQ289="",AA289&lt;&gt;""),AC289,"")</f>
        <v/>
      </c>
      <c r="AT289" s="377" t="e">
        <f t="shared" ref="AT289:AT292" si="119">IF(AS289=$AR$21,AA289,"")</f>
        <v>#N/A</v>
      </c>
      <c r="AU289" s="292" t="e">
        <f t="shared" ref="AU289:AU292" si="120">IF(OR(AA289="",AND(AS289&lt;&gt;"",AT289&lt;&gt;"")),"",$V$10)</f>
        <v>#N/A</v>
      </c>
    </row>
    <row r="290" spans="1:47" ht="15" customHeight="1">
      <c r="A290" s="601" t="str">
        <f>Kat.!B290</f>
        <v/>
      </c>
      <c r="B290" s="601">
        <f t="shared" si="112"/>
        <v>1</v>
      </c>
      <c r="C290" s="778" t="s">
        <v>1116</v>
      </c>
      <c r="D290" s="778"/>
      <c r="E290" s="778"/>
      <c r="F290" s="779"/>
      <c r="G290" s="778"/>
      <c r="H290" s="778"/>
      <c r="I290" s="778"/>
      <c r="J290" s="778"/>
      <c r="K290" s="774"/>
      <c r="L290" s="778"/>
      <c r="M290" s="778"/>
      <c r="N290" s="778"/>
      <c r="O290" s="778"/>
      <c r="P290" s="778"/>
      <c r="Q290" s="778"/>
      <c r="R290" s="778"/>
      <c r="S290" s="778"/>
      <c r="T290" s="778"/>
      <c r="U290" s="778"/>
      <c r="V290" s="778"/>
      <c r="W290" s="778" t="str">
        <f>IFERROR(VLOOKUP('General price list'!$C290,Popisy!A:P,MATCH($W$17,Popisy!$A$7:$P$7,0),FALSE),"---------------")</f>
        <v>8 verschiedenfarbige Effekte</v>
      </c>
      <c r="X290" s="778" t="str">
        <f t="shared" si="113"/>
        <v/>
      </c>
      <c r="Y290" s="770">
        <f>IF(OR(AP290&lt;AA290,AND(NOT(OR(LEFT(AB290,3)="SKL",LEFT(AB290,3)=LEFT($V$2,3))),AA290&gt;0),AND('Deutsche Markt'!$AH$1=FALSE,J290="F4",AA290&gt;0)),"",AA290)</f>
        <v>0</v>
      </c>
      <c r="Z290" s="778"/>
      <c r="AA290" s="771">
        <f>'Deutsche Markt'!AA290</f>
        <v>0</v>
      </c>
      <c r="AB290" s="778" t="str">
        <f>IFERROR(IF(VLOOKUP(C290,[1]List1!$A:$D,2,FALSE)="VYPRODÁNO",$V$9,IF(VLOOKUP(C290,[1]List1!$A:$D,2,FALSE)="DOCHÁZÍ",$V$3,VLOOKUP(C290,[1]List1!$A:$D,2,FALSE))),"OFFLINE!")</f>
        <v>SKLADEM</v>
      </c>
      <c r="AC290" s="778" t="str">
        <f ca="1">IF(AO290="NE",$V$10,IF(AB290=$V$3,IF(AP290&lt;1,$V$8,$V$2&amp;" "&amp;AP290&amp;" "&amp;$V$1),IF(AB290="SKLADEM",$V$6,IFERROR(IF(OR(AB290-TODAY()&gt;21,VLOOKUP(C290,[1]List1!$A:$E,4,FALSE)=0),AB290,DAY(AB290)&amp;"."&amp;MONTH(AB290)&amp;"."&amp;YEAR(AB290)&amp;" "&amp;$V$4&amp;VLOOKUP(C290,[1]List1!$A:$E,4,FALSE)&amp;" "&amp;$V$1),AB290))))</f>
        <v>AUF LAGER</v>
      </c>
      <c r="AD290" s="778" t="str">
        <f t="shared" ca="1" si="114"/>
        <v>AUF LAGER</v>
      </c>
      <c r="AE290" s="599"/>
      <c r="AF290" s="599"/>
      <c r="AG290" s="599"/>
      <c r="AH290" s="599"/>
      <c r="AI290" s="599"/>
      <c r="AJ290" s="599"/>
      <c r="AK290" s="599"/>
      <c r="AL290" s="599"/>
      <c r="AM290" s="599"/>
      <c r="AN290" s="566"/>
      <c r="AO290" s="567" t="str">
        <f t="shared" si="115"/>
        <v/>
      </c>
      <c r="AP290" s="568" t="str">
        <f>IF(AB290=$V$3,IF(VLOOKUP(C290,[1]List1!$A:$E,5,FALSE)=0,1,VLOOKUP(C290,[1]List1!$A:$E,5,FALSE)),"")</f>
        <v/>
      </c>
      <c r="AQ290" s="292" t="str">
        <f t="shared" si="116"/>
        <v/>
      </c>
      <c r="AR290" s="618" t="str">
        <f t="shared" si="117"/>
        <v/>
      </c>
      <c r="AS290" s="292" t="str">
        <f t="shared" si="118"/>
        <v/>
      </c>
      <c r="AT290" s="377" t="e">
        <f t="shared" si="119"/>
        <v>#N/A</v>
      </c>
      <c r="AU290" s="292" t="e">
        <f t="shared" si="120"/>
        <v>#N/A</v>
      </c>
    </row>
    <row r="291" spans="1:47" ht="15" customHeight="1">
      <c r="A291" s="601" t="str">
        <f>Kat.!B291</f>
        <v>Batterien 64 schuss, 20mm Mörser-1.4G</v>
      </c>
      <c r="B291" s="601">
        <f t="shared" si="112"/>
        <v>0</v>
      </c>
      <c r="C291" s="775"/>
      <c r="D291" s="776"/>
      <c r="E291" s="760"/>
      <c r="F291" s="761"/>
      <c r="G291" s="762"/>
      <c r="H291" s="596"/>
      <c r="I291" s="763"/>
      <c r="J291" s="764"/>
      <c r="K291" s="781"/>
      <c r="L291" s="782"/>
      <c r="M291" s="764"/>
      <c r="N291" s="767"/>
      <c r="O291" s="763"/>
      <c r="P291" s="763"/>
      <c r="Q291" s="764"/>
      <c r="R291" s="764"/>
      <c r="S291" s="764"/>
      <c r="T291" s="761"/>
      <c r="U291" s="768"/>
      <c r="V291" s="768"/>
      <c r="W291" s="769" t="str">
        <f>IFERROR(VLOOKUP('General price list'!$C291,Popisy!A:P,MATCH($W$17,Popisy!$A$7:$P$7,0),FALSE),"---------------")</f>
        <v>---------------</v>
      </c>
      <c r="X291" s="769" t="str">
        <f t="shared" si="113"/>
        <v/>
      </c>
      <c r="Y291" s="770">
        <f>IF(OR(AP291&lt;AA291,AND(NOT(OR(LEFT(AB291,3)="SKL",LEFT(AB291,3)=LEFT($V$2,3))),AA291&gt;0),AND('Deutsche Markt'!$AH$1=FALSE,J291="F4",AA291&gt;0)),"",AA291)</f>
        <v>0</v>
      </c>
      <c r="Z291" s="769"/>
      <c r="AA291" s="771">
        <f>'Deutsche Markt'!AA291</f>
        <v>0</v>
      </c>
      <c r="AB291" s="772" t="str">
        <f>IFERROR(IF(VLOOKUP(C291,[1]List1!$A:$D,2,FALSE)="VYPRODÁNO",$V$9,IF(VLOOKUP(C291,[1]List1!$A:$D,2,FALSE)="DOCHÁZÍ",$V$3,VLOOKUP(C291,[1]List1!$A:$D,2,FALSE))),"OFFLINE!")</f>
        <v>OFFLINE!</v>
      </c>
      <c r="AC291" s="772" t="str">
        <f ca="1">IF(AO291="NE",$V$10,IF(AB291=$V$3,IF(AP291&lt;1,$V$8,$V$2&amp;" "&amp;AP291&amp;" "&amp;$V$1),IF(AB291="SKLADEM",$V$6,IFERROR(IF(OR(AB291-TODAY()&gt;21,VLOOKUP(C291,[1]List1!$A:$E,4,FALSE)=0),AB291,DAY(AB291)&amp;"."&amp;MONTH(AB291)&amp;"."&amp;YEAR(AB291)&amp;" "&amp;$V$4&amp;VLOOKUP(C291,[1]List1!$A:$E,4,FALSE)&amp;" "&amp;$V$1),AB291))))</f>
        <v>OFFLINE!</v>
      </c>
      <c r="AD291" s="772" t="str">
        <f t="shared" ca="1" si="114"/>
        <v>OFFLINE!</v>
      </c>
      <c r="AE291" s="605"/>
      <c r="AF291" s="605"/>
      <c r="AG291" s="615"/>
      <c r="AH291" s="616"/>
      <c r="AI291" s="615"/>
      <c r="AJ291" s="617"/>
      <c r="AK291" s="617"/>
      <c r="AL291" s="617"/>
      <c r="AM291" s="617"/>
      <c r="AO291" s="567" t="str">
        <f t="shared" si="115"/>
        <v/>
      </c>
      <c r="AP291" s="568" t="str">
        <f>IF(AB291=$V$3,IF(VLOOKUP(C291,[1]List1!$A:$E,5,FALSE)=0,1,VLOOKUP(C291,[1]List1!$A:$E,5,FALSE)),"")</f>
        <v/>
      </c>
      <c r="AQ291" s="292" t="str">
        <f t="shared" si="116"/>
        <v/>
      </c>
      <c r="AR291" s="618" t="str">
        <f t="shared" si="117"/>
        <v/>
      </c>
      <c r="AS291" s="292" t="str">
        <f t="shared" si="118"/>
        <v/>
      </c>
      <c r="AT291" s="377" t="e">
        <f t="shared" si="119"/>
        <v>#N/A</v>
      </c>
      <c r="AU291" s="292" t="e">
        <f t="shared" si="120"/>
        <v>#N/A</v>
      </c>
    </row>
    <row r="292" spans="1:47" ht="15" customHeight="1">
      <c r="A292" s="601" t="str">
        <f>Kat.!B292</f>
        <v/>
      </c>
      <c r="B292" s="601">
        <f t="shared" si="112"/>
        <v>1</v>
      </c>
      <c r="C292" s="758" t="s">
        <v>1118</v>
      </c>
      <c r="D292" s="776"/>
      <c r="E292" s="760"/>
      <c r="F292" s="761"/>
      <c r="G292" s="762"/>
      <c r="H292" s="596"/>
      <c r="I292" s="763"/>
      <c r="J292" s="764"/>
      <c r="K292" s="774"/>
      <c r="L292" s="780"/>
      <c r="M292" s="764"/>
      <c r="N292" s="767"/>
      <c r="O292" s="763"/>
      <c r="P292" s="763"/>
      <c r="Q292" s="764"/>
      <c r="R292" s="764"/>
      <c r="S292" s="764"/>
      <c r="T292" s="761"/>
      <c r="U292" s="768"/>
      <c r="V292" s="768"/>
      <c r="W292" s="769" t="str">
        <f>IFERROR(VLOOKUP('General price list'!$C292,Popisy!A:P,MATCH($W$17,Popisy!$A$7:$P$7,0),FALSE),"---------------")</f>
        <v>8 verschiedenfarbige Effekte</v>
      </c>
      <c r="X292" s="769" t="str">
        <f t="shared" si="113"/>
        <v/>
      </c>
      <c r="Y292" s="770">
        <f>IF(OR(AP292&lt;AA292,AND(NOT(OR(LEFT(AB292,3)="SKL",LEFT(AB292,3)=LEFT($V$2,3))),AA292&gt;0),AND('Deutsche Markt'!$AH$1=FALSE,J292="F4",AA292&gt;0)),"",AA292)</f>
        <v>0</v>
      </c>
      <c r="Z292" s="769"/>
      <c r="AA292" s="771">
        <f>'Deutsche Markt'!AA292</f>
        <v>0</v>
      </c>
      <c r="AB292" s="772" t="str">
        <f>IFERROR(IF(VLOOKUP(C292,[1]List1!$A:$D,2,FALSE)="VYPRODÁNO",$V$9,IF(VLOOKUP(C292,[1]List1!$A:$D,2,FALSE)="DOCHÁZÍ",$V$3,VLOOKUP(C292,[1]List1!$A:$D,2,FALSE))),"OFFLINE!")</f>
        <v>SKLADEM</v>
      </c>
      <c r="AC292" s="772" t="str">
        <f ca="1">IF(AO292="NE",$V$10,IF(AB292=$V$3,IF(AP292&lt;1,$V$8,$V$2&amp;" "&amp;AP292&amp;" "&amp;$V$1),IF(AB292="SKLADEM",$V$6,IFERROR(IF(OR(AB292-TODAY()&gt;21,VLOOKUP(C292,[1]List1!$A:$E,4,FALSE)=0),AB292,DAY(AB292)&amp;"."&amp;MONTH(AB292)&amp;"."&amp;YEAR(AB292)&amp;" "&amp;$V$4&amp;VLOOKUP(C292,[1]List1!$A:$E,4,FALSE)&amp;" "&amp;$V$1),AB292))))</f>
        <v>AUF LAGER</v>
      </c>
      <c r="AD292" s="772" t="str">
        <f t="shared" ca="1" si="114"/>
        <v>AUF LAGER</v>
      </c>
      <c r="AE292" s="605"/>
      <c r="AF292" s="605"/>
      <c r="AG292" s="615"/>
      <c r="AH292" s="616"/>
      <c r="AI292" s="615"/>
      <c r="AJ292" s="617"/>
      <c r="AK292" s="617"/>
      <c r="AL292" s="617"/>
      <c r="AM292" s="617"/>
      <c r="AN292" s="292"/>
      <c r="AO292" s="567" t="str">
        <f t="shared" si="115"/>
        <v/>
      </c>
      <c r="AP292" s="568" t="str">
        <f>IF(AB292=$V$3,IF(VLOOKUP(C292,[1]List1!$A:$E,5,FALSE)=0,1,VLOOKUP(C292,[1]List1!$A:$E,5,FALSE)),"")</f>
        <v/>
      </c>
      <c r="AQ292" s="292" t="str">
        <f t="shared" si="116"/>
        <v/>
      </c>
      <c r="AR292" s="618" t="str">
        <f t="shared" si="117"/>
        <v/>
      </c>
      <c r="AS292" s="292" t="str">
        <f t="shared" si="118"/>
        <v/>
      </c>
      <c r="AT292" s="377" t="e">
        <f t="shared" si="119"/>
        <v>#N/A</v>
      </c>
      <c r="AU292" s="292" t="e">
        <f t="shared" si="120"/>
        <v>#N/A</v>
      </c>
    </row>
    <row r="293" spans="1:47" ht="15" customHeight="1">
      <c r="A293" s="601"/>
      <c r="B293" s="601"/>
      <c r="C293" s="758" t="s">
        <v>1119</v>
      </c>
      <c r="D293" s="776"/>
      <c r="E293" s="760"/>
      <c r="F293" s="761"/>
      <c r="G293" s="762"/>
      <c r="H293" s="596"/>
      <c r="I293" s="763"/>
      <c r="J293" s="764"/>
      <c r="K293" s="954"/>
      <c r="L293" s="780"/>
      <c r="M293" s="764"/>
      <c r="N293" s="767"/>
      <c r="O293" s="763"/>
      <c r="P293" s="763"/>
      <c r="Q293" s="764"/>
      <c r="R293" s="764"/>
      <c r="S293" s="764"/>
      <c r="T293" s="761"/>
      <c r="U293" s="768"/>
      <c r="V293" s="768"/>
      <c r="W293" s="769"/>
      <c r="X293" s="769"/>
      <c r="Y293" s="770"/>
      <c r="Z293" s="769"/>
      <c r="AA293" s="771">
        <f>'Deutsche Markt'!AA293</f>
        <v>0</v>
      </c>
      <c r="AB293" s="772"/>
      <c r="AC293" s="772"/>
      <c r="AD293" s="772"/>
      <c r="AE293" s="605"/>
      <c r="AF293" s="605"/>
      <c r="AG293" s="615"/>
      <c r="AH293" s="616"/>
      <c r="AI293" s="615"/>
      <c r="AJ293" s="617"/>
      <c r="AK293" s="617"/>
      <c r="AL293" s="617"/>
      <c r="AM293" s="617"/>
      <c r="AN293" s="292"/>
      <c r="AO293" s="567"/>
      <c r="AP293" s="568"/>
      <c r="AR293" s="618"/>
      <c r="AT293" s="377"/>
    </row>
    <row r="294" spans="1:47" ht="15" customHeight="1">
      <c r="A294" s="601"/>
      <c r="B294" s="601"/>
      <c r="C294" s="758"/>
      <c r="D294" s="776"/>
      <c r="E294" s="760"/>
      <c r="F294" s="761"/>
      <c r="G294" s="762"/>
      <c r="H294" s="596"/>
      <c r="I294" s="763"/>
      <c r="J294" s="764"/>
      <c r="K294" s="954"/>
      <c r="L294" s="780"/>
      <c r="M294" s="764"/>
      <c r="N294" s="767"/>
      <c r="O294" s="763"/>
      <c r="P294" s="763"/>
      <c r="Q294" s="764"/>
      <c r="R294" s="764"/>
      <c r="S294" s="764"/>
      <c r="T294" s="761"/>
      <c r="U294" s="768"/>
      <c r="V294" s="768"/>
      <c r="W294" s="769"/>
      <c r="X294" s="769"/>
      <c r="Y294" s="770"/>
      <c r="Z294" s="769"/>
      <c r="AA294" s="771">
        <f>'Deutsche Markt'!AA294</f>
        <v>0</v>
      </c>
      <c r="AB294" s="772"/>
      <c r="AC294" s="772"/>
      <c r="AD294" s="772"/>
      <c r="AE294" s="605"/>
      <c r="AF294" s="605"/>
      <c r="AG294" s="615"/>
      <c r="AH294" s="616"/>
      <c r="AI294" s="615"/>
      <c r="AJ294" s="617"/>
      <c r="AK294" s="617"/>
      <c r="AL294" s="617"/>
      <c r="AM294" s="617"/>
      <c r="AN294" s="292"/>
      <c r="AO294" s="567"/>
      <c r="AP294" s="568"/>
      <c r="AR294" s="618"/>
      <c r="AT294" s="377"/>
    </row>
    <row r="295" spans="1:47" ht="15" customHeight="1">
      <c r="A295" s="601" t="str">
        <f>Kat.!B293</f>
        <v/>
      </c>
      <c r="B295" s="601">
        <f t="shared" si="112"/>
        <v>1</v>
      </c>
      <c r="C295" s="783" t="s">
        <v>1129</v>
      </c>
      <c r="D295" s="783"/>
      <c r="E295" s="764"/>
      <c r="F295" s="761"/>
      <c r="G295" s="762"/>
      <c r="H295" s="595"/>
      <c r="I295" s="764"/>
      <c r="J295" s="764"/>
      <c r="K295" s="781"/>
      <c r="L295" s="764"/>
      <c r="M295" s="764"/>
      <c r="N295" s="764"/>
      <c r="O295" s="764"/>
      <c r="P295" s="764"/>
      <c r="Q295" s="764"/>
      <c r="R295" s="764"/>
      <c r="S295" s="764"/>
      <c r="T295" s="764"/>
      <c r="U295" s="764"/>
      <c r="V295" s="764"/>
      <c r="W295" s="764"/>
      <c r="X295" s="764"/>
      <c r="Y295" s="770">
        <f>IF(OR(AP295&lt;AA295,AND(NOT(OR(LEFT(AB295,3)="SKL",LEFT(AB295,3)=LEFT($V$2,3))),AA295&gt;0),AND('Deutsche Markt'!$AH$1=FALSE,J295="F4",AA295&gt;0)),"",AA295)</f>
        <v>0</v>
      </c>
      <c r="Z295" s="764"/>
      <c r="AA295" s="771">
        <f>'Deutsche Markt'!AA295</f>
        <v>0</v>
      </c>
      <c r="AB295" s="772"/>
      <c r="AC295" s="785"/>
      <c r="AD295" s="785"/>
      <c r="AE295" s="609"/>
      <c r="AF295" s="609"/>
      <c r="AG295" s="627"/>
      <c r="AH295" s="609"/>
      <c r="AI295" s="627"/>
      <c r="AJ295" s="609"/>
      <c r="AK295" s="609"/>
      <c r="AL295" s="609"/>
      <c r="AM295" s="627"/>
      <c r="AO295" s="567" t="str">
        <f t="shared" ref="AO295:AO354" si="121">IF($AK$3=1,IF(Y295=AA295,"","NE"),IF(AQ295=$V$10,"NE",""))</f>
        <v/>
      </c>
      <c r="AP295" s="292" t="str">
        <f>IF(AB295=$V$3,IF(VLOOKUP(C295,[1]List1!$A:$E,5,FALSE)=0,1,VLOOKUP(C295,[1]List1!$A:$E,5,FALSE)),"")</f>
        <v/>
      </c>
      <c r="AQ295" s="292" t="str">
        <f t="shared" ref="AQ295:AQ354" si="122">IF($AK$3=1,"",IF(OR(AA295&lt;&gt;"",AA295&lt;&gt;0),IF(OR(AB295=$V$6,AB295=$V$3,AB295=$V$9),$V$10,""),""))</f>
        <v/>
      </c>
      <c r="AR295" s="618" t="str">
        <f t="shared" ref="AR295:AR354" si="123">IF(AS295&lt;&gt;"","X","")</f>
        <v/>
      </c>
      <c r="AS295" s="292" t="str">
        <f t="shared" ref="AS295:AS354" si="124">IF(AND($AK$3=2,AQ295="",AA295&lt;&gt;""),AC295,"")</f>
        <v/>
      </c>
      <c r="AT295" s="377" t="e">
        <f t="shared" ref="AT295:AT354" si="125">IF(AS295=$AR$21,AA295,"")</f>
        <v>#N/A</v>
      </c>
      <c r="AU295" s="292" t="e">
        <f t="shared" ref="AU295:AU354" si="126">IF(OR(AA295="",AND(AS295&lt;&gt;"",AT295&lt;&gt;"")),"",$V$10)</f>
        <v>#N/A</v>
      </c>
    </row>
    <row r="296" spans="1:47" ht="15" customHeight="1">
      <c r="A296" s="601" t="str">
        <f>Kat.!B294</f>
        <v>Batterien 66 schuss, 20mm I+V+W+schräg Mörser-1.4G</v>
      </c>
      <c r="B296" s="601">
        <f t="shared" si="112"/>
        <v>1</v>
      </c>
      <c r="C296" s="783" t="s">
        <v>1130</v>
      </c>
      <c r="D296" s="776"/>
      <c r="E296" s="760"/>
      <c r="F296" s="761"/>
      <c r="G296" s="762"/>
      <c r="H296" s="596"/>
      <c r="I296" s="763"/>
      <c r="J296" s="764"/>
      <c r="K296" s="774"/>
      <c r="L296" s="782"/>
      <c r="M296" s="764"/>
      <c r="N296" s="767"/>
      <c r="O296" s="763"/>
      <c r="P296" s="763"/>
      <c r="Q296" s="764"/>
      <c r="R296" s="764"/>
      <c r="S296" s="764"/>
      <c r="T296" s="761"/>
      <c r="U296" s="768"/>
      <c r="V296" s="768"/>
      <c r="W296" s="769" t="str">
        <f>IFERROR(VLOOKUP('General price list'!$C296,Popisy!A:P,MATCH($W$17,Popisy!$A$7:$P$7,0),FALSE),"---------------")</f>
        <v>9 verschiedenfarbige Effekte</v>
      </c>
      <c r="X296" s="769" t="str">
        <f t="shared" ref="X296:X312" si="127">IF(AA296&lt;0.0001,"",AA296)</f>
        <v/>
      </c>
      <c r="Y296" s="770">
        <f>IF(OR(AP296&lt;AA296,AND(NOT(OR(LEFT(AB296,3)="SKL",LEFT(AB296,3)=LEFT($V$2,3))),AA296&gt;0),AND('Deutsche Markt'!$AH$1=FALSE,J296="F4",AA296&gt;0)),"",AA296)</f>
        <v>0</v>
      </c>
      <c r="Z296" s="769"/>
      <c r="AA296" s="771">
        <f>'Deutsche Markt'!AA296</f>
        <v>0</v>
      </c>
      <c r="AB296" s="772" t="str">
        <f>IFERROR(IF(VLOOKUP(C296,[1]List1!$A:$D,2,FALSE)="VYPRODÁNO",$V$9,IF(VLOOKUP(C296,[1]List1!$A:$D,2,FALSE)="DOCHÁZÍ",$V$3,VLOOKUP(C296,[1]List1!$A:$D,2,FALSE))),"OFFLINE!")</f>
        <v>SKLADEM</v>
      </c>
      <c r="AC296" s="772" t="str">
        <f ca="1">IF(AO296="NE",$V$10,IF(AB296=$V$3,IF(AP296&lt;1,$V$8,$V$2&amp;" "&amp;AP296&amp;" "&amp;$V$1),IF(AB296="SKLADEM",$V$6,IFERROR(IF(OR(AB296-TODAY()&gt;21,VLOOKUP(C296,[1]List1!$A:$E,4,FALSE)=0),AB296,DAY(AB296)&amp;"."&amp;MONTH(AB296)&amp;"."&amp;YEAR(AB296)&amp;" "&amp;$V$4&amp;VLOOKUP(C296,[1]List1!$A:$E,4,FALSE)&amp;" "&amp;$V$1),AB296))))</f>
        <v>AUF LAGER</v>
      </c>
      <c r="AD296" s="772" t="str">
        <f t="shared" ref="AD296:AD312" ca="1" si="128">IFERROR(IF(AU296&lt;&gt;"",AU296,AC296),AC296)</f>
        <v>AUF LAGER</v>
      </c>
      <c r="AE296" s="605"/>
      <c r="AF296" s="605"/>
      <c r="AG296" s="615"/>
      <c r="AH296" s="616"/>
      <c r="AI296" s="615"/>
      <c r="AJ296" s="617"/>
      <c r="AK296" s="617"/>
      <c r="AL296" s="617"/>
      <c r="AM296" s="617"/>
      <c r="AO296" s="567" t="str">
        <f t="shared" si="121"/>
        <v/>
      </c>
      <c r="AP296" s="568" t="str">
        <f>IF(AB296=$V$3,IF(VLOOKUP(C296,[1]List1!$A:$E,5,FALSE)=0,1,VLOOKUP(C296,[1]List1!$A:$E,5,FALSE)),"")</f>
        <v/>
      </c>
      <c r="AQ296" s="292" t="str">
        <f t="shared" si="122"/>
        <v/>
      </c>
      <c r="AR296" s="618" t="str">
        <f t="shared" si="123"/>
        <v/>
      </c>
      <c r="AS296" s="292" t="str">
        <f t="shared" si="124"/>
        <v/>
      </c>
      <c r="AT296" s="377" t="e">
        <f t="shared" si="125"/>
        <v>#N/A</v>
      </c>
      <c r="AU296" s="292" t="e">
        <f t="shared" si="126"/>
        <v>#N/A</v>
      </c>
    </row>
    <row r="297" spans="1:47" ht="15" customHeight="1">
      <c r="A297" s="601" t="str">
        <f>Kat.!B295</f>
        <v/>
      </c>
      <c r="B297" s="601">
        <f t="shared" si="112"/>
        <v>0</v>
      </c>
      <c r="C297" s="783"/>
      <c r="D297" s="783"/>
      <c r="E297" s="764"/>
      <c r="F297" s="761"/>
      <c r="G297" s="762"/>
      <c r="H297" s="595"/>
      <c r="I297" s="764"/>
      <c r="J297" s="764"/>
      <c r="K297" s="781"/>
      <c r="L297" s="764"/>
      <c r="M297" s="764"/>
      <c r="N297" s="764"/>
      <c r="O297" s="764"/>
      <c r="P297" s="764"/>
      <c r="Q297" s="764"/>
      <c r="R297" s="764"/>
      <c r="S297" s="764"/>
      <c r="T297" s="764"/>
      <c r="U297" s="764"/>
      <c r="V297" s="764"/>
      <c r="W297" s="764" t="str">
        <f>IFERROR(VLOOKUP('General price list'!$C297,Popisy!A:P,MATCH($W$17,Popisy!$A$7:$P$7,0),FALSE),"---------------")</f>
        <v>---------------</v>
      </c>
      <c r="X297" s="764" t="str">
        <f t="shared" si="127"/>
        <v/>
      </c>
      <c r="Y297" s="770">
        <f>IF(OR(AP297&lt;AA297,AND(NOT(OR(LEFT(AB297,3)="SKL",LEFT(AB297,3)=LEFT($V$2,3))),AA297&gt;0),AND('Deutsche Markt'!$AH$1=FALSE,J297="F4",AA297&gt;0)),"",AA297)</f>
        <v>0</v>
      </c>
      <c r="Z297" s="764"/>
      <c r="AA297" s="771">
        <f>'Deutsche Markt'!AA297</f>
        <v>0</v>
      </c>
      <c r="AB297" s="784" t="str">
        <f>IFERROR(IF(VLOOKUP(C297,[1]List1!$A:$D,2,FALSE)="VYPRODÁNO",$V$9,IF(VLOOKUP(C297,[1]List1!$A:$D,2,FALSE)="DOCHÁZÍ",$V$3,VLOOKUP(C297,[1]List1!$A:$D,2,FALSE))),"OFFLINE!")</f>
        <v>OFFLINE!</v>
      </c>
      <c r="AC297" s="785" t="str">
        <f ca="1">IF(AO297="NE",$V$10,IF(AB297=$V$3,IF(AP297&lt;1,$V$8,$V$2&amp;" "&amp;AP297&amp;" "&amp;$V$1),IF(AB297="SKLADEM",$V$6,IFERROR(IF(OR(AB297-TODAY()&gt;21,VLOOKUP(C297,[1]List1!$A:$E,4,FALSE)=0),AB297,DAY(AB297)&amp;"."&amp;MONTH(AB297)&amp;"."&amp;YEAR(AB297)&amp;" "&amp;$V$4&amp;VLOOKUP(C297,[1]List1!$A:$E,4,FALSE)&amp;" "&amp;$V$1),AB297))))</f>
        <v>OFFLINE!</v>
      </c>
      <c r="AD297" s="785" t="str">
        <f t="shared" ca="1" si="128"/>
        <v>OFFLINE!</v>
      </c>
      <c r="AE297" s="609"/>
      <c r="AF297" s="609"/>
      <c r="AG297" s="627"/>
      <c r="AH297" s="609"/>
      <c r="AI297" s="627"/>
      <c r="AJ297" s="609"/>
      <c r="AK297" s="609"/>
      <c r="AL297" s="609"/>
      <c r="AM297" s="627"/>
      <c r="AN297" s="566"/>
      <c r="AO297" s="567" t="str">
        <f t="shared" si="121"/>
        <v/>
      </c>
      <c r="AP297" s="568" t="str">
        <f>IF(AB297=$V$3,IF(VLOOKUP(C297,[1]List1!$A:$E,5,FALSE)=0,1,VLOOKUP(C297,[1]List1!$A:$E,5,FALSE)),"")</f>
        <v/>
      </c>
      <c r="AQ297" s="292" t="str">
        <f t="shared" si="122"/>
        <v/>
      </c>
      <c r="AR297" s="618" t="str">
        <f t="shared" si="123"/>
        <v/>
      </c>
      <c r="AS297" s="292" t="str">
        <f t="shared" si="124"/>
        <v/>
      </c>
      <c r="AT297" s="377" t="e">
        <f t="shared" si="125"/>
        <v>#N/A</v>
      </c>
      <c r="AU297" s="292" t="e">
        <f t="shared" si="126"/>
        <v>#N/A</v>
      </c>
    </row>
    <row r="298" spans="1:47" ht="15" customHeight="1">
      <c r="A298" s="601" t="str">
        <f>Kat.!B296</f>
        <v/>
      </c>
      <c r="B298" s="601">
        <f t="shared" si="112"/>
        <v>1</v>
      </c>
      <c r="C298" s="783" t="s">
        <v>1132</v>
      </c>
      <c r="D298" s="776"/>
      <c r="E298" s="760"/>
      <c r="F298" s="761"/>
      <c r="G298" s="762"/>
      <c r="H298" s="596"/>
      <c r="I298" s="763"/>
      <c r="J298" s="764"/>
      <c r="K298" s="774"/>
      <c r="L298" s="782"/>
      <c r="M298" s="764"/>
      <c r="N298" s="767"/>
      <c r="O298" s="763"/>
      <c r="P298" s="763"/>
      <c r="Q298" s="764"/>
      <c r="R298" s="764"/>
      <c r="S298" s="764"/>
      <c r="T298" s="761"/>
      <c r="U298" s="768"/>
      <c r="V298" s="768"/>
      <c r="W298" s="769" t="str">
        <f>IFERROR(VLOOKUP('General price list'!$C298,Popisy!A:P,MATCH($W$17,Popisy!$A$7:$P$7,0),FALSE),"---------------")</f>
        <v>10 verschiedenfarbige Effekte</v>
      </c>
      <c r="X298" s="769" t="str">
        <f t="shared" si="127"/>
        <v/>
      </c>
      <c r="Y298" s="770">
        <f>IF(OR(AP298&lt;AA298,AND(NOT(OR(LEFT(AB298,3)="SKL",LEFT(AB298,3)=LEFT($V$2,3))),AA298&gt;0),AND('Deutsche Markt'!$AH$1=FALSE,J298="F4",AA298&gt;0)),"",AA298)</f>
        <v>0</v>
      </c>
      <c r="Z298" s="769"/>
      <c r="AA298" s="771">
        <f>'Deutsche Markt'!AA298</f>
        <v>0</v>
      </c>
      <c r="AB298" s="772" t="str">
        <f>IFERROR(IF(VLOOKUP(C298,[1]List1!$A:$D,2,FALSE)="VYPRODÁNO",$V$9,IF(VLOOKUP(C298,[1]List1!$A:$D,2,FALSE)="DOCHÁZÍ",$V$3,VLOOKUP(C298,[1]List1!$A:$D,2,FALSE))),"OFFLINE!")</f>
        <v>SKLADEM</v>
      </c>
      <c r="AC298" s="772" t="str">
        <f ca="1">IF(AO298="NE",$V$10,IF(AB298=$V$3,IF(AP298&lt;1,$V$8,$V$2&amp;" "&amp;AP298&amp;" "&amp;$V$1),IF(AB298="SKLADEM",$V$6,IFERROR(IF(OR(AB298-TODAY()&gt;21,VLOOKUP(C298,[1]List1!$A:$E,4,FALSE)=0),AB298,DAY(AB298)&amp;"."&amp;MONTH(AB298)&amp;"."&amp;YEAR(AB298)&amp;" "&amp;$V$4&amp;VLOOKUP(C298,[1]List1!$A:$E,4,FALSE)&amp;" "&amp;$V$1),AB298))))</f>
        <v>AUF LAGER</v>
      </c>
      <c r="AD298" s="772" t="str">
        <f t="shared" ca="1" si="128"/>
        <v>AUF LAGER</v>
      </c>
      <c r="AE298" s="605"/>
      <c r="AF298" s="605"/>
      <c r="AG298" s="615"/>
      <c r="AH298" s="616"/>
      <c r="AI298" s="615"/>
      <c r="AJ298" s="617"/>
      <c r="AK298" s="617"/>
      <c r="AL298" s="617"/>
      <c r="AM298" s="617"/>
      <c r="AO298" s="567" t="str">
        <f t="shared" si="121"/>
        <v/>
      </c>
      <c r="AP298" s="568" t="str">
        <f>IF(AB298=$V$3,IF(VLOOKUP(C298,[1]List1!$A:$E,5,FALSE)=0,1,VLOOKUP(C298,[1]List1!$A:$E,5,FALSE)),"")</f>
        <v/>
      </c>
      <c r="AQ298" s="292" t="str">
        <f t="shared" si="122"/>
        <v/>
      </c>
      <c r="AR298" s="618" t="str">
        <f t="shared" si="123"/>
        <v/>
      </c>
      <c r="AS298" s="292" t="str">
        <f t="shared" si="124"/>
        <v/>
      </c>
      <c r="AT298" s="377" t="e">
        <f t="shared" si="125"/>
        <v>#N/A</v>
      </c>
      <c r="AU298" s="292" t="e">
        <f t="shared" si="126"/>
        <v>#N/A</v>
      </c>
    </row>
    <row r="299" spans="1:47" ht="15" customHeight="1">
      <c r="A299" s="599" t="str">
        <f>Kat.!$B$1&amp;Kat.!B297</f>
        <v>Batterien 90 schuss, 20mm Mörser-1.3G</v>
      </c>
      <c r="B299" s="601">
        <f t="shared" si="112"/>
        <v>1</v>
      </c>
      <c r="C299" s="599" t="s">
        <v>1134</v>
      </c>
      <c r="D299" s="599"/>
      <c r="E299" s="599"/>
      <c r="F299" s="600"/>
      <c r="G299" s="599"/>
      <c r="H299" s="599"/>
      <c r="I299" s="599"/>
      <c r="J299" s="599"/>
      <c r="K299" s="708"/>
      <c r="L299" s="599"/>
      <c r="M299" s="599"/>
      <c r="N299" s="599"/>
      <c r="O299" s="599"/>
      <c r="P299" s="599"/>
      <c r="Q299" s="599"/>
      <c r="R299" s="599"/>
      <c r="S299" s="599"/>
      <c r="T299" s="599"/>
      <c r="U299" s="599"/>
      <c r="V299" s="599"/>
      <c r="W299" s="599" t="str">
        <f>IFERROR(VLOOKUP('General price list'!$C299,Popisy!A:P,MATCH($W$17,Popisy!$A$7:$P$7,0),FALSE),"---------------")</f>
        <v>10 verschiedenfarbige Effekte</v>
      </c>
      <c r="X299" s="599" t="str">
        <f t="shared" si="127"/>
        <v/>
      </c>
      <c r="Y299" s="770">
        <f>IF(OR(AP299&lt;AA299,AND(NOT(OR(LEFT(AB299,3)="SKL",LEFT(AB299,3)=LEFT($V$2,3))),AA299&gt;0),AND('Deutsche Markt'!$AH$1=FALSE,J299="F4",AA299&gt;0)),"",AA299)</f>
        <v>0</v>
      </c>
      <c r="Z299" s="599"/>
      <c r="AA299" s="771">
        <f>'Deutsche Markt'!AA299</f>
        <v>0</v>
      </c>
      <c r="AB299" s="599" t="str">
        <f>IFERROR(IF(VLOOKUP(C299,[1]List1!$A:$D,2,FALSE)="VYPRODÁNO",$V$9,IF(VLOOKUP(C299,[1]List1!$A:$D,2,FALSE)="DOCHÁZÍ",$V$3,VLOOKUP(C299,[1]List1!$A:$D,2,FALSE))),"OFFLINE!")</f>
        <v>LETZTE STÜCKE</v>
      </c>
      <c r="AC299" s="599" t="str">
        <f ca="1">IF(AO299="NE",$V$10,IF(AB299=$V$3,IF(AP299&lt;1,$V$8,$V$2&amp;" "&amp;AP299&amp;" "&amp;$V$1),IF(AB299="SKLADEM",$V$6,IFERROR(IF(OR(AB299-TODAY()&gt;21,VLOOKUP(C299,[1]List1!$A:$E,4,FALSE)=0),AB299,DAY(AB299)&amp;"."&amp;MONTH(AB299)&amp;"."&amp;YEAR(AB299)&amp;" "&amp;$V$4&amp;VLOOKUP(C299,[1]List1!$A:$E,4,FALSE)&amp;" "&amp;$V$1),AB299))))</f>
        <v>LETZTE 60 KTN</v>
      </c>
      <c r="AD299" s="599" t="str">
        <f t="shared" ca="1" si="128"/>
        <v>LETZTE 60 KTN</v>
      </c>
      <c r="AE299" s="599"/>
      <c r="AF299" s="599"/>
      <c r="AG299" s="599"/>
      <c r="AH299" s="599"/>
      <c r="AI299" s="599"/>
      <c r="AJ299" s="599"/>
      <c r="AK299" s="599"/>
      <c r="AL299" s="599"/>
      <c r="AM299" s="599"/>
      <c r="AN299" s="566"/>
      <c r="AO299" s="567" t="str">
        <f t="shared" si="121"/>
        <v/>
      </c>
      <c r="AP299" s="568">
        <f>IF(AB299=$V$3,IF(VLOOKUP(C299,[1]List1!$A:$E,5,FALSE)=0,1,VLOOKUP(C299,[1]List1!$A:$E,5,FALSE)),"")</f>
        <v>60</v>
      </c>
      <c r="AQ299" s="292" t="str">
        <f t="shared" si="122"/>
        <v/>
      </c>
      <c r="AR299" s="618" t="str">
        <f t="shared" si="123"/>
        <v/>
      </c>
      <c r="AS299" s="292" t="str">
        <f t="shared" si="124"/>
        <v/>
      </c>
      <c r="AT299" s="377" t="e">
        <f t="shared" si="125"/>
        <v>#N/A</v>
      </c>
      <c r="AU299" s="292" t="e">
        <f t="shared" si="126"/>
        <v>#N/A</v>
      </c>
    </row>
    <row r="300" spans="1:47" ht="15" customHeight="1">
      <c r="A300" s="601" t="str">
        <f>Kat.!B298</f>
        <v/>
      </c>
      <c r="B300" s="601">
        <f t="shared" si="112"/>
        <v>0</v>
      </c>
      <c r="C300" s="783"/>
      <c r="D300" s="783"/>
      <c r="E300" s="764"/>
      <c r="F300" s="761"/>
      <c r="G300" s="762"/>
      <c r="H300" s="595"/>
      <c r="I300" s="764"/>
      <c r="J300" s="764"/>
      <c r="K300" s="765"/>
      <c r="L300" s="764"/>
      <c r="M300" s="764"/>
      <c r="N300" s="764"/>
      <c r="O300" s="764"/>
      <c r="P300" s="764"/>
      <c r="Q300" s="764"/>
      <c r="R300" s="764"/>
      <c r="S300" s="764"/>
      <c r="T300" s="764"/>
      <c r="U300" s="764"/>
      <c r="V300" s="764"/>
      <c r="W300" s="764" t="str">
        <f>IFERROR(VLOOKUP('General price list'!$C300,Popisy!A:P,MATCH($W$17,Popisy!$A$7:$P$7,0),FALSE),"---------------")</f>
        <v>---------------</v>
      </c>
      <c r="X300" s="764" t="str">
        <f t="shared" si="127"/>
        <v/>
      </c>
      <c r="Y300" s="770">
        <f>IF(OR(AP300&lt;AA300,AND(NOT(OR(LEFT(AB300,3)="SKL",LEFT(AB300,3)=LEFT($V$2,3))),AA300&gt;0),AND('Deutsche Markt'!$AH$1=FALSE,J300="F4",AA300&gt;0)),"",AA300)</f>
        <v>0</v>
      </c>
      <c r="Z300" s="764"/>
      <c r="AA300" s="771">
        <f>'Deutsche Markt'!AA300</f>
        <v>0</v>
      </c>
      <c r="AB300" s="772" t="str">
        <f>IFERROR(IF(VLOOKUP(C300,[1]List1!$A:$D,2,FALSE)="VYPRODÁNO",$V$9,IF(VLOOKUP(C300,[1]List1!$A:$D,2,FALSE)="DOCHÁZÍ",$V$3,VLOOKUP(C300,[1]List1!$A:$D,2,FALSE))),"OFFLINE!")</f>
        <v>OFFLINE!</v>
      </c>
      <c r="AC300" s="785" t="str">
        <f ca="1">IF(AO300="NE",$V$10,IF(AB300=$V$3,IF(AP300&lt;1,$V$8,$V$2&amp;" "&amp;AP300&amp;" "&amp;$V$1),IF(AB300="SKLADEM",$V$6,IFERROR(IF(OR(AB300-TODAY()&gt;21,VLOOKUP(C300,[1]List1!$A:$E,4,FALSE)=0),AB300,DAY(AB300)&amp;"."&amp;MONTH(AB300)&amp;"."&amp;YEAR(AB300)&amp;" "&amp;$V$4&amp;VLOOKUP(C300,[1]List1!$A:$E,4,FALSE)&amp;" "&amp;$V$1),AB300))))</f>
        <v>OFFLINE!</v>
      </c>
      <c r="AD300" s="785" t="str">
        <f t="shared" ca="1" si="128"/>
        <v>OFFLINE!</v>
      </c>
      <c r="AE300" s="609"/>
      <c r="AF300" s="609"/>
      <c r="AG300" s="627"/>
      <c r="AH300" s="609"/>
      <c r="AI300" s="627"/>
      <c r="AJ300" s="609"/>
      <c r="AK300" s="609"/>
      <c r="AL300" s="609"/>
      <c r="AM300" s="627"/>
      <c r="AO300" s="567" t="str">
        <f t="shared" si="121"/>
        <v/>
      </c>
      <c r="AP300" s="568" t="str">
        <f>IF(AB300=$V$3,IF(VLOOKUP(C300,[1]List1!$A:$E,5,FALSE)=0,1,VLOOKUP(C300,[1]List1!$A:$E,5,FALSE)),"")</f>
        <v/>
      </c>
      <c r="AQ300" s="292" t="str">
        <f t="shared" si="122"/>
        <v/>
      </c>
      <c r="AR300" s="618" t="str">
        <f t="shared" si="123"/>
        <v/>
      </c>
      <c r="AS300" s="292" t="str">
        <f t="shared" si="124"/>
        <v/>
      </c>
      <c r="AT300" s="377" t="e">
        <f t="shared" si="125"/>
        <v>#N/A</v>
      </c>
      <c r="AU300" s="292" t="e">
        <f t="shared" si="126"/>
        <v>#N/A</v>
      </c>
    </row>
    <row r="301" spans="1:47" ht="15" customHeight="1">
      <c r="A301" s="601" t="str">
        <f>Kat.!B299</f>
        <v/>
      </c>
      <c r="B301" s="601">
        <f t="shared" si="112"/>
        <v>1</v>
      </c>
      <c r="C301" s="783" t="s">
        <v>1136</v>
      </c>
      <c r="D301" s="783"/>
      <c r="E301" s="760"/>
      <c r="F301" s="761"/>
      <c r="G301" s="762"/>
      <c r="H301" s="596"/>
      <c r="I301" s="763"/>
      <c r="J301" s="764"/>
      <c r="K301" s="773"/>
      <c r="L301" s="782"/>
      <c r="M301" s="764"/>
      <c r="N301" s="767"/>
      <c r="O301" s="763"/>
      <c r="P301" s="763"/>
      <c r="Q301" s="764"/>
      <c r="R301" s="764"/>
      <c r="S301" s="764"/>
      <c r="T301" s="764"/>
      <c r="U301" s="768"/>
      <c r="V301" s="768"/>
      <c r="W301" s="769" t="str">
        <f>IFERROR(VLOOKUP('General price list'!$C301,Popisy!A:P,MATCH($W$17,Popisy!$A$7:$P$7,0),FALSE),"---------------")</f>
        <v>10 verschiedenfarbige Effekte</v>
      </c>
      <c r="X301" s="769" t="str">
        <f t="shared" si="127"/>
        <v/>
      </c>
      <c r="Y301" s="770">
        <f>IF(OR(AP301&lt;AA301,AND(NOT(OR(LEFT(AB301,3)="SKL",LEFT(AB301,3)=LEFT($V$2,3))),AA301&gt;0),AND('Deutsche Markt'!$AH$1=FALSE,J301="F4",AA301&gt;0)),"",AA301)</f>
        <v>0</v>
      </c>
      <c r="Z301" s="769"/>
      <c r="AA301" s="771">
        <f>'Deutsche Markt'!AA301</f>
        <v>0</v>
      </c>
      <c r="AB301" s="772" t="str">
        <f>IFERROR(IF(VLOOKUP(C301,[1]List1!$A:$D,2,FALSE)="VYPRODÁNO",$V$9,IF(VLOOKUP(C301,[1]List1!$A:$D,2,FALSE)="DOCHÁZÍ",$V$3,VLOOKUP(C301,[1]List1!$A:$D,2,FALSE))),"OFFLINE!")</f>
        <v>SKLADEM</v>
      </c>
      <c r="AC301" s="772" t="str">
        <f ca="1">IF(AO301="NE",$V$10,IF(AB301=$V$3,IF(AP301&lt;1,$V$8,$V$2&amp;" "&amp;AP301&amp;" "&amp;$V$1),IF(AB301="SKLADEM",$V$6,IFERROR(IF(OR(AB301-TODAY()&gt;21,VLOOKUP(C301,[1]List1!$A:$E,4,FALSE)=0),AB301,DAY(AB301)&amp;"."&amp;MONTH(AB301)&amp;"."&amp;YEAR(AB301)&amp;" "&amp;$V$4&amp;VLOOKUP(C301,[1]List1!$A:$E,4,FALSE)&amp;" "&amp;$V$1),AB301))))</f>
        <v>AUF LAGER</v>
      </c>
      <c r="AD301" s="772" t="str">
        <f t="shared" ca="1" si="128"/>
        <v>AUF LAGER</v>
      </c>
      <c r="AE301" s="605"/>
      <c r="AF301" s="605"/>
      <c r="AG301" s="615"/>
      <c r="AH301" s="616"/>
      <c r="AI301" s="615"/>
      <c r="AJ301" s="617"/>
      <c r="AK301" s="617"/>
      <c r="AL301" s="617"/>
      <c r="AM301" s="617"/>
      <c r="AN301" s="292"/>
      <c r="AO301" s="567" t="str">
        <f t="shared" si="121"/>
        <v/>
      </c>
      <c r="AP301" s="568" t="str">
        <f>IF(AB301=$V$3,IF(VLOOKUP(C301,[1]List1!$A:$E,5,FALSE)=0,1,VLOOKUP(C301,[1]List1!$A:$E,5,FALSE)),"")</f>
        <v/>
      </c>
      <c r="AQ301" s="292" t="str">
        <f t="shared" si="122"/>
        <v/>
      </c>
      <c r="AR301" s="618" t="str">
        <f t="shared" si="123"/>
        <v/>
      </c>
      <c r="AS301" s="292" t="str">
        <f t="shared" si="124"/>
        <v/>
      </c>
      <c r="AT301" s="377" t="e">
        <f t="shared" si="125"/>
        <v>#N/A</v>
      </c>
      <c r="AU301" s="292" t="e">
        <f t="shared" si="126"/>
        <v>#N/A</v>
      </c>
    </row>
    <row r="302" spans="1:47" ht="15" customHeight="1">
      <c r="A302" s="601" t="str">
        <f>Kat.!B300</f>
        <v>Batterien 100 schuss, 20mm Mörser-1.4G</v>
      </c>
      <c r="B302" s="601">
        <f t="shared" si="112"/>
        <v>1</v>
      </c>
      <c r="C302" s="758" t="s">
        <v>1138</v>
      </c>
      <c r="D302" s="759"/>
      <c r="E302" s="760"/>
      <c r="F302" s="761"/>
      <c r="G302" s="762"/>
      <c r="H302" s="596"/>
      <c r="I302" s="763"/>
      <c r="J302" s="764"/>
      <c r="K302" s="765"/>
      <c r="L302" s="766"/>
      <c r="M302" s="764"/>
      <c r="N302" s="767"/>
      <c r="O302" s="763"/>
      <c r="P302" s="763"/>
      <c r="Q302" s="764"/>
      <c r="R302" s="764"/>
      <c r="S302" s="764"/>
      <c r="T302" s="761"/>
      <c r="U302" s="768"/>
      <c r="V302" s="768"/>
      <c r="W302" s="769" t="str">
        <f>IFERROR(VLOOKUP('General price list'!$C302,Popisy!A:P,MATCH($W$17,Popisy!$A$7:$P$7,0),FALSE),"---------------")</f>
        <v>10 verschiedenfarbige Effekte</v>
      </c>
      <c r="X302" s="769" t="str">
        <f t="shared" si="127"/>
        <v/>
      </c>
      <c r="Y302" s="770">
        <f>IF(OR(AP302&lt;AA302,AND(NOT(OR(LEFT(AB302,3)="SKL",LEFT(AB302,3)=LEFT($V$2,3))),AA302&gt;0),AND('Deutsche Markt'!$AH$1=FALSE,J302="F4",AA302&gt;0)),"",AA302)</f>
        <v>0</v>
      </c>
      <c r="Z302" s="769"/>
      <c r="AA302" s="771">
        <f>'Deutsche Markt'!AA302</f>
        <v>0</v>
      </c>
      <c r="AB302" s="772" t="str">
        <f>IFERROR(IF(VLOOKUP(C302,[1]List1!$A:$D,2,FALSE)="VYPRODÁNO",$V$9,IF(VLOOKUP(C302,[1]List1!$A:$D,2,FALSE)="DOCHÁZÍ",$V$3,VLOOKUP(C302,[1]List1!$A:$D,2,FALSE))),"OFFLINE!")</f>
        <v>SKLADEM</v>
      </c>
      <c r="AC302" s="772" t="str">
        <f ca="1">IF(AO302="NE",$V$10,IF(AB302=$V$3,IF(AP302&lt;1,$V$8,$V$2&amp;" "&amp;AP302&amp;" "&amp;$V$1),IF(AB302="SKLADEM",$V$6,IFERROR(IF(OR(AB302-TODAY()&gt;21,VLOOKUP(C302,[1]List1!$A:$E,4,FALSE)=0),AB302,DAY(AB302)&amp;"."&amp;MONTH(AB302)&amp;"."&amp;YEAR(AB302)&amp;" "&amp;$V$4&amp;VLOOKUP(C302,[1]List1!$A:$E,4,FALSE)&amp;" "&amp;$V$1),AB302))))</f>
        <v>AUF LAGER</v>
      </c>
      <c r="AD302" s="772" t="str">
        <f t="shared" ca="1" si="128"/>
        <v>AUF LAGER</v>
      </c>
      <c r="AE302" s="605"/>
      <c r="AF302" s="605"/>
      <c r="AG302" s="615"/>
      <c r="AH302" s="616"/>
      <c r="AI302" s="615"/>
      <c r="AJ302" s="617"/>
      <c r="AK302" s="617"/>
      <c r="AL302" s="617"/>
      <c r="AM302" s="617"/>
      <c r="AN302" s="292"/>
      <c r="AO302" s="567" t="str">
        <f t="shared" si="121"/>
        <v/>
      </c>
      <c r="AP302" s="568" t="str">
        <f>IF(AB302=$V$3,IF(VLOOKUP(C302,[1]List1!$A:$E,5,FALSE)=0,1,VLOOKUP(C302,[1]List1!$A:$E,5,FALSE)),"")</f>
        <v/>
      </c>
      <c r="AQ302" s="292" t="str">
        <f t="shared" si="122"/>
        <v/>
      </c>
      <c r="AR302" s="618" t="str">
        <f t="shared" si="123"/>
        <v/>
      </c>
      <c r="AS302" s="292" t="str">
        <f t="shared" si="124"/>
        <v/>
      </c>
      <c r="AT302" s="377" t="e">
        <f t="shared" si="125"/>
        <v>#N/A</v>
      </c>
      <c r="AU302" s="292" t="e">
        <f t="shared" si="126"/>
        <v>#N/A</v>
      </c>
    </row>
    <row r="303" spans="1:47" ht="15" customHeight="1">
      <c r="A303" s="601" t="str">
        <f>Kat.!B301</f>
        <v/>
      </c>
      <c r="B303" s="601">
        <f t="shared" si="112"/>
        <v>1</v>
      </c>
      <c r="C303" s="758" t="s">
        <v>4916</v>
      </c>
      <c r="D303" s="776"/>
      <c r="E303" s="760"/>
      <c r="F303" s="761"/>
      <c r="G303" s="762"/>
      <c r="H303" s="596"/>
      <c r="I303" s="763"/>
      <c r="J303" s="764"/>
      <c r="K303" s="773"/>
      <c r="L303" s="782"/>
      <c r="M303" s="764"/>
      <c r="N303" s="767"/>
      <c r="O303" s="763"/>
      <c r="P303" s="763"/>
      <c r="Q303" s="764"/>
      <c r="R303" s="764"/>
      <c r="S303" s="764"/>
      <c r="T303" s="761"/>
      <c r="U303" s="768"/>
      <c r="V303" s="768"/>
      <c r="W303" s="769" t="str">
        <f>IFERROR(VLOOKUP('General price list'!$C303,Popisy!A:P,MATCH($W$17,Popisy!$A$7:$P$7,0),FALSE),"---------------")</f>
        <v>10 verschiedenfarbige Effekte</v>
      </c>
      <c r="X303" s="769" t="str">
        <f t="shared" si="127"/>
        <v/>
      </c>
      <c r="Y303" s="770">
        <f>IF(OR(AP303&lt;AA303,AND(NOT(OR(LEFT(AB303,3)="SKL",LEFT(AB303,3)=LEFT($V$2,3))),AA303&gt;0),AND('Deutsche Markt'!$AH$1=FALSE,J303="F4",AA303&gt;0)),"",AA303)</f>
        <v>0</v>
      </c>
      <c r="Z303" s="769"/>
      <c r="AA303" s="771">
        <f>'Deutsche Markt'!AA303</f>
        <v>0</v>
      </c>
      <c r="AB303" s="772" t="str">
        <f>IFERROR(IF(VLOOKUP(C303,[1]List1!$A:$D,2,FALSE)="VYPRODÁNO",$V$9,IF(VLOOKUP(C303,[1]List1!$A:$D,2,FALSE)="DOCHÁZÍ",$V$3,VLOOKUP(C303,[1]List1!$A:$D,2,FALSE))),"OFFLINE!")</f>
        <v>SKLADEM</v>
      </c>
      <c r="AC303" s="772" t="str">
        <f ca="1">IF(AO303="NE",$V$10,IF(AB303=$V$3,IF(AP303&lt;1,$V$8,$V$2&amp;" "&amp;AP303&amp;" "&amp;$V$1),IF(AB303="SKLADEM",$V$6,IFERROR(IF(OR(AB303-TODAY()&gt;21,VLOOKUP(C303,[1]List1!$A:$E,4,FALSE)=0),AB303,DAY(AB303)&amp;"."&amp;MONTH(AB303)&amp;"."&amp;YEAR(AB303)&amp;" "&amp;$V$4&amp;VLOOKUP(C303,[1]List1!$A:$E,4,FALSE)&amp;" "&amp;$V$1),AB303))))</f>
        <v>AUF LAGER</v>
      </c>
      <c r="AD303" s="772" t="str">
        <f t="shared" ca="1" si="128"/>
        <v>AUF LAGER</v>
      </c>
      <c r="AE303" s="605"/>
      <c r="AF303" s="605"/>
      <c r="AG303" s="615"/>
      <c r="AH303" s="616"/>
      <c r="AI303" s="615"/>
      <c r="AJ303" s="617"/>
      <c r="AK303" s="617"/>
      <c r="AL303" s="617"/>
      <c r="AM303" s="617"/>
      <c r="AO303" s="567" t="str">
        <f t="shared" si="121"/>
        <v/>
      </c>
      <c r="AP303" s="568" t="str">
        <f>IF(AB303=$V$3,IF(VLOOKUP(C303,[1]List1!$A:$E,5,FALSE)=0,1,VLOOKUP(C303,[1]List1!$A:$E,5,FALSE)),"")</f>
        <v/>
      </c>
      <c r="AQ303" s="292" t="str">
        <f t="shared" si="122"/>
        <v/>
      </c>
      <c r="AR303" s="618" t="str">
        <f t="shared" si="123"/>
        <v/>
      </c>
      <c r="AS303" s="292" t="str">
        <f t="shared" si="124"/>
        <v/>
      </c>
      <c r="AT303" s="377" t="e">
        <f t="shared" si="125"/>
        <v>#N/A</v>
      </c>
      <c r="AU303" s="292" t="e">
        <f t="shared" si="126"/>
        <v>#N/A</v>
      </c>
    </row>
    <row r="304" spans="1:47" ht="15" customHeight="1">
      <c r="A304" s="601" t="str">
        <f>Kat.!B302</f>
        <v/>
      </c>
      <c r="B304" s="601">
        <f t="shared" si="112"/>
        <v>1</v>
      </c>
      <c r="C304" s="758" t="s">
        <v>1139</v>
      </c>
      <c r="D304" s="776"/>
      <c r="E304" s="760"/>
      <c r="F304" s="761"/>
      <c r="G304" s="762"/>
      <c r="H304" s="596"/>
      <c r="I304" s="763"/>
      <c r="J304" s="764"/>
      <c r="K304" s="765"/>
      <c r="L304" s="782"/>
      <c r="M304" s="764"/>
      <c r="N304" s="767"/>
      <c r="O304" s="763"/>
      <c r="P304" s="763"/>
      <c r="Q304" s="764"/>
      <c r="R304" s="764"/>
      <c r="S304" s="764"/>
      <c r="T304" s="764"/>
      <c r="U304" s="768"/>
      <c r="V304" s="768"/>
      <c r="W304" s="769" t="str">
        <f>IFERROR(VLOOKUP('General price list'!$C304,Popisy!A:P,MATCH($W$17,Popisy!$A$7:$P$7,0),FALSE),"---------------")</f>
        <v>10 verschiedenfarbige Effekte</v>
      </c>
      <c r="X304" s="769" t="str">
        <f t="shared" si="127"/>
        <v/>
      </c>
      <c r="Y304" s="770">
        <f>IF(OR(AP304&lt;AA304,AND(NOT(OR(LEFT(AB304,3)="SKL",LEFT(AB304,3)=LEFT($V$2,3))),AA304&gt;0),AND('Deutsche Markt'!$AH$1=FALSE,J304="F4",AA304&gt;0)),"",AA304)</f>
        <v>0</v>
      </c>
      <c r="Z304" s="769"/>
      <c r="AA304" s="771">
        <f>'Deutsche Markt'!AA304</f>
        <v>0</v>
      </c>
      <c r="AB304" s="772" t="str">
        <f>IFERROR(IF(VLOOKUP(C304,[1]List1!$A:$D,2,FALSE)="VYPRODÁNO",$V$9,IF(VLOOKUP(C304,[1]List1!$A:$D,2,FALSE)="DOCHÁZÍ",$V$3,VLOOKUP(C304,[1]List1!$A:$D,2,FALSE))),"OFFLINE!")</f>
        <v>30.09.2024</v>
      </c>
      <c r="AC304" s="772" t="str">
        <f ca="1">IF(AO304="NE",$V$10,IF(AB304=$V$3,IF(AP304&lt;1,$V$8,$V$2&amp;" "&amp;AP304&amp;" "&amp;$V$1),IF(AB304="SKLADEM",$V$6,IFERROR(IF(OR(AB304-TODAY()&gt;21,VLOOKUP(C304,[1]List1!$A:$E,4,FALSE)=0),AB304,DAY(AB304)&amp;"."&amp;MONTH(AB304)&amp;"."&amp;YEAR(AB304)&amp;" "&amp;$V$4&amp;VLOOKUP(C304,[1]List1!$A:$E,4,FALSE)&amp;" "&amp;$V$1),AB304))))</f>
        <v>30.09.2024</v>
      </c>
      <c r="AD304" s="772" t="str">
        <f t="shared" ca="1" si="128"/>
        <v>30.09.2024</v>
      </c>
      <c r="AE304" s="605"/>
      <c r="AF304" s="605"/>
      <c r="AG304" s="615"/>
      <c r="AH304" s="616"/>
      <c r="AI304" s="615"/>
      <c r="AJ304" s="617"/>
      <c r="AK304" s="617"/>
      <c r="AL304" s="617"/>
      <c r="AM304" s="617"/>
      <c r="AO304" s="567" t="str">
        <f t="shared" si="121"/>
        <v/>
      </c>
      <c r="AP304" s="568" t="str">
        <f>IF(AB304=$V$3,IF(VLOOKUP(C304,[1]List1!$A:$E,5,FALSE)=0,1,VLOOKUP(C304,[1]List1!$A:$E,5,FALSE)),"")</f>
        <v/>
      </c>
      <c r="AQ304" s="292" t="str">
        <f t="shared" si="122"/>
        <v/>
      </c>
      <c r="AR304" s="618" t="str">
        <f t="shared" si="123"/>
        <v/>
      </c>
      <c r="AS304" s="292" t="str">
        <f t="shared" si="124"/>
        <v/>
      </c>
      <c r="AT304" s="377" t="e">
        <f t="shared" si="125"/>
        <v>#N/A</v>
      </c>
      <c r="AU304" s="292" t="e">
        <f t="shared" si="126"/>
        <v>#N/A</v>
      </c>
    </row>
    <row r="305" spans="1:47" ht="15" customHeight="1">
      <c r="A305" s="601" t="str">
        <f>Kat.!B303</f>
        <v/>
      </c>
      <c r="B305" s="601">
        <f t="shared" si="112"/>
        <v>0</v>
      </c>
      <c r="C305" s="758"/>
      <c r="D305" s="776"/>
      <c r="E305" s="760"/>
      <c r="F305" s="761"/>
      <c r="G305" s="762"/>
      <c r="H305" s="596"/>
      <c r="I305" s="763"/>
      <c r="J305" s="764"/>
      <c r="K305" s="773"/>
      <c r="L305" s="780"/>
      <c r="M305" s="764"/>
      <c r="N305" s="767"/>
      <c r="O305" s="763"/>
      <c r="P305" s="763"/>
      <c r="Q305" s="764"/>
      <c r="R305" s="764"/>
      <c r="S305" s="764"/>
      <c r="T305" s="764"/>
      <c r="U305" s="768"/>
      <c r="V305" s="768"/>
      <c r="W305" s="769" t="str">
        <f>IFERROR(VLOOKUP('General price list'!$C305,Popisy!A:P,MATCH($W$17,Popisy!$A$7:$P$7,0),FALSE),"---------------")</f>
        <v>---------------</v>
      </c>
      <c r="X305" s="769" t="str">
        <f t="shared" si="127"/>
        <v/>
      </c>
      <c r="Y305" s="770">
        <f>IF(OR(AP305&lt;AA305,AND(NOT(OR(LEFT(AB305,3)="SKL",LEFT(AB305,3)=LEFT($V$2,3))),AA305&gt;0),AND('Deutsche Markt'!$AH$1=FALSE,J305="F4",AA305&gt;0)),"",AA305)</f>
        <v>0</v>
      </c>
      <c r="Z305" s="769"/>
      <c r="AA305" s="771">
        <f>'Deutsche Markt'!AA305</f>
        <v>0</v>
      </c>
      <c r="AB305" s="772" t="str">
        <f>IFERROR(IF(VLOOKUP(C305,[1]List1!$A:$D,2,FALSE)="VYPRODÁNO",$V$9,IF(VLOOKUP(C305,[1]List1!$A:$D,2,FALSE)="DOCHÁZÍ",$V$3,VLOOKUP(C305,[1]List1!$A:$D,2,FALSE))),"OFFLINE!")</f>
        <v>OFFLINE!</v>
      </c>
      <c r="AC305" s="772" t="str">
        <f ca="1">IF(AO305="NE",$V$10,IF(AB305=$V$3,IF(AP305&lt;1,$V$8,$V$2&amp;" "&amp;AP305&amp;" "&amp;$V$1),IF(AB305="SKLADEM",$V$6,IFERROR(IF(OR(AB305-TODAY()&gt;21,VLOOKUP(C305,[1]List1!$A:$E,4,FALSE)=0),AB305,DAY(AB305)&amp;"."&amp;MONTH(AB305)&amp;"."&amp;YEAR(AB305)&amp;" "&amp;$V$4&amp;VLOOKUP(C305,[1]List1!$A:$E,4,FALSE)&amp;" "&amp;$V$1),AB305))))</f>
        <v>OFFLINE!</v>
      </c>
      <c r="AD305" s="772" t="str">
        <f t="shared" ca="1" si="128"/>
        <v>OFFLINE!</v>
      </c>
      <c r="AE305" s="605"/>
      <c r="AF305" s="605"/>
      <c r="AG305" s="615"/>
      <c r="AH305" s="616"/>
      <c r="AI305" s="615"/>
      <c r="AJ305" s="617"/>
      <c r="AK305" s="617"/>
      <c r="AL305" s="617"/>
      <c r="AM305" s="617"/>
      <c r="AO305" s="567" t="str">
        <f t="shared" si="121"/>
        <v/>
      </c>
      <c r="AP305" s="568" t="str">
        <f>IF(AB305=$V$3,IF(VLOOKUP(C305,[1]List1!$A:$E,5,FALSE)=0,1,VLOOKUP(C305,[1]List1!$A:$E,5,FALSE)),"")</f>
        <v/>
      </c>
      <c r="AQ305" s="292" t="str">
        <f t="shared" si="122"/>
        <v/>
      </c>
      <c r="AR305" s="618" t="str">
        <f t="shared" si="123"/>
        <v/>
      </c>
      <c r="AS305" s="292" t="str">
        <f t="shared" si="124"/>
        <v/>
      </c>
      <c r="AT305" s="377" t="e">
        <f t="shared" si="125"/>
        <v>#N/A</v>
      </c>
      <c r="AU305" s="292" t="e">
        <f t="shared" si="126"/>
        <v>#N/A</v>
      </c>
    </row>
    <row r="306" spans="1:47" ht="15" customHeight="1">
      <c r="A306" s="601" t="str">
        <f>Kat.!B304</f>
        <v/>
      </c>
      <c r="B306" s="601">
        <f t="shared" si="112"/>
        <v>1</v>
      </c>
      <c r="C306" s="758" t="s">
        <v>2340</v>
      </c>
      <c r="D306" s="794"/>
      <c r="E306" s="764"/>
      <c r="F306" s="761"/>
      <c r="G306" s="762"/>
      <c r="H306" s="596"/>
      <c r="I306" s="763"/>
      <c r="J306" s="764"/>
      <c r="K306" s="765"/>
      <c r="L306" s="766"/>
      <c r="M306" s="764"/>
      <c r="N306" s="777"/>
      <c r="O306" s="763"/>
      <c r="P306" s="763"/>
      <c r="Q306" s="764"/>
      <c r="R306" s="764"/>
      <c r="S306" s="764"/>
      <c r="T306" s="764"/>
      <c r="U306" s="768"/>
      <c r="V306" s="768"/>
      <c r="W306" s="769" t="str">
        <f>IFERROR(VLOOKUP('General price list'!$C306,Popisy!A:P,MATCH($W$17,Popisy!$A$7:$P$7,0),FALSE),"---------------")</f>
        <v>10 verschiedenfarbige Effekte</v>
      </c>
      <c r="X306" s="769" t="str">
        <f t="shared" si="127"/>
        <v/>
      </c>
      <c r="Y306" s="770">
        <f>IF(OR(AP306&lt;AA306,AND(NOT(OR(LEFT(AB306,3)="SKL",LEFT(AB306,3)=LEFT($V$2,3))),AA306&gt;0),AND('Deutsche Markt'!$AH$1=FALSE,J306="F4",AA306&gt;0)),"",AA306)</f>
        <v>0</v>
      </c>
      <c r="Z306" s="769"/>
      <c r="AA306" s="771">
        <f>'Deutsche Markt'!AA306</f>
        <v>0</v>
      </c>
      <c r="AB306" s="772" t="str">
        <f>IFERROR(IF(VLOOKUP(C306,[1]List1!$A:$D,2,FALSE)="VYPRODÁNO",$V$9,IF(VLOOKUP(C306,[1]List1!$A:$D,2,FALSE)="DOCHÁZÍ",$V$3,VLOOKUP(C306,[1]List1!$A:$D,2,FALSE))),"OFFLINE!")</f>
        <v>SKLADEM</v>
      </c>
      <c r="AC306" s="772" t="str">
        <f ca="1">IF(AO306="NE",$V$10,IF(AB306=$V$3,IF(AP306&lt;1,$V$8,$V$2&amp;" "&amp;AP306&amp;" "&amp;$V$1),IF(AB306="SKLADEM",$V$6,IFERROR(IF(OR(AB306-TODAY()&gt;21,VLOOKUP(C306,[1]List1!$A:$E,4,FALSE)=0),AB306,DAY(AB306)&amp;"."&amp;MONTH(AB306)&amp;"."&amp;YEAR(AB306)&amp;" "&amp;$V$4&amp;VLOOKUP(C306,[1]List1!$A:$E,4,FALSE)&amp;" "&amp;$V$1),AB306))))</f>
        <v>AUF LAGER</v>
      </c>
      <c r="AD306" s="772" t="str">
        <f t="shared" ca="1" si="128"/>
        <v>AUF LAGER</v>
      </c>
      <c r="AE306" s="605"/>
      <c r="AF306" s="605"/>
      <c r="AG306" s="615"/>
      <c r="AH306" s="616"/>
      <c r="AI306" s="615"/>
      <c r="AJ306" s="617"/>
      <c r="AK306" s="617"/>
      <c r="AL306" s="617"/>
      <c r="AM306" s="617"/>
      <c r="AO306" s="567" t="str">
        <f t="shared" si="121"/>
        <v/>
      </c>
      <c r="AP306" s="568" t="str">
        <f>IF(AB306=$V$3,IF(VLOOKUP(C306,[1]List1!$A:$E,5,FALSE)=0,1,VLOOKUP(C306,[1]List1!$A:$E,5,FALSE)),"")</f>
        <v/>
      </c>
      <c r="AQ306" s="292" t="str">
        <f t="shared" si="122"/>
        <v/>
      </c>
      <c r="AR306" s="618" t="str">
        <f t="shared" si="123"/>
        <v/>
      </c>
      <c r="AS306" s="292" t="str">
        <f t="shared" si="124"/>
        <v/>
      </c>
      <c r="AT306" s="377" t="e">
        <f t="shared" si="125"/>
        <v>#N/A</v>
      </c>
      <c r="AU306" s="292" t="e">
        <f t="shared" si="126"/>
        <v>#N/A</v>
      </c>
    </row>
    <row r="307" spans="1:47" ht="15" customHeight="1">
      <c r="A307" s="601" t="str">
        <f>Kat.!B305</f>
        <v>Batterien 100 schuss, 20mm Mörser(alle Richtungen)-1.4G</v>
      </c>
      <c r="B307" s="601">
        <f t="shared" si="112"/>
        <v>1</v>
      </c>
      <c r="C307" s="783" t="s">
        <v>2341</v>
      </c>
      <c r="D307" s="783"/>
      <c r="E307" s="764"/>
      <c r="F307" s="761"/>
      <c r="G307" s="762"/>
      <c r="H307" s="595"/>
      <c r="I307" s="764"/>
      <c r="J307" s="764"/>
      <c r="K307" s="773"/>
      <c r="L307" s="764"/>
      <c r="M307" s="764"/>
      <c r="N307" s="764"/>
      <c r="O307" s="764"/>
      <c r="P307" s="764"/>
      <c r="Q307" s="764"/>
      <c r="R307" s="764"/>
      <c r="S307" s="764"/>
      <c r="T307" s="764"/>
      <c r="U307" s="764"/>
      <c r="V307" s="764"/>
      <c r="W307" s="764" t="str">
        <f>IFERROR(VLOOKUP('General price list'!$C307,Popisy!A:P,MATCH($W$17,Popisy!$A$7:$P$7,0),FALSE),"---------------")</f>
        <v>10 verschiedenfarbige Effekte</v>
      </c>
      <c r="X307" s="764" t="str">
        <f t="shared" si="127"/>
        <v/>
      </c>
      <c r="Y307" s="770">
        <f>IF(OR(AP307&lt;AA307,AND(NOT(OR(LEFT(AB307,3)="SKL",LEFT(AB307,3)=LEFT($V$2,3))),AA307&gt;0),AND('Deutsche Markt'!$AH$1=FALSE,J307="F4",AA307&gt;0)),"",AA307)</f>
        <v>0</v>
      </c>
      <c r="Z307" s="764"/>
      <c r="AA307" s="771">
        <f>'Deutsche Markt'!AA307</f>
        <v>0</v>
      </c>
      <c r="AB307" s="772" t="str">
        <f>IFERROR(IF(VLOOKUP(C307,[1]List1!$A:$D,2,FALSE)="VYPRODÁNO",$V$9,IF(VLOOKUP(C307,[1]List1!$A:$D,2,FALSE)="DOCHÁZÍ",$V$3,VLOOKUP(C307,[1]List1!$A:$D,2,FALSE))),"OFFLINE!")</f>
        <v>SKLADEM</v>
      </c>
      <c r="AC307" s="785" t="str">
        <f ca="1">IF(AO307="NE",$V$10,IF(AB307=$V$3,IF(AP307&lt;1,$V$8,$V$2&amp;" "&amp;AP307&amp;" "&amp;$V$1),IF(AB307="SKLADEM",$V$6,IFERROR(IF(OR(AB307-TODAY()&gt;21,VLOOKUP(C307,[1]List1!$A:$E,4,FALSE)=0),AB307,DAY(AB307)&amp;"."&amp;MONTH(AB307)&amp;"."&amp;YEAR(AB307)&amp;" "&amp;$V$4&amp;VLOOKUP(C307,[1]List1!$A:$E,4,FALSE)&amp;" "&amp;$V$1),AB307))))</f>
        <v>AUF LAGER</v>
      </c>
      <c r="AD307" s="785" t="str">
        <f t="shared" ca="1" si="128"/>
        <v>AUF LAGER</v>
      </c>
      <c r="AE307" s="609"/>
      <c r="AF307" s="609"/>
      <c r="AG307" s="627"/>
      <c r="AH307" s="609"/>
      <c r="AI307" s="627"/>
      <c r="AJ307" s="609"/>
      <c r="AK307" s="609"/>
      <c r="AL307" s="609"/>
      <c r="AM307" s="627"/>
      <c r="AO307" s="567" t="str">
        <f t="shared" si="121"/>
        <v/>
      </c>
      <c r="AP307" s="292" t="str">
        <f>IF(AB307=$V$3,IF(VLOOKUP(C307,[1]List1!$A:$E,5,FALSE)=0,1,VLOOKUP(C307,[1]List1!$A:$E,5,FALSE)),"")</f>
        <v/>
      </c>
      <c r="AQ307" s="292" t="str">
        <f t="shared" si="122"/>
        <v/>
      </c>
      <c r="AR307" s="618" t="str">
        <f t="shared" si="123"/>
        <v/>
      </c>
      <c r="AS307" s="292" t="str">
        <f t="shared" si="124"/>
        <v/>
      </c>
      <c r="AT307" s="377" t="e">
        <f t="shared" si="125"/>
        <v>#N/A</v>
      </c>
      <c r="AU307" s="292" t="e">
        <f t="shared" si="126"/>
        <v>#N/A</v>
      </c>
    </row>
    <row r="308" spans="1:47" ht="15" customHeight="1">
      <c r="A308" s="601" t="str">
        <f>Kat.!$B$1&amp;Kat.!B306</f>
        <v>x</v>
      </c>
      <c r="B308" s="601">
        <f t="shared" si="112"/>
        <v>1</v>
      </c>
      <c r="C308" s="602" t="s">
        <v>4918</v>
      </c>
      <c r="D308" s="235"/>
      <c r="E308" s="604"/>
      <c r="F308" s="605"/>
      <c r="G308" s="606"/>
      <c r="H308" s="607"/>
      <c r="I308" s="608"/>
      <c r="J308" s="609"/>
      <c r="K308" s="708"/>
      <c r="L308" s="623"/>
      <c r="M308" s="609"/>
      <c r="N308" s="612"/>
      <c r="O308" s="608"/>
      <c r="P308" s="608"/>
      <c r="Q308" s="609"/>
      <c r="R308" s="609"/>
      <c r="S308" s="609"/>
      <c r="T308" s="605"/>
      <c r="U308" s="613"/>
      <c r="V308" s="613"/>
      <c r="W308" s="601" t="str">
        <f>IFERROR(VLOOKUP('General price list'!$C308,Popisy!A:P,MATCH($W$17,Popisy!$A$7:$P$7,0),FALSE),"---------------")</f>
        <v>10 verschiedenfarbige Effekte</v>
      </c>
      <c r="X308" s="601" t="str">
        <f t="shared" si="127"/>
        <v/>
      </c>
      <c r="Y308" s="770">
        <f>IF(OR(AP308&lt;AA308,AND(NOT(OR(LEFT(AB308,3)="SKL",LEFT(AB308,3)=LEFT($V$2,3))),AA308&gt;0),AND('Deutsche Markt'!$AH$1=FALSE,J308="F4",AA308&gt;0)),"",AA308)</f>
        <v>0</v>
      </c>
      <c r="Z308" s="601"/>
      <c r="AA308" s="771">
        <f>'Deutsche Markt'!AA308</f>
        <v>0</v>
      </c>
      <c r="AB308" s="614" t="str">
        <f>IFERROR(IF(VLOOKUP(C308,[1]List1!$A:$D,2,FALSE)="VYPRODÁNO",$V$9,IF(VLOOKUP(C308,[1]List1!$A:$D,2,FALSE)="DOCHÁZÍ",$V$3,VLOOKUP(C308,[1]List1!$A:$D,2,FALSE))),"OFFLINE!")</f>
        <v>SKLADEM</v>
      </c>
      <c r="AC308" s="614" t="str">
        <f ca="1">IF(AO308="NE",$V$10,IF(AB308=$V$3,IF(AP308&lt;1,$V$8,$V$2&amp;" "&amp;AP308&amp;" "&amp;$V$1),IF(AB308="SKLADEM",$V$6,IFERROR(IF(OR(AB308-TODAY()&gt;21,VLOOKUP(C308,[1]List1!$A:$E,4,FALSE)=0),AB308,DAY(AB308)&amp;"."&amp;MONTH(AB308)&amp;"."&amp;YEAR(AB308)&amp;" "&amp;$V$4&amp;VLOOKUP(C308,[1]List1!$A:$E,4,FALSE)&amp;" "&amp;$V$1),AB308))))</f>
        <v>AUF LAGER</v>
      </c>
      <c r="AD308" s="614" t="str">
        <f t="shared" ca="1" si="128"/>
        <v>AUF LAGER</v>
      </c>
      <c r="AE308" s="605"/>
      <c r="AF308" s="605"/>
      <c r="AG308" s="615"/>
      <c r="AH308" s="616"/>
      <c r="AI308" s="615"/>
      <c r="AJ308" s="617"/>
      <c r="AK308" s="617"/>
      <c r="AL308" s="617"/>
      <c r="AM308" s="617"/>
      <c r="AN308" s="292"/>
      <c r="AO308" s="567" t="str">
        <f t="shared" si="121"/>
        <v/>
      </c>
      <c r="AP308" s="568" t="str">
        <f>IF(AB308=$V$3,IF(VLOOKUP(C308,[1]List1!$A:$E,5,FALSE)=0,1,VLOOKUP(C308,[1]List1!$A:$E,5,FALSE)),"")</f>
        <v/>
      </c>
      <c r="AQ308" s="292" t="str">
        <f t="shared" si="122"/>
        <v/>
      </c>
      <c r="AR308" s="618" t="str">
        <f t="shared" si="123"/>
        <v/>
      </c>
      <c r="AS308" s="292" t="str">
        <f t="shared" si="124"/>
        <v/>
      </c>
      <c r="AT308" s="377" t="e">
        <f t="shared" si="125"/>
        <v>#N/A</v>
      </c>
      <c r="AU308" s="292" t="e">
        <f t="shared" si="126"/>
        <v>#N/A</v>
      </c>
    </row>
    <row r="309" spans="1:47" ht="15" customHeight="1">
      <c r="A309" s="601" t="str">
        <f>Kat.!B307</f>
        <v/>
      </c>
      <c r="B309" s="601">
        <f t="shared" si="112"/>
        <v>1</v>
      </c>
      <c r="C309" s="783" t="s">
        <v>2342</v>
      </c>
      <c r="D309" s="776"/>
      <c r="E309" s="760"/>
      <c r="F309" s="761"/>
      <c r="G309" s="762"/>
      <c r="H309" s="596"/>
      <c r="I309" s="763"/>
      <c r="J309" s="764"/>
      <c r="K309" s="781"/>
      <c r="L309" s="766"/>
      <c r="M309" s="764"/>
      <c r="N309" s="767"/>
      <c r="O309" s="763"/>
      <c r="P309" s="763"/>
      <c r="Q309" s="764"/>
      <c r="R309" s="764"/>
      <c r="S309" s="764"/>
      <c r="T309" s="761"/>
      <c r="U309" s="768"/>
      <c r="V309" s="768"/>
      <c r="W309" s="769" t="str">
        <f>IFERROR(VLOOKUP('General price list'!$C309,Popisy!A:P,MATCH($W$17,Popisy!$A$7:$P$7,0),FALSE),"---------------")</f>
        <v>10 verschiedenfarbige Effekte</v>
      </c>
      <c r="X309" s="769" t="str">
        <f t="shared" si="127"/>
        <v/>
      </c>
      <c r="Y309" s="770">
        <f>IF(OR(AP309&lt;AA309,AND(NOT(OR(LEFT(AB309,3)="SKL",LEFT(AB309,3)=LEFT($V$2,3))),AA309&gt;0),AND('Deutsche Markt'!$AH$1=FALSE,J309="F4",AA309&gt;0)),"",AA309)</f>
        <v>0</v>
      </c>
      <c r="Z309" s="769"/>
      <c r="AA309" s="771">
        <f>'Deutsche Markt'!AA309</f>
        <v>0</v>
      </c>
      <c r="AB309" s="772" t="str">
        <f>IFERROR(IF(VLOOKUP(C309,[1]List1!$A:$D,2,FALSE)="VYPRODÁNO",$V$9,IF(VLOOKUP(C309,[1]List1!$A:$D,2,FALSE)="DOCHÁZÍ",$V$3,VLOOKUP(C309,[1]List1!$A:$D,2,FALSE))),"OFFLINE!")</f>
        <v>SKLADEM</v>
      </c>
      <c r="AC309" s="772" t="str">
        <f ca="1">IF(AO309="NE",$V$10,IF(AB309=$V$3,IF(AP309&lt;1,$V$8,$V$2&amp;" "&amp;AP309&amp;" "&amp;$V$1),IF(AB309="SKLADEM",$V$6,IFERROR(IF(OR(AB309-TODAY()&gt;21,VLOOKUP(C309,[1]List1!$A:$E,4,FALSE)=0),AB309,DAY(AB309)&amp;"."&amp;MONTH(AB309)&amp;"."&amp;YEAR(AB309)&amp;" "&amp;$V$4&amp;VLOOKUP(C309,[1]List1!$A:$E,4,FALSE)&amp;" "&amp;$V$1),AB309))))</f>
        <v>AUF LAGER</v>
      </c>
      <c r="AD309" s="772" t="str">
        <f t="shared" ca="1" si="128"/>
        <v>AUF LAGER</v>
      </c>
      <c r="AE309" s="605"/>
      <c r="AF309" s="605"/>
      <c r="AG309" s="615"/>
      <c r="AH309" s="616"/>
      <c r="AI309" s="615"/>
      <c r="AJ309" s="617"/>
      <c r="AK309" s="617"/>
      <c r="AL309" s="617"/>
      <c r="AM309" s="617"/>
      <c r="AN309" s="292"/>
      <c r="AO309" s="567" t="str">
        <f t="shared" si="121"/>
        <v/>
      </c>
      <c r="AP309" s="568" t="str">
        <f>IF(AB309=$V$3,IF(VLOOKUP(C309,[1]List1!$A:$E,5,FALSE)=0,1,VLOOKUP(C309,[1]List1!$A:$E,5,FALSE)),"")</f>
        <v/>
      </c>
      <c r="AQ309" s="292" t="str">
        <f t="shared" si="122"/>
        <v/>
      </c>
      <c r="AR309" s="618" t="str">
        <f t="shared" si="123"/>
        <v/>
      </c>
      <c r="AS309" s="292" t="str">
        <f t="shared" si="124"/>
        <v/>
      </c>
      <c r="AT309" s="377" t="e">
        <f t="shared" si="125"/>
        <v>#N/A</v>
      </c>
      <c r="AU309" s="292" t="e">
        <f t="shared" si="126"/>
        <v>#N/A</v>
      </c>
    </row>
    <row r="310" spans="1:47" ht="15" customHeight="1">
      <c r="A310" s="601" t="str">
        <f>Kat.!B308</f>
        <v/>
      </c>
      <c r="B310" s="601">
        <f t="shared" si="112"/>
        <v>0</v>
      </c>
      <c r="C310" s="778"/>
      <c r="D310" s="778"/>
      <c r="E310" s="778"/>
      <c r="F310" s="779"/>
      <c r="G310" s="778"/>
      <c r="H310" s="778"/>
      <c r="I310" s="778"/>
      <c r="J310" s="778"/>
      <c r="K310" s="774"/>
      <c r="L310" s="778"/>
      <c r="M310" s="778"/>
      <c r="N310" s="778"/>
      <c r="O310" s="778"/>
      <c r="P310" s="778"/>
      <c r="Q310" s="778"/>
      <c r="R310" s="778"/>
      <c r="S310" s="778"/>
      <c r="T310" s="778"/>
      <c r="U310" s="778"/>
      <c r="V310" s="778"/>
      <c r="W310" s="778" t="str">
        <f>IFERROR(VLOOKUP('General price list'!$C310,Popisy!A:P,MATCH($W$17,Popisy!$A$7:$P$7,0),FALSE),"---------------")</f>
        <v>---------------</v>
      </c>
      <c r="X310" s="778" t="str">
        <f t="shared" si="127"/>
        <v/>
      </c>
      <c r="Y310" s="770">
        <f>IF(OR(AP310&lt;AA310,AND(NOT(OR(LEFT(AB310,3)="SKL",LEFT(AB310,3)=LEFT($V$2,3))),AA310&gt;0),AND('Deutsche Markt'!$AH$1=FALSE,J310="F4",AA310&gt;0)),"",AA310)</f>
        <v>0</v>
      </c>
      <c r="Z310" s="778"/>
      <c r="AA310" s="771">
        <f>'Deutsche Markt'!AA310</f>
        <v>0</v>
      </c>
      <c r="AB310" s="778" t="str">
        <f>IFERROR(IF(VLOOKUP(C310,[1]List1!$A:$D,2,FALSE)="VYPRODÁNO",$V$9,IF(VLOOKUP(C310,[1]List1!$A:$D,2,FALSE)="DOCHÁZÍ",$V$3,VLOOKUP(C310,[1]List1!$A:$D,2,FALSE))),"OFFLINE!")</f>
        <v>OFFLINE!</v>
      </c>
      <c r="AC310" s="778" t="str">
        <f ca="1">IF(AO310="NE",$V$10,IF(AB310=$V$3,IF(AP310&lt;1,$V$8,$V$2&amp;" "&amp;AP310&amp;" "&amp;$V$1),IF(AB310="SKLADEM",$V$6,IFERROR(IF(OR(AB310-TODAY()&gt;21,VLOOKUP(C310,[1]List1!$A:$E,4,FALSE)=0),AB310,DAY(AB310)&amp;"."&amp;MONTH(AB310)&amp;"."&amp;YEAR(AB310)&amp;" "&amp;$V$4&amp;VLOOKUP(C310,[1]List1!$A:$E,4,FALSE)&amp;" "&amp;$V$1),AB310))))</f>
        <v>OFFLINE!</v>
      </c>
      <c r="AD310" s="778" t="str">
        <f t="shared" ca="1" si="128"/>
        <v>OFFLINE!</v>
      </c>
      <c r="AE310" s="599"/>
      <c r="AF310" s="599"/>
      <c r="AG310" s="599"/>
      <c r="AH310" s="599"/>
      <c r="AI310" s="599"/>
      <c r="AJ310" s="599"/>
      <c r="AK310" s="599"/>
      <c r="AL310" s="599"/>
      <c r="AM310" s="599"/>
      <c r="AN310" s="566"/>
      <c r="AO310" s="567" t="str">
        <f t="shared" si="121"/>
        <v/>
      </c>
      <c r="AP310" s="568" t="str">
        <f>IF(AB310=$V$3,IF(VLOOKUP(C310,[1]List1!$A:$E,5,FALSE)=0,1,VLOOKUP(C310,[1]List1!$A:$E,5,FALSE)),"")</f>
        <v/>
      </c>
      <c r="AQ310" s="292" t="str">
        <f t="shared" si="122"/>
        <v/>
      </c>
      <c r="AR310" s="618" t="str">
        <f t="shared" si="123"/>
        <v/>
      </c>
      <c r="AS310" s="292" t="str">
        <f t="shared" si="124"/>
        <v/>
      </c>
      <c r="AT310" s="377" t="e">
        <f t="shared" si="125"/>
        <v>#N/A</v>
      </c>
      <c r="AU310" s="292" t="e">
        <f t="shared" si="126"/>
        <v>#N/A</v>
      </c>
    </row>
    <row r="311" spans="1:47" ht="15" customHeight="1">
      <c r="A311" s="601" t="str">
        <f>Kat.!B309</f>
        <v/>
      </c>
      <c r="B311" s="601">
        <f t="shared" si="112"/>
        <v>1</v>
      </c>
      <c r="C311" s="783" t="s">
        <v>1145</v>
      </c>
      <c r="D311" s="776"/>
      <c r="E311" s="760"/>
      <c r="F311" s="761"/>
      <c r="G311" s="762"/>
      <c r="H311" s="596"/>
      <c r="I311" s="763"/>
      <c r="J311" s="764"/>
      <c r="K311" s="781"/>
      <c r="L311" s="766"/>
      <c r="M311" s="764"/>
      <c r="N311" s="767"/>
      <c r="O311" s="763"/>
      <c r="P311" s="763"/>
      <c r="Q311" s="764"/>
      <c r="R311" s="764"/>
      <c r="S311" s="764"/>
      <c r="T311" s="761"/>
      <c r="U311" s="768"/>
      <c r="V311" s="768"/>
      <c r="W311" s="769" t="str">
        <f>IFERROR(VLOOKUP('General price list'!$C311,Popisy!A:P,MATCH($W$17,Popisy!$A$7:$P$7,0),FALSE),"---------------")</f>
        <v>13 verschiedenfarbige Effekte</v>
      </c>
      <c r="X311" s="769" t="str">
        <f t="shared" si="127"/>
        <v/>
      </c>
      <c r="Y311" s="770">
        <f>IF(OR(AP311&lt;AA311,AND(NOT(OR(LEFT(AB311,3)="SKL",LEFT(AB311,3)=LEFT($V$2,3))),AA311&gt;0),AND('Deutsche Markt'!$AH$1=FALSE,J311="F4",AA311&gt;0)),"",AA311)</f>
        <v>0</v>
      </c>
      <c r="Z311" s="769"/>
      <c r="AA311" s="771">
        <f>'Deutsche Markt'!AA311</f>
        <v>0</v>
      </c>
      <c r="AB311" s="772" t="str">
        <f>IFERROR(IF(VLOOKUP(C311,[1]List1!$A:$D,2,FALSE)="VYPRODÁNO",$V$9,IF(VLOOKUP(C311,[1]List1!$A:$D,2,FALSE)="DOCHÁZÍ",$V$3,VLOOKUP(C311,[1]List1!$A:$D,2,FALSE))),"OFFLINE!")</f>
        <v>SKLADEM</v>
      </c>
      <c r="AC311" s="772" t="str">
        <f ca="1">IF(AO311="NE",$V$10,IF(AB311=$V$3,IF(AP311&lt;1,$V$8,$V$2&amp;" "&amp;AP311&amp;" "&amp;$V$1),IF(AB311="SKLADEM",$V$6,IFERROR(IF(OR(AB311-TODAY()&gt;21,VLOOKUP(C311,[1]List1!$A:$E,4,FALSE)=0),AB311,DAY(AB311)&amp;"."&amp;MONTH(AB311)&amp;"."&amp;YEAR(AB311)&amp;" "&amp;$V$4&amp;VLOOKUP(C311,[1]List1!$A:$E,4,FALSE)&amp;" "&amp;$V$1),AB311))))</f>
        <v>AUF LAGER</v>
      </c>
      <c r="AD311" s="772" t="str">
        <f t="shared" ca="1" si="128"/>
        <v>AUF LAGER</v>
      </c>
      <c r="AE311" s="605"/>
      <c r="AF311" s="605"/>
      <c r="AG311" s="615"/>
      <c r="AH311" s="616"/>
      <c r="AI311" s="615"/>
      <c r="AJ311" s="617"/>
      <c r="AK311" s="617"/>
      <c r="AL311" s="617"/>
      <c r="AM311" s="617"/>
      <c r="AO311" s="567" t="str">
        <f t="shared" si="121"/>
        <v/>
      </c>
      <c r="AP311" s="568" t="str">
        <f>IF(AB311=$V$3,IF(VLOOKUP(C311,[1]List1!$A:$E,5,FALSE)=0,1,VLOOKUP(C311,[1]List1!$A:$E,5,FALSE)),"")</f>
        <v/>
      </c>
      <c r="AQ311" s="292" t="str">
        <f t="shared" si="122"/>
        <v/>
      </c>
      <c r="AR311" s="618" t="str">
        <f t="shared" si="123"/>
        <v/>
      </c>
      <c r="AS311" s="292" t="str">
        <f t="shared" si="124"/>
        <v/>
      </c>
      <c r="AT311" s="377" t="e">
        <f t="shared" si="125"/>
        <v>#N/A</v>
      </c>
      <c r="AU311" s="292" t="e">
        <f t="shared" si="126"/>
        <v>#N/A</v>
      </c>
    </row>
    <row r="312" spans="1:47" ht="15" customHeight="1">
      <c r="A312" s="601" t="str">
        <f>Kat.!B310</f>
        <v>Batterien 130 schuss, 20mm Mörser-1.3G</v>
      </c>
      <c r="B312" s="601">
        <f t="shared" si="112"/>
        <v>1</v>
      </c>
      <c r="C312" s="783" t="s">
        <v>1150</v>
      </c>
      <c r="D312" s="776"/>
      <c r="E312" s="760"/>
      <c r="F312" s="761"/>
      <c r="G312" s="762"/>
      <c r="H312" s="596"/>
      <c r="I312" s="763"/>
      <c r="J312" s="764"/>
      <c r="K312" s="774"/>
      <c r="L312" s="766"/>
      <c r="M312" s="764"/>
      <c r="N312" s="767"/>
      <c r="O312" s="763"/>
      <c r="P312" s="763"/>
      <c r="Q312" s="764"/>
      <c r="R312" s="764"/>
      <c r="S312" s="764"/>
      <c r="T312" s="761"/>
      <c r="U312" s="768"/>
      <c r="V312" s="768"/>
      <c r="W312" s="769" t="str">
        <f>IFERROR(VLOOKUP('General price list'!$C312,Popisy!A:P,MATCH($W$17,Popisy!$A$7:$P$7,0),FALSE),"---------------")</f>
        <v>13 verschiedenfarbige Effekte</v>
      </c>
      <c r="X312" s="769" t="str">
        <f t="shared" si="127"/>
        <v/>
      </c>
      <c r="Y312" s="770">
        <f>IF(OR(AP312&lt;AA312,AND(NOT(OR(LEFT(AB312,3)="SKL",LEFT(AB312,3)=LEFT($V$2,3))),AA312&gt;0),AND('Deutsche Markt'!$AH$1=FALSE,J312="F4",AA312&gt;0)),"",AA312)</f>
        <v>0</v>
      </c>
      <c r="Z312" s="769"/>
      <c r="AA312" s="771">
        <f>'Deutsche Markt'!AA312</f>
        <v>0</v>
      </c>
      <c r="AB312" s="772" t="str">
        <f>IFERROR(IF(VLOOKUP(C312,[1]List1!$A:$D,2,FALSE)="VYPRODÁNO",$V$9,IF(VLOOKUP(C312,[1]List1!$A:$D,2,FALSE)="DOCHÁZÍ",$V$3,VLOOKUP(C312,[1]List1!$A:$D,2,FALSE))),"OFFLINE!")</f>
        <v>SKLADEM</v>
      </c>
      <c r="AC312" s="772" t="str">
        <f ca="1">IF(AO312="NE",$V$10,IF(AB312=$V$3,IF(AP312&lt;1,$V$8,$V$2&amp;" "&amp;AP312&amp;" "&amp;$V$1),IF(AB312="SKLADEM",$V$6,IFERROR(IF(OR(AB312-TODAY()&gt;21,VLOOKUP(C312,[1]List1!$A:$E,4,FALSE)=0),AB312,DAY(AB312)&amp;"."&amp;MONTH(AB312)&amp;"."&amp;YEAR(AB312)&amp;" "&amp;$V$4&amp;VLOOKUP(C312,[1]List1!$A:$E,4,FALSE)&amp;" "&amp;$V$1),AB312))))</f>
        <v>AUF LAGER</v>
      </c>
      <c r="AD312" s="772" t="str">
        <f t="shared" ca="1" si="128"/>
        <v>AUF LAGER</v>
      </c>
      <c r="AE312" s="605"/>
      <c r="AF312" s="605"/>
      <c r="AG312" s="615"/>
      <c r="AH312" s="616"/>
      <c r="AI312" s="615"/>
      <c r="AJ312" s="617"/>
      <c r="AK312" s="617"/>
      <c r="AL312" s="617"/>
      <c r="AM312" s="617"/>
      <c r="AO312" s="567" t="str">
        <f t="shared" si="121"/>
        <v/>
      </c>
      <c r="AP312" s="568" t="str">
        <f>IF(AB312=$V$3,IF(VLOOKUP(C312,[1]List1!$A:$E,5,FALSE)=0,1,VLOOKUP(C312,[1]List1!$A:$E,5,FALSE)),"")</f>
        <v/>
      </c>
      <c r="AQ312" s="292" t="str">
        <f t="shared" si="122"/>
        <v/>
      </c>
      <c r="AR312" s="618" t="str">
        <f t="shared" si="123"/>
        <v/>
      </c>
      <c r="AS312" s="292" t="str">
        <f t="shared" si="124"/>
        <v/>
      </c>
      <c r="AT312" s="377" t="e">
        <f t="shared" si="125"/>
        <v>#N/A</v>
      </c>
      <c r="AU312" s="292" t="e">
        <f t="shared" si="126"/>
        <v>#N/A</v>
      </c>
    </row>
    <row r="313" spans="1:47" ht="15" customHeight="1">
      <c r="A313" s="601" t="str">
        <f>Kat.!B311</f>
        <v/>
      </c>
      <c r="B313" s="601">
        <f t="shared" si="112"/>
        <v>0</v>
      </c>
      <c r="C313" s="783"/>
      <c r="D313" s="776"/>
      <c r="E313" s="760"/>
      <c r="F313" s="761"/>
      <c r="G313" s="762"/>
      <c r="H313" s="596"/>
      <c r="I313" s="763"/>
      <c r="J313" s="764"/>
      <c r="K313" s="781"/>
      <c r="L313" s="782"/>
      <c r="M313" s="764"/>
      <c r="N313" s="767"/>
      <c r="O313" s="763"/>
      <c r="P313" s="763"/>
      <c r="Q313" s="764"/>
      <c r="R313" s="764"/>
      <c r="S313" s="764"/>
      <c r="T313" s="761"/>
      <c r="U313" s="768"/>
      <c r="V313" s="768"/>
      <c r="W313" s="769"/>
      <c r="X313" s="769"/>
      <c r="Y313" s="770">
        <f>IF(OR(AP313&lt;AA313,AND(NOT(OR(LEFT(AB313,3)="SKL",LEFT(AB313,3)=LEFT($V$2,3))),AA313&gt;0),AND('Deutsche Markt'!$AH$1=FALSE,J313="F4",AA313&gt;0)),"",AA313)</f>
        <v>0</v>
      </c>
      <c r="Z313" s="769"/>
      <c r="AA313" s="771">
        <f>'Deutsche Markt'!AA313</f>
        <v>0</v>
      </c>
      <c r="AB313" s="772"/>
      <c r="AC313" s="772"/>
      <c r="AD313" s="772"/>
      <c r="AE313" s="605"/>
      <c r="AF313" s="605"/>
      <c r="AG313" s="615"/>
      <c r="AH313" s="616"/>
      <c r="AI313" s="615"/>
      <c r="AJ313" s="617"/>
      <c r="AK313" s="617"/>
      <c r="AL313" s="617"/>
      <c r="AM313" s="617"/>
      <c r="AO313" s="567" t="str">
        <f t="shared" si="121"/>
        <v/>
      </c>
      <c r="AP313" s="568" t="str">
        <f>IF(AB313=$V$3,IF(VLOOKUP(C313,[1]List1!$A:$E,5,FALSE)=0,1,VLOOKUP(C313,[1]List1!$A:$E,5,FALSE)),"")</f>
        <v/>
      </c>
      <c r="AQ313" s="292" t="str">
        <f t="shared" si="122"/>
        <v/>
      </c>
      <c r="AR313" s="618" t="str">
        <f t="shared" si="123"/>
        <v/>
      </c>
      <c r="AS313" s="292" t="str">
        <f t="shared" si="124"/>
        <v/>
      </c>
      <c r="AT313" s="377" t="e">
        <f t="shared" si="125"/>
        <v>#N/A</v>
      </c>
      <c r="AU313" s="292" t="e">
        <f t="shared" si="126"/>
        <v>#N/A</v>
      </c>
    </row>
    <row r="314" spans="1:47" ht="15" customHeight="1">
      <c r="A314" s="601" t="str">
        <f>Kat.!B312</f>
        <v/>
      </c>
      <c r="B314" s="601">
        <f t="shared" si="112"/>
        <v>1</v>
      </c>
      <c r="C314" s="775" t="s">
        <v>1162</v>
      </c>
      <c r="D314" s="776"/>
      <c r="E314" s="760"/>
      <c r="F314" s="761"/>
      <c r="G314" s="762"/>
      <c r="H314" s="596"/>
      <c r="I314" s="763"/>
      <c r="J314" s="764"/>
      <c r="K314" s="774"/>
      <c r="L314" s="782"/>
      <c r="M314" s="764"/>
      <c r="N314" s="767"/>
      <c r="O314" s="763"/>
      <c r="P314" s="763"/>
      <c r="Q314" s="764"/>
      <c r="R314" s="764"/>
      <c r="S314" s="764"/>
      <c r="T314" s="761"/>
      <c r="U314" s="768"/>
      <c r="V314" s="768"/>
      <c r="W314" s="769" t="str">
        <f>IFERROR(VLOOKUP('General price list'!$C314,Popisy!A:P,MATCH($W$17,Popisy!$A$7:$P$7,0),FALSE),"---------------")</f>
        <v>16 verschiedenfarbige Effekte</v>
      </c>
      <c r="X314" s="769" t="str">
        <f t="shared" ref="X314" si="129">IF(AA314&lt;0.0001,"",AA314)</f>
        <v/>
      </c>
      <c r="Y314" s="770">
        <f>IF(OR(AP314&lt;AA314,AND(NOT(OR(LEFT(AB314,3)="SKL",LEFT(AB314,3)=LEFT($V$2,3))),AA314&gt;0),AND('Deutsche Markt'!$AH$1=FALSE,J314="F4",AA314&gt;0)),"",AA314)</f>
        <v>0</v>
      </c>
      <c r="Z314" s="769"/>
      <c r="AA314" s="771">
        <f>'Deutsche Markt'!AA314</f>
        <v>0</v>
      </c>
      <c r="AB314" s="772" t="str">
        <f>IFERROR(IF(VLOOKUP(C314,[1]List1!$A:$D,2,FALSE)="VYPRODÁNO",$V$9,IF(VLOOKUP(C314,[1]List1!$A:$D,2,FALSE)="DOCHÁZÍ",$V$3,VLOOKUP(C314,[1]List1!$A:$D,2,FALSE))),"OFFLINE!")</f>
        <v>30.04.2024</v>
      </c>
      <c r="AC314" s="772" t="str">
        <f ca="1">IF(AO314="NE",$V$10,IF(AB314=$V$3,IF(AP314&lt;1,$V$8,$V$2&amp;" "&amp;AP314&amp;" "&amp;$V$1),IF(AB314="SKLADEM",$V$6,IFERROR(IF(OR(AB314-TODAY()&gt;21,VLOOKUP(C314,[1]List1!$A:$E,4,FALSE)=0),AB314,DAY(AB314)&amp;"."&amp;MONTH(AB314)&amp;"."&amp;YEAR(AB314)&amp;" "&amp;$V$4&amp;VLOOKUP(C314,[1]List1!$A:$E,4,FALSE)&amp;" "&amp;$V$1),AB314))))</f>
        <v>30.04.2024</v>
      </c>
      <c r="AD314" s="772" t="str">
        <f t="shared" ref="AD314" ca="1" si="130">IFERROR(IF(AU314&lt;&gt;"",AU314,AC314),AC314)</f>
        <v>30.04.2024</v>
      </c>
      <c r="AE314" s="605"/>
      <c r="AF314" s="605"/>
      <c r="AG314" s="615"/>
      <c r="AH314" s="616"/>
      <c r="AI314" s="615"/>
      <c r="AJ314" s="617"/>
      <c r="AK314" s="617"/>
      <c r="AL314" s="617"/>
      <c r="AM314" s="617"/>
      <c r="AO314" s="567" t="str">
        <f t="shared" si="121"/>
        <v/>
      </c>
      <c r="AP314" s="568" t="str">
        <f>IF(AB314=$V$3,IF(VLOOKUP(C314,[1]List1!$A:$E,5,FALSE)=0,1,VLOOKUP(C314,[1]List1!$A:$E,5,FALSE)),"")</f>
        <v/>
      </c>
      <c r="AQ314" s="292" t="str">
        <f t="shared" si="122"/>
        <v/>
      </c>
      <c r="AR314" s="618" t="str">
        <f t="shared" si="123"/>
        <v/>
      </c>
      <c r="AS314" s="292" t="str">
        <f t="shared" si="124"/>
        <v/>
      </c>
      <c r="AT314" s="377" t="e">
        <f t="shared" si="125"/>
        <v>#N/A</v>
      </c>
      <c r="AU314" s="292" t="e">
        <f t="shared" si="126"/>
        <v>#N/A</v>
      </c>
    </row>
    <row r="315" spans="1:47" ht="15" customHeight="1">
      <c r="A315" s="601" t="str">
        <f>Kat.!B313</f>
        <v>Verbundfeurwerk 20mm - F2 - 1.4G</v>
      </c>
      <c r="B315" s="601">
        <f t="shared" si="112"/>
        <v>1</v>
      </c>
      <c r="C315" s="758" t="s">
        <v>1166</v>
      </c>
      <c r="D315" s="783"/>
      <c r="E315" s="764"/>
      <c r="F315" s="761"/>
      <c r="G315" s="762"/>
      <c r="H315" s="596"/>
      <c r="I315" s="763"/>
      <c r="J315" s="764"/>
      <c r="K315" s="781"/>
      <c r="L315" s="769"/>
      <c r="M315" s="764"/>
      <c r="N315" s="767"/>
      <c r="O315" s="763"/>
      <c r="P315" s="763"/>
      <c r="Q315" s="764"/>
      <c r="R315" s="764"/>
      <c r="S315" s="764"/>
      <c r="T315" s="764"/>
      <c r="U315" s="768"/>
      <c r="V315" s="768"/>
      <c r="W315" s="769"/>
      <c r="X315" s="769"/>
      <c r="Y315" s="770">
        <f>IF(OR(AP315&lt;AA315,AND(NOT(OR(LEFT(AB315,3)="SKL",LEFT(AB315,3)=LEFT($V$2,3))),AA315&gt;0),AND('Deutsche Markt'!$AH$1=FALSE,J315="F4",AA315&gt;0)),"",AA315)</f>
        <v>0</v>
      </c>
      <c r="Z315" s="769"/>
      <c r="AA315" s="771">
        <f>'Deutsche Markt'!AA315</f>
        <v>0</v>
      </c>
      <c r="AB315" s="772"/>
      <c r="AC315" s="772"/>
      <c r="AD315" s="772"/>
      <c r="AE315" s="605"/>
      <c r="AF315" s="605"/>
      <c r="AG315" s="615"/>
      <c r="AH315" s="616"/>
      <c r="AI315" s="615"/>
      <c r="AJ315" s="617"/>
      <c r="AK315" s="617"/>
      <c r="AL315" s="617"/>
      <c r="AM315" s="617"/>
      <c r="AO315" s="567" t="str">
        <f t="shared" si="121"/>
        <v/>
      </c>
      <c r="AP315" s="568" t="str">
        <f>IF(AB315=$V$3,IF(VLOOKUP(C315,[1]List1!$A:$E,5,FALSE)=0,1,VLOOKUP(C315,[1]List1!$A:$E,5,FALSE)),"")</f>
        <v/>
      </c>
      <c r="AQ315" s="292" t="str">
        <f t="shared" si="122"/>
        <v/>
      </c>
      <c r="AR315" s="618" t="str">
        <f t="shared" si="123"/>
        <v/>
      </c>
      <c r="AS315" s="292" t="str">
        <f t="shared" si="124"/>
        <v/>
      </c>
      <c r="AT315" s="377" t="e">
        <f t="shared" si="125"/>
        <v>#N/A</v>
      </c>
      <c r="AU315" s="292" t="e">
        <f t="shared" si="126"/>
        <v>#N/A</v>
      </c>
    </row>
    <row r="316" spans="1:47" ht="15" customHeight="1">
      <c r="A316" s="601" t="str">
        <f>Kat.!B314</f>
        <v/>
      </c>
      <c r="B316" s="601">
        <f t="shared" si="112"/>
        <v>1</v>
      </c>
      <c r="C316" s="783" t="s">
        <v>2348</v>
      </c>
      <c r="D316" s="776"/>
      <c r="E316" s="760"/>
      <c r="F316" s="761"/>
      <c r="G316" s="762"/>
      <c r="H316" s="596"/>
      <c r="I316" s="763"/>
      <c r="J316" s="764"/>
      <c r="K316" s="774"/>
      <c r="L316" s="766"/>
      <c r="M316" s="764"/>
      <c r="N316" s="767"/>
      <c r="O316" s="763"/>
      <c r="P316" s="763"/>
      <c r="Q316" s="764"/>
      <c r="R316" s="764"/>
      <c r="S316" s="764"/>
      <c r="T316" s="761"/>
      <c r="U316" s="768"/>
      <c r="V316" s="768"/>
      <c r="W316" s="769" t="str">
        <f>IFERROR(VLOOKUP('General price list'!$C316,Popisy!A:P,MATCH($W$17,Popisy!$A$7:$P$7,0),FALSE),"---------------")</f>
        <v>20 verschiedenfarbige Effekte</v>
      </c>
      <c r="X316" s="769" t="str">
        <f t="shared" ref="X316:X327" si="131">IF(AA316&lt;0.0001,"",AA316)</f>
        <v/>
      </c>
      <c r="Y316" s="770">
        <f>IF(OR(AP316&lt;AA316,AND(NOT(OR(LEFT(AB316,3)="SKL",LEFT(AB316,3)=LEFT($V$2,3))),AA316&gt;0),AND('Deutsche Markt'!$AH$1=FALSE,J316="F4",AA316&gt;0)),"",AA316)</f>
        <v>0</v>
      </c>
      <c r="Z316" s="769"/>
      <c r="AA316" s="771">
        <f>'Deutsche Markt'!AA316</f>
        <v>0</v>
      </c>
      <c r="AB316" s="772" t="str">
        <f>IFERROR(IF(VLOOKUP(C316,[1]List1!$A:$D,2,FALSE)="VYPRODÁNO",$V$9,IF(VLOOKUP(C316,[1]List1!$A:$D,2,FALSE)="DOCHÁZÍ",$V$3,VLOOKUP(C316,[1]List1!$A:$D,2,FALSE))),"OFFLINE!")</f>
        <v>SKLADEM</v>
      </c>
      <c r="AC316" s="772" t="str">
        <f ca="1">IF(AO316="NE",$V$10,IF(AB316=$V$3,IF(AP316&lt;1,$V$8,$V$2&amp;" "&amp;AP316&amp;" "&amp;$V$1),IF(AB316="SKLADEM",$V$6,IFERROR(IF(OR(AB316-TODAY()&gt;21,VLOOKUP(C316,[1]List1!$A:$E,4,FALSE)=0),AB316,DAY(AB316)&amp;"."&amp;MONTH(AB316)&amp;"."&amp;YEAR(AB316)&amp;" "&amp;$V$4&amp;VLOOKUP(C316,[1]List1!$A:$E,4,FALSE)&amp;" "&amp;$V$1),AB316))))</f>
        <v>AUF LAGER</v>
      </c>
      <c r="AD316" s="772" t="str">
        <f t="shared" ref="AD316:AD327" ca="1" si="132">IFERROR(IF(AU316&lt;&gt;"",AU316,AC316),AC316)</f>
        <v>AUF LAGER</v>
      </c>
      <c r="AE316" s="605"/>
      <c r="AF316" s="605"/>
      <c r="AG316" s="615"/>
      <c r="AH316" s="616"/>
      <c r="AI316" s="615"/>
      <c r="AJ316" s="617"/>
      <c r="AK316" s="617"/>
      <c r="AL316" s="617"/>
      <c r="AM316" s="617"/>
      <c r="AO316" s="567" t="str">
        <f t="shared" si="121"/>
        <v/>
      </c>
      <c r="AP316" s="568" t="str">
        <f>IF(AB316=$V$3,IF(VLOOKUP(C316,[1]List1!$A:$E,5,FALSE)=0,1,VLOOKUP(C316,[1]List1!$A:$E,5,FALSE)),"")</f>
        <v/>
      </c>
      <c r="AQ316" s="292" t="str">
        <f t="shared" si="122"/>
        <v/>
      </c>
      <c r="AR316" s="618" t="str">
        <f t="shared" si="123"/>
        <v/>
      </c>
      <c r="AS316" s="292" t="str">
        <f t="shared" si="124"/>
        <v/>
      </c>
      <c r="AT316" s="377" t="e">
        <f t="shared" si="125"/>
        <v>#N/A</v>
      </c>
      <c r="AU316" s="292" t="e">
        <f t="shared" si="126"/>
        <v>#N/A</v>
      </c>
    </row>
    <row r="317" spans="1:47" ht="15" customHeight="1">
      <c r="A317" s="601" t="str">
        <f>Kat.!B315</f>
        <v/>
      </c>
      <c r="B317" s="601">
        <f t="shared" si="112"/>
        <v>1</v>
      </c>
      <c r="C317" s="758" t="s">
        <v>4949</v>
      </c>
      <c r="D317" s="776"/>
      <c r="E317" s="760"/>
      <c r="F317" s="761"/>
      <c r="G317" s="762"/>
      <c r="H317" s="596"/>
      <c r="I317" s="763"/>
      <c r="J317" s="764"/>
      <c r="K317" s="781"/>
      <c r="L317" s="766"/>
      <c r="M317" s="764"/>
      <c r="N317" s="767"/>
      <c r="O317" s="763"/>
      <c r="P317" s="763"/>
      <c r="Q317" s="764"/>
      <c r="R317" s="764"/>
      <c r="S317" s="764"/>
      <c r="T317" s="761"/>
      <c r="U317" s="768"/>
      <c r="V317" s="768"/>
      <c r="W317" s="769" t="str">
        <f>IFERROR(VLOOKUP('General price list'!$C317,Popisy!A:P,MATCH($W$17,Popisy!$A$7:$P$7,0),FALSE),"---------------")</f>
        <v>20 verschiedenfarbige Effekte</v>
      </c>
      <c r="X317" s="769" t="str">
        <f t="shared" si="131"/>
        <v/>
      </c>
      <c r="Y317" s="770">
        <f>IF(OR(AP317&lt;AA317,AND(NOT(OR(LEFT(AB317,3)="SKL",LEFT(AB317,3)=LEFT($V$2,3))),AA317&gt;0),AND('Deutsche Markt'!$AH$1=FALSE,J317="F4",AA317&gt;0)),"",AA317)</f>
        <v>0</v>
      </c>
      <c r="Z317" s="769"/>
      <c r="AA317" s="771">
        <f>'Deutsche Markt'!AA317</f>
        <v>0</v>
      </c>
      <c r="AB317" s="772" t="str">
        <f>IFERROR(IF(VLOOKUP(C317,[1]List1!$A:$D,2,FALSE)="VYPRODÁNO",$V$9,IF(VLOOKUP(C317,[1]List1!$A:$D,2,FALSE)="DOCHÁZÍ",$V$3,VLOOKUP(C317,[1]List1!$A:$D,2,FALSE))),"OFFLINE!")</f>
        <v>SKLADEM</v>
      </c>
      <c r="AC317" s="772" t="str">
        <f ca="1">IF(AO317="NE",$V$10,IF(AB317=$V$3,IF(AP317&lt;1,$V$8,$V$2&amp;" "&amp;AP317&amp;" "&amp;$V$1),IF(AB317="SKLADEM",$V$6,IFERROR(IF(OR(AB317-TODAY()&gt;21,VLOOKUP(C317,[1]List1!$A:$E,4,FALSE)=0),AB317,DAY(AB317)&amp;"."&amp;MONTH(AB317)&amp;"."&amp;YEAR(AB317)&amp;" "&amp;$V$4&amp;VLOOKUP(C317,[1]List1!$A:$E,4,FALSE)&amp;" "&amp;$V$1),AB317))))</f>
        <v>AUF LAGER</v>
      </c>
      <c r="AD317" s="772" t="str">
        <f t="shared" ca="1" si="132"/>
        <v>AUF LAGER</v>
      </c>
      <c r="AE317" s="605"/>
      <c r="AF317" s="605"/>
      <c r="AG317" s="615"/>
      <c r="AH317" s="616"/>
      <c r="AI317" s="615"/>
      <c r="AJ317" s="617"/>
      <c r="AK317" s="617"/>
      <c r="AL317" s="617"/>
      <c r="AM317" s="617"/>
      <c r="AO317" s="567" t="str">
        <f t="shared" si="121"/>
        <v/>
      </c>
      <c r="AP317" s="568" t="str">
        <f>IF(AB317=$V$3,IF(VLOOKUP(C317,[1]List1!$A:$E,5,FALSE)=0,1,VLOOKUP(C317,[1]List1!$A:$E,5,FALSE)),"")</f>
        <v/>
      </c>
      <c r="AQ317" s="292" t="str">
        <f t="shared" si="122"/>
        <v/>
      </c>
      <c r="AR317" s="618" t="str">
        <f t="shared" si="123"/>
        <v/>
      </c>
      <c r="AS317" s="292" t="str">
        <f t="shared" si="124"/>
        <v/>
      </c>
      <c r="AT317" s="377" t="e">
        <f t="shared" si="125"/>
        <v>#N/A</v>
      </c>
      <c r="AU317" s="292" t="e">
        <f t="shared" si="126"/>
        <v>#N/A</v>
      </c>
    </row>
    <row r="318" spans="1:47" ht="15" customHeight="1">
      <c r="A318" s="601" t="str">
        <f>Kat.!B316</f>
        <v/>
      </c>
      <c r="B318" s="601">
        <f t="shared" si="112"/>
        <v>1</v>
      </c>
      <c r="C318" s="783" t="s">
        <v>1169</v>
      </c>
      <c r="D318" s="794"/>
      <c r="E318" s="764"/>
      <c r="F318" s="761"/>
      <c r="G318" s="762"/>
      <c r="H318" s="596"/>
      <c r="I318" s="763"/>
      <c r="J318" s="764"/>
      <c r="K318" s="774"/>
      <c r="L318" s="766"/>
      <c r="M318" s="764"/>
      <c r="N318" s="777"/>
      <c r="O318" s="763"/>
      <c r="P318" s="763"/>
      <c r="Q318" s="764"/>
      <c r="R318" s="764"/>
      <c r="S318" s="764"/>
      <c r="T318" s="764"/>
      <c r="U318" s="768"/>
      <c r="V318" s="768"/>
      <c r="W318" s="769" t="str">
        <f>IFERROR(VLOOKUP('General price list'!$C318,Popisy!A:P,MATCH($W$17,Popisy!$A$7:$P$7,0),FALSE),"---------------")</f>
        <v>24 verschiedenfarbige Effekte</v>
      </c>
      <c r="X318" s="769" t="str">
        <f t="shared" si="131"/>
        <v/>
      </c>
      <c r="Y318" s="770">
        <f>IF(OR(AP318&lt;AA318,AND(NOT(OR(LEFT(AB318,3)="SKL",LEFT(AB318,3)=LEFT($V$2,3))),AA318&gt;0),AND('Deutsche Markt'!$AH$1=FALSE,J318="F4",AA318&gt;0)),"",AA318)</f>
        <v>0</v>
      </c>
      <c r="Z318" s="769"/>
      <c r="AA318" s="771">
        <f>'Deutsche Markt'!AA318</f>
        <v>0</v>
      </c>
      <c r="AB318" s="772" t="str">
        <f>IFERROR(IF(VLOOKUP(C318,[1]List1!$A:$D,2,FALSE)="VYPRODÁNO",$V$9,IF(VLOOKUP(C318,[1]List1!$A:$D,2,FALSE)="DOCHÁZÍ",$V$3,VLOOKUP(C318,[1]List1!$A:$D,2,FALSE))),"OFFLINE!")</f>
        <v>SKLADEM</v>
      </c>
      <c r="AC318" s="772" t="str">
        <f ca="1">IF(AO318="NE",$V$10,IF(AB318=$V$3,IF(AP318&lt;1,$V$8,$V$2&amp;" "&amp;AP318&amp;" "&amp;$V$1),IF(AB318="SKLADEM",$V$6,IFERROR(IF(OR(AB318-TODAY()&gt;21,VLOOKUP(C318,[1]List1!$A:$E,4,FALSE)=0),AB318,DAY(AB318)&amp;"."&amp;MONTH(AB318)&amp;"."&amp;YEAR(AB318)&amp;" "&amp;$V$4&amp;VLOOKUP(C318,[1]List1!$A:$E,4,FALSE)&amp;" "&amp;$V$1),AB318))))</f>
        <v>AUF LAGER</v>
      </c>
      <c r="AD318" s="772" t="str">
        <f t="shared" ca="1" si="132"/>
        <v>AUF LAGER</v>
      </c>
      <c r="AE318" s="605"/>
      <c r="AF318" s="605"/>
      <c r="AG318" s="615"/>
      <c r="AH318" s="616"/>
      <c r="AI318" s="615"/>
      <c r="AJ318" s="617"/>
      <c r="AK318" s="617"/>
      <c r="AL318" s="617"/>
      <c r="AM318" s="617"/>
      <c r="AO318" s="567" t="str">
        <f t="shared" si="121"/>
        <v/>
      </c>
      <c r="AP318" s="568" t="str">
        <f>IF(AB318=$V$3,IF(VLOOKUP(C318,[1]List1!$A:$E,5,FALSE)=0,1,VLOOKUP(C318,[1]List1!$A:$E,5,FALSE)),"")</f>
        <v/>
      </c>
      <c r="AQ318" s="292" t="str">
        <f t="shared" si="122"/>
        <v/>
      </c>
      <c r="AR318" s="618" t="str">
        <f t="shared" si="123"/>
        <v/>
      </c>
      <c r="AS318" s="292" t="str">
        <f t="shared" si="124"/>
        <v/>
      </c>
      <c r="AT318" s="377" t="e">
        <f t="shared" si="125"/>
        <v>#N/A</v>
      </c>
      <c r="AU318" s="292" t="e">
        <f t="shared" si="126"/>
        <v>#N/A</v>
      </c>
    </row>
    <row r="319" spans="1:47" ht="15" customHeight="1">
      <c r="A319" s="601" t="str">
        <f>Kat.!B317</f>
        <v/>
      </c>
      <c r="B319" s="601">
        <f t="shared" si="112"/>
        <v>1</v>
      </c>
      <c r="C319" s="778" t="s">
        <v>2349</v>
      </c>
      <c r="D319" s="778"/>
      <c r="E319" s="778"/>
      <c r="F319" s="779"/>
      <c r="G319" s="778"/>
      <c r="H319" s="778"/>
      <c r="I319" s="778"/>
      <c r="J319" s="778"/>
      <c r="K319" s="781"/>
      <c r="L319" s="778"/>
      <c r="M319" s="778"/>
      <c r="N319" s="778"/>
      <c r="O319" s="778"/>
      <c r="P319" s="778"/>
      <c r="Q319" s="778"/>
      <c r="R319" s="778"/>
      <c r="S319" s="778"/>
      <c r="T319" s="778"/>
      <c r="U319" s="778"/>
      <c r="V319" s="778"/>
      <c r="W319" s="778" t="str">
        <f>IFERROR(VLOOKUP('General price list'!$C319,Popisy!A:P,MATCH($W$17,Popisy!$A$7:$P$7,0),FALSE),"---------------")</f>
        <v>24 verschiedenfarbige Effekte</v>
      </c>
      <c r="X319" s="778" t="str">
        <f t="shared" si="131"/>
        <v/>
      </c>
      <c r="Y319" s="770">
        <f>IF(OR(AP319&lt;AA319,AND(NOT(OR(LEFT(AB319,3)="SKL",LEFT(AB319,3)=LEFT($V$2,3))),AA319&gt;0),AND('Deutsche Markt'!$AH$1=FALSE,J319="F4",AA319&gt;0)),"",AA319)</f>
        <v>0</v>
      </c>
      <c r="Z319" s="778"/>
      <c r="AA319" s="771">
        <f>'Deutsche Markt'!AA319</f>
        <v>0</v>
      </c>
      <c r="AB319" s="778" t="str">
        <f>IFERROR(IF(VLOOKUP(C319,[1]List1!$A:$D,2,FALSE)="VYPRODÁNO",$V$9,IF(VLOOKUP(C319,[1]List1!$A:$D,2,FALSE)="DOCHÁZÍ",$V$3,VLOOKUP(C319,[1]List1!$A:$D,2,FALSE))),"OFFLINE!")</f>
        <v>SKLADEM</v>
      </c>
      <c r="AC319" s="778" t="str">
        <f ca="1">IF(AO319="NE",$V$10,IF(AB319=$V$3,IF(AP319&lt;1,$V$8,$V$2&amp;" "&amp;AP319&amp;" "&amp;$V$1),IF(AB319="SKLADEM",$V$6,IFERROR(IF(OR(AB319-TODAY()&gt;21,VLOOKUP(C319,[1]List1!$A:$E,4,FALSE)=0),AB319,DAY(AB319)&amp;"."&amp;MONTH(AB319)&amp;"."&amp;YEAR(AB319)&amp;" "&amp;$V$4&amp;VLOOKUP(C319,[1]List1!$A:$E,4,FALSE)&amp;" "&amp;$V$1),AB319))))</f>
        <v>AUF LAGER</v>
      </c>
      <c r="AD319" s="778" t="str">
        <f t="shared" ca="1" si="132"/>
        <v>AUF LAGER</v>
      </c>
      <c r="AE319" s="599"/>
      <c r="AF319" s="599"/>
      <c r="AG319" s="599"/>
      <c r="AH319" s="599"/>
      <c r="AI319" s="599"/>
      <c r="AJ319" s="599"/>
      <c r="AK319" s="599"/>
      <c r="AL319" s="599"/>
      <c r="AM319" s="599"/>
      <c r="AN319" s="566"/>
      <c r="AO319" s="567" t="str">
        <f t="shared" si="121"/>
        <v/>
      </c>
      <c r="AP319" s="568" t="str">
        <f>IF(AB319=$V$3,IF(VLOOKUP(C319,[1]List1!$A:$E,5,FALSE)=0,1,VLOOKUP(C319,[1]List1!$A:$E,5,FALSE)),"")</f>
        <v/>
      </c>
      <c r="AQ319" s="292" t="str">
        <f t="shared" si="122"/>
        <v/>
      </c>
      <c r="AR319" s="618" t="str">
        <f t="shared" si="123"/>
        <v/>
      </c>
      <c r="AS319" s="292" t="str">
        <f t="shared" si="124"/>
        <v/>
      </c>
      <c r="AT319" s="377" t="e">
        <f t="shared" si="125"/>
        <v>#N/A</v>
      </c>
      <c r="AU319" s="292" t="e">
        <f t="shared" si="126"/>
        <v>#N/A</v>
      </c>
    </row>
    <row r="320" spans="1:47" ht="15" customHeight="1">
      <c r="A320" s="601" t="str">
        <f>Kat.!B318</f>
        <v/>
      </c>
      <c r="B320" s="601">
        <f t="shared" si="112"/>
        <v>1</v>
      </c>
      <c r="C320" s="783" t="s">
        <v>1173</v>
      </c>
      <c r="D320" s="783"/>
      <c r="E320" s="764"/>
      <c r="F320" s="761"/>
      <c r="G320" s="762"/>
      <c r="H320" s="595"/>
      <c r="I320" s="764"/>
      <c r="J320" s="764"/>
      <c r="K320" s="774"/>
      <c r="L320" s="764"/>
      <c r="M320" s="764"/>
      <c r="N320" s="764"/>
      <c r="O320" s="764"/>
      <c r="P320" s="764"/>
      <c r="Q320" s="764"/>
      <c r="R320" s="764"/>
      <c r="S320" s="764"/>
      <c r="T320" s="764"/>
      <c r="U320" s="764"/>
      <c r="V320" s="764"/>
      <c r="W320" s="764" t="str">
        <f>IFERROR(VLOOKUP('General price list'!$C320,Popisy!A:P,MATCH($W$17,Popisy!$A$7:$P$7,0),FALSE),"---------------")</f>
        <v>32 verschiedenfarbige Effekte</v>
      </c>
      <c r="X320" s="764" t="str">
        <f t="shared" si="131"/>
        <v/>
      </c>
      <c r="Y320" s="770">
        <f>IF(OR(AP320&lt;AA320,AND(NOT(OR(LEFT(AB320,3)="SKL",LEFT(AB320,3)=LEFT($V$2,3))),AA320&gt;0),AND('Deutsche Markt'!$AH$1=FALSE,J320="F4",AA320&gt;0)),"",AA320)</f>
        <v>0</v>
      </c>
      <c r="Z320" s="764"/>
      <c r="AA320" s="771">
        <f>'Deutsche Markt'!AA320</f>
        <v>0</v>
      </c>
      <c r="AB320" s="772" t="str">
        <f>IFERROR(IF(VLOOKUP(C320,[1]List1!$A:$D,2,FALSE)="VYPRODÁNO",$V$9,IF(VLOOKUP(C320,[1]List1!$A:$D,2,FALSE)="DOCHÁZÍ",$V$3,VLOOKUP(C320,[1]List1!$A:$D,2,FALSE))),"OFFLINE!")</f>
        <v>SKLADEM</v>
      </c>
      <c r="AC320" s="785" t="str">
        <f ca="1">IF(AO320="NE",$V$10,IF(AB320=$V$3,IF(AP320&lt;1,$V$8,$V$2&amp;" "&amp;AP320&amp;" "&amp;$V$1),IF(AB320="SKLADEM",$V$6,IFERROR(IF(OR(AB320-TODAY()&gt;21,VLOOKUP(C320,[1]List1!$A:$E,4,FALSE)=0),AB320,DAY(AB320)&amp;"."&amp;MONTH(AB320)&amp;"."&amp;YEAR(AB320)&amp;" "&amp;$V$4&amp;VLOOKUP(C320,[1]List1!$A:$E,4,FALSE)&amp;" "&amp;$V$1),AB320))))</f>
        <v>AUF LAGER</v>
      </c>
      <c r="AD320" s="785" t="str">
        <f t="shared" ca="1" si="132"/>
        <v>AUF LAGER</v>
      </c>
      <c r="AE320" s="609"/>
      <c r="AF320" s="609"/>
      <c r="AG320" s="627"/>
      <c r="AH320" s="609"/>
      <c r="AI320" s="627"/>
      <c r="AJ320" s="609"/>
      <c r="AK320" s="609"/>
      <c r="AL320" s="609"/>
      <c r="AM320" s="627"/>
      <c r="AO320" s="567" t="str">
        <f t="shared" si="121"/>
        <v/>
      </c>
      <c r="AP320" s="568" t="str">
        <f>IF(AB320=$V$3,IF(VLOOKUP(C320,[1]List1!$A:$E,5,FALSE)=0,1,VLOOKUP(C320,[1]List1!$A:$E,5,FALSE)),"")</f>
        <v/>
      </c>
      <c r="AQ320" s="292" t="str">
        <f t="shared" si="122"/>
        <v/>
      </c>
      <c r="AR320" s="618" t="str">
        <f t="shared" si="123"/>
        <v/>
      </c>
      <c r="AS320" s="292" t="str">
        <f t="shared" si="124"/>
        <v/>
      </c>
      <c r="AT320" s="377" t="e">
        <f t="shared" si="125"/>
        <v>#N/A</v>
      </c>
      <c r="AU320" s="292" t="e">
        <f t="shared" si="126"/>
        <v>#N/A</v>
      </c>
    </row>
    <row r="321" spans="1:47" ht="15" customHeight="1">
      <c r="A321" s="601" t="str">
        <f>Kat.!B319</f>
        <v/>
      </c>
      <c r="B321" s="601">
        <f t="shared" si="112"/>
        <v>1</v>
      </c>
      <c r="C321" s="758" t="s">
        <v>1178</v>
      </c>
      <c r="D321" s="795"/>
      <c r="E321" s="796"/>
      <c r="F321" s="761"/>
      <c r="G321" s="762"/>
      <c r="H321" s="596"/>
      <c r="I321" s="797"/>
      <c r="J321" s="764"/>
      <c r="K321" s="781"/>
      <c r="L321" s="766"/>
      <c r="M321" s="764"/>
      <c r="N321" s="763"/>
      <c r="O321" s="763"/>
      <c r="P321" s="763"/>
      <c r="Q321" s="764"/>
      <c r="R321" s="764"/>
      <c r="S321" s="764"/>
      <c r="T321" s="761"/>
      <c r="U321" s="768"/>
      <c r="V321" s="768"/>
      <c r="W321" s="769" t="str">
        <f>IFERROR(VLOOKUP('General price list'!$C321,Popisy!A:P,MATCH($W$17,Popisy!$A$7:$P$7,0),FALSE),"---------------")</f>
        <v>18 verschiedenfarbige Effekte</v>
      </c>
      <c r="X321" s="769" t="str">
        <f t="shared" si="131"/>
        <v/>
      </c>
      <c r="Y321" s="770">
        <f>IF(OR(AP321&lt;AA321,AND(NOT(OR(LEFT(AB321,3)="SKL",LEFT(AB321,3)=LEFT($V$2,3))),AA321&gt;0),AND('Deutsche Markt'!$AH$1=FALSE,J321="F4",AA321&gt;0)),"",AA321)</f>
        <v>0</v>
      </c>
      <c r="Z321" s="769"/>
      <c r="AA321" s="771">
        <f>'Deutsche Markt'!AA321</f>
        <v>0</v>
      </c>
      <c r="AB321" s="772" t="str">
        <f>IFERROR(IF(VLOOKUP(C321,[1]List1!$A:$D,2,FALSE)="VYPRODÁNO",$V$9,IF(VLOOKUP(C321,[1]List1!$A:$D,2,FALSE)="DOCHÁZÍ",$V$3,VLOOKUP(C321,[1]List1!$A:$D,2,FALSE))),"OFFLINE!")</f>
        <v>SKLADEM</v>
      </c>
      <c r="AC321" s="772" t="str">
        <f ca="1">IF(AO321="NE",$V$10,IF(AB321=$V$3,IF(AP321&lt;1,$V$8,$V$2&amp;" "&amp;AP321&amp;" "&amp;$V$1),IF(AB321="SKLADEM",$V$6,IFERROR(IF(OR(AB321-TODAY()&gt;21,VLOOKUP(C321,[1]List1!$A:$E,4,FALSE)=0),AB321,DAY(AB321)&amp;"."&amp;MONTH(AB321)&amp;"."&amp;YEAR(AB321)&amp;" "&amp;$V$4&amp;VLOOKUP(C321,[1]List1!$A:$E,4,FALSE)&amp;" "&amp;$V$1),AB321))))</f>
        <v>AUF LAGER</v>
      </c>
      <c r="AD321" s="772" t="str">
        <f t="shared" ca="1" si="132"/>
        <v>AUF LAGER</v>
      </c>
      <c r="AE321" s="605"/>
      <c r="AF321" s="605"/>
      <c r="AG321" s="615"/>
      <c r="AH321" s="616"/>
      <c r="AI321" s="615"/>
      <c r="AJ321" s="617"/>
      <c r="AK321" s="617"/>
      <c r="AL321" s="617"/>
      <c r="AM321" s="617"/>
      <c r="AO321" s="567" t="str">
        <f t="shared" si="121"/>
        <v/>
      </c>
      <c r="AP321" s="568" t="str">
        <f>IF(AB321=$V$3,IF(VLOOKUP(C321,[1]List1!$A:$E,5,FALSE)=0,1,VLOOKUP(C321,[1]List1!$A:$E,5,FALSE)),"")</f>
        <v/>
      </c>
      <c r="AQ321" s="292" t="str">
        <f t="shared" si="122"/>
        <v/>
      </c>
      <c r="AR321" s="618" t="str">
        <f t="shared" si="123"/>
        <v/>
      </c>
      <c r="AS321" s="292" t="str">
        <f t="shared" si="124"/>
        <v/>
      </c>
      <c r="AT321" s="377" t="e">
        <f t="shared" si="125"/>
        <v>#N/A</v>
      </c>
      <c r="AU321" s="292" t="e">
        <f t="shared" si="126"/>
        <v>#N/A</v>
      </c>
    </row>
    <row r="322" spans="1:47" ht="15" customHeight="1">
      <c r="A322" s="601" t="str">
        <f>Kat.!B320</f>
        <v/>
      </c>
      <c r="B322" s="601">
        <f t="shared" si="112"/>
        <v>1</v>
      </c>
      <c r="C322" s="775" t="s">
        <v>2350</v>
      </c>
      <c r="D322" s="776"/>
      <c r="E322" s="760"/>
      <c r="F322" s="761"/>
      <c r="G322" s="762"/>
      <c r="H322" s="596"/>
      <c r="I322" s="763"/>
      <c r="J322" s="764"/>
      <c r="K322" s="774"/>
      <c r="L322" s="766"/>
      <c r="M322" s="764"/>
      <c r="N322" s="798"/>
      <c r="O322" s="798"/>
      <c r="P322" s="763"/>
      <c r="Q322" s="764"/>
      <c r="R322" s="764"/>
      <c r="S322" s="764"/>
      <c r="T322" s="764"/>
      <c r="U322" s="768"/>
      <c r="V322" s="768"/>
      <c r="W322" s="769" t="str">
        <f>IFERROR(VLOOKUP('General price list'!$C322,Popisy!A:P,MATCH($W$17,Popisy!$A$7:$P$7,0),FALSE),"---------------")</f>
        <v>40 verschiedenfarbige Effekte</v>
      </c>
      <c r="X322" s="769" t="str">
        <f t="shared" si="131"/>
        <v/>
      </c>
      <c r="Y322" s="770">
        <f>IF(OR(AP322&lt;AA322,AND(NOT(OR(LEFT(AB322,3)="SKL",LEFT(AB322,3)=LEFT($V$2,3))),AA322&gt;0),AND('Deutsche Markt'!$AH$1=FALSE,J322="F4",AA322&gt;0)),"",AA322)</f>
        <v>0</v>
      </c>
      <c r="Z322" s="769"/>
      <c r="AA322" s="771">
        <f>'Deutsche Markt'!AA322</f>
        <v>0</v>
      </c>
      <c r="AB322" s="772" t="str">
        <f>IFERROR(IF(VLOOKUP(C322,[1]List1!$A:$D,2,FALSE)="VYPRODÁNO",$V$9,IF(VLOOKUP(C322,[1]List1!$A:$D,2,FALSE)="DOCHÁZÍ",$V$3,VLOOKUP(C322,[1]List1!$A:$D,2,FALSE))),"OFFLINE!")</f>
        <v>15.06.2024</v>
      </c>
      <c r="AC322" s="772" t="str">
        <f ca="1">IF(AO322="NE",$V$10,IF(AB322=$V$3,IF(AP322&lt;1,$V$8,$V$2&amp;" "&amp;AP322&amp;" "&amp;$V$1),IF(AB322="SKLADEM",$V$6,IFERROR(IF(OR(AB322-TODAY()&gt;21,VLOOKUP(C322,[1]List1!$A:$E,4,FALSE)=0),AB322,DAY(AB322)&amp;"."&amp;MONTH(AB322)&amp;"."&amp;YEAR(AB322)&amp;" "&amp;$V$4&amp;VLOOKUP(C322,[1]List1!$A:$E,4,FALSE)&amp;" "&amp;$V$1),AB322))))</f>
        <v>15.06.2024</v>
      </c>
      <c r="AD322" s="772" t="str">
        <f t="shared" ca="1" si="132"/>
        <v>15.06.2024</v>
      </c>
      <c r="AE322" s="605"/>
      <c r="AF322" s="605"/>
      <c r="AG322" s="615"/>
      <c r="AH322" s="616"/>
      <c r="AI322" s="615"/>
      <c r="AJ322" s="617"/>
      <c r="AK322" s="617"/>
      <c r="AL322" s="617"/>
      <c r="AM322" s="617"/>
      <c r="AN322" s="292"/>
      <c r="AO322" s="567" t="str">
        <f t="shared" si="121"/>
        <v/>
      </c>
      <c r="AP322" s="568" t="str">
        <f>IF(AB322=$V$3,IF(VLOOKUP(C322,[1]List1!$A:$E,5,FALSE)=0,1,VLOOKUP(C322,[1]List1!$A:$E,5,FALSE)),"")</f>
        <v/>
      </c>
      <c r="AQ322" s="292" t="str">
        <f t="shared" si="122"/>
        <v/>
      </c>
      <c r="AR322" s="618" t="str">
        <f t="shared" si="123"/>
        <v/>
      </c>
      <c r="AS322" s="292" t="str">
        <f t="shared" si="124"/>
        <v/>
      </c>
      <c r="AT322" s="377" t="e">
        <f t="shared" si="125"/>
        <v>#N/A</v>
      </c>
      <c r="AU322" s="292" t="e">
        <f t="shared" si="126"/>
        <v>#N/A</v>
      </c>
    </row>
    <row r="323" spans="1:47" ht="15" customHeight="1">
      <c r="A323" s="601" t="str">
        <f>Kat.!B321</f>
        <v/>
      </c>
      <c r="B323" s="601">
        <f t="shared" si="112"/>
        <v>0</v>
      </c>
      <c r="C323" s="783"/>
      <c r="D323" s="776"/>
      <c r="E323" s="760"/>
      <c r="F323" s="761"/>
      <c r="G323" s="762"/>
      <c r="H323" s="596"/>
      <c r="I323" s="763"/>
      <c r="J323" s="764"/>
      <c r="K323" s="781"/>
      <c r="L323" s="766"/>
      <c r="M323" s="764"/>
      <c r="N323" s="798"/>
      <c r="O323" s="798"/>
      <c r="P323" s="763"/>
      <c r="Q323" s="764"/>
      <c r="R323" s="764"/>
      <c r="S323" s="764"/>
      <c r="T323" s="764"/>
      <c r="U323" s="768"/>
      <c r="V323" s="768"/>
      <c r="W323" s="769" t="str">
        <f>IFERROR(VLOOKUP('General price list'!$C323,Popisy!A:P,MATCH($W$17,Popisy!$A$7:$P$7,0),FALSE),"---------------")</f>
        <v>---------------</v>
      </c>
      <c r="X323" s="769" t="str">
        <f t="shared" si="131"/>
        <v/>
      </c>
      <c r="Y323" s="770">
        <f>IF(OR(AP323&lt;AA323,AND(NOT(OR(LEFT(AB323,3)="SKL",LEFT(AB323,3)=LEFT($V$2,3))),AA323&gt;0),AND('Deutsche Markt'!$AH$1=FALSE,J323="F4",AA323&gt;0)),"",AA323)</f>
        <v>0</v>
      </c>
      <c r="Z323" s="769"/>
      <c r="AA323" s="771">
        <f>'Deutsche Markt'!AA323</f>
        <v>0</v>
      </c>
      <c r="AB323" s="772" t="str">
        <f>IFERROR(IF(VLOOKUP(C323,[1]List1!$A:$D,2,FALSE)="VYPRODÁNO",$V$9,IF(VLOOKUP(C323,[1]List1!$A:$D,2,FALSE)="DOCHÁZÍ",$V$3,VLOOKUP(C323,[1]List1!$A:$D,2,FALSE))),"OFFLINE!")</f>
        <v>OFFLINE!</v>
      </c>
      <c r="AC323" s="772" t="str">
        <f ca="1">IF(AO323="NE",$V$10,IF(AB323=$V$3,IF(AP323&lt;1,$V$8,$V$2&amp;" "&amp;AP323&amp;" "&amp;$V$1),IF(AB323="SKLADEM",$V$6,IFERROR(IF(OR(AB323-TODAY()&gt;21,VLOOKUP(C323,[1]List1!$A:$E,4,FALSE)=0),AB323,DAY(AB323)&amp;"."&amp;MONTH(AB323)&amp;"."&amp;YEAR(AB323)&amp;" "&amp;$V$4&amp;VLOOKUP(C323,[1]List1!$A:$E,4,FALSE)&amp;" "&amp;$V$1),AB323))))</f>
        <v>OFFLINE!</v>
      </c>
      <c r="AD323" s="772" t="str">
        <f t="shared" ca="1" si="132"/>
        <v>OFFLINE!</v>
      </c>
      <c r="AE323" s="605"/>
      <c r="AF323" s="605"/>
      <c r="AG323" s="615"/>
      <c r="AH323" s="616"/>
      <c r="AI323" s="615"/>
      <c r="AJ323" s="617"/>
      <c r="AK323" s="617"/>
      <c r="AL323" s="617"/>
      <c r="AM323" s="617"/>
      <c r="AO323" s="567" t="str">
        <f t="shared" si="121"/>
        <v/>
      </c>
      <c r="AP323" s="568" t="str">
        <f>IF(AB323=$V$3,IF(VLOOKUP(C323,[1]List1!$A:$E,5,FALSE)=0,1,VLOOKUP(C323,[1]List1!$A:$E,5,FALSE)),"")</f>
        <v/>
      </c>
      <c r="AQ323" s="292" t="str">
        <f t="shared" si="122"/>
        <v/>
      </c>
      <c r="AR323" s="618" t="str">
        <f t="shared" si="123"/>
        <v/>
      </c>
      <c r="AS323" s="292" t="str">
        <f t="shared" si="124"/>
        <v/>
      </c>
      <c r="AT323" s="377" t="e">
        <f t="shared" si="125"/>
        <v>#N/A</v>
      </c>
      <c r="AU323" s="292" t="e">
        <f t="shared" si="126"/>
        <v>#N/A</v>
      </c>
    </row>
    <row r="324" spans="1:47" ht="15" customHeight="1">
      <c r="A324" s="601" t="str">
        <f>Kat.!B322</f>
        <v/>
      </c>
      <c r="B324" s="601">
        <f t="shared" si="112"/>
        <v>1</v>
      </c>
      <c r="C324" s="775" t="s">
        <v>1205</v>
      </c>
      <c r="D324" s="776"/>
      <c r="E324" s="760"/>
      <c r="F324" s="761"/>
      <c r="G324" s="762"/>
      <c r="H324" s="596"/>
      <c r="I324" s="763"/>
      <c r="J324" s="764"/>
      <c r="K324" s="774"/>
      <c r="L324" s="766"/>
      <c r="M324" s="764"/>
      <c r="N324" s="798"/>
      <c r="O324" s="798"/>
      <c r="P324" s="763"/>
      <c r="Q324" s="764"/>
      <c r="R324" s="764"/>
      <c r="S324" s="764"/>
      <c r="T324" s="764"/>
      <c r="U324" s="768"/>
      <c r="V324" s="768"/>
      <c r="W324" s="769" t="str">
        <f>IFERROR(VLOOKUP('General price list'!$C324,Popisy!A:P,MATCH($W$17,Popisy!$A$7:$P$7,0),FALSE),"---------------")</f>
        <v>4 verschiedenfarbige Effekte</v>
      </c>
      <c r="X324" s="769" t="str">
        <f t="shared" si="131"/>
        <v/>
      </c>
      <c r="Y324" s="770">
        <f>IF(OR(AP324&lt;AA324,AND(NOT(OR(LEFT(AB324,3)="SKL",LEFT(AB324,3)=LEFT($V$2,3))),AA324&gt;0),AND('Deutsche Markt'!$AH$1=FALSE,J324="F4",AA324&gt;0)),"",AA324)</f>
        <v>0</v>
      </c>
      <c r="Z324" s="769"/>
      <c r="AA324" s="771">
        <f>'Deutsche Markt'!AA324</f>
        <v>0</v>
      </c>
      <c r="AB324" s="772" t="str">
        <f>IFERROR(IF(VLOOKUP(C324,[1]List1!$A:$D,2,FALSE)="VYPRODÁNO",$V$9,IF(VLOOKUP(C324,[1]List1!$A:$D,2,FALSE)="DOCHÁZÍ",$V$3,VLOOKUP(C324,[1]List1!$A:$D,2,FALSE))),"OFFLINE!")</f>
        <v>SKLADEM</v>
      </c>
      <c r="AC324" s="772" t="str">
        <f ca="1">IF(AO324="NE",$V$10,IF(AB324=$V$3,IF(AP324&lt;1,$V$8,$V$2&amp;" "&amp;AP324&amp;" "&amp;$V$1),IF(AB324="SKLADEM",$V$6,IFERROR(IF(OR(AB324-TODAY()&gt;21,VLOOKUP(C324,[1]List1!$A:$E,4,FALSE)=0),AB324,DAY(AB324)&amp;"."&amp;MONTH(AB324)&amp;"."&amp;YEAR(AB324)&amp;" "&amp;$V$4&amp;VLOOKUP(C324,[1]List1!$A:$E,4,FALSE)&amp;" "&amp;$V$1),AB324))))</f>
        <v>AUF LAGER</v>
      </c>
      <c r="AD324" s="772" t="str">
        <f t="shared" ca="1" si="132"/>
        <v>AUF LAGER</v>
      </c>
      <c r="AE324" s="605"/>
      <c r="AF324" s="605"/>
      <c r="AG324" s="615"/>
      <c r="AH324" s="616"/>
      <c r="AI324" s="615"/>
      <c r="AJ324" s="617"/>
      <c r="AK324" s="617"/>
      <c r="AL324" s="617"/>
      <c r="AM324" s="617"/>
      <c r="AO324" s="567" t="str">
        <f t="shared" si="121"/>
        <v/>
      </c>
      <c r="AP324" s="568" t="str">
        <f>IF(AB324=$V$3,IF(VLOOKUP(C324,[1]List1!$A:$E,5,FALSE)=0,1,VLOOKUP(C324,[1]List1!$A:$E,5,FALSE)),"")</f>
        <v/>
      </c>
      <c r="AQ324" s="292" t="str">
        <f t="shared" si="122"/>
        <v/>
      </c>
      <c r="AR324" s="618" t="str">
        <f t="shared" si="123"/>
        <v/>
      </c>
      <c r="AS324" s="292" t="str">
        <f t="shared" si="124"/>
        <v/>
      </c>
      <c r="AT324" s="377" t="e">
        <f t="shared" si="125"/>
        <v>#N/A</v>
      </c>
      <c r="AU324" s="292" t="e">
        <f t="shared" si="126"/>
        <v>#N/A</v>
      </c>
    </row>
    <row r="325" spans="1:47" ht="15" customHeight="1">
      <c r="A325" s="601" t="str">
        <f>Kat.!B323</f>
        <v>Batterien 16 schuss, 25mm Mörser-1.3G</v>
      </c>
      <c r="B325" s="601">
        <f t="shared" si="112"/>
        <v>1</v>
      </c>
      <c r="C325" s="783" t="s">
        <v>1207</v>
      </c>
      <c r="D325" s="776"/>
      <c r="E325" s="760"/>
      <c r="F325" s="761"/>
      <c r="G325" s="762"/>
      <c r="H325" s="596"/>
      <c r="I325" s="763"/>
      <c r="J325" s="764"/>
      <c r="K325" s="781"/>
      <c r="L325" s="766"/>
      <c r="M325" s="764"/>
      <c r="N325" s="798"/>
      <c r="O325" s="798"/>
      <c r="P325" s="763"/>
      <c r="Q325" s="764"/>
      <c r="R325" s="764"/>
      <c r="S325" s="764"/>
      <c r="T325" s="764"/>
      <c r="U325" s="768"/>
      <c r="V325" s="768"/>
      <c r="W325" s="769" t="str">
        <f>IFERROR(VLOOKUP('General price list'!$C325,Popisy!A:P,MATCH($W$17,Popisy!$A$7:$P$7,0),FALSE),"---------------")</f>
        <v>4 verschiedenfarbige Effekte</v>
      </c>
      <c r="X325" s="769" t="str">
        <f t="shared" si="131"/>
        <v/>
      </c>
      <c r="Y325" s="770">
        <f>IF(OR(AP325&lt;AA325,AND(NOT(OR(LEFT(AB325,3)="SKL",LEFT(AB325,3)=LEFT($V$2,3))),AA325&gt;0),AND('Deutsche Markt'!$AH$1=FALSE,J325="F4",AA325&gt;0)),"",AA325)</f>
        <v>0</v>
      </c>
      <c r="Z325" s="769"/>
      <c r="AA325" s="771">
        <f>'Deutsche Markt'!AA325</f>
        <v>0</v>
      </c>
      <c r="AB325" s="772" t="str">
        <f>IFERROR(IF(VLOOKUP(C325,[1]List1!$A:$D,2,FALSE)="VYPRODÁNO",$V$9,IF(VLOOKUP(C325,[1]List1!$A:$D,2,FALSE)="DOCHÁZÍ",$V$3,VLOOKUP(C325,[1]List1!$A:$D,2,FALSE))),"OFFLINE!")</f>
        <v>SKLADEM</v>
      </c>
      <c r="AC325" s="772" t="str">
        <f ca="1">IF(AO325="NE",$V$10,IF(AB325=$V$3,IF(AP325&lt;1,$V$8,$V$2&amp;" "&amp;AP325&amp;" "&amp;$V$1),IF(AB325="SKLADEM",$V$6,IFERROR(IF(OR(AB325-TODAY()&gt;21,VLOOKUP(C325,[1]List1!$A:$E,4,FALSE)=0),AB325,DAY(AB325)&amp;"."&amp;MONTH(AB325)&amp;"."&amp;YEAR(AB325)&amp;" "&amp;$V$4&amp;VLOOKUP(C325,[1]List1!$A:$E,4,FALSE)&amp;" "&amp;$V$1),AB325))))</f>
        <v>AUF LAGER</v>
      </c>
      <c r="AD325" s="772" t="str">
        <f t="shared" ca="1" si="132"/>
        <v>AUF LAGER</v>
      </c>
      <c r="AE325" s="605"/>
      <c r="AF325" s="605"/>
      <c r="AG325" s="615"/>
      <c r="AH325" s="616"/>
      <c r="AI325" s="615"/>
      <c r="AJ325" s="617"/>
      <c r="AK325" s="617"/>
      <c r="AL325" s="617"/>
      <c r="AM325" s="617"/>
      <c r="AO325" s="567" t="str">
        <f t="shared" si="121"/>
        <v/>
      </c>
      <c r="AP325" s="568" t="str">
        <f>IF(AB325=$V$3,IF(VLOOKUP(C325,[1]List1!$A:$E,5,FALSE)=0,1,VLOOKUP(C325,[1]List1!$A:$E,5,FALSE)),"")</f>
        <v/>
      </c>
      <c r="AQ325" s="292" t="str">
        <f t="shared" si="122"/>
        <v/>
      </c>
      <c r="AR325" s="618" t="str">
        <f t="shared" si="123"/>
        <v/>
      </c>
      <c r="AS325" s="292" t="str">
        <f t="shared" si="124"/>
        <v/>
      </c>
      <c r="AT325" s="377" t="e">
        <f t="shared" si="125"/>
        <v>#N/A</v>
      </c>
      <c r="AU325" s="292" t="e">
        <f t="shared" si="126"/>
        <v>#N/A</v>
      </c>
    </row>
    <row r="326" spans="1:47" ht="15" customHeight="1">
      <c r="A326" s="601" t="str">
        <f>Kat.!$B$1&amp;Kat.!B324</f>
        <v/>
      </c>
      <c r="B326" s="601">
        <f t="shared" si="112"/>
        <v>1</v>
      </c>
      <c r="C326" s="602" t="s">
        <v>1209</v>
      </c>
      <c r="D326" s="235"/>
      <c r="E326" s="604"/>
      <c r="F326" s="605"/>
      <c r="G326" s="606"/>
      <c r="H326" s="607"/>
      <c r="I326" s="608"/>
      <c r="J326" s="609"/>
      <c r="K326" s="708"/>
      <c r="L326" s="611"/>
      <c r="M326" s="609"/>
      <c r="N326" s="637"/>
      <c r="O326" s="637"/>
      <c r="P326" s="608"/>
      <c r="Q326" s="609"/>
      <c r="R326" s="609"/>
      <c r="S326" s="609"/>
      <c r="T326" s="609"/>
      <c r="U326" s="613"/>
      <c r="V326" s="613"/>
      <c r="W326" s="601" t="str">
        <f>IFERROR(VLOOKUP('General price list'!$C326,Popisy!A:P,MATCH($W$17,Popisy!$A$7:$P$7,0),FALSE),"---------------")</f>
        <v>4 verschiedenfarbige Effekte</v>
      </c>
      <c r="X326" s="601" t="str">
        <f t="shared" si="131"/>
        <v/>
      </c>
      <c r="Y326" s="770">
        <f>IF(OR(AP326&lt;AA326,AND(NOT(OR(LEFT(AB326,3)="SKL",LEFT(AB326,3)=LEFT($V$2,3))),AA326&gt;0),AND('Deutsche Markt'!$AH$1=FALSE,J326="F4",AA326&gt;0)),"",AA326)</f>
        <v>0</v>
      </c>
      <c r="Z326" s="601"/>
      <c r="AA326" s="771">
        <f>'Deutsche Markt'!AA326</f>
        <v>0</v>
      </c>
      <c r="AB326" s="614" t="str">
        <f>IFERROR(IF(VLOOKUP(C326,[1]List1!$A:$D,2,FALSE)="VYPRODÁNO",$V$9,IF(VLOOKUP(C326,[1]List1!$A:$D,2,FALSE)="DOCHÁZÍ",$V$3,VLOOKUP(C326,[1]List1!$A:$D,2,FALSE))),"OFFLINE!")</f>
        <v>SKLADEM</v>
      </c>
      <c r="AC326" s="614" t="str">
        <f ca="1">IF(AO326="NE",$V$10,IF(AB326=$V$3,IF(AP326&lt;1,$V$8,$V$2&amp;" "&amp;AP326&amp;" "&amp;$V$1),IF(AB326="SKLADEM",$V$6,IFERROR(IF(OR(AB326-TODAY()&gt;21,VLOOKUP(C326,[1]List1!$A:$E,4,FALSE)=0),AB326,DAY(AB326)&amp;"."&amp;MONTH(AB326)&amp;"."&amp;YEAR(AB326)&amp;" "&amp;$V$4&amp;VLOOKUP(C326,[1]List1!$A:$E,4,FALSE)&amp;" "&amp;$V$1),AB326))))</f>
        <v>AUF LAGER</v>
      </c>
      <c r="AD326" s="614" t="str">
        <f t="shared" ca="1" si="132"/>
        <v>AUF LAGER</v>
      </c>
      <c r="AE326" s="605"/>
      <c r="AF326" s="605"/>
      <c r="AG326" s="615"/>
      <c r="AH326" s="616"/>
      <c r="AI326" s="615"/>
      <c r="AJ326" s="617"/>
      <c r="AK326" s="617"/>
      <c r="AL326" s="617"/>
      <c r="AM326" s="617"/>
      <c r="AO326" s="567" t="str">
        <f t="shared" si="121"/>
        <v/>
      </c>
      <c r="AP326" s="568" t="str">
        <f>IF(AB326=$V$3,IF(VLOOKUP(C326,[1]List1!$A:$E,5,FALSE)=0,1,VLOOKUP(C326,[1]List1!$A:$E,5,FALSE)),"")</f>
        <v/>
      </c>
      <c r="AQ326" s="292" t="str">
        <f t="shared" si="122"/>
        <v/>
      </c>
      <c r="AR326" s="618" t="str">
        <f t="shared" si="123"/>
        <v/>
      </c>
      <c r="AS326" s="292" t="str">
        <f t="shared" si="124"/>
        <v/>
      </c>
      <c r="AT326" s="377" t="e">
        <f t="shared" si="125"/>
        <v>#N/A</v>
      </c>
      <c r="AU326" s="292" t="e">
        <f t="shared" si="126"/>
        <v>#N/A</v>
      </c>
    </row>
    <row r="327" spans="1:47" ht="15" customHeight="1">
      <c r="A327" s="601" t="str">
        <f>Kat.!B325</f>
        <v/>
      </c>
      <c r="B327" s="601">
        <f t="shared" si="112"/>
        <v>1</v>
      </c>
      <c r="C327" s="758" t="s">
        <v>1211</v>
      </c>
      <c r="D327" s="776"/>
      <c r="E327" s="760"/>
      <c r="F327" s="761"/>
      <c r="G327" s="762"/>
      <c r="H327" s="596"/>
      <c r="I327" s="763"/>
      <c r="J327" s="764"/>
      <c r="K327" s="781"/>
      <c r="L327" s="766"/>
      <c r="M327" s="764"/>
      <c r="N327" s="798"/>
      <c r="O327" s="798"/>
      <c r="P327" s="763"/>
      <c r="Q327" s="764"/>
      <c r="R327" s="764"/>
      <c r="S327" s="764"/>
      <c r="T327" s="764"/>
      <c r="U327" s="768"/>
      <c r="V327" s="768"/>
      <c r="W327" s="769" t="str">
        <f>IFERROR(VLOOKUP('General price list'!$C327,Popisy!A:P,MATCH($W$17,Popisy!$A$7:$P$7,0),FALSE),"---------------")</f>
        <v>4 verschiedenfarbige Effekte</v>
      </c>
      <c r="X327" s="769" t="str">
        <f t="shared" si="131"/>
        <v/>
      </c>
      <c r="Y327" s="770">
        <f>IF(OR(AP327&lt;AA327,AND(NOT(OR(LEFT(AB327,3)="SKL",LEFT(AB327,3)=LEFT($V$2,3))),AA327&gt;0),AND('Deutsche Markt'!$AH$1=FALSE,J327="F4",AA327&gt;0)),"",AA327)</f>
        <v>0</v>
      </c>
      <c r="Z327" s="769"/>
      <c r="AA327" s="771">
        <f>'Deutsche Markt'!AA327</f>
        <v>0</v>
      </c>
      <c r="AB327" s="772" t="str">
        <f>IFERROR(IF(VLOOKUP(C327,[1]List1!$A:$D,2,FALSE)="VYPRODÁNO",$V$9,IF(VLOOKUP(C327,[1]List1!$A:$D,2,FALSE)="DOCHÁZÍ",$V$3,VLOOKUP(C327,[1]List1!$A:$D,2,FALSE))),"OFFLINE!")</f>
        <v>LETZTE STÜCKE</v>
      </c>
      <c r="AC327" s="772" t="str">
        <f ca="1">IF(AO327="NE",$V$10,IF(AB327=$V$3,IF(AP327&lt;1,$V$8,$V$2&amp;" "&amp;AP327&amp;" "&amp;$V$1),IF(AB327="SKLADEM",$V$6,IFERROR(IF(OR(AB327-TODAY()&gt;21,VLOOKUP(C327,[1]List1!$A:$E,4,FALSE)=0),AB327,DAY(AB327)&amp;"."&amp;MONTH(AB327)&amp;"."&amp;YEAR(AB327)&amp;" "&amp;$V$4&amp;VLOOKUP(C327,[1]List1!$A:$E,4,FALSE)&amp;" "&amp;$V$1),AB327))))</f>
        <v>LETZTE 14 KTN</v>
      </c>
      <c r="AD327" s="772" t="str">
        <f t="shared" ca="1" si="132"/>
        <v>LETZTE 14 KTN</v>
      </c>
      <c r="AE327" s="605"/>
      <c r="AF327" s="605"/>
      <c r="AG327" s="615"/>
      <c r="AH327" s="616"/>
      <c r="AI327" s="615"/>
      <c r="AJ327" s="617"/>
      <c r="AK327" s="617"/>
      <c r="AL327" s="617"/>
      <c r="AM327" s="617"/>
      <c r="AN327" s="292"/>
      <c r="AO327" s="567" t="str">
        <f t="shared" si="121"/>
        <v/>
      </c>
      <c r="AP327" s="568">
        <f>IF(AB327=$V$3,IF(VLOOKUP(C327,[1]List1!$A:$E,5,FALSE)=0,1,VLOOKUP(C327,[1]List1!$A:$E,5,FALSE)),"")</f>
        <v>14</v>
      </c>
      <c r="AQ327" s="292" t="str">
        <f t="shared" si="122"/>
        <v/>
      </c>
      <c r="AR327" s="618" t="str">
        <f t="shared" si="123"/>
        <v/>
      </c>
      <c r="AS327" s="292" t="str">
        <f t="shared" si="124"/>
        <v/>
      </c>
      <c r="AT327" s="377" t="e">
        <f t="shared" si="125"/>
        <v>#N/A</v>
      </c>
      <c r="AU327" s="292" t="e">
        <f t="shared" si="126"/>
        <v>#N/A</v>
      </c>
    </row>
    <row r="328" spans="1:47" ht="15" customHeight="1">
      <c r="A328" s="601" t="str">
        <f>Kat.!$B$1&amp;Kat.!B326</f>
        <v/>
      </c>
      <c r="B328" s="601">
        <f t="shared" si="112"/>
        <v>0</v>
      </c>
      <c r="C328" s="602"/>
      <c r="D328" s="235"/>
      <c r="E328" s="604"/>
      <c r="F328" s="605"/>
      <c r="G328" s="606"/>
      <c r="H328" s="607"/>
      <c r="I328" s="608"/>
      <c r="J328" s="609"/>
      <c r="K328" s="708"/>
      <c r="L328" s="611"/>
      <c r="M328" s="609"/>
      <c r="N328" s="637"/>
      <c r="O328" s="637"/>
      <c r="P328" s="608"/>
      <c r="Q328" s="609"/>
      <c r="R328" s="609"/>
      <c r="S328" s="609"/>
      <c r="T328" s="609"/>
      <c r="U328" s="613"/>
      <c r="V328" s="613"/>
      <c r="W328" s="601" t="str">
        <f>IFERROR(VLOOKUP('General price list'!$C328,Popisy!A:P,MATCH($W$17,Popisy!$A$7:$P$7,0),FALSE),"---------------")</f>
        <v>---------------</v>
      </c>
      <c r="X328" s="601" t="str">
        <f t="shared" ref="X328:X345" si="133">IF(AA328&lt;0.0001,"",AA328)</f>
        <v/>
      </c>
      <c r="Y328" s="770">
        <f>IF(OR(AP328&lt;AA328,AND(NOT(OR(LEFT(AB328,3)="SKL",LEFT(AB328,3)=LEFT($V$2,3))),AA328&gt;0),AND('Deutsche Markt'!$AH$1=FALSE,J328="F4",AA328&gt;0)),"",AA328)</f>
        <v>0</v>
      </c>
      <c r="Z328" s="601"/>
      <c r="AA328" s="771">
        <f>'Deutsche Markt'!AA328</f>
        <v>0</v>
      </c>
      <c r="AB328" s="614" t="str">
        <f>IFERROR(IF(VLOOKUP(C328,[1]List1!$A:$D,2,FALSE)="VYPRODÁNO",$V$9,IF(VLOOKUP(C328,[1]List1!$A:$D,2,FALSE)="DOCHÁZÍ",$V$3,VLOOKUP(C328,[1]List1!$A:$D,2,FALSE))),"OFFLINE!")</f>
        <v>OFFLINE!</v>
      </c>
      <c r="AC328" s="614" t="str">
        <f ca="1">IF(AO328="NE",$V$10,IF(AB328=$V$3,IF(AP328&lt;1,$V$8,$V$2&amp;" "&amp;AP328&amp;" "&amp;$V$1),IF(AB328="SKLADEM",$V$6,IFERROR(IF(OR(AB328-TODAY()&gt;21,VLOOKUP(C328,[1]List1!$A:$E,4,FALSE)=0),AB328,DAY(AB328)&amp;"."&amp;MONTH(AB328)&amp;"."&amp;YEAR(AB328)&amp;" "&amp;$V$4&amp;VLOOKUP(C328,[1]List1!$A:$E,4,FALSE)&amp;" "&amp;$V$1),AB328))))</f>
        <v>OFFLINE!</v>
      </c>
      <c r="AD328" s="614" t="str">
        <f t="shared" ref="AD328:AD345" ca="1" si="134">IFERROR(IF(AU328&lt;&gt;"",AU328,AC328),AC328)</f>
        <v>OFFLINE!</v>
      </c>
      <c r="AE328" s="605"/>
      <c r="AF328" s="605"/>
      <c r="AG328" s="615"/>
      <c r="AH328" s="616"/>
      <c r="AI328" s="615"/>
      <c r="AJ328" s="617"/>
      <c r="AK328" s="617"/>
      <c r="AL328" s="617"/>
      <c r="AM328" s="617"/>
      <c r="AO328" s="567" t="str">
        <f t="shared" si="121"/>
        <v/>
      </c>
      <c r="AP328" s="568" t="str">
        <f>IF(AB328=$V$3,IF(VLOOKUP(C328,[1]List1!$A:$E,5,FALSE)=0,1,VLOOKUP(C328,[1]List1!$A:$E,5,FALSE)),"")</f>
        <v/>
      </c>
      <c r="AQ328" s="292" t="str">
        <f t="shared" si="122"/>
        <v/>
      </c>
      <c r="AR328" s="618" t="str">
        <f t="shared" si="123"/>
        <v/>
      </c>
      <c r="AS328" s="292" t="str">
        <f t="shared" si="124"/>
        <v/>
      </c>
      <c r="AT328" s="377" t="e">
        <f t="shared" si="125"/>
        <v>#N/A</v>
      </c>
      <c r="AU328" s="292" t="e">
        <f t="shared" si="126"/>
        <v>#N/A</v>
      </c>
    </row>
    <row r="329" spans="1:47" ht="15" customHeight="1">
      <c r="A329" s="601" t="str">
        <f>Kat.!B327</f>
        <v/>
      </c>
      <c r="B329" s="601">
        <f t="shared" si="112"/>
        <v>1</v>
      </c>
      <c r="C329" s="758" t="s">
        <v>1213</v>
      </c>
      <c r="D329" s="776"/>
      <c r="E329" s="760"/>
      <c r="F329" s="761"/>
      <c r="G329" s="762"/>
      <c r="H329" s="596"/>
      <c r="I329" s="763"/>
      <c r="J329" s="764"/>
      <c r="K329" s="781"/>
      <c r="L329" s="766"/>
      <c r="M329" s="764"/>
      <c r="N329" s="798"/>
      <c r="O329" s="798"/>
      <c r="P329" s="763"/>
      <c r="Q329" s="764"/>
      <c r="R329" s="764"/>
      <c r="S329" s="764"/>
      <c r="T329" s="764"/>
      <c r="U329" s="768"/>
      <c r="V329" s="768"/>
      <c r="W329" s="769" t="str">
        <f>IFERROR(VLOOKUP('General price list'!$C329,Popisy!A:P,MATCH($W$17,Popisy!$A$7:$P$7,0),FALSE),"---------------")</f>
        <v>4 verschiedenfarbige Effekte</v>
      </c>
      <c r="X329" s="769" t="str">
        <f t="shared" si="133"/>
        <v/>
      </c>
      <c r="Y329" s="770">
        <f>IF(OR(AP329&lt;AA329,AND(NOT(OR(LEFT(AB329,3)="SKL",LEFT(AB329,3)=LEFT($V$2,3))),AA329&gt;0),AND('Deutsche Markt'!$AH$1=FALSE,J329="F4",AA329&gt;0)),"",AA329)</f>
        <v>0</v>
      </c>
      <c r="Z329" s="769"/>
      <c r="AA329" s="771">
        <f>'Deutsche Markt'!AA329</f>
        <v>0</v>
      </c>
      <c r="AB329" s="772" t="str">
        <f>IFERROR(IF(VLOOKUP(C329,[1]List1!$A:$D,2,FALSE)="VYPRODÁNO",$V$9,IF(VLOOKUP(C329,[1]List1!$A:$D,2,FALSE)="DOCHÁZÍ",$V$3,VLOOKUP(C329,[1]List1!$A:$D,2,FALSE))),"OFFLINE!")</f>
        <v>SKLADEM</v>
      </c>
      <c r="AC329" s="772" t="str">
        <f ca="1">IF(AO329="NE",$V$10,IF(AB329=$V$3,IF(AP329&lt;1,$V$8,$V$2&amp;" "&amp;AP329&amp;" "&amp;$V$1),IF(AB329="SKLADEM",$V$6,IFERROR(IF(OR(AB329-TODAY()&gt;21,VLOOKUP(C329,[1]List1!$A:$E,4,FALSE)=0),AB329,DAY(AB329)&amp;"."&amp;MONTH(AB329)&amp;"."&amp;YEAR(AB329)&amp;" "&amp;$V$4&amp;VLOOKUP(C329,[1]List1!$A:$E,4,FALSE)&amp;" "&amp;$V$1),AB329))))</f>
        <v>AUF LAGER</v>
      </c>
      <c r="AD329" s="772" t="str">
        <f t="shared" ca="1" si="134"/>
        <v>AUF LAGER</v>
      </c>
      <c r="AE329" s="605"/>
      <c r="AF329" s="605"/>
      <c r="AG329" s="615"/>
      <c r="AH329" s="616"/>
      <c r="AI329" s="615"/>
      <c r="AJ329" s="617"/>
      <c r="AK329" s="617"/>
      <c r="AL329" s="617"/>
      <c r="AM329" s="617"/>
      <c r="AO329" s="567" t="str">
        <f t="shared" si="121"/>
        <v/>
      </c>
      <c r="AP329" s="568" t="str">
        <f>IF(AB329=$V$3,IF(VLOOKUP(C329,[1]List1!$A:$E,5,FALSE)=0,1,VLOOKUP(C329,[1]List1!$A:$E,5,FALSE)),"")</f>
        <v/>
      </c>
      <c r="AQ329" s="292" t="str">
        <f t="shared" si="122"/>
        <v/>
      </c>
      <c r="AR329" s="618" t="str">
        <f t="shared" si="123"/>
        <v/>
      </c>
      <c r="AS329" s="292" t="str">
        <f t="shared" si="124"/>
        <v/>
      </c>
      <c r="AT329" s="377" t="e">
        <f t="shared" si="125"/>
        <v>#N/A</v>
      </c>
      <c r="AU329" s="292" t="e">
        <f t="shared" si="126"/>
        <v>#N/A</v>
      </c>
    </row>
    <row r="330" spans="1:47" ht="15" customHeight="1">
      <c r="A330" s="601" t="str">
        <f>Kat.!B328</f>
        <v>Batterien 16 schuss, 25mm Mörser-1.4G</v>
      </c>
      <c r="B330" s="601">
        <f t="shared" si="112"/>
        <v>1</v>
      </c>
      <c r="C330" s="783" t="s">
        <v>1214</v>
      </c>
      <c r="D330" s="783"/>
      <c r="E330" s="764"/>
      <c r="F330" s="761"/>
      <c r="G330" s="762"/>
      <c r="H330" s="595"/>
      <c r="I330" s="764"/>
      <c r="J330" s="764"/>
      <c r="K330" s="774"/>
      <c r="L330" s="764"/>
      <c r="M330" s="764"/>
      <c r="N330" s="764"/>
      <c r="O330" s="764"/>
      <c r="P330" s="764"/>
      <c r="Q330" s="764"/>
      <c r="R330" s="764"/>
      <c r="S330" s="764"/>
      <c r="T330" s="764"/>
      <c r="U330" s="764"/>
      <c r="V330" s="764"/>
      <c r="W330" s="764" t="str">
        <f>IFERROR(VLOOKUP('General price list'!$C330,Popisy!A:P,MATCH($W$17,Popisy!$A$7:$P$7,0),FALSE),"---------------")</f>
        <v>4 verschiedenfarbige Effekte</v>
      </c>
      <c r="X330" s="764" t="str">
        <f t="shared" si="133"/>
        <v/>
      </c>
      <c r="Y330" s="770">
        <f>IF(OR(AP330&lt;AA330,AND(NOT(OR(LEFT(AB330,3)="SKL",LEFT(AB330,3)=LEFT($V$2,3))),AA330&gt;0),AND('Deutsche Markt'!$AH$1=FALSE,J330="F4",AA330&gt;0)),"",AA330)</f>
        <v>0</v>
      </c>
      <c r="Z330" s="764"/>
      <c r="AA330" s="771">
        <f>'Deutsche Markt'!AA330</f>
        <v>0</v>
      </c>
      <c r="AB330" s="772" t="str">
        <f>IFERROR(IF(VLOOKUP(C330,[1]List1!$A:$D,2,FALSE)="VYPRODÁNO",$V$9,IF(VLOOKUP(C330,[1]List1!$A:$D,2,FALSE)="DOCHÁZÍ",$V$3,VLOOKUP(C330,[1]List1!$A:$D,2,FALSE))),"OFFLINE!")</f>
        <v>SKLADEM</v>
      </c>
      <c r="AC330" s="785" t="str">
        <f ca="1">IF(AO330="NE",$V$10,IF(AB330=$V$3,IF(AP330&lt;1,$V$8,$V$2&amp;" "&amp;AP330&amp;" "&amp;$V$1),IF(AB330="SKLADEM",$V$6,IFERROR(IF(OR(AB330-TODAY()&gt;21,VLOOKUP(C330,[1]List1!$A:$E,4,FALSE)=0),AB330,DAY(AB330)&amp;"."&amp;MONTH(AB330)&amp;"."&amp;YEAR(AB330)&amp;" "&amp;$V$4&amp;VLOOKUP(C330,[1]List1!$A:$E,4,FALSE)&amp;" "&amp;$V$1),AB330))))</f>
        <v>AUF LAGER</v>
      </c>
      <c r="AD330" s="785" t="str">
        <f t="shared" ca="1" si="134"/>
        <v>AUF LAGER</v>
      </c>
      <c r="AE330" s="609"/>
      <c r="AF330" s="609"/>
      <c r="AG330" s="627"/>
      <c r="AH330" s="609"/>
      <c r="AI330" s="627"/>
      <c r="AJ330" s="609"/>
      <c r="AK330" s="609"/>
      <c r="AL330" s="609"/>
      <c r="AM330" s="627"/>
      <c r="AO330" s="567" t="str">
        <f t="shared" si="121"/>
        <v/>
      </c>
      <c r="AP330" s="568" t="str">
        <f>IF(AB330=$V$3,IF(VLOOKUP(C330,[1]List1!$A:$E,5,FALSE)=0,1,VLOOKUP(C330,[1]List1!$A:$E,5,FALSE)),"")</f>
        <v/>
      </c>
      <c r="AQ330" s="292" t="str">
        <f t="shared" si="122"/>
        <v/>
      </c>
      <c r="AR330" s="618" t="str">
        <f t="shared" si="123"/>
        <v/>
      </c>
      <c r="AS330" s="292" t="str">
        <f t="shared" si="124"/>
        <v/>
      </c>
      <c r="AT330" s="377" t="e">
        <f t="shared" si="125"/>
        <v>#N/A</v>
      </c>
      <c r="AU330" s="292" t="e">
        <f t="shared" si="126"/>
        <v>#N/A</v>
      </c>
    </row>
    <row r="331" spans="1:47" ht="15" customHeight="1">
      <c r="A331" s="601" t="str">
        <f>Kat.!B329</f>
        <v/>
      </c>
      <c r="B331" s="601">
        <f t="shared" si="112"/>
        <v>1</v>
      </c>
      <c r="C331" s="775" t="s">
        <v>1215</v>
      </c>
      <c r="D331" s="795"/>
      <c r="E331" s="796"/>
      <c r="F331" s="761"/>
      <c r="G331" s="762"/>
      <c r="H331" s="596"/>
      <c r="I331" s="797"/>
      <c r="J331" s="764"/>
      <c r="K331" s="781"/>
      <c r="L331" s="766"/>
      <c r="M331" s="764"/>
      <c r="N331" s="763"/>
      <c r="O331" s="763"/>
      <c r="P331" s="763"/>
      <c r="Q331" s="764"/>
      <c r="R331" s="764"/>
      <c r="S331" s="764"/>
      <c r="T331" s="761"/>
      <c r="U331" s="768"/>
      <c r="V331" s="768"/>
      <c r="W331" s="769" t="str">
        <f>IFERROR(VLOOKUP('General price list'!$C331,Popisy!A:P,MATCH($W$17,Popisy!$A$7:$P$7,0),FALSE),"---------------")</f>
        <v>4 verschiedenfarbige Effekte</v>
      </c>
      <c r="X331" s="769" t="str">
        <f t="shared" si="133"/>
        <v/>
      </c>
      <c r="Y331" s="770">
        <f>IF(OR(AP331&lt;AA331,AND(NOT(OR(LEFT(AB331,3)="SKL",LEFT(AB331,3)=LEFT($V$2,3))),AA331&gt;0),AND('Deutsche Markt'!$AH$1=FALSE,J331="F4",AA331&gt;0)),"",AA331)</f>
        <v>0</v>
      </c>
      <c r="Z331" s="769"/>
      <c r="AA331" s="771">
        <f>'Deutsche Markt'!AA331</f>
        <v>0</v>
      </c>
      <c r="AB331" s="772" t="str">
        <f>IFERROR(IF(VLOOKUP(C331,[1]List1!$A:$D,2,FALSE)="VYPRODÁNO",$V$9,IF(VLOOKUP(C331,[1]List1!$A:$D,2,FALSE)="DOCHÁZÍ",$V$3,VLOOKUP(C331,[1]List1!$A:$D,2,FALSE))),"OFFLINE!")</f>
        <v>SKLADEM</v>
      </c>
      <c r="AC331" s="772" t="str">
        <f ca="1">IF(AO331="NE",$V$10,IF(AB331=$V$3,IF(AP331&lt;1,$V$8,$V$2&amp;" "&amp;AP331&amp;" "&amp;$V$1),IF(AB331="SKLADEM",$V$6,IFERROR(IF(OR(AB331-TODAY()&gt;21,VLOOKUP(C331,[1]List1!$A:$E,4,FALSE)=0),AB331,DAY(AB331)&amp;"."&amp;MONTH(AB331)&amp;"."&amp;YEAR(AB331)&amp;" "&amp;$V$4&amp;VLOOKUP(C331,[1]List1!$A:$E,4,FALSE)&amp;" "&amp;$V$1),AB331))))</f>
        <v>AUF LAGER</v>
      </c>
      <c r="AD331" s="772" t="str">
        <f t="shared" ca="1" si="134"/>
        <v>AUF LAGER</v>
      </c>
      <c r="AE331" s="605"/>
      <c r="AF331" s="605"/>
      <c r="AG331" s="615"/>
      <c r="AH331" s="616"/>
      <c r="AI331" s="615"/>
      <c r="AJ331" s="617"/>
      <c r="AK331" s="617"/>
      <c r="AL331" s="617"/>
      <c r="AM331" s="617"/>
      <c r="AO331" s="567" t="str">
        <f t="shared" si="121"/>
        <v/>
      </c>
      <c r="AP331" s="568" t="str">
        <f>IF(AB331=$V$3,IF(VLOOKUP(C331,[1]List1!$A:$E,5,FALSE)=0,1,VLOOKUP(C331,[1]List1!$A:$E,5,FALSE)),"")</f>
        <v/>
      </c>
      <c r="AQ331" s="292" t="str">
        <f t="shared" si="122"/>
        <v/>
      </c>
      <c r="AR331" s="618" t="str">
        <f t="shared" si="123"/>
        <v/>
      </c>
      <c r="AS331" s="292" t="str">
        <f t="shared" si="124"/>
        <v/>
      </c>
      <c r="AT331" s="377" t="e">
        <f t="shared" si="125"/>
        <v>#N/A</v>
      </c>
      <c r="AU331" s="292" t="e">
        <f t="shared" si="126"/>
        <v>#N/A</v>
      </c>
    </row>
    <row r="332" spans="1:47" ht="15" customHeight="1">
      <c r="A332" s="601" t="str">
        <f>Kat.!B330</f>
        <v/>
      </c>
      <c r="B332" s="601">
        <f t="shared" si="112"/>
        <v>0</v>
      </c>
      <c r="C332" s="775"/>
      <c r="D332" s="776"/>
      <c r="E332" s="760"/>
      <c r="F332" s="761"/>
      <c r="G332" s="762"/>
      <c r="H332" s="596"/>
      <c r="I332" s="763"/>
      <c r="J332" s="764"/>
      <c r="K332" s="774"/>
      <c r="L332" s="766"/>
      <c r="M332" s="764"/>
      <c r="N332" s="798"/>
      <c r="O332" s="798"/>
      <c r="P332" s="763"/>
      <c r="Q332" s="764"/>
      <c r="R332" s="764"/>
      <c r="S332" s="764"/>
      <c r="T332" s="764"/>
      <c r="U332" s="768"/>
      <c r="V332" s="768"/>
      <c r="W332" s="769" t="str">
        <f>IFERROR(VLOOKUP('General price list'!$C332,Popisy!A:P,MATCH($W$17,Popisy!$A$7:$P$7,0),FALSE),"---------------")</f>
        <v>---------------</v>
      </c>
      <c r="X332" s="769" t="str">
        <f t="shared" si="133"/>
        <v/>
      </c>
      <c r="Y332" s="770">
        <f>IF(OR(AP332&lt;AA332,AND(NOT(OR(LEFT(AB332,3)="SKL",LEFT(AB332,3)=LEFT($V$2,3))),AA332&gt;0),AND('Deutsche Markt'!$AH$1=FALSE,J332="F4",AA332&gt;0)),"",AA332)</f>
        <v>0</v>
      </c>
      <c r="Z332" s="769"/>
      <c r="AA332" s="771">
        <f>'Deutsche Markt'!AA332</f>
        <v>0</v>
      </c>
      <c r="AB332" s="772" t="str">
        <f>IFERROR(IF(VLOOKUP(C332,[1]List1!$A:$D,2,FALSE)="VYPRODÁNO",$V$9,IF(VLOOKUP(C332,[1]List1!$A:$D,2,FALSE)="DOCHÁZÍ",$V$3,VLOOKUP(C332,[1]List1!$A:$D,2,FALSE))),"OFFLINE!")</f>
        <v>OFFLINE!</v>
      </c>
      <c r="AC332" s="772" t="str">
        <f ca="1">IF(AO332="NE",$V$10,IF(AB332=$V$3,IF(AP332&lt;1,$V$8,$V$2&amp;" "&amp;AP332&amp;" "&amp;$V$1),IF(AB332="SKLADEM",$V$6,IFERROR(IF(OR(AB332-TODAY()&gt;21,VLOOKUP(C332,[1]List1!$A:$E,4,FALSE)=0),AB332,DAY(AB332)&amp;"."&amp;MONTH(AB332)&amp;"."&amp;YEAR(AB332)&amp;" "&amp;$V$4&amp;VLOOKUP(C332,[1]List1!$A:$E,4,FALSE)&amp;" "&amp;$V$1),AB332))))</f>
        <v>OFFLINE!</v>
      </c>
      <c r="AD332" s="772" t="str">
        <f t="shared" ca="1" si="134"/>
        <v>OFFLINE!</v>
      </c>
      <c r="AE332" s="605"/>
      <c r="AF332" s="605"/>
      <c r="AG332" s="615"/>
      <c r="AH332" s="616"/>
      <c r="AI332" s="615"/>
      <c r="AJ332" s="617"/>
      <c r="AK332" s="617"/>
      <c r="AL332" s="617"/>
      <c r="AM332" s="617"/>
      <c r="AO332" s="567" t="str">
        <f t="shared" si="121"/>
        <v/>
      </c>
      <c r="AP332" s="568" t="str">
        <f>IF(AB332=$V$3,IF(VLOOKUP(C332,[1]List1!$A:$E,5,FALSE)=0,1,VLOOKUP(C332,[1]List1!$A:$E,5,FALSE)),"")</f>
        <v/>
      </c>
      <c r="AQ332" s="292" t="str">
        <f t="shared" si="122"/>
        <v/>
      </c>
      <c r="AR332" s="618" t="str">
        <f t="shared" si="123"/>
        <v/>
      </c>
      <c r="AS332" s="292" t="str">
        <f t="shared" si="124"/>
        <v/>
      </c>
      <c r="AT332" s="377" t="e">
        <f t="shared" si="125"/>
        <v>#N/A</v>
      </c>
      <c r="AU332" s="292" t="e">
        <f t="shared" si="126"/>
        <v>#N/A</v>
      </c>
    </row>
    <row r="333" spans="1:47" ht="15" customHeight="1">
      <c r="A333" s="601" t="str">
        <f>Kat.!B331</f>
        <v/>
      </c>
      <c r="B333" s="601">
        <f t="shared" si="112"/>
        <v>1</v>
      </c>
      <c r="C333" s="758" t="s">
        <v>1218</v>
      </c>
      <c r="D333" s="776"/>
      <c r="E333" s="760"/>
      <c r="F333" s="761"/>
      <c r="G333" s="762"/>
      <c r="H333" s="596"/>
      <c r="I333" s="763"/>
      <c r="J333" s="764"/>
      <c r="K333" s="781"/>
      <c r="L333" s="766"/>
      <c r="M333" s="764"/>
      <c r="N333" s="798"/>
      <c r="O333" s="798"/>
      <c r="P333" s="763"/>
      <c r="Q333" s="764"/>
      <c r="R333" s="764"/>
      <c r="S333" s="764"/>
      <c r="T333" s="764"/>
      <c r="U333" s="768"/>
      <c r="V333" s="768"/>
      <c r="W333" s="769" t="str">
        <f>IFERROR(VLOOKUP('General price list'!$C333,Popisy!A:P,MATCH($W$17,Popisy!$A$7:$P$7,0),FALSE),"---------------")</f>
        <v>5 verschiedenfarbige Effekte</v>
      </c>
      <c r="X333" s="769" t="str">
        <f t="shared" si="133"/>
        <v/>
      </c>
      <c r="Y333" s="770">
        <f>IF(OR(AP333&lt;AA333,AND(NOT(OR(LEFT(AB333,3)="SKL",LEFT(AB333,3)=LEFT($V$2,3))),AA333&gt;0),AND('Deutsche Markt'!$AH$1=FALSE,J333="F4",AA333&gt;0)),"",AA333)</f>
        <v>0</v>
      </c>
      <c r="Z333" s="769"/>
      <c r="AA333" s="771">
        <f>'Deutsche Markt'!AA333</f>
        <v>0</v>
      </c>
      <c r="AB333" s="772" t="str">
        <f>IFERROR(IF(VLOOKUP(C333,[1]List1!$A:$D,2,FALSE)="VYPRODÁNO",$V$9,IF(VLOOKUP(C333,[1]List1!$A:$D,2,FALSE)="DOCHÁZÍ",$V$3,VLOOKUP(C333,[1]List1!$A:$D,2,FALSE))),"OFFLINE!")</f>
        <v>SKLADEM</v>
      </c>
      <c r="AC333" s="772" t="str">
        <f ca="1">IF(AO333="NE",$V$10,IF(AB333=$V$3,IF(AP333&lt;1,$V$8,$V$2&amp;" "&amp;AP333&amp;" "&amp;$V$1),IF(AB333="SKLADEM",$V$6,IFERROR(IF(OR(AB333-TODAY()&gt;21,VLOOKUP(C333,[1]List1!$A:$E,4,FALSE)=0),AB333,DAY(AB333)&amp;"."&amp;MONTH(AB333)&amp;"."&amp;YEAR(AB333)&amp;" "&amp;$V$4&amp;VLOOKUP(C333,[1]List1!$A:$E,4,FALSE)&amp;" "&amp;$V$1),AB333))))</f>
        <v>AUF LAGER</v>
      </c>
      <c r="AD333" s="772" t="str">
        <f t="shared" ca="1" si="134"/>
        <v>AUF LAGER</v>
      </c>
      <c r="AE333" s="605"/>
      <c r="AF333" s="605"/>
      <c r="AG333" s="615"/>
      <c r="AH333" s="616"/>
      <c r="AI333" s="615"/>
      <c r="AJ333" s="617"/>
      <c r="AK333" s="617"/>
      <c r="AL333" s="617"/>
      <c r="AM333" s="617"/>
      <c r="AN333" s="292"/>
      <c r="AO333" s="567" t="str">
        <f t="shared" si="121"/>
        <v/>
      </c>
      <c r="AP333" s="568" t="str">
        <f>IF(AB333=$V$3,IF(VLOOKUP(C333,[1]List1!$A:$E,5,FALSE)=0,1,VLOOKUP(C333,[1]List1!$A:$E,5,FALSE)),"")</f>
        <v/>
      </c>
      <c r="AQ333" s="292" t="str">
        <f t="shared" si="122"/>
        <v/>
      </c>
      <c r="AR333" s="618" t="str">
        <f t="shared" si="123"/>
        <v/>
      </c>
      <c r="AS333" s="292" t="str">
        <f t="shared" si="124"/>
        <v/>
      </c>
      <c r="AT333" s="377" t="e">
        <f t="shared" si="125"/>
        <v>#N/A</v>
      </c>
      <c r="AU333" s="292" t="e">
        <f t="shared" si="126"/>
        <v>#N/A</v>
      </c>
    </row>
    <row r="334" spans="1:47" ht="15" customHeight="1">
      <c r="A334" s="601" t="str">
        <f>Kat.!$B$1&amp;Kat.!B332</f>
        <v>Batterien 25 schuss, 25mm Mörser-1.3G</v>
      </c>
      <c r="B334" s="601">
        <f t="shared" si="112"/>
        <v>1</v>
      </c>
      <c r="C334" s="602" t="s">
        <v>1220</v>
      </c>
      <c r="D334" s="634"/>
      <c r="E334" s="635"/>
      <c r="F334" s="605"/>
      <c r="G334" s="606"/>
      <c r="H334" s="607"/>
      <c r="I334" s="636"/>
      <c r="J334" s="609"/>
      <c r="K334" s="708"/>
      <c r="L334" s="611"/>
      <c r="M334" s="609"/>
      <c r="N334" s="608"/>
      <c r="O334" s="608"/>
      <c r="P334" s="608"/>
      <c r="Q334" s="609"/>
      <c r="R334" s="609"/>
      <c r="S334" s="609"/>
      <c r="T334" s="605"/>
      <c r="U334" s="613"/>
      <c r="V334" s="613"/>
      <c r="W334" s="601" t="str">
        <f>IFERROR(VLOOKUP('General price list'!$C334,Popisy!A:P,MATCH($W$17,Popisy!$A$7:$P$7,0),FALSE),"---------------")</f>
        <v>5 verschiedenfarbige Effekte</v>
      </c>
      <c r="X334" s="601" t="str">
        <f t="shared" si="133"/>
        <v/>
      </c>
      <c r="Y334" s="770">
        <f>IF(OR(AP334&lt;AA334,AND(NOT(OR(LEFT(AB334,3)="SKL",LEFT(AB334,3)=LEFT($V$2,3))),AA334&gt;0),AND('Deutsche Markt'!$AH$1=FALSE,J334="F4",AA334&gt;0)),"",AA334)</f>
        <v>0</v>
      </c>
      <c r="Z334" s="601"/>
      <c r="AA334" s="771">
        <f>'Deutsche Markt'!AA334</f>
        <v>0</v>
      </c>
      <c r="AB334" s="614" t="str">
        <f>IFERROR(IF(VLOOKUP(C334,[1]List1!$A:$D,2,FALSE)="VYPRODÁNO",$V$9,IF(VLOOKUP(C334,[1]List1!$A:$D,2,FALSE)="DOCHÁZÍ",$V$3,VLOOKUP(C334,[1]List1!$A:$D,2,FALSE))),"OFFLINE!")</f>
        <v>SKLADEM</v>
      </c>
      <c r="AC334" s="614" t="str">
        <f ca="1">IF(AO334="NE",$V$10,IF(AB334=$V$3,IF(AP334&lt;1,$V$8,$V$2&amp;" "&amp;AP334&amp;" "&amp;$V$1),IF(AB334="SKLADEM",$V$6,IFERROR(IF(OR(AB334-TODAY()&gt;21,VLOOKUP(C334,[1]List1!$A:$E,4,FALSE)=0),AB334,DAY(AB334)&amp;"."&amp;MONTH(AB334)&amp;"."&amp;YEAR(AB334)&amp;" "&amp;$V$4&amp;VLOOKUP(C334,[1]List1!$A:$E,4,FALSE)&amp;" "&amp;$V$1),AB334))))</f>
        <v>AUF LAGER</v>
      </c>
      <c r="AD334" s="614" t="str">
        <f t="shared" ca="1" si="134"/>
        <v>AUF LAGER</v>
      </c>
      <c r="AE334" s="605"/>
      <c r="AF334" s="605"/>
      <c r="AG334" s="615"/>
      <c r="AH334" s="616"/>
      <c r="AI334" s="615"/>
      <c r="AJ334" s="617"/>
      <c r="AK334" s="617"/>
      <c r="AL334" s="617"/>
      <c r="AM334" s="617"/>
      <c r="AO334" s="567" t="str">
        <f t="shared" si="121"/>
        <v/>
      </c>
      <c r="AP334" s="568" t="str">
        <f>IF(AB334=$V$3,IF(VLOOKUP(C334,[1]List1!$A:$E,5,FALSE)=0,1,VLOOKUP(C334,[1]List1!$A:$E,5,FALSE)),"")</f>
        <v/>
      </c>
      <c r="AQ334" s="292" t="str">
        <f t="shared" si="122"/>
        <v/>
      </c>
      <c r="AR334" s="618" t="str">
        <f t="shared" si="123"/>
        <v/>
      </c>
      <c r="AS334" s="292" t="str">
        <f t="shared" si="124"/>
        <v/>
      </c>
      <c r="AT334" s="377" t="e">
        <f t="shared" si="125"/>
        <v>#N/A</v>
      </c>
      <c r="AU334" s="292" t="e">
        <f t="shared" si="126"/>
        <v>#N/A</v>
      </c>
    </row>
    <row r="335" spans="1:47" ht="15" customHeight="1">
      <c r="A335" s="601" t="str">
        <f>Kat.!B333</f>
        <v/>
      </c>
      <c r="B335" s="601">
        <f t="shared" si="112"/>
        <v>0</v>
      </c>
      <c r="C335" s="758"/>
      <c r="D335" s="795"/>
      <c r="E335" s="796"/>
      <c r="F335" s="761"/>
      <c r="G335" s="762"/>
      <c r="H335" s="596"/>
      <c r="I335" s="797"/>
      <c r="J335" s="764"/>
      <c r="K335" s="781"/>
      <c r="L335" s="766"/>
      <c r="M335" s="764"/>
      <c r="N335" s="763"/>
      <c r="O335" s="763"/>
      <c r="P335" s="763"/>
      <c r="Q335" s="764"/>
      <c r="R335" s="764"/>
      <c r="S335" s="764"/>
      <c r="T335" s="761"/>
      <c r="U335" s="768"/>
      <c r="V335" s="768"/>
      <c r="W335" s="769" t="str">
        <f>IFERROR(VLOOKUP('General price list'!$C335,Popisy!A:P,MATCH($W$17,Popisy!$A$7:$P$7,0),FALSE),"---------------")</f>
        <v>---------------</v>
      </c>
      <c r="X335" s="769" t="str">
        <f t="shared" si="133"/>
        <v/>
      </c>
      <c r="Y335" s="770">
        <f>IF(OR(AP335&lt;AA335,AND(NOT(OR(LEFT(AB335,3)="SKL",LEFT(AB335,3)=LEFT($V$2,3))),AA335&gt;0),AND('Deutsche Markt'!$AH$1=FALSE,J335="F4",AA335&gt;0)),"",AA335)</f>
        <v>0</v>
      </c>
      <c r="Z335" s="769"/>
      <c r="AA335" s="771">
        <f>'Deutsche Markt'!AA335</f>
        <v>0</v>
      </c>
      <c r="AB335" s="772" t="str">
        <f>IFERROR(IF(VLOOKUP(C335,[1]List1!$A:$D,2,FALSE)="VYPRODÁNO",$V$9,IF(VLOOKUP(C335,[1]List1!$A:$D,2,FALSE)="DOCHÁZÍ",$V$3,VLOOKUP(C335,[1]List1!$A:$D,2,FALSE))),"OFFLINE!")</f>
        <v>OFFLINE!</v>
      </c>
      <c r="AC335" s="772" t="str">
        <f ca="1">IF(AO335="NE",$V$10,IF(AB335=$V$3,IF(AP335&lt;1,$V$8,$V$2&amp;" "&amp;AP335&amp;" "&amp;$V$1),IF(AB335="SKLADEM",$V$6,IFERROR(IF(OR(AB335-TODAY()&gt;21,VLOOKUP(C335,[1]List1!$A:$E,4,FALSE)=0),AB335,DAY(AB335)&amp;"."&amp;MONTH(AB335)&amp;"."&amp;YEAR(AB335)&amp;" "&amp;$V$4&amp;VLOOKUP(C335,[1]List1!$A:$E,4,FALSE)&amp;" "&amp;$V$1),AB335))))</f>
        <v>OFFLINE!</v>
      </c>
      <c r="AD335" s="772" t="str">
        <f t="shared" ca="1" si="134"/>
        <v>OFFLINE!</v>
      </c>
      <c r="AE335" s="605"/>
      <c r="AF335" s="605"/>
      <c r="AG335" s="615"/>
      <c r="AH335" s="616"/>
      <c r="AI335" s="615"/>
      <c r="AJ335" s="617"/>
      <c r="AK335" s="617"/>
      <c r="AL335" s="617"/>
      <c r="AM335" s="617"/>
      <c r="AN335" s="292"/>
      <c r="AO335" s="567" t="str">
        <f t="shared" si="121"/>
        <v/>
      </c>
      <c r="AP335" s="568" t="str">
        <f>IF(AB335=$V$3,IF(VLOOKUP(C335,[1]List1!$A:$E,5,FALSE)=0,1,VLOOKUP(C335,[1]List1!$A:$E,5,FALSE)),"")</f>
        <v/>
      </c>
      <c r="AQ335" s="292" t="str">
        <f t="shared" si="122"/>
        <v/>
      </c>
      <c r="AR335" s="618" t="str">
        <f t="shared" si="123"/>
        <v/>
      </c>
      <c r="AS335" s="292" t="str">
        <f t="shared" si="124"/>
        <v/>
      </c>
      <c r="AT335" s="377" t="e">
        <f t="shared" si="125"/>
        <v>#N/A</v>
      </c>
      <c r="AU335" s="292" t="e">
        <f t="shared" si="126"/>
        <v>#N/A</v>
      </c>
    </row>
    <row r="336" spans="1:47" ht="15" customHeight="1">
      <c r="A336" s="601" t="str">
        <f>Kat.!B334</f>
        <v/>
      </c>
      <c r="B336" s="601">
        <f t="shared" si="112"/>
        <v>1</v>
      </c>
      <c r="C336" s="758" t="s">
        <v>1222</v>
      </c>
      <c r="D336" s="795"/>
      <c r="E336" s="796"/>
      <c r="F336" s="761"/>
      <c r="G336" s="762"/>
      <c r="H336" s="596"/>
      <c r="I336" s="797"/>
      <c r="J336" s="764"/>
      <c r="K336" s="774"/>
      <c r="L336" s="766"/>
      <c r="M336" s="764"/>
      <c r="N336" s="763"/>
      <c r="O336" s="763"/>
      <c r="P336" s="763"/>
      <c r="Q336" s="764"/>
      <c r="R336" s="764"/>
      <c r="S336" s="764"/>
      <c r="T336" s="761"/>
      <c r="U336" s="768"/>
      <c r="V336" s="768"/>
      <c r="W336" s="769" t="str">
        <f>IFERROR(VLOOKUP('General price list'!$C336,Popisy!A:P,MATCH($W$17,Popisy!$A$7:$P$7,0),FALSE),"---------------")</f>
        <v>5 verschiedenfarbige Effekte</v>
      </c>
      <c r="X336" s="769" t="str">
        <f t="shared" si="133"/>
        <v/>
      </c>
      <c r="Y336" s="770">
        <f>IF(OR(AP336&lt;AA336,AND(NOT(OR(LEFT(AB336,3)="SKL",LEFT(AB336,3)=LEFT($V$2,3))),AA336&gt;0),AND('Deutsche Markt'!$AH$1=FALSE,J336="F4",AA336&gt;0)),"",AA336)</f>
        <v>0</v>
      </c>
      <c r="Z336" s="769"/>
      <c r="AA336" s="771">
        <f>'Deutsche Markt'!AA336</f>
        <v>0</v>
      </c>
      <c r="AB336" s="772" t="str">
        <f>IFERROR(IF(VLOOKUP(C336,[1]List1!$A:$D,2,FALSE)="VYPRODÁNO",$V$9,IF(VLOOKUP(C336,[1]List1!$A:$D,2,FALSE)="DOCHÁZÍ",$V$3,VLOOKUP(C336,[1]List1!$A:$D,2,FALSE))),"OFFLINE!")</f>
        <v>SKLADEM</v>
      </c>
      <c r="AC336" s="772" t="str">
        <f ca="1">IF(AO336="NE",$V$10,IF(AB336=$V$3,IF(AP336&lt;1,$V$8,$V$2&amp;" "&amp;AP336&amp;" "&amp;$V$1),IF(AB336="SKLADEM",$V$6,IFERROR(IF(OR(AB336-TODAY()&gt;21,VLOOKUP(C336,[1]List1!$A:$E,4,FALSE)=0),AB336,DAY(AB336)&amp;"."&amp;MONTH(AB336)&amp;"."&amp;YEAR(AB336)&amp;" "&amp;$V$4&amp;VLOOKUP(C336,[1]List1!$A:$E,4,FALSE)&amp;" "&amp;$V$1),AB336))))</f>
        <v>AUF LAGER</v>
      </c>
      <c r="AD336" s="772" t="str">
        <f t="shared" ca="1" si="134"/>
        <v>AUF LAGER</v>
      </c>
      <c r="AE336" s="605"/>
      <c r="AF336" s="605"/>
      <c r="AG336" s="615"/>
      <c r="AH336" s="616"/>
      <c r="AI336" s="615"/>
      <c r="AJ336" s="617"/>
      <c r="AK336" s="617"/>
      <c r="AL336" s="617"/>
      <c r="AM336" s="617"/>
      <c r="AN336" s="292"/>
      <c r="AO336" s="567" t="str">
        <f t="shared" si="121"/>
        <v/>
      </c>
      <c r="AP336" s="568" t="str">
        <f>IF(AB336=$V$3,IF(VLOOKUP(C336,[1]List1!$A:$E,5,FALSE)=0,1,VLOOKUP(C336,[1]List1!$A:$E,5,FALSE)),"")</f>
        <v/>
      </c>
      <c r="AQ336" s="292" t="str">
        <f t="shared" si="122"/>
        <v/>
      </c>
      <c r="AR336" s="618" t="str">
        <f t="shared" si="123"/>
        <v/>
      </c>
      <c r="AS336" s="292" t="str">
        <f t="shared" si="124"/>
        <v/>
      </c>
      <c r="AT336" s="377" t="e">
        <f t="shared" si="125"/>
        <v>#N/A</v>
      </c>
      <c r="AU336" s="292" t="e">
        <f t="shared" si="126"/>
        <v>#N/A</v>
      </c>
    </row>
    <row r="337" spans="1:47" ht="15" customHeight="1">
      <c r="A337" s="601" t="str">
        <f>Kat.!B335</f>
        <v>Batterien 25 schuss, 25mm schräg Mörser-1.3G</v>
      </c>
      <c r="B337" s="601">
        <f t="shared" si="112"/>
        <v>1</v>
      </c>
      <c r="C337" s="778" t="s">
        <v>1225</v>
      </c>
      <c r="D337" s="778"/>
      <c r="E337" s="778"/>
      <c r="F337" s="779"/>
      <c r="G337" s="778"/>
      <c r="H337" s="778"/>
      <c r="I337" s="778"/>
      <c r="J337" s="778"/>
      <c r="K337" s="781"/>
      <c r="L337" s="778"/>
      <c r="M337" s="778"/>
      <c r="N337" s="778"/>
      <c r="O337" s="778"/>
      <c r="P337" s="778"/>
      <c r="Q337" s="778"/>
      <c r="R337" s="778"/>
      <c r="S337" s="778"/>
      <c r="T337" s="778"/>
      <c r="U337" s="778"/>
      <c r="V337" s="778"/>
      <c r="W337" s="778" t="str">
        <f>IFERROR(VLOOKUP('General price list'!$C337,Popisy!A:P,MATCH($W$17,Popisy!$A$7:$P$7,0),FALSE),"---------------")</f>
        <v>5 verschiedenfarbige Effekte</v>
      </c>
      <c r="X337" s="778" t="str">
        <f t="shared" si="133"/>
        <v/>
      </c>
      <c r="Y337" s="770">
        <f>IF(OR(AP337&lt;AA337,AND(NOT(OR(LEFT(AB337,3)="SKL",LEFT(AB337,3)=LEFT($V$2,3))),AA337&gt;0),AND('Deutsche Markt'!$AH$1=FALSE,J337="F4",AA337&gt;0)),"",AA337)</f>
        <v>0</v>
      </c>
      <c r="Z337" s="778"/>
      <c r="AA337" s="771">
        <f>'Deutsche Markt'!AA337</f>
        <v>0</v>
      </c>
      <c r="AB337" s="778" t="str">
        <f>IFERROR(IF(VLOOKUP(C337,[1]List1!$A:$D,2,FALSE)="VYPRODÁNO",$V$9,IF(VLOOKUP(C337,[1]List1!$A:$D,2,FALSE)="DOCHÁZÍ",$V$3,VLOOKUP(C337,[1]List1!$A:$D,2,FALSE))),"OFFLINE!")</f>
        <v>SKLADEM</v>
      </c>
      <c r="AC337" s="778" t="str">
        <f ca="1">IF(AO337="NE",$V$10,IF(AB337=$V$3,IF(AP337&lt;1,$V$8,$V$2&amp;" "&amp;AP337&amp;" "&amp;$V$1),IF(AB337="SKLADEM",$V$6,IFERROR(IF(OR(AB337-TODAY()&gt;21,VLOOKUP(C337,[1]List1!$A:$E,4,FALSE)=0),AB337,DAY(AB337)&amp;"."&amp;MONTH(AB337)&amp;"."&amp;YEAR(AB337)&amp;" "&amp;$V$4&amp;VLOOKUP(C337,[1]List1!$A:$E,4,FALSE)&amp;" "&amp;$V$1),AB337))))</f>
        <v>AUF LAGER</v>
      </c>
      <c r="AD337" s="778" t="str">
        <f t="shared" ca="1" si="134"/>
        <v>AUF LAGER</v>
      </c>
      <c r="AE337" s="599"/>
      <c r="AF337" s="599"/>
      <c r="AG337" s="599"/>
      <c r="AH337" s="599"/>
      <c r="AI337" s="599"/>
      <c r="AJ337" s="599"/>
      <c r="AK337" s="599"/>
      <c r="AL337" s="599"/>
      <c r="AM337" s="599"/>
      <c r="AN337" s="566"/>
      <c r="AO337" s="567" t="str">
        <f t="shared" si="121"/>
        <v/>
      </c>
      <c r="AP337" s="568" t="str">
        <f>IF(AB337=$V$3,IF(VLOOKUP(C337,[1]List1!$A:$E,5,FALSE)=0,1,VLOOKUP(C337,[1]List1!$A:$E,5,FALSE)),"")</f>
        <v/>
      </c>
      <c r="AQ337" s="292" t="str">
        <f t="shared" si="122"/>
        <v/>
      </c>
      <c r="AR337" s="618" t="str">
        <f t="shared" si="123"/>
        <v/>
      </c>
      <c r="AS337" s="292" t="str">
        <f t="shared" si="124"/>
        <v/>
      </c>
      <c r="AT337" s="377" t="e">
        <f t="shared" si="125"/>
        <v>#N/A</v>
      </c>
      <c r="AU337" s="292" t="e">
        <f t="shared" si="126"/>
        <v>#N/A</v>
      </c>
    </row>
    <row r="338" spans="1:47" ht="15" customHeight="1">
      <c r="A338" s="601" t="str">
        <f>Kat.!B336</f>
        <v/>
      </c>
      <c r="B338" s="601">
        <f t="shared" si="112"/>
        <v>1</v>
      </c>
      <c r="C338" s="758" t="s">
        <v>1228</v>
      </c>
      <c r="D338" s="795"/>
      <c r="E338" s="796"/>
      <c r="F338" s="761"/>
      <c r="G338" s="762"/>
      <c r="H338" s="596"/>
      <c r="I338" s="797"/>
      <c r="J338" s="764"/>
      <c r="K338" s="774"/>
      <c r="L338" s="766"/>
      <c r="M338" s="764"/>
      <c r="N338" s="763"/>
      <c r="O338" s="763"/>
      <c r="P338" s="763"/>
      <c r="Q338" s="764"/>
      <c r="R338" s="764"/>
      <c r="S338" s="764"/>
      <c r="T338" s="761"/>
      <c r="U338" s="768"/>
      <c r="V338" s="768"/>
      <c r="W338" s="769" t="str">
        <f>IFERROR(VLOOKUP('General price list'!$C338,Popisy!A:P,MATCH($W$17,Popisy!$A$7:$P$7,0),FALSE),"---------------")</f>
        <v>5 verschiedenfarbige Effekte</v>
      </c>
      <c r="X338" s="769" t="str">
        <f t="shared" si="133"/>
        <v/>
      </c>
      <c r="Y338" s="770">
        <f>IF(OR(AP338&lt;AA338,AND(NOT(OR(LEFT(AB338,3)="SKL",LEFT(AB338,3)=LEFT($V$2,3))),AA338&gt;0),AND('Deutsche Markt'!$AH$1=FALSE,J338="F4",AA338&gt;0)),"",AA338)</f>
        <v>0</v>
      </c>
      <c r="Z338" s="769"/>
      <c r="AA338" s="771">
        <f>'Deutsche Markt'!AA338</f>
        <v>0</v>
      </c>
      <c r="AB338" s="772" t="str">
        <f>IFERROR(IF(VLOOKUP(C338,[1]List1!$A:$D,2,FALSE)="VYPRODÁNO",$V$9,IF(VLOOKUP(C338,[1]List1!$A:$D,2,FALSE)="DOCHÁZÍ",$V$3,VLOOKUP(C338,[1]List1!$A:$D,2,FALSE))),"OFFLINE!")</f>
        <v>SKLADEM</v>
      </c>
      <c r="AC338" s="772" t="str">
        <f ca="1">IF(AO338="NE",$V$10,IF(AB338=$V$3,IF(AP338&lt;1,$V$8,$V$2&amp;" "&amp;AP338&amp;" "&amp;$V$1),IF(AB338="SKLADEM",$V$6,IFERROR(IF(OR(AB338-TODAY()&gt;21,VLOOKUP(C338,[1]List1!$A:$E,4,FALSE)=0),AB338,DAY(AB338)&amp;"."&amp;MONTH(AB338)&amp;"."&amp;YEAR(AB338)&amp;" "&amp;$V$4&amp;VLOOKUP(C338,[1]List1!$A:$E,4,FALSE)&amp;" "&amp;$V$1),AB338))))</f>
        <v>AUF LAGER</v>
      </c>
      <c r="AD338" s="772" t="str">
        <f t="shared" ca="1" si="134"/>
        <v>AUF LAGER</v>
      </c>
      <c r="AE338" s="605"/>
      <c r="AF338" s="605"/>
      <c r="AG338" s="615"/>
      <c r="AH338" s="616"/>
      <c r="AI338" s="615"/>
      <c r="AJ338" s="617"/>
      <c r="AK338" s="617"/>
      <c r="AL338" s="617"/>
      <c r="AM338" s="617"/>
      <c r="AO338" s="567" t="str">
        <f t="shared" si="121"/>
        <v/>
      </c>
      <c r="AP338" s="568" t="str">
        <f>IF(AB338=$V$3,IF(VLOOKUP(C338,[1]List1!$A:$E,5,FALSE)=0,1,VLOOKUP(C338,[1]List1!$A:$E,5,FALSE)),"")</f>
        <v/>
      </c>
      <c r="AQ338" s="292" t="str">
        <f t="shared" si="122"/>
        <v/>
      </c>
      <c r="AR338" s="618" t="str">
        <f t="shared" si="123"/>
        <v/>
      </c>
      <c r="AS338" s="292" t="str">
        <f t="shared" si="124"/>
        <v/>
      </c>
      <c r="AT338" s="377" t="e">
        <f t="shared" si="125"/>
        <v>#N/A</v>
      </c>
      <c r="AU338" s="292" t="e">
        <f t="shared" si="126"/>
        <v>#N/A</v>
      </c>
    </row>
    <row r="339" spans="1:47" ht="15" customHeight="1">
      <c r="A339" s="601" t="str">
        <f>Kat.!B337</f>
        <v/>
      </c>
      <c r="B339" s="601">
        <f t="shared" si="112"/>
        <v>0</v>
      </c>
      <c r="C339" s="783"/>
      <c r="D339" s="776"/>
      <c r="E339" s="760"/>
      <c r="F339" s="761"/>
      <c r="G339" s="762"/>
      <c r="H339" s="596"/>
      <c r="I339" s="763"/>
      <c r="J339" s="764"/>
      <c r="K339" s="781"/>
      <c r="L339" s="766"/>
      <c r="M339" s="764"/>
      <c r="N339" s="767"/>
      <c r="O339" s="763"/>
      <c r="P339" s="763"/>
      <c r="Q339" s="764"/>
      <c r="R339" s="764"/>
      <c r="S339" s="764"/>
      <c r="T339" s="761"/>
      <c r="U339" s="768"/>
      <c r="V339" s="768"/>
      <c r="W339" s="769" t="str">
        <f>IFERROR(VLOOKUP('General price list'!$C339,Popisy!A:P,MATCH($W$17,Popisy!$A$7:$P$7,0),FALSE),"---------------")</f>
        <v>---------------</v>
      </c>
      <c r="X339" s="769" t="str">
        <f t="shared" si="133"/>
        <v/>
      </c>
      <c r="Y339" s="770">
        <f>IF(OR(AP339&lt;AA339,AND(NOT(OR(LEFT(AB339,3)="SKL",LEFT(AB339,3)=LEFT($V$2,3))),AA339&gt;0),AND('Deutsche Markt'!$AH$1=FALSE,J339="F4",AA339&gt;0)),"",AA339)</f>
        <v>0</v>
      </c>
      <c r="Z339" s="769"/>
      <c r="AA339" s="771">
        <f>'Deutsche Markt'!AA339</f>
        <v>0</v>
      </c>
      <c r="AB339" s="772" t="str">
        <f>IFERROR(IF(VLOOKUP(C339,[1]List1!$A:$D,2,FALSE)="VYPRODÁNO",$V$9,IF(VLOOKUP(C339,[1]List1!$A:$D,2,FALSE)="DOCHÁZÍ",$V$3,VLOOKUP(C339,[1]List1!$A:$D,2,FALSE))),"OFFLINE!")</f>
        <v>OFFLINE!</v>
      </c>
      <c r="AC339" s="772" t="str">
        <f ca="1">IF(AO339="NE",$V$10,IF(AB339=$V$3,IF(AP339&lt;1,$V$8,$V$2&amp;" "&amp;AP339&amp;" "&amp;$V$1),IF(AB339="SKLADEM",$V$6,IFERROR(IF(OR(AB339-TODAY()&gt;21,VLOOKUP(C339,[1]List1!$A:$E,4,FALSE)=0),AB339,DAY(AB339)&amp;"."&amp;MONTH(AB339)&amp;"."&amp;YEAR(AB339)&amp;" "&amp;$V$4&amp;VLOOKUP(C339,[1]List1!$A:$E,4,FALSE)&amp;" "&amp;$V$1),AB339))))</f>
        <v>OFFLINE!</v>
      </c>
      <c r="AD339" s="772" t="str">
        <f t="shared" ca="1" si="134"/>
        <v>OFFLINE!</v>
      </c>
      <c r="AE339" s="605"/>
      <c r="AF339" s="605"/>
      <c r="AG339" s="615"/>
      <c r="AH339" s="616"/>
      <c r="AI339" s="615"/>
      <c r="AJ339" s="617"/>
      <c r="AK339" s="617"/>
      <c r="AL339" s="617"/>
      <c r="AM339" s="617"/>
      <c r="AN339" s="292"/>
      <c r="AO339" s="567" t="str">
        <f t="shared" si="121"/>
        <v/>
      </c>
      <c r="AP339" s="568" t="str">
        <f>IF(AB339=$V$3,IF(VLOOKUP(C339,[1]List1!$A:$E,5,FALSE)=0,1,VLOOKUP(C339,[1]List1!$A:$E,5,FALSE)),"")</f>
        <v/>
      </c>
      <c r="AQ339" s="292" t="str">
        <f t="shared" si="122"/>
        <v/>
      </c>
      <c r="AR339" s="618" t="str">
        <f t="shared" si="123"/>
        <v/>
      </c>
      <c r="AS339" s="292" t="str">
        <f t="shared" si="124"/>
        <v/>
      </c>
      <c r="AT339" s="377" t="e">
        <f t="shared" si="125"/>
        <v>#N/A</v>
      </c>
      <c r="AU339" s="292" t="e">
        <f t="shared" si="126"/>
        <v>#N/A</v>
      </c>
    </row>
    <row r="340" spans="1:47" ht="15" customHeight="1">
      <c r="A340" s="601" t="str">
        <f>Kat.!B338</f>
        <v/>
      </c>
      <c r="B340" s="601">
        <f t="shared" si="112"/>
        <v>1</v>
      </c>
      <c r="C340" s="758" t="s">
        <v>1230</v>
      </c>
      <c r="D340" s="759"/>
      <c r="E340" s="760"/>
      <c r="F340" s="761"/>
      <c r="G340" s="762"/>
      <c r="H340" s="596"/>
      <c r="I340" s="763"/>
      <c r="J340" s="764"/>
      <c r="K340" s="774"/>
      <c r="L340" s="766"/>
      <c r="M340" s="764"/>
      <c r="N340" s="767"/>
      <c r="O340" s="763"/>
      <c r="P340" s="763"/>
      <c r="Q340" s="764"/>
      <c r="R340" s="764"/>
      <c r="S340" s="764"/>
      <c r="T340" s="761"/>
      <c r="U340" s="768"/>
      <c r="V340" s="768"/>
      <c r="W340" s="769" t="str">
        <f>IFERROR(VLOOKUP('General price list'!$C340,Popisy!A:P,MATCH($W$17,Popisy!$A$7:$P$7,0),FALSE),"---------------")</f>
        <v>8 verschiedenfarbige Effekte</v>
      </c>
      <c r="X340" s="769" t="str">
        <f t="shared" si="133"/>
        <v/>
      </c>
      <c r="Y340" s="770">
        <f>IF(OR(AP340&lt;AA340,AND(NOT(OR(LEFT(AB340,3)="SKL",LEFT(AB340,3)=LEFT($V$2,3))),AA340&gt;0),AND('Deutsche Markt'!$AH$1=FALSE,J340="F4",AA340&gt;0)),"",AA340)</f>
        <v>0</v>
      </c>
      <c r="Z340" s="769"/>
      <c r="AA340" s="771">
        <f>'Deutsche Markt'!AA340</f>
        <v>0</v>
      </c>
      <c r="AB340" s="772" t="str">
        <f>IFERROR(IF(VLOOKUP(C340,[1]List1!$A:$D,2,FALSE)="VYPRODÁNO",$V$9,IF(VLOOKUP(C340,[1]List1!$A:$D,2,FALSE)="DOCHÁZÍ",$V$3,VLOOKUP(C340,[1]List1!$A:$D,2,FALSE))),"OFFLINE!")</f>
        <v>SKLADEM</v>
      </c>
      <c r="AC340" s="772" t="str">
        <f ca="1">IF(AO340="NE",$V$10,IF(AB340=$V$3,IF(AP340&lt;1,$V$8,$V$2&amp;" "&amp;AP340&amp;" "&amp;$V$1),IF(AB340="SKLADEM",$V$6,IFERROR(IF(OR(AB340-TODAY()&gt;21,VLOOKUP(C340,[1]List1!$A:$E,4,FALSE)=0),AB340,DAY(AB340)&amp;"."&amp;MONTH(AB340)&amp;"."&amp;YEAR(AB340)&amp;" "&amp;$V$4&amp;VLOOKUP(C340,[1]List1!$A:$E,4,FALSE)&amp;" "&amp;$V$1),AB340))))</f>
        <v>AUF LAGER</v>
      </c>
      <c r="AD340" s="772" t="str">
        <f t="shared" ca="1" si="134"/>
        <v>AUF LAGER</v>
      </c>
      <c r="AE340" s="605"/>
      <c r="AF340" s="605"/>
      <c r="AG340" s="615"/>
      <c r="AH340" s="616"/>
      <c r="AI340" s="615"/>
      <c r="AJ340" s="617"/>
      <c r="AK340" s="617"/>
      <c r="AL340" s="617"/>
      <c r="AM340" s="617"/>
      <c r="AN340" s="292"/>
      <c r="AO340" s="567" t="str">
        <f t="shared" si="121"/>
        <v/>
      </c>
      <c r="AP340" s="568" t="str">
        <f>IF(AB340=$V$3,IF(VLOOKUP(C340,[1]List1!$A:$E,5,FALSE)=0,1,VLOOKUP(C340,[1]List1!$A:$E,5,FALSE)),"")</f>
        <v/>
      </c>
      <c r="AQ340" s="292" t="str">
        <f t="shared" si="122"/>
        <v/>
      </c>
      <c r="AR340" s="618" t="str">
        <f t="shared" si="123"/>
        <v/>
      </c>
      <c r="AS340" s="292" t="str">
        <f t="shared" si="124"/>
        <v/>
      </c>
      <c r="AT340" s="377" t="e">
        <f t="shared" si="125"/>
        <v>#N/A</v>
      </c>
      <c r="AU340" s="292" t="e">
        <f t="shared" si="126"/>
        <v>#N/A</v>
      </c>
    </row>
    <row r="341" spans="1:47" ht="15" customHeight="1">
      <c r="A341" s="601" t="str">
        <f>Kat.!B339</f>
        <v>Batterien 48 schuss, 25mm gerader+schräg Mörser-1.3G</v>
      </c>
      <c r="B341" s="601">
        <f t="shared" si="112"/>
        <v>0</v>
      </c>
      <c r="C341" s="778"/>
      <c r="D341" s="778"/>
      <c r="E341" s="778"/>
      <c r="F341" s="779"/>
      <c r="G341" s="778"/>
      <c r="H341" s="778"/>
      <c r="I341" s="778"/>
      <c r="J341" s="778"/>
      <c r="K341" s="781"/>
      <c r="L341" s="778"/>
      <c r="M341" s="778"/>
      <c r="N341" s="778"/>
      <c r="O341" s="778"/>
      <c r="P341" s="778"/>
      <c r="Q341" s="778"/>
      <c r="R341" s="778"/>
      <c r="S341" s="778"/>
      <c r="T341" s="778"/>
      <c r="U341" s="778"/>
      <c r="V341" s="778"/>
      <c r="W341" s="778" t="str">
        <f>IFERROR(VLOOKUP('General price list'!$C341,Popisy!A:P,MATCH($W$17,Popisy!$A$7:$P$7,0),FALSE),"---------------")</f>
        <v>---------------</v>
      </c>
      <c r="X341" s="778" t="str">
        <f t="shared" si="133"/>
        <v/>
      </c>
      <c r="Y341" s="770">
        <f>IF(OR(AP341&lt;AA341,AND(NOT(OR(LEFT(AB341,3)="SKL",LEFT(AB341,3)=LEFT($V$2,3))),AA341&gt;0),AND('Deutsche Markt'!$AH$1=FALSE,J341="F4",AA341&gt;0)),"",AA341)</f>
        <v>0</v>
      </c>
      <c r="Z341" s="778"/>
      <c r="AA341" s="771">
        <f>'Deutsche Markt'!AA341</f>
        <v>0</v>
      </c>
      <c r="AB341" s="778" t="str">
        <f>IFERROR(IF(VLOOKUP(C341,[1]List1!$A:$D,2,FALSE)="VYPRODÁNO",$V$9,IF(VLOOKUP(C341,[1]List1!$A:$D,2,FALSE)="DOCHÁZÍ",$V$3,VLOOKUP(C341,[1]List1!$A:$D,2,FALSE))),"OFFLINE!")</f>
        <v>OFFLINE!</v>
      </c>
      <c r="AC341" s="778" t="str">
        <f ca="1">IF(AO341="NE",$V$10,IF(AB341=$V$3,IF(AP341&lt;1,$V$8,$V$2&amp;" "&amp;AP341&amp;" "&amp;$V$1),IF(AB341="SKLADEM",$V$6,IFERROR(IF(OR(AB341-TODAY()&gt;21,VLOOKUP(C341,[1]List1!$A:$E,4,FALSE)=0),AB341,DAY(AB341)&amp;"."&amp;MONTH(AB341)&amp;"."&amp;YEAR(AB341)&amp;" "&amp;$V$4&amp;VLOOKUP(C341,[1]List1!$A:$E,4,FALSE)&amp;" "&amp;$V$1),AB341))))</f>
        <v>OFFLINE!</v>
      </c>
      <c r="AD341" s="778" t="str">
        <f t="shared" ca="1" si="134"/>
        <v>OFFLINE!</v>
      </c>
      <c r="AE341" s="599"/>
      <c r="AF341" s="599"/>
      <c r="AG341" s="599"/>
      <c r="AH341" s="599"/>
      <c r="AI341" s="599"/>
      <c r="AJ341" s="599"/>
      <c r="AK341" s="599"/>
      <c r="AL341" s="599"/>
      <c r="AM341" s="599"/>
      <c r="AN341" s="566"/>
      <c r="AO341" s="567" t="str">
        <f t="shared" si="121"/>
        <v/>
      </c>
      <c r="AP341" s="568" t="str">
        <f>IF(AB341=$V$3,IF(VLOOKUP(C341,[1]List1!$A:$E,5,FALSE)=0,1,VLOOKUP(C341,[1]List1!$A:$E,5,FALSE)),"")</f>
        <v/>
      </c>
      <c r="AQ341" s="292" t="str">
        <f t="shared" si="122"/>
        <v/>
      </c>
      <c r="AR341" s="618" t="str">
        <f t="shared" si="123"/>
        <v/>
      </c>
      <c r="AS341" s="292" t="str">
        <f t="shared" si="124"/>
        <v/>
      </c>
      <c r="AT341" s="377" t="e">
        <f t="shared" si="125"/>
        <v>#N/A</v>
      </c>
      <c r="AU341" s="292" t="e">
        <f t="shared" si="126"/>
        <v>#N/A</v>
      </c>
    </row>
    <row r="342" spans="1:47" ht="15" customHeight="1">
      <c r="A342" s="601" t="str">
        <f>Kat.!B340</f>
        <v>x</v>
      </c>
      <c r="B342" s="601">
        <f t="shared" si="112"/>
        <v>1</v>
      </c>
      <c r="C342" s="775" t="s">
        <v>1233</v>
      </c>
      <c r="D342" s="776"/>
      <c r="E342" s="760"/>
      <c r="F342" s="761"/>
      <c r="G342" s="762"/>
      <c r="H342" s="596"/>
      <c r="I342" s="763"/>
      <c r="J342" s="764"/>
      <c r="K342" s="774"/>
      <c r="L342" s="766"/>
      <c r="M342" s="764"/>
      <c r="N342" s="767"/>
      <c r="O342" s="763"/>
      <c r="P342" s="763"/>
      <c r="Q342" s="764"/>
      <c r="R342" s="764"/>
      <c r="S342" s="764"/>
      <c r="T342" s="764"/>
      <c r="U342" s="768"/>
      <c r="V342" s="768"/>
      <c r="W342" s="769" t="str">
        <f>IFERROR(VLOOKUP('General price list'!$C342,Popisy!A:P,MATCH($W$17,Popisy!$A$7:$P$7,0),FALSE),"---------------")</f>
        <v>7 verschiedenfarbige Effekte</v>
      </c>
      <c r="X342" s="769" t="str">
        <f t="shared" si="133"/>
        <v/>
      </c>
      <c r="Y342" s="770">
        <f>IF(OR(AP342&lt;AA342,AND(NOT(OR(LEFT(AB342,3)="SKL",LEFT(AB342,3)=LEFT($V$2,3))),AA342&gt;0),AND('Deutsche Markt'!$AH$1=FALSE,J342="F4",AA342&gt;0)),"",AA342)</f>
        <v>0</v>
      </c>
      <c r="Z342" s="769"/>
      <c r="AA342" s="771">
        <f>'Deutsche Markt'!AA342</f>
        <v>0</v>
      </c>
      <c r="AB342" s="772" t="str">
        <f>IFERROR(IF(VLOOKUP(C342,[1]List1!$A:$D,2,FALSE)="VYPRODÁNO",$V$9,IF(VLOOKUP(C342,[1]List1!$A:$D,2,FALSE)="DOCHÁZÍ",$V$3,VLOOKUP(C342,[1]List1!$A:$D,2,FALSE))),"OFFLINE!")</f>
        <v>SKLADEM</v>
      </c>
      <c r="AC342" s="772" t="str">
        <f ca="1">IF(AO342="NE",$V$10,IF(AB342=$V$3,IF(AP342&lt;1,$V$8,$V$2&amp;" "&amp;AP342&amp;" "&amp;$V$1),IF(AB342="SKLADEM",$V$6,IFERROR(IF(OR(AB342-TODAY()&gt;21,VLOOKUP(C342,[1]List1!$A:$E,4,FALSE)=0),AB342,DAY(AB342)&amp;"."&amp;MONTH(AB342)&amp;"."&amp;YEAR(AB342)&amp;" "&amp;$V$4&amp;VLOOKUP(C342,[1]List1!$A:$E,4,FALSE)&amp;" "&amp;$V$1),AB342))))</f>
        <v>AUF LAGER</v>
      </c>
      <c r="AD342" s="772" t="str">
        <f t="shared" ca="1" si="134"/>
        <v>AUF LAGER</v>
      </c>
      <c r="AE342" s="605"/>
      <c r="AF342" s="605"/>
      <c r="AG342" s="615"/>
      <c r="AH342" s="616"/>
      <c r="AI342" s="615"/>
      <c r="AJ342" s="617"/>
      <c r="AK342" s="617"/>
      <c r="AL342" s="617"/>
      <c r="AM342" s="617"/>
      <c r="AN342" s="292"/>
      <c r="AO342" s="567" t="str">
        <f t="shared" si="121"/>
        <v/>
      </c>
      <c r="AP342" s="568" t="str">
        <f>IF(AB342=$V$3,IF(VLOOKUP(C342,[1]List1!$A:$E,5,FALSE)=0,1,VLOOKUP(C342,[1]List1!$A:$E,5,FALSE)),"")</f>
        <v/>
      </c>
      <c r="AQ342" s="292" t="str">
        <f t="shared" si="122"/>
        <v/>
      </c>
      <c r="AR342" s="618" t="str">
        <f t="shared" si="123"/>
        <v/>
      </c>
      <c r="AS342" s="292" t="str">
        <f t="shared" si="124"/>
        <v/>
      </c>
      <c r="AT342" s="377" t="e">
        <f t="shared" si="125"/>
        <v>#N/A</v>
      </c>
      <c r="AU342" s="292" t="e">
        <f t="shared" si="126"/>
        <v>#N/A</v>
      </c>
    </row>
    <row r="343" spans="1:47" ht="15" customHeight="1">
      <c r="A343" s="601" t="str">
        <f>Kat.!B341</f>
        <v>Batterien 49 schuss, 25mm Mörser-F2-1.3G</v>
      </c>
      <c r="B343" s="601">
        <f t="shared" si="112"/>
        <v>1</v>
      </c>
      <c r="C343" s="758" t="s">
        <v>1235</v>
      </c>
      <c r="D343" s="776"/>
      <c r="E343" s="760"/>
      <c r="F343" s="761"/>
      <c r="G343" s="762"/>
      <c r="H343" s="596"/>
      <c r="I343" s="763"/>
      <c r="J343" s="764"/>
      <c r="K343" s="781"/>
      <c r="L343" s="766"/>
      <c r="M343" s="764"/>
      <c r="N343" s="767"/>
      <c r="O343" s="763"/>
      <c r="P343" s="763"/>
      <c r="Q343" s="764"/>
      <c r="R343" s="764"/>
      <c r="S343" s="764"/>
      <c r="T343" s="764"/>
      <c r="U343" s="768"/>
      <c r="V343" s="768"/>
      <c r="W343" s="769" t="str">
        <f>IFERROR(VLOOKUP('General price list'!$C343,Popisy!A:P,MATCH($W$17,Popisy!$A$7:$P$7,0),FALSE),"---------------")</f>
        <v>7 verschiedenfarbige Effekte</v>
      </c>
      <c r="X343" s="769" t="str">
        <f t="shared" si="133"/>
        <v/>
      </c>
      <c r="Y343" s="770">
        <f>IF(OR(AP343&lt;AA343,AND(NOT(OR(LEFT(AB343,3)="SKL",LEFT(AB343,3)=LEFT($V$2,3))),AA343&gt;0),AND('Deutsche Markt'!$AH$1=FALSE,J343="F4",AA343&gt;0)),"",AA343)</f>
        <v>0</v>
      </c>
      <c r="Z343" s="769"/>
      <c r="AA343" s="771">
        <f>'Deutsche Markt'!AA343</f>
        <v>0</v>
      </c>
      <c r="AB343" s="772" t="str">
        <f>IFERROR(IF(VLOOKUP(C343,[1]List1!$A:$D,2,FALSE)="VYPRODÁNO",$V$9,IF(VLOOKUP(C343,[1]List1!$A:$D,2,FALSE)="DOCHÁZÍ",$V$3,VLOOKUP(C343,[1]List1!$A:$D,2,FALSE))),"OFFLINE!")</f>
        <v>SKLADEM</v>
      </c>
      <c r="AC343" s="772" t="str">
        <f ca="1">IF(AO343="NE",$V$10,IF(AB343=$V$3,IF(AP343&lt;1,$V$8,$V$2&amp;" "&amp;AP343&amp;" "&amp;$V$1),IF(AB343="SKLADEM",$V$6,IFERROR(IF(OR(AB343-TODAY()&gt;21,VLOOKUP(C343,[1]List1!$A:$E,4,FALSE)=0),AB343,DAY(AB343)&amp;"."&amp;MONTH(AB343)&amp;"."&amp;YEAR(AB343)&amp;" "&amp;$V$4&amp;VLOOKUP(C343,[1]List1!$A:$E,4,FALSE)&amp;" "&amp;$V$1),AB343))))</f>
        <v>AUF LAGER</v>
      </c>
      <c r="AD343" s="772" t="str">
        <f t="shared" ca="1" si="134"/>
        <v>AUF LAGER</v>
      </c>
      <c r="AE343" s="605"/>
      <c r="AF343" s="605"/>
      <c r="AG343" s="615"/>
      <c r="AH343" s="616"/>
      <c r="AI343" s="615"/>
      <c r="AJ343" s="617"/>
      <c r="AK343" s="617"/>
      <c r="AL343" s="617"/>
      <c r="AM343" s="617"/>
      <c r="AO343" s="567" t="str">
        <f t="shared" si="121"/>
        <v/>
      </c>
      <c r="AP343" s="568" t="str">
        <f>IF(AB343=$V$3,IF(VLOOKUP(C343,[1]List1!$A:$E,5,FALSE)=0,1,VLOOKUP(C343,[1]List1!$A:$E,5,FALSE)),"")</f>
        <v/>
      </c>
      <c r="AQ343" s="292" t="str">
        <f t="shared" si="122"/>
        <v/>
      </c>
      <c r="AR343" s="618" t="str">
        <f t="shared" si="123"/>
        <v/>
      </c>
      <c r="AS343" s="292" t="str">
        <f t="shared" si="124"/>
        <v/>
      </c>
      <c r="AT343" s="377" t="e">
        <f t="shared" si="125"/>
        <v>#N/A</v>
      </c>
      <c r="AU343" s="292" t="e">
        <f t="shared" si="126"/>
        <v>#N/A</v>
      </c>
    </row>
    <row r="344" spans="1:47" ht="15" customHeight="1">
      <c r="A344" s="601" t="str">
        <f>Kat.!B342</f>
        <v/>
      </c>
      <c r="B344" s="601">
        <f t="shared" si="112"/>
        <v>1</v>
      </c>
      <c r="C344" s="758" t="s">
        <v>1236</v>
      </c>
      <c r="D344" s="776"/>
      <c r="E344" s="760"/>
      <c r="F344" s="761"/>
      <c r="G344" s="762"/>
      <c r="H344" s="596"/>
      <c r="I344" s="763"/>
      <c r="J344" s="764"/>
      <c r="K344" s="774"/>
      <c r="L344" s="766"/>
      <c r="M344" s="764"/>
      <c r="N344" s="767"/>
      <c r="O344" s="763"/>
      <c r="P344" s="763"/>
      <c r="Q344" s="764"/>
      <c r="R344" s="764"/>
      <c r="S344" s="764"/>
      <c r="T344" s="764"/>
      <c r="U344" s="768"/>
      <c r="V344" s="768"/>
      <c r="W344" s="769" t="str">
        <f>IFERROR(VLOOKUP('General price list'!$C344,Popisy!A:P,MATCH($W$17,Popisy!$A$7:$P$7,0),FALSE),"---------------")</f>
        <v>7 verschiedenfarbige Effekte</v>
      </c>
      <c r="X344" s="769" t="str">
        <f t="shared" si="133"/>
        <v/>
      </c>
      <c r="Y344" s="770">
        <f>IF(OR(AP344&lt;AA344,AND(NOT(OR(LEFT(AB344,3)="SKL",LEFT(AB344,3)=LEFT($V$2,3))),AA344&gt;0),AND('Deutsche Markt'!$AH$1=FALSE,J344="F4",AA344&gt;0)),"",AA344)</f>
        <v>0</v>
      </c>
      <c r="Z344" s="769"/>
      <c r="AA344" s="771">
        <f>'Deutsche Markt'!AA344</f>
        <v>0</v>
      </c>
      <c r="AB344" s="772" t="str">
        <f>IFERROR(IF(VLOOKUP(C344,[1]List1!$A:$D,2,FALSE)="VYPRODÁNO",$V$9,IF(VLOOKUP(C344,[1]List1!$A:$D,2,FALSE)="DOCHÁZÍ",$V$3,VLOOKUP(C344,[1]List1!$A:$D,2,FALSE))),"OFFLINE!")</f>
        <v>SKLADEM</v>
      </c>
      <c r="AC344" s="772" t="str">
        <f ca="1">IF(AO344="NE",$V$10,IF(AB344=$V$3,IF(AP344&lt;1,$V$8,$V$2&amp;" "&amp;AP344&amp;" "&amp;$V$1),IF(AB344="SKLADEM",$V$6,IFERROR(IF(OR(AB344-TODAY()&gt;21,VLOOKUP(C344,[1]List1!$A:$E,4,FALSE)=0),AB344,DAY(AB344)&amp;"."&amp;MONTH(AB344)&amp;"."&amp;YEAR(AB344)&amp;" "&amp;$V$4&amp;VLOOKUP(C344,[1]List1!$A:$E,4,FALSE)&amp;" "&amp;$V$1),AB344))))</f>
        <v>AUF LAGER</v>
      </c>
      <c r="AD344" s="772" t="str">
        <f t="shared" ca="1" si="134"/>
        <v>AUF LAGER</v>
      </c>
      <c r="AE344" s="605"/>
      <c r="AF344" s="605"/>
      <c r="AG344" s="615"/>
      <c r="AH344" s="616"/>
      <c r="AI344" s="615"/>
      <c r="AJ344" s="617"/>
      <c r="AK344" s="617"/>
      <c r="AL344" s="617"/>
      <c r="AM344" s="617"/>
      <c r="AO344" s="567" t="str">
        <f t="shared" si="121"/>
        <v/>
      </c>
      <c r="AP344" s="568" t="str">
        <f>IF(AB344=$V$3,IF(VLOOKUP(C344,[1]List1!$A:$E,5,FALSE)=0,1,VLOOKUP(C344,[1]List1!$A:$E,5,FALSE)),"")</f>
        <v/>
      </c>
      <c r="AQ344" s="292" t="str">
        <f t="shared" si="122"/>
        <v/>
      </c>
      <c r="AR344" s="618" t="str">
        <f t="shared" si="123"/>
        <v/>
      </c>
      <c r="AS344" s="292" t="str">
        <f t="shared" si="124"/>
        <v/>
      </c>
      <c r="AT344" s="377" t="e">
        <f t="shared" si="125"/>
        <v>#N/A</v>
      </c>
      <c r="AU344" s="292" t="e">
        <f t="shared" si="126"/>
        <v>#N/A</v>
      </c>
    </row>
    <row r="345" spans="1:47" ht="15" customHeight="1">
      <c r="A345" s="601" t="str">
        <f>Kat.!B343</f>
        <v/>
      </c>
      <c r="B345" s="601">
        <f t="shared" ref="B345:B408" si="135">IF(OR(L345="ZUGEWIESEN",AND(C345&lt;&gt;"",M345="")),1,IF(AB345=$V$3,1,0))</f>
        <v>0</v>
      </c>
      <c r="C345" s="758"/>
      <c r="D345" s="776"/>
      <c r="E345" s="760"/>
      <c r="F345" s="761"/>
      <c r="G345" s="762"/>
      <c r="H345" s="596"/>
      <c r="I345" s="763"/>
      <c r="J345" s="764"/>
      <c r="K345" s="781"/>
      <c r="L345" s="766"/>
      <c r="M345" s="764"/>
      <c r="N345" s="767"/>
      <c r="O345" s="763"/>
      <c r="P345" s="763"/>
      <c r="Q345" s="764"/>
      <c r="R345" s="764"/>
      <c r="S345" s="764"/>
      <c r="T345" s="764"/>
      <c r="U345" s="768"/>
      <c r="V345" s="768"/>
      <c r="W345" s="769" t="str">
        <f>IFERROR(VLOOKUP('General price list'!$C345,Popisy!A:P,MATCH($W$17,Popisy!$A$7:$P$7,0),FALSE),"---------------")</f>
        <v>---------------</v>
      </c>
      <c r="X345" s="769" t="str">
        <f t="shared" si="133"/>
        <v/>
      </c>
      <c r="Y345" s="770">
        <f>IF(OR(AP345&lt;AA345,AND(NOT(OR(LEFT(AB345,3)="SKL",LEFT(AB345,3)=LEFT($V$2,3))),AA345&gt;0),AND('Deutsche Markt'!$AH$1=FALSE,J345="F4",AA345&gt;0)),"",AA345)</f>
        <v>0</v>
      </c>
      <c r="Z345" s="769"/>
      <c r="AA345" s="771">
        <f>'Deutsche Markt'!AA345</f>
        <v>0</v>
      </c>
      <c r="AB345" s="772" t="str">
        <f>IFERROR(IF(VLOOKUP(C345,[1]List1!$A:$D,2,FALSE)="VYPRODÁNO",$V$9,IF(VLOOKUP(C345,[1]List1!$A:$D,2,FALSE)="DOCHÁZÍ",$V$3,VLOOKUP(C345,[1]List1!$A:$D,2,FALSE))),"OFFLINE!")</f>
        <v>OFFLINE!</v>
      </c>
      <c r="AC345" s="772" t="str">
        <f ca="1">IF(AO345="NE",$V$10,IF(AB345=$V$3,IF(AP345&lt;1,$V$8,$V$2&amp;" "&amp;AP345&amp;" "&amp;$V$1),IF(AB345="SKLADEM",$V$6,IFERROR(IF(OR(AB345-TODAY()&gt;21,VLOOKUP(C345,[1]List1!$A:$E,4,FALSE)=0),AB345,DAY(AB345)&amp;"."&amp;MONTH(AB345)&amp;"."&amp;YEAR(AB345)&amp;" "&amp;$V$4&amp;VLOOKUP(C345,[1]List1!$A:$E,4,FALSE)&amp;" "&amp;$V$1),AB345))))</f>
        <v>OFFLINE!</v>
      </c>
      <c r="AD345" s="772" t="str">
        <f t="shared" ca="1" si="134"/>
        <v>OFFLINE!</v>
      </c>
      <c r="AE345" s="605"/>
      <c r="AF345" s="605"/>
      <c r="AG345" s="615"/>
      <c r="AH345" s="616"/>
      <c r="AI345" s="615"/>
      <c r="AJ345" s="617"/>
      <c r="AK345" s="617"/>
      <c r="AL345" s="617"/>
      <c r="AM345" s="617"/>
      <c r="AO345" s="567" t="str">
        <f t="shared" si="121"/>
        <v/>
      </c>
      <c r="AP345" s="568" t="str">
        <f>IF(AB345=$V$3,IF(VLOOKUP(C345,[1]List1!$A:$E,5,FALSE)=0,1,VLOOKUP(C345,[1]List1!$A:$E,5,FALSE)),"")</f>
        <v/>
      </c>
      <c r="AQ345" s="292" t="str">
        <f t="shared" si="122"/>
        <v/>
      </c>
      <c r="AR345" s="618" t="str">
        <f t="shared" si="123"/>
        <v/>
      </c>
      <c r="AS345" s="292" t="str">
        <f t="shared" si="124"/>
        <v/>
      </c>
      <c r="AT345" s="377" t="e">
        <f t="shared" si="125"/>
        <v>#N/A</v>
      </c>
      <c r="AU345" s="292" t="e">
        <f t="shared" si="126"/>
        <v>#N/A</v>
      </c>
    </row>
    <row r="346" spans="1:47" ht="15" customHeight="1">
      <c r="A346" s="601" t="str">
        <f>Kat.!B344</f>
        <v/>
      </c>
      <c r="B346" s="601">
        <f t="shared" si="135"/>
        <v>1</v>
      </c>
      <c r="C346" s="758" t="s">
        <v>1238</v>
      </c>
      <c r="D346" s="776"/>
      <c r="E346" s="760"/>
      <c r="F346" s="761"/>
      <c r="G346" s="762"/>
      <c r="H346" s="596"/>
      <c r="I346" s="763"/>
      <c r="J346" s="764"/>
      <c r="K346" s="774"/>
      <c r="L346" s="766"/>
      <c r="M346" s="764"/>
      <c r="N346" s="767"/>
      <c r="O346" s="763"/>
      <c r="P346" s="763"/>
      <c r="Q346" s="764"/>
      <c r="R346" s="764"/>
      <c r="S346" s="764"/>
      <c r="T346" s="764"/>
      <c r="U346" s="768"/>
      <c r="V346" s="768"/>
      <c r="W346" s="769"/>
      <c r="X346" s="769"/>
      <c r="Y346" s="770">
        <f>IF(OR(AP346&lt;AA346,AND(NOT(OR(LEFT(AB346,3)="SKL",LEFT(AB346,3)=LEFT($V$2,3))),AA346&gt;0),AND('Deutsche Markt'!$AH$1=FALSE,J346="F4",AA346&gt;0)),"",AA346)</f>
        <v>0</v>
      </c>
      <c r="Z346" s="769"/>
      <c r="AA346" s="771">
        <f>'Deutsche Markt'!AA346</f>
        <v>0</v>
      </c>
      <c r="AB346" s="772"/>
      <c r="AC346" s="772"/>
      <c r="AD346" s="772"/>
      <c r="AE346" s="605"/>
      <c r="AF346" s="605"/>
      <c r="AG346" s="615"/>
      <c r="AH346" s="616"/>
      <c r="AI346" s="615"/>
      <c r="AJ346" s="617"/>
      <c r="AK346" s="617"/>
      <c r="AL346" s="617"/>
      <c r="AM346" s="617"/>
      <c r="AO346" s="567" t="str">
        <f t="shared" si="121"/>
        <v/>
      </c>
      <c r="AP346" s="568" t="str">
        <f>IF(AB346=$V$3,IF(VLOOKUP(C346,[1]List1!$A:$E,5,FALSE)=0,1,VLOOKUP(C346,[1]List1!$A:$E,5,FALSE)),"")</f>
        <v/>
      </c>
      <c r="AQ346" s="292" t="str">
        <f t="shared" si="122"/>
        <v/>
      </c>
      <c r="AR346" s="618" t="str">
        <f t="shared" si="123"/>
        <v/>
      </c>
      <c r="AS346" s="292" t="str">
        <f t="shared" si="124"/>
        <v/>
      </c>
      <c r="AT346" s="377" t="e">
        <f t="shared" si="125"/>
        <v>#N/A</v>
      </c>
      <c r="AU346" s="292" t="e">
        <f t="shared" si="126"/>
        <v>#N/A</v>
      </c>
    </row>
    <row r="347" spans="1:47" ht="15" customHeight="1">
      <c r="A347" s="599" t="str">
        <f>Kat.!$B$1&amp;Kat.!B345</f>
        <v>Batterien 49 schuss, 25mm Mörser-F2-1.4G</v>
      </c>
      <c r="B347" s="601">
        <f t="shared" si="135"/>
        <v>1</v>
      </c>
      <c r="C347" s="599" t="s">
        <v>1239</v>
      </c>
      <c r="D347" s="599"/>
      <c r="E347" s="599"/>
      <c r="F347" s="600"/>
      <c r="G347" s="599"/>
      <c r="H347" s="599"/>
      <c r="I347" s="599"/>
      <c r="J347" s="599"/>
      <c r="K347" s="708"/>
      <c r="L347" s="599"/>
      <c r="M347" s="599"/>
      <c r="N347" s="599"/>
      <c r="O347" s="599"/>
      <c r="P347" s="599"/>
      <c r="Q347" s="599"/>
      <c r="R347" s="599"/>
      <c r="S347" s="599"/>
      <c r="T347" s="599"/>
      <c r="U347" s="599"/>
      <c r="V347" s="599"/>
      <c r="W347" s="599" t="str">
        <f>IFERROR(VLOOKUP('General price list'!$C347,Popisy!A:P,MATCH($W$17,Popisy!$A$7:$P$7,0),FALSE),"---------------")</f>
        <v>7 verschiedenfarbige Effekte - ohne Lärm</v>
      </c>
      <c r="X347" s="599" t="str">
        <f t="shared" ref="X347:X359" si="136">IF(AA347&lt;0.0001,"",AA347)</f>
        <v/>
      </c>
      <c r="Y347" s="770">
        <f>IF(OR(AP347&lt;AA347,AND(NOT(OR(LEFT(AB347,3)="SKL",LEFT(AB347,3)=LEFT($V$2,3))),AA347&gt;0),AND('Deutsche Markt'!$AH$1=FALSE,J347="F4",AA347&gt;0)),"",AA347)</f>
        <v>0</v>
      </c>
      <c r="Z347" s="599"/>
      <c r="AA347" s="771">
        <f>'Deutsche Markt'!AA347</f>
        <v>0</v>
      </c>
      <c r="AB347" s="599" t="str">
        <f>IFERROR(IF(VLOOKUP(C347,[1]List1!$A:$D,2,FALSE)="VYPRODÁNO",$V$9,IF(VLOOKUP(C347,[1]List1!$A:$D,2,FALSE)="DOCHÁZÍ",$V$3,VLOOKUP(C347,[1]List1!$A:$D,2,FALSE))),"OFFLINE!")</f>
        <v>SKLADEM</v>
      </c>
      <c r="AC347" s="599" t="str">
        <f ca="1">IF(AO347="NE",$V$10,IF(AB347=$V$3,IF(AP347&lt;1,$V$8,$V$2&amp;" "&amp;AP347&amp;" "&amp;$V$1),IF(AB347="SKLADEM",$V$6,IFERROR(IF(OR(AB347-TODAY()&gt;21,VLOOKUP(C347,[1]List1!$A:$E,4,FALSE)=0),AB347,DAY(AB347)&amp;"."&amp;MONTH(AB347)&amp;"."&amp;YEAR(AB347)&amp;" "&amp;$V$4&amp;VLOOKUP(C347,[1]List1!$A:$E,4,FALSE)&amp;" "&amp;$V$1),AB347))))</f>
        <v>AUF LAGER</v>
      </c>
      <c r="AD347" s="599" t="str">
        <f t="shared" ref="AD347:AD359" ca="1" si="137">IFERROR(IF(AU347&lt;&gt;"",AU347,AC347),AC347)</f>
        <v>AUF LAGER</v>
      </c>
      <c r="AE347" s="599"/>
      <c r="AF347" s="599"/>
      <c r="AG347" s="599"/>
      <c r="AH347" s="599"/>
      <c r="AI347" s="599"/>
      <c r="AJ347" s="599"/>
      <c r="AK347" s="599"/>
      <c r="AL347" s="599"/>
      <c r="AM347" s="599"/>
      <c r="AN347" s="566"/>
      <c r="AO347" s="567" t="str">
        <f t="shared" si="121"/>
        <v/>
      </c>
      <c r="AP347" s="292" t="str">
        <f>IF(AB347=$V$3,IF(VLOOKUP(C347,[1]List1!$A:$E,5,FALSE)=0,1,VLOOKUP(C347,[1]List1!$A:$E,5,FALSE)),"")</f>
        <v/>
      </c>
      <c r="AQ347" s="292" t="str">
        <f t="shared" si="122"/>
        <v/>
      </c>
      <c r="AR347" s="618" t="str">
        <f t="shared" si="123"/>
        <v/>
      </c>
      <c r="AS347" s="292" t="str">
        <f t="shared" si="124"/>
        <v/>
      </c>
      <c r="AT347" s="377" t="e">
        <f t="shared" si="125"/>
        <v>#N/A</v>
      </c>
      <c r="AU347" s="292" t="e">
        <f t="shared" si="126"/>
        <v>#N/A</v>
      </c>
    </row>
    <row r="348" spans="1:47" ht="15" customHeight="1">
      <c r="A348" s="601" t="str">
        <f>Kat.!B346</f>
        <v/>
      </c>
      <c r="B348" s="601">
        <f t="shared" si="135"/>
        <v>1</v>
      </c>
      <c r="C348" s="758" t="s">
        <v>1243</v>
      </c>
      <c r="D348" s="776"/>
      <c r="E348" s="799"/>
      <c r="F348" s="761"/>
      <c r="G348" s="762"/>
      <c r="H348" s="596"/>
      <c r="I348" s="763"/>
      <c r="J348" s="764"/>
      <c r="K348" s="765"/>
      <c r="L348" s="766"/>
      <c r="M348" s="764"/>
      <c r="N348" s="767"/>
      <c r="O348" s="763"/>
      <c r="P348" s="763"/>
      <c r="Q348" s="764"/>
      <c r="R348" s="764"/>
      <c r="S348" s="764"/>
      <c r="T348" s="761"/>
      <c r="U348" s="768"/>
      <c r="V348" s="768"/>
      <c r="W348" s="769" t="str">
        <f>IFERROR(VLOOKUP('General price list'!$C348,Popisy!A:P,MATCH($W$17,Popisy!$A$7:$P$7,0),FALSE),"---------------")</f>
        <v>7 verschiedenfarbige Effekte</v>
      </c>
      <c r="X348" s="769" t="str">
        <f t="shared" si="136"/>
        <v/>
      </c>
      <c r="Y348" s="770">
        <f>IF(OR(AP348&lt;AA348,AND(NOT(OR(LEFT(AB348,3)="SKL",LEFT(AB348,3)=LEFT($V$2,3))),AA348&gt;0),AND('Deutsche Markt'!$AH$1=FALSE,J348="F4",AA348&gt;0)),"",AA348)</f>
        <v>0</v>
      </c>
      <c r="Z348" s="769"/>
      <c r="AA348" s="771">
        <f>'Deutsche Markt'!AA348</f>
        <v>0</v>
      </c>
      <c r="AB348" s="772" t="str">
        <f>IFERROR(IF(VLOOKUP(C348,[1]List1!$A:$D,2,FALSE)="VYPRODÁNO",$V$9,IF(VLOOKUP(C348,[1]List1!$A:$D,2,FALSE)="DOCHÁZÍ",$V$3,VLOOKUP(C348,[1]List1!$A:$D,2,FALSE))),"OFFLINE!")</f>
        <v>15.06.2024</v>
      </c>
      <c r="AC348" s="772" t="str">
        <f ca="1">IF(AO348="NE",$V$10,IF(AB348=$V$3,IF(AP348&lt;1,$V$8,$V$2&amp;" "&amp;AP348&amp;" "&amp;$V$1),IF(AB348="SKLADEM",$V$6,IFERROR(IF(OR(AB348-TODAY()&gt;21,VLOOKUP(C348,[1]List1!$A:$E,4,FALSE)=0),AB348,DAY(AB348)&amp;"."&amp;MONTH(AB348)&amp;"."&amp;YEAR(AB348)&amp;" "&amp;$V$4&amp;VLOOKUP(C348,[1]List1!$A:$E,4,FALSE)&amp;" "&amp;$V$1),AB348))))</f>
        <v>15.06.2024</v>
      </c>
      <c r="AD348" s="772" t="str">
        <f t="shared" ca="1" si="137"/>
        <v>15.06.2024</v>
      </c>
      <c r="AE348" s="605"/>
      <c r="AF348" s="605"/>
      <c r="AG348" s="615"/>
      <c r="AH348" s="616"/>
      <c r="AI348" s="615"/>
      <c r="AJ348" s="617"/>
      <c r="AK348" s="617"/>
      <c r="AL348" s="617"/>
      <c r="AM348" s="617"/>
      <c r="AO348" s="567" t="str">
        <f t="shared" si="121"/>
        <v/>
      </c>
      <c r="AP348" s="568" t="str">
        <f>IF(AB348=$V$3,IF(VLOOKUP(C348,[1]List1!$A:$E,5,FALSE)=0,1,VLOOKUP(C348,[1]List1!$A:$E,5,FALSE)),"")</f>
        <v/>
      </c>
      <c r="AQ348" s="292" t="str">
        <f t="shared" si="122"/>
        <v/>
      </c>
      <c r="AR348" s="618" t="str">
        <f t="shared" si="123"/>
        <v/>
      </c>
      <c r="AS348" s="292" t="str">
        <f t="shared" si="124"/>
        <v/>
      </c>
      <c r="AT348" s="377" t="e">
        <f t="shared" si="125"/>
        <v>#N/A</v>
      </c>
      <c r="AU348" s="292" t="e">
        <f t="shared" si="126"/>
        <v>#N/A</v>
      </c>
    </row>
    <row r="349" spans="1:47" ht="15" customHeight="1">
      <c r="A349" s="601" t="str">
        <f>Kat.!B347</f>
        <v/>
      </c>
      <c r="B349" s="601">
        <f t="shared" si="135"/>
        <v>0</v>
      </c>
      <c r="C349" s="783"/>
      <c r="D349" s="783"/>
      <c r="E349" s="764"/>
      <c r="F349" s="761"/>
      <c r="G349" s="762"/>
      <c r="H349" s="596"/>
      <c r="I349" s="763"/>
      <c r="J349" s="764"/>
      <c r="K349" s="773"/>
      <c r="L349" s="769"/>
      <c r="M349" s="764"/>
      <c r="N349" s="767"/>
      <c r="O349" s="763"/>
      <c r="P349" s="763"/>
      <c r="Q349" s="764"/>
      <c r="R349" s="764"/>
      <c r="S349" s="764"/>
      <c r="T349" s="764"/>
      <c r="U349" s="768"/>
      <c r="V349" s="768"/>
      <c r="W349" s="769" t="str">
        <f>IFERROR(VLOOKUP('General price list'!$C349,Popisy!A:P,MATCH($W$17,Popisy!$A$7:$P$7,0),FALSE),"---------------")</f>
        <v>---------------</v>
      </c>
      <c r="X349" s="769" t="str">
        <f t="shared" si="136"/>
        <v/>
      </c>
      <c r="Y349" s="770">
        <f>IF(OR(AP349&lt;AA349,AND(NOT(OR(LEFT(AB349,3)="SKL",LEFT(AB349,3)=LEFT($V$2,3))),AA349&gt;0),AND('Deutsche Markt'!$AH$1=FALSE,J349="F4",AA349&gt;0)),"",AA349)</f>
        <v>0</v>
      </c>
      <c r="Z349" s="769"/>
      <c r="AA349" s="771">
        <f>'Deutsche Markt'!AA349</f>
        <v>0</v>
      </c>
      <c r="AB349" s="772" t="str">
        <f>IFERROR(IF(VLOOKUP(C349,[1]List1!$A:$D,2,FALSE)="VYPRODÁNO",$V$9,IF(VLOOKUP(C349,[1]List1!$A:$D,2,FALSE)="DOCHÁZÍ",$V$3,VLOOKUP(C349,[1]List1!$A:$D,2,FALSE))),"OFFLINE!")</f>
        <v>OFFLINE!</v>
      </c>
      <c r="AC349" s="772" t="str">
        <f ca="1">IF(AO349="NE",$V$10,IF(AB349=$V$3,IF(AP349&lt;1,$V$8,$V$2&amp;" "&amp;AP349&amp;" "&amp;$V$1),IF(AB349="SKLADEM",$V$6,IFERROR(IF(OR(AB349-TODAY()&gt;21,VLOOKUP(C349,[1]List1!$A:$E,4,FALSE)=0),AB349,DAY(AB349)&amp;"."&amp;MONTH(AB349)&amp;"."&amp;YEAR(AB349)&amp;" "&amp;$V$4&amp;VLOOKUP(C349,[1]List1!$A:$E,4,FALSE)&amp;" "&amp;$V$1),AB349))))</f>
        <v>OFFLINE!</v>
      </c>
      <c r="AD349" s="772" t="str">
        <f t="shared" ca="1" si="137"/>
        <v>OFFLINE!</v>
      </c>
      <c r="AE349" s="605"/>
      <c r="AF349" s="605"/>
      <c r="AG349" s="615"/>
      <c r="AH349" s="616"/>
      <c r="AI349" s="615"/>
      <c r="AJ349" s="617"/>
      <c r="AK349" s="617"/>
      <c r="AL349" s="617"/>
      <c r="AM349" s="617"/>
      <c r="AN349" s="292"/>
      <c r="AO349" s="567" t="str">
        <f t="shared" si="121"/>
        <v/>
      </c>
      <c r="AP349" s="568" t="str">
        <f>IF(AB349=$V$3,IF(VLOOKUP(C349,[1]List1!$A:$E,5,FALSE)=0,1,VLOOKUP(C349,[1]List1!$A:$E,5,FALSE)),"")</f>
        <v/>
      </c>
      <c r="AQ349" s="292" t="str">
        <f t="shared" si="122"/>
        <v/>
      </c>
      <c r="AR349" s="618" t="str">
        <f t="shared" si="123"/>
        <v/>
      </c>
      <c r="AS349" s="292" t="str">
        <f t="shared" si="124"/>
        <v/>
      </c>
      <c r="AT349" s="377" t="e">
        <f t="shared" si="125"/>
        <v>#N/A</v>
      </c>
      <c r="AU349" s="292" t="e">
        <f t="shared" si="126"/>
        <v>#N/A</v>
      </c>
    </row>
    <row r="350" spans="1:47" ht="15" customHeight="1">
      <c r="A350" s="601" t="str">
        <f>Kat.!B348</f>
        <v/>
      </c>
      <c r="B350" s="601">
        <f t="shared" si="135"/>
        <v>1</v>
      </c>
      <c r="C350" s="783" t="s">
        <v>1257</v>
      </c>
      <c r="D350" s="776"/>
      <c r="E350" s="799"/>
      <c r="F350" s="761"/>
      <c r="G350" s="762"/>
      <c r="H350" s="596"/>
      <c r="I350" s="763"/>
      <c r="J350" s="764"/>
      <c r="K350" s="765"/>
      <c r="L350" s="766"/>
      <c r="M350" s="764"/>
      <c r="N350" s="767"/>
      <c r="O350" s="763"/>
      <c r="P350" s="763"/>
      <c r="Q350" s="764"/>
      <c r="R350" s="764"/>
      <c r="S350" s="764"/>
      <c r="T350" s="761"/>
      <c r="U350" s="768"/>
      <c r="V350" s="768"/>
      <c r="W350" s="769" t="str">
        <f>IFERROR(VLOOKUP('General price list'!$C350,Popisy!A:P,MATCH($W$17,Popisy!$A$7:$P$7,0),FALSE),"---------------")</f>
        <v>11 verschiedenfarbige wechselnde Effekte nach jedem Schuss</v>
      </c>
      <c r="X350" s="769" t="str">
        <f t="shared" si="136"/>
        <v/>
      </c>
      <c r="Y350" s="770">
        <f>IF(OR(AP350&lt;AA350,AND(NOT(OR(LEFT(AB350,3)="SKL",LEFT(AB350,3)=LEFT($V$2,3))),AA350&gt;0),AND('Deutsche Markt'!$AH$1=FALSE,J350="F4",AA350&gt;0)),"",AA350)</f>
        <v>0</v>
      </c>
      <c r="Z350" s="769"/>
      <c r="AA350" s="771">
        <f>'Deutsche Markt'!AA350</f>
        <v>0</v>
      </c>
      <c r="AB350" s="772" t="str">
        <f>IFERROR(IF(VLOOKUP(C350,[1]List1!$A:$D,2,FALSE)="VYPRODÁNO",$V$9,IF(VLOOKUP(C350,[1]List1!$A:$D,2,FALSE)="DOCHÁZÍ",$V$3,VLOOKUP(C350,[1]List1!$A:$D,2,FALSE))),"OFFLINE!")</f>
        <v>SKLADEM</v>
      </c>
      <c r="AC350" s="772" t="str">
        <f ca="1">IF(AO350="NE",$V$10,IF(AB350=$V$3,IF(AP350&lt;1,$V$8,$V$2&amp;" "&amp;AP350&amp;" "&amp;$V$1),IF(AB350="SKLADEM",$V$6,IFERROR(IF(OR(AB350-TODAY()&gt;21,VLOOKUP(C350,[1]List1!$A:$E,4,FALSE)=0),AB350,DAY(AB350)&amp;"."&amp;MONTH(AB350)&amp;"."&amp;YEAR(AB350)&amp;" "&amp;$V$4&amp;VLOOKUP(C350,[1]List1!$A:$E,4,FALSE)&amp;" "&amp;$V$1),AB350))))</f>
        <v>AUF LAGER</v>
      </c>
      <c r="AD350" s="772" t="str">
        <f t="shared" ca="1" si="137"/>
        <v>AUF LAGER</v>
      </c>
      <c r="AE350" s="605"/>
      <c r="AF350" s="605"/>
      <c r="AG350" s="615"/>
      <c r="AH350" s="616"/>
      <c r="AI350" s="615"/>
      <c r="AJ350" s="617"/>
      <c r="AK350" s="617"/>
      <c r="AL350" s="617"/>
      <c r="AM350" s="617"/>
      <c r="AO350" s="567" t="str">
        <f t="shared" si="121"/>
        <v/>
      </c>
      <c r="AP350" s="568" t="str">
        <f>IF(AB350=$V$3,IF(VLOOKUP(C350,[1]List1!$A:$E,5,FALSE)=0,1,VLOOKUP(C350,[1]List1!$A:$E,5,FALSE)),"")</f>
        <v/>
      </c>
      <c r="AQ350" s="292" t="str">
        <f t="shared" si="122"/>
        <v/>
      </c>
      <c r="AR350" s="618" t="str">
        <f t="shared" si="123"/>
        <v/>
      </c>
      <c r="AS350" s="292" t="str">
        <f t="shared" si="124"/>
        <v/>
      </c>
      <c r="AT350" s="377" t="e">
        <f t="shared" si="125"/>
        <v>#N/A</v>
      </c>
      <c r="AU350" s="292" t="e">
        <f t="shared" si="126"/>
        <v>#N/A</v>
      </c>
    </row>
    <row r="351" spans="1:47" ht="15" customHeight="1">
      <c r="A351" s="601" t="str">
        <f>Kat.!B349</f>
        <v>Batterien 88 schuss, 25mm Mörser-1.3G</v>
      </c>
      <c r="B351" s="601">
        <f t="shared" si="135"/>
        <v>0</v>
      </c>
      <c r="C351" s="783"/>
      <c r="D351" s="783"/>
      <c r="E351" s="764"/>
      <c r="F351" s="761"/>
      <c r="G351" s="762"/>
      <c r="H351" s="596"/>
      <c r="I351" s="763"/>
      <c r="J351" s="764"/>
      <c r="K351" s="773"/>
      <c r="L351" s="769"/>
      <c r="M351" s="764"/>
      <c r="N351" s="767"/>
      <c r="O351" s="763"/>
      <c r="P351" s="763"/>
      <c r="Q351" s="764"/>
      <c r="R351" s="764"/>
      <c r="S351" s="764"/>
      <c r="T351" s="764"/>
      <c r="U351" s="768"/>
      <c r="V351" s="768"/>
      <c r="W351" s="769" t="str">
        <f>IFERROR(VLOOKUP('General price list'!$C351,Popisy!A:P,MATCH($W$17,Popisy!$A$7:$P$7,0),FALSE),"---------------")</f>
        <v>---------------</v>
      </c>
      <c r="X351" s="769" t="str">
        <f t="shared" si="136"/>
        <v/>
      </c>
      <c r="Y351" s="770">
        <f>IF(OR(AP351&lt;AA351,AND(NOT(OR(LEFT(AB351,3)="SKL",LEFT(AB351,3)=LEFT($V$2,3))),AA351&gt;0),AND('Deutsche Markt'!$AH$1=FALSE,J351="F4",AA351&gt;0)),"",AA351)</f>
        <v>0</v>
      </c>
      <c r="Z351" s="769"/>
      <c r="AA351" s="771">
        <f>'Deutsche Markt'!AA351</f>
        <v>0</v>
      </c>
      <c r="AB351" s="772" t="str">
        <f>IFERROR(IF(VLOOKUP(C351,[1]List1!$A:$D,2,FALSE)="VYPRODÁNO",$V$9,IF(VLOOKUP(C351,[1]List1!$A:$D,2,FALSE)="DOCHÁZÍ",$V$3,VLOOKUP(C351,[1]List1!$A:$D,2,FALSE))),"OFFLINE!")</f>
        <v>OFFLINE!</v>
      </c>
      <c r="AC351" s="772" t="str">
        <f ca="1">IF(AO351="NE",$V$10,IF(AB351=$V$3,IF(AP351&lt;1,$V$8,$V$2&amp;" "&amp;AP351&amp;" "&amp;$V$1),IF(AB351="SKLADEM",$V$6,IFERROR(IF(OR(AB351-TODAY()&gt;21,VLOOKUP(C351,[1]List1!$A:$E,4,FALSE)=0),AB351,DAY(AB351)&amp;"."&amp;MONTH(AB351)&amp;"."&amp;YEAR(AB351)&amp;" "&amp;$V$4&amp;VLOOKUP(C351,[1]List1!$A:$E,4,FALSE)&amp;" "&amp;$V$1),AB351))))</f>
        <v>OFFLINE!</v>
      </c>
      <c r="AD351" s="772" t="str">
        <f t="shared" ca="1" si="137"/>
        <v>OFFLINE!</v>
      </c>
      <c r="AE351" s="605"/>
      <c r="AF351" s="605"/>
      <c r="AG351" s="615"/>
      <c r="AH351" s="616"/>
      <c r="AI351" s="615"/>
      <c r="AJ351" s="617"/>
      <c r="AK351" s="617"/>
      <c r="AL351" s="617"/>
      <c r="AM351" s="617"/>
      <c r="AO351" s="567" t="str">
        <f t="shared" si="121"/>
        <v/>
      </c>
      <c r="AP351" s="568" t="str">
        <f>IF(AB351=$V$3,IF(VLOOKUP(C351,[1]List1!$A:$E,5,FALSE)=0,1,VLOOKUP(C351,[1]List1!$A:$E,5,FALSE)),"")</f>
        <v/>
      </c>
      <c r="AQ351" s="292" t="str">
        <f t="shared" si="122"/>
        <v/>
      </c>
      <c r="AR351" s="618" t="str">
        <f t="shared" si="123"/>
        <v/>
      </c>
      <c r="AS351" s="292" t="str">
        <f t="shared" si="124"/>
        <v/>
      </c>
      <c r="AT351" s="377" t="e">
        <f t="shared" si="125"/>
        <v>#N/A</v>
      </c>
      <c r="AU351" s="292" t="e">
        <f t="shared" si="126"/>
        <v>#N/A</v>
      </c>
    </row>
    <row r="352" spans="1:47" ht="15" customHeight="1">
      <c r="A352" s="601"/>
      <c r="B352" s="601">
        <f t="shared" si="135"/>
        <v>1</v>
      </c>
      <c r="C352" s="758" t="s">
        <v>1275</v>
      </c>
      <c r="D352" s="776"/>
      <c r="E352" s="760"/>
      <c r="F352" s="761"/>
      <c r="G352" s="762"/>
      <c r="H352" s="596"/>
      <c r="I352" s="763"/>
      <c r="J352" s="764"/>
      <c r="K352" s="765"/>
      <c r="L352" s="766"/>
      <c r="M352" s="764"/>
      <c r="N352" s="767"/>
      <c r="O352" s="763"/>
      <c r="P352" s="763"/>
      <c r="Q352" s="764"/>
      <c r="R352" s="764"/>
      <c r="S352" s="764"/>
      <c r="T352" s="764"/>
      <c r="U352" s="768"/>
      <c r="V352" s="768"/>
      <c r="W352" s="769" t="str">
        <f>IFERROR(VLOOKUP('General price list'!$C352,Popisy!A:P,MATCH($W$17,Popisy!$A$7:$P$7,0),FALSE),"---------------")</f>
        <v>16 verschiedenfarbige Effekte</v>
      </c>
      <c r="X352" s="769" t="str">
        <f t="shared" si="136"/>
        <v/>
      </c>
      <c r="Y352" s="770">
        <f>IF(OR(AP352&lt;AA352,AND(NOT(OR(LEFT(AB352,3)="SKL",LEFT(AB352,3)=LEFT($V$2,3))),AA352&gt;0),AND('Deutsche Markt'!$AH$1=FALSE,J352="F4",AA352&gt;0)),"",AA352)</f>
        <v>0</v>
      </c>
      <c r="Z352" s="769"/>
      <c r="AA352" s="771">
        <f>'Deutsche Markt'!AA352</f>
        <v>0</v>
      </c>
      <c r="AB352" s="772" t="str">
        <f>IFERROR(IF(VLOOKUP(C352,[1]List1!$A:$D,2,FALSE)="VYPRODÁNO",$V$9,IF(VLOOKUP(C352,[1]List1!$A:$D,2,FALSE)="DOCHÁZÍ",$V$3,VLOOKUP(C352,[1]List1!$A:$D,2,FALSE))),"OFFLINE!")</f>
        <v>SKLADEM</v>
      </c>
      <c r="AC352" s="772" t="str">
        <f ca="1">IF(AO352="NE",$V$10,IF(AB352=$V$3,IF(AP352&lt;1,$V$8,$V$2&amp;" "&amp;AP352&amp;" "&amp;$V$1),IF(AB352="SKLADEM",$V$6,IFERROR(IF(OR(AB352-TODAY()&gt;21,VLOOKUP(C352,[1]List1!$A:$E,4,FALSE)=0),AB352,DAY(AB352)&amp;"."&amp;MONTH(AB352)&amp;"."&amp;YEAR(AB352)&amp;" "&amp;$V$4&amp;VLOOKUP(C352,[1]List1!$A:$E,4,FALSE)&amp;" "&amp;$V$1),AB352))))</f>
        <v>AUF LAGER</v>
      </c>
      <c r="AD352" s="772" t="str">
        <f t="shared" ca="1" si="137"/>
        <v>AUF LAGER</v>
      </c>
      <c r="AE352" s="605"/>
      <c r="AF352" s="605"/>
      <c r="AG352" s="615"/>
      <c r="AH352" s="616"/>
      <c r="AI352" s="615"/>
      <c r="AJ352" s="617"/>
      <c r="AK352" s="617"/>
      <c r="AL352" s="617"/>
      <c r="AM352" s="617"/>
      <c r="AO352" s="567" t="str">
        <f t="shared" si="121"/>
        <v/>
      </c>
      <c r="AP352" s="568" t="str">
        <f>IF(AB352=$V$3,IF(VLOOKUP(C352,[1]List1!$A:$E,5,FALSE)=0,1,VLOOKUP(C352,[1]List1!$A:$E,5,FALSE)),"")</f>
        <v/>
      </c>
      <c r="AQ352" s="292" t="str">
        <f t="shared" si="122"/>
        <v/>
      </c>
      <c r="AR352" s="618" t="str">
        <f t="shared" si="123"/>
        <v/>
      </c>
      <c r="AS352" s="292" t="str">
        <f t="shared" si="124"/>
        <v/>
      </c>
      <c r="AT352" s="377" t="e">
        <f t="shared" si="125"/>
        <v>#N/A</v>
      </c>
      <c r="AU352" s="292" t="e">
        <f t="shared" si="126"/>
        <v>#N/A</v>
      </c>
    </row>
    <row r="353" spans="1:47" ht="15" customHeight="1">
      <c r="A353" s="601" t="str">
        <f>Kat.!B351</f>
        <v>Verbundfeurwerk 25mm - F2 - 1.4G</v>
      </c>
      <c r="B353" s="601">
        <f t="shared" si="135"/>
        <v>1</v>
      </c>
      <c r="C353" s="758" t="s">
        <v>1276</v>
      </c>
      <c r="D353" s="776"/>
      <c r="E353" s="760"/>
      <c r="F353" s="761"/>
      <c r="G353" s="762"/>
      <c r="H353" s="596"/>
      <c r="I353" s="763"/>
      <c r="J353" s="764"/>
      <c r="K353" s="773"/>
      <c r="L353" s="766"/>
      <c r="M353" s="764"/>
      <c r="N353" s="767"/>
      <c r="O353" s="763"/>
      <c r="P353" s="763"/>
      <c r="Q353" s="764"/>
      <c r="R353" s="764"/>
      <c r="S353" s="764"/>
      <c r="T353" s="764"/>
      <c r="U353" s="768"/>
      <c r="V353" s="768"/>
      <c r="W353" s="769" t="str">
        <f>IFERROR(VLOOKUP('General price list'!$C353,Popisy!A:P,MATCH($W$17,Popisy!$A$7:$P$7,0),FALSE),"---------------")</f>
        <v>14 verschiedenfarbige Effekte</v>
      </c>
      <c r="X353" s="769" t="str">
        <f t="shared" si="136"/>
        <v/>
      </c>
      <c r="Y353" s="770">
        <f>IF(OR(AP353&lt;AA353,AND(NOT(OR(LEFT(AB353,3)="SKL",LEFT(AB353,3)=LEFT($V$2,3))),AA353&gt;0),AND('Deutsche Markt'!$AH$1=FALSE,J353="F4",AA353&gt;0)),"",AA353)</f>
        <v>0</v>
      </c>
      <c r="Z353" s="769"/>
      <c r="AA353" s="771">
        <f>'Deutsche Markt'!AA353</f>
        <v>0</v>
      </c>
      <c r="AB353" s="772" t="str">
        <f>IFERROR(IF(VLOOKUP(C353,[1]List1!$A:$D,2,FALSE)="VYPRODÁNO",$V$9,IF(VLOOKUP(C353,[1]List1!$A:$D,2,FALSE)="DOCHÁZÍ",$V$3,VLOOKUP(C353,[1]List1!$A:$D,2,FALSE))),"OFFLINE!")</f>
        <v>30.04.2024</v>
      </c>
      <c r="AC353" s="772" t="str">
        <f ca="1">IF(AO353="NE",$V$10,IF(AB353=$V$3,IF(AP353&lt;1,$V$8,$V$2&amp;" "&amp;AP353&amp;" "&amp;$V$1),IF(AB353="SKLADEM",$V$6,IFERROR(IF(OR(AB353-TODAY()&gt;21,VLOOKUP(C353,[1]List1!$A:$E,4,FALSE)=0),AB353,DAY(AB353)&amp;"."&amp;MONTH(AB353)&amp;"."&amp;YEAR(AB353)&amp;" "&amp;$V$4&amp;VLOOKUP(C353,[1]List1!$A:$E,4,FALSE)&amp;" "&amp;$V$1),AB353))))</f>
        <v>30.04.2024</v>
      </c>
      <c r="AD353" s="772" t="str">
        <f t="shared" ca="1" si="137"/>
        <v>30.04.2024</v>
      </c>
      <c r="AE353" s="605"/>
      <c r="AF353" s="605"/>
      <c r="AG353" s="615"/>
      <c r="AH353" s="616"/>
      <c r="AI353" s="615"/>
      <c r="AJ353" s="617"/>
      <c r="AK353" s="617"/>
      <c r="AL353" s="617"/>
      <c r="AM353" s="617"/>
      <c r="AO353" s="567" t="str">
        <f t="shared" si="121"/>
        <v/>
      </c>
      <c r="AP353" s="568" t="str">
        <f>IF(AB353=$V$3,IF(VLOOKUP(C353,[1]List1!$A:$E,5,FALSE)=0,1,VLOOKUP(C353,[1]List1!$A:$E,5,FALSE)),"")</f>
        <v/>
      </c>
      <c r="AQ353" s="292" t="str">
        <f t="shared" si="122"/>
        <v/>
      </c>
      <c r="AR353" s="618" t="str">
        <f t="shared" si="123"/>
        <v/>
      </c>
      <c r="AS353" s="292" t="str">
        <f t="shared" si="124"/>
        <v/>
      </c>
      <c r="AT353" s="377" t="e">
        <f t="shared" si="125"/>
        <v>#N/A</v>
      </c>
      <c r="AU353" s="292" t="e">
        <f t="shared" si="126"/>
        <v>#N/A</v>
      </c>
    </row>
    <row r="354" spans="1:47" ht="15" customHeight="1">
      <c r="A354" s="601" t="str">
        <f>Kat.!B352</f>
        <v>x</v>
      </c>
      <c r="B354" s="601">
        <f t="shared" si="135"/>
        <v>1</v>
      </c>
      <c r="C354" s="783" t="s">
        <v>5055</v>
      </c>
      <c r="D354" s="783"/>
      <c r="E354" s="764"/>
      <c r="F354" s="761"/>
      <c r="G354" s="762"/>
      <c r="H354" s="595"/>
      <c r="I354" s="764"/>
      <c r="J354" s="764"/>
      <c r="K354" s="765"/>
      <c r="L354" s="764"/>
      <c r="M354" s="764"/>
      <c r="N354" s="764"/>
      <c r="O354" s="764"/>
      <c r="P354" s="764"/>
      <c r="Q354" s="764"/>
      <c r="R354" s="764"/>
      <c r="S354" s="764"/>
      <c r="T354" s="764"/>
      <c r="U354" s="764"/>
      <c r="V354" s="764"/>
      <c r="W354" s="764" t="str">
        <f>IFERROR(VLOOKUP('General price list'!$C354,Popisy!A:P,MATCH($W$17,Popisy!$A$7:$P$7,0),FALSE),"---------------")</f>
        <v>7 verschiedenfarbige Effekte</v>
      </c>
      <c r="X354" s="764" t="str">
        <f t="shared" si="136"/>
        <v/>
      </c>
      <c r="Y354" s="770">
        <f>IF(OR(AP354&lt;AA354,AND(NOT(OR(LEFT(AB354,3)="SKL",LEFT(AB354,3)=LEFT($V$2,3))),AA354&gt;0),AND('Deutsche Markt'!$AH$1=FALSE,J354="F4",AA354&gt;0)),"",AA354)</f>
        <v>0</v>
      </c>
      <c r="Z354" s="764"/>
      <c r="AA354" s="771">
        <f>'Deutsche Markt'!AA354</f>
        <v>0</v>
      </c>
      <c r="AB354" s="772" t="str">
        <f>IFERROR(IF(VLOOKUP(C354,[1]List1!$A:$D,2,FALSE)="VYPRODÁNO",$V$9,IF(VLOOKUP(C354,[1]List1!$A:$D,2,FALSE)="DOCHÁZÍ",$V$3,VLOOKUP(C354,[1]List1!$A:$D,2,FALSE))),"OFFLINE!")</f>
        <v>15.09.2024</v>
      </c>
      <c r="AC354" s="785" t="str">
        <f ca="1">IF(AO354="NE",$V$10,IF(AB354=$V$3,IF(AP354&lt;1,$V$8,$V$2&amp;" "&amp;AP354&amp;" "&amp;$V$1),IF(AB354="SKLADEM",$V$6,IFERROR(IF(OR(AB354-TODAY()&gt;21,VLOOKUP(C354,[1]List1!$A:$E,4,FALSE)=0),AB354,DAY(AB354)&amp;"."&amp;MONTH(AB354)&amp;"."&amp;YEAR(AB354)&amp;" "&amp;$V$4&amp;VLOOKUP(C354,[1]List1!$A:$E,4,FALSE)&amp;" "&amp;$V$1),AB354))))</f>
        <v>15.09.2024</v>
      </c>
      <c r="AD354" s="785" t="str">
        <f t="shared" ca="1" si="137"/>
        <v>15.09.2024</v>
      </c>
      <c r="AE354" s="609"/>
      <c r="AF354" s="609"/>
      <c r="AG354" s="627"/>
      <c r="AH354" s="609"/>
      <c r="AI354" s="627"/>
      <c r="AJ354" s="609"/>
      <c r="AK354" s="609"/>
      <c r="AL354" s="609"/>
      <c r="AM354" s="627"/>
      <c r="AO354" s="567" t="str">
        <f t="shared" si="121"/>
        <v/>
      </c>
      <c r="AP354" s="292" t="str">
        <f>IF(AB354=$V$3,IF(VLOOKUP(C354,[1]List1!$A:$E,5,FALSE)=0,1,VLOOKUP(C354,[1]List1!$A:$E,5,FALSE)),"")</f>
        <v/>
      </c>
      <c r="AQ354" s="292" t="str">
        <f t="shared" si="122"/>
        <v/>
      </c>
      <c r="AR354" s="618" t="str">
        <f t="shared" si="123"/>
        <v/>
      </c>
      <c r="AS354" s="292" t="str">
        <f t="shared" si="124"/>
        <v/>
      </c>
      <c r="AT354" s="377" t="e">
        <f t="shared" si="125"/>
        <v>#N/A</v>
      </c>
      <c r="AU354" s="292" t="e">
        <f t="shared" si="126"/>
        <v>#N/A</v>
      </c>
    </row>
    <row r="355" spans="1:47" ht="15" customHeight="1">
      <c r="A355" s="601" t="str">
        <f>Kat.!B353</f>
        <v/>
      </c>
      <c r="B355" s="601">
        <f t="shared" si="135"/>
        <v>1</v>
      </c>
      <c r="C355" s="775" t="s">
        <v>2359</v>
      </c>
      <c r="D355" s="776"/>
      <c r="E355" s="760"/>
      <c r="F355" s="761"/>
      <c r="G355" s="762"/>
      <c r="H355" s="596"/>
      <c r="I355" s="763"/>
      <c r="J355" s="764"/>
      <c r="K355" s="773"/>
      <c r="L355" s="769"/>
      <c r="M355" s="764"/>
      <c r="N355" s="777"/>
      <c r="O355" s="777"/>
      <c r="P355" s="763"/>
      <c r="Q355" s="764"/>
      <c r="R355" s="764"/>
      <c r="S355" s="764"/>
      <c r="T355" s="764"/>
      <c r="U355" s="768"/>
      <c r="V355" s="768"/>
      <c r="W355" s="769" t="str">
        <f>IFERROR(VLOOKUP('General price list'!$C355,Popisy!A:P,MATCH($W$17,Popisy!$A$7:$P$7,0),FALSE),"---------------")</f>
        <v>20 verschiedenfarbige Effekte</v>
      </c>
      <c r="X355" s="769" t="str">
        <f t="shared" si="136"/>
        <v/>
      </c>
      <c r="Y355" s="770">
        <f>IF(OR(AP355&lt;AA355,AND(NOT(OR(LEFT(AB355,3)="SKL",LEFT(AB355,3)=LEFT($V$2,3))),AA355&gt;0),AND('Deutsche Markt'!$AH$1=FALSE,J355="F4",AA355&gt;0)),"",AA355)</f>
        <v>0</v>
      </c>
      <c r="Z355" s="769"/>
      <c r="AA355" s="771">
        <f>'Deutsche Markt'!AA355</f>
        <v>0</v>
      </c>
      <c r="AB355" s="772" t="str">
        <f>IFERROR(IF(VLOOKUP(C355,[1]List1!$A:$D,2,FALSE)="VYPRODÁNO",$V$9,IF(VLOOKUP(C355,[1]List1!$A:$D,2,FALSE)="DOCHÁZÍ",$V$3,VLOOKUP(C355,[1]List1!$A:$D,2,FALSE))),"OFFLINE!")</f>
        <v>SKLADEM</v>
      </c>
      <c r="AC355" s="772" t="str">
        <f ca="1">IF(AO355="NE",$V$10,IF(AB355=$V$3,IF(AP355&lt;1,$V$8,$V$2&amp;" "&amp;AP355&amp;" "&amp;$V$1),IF(AB355="SKLADEM",$V$6,IFERROR(IF(OR(AB355-TODAY()&gt;21,VLOOKUP(C355,[1]List1!$A:$E,4,FALSE)=0),AB355,DAY(AB355)&amp;"."&amp;MONTH(AB355)&amp;"."&amp;YEAR(AB355)&amp;" "&amp;$V$4&amp;VLOOKUP(C355,[1]List1!$A:$E,4,FALSE)&amp;" "&amp;$V$1),AB355))))</f>
        <v>AUF LAGER</v>
      </c>
      <c r="AD355" s="772" t="str">
        <f t="shared" ca="1" si="137"/>
        <v>AUF LAGER</v>
      </c>
      <c r="AE355" s="605"/>
      <c r="AF355" s="605"/>
      <c r="AG355" s="615"/>
      <c r="AH355" s="616"/>
      <c r="AI355" s="615"/>
      <c r="AJ355" s="617"/>
      <c r="AK355" s="617"/>
      <c r="AL355" s="617"/>
      <c r="AM355" s="617"/>
      <c r="AO355" s="567" t="str">
        <f t="shared" ref="AO355:AO359" si="138">IF($AK$3=1,IF(Y355=AA355,"","NE"),IF(AQ355=$V$10,"NE",""))</f>
        <v/>
      </c>
      <c r="AP355" s="568" t="str">
        <f>IF(AB355=$V$3,IF(VLOOKUP(C355,[1]List1!$A:$E,5,FALSE)=0,1,VLOOKUP(C355,[1]List1!$A:$E,5,FALSE)),"")</f>
        <v/>
      </c>
      <c r="AQ355" s="292" t="str">
        <f t="shared" ref="AQ355:AQ359" si="139">IF($AK$3=1,"",IF(OR(AA355&lt;&gt;"",AA355&lt;&gt;0),IF(OR(AB355=$V$6,AB355=$V$3,AB355=$V$9),$V$10,""),""))</f>
        <v/>
      </c>
      <c r="AR355" s="618" t="str">
        <f t="shared" ref="AR355:AR359" si="140">IF(AS355&lt;&gt;"","X","")</f>
        <v/>
      </c>
      <c r="AS355" s="292" t="str">
        <f t="shared" ref="AS355:AS359" si="141">IF(AND($AK$3=2,AQ355="",AA355&lt;&gt;""),AC355,"")</f>
        <v/>
      </c>
      <c r="AT355" s="377" t="e">
        <f t="shared" ref="AT355:AT359" si="142">IF(AS355=$AR$21,AA355,"")</f>
        <v>#N/A</v>
      </c>
      <c r="AU355" s="292" t="e">
        <f t="shared" ref="AU355:AU359" si="143">IF(OR(AA355="",AND(AS355&lt;&gt;"",AT355&lt;&gt;"")),"",$V$10)</f>
        <v>#N/A</v>
      </c>
    </row>
    <row r="356" spans="1:47" ht="15" customHeight="1">
      <c r="A356" s="601" t="str">
        <f>Kat.!B354</f>
        <v/>
      </c>
      <c r="B356" s="601">
        <f t="shared" si="135"/>
        <v>1</v>
      </c>
      <c r="C356" s="783" t="s">
        <v>2360</v>
      </c>
      <c r="D356" s="776"/>
      <c r="E356" s="760"/>
      <c r="F356" s="761"/>
      <c r="G356" s="762"/>
      <c r="H356" s="596"/>
      <c r="I356" s="763"/>
      <c r="J356" s="764"/>
      <c r="K356" s="765"/>
      <c r="L356" s="766"/>
      <c r="M356" s="764"/>
      <c r="N356" s="767"/>
      <c r="O356" s="763"/>
      <c r="P356" s="763"/>
      <c r="Q356" s="764"/>
      <c r="R356" s="764"/>
      <c r="S356" s="764"/>
      <c r="T356" s="761"/>
      <c r="U356" s="768"/>
      <c r="V356" s="768"/>
      <c r="W356" s="769" t="str">
        <f>IFERROR(VLOOKUP('General price list'!$C356,Popisy!A:P,MATCH($W$17,Popisy!$A$7:$P$7,0),FALSE),"---------------")</f>
        <v>20 verschiedenfarbige Effekte</v>
      </c>
      <c r="X356" s="769" t="str">
        <f t="shared" si="136"/>
        <v/>
      </c>
      <c r="Y356" s="770">
        <f>IF(OR(AP356&lt;AA356,AND(NOT(OR(LEFT(AB356,3)="SKL",LEFT(AB356,3)=LEFT($V$2,3))),AA356&gt;0),AND('Deutsche Markt'!$AH$1=FALSE,J356="F4",AA356&gt;0)),"",AA356)</f>
        <v>0</v>
      </c>
      <c r="Z356" s="769"/>
      <c r="AA356" s="771">
        <f>'Deutsche Markt'!AA356</f>
        <v>0</v>
      </c>
      <c r="AB356" s="772" t="str">
        <f>IFERROR(IF(VLOOKUP(C356,[1]List1!$A:$D,2,FALSE)="VYPRODÁNO",$V$9,IF(VLOOKUP(C356,[1]List1!$A:$D,2,FALSE)="DOCHÁZÍ",$V$3,VLOOKUP(C356,[1]List1!$A:$D,2,FALSE))),"OFFLINE!")</f>
        <v>20.06.2024</v>
      </c>
      <c r="AC356" s="772" t="str">
        <f ca="1">IF(AO356="NE",$V$10,IF(AB356=$V$3,IF(AP356&lt;1,$V$8,$V$2&amp;" "&amp;AP356&amp;" "&amp;$V$1),IF(AB356="SKLADEM",$V$6,IFERROR(IF(OR(AB356-TODAY()&gt;21,VLOOKUP(C356,[1]List1!$A:$E,4,FALSE)=0),AB356,DAY(AB356)&amp;"."&amp;MONTH(AB356)&amp;"."&amp;YEAR(AB356)&amp;" "&amp;$V$4&amp;VLOOKUP(C356,[1]List1!$A:$E,4,FALSE)&amp;" "&amp;$V$1),AB356))))</f>
        <v>20.06.2024</v>
      </c>
      <c r="AD356" s="772" t="str">
        <f t="shared" ca="1" si="137"/>
        <v>20.06.2024</v>
      </c>
      <c r="AE356" s="605"/>
      <c r="AF356" s="605"/>
      <c r="AG356" s="615"/>
      <c r="AH356" s="616"/>
      <c r="AI356" s="615"/>
      <c r="AJ356" s="617"/>
      <c r="AK356" s="617"/>
      <c r="AL356" s="617"/>
      <c r="AM356" s="617"/>
      <c r="AO356" s="567" t="str">
        <f t="shared" si="138"/>
        <v/>
      </c>
      <c r="AP356" s="568" t="str">
        <f>IF(AB356=$V$3,IF(VLOOKUP(C356,[1]List1!$A:$E,5,FALSE)=0,1,VLOOKUP(C356,[1]List1!$A:$E,5,FALSE)),"")</f>
        <v/>
      </c>
      <c r="AQ356" s="292" t="str">
        <f t="shared" si="139"/>
        <v/>
      </c>
      <c r="AR356" s="618" t="str">
        <f t="shared" si="140"/>
        <v/>
      </c>
      <c r="AS356" s="292" t="str">
        <f t="shared" si="141"/>
        <v/>
      </c>
      <c r="AT356" s="377" t="e">
        <f t="shared" si="142"/>
        <v>#N/A</v>
      </c>
      <c r="AU356" s="292" t="e">
        <f t="shared" si="143"/>
        <v>#N/A</v>
      </c>
    </row>
    <row r="357" spans="1:47" ht="15" customHeight="1">
      <c r="A357" s="601" t="str">
        <f>Kat.!B355</f>
        <v/>
      </c>
      <c r="B357" s="601">
        <f t="shared" si="135"/>
        <v>1</v>
      </c>
      <c r="C357" s="775" t="s">
        <v>1281</v>
      </c>
      <c r="D357" s="776"/>
      <c r="E357" s="760"/>
      <c r="F357" s="761"/>
      <c r="G357" s="762"/>
      <c r="H357" s="596"/>
      <c r="I357" s="763"/>
      <c r="J357" s="764"/>
      <c r="K357" s="773"/>
      <c r="L357" s="769"/>
      <c r="M357" s="764"/>
      <c r="N357" s="777"/>
      <c r="O357" s="777"/>
      <c r="P357" s="763"/>
      <c r="Q357" s="764"/>
      <c r="R357" s="764"/>
      <c r="S357" s="764"/>
      <c r="T357" s="764"/>
      <c r="U357" s="768"/>
      <c r="V357" s="768"/>
      <c r="W357" s="769" t="str">
        <f>IFERROR(VLOOKUP('General price list'!$C357,Popisy!A:P,MATCH($W$17,Popisy!$A$7:$P$7,0),FALSE),"---------------")</f>
        <v>32 verschiedenfarbige Effekte</v>
      </c>
      <c r="X357" s="769" t="str">
        <f t="shared" si="136"/>
        <v/>
      </c>
      <c r="Y357" s="770">
        <f>IF(OR(AP357&lt;AA357,AND(NOT(OR(LEFT(AB357,3)="SKL",LEFT(AB357,3)=LEFT($V$2,3))),AA357&gt;0),AND('Deutsche Markt'!$AH$1=FALSE,J357="F4",AA357&gt;0)),"",AA357)</f>
        <v>0</v>
      </c>
      <c r="Z357" s="769"/>
      <c r="AA357" s="771">
        <f>'Deutsche Markt'!AA357</f>
        <v>0</v>
      </c>
      <c r="AB357" s="772" t="str">
        <f>IFERROR(IF(VLOOKUP(C357,[1]List1!$A:$D,2,FALSE)="VYPRODÁNO",$V$9,IF(VLOOKUP(C357,[1]List1!$A:$D,2,FALSE)="DOCHÁZÍ",$V$3,VLOOKUP(C357,[1]List1!$A:$D,2,FALSE))),"OFFLINE!")</f>
        <v>SKLADEM</v>
      </c>
      <c r="AC357" s="772" t="str">
        <f ca="1">IF(AO357="NE",$V$10,IF(AB357=$V$3,IF(AP357&lt;1,$V$8,$V$2&amp;" "&amp;AP357&amp;" "&amp;$V$1),IF(AB357="SKLADEM",$V$6,IFERROR(IF(OR(AB357-TODAY()&gt;21,VLOOKUP(C357,[1]List1!$A:$E,4,FALSE)=0),AB357,DAY(AB357)&amp;"."&amp;MONTH(AB357)&amp;"."&amp;YEAR(AB357)&amp;" "&amp;$V$4&amp;VLOOKUP(C357,[1]List1!$A:$E,4,FALSE)&amp;" "&amp;$V$1),AB357))))</f>
        <v>AUF LAGER</v>
      </c>
      <c r="AD357" s="772" t="str">
        <f t="shared" ca="1" si="137"/>
        <v>AUF LAGER</v>
      </c>
      <c r="AE357" s="605"/>
      <c r="AF357" s="605"/>
      <c r="AG357" s="615"/>
      <c r="AH357" s="616"/>
      <c r="AI357" s="615"/>
      <c r="AJ357" s="617"/>
      <c r="AK357" s="617"/>
      <c r="AL357" s="617"/>
      <c r="AM357" s="617"/>
      <c r="AO357" s="567" t="str">
        <f t="shared" si="138"/>
        <v/>
      </c>
      <c r="AP357" s="568" t="str">
        <f>IF(AB357=$V$3,IF(VLOOKUP(C357,[1]List1!$A:$E,5,FALSE)=0,1,VLOOKUP(C357,[1]List1!$A:$E,5,FALSE)),"")</f>
        <v/>
      </c>
      <c r="AQ357" s="292" t="str">
        <f t="shared" si="139"/>
        <v/>
      </c>
      <c r="AR357" s="618" t="str">
        <f t="shared" si="140"/>
        <v/>
      </c>
      <c r="AS357" s="292" t="str">
        <f t="shared" si="141"/>
        <v/>
      </c>
      <c r="AT357" s="377" t="e">
        <f t="shared" si="142"/>
        <v>#N/A</v>
      </c>
      <c r="AU357" s="292" t="e">
        <f t="shared" si="143"/>
        <v>#N/A</v>
      </c>
    </row>
    <row r="358" spans="1:47" ht="15" customHeight="1">
      <c r="A358" s="601" t="str">
        <f>Kat.!B356</f>
        <v/>
      </c>
      <c r="B358" s="601">
        <f t="shared" si="135"/>
        <v>1</v>
      </c>
      <c r="C358" s="775" t="s">
        <v>1283</v>
      </c>
      <c r="D358" s="776"/>
      <c r="E358" s="760"/>
      <c r="F358" s="761"/>
      <c r="G358" s="762"/>
      <c r="H358" s="596"/>
      <c r="I358" s="763"/>
      <c r="J358" s="764"/>
      <c r="K358" s="765"/>
      <c r="L358" s="766"/>
      <c r="M358" s="764"/>
      <c r="N358" s="798"/>
      <c r="O358" s="798"/>
      <c r="P358" s="763"/>
      <c r="Q358" s="764"/>
      <c r="R358" s="764"/>
      <c r="S358" s="764"/>
      <c r="T358" s="764"/>
      <c r="U358" s="768"/>
      <c r="V358" s="768"/>
      <c r="W358" s="769" t="str">
        <f>IFERROR(VLOOKUP('General price list'!$C358,Popisy!A:P,MATCH($W$17,Popisy!$A$7:$P$7,0),FALSE),"---------------")</f>
        <v>28 verschiedenfarbige Effekte</v>
      </c>
      <c r="X358" s="769" t="str">
        <f t="shared" si="136"/>
        <v/>
      </c>
      <c r="Y358" s="770">
        <f>IF(OR(AP358&lt;AA358,AND(NOT(OR(LEFT(AB358,3)="SKL",LEFT(AB358,3)=LEFT($V$2,3))),AA358&gt;0),AND('Deutsche Markt'!$AH$1=FALSE,J358="F4",AA358&gt;0)),"",AA358)</f>
        <v>0</v>
      </c>
      <c r="Z358" s="769"/>
      <c r="AA358" s="771">
        <f>'Deutsche Markt'!AA358</f>
        <v>0</v>
      </c>
      <c r="AB358" s="772" t="str">
        <f>IFERROR(IF(VLOOKUP(C358,[1]List1!$A:$D,2,FALSE)="VYPRODÁNO",$V$9,IF(VLOOKUP(C358,[1]List1!$A:$D,2,FALSE)="DOCHÁZÍ",$V$3,VLOOKUP(C358,[1]List1!$A:$D,2,FALSE))),"OFFLINE!")</f>
        <v>SKLADEM</v>
      </c>
      <c r="AC358" s="772" t="str">
        <f ca="1">IF(AO358="NE",$V$10,IF(AB358=$V$3,IF(AP358&lt;1,$V$8,$V$2&amp;" "&amp;AP358&amp;" "&amp;$V$1),IF(AB358="SKLADEM",$V$6,IFERROR(IF(OR(AB358-TODAY()&gt;21,VLOOKUP(C358,[1]List1!$A:$E,4,FALSE)=0),AB358,DAY(AB358)&amp;"."&amp;MONTH(AB358)&amp;"."&amp;YEAR(AB358)&amp;" "&amp;$V$4&amp;VLOOKUP(C358,[1]List1!$A:$E,4,FALSE)&amp;" "&amp;$V$1),AB358))))</f>
        <v>AUF LAGER</v>
      </c>
      <c r="AD358" s="772" t="str">
        <f t="shared" ca="1" si="137"/>
        <v>AUF LAGER</v>
      </c>
      <c r="AE358" s="605"/>
      <c r="AF358" s="605"/>
      <c r="AG358" s="615"/>
      <c r="AH358" s="616"/>
      <c r="AI358" s="615"/>
      <c r="AJ358" s="617"/>
      <c r="AK358" s="617"/>
      <c r="AL358" s="617"/>
      <c r="AM358" s="617"/>
      <c r="AO358" s="567" t="str">
        <f t="shared" si="138"/>
        <v/>
      </c>
      <c r="AP358" s="568" t="str">
        <f>IF(AB358=$V$3,IF(VLOOKUP(C358,[1]List1!$A:$E,5,FALSE)=0,1,VLOOKUP(C358,[1]List1!$A:$E,5,FALSE)),"")</f>
        <v/>
      </c>
      <c r="AQ358" s="292" t="str">
        <f t="shared" si="139"/>
        <v/>
      </c>
      <c r="AR358" s="618" t="str">
        <f t="shared" si="140"/>
        <v/>
      </c>
      <c r="AS358" s="292" t="str">
        <f t="shared" si="141"/>
        <v/>
      </c>
      <c r="AT358" s="377" t="e">
        <f t="shared" si="142"/>
        <v>#N/A</v>
      </c>
      <c r="AU358" s="292" t="e">
        <f t="shared" si="143"/>
        <v>#N/A</v>
      </c>
    </row>
    <row r="359" spans="1:47" ht="15" customHeight="1">
      <c r="A359" s="601" t="str">
        <f>Kat.!B357</f>
        <v/>
      </c>
      <c r="B359" s="601">
        <f t="shared" si="135"/>
        <v>0</v>
      </c>
      <c r="C359" s="783"/>
      <c r="D359" s="776"/>
      <c r="E359" s="760"/>
      <c r="F359" s="761"/>
      <c r="G359" s="762"/>
      <c r="H359" s="596"/>
      <c r="I359" s="763"/>
      <c r="J359" s="764"/>
      <c r="K359" s="773"/>
      <c r="L359" s="766"/>
      <c r="M359" s="764"/>
      <c r="N359" s="798"/>
      <c r="O359" s="798"/>
      <c r="P359" s="763"/>
      <c r="Q359" s="764"/>
      <c r="R359" s="764"/>
      <c r="S359" s="764"/>
      <c r="T359" s="764"/>
      <c r="U359" s="768"/>
      <c r="V359" s="768"/>
      <c r="W359" s="769" t="str">
        <f>IFERROR(VLOOKUP('General price list'!$C359,Popisy!A:P,MATCH($W$17,Popisy!$A$7:$P$7,0),FALSE),"---------------")</f>
        <v>---------------</v>
      </c>
      <c r="X359" s="769" t="str">
        <f t="shared" si="136"/>
        <v/>
      </c>
      <c r="Y359" s="770">
        <f>IF(OR(AP359&lt;AA359,AND(NOT(OR(LEFT(AB359,3)="SKL",LEFT(AB359,3)=LEFT($V$2,3))),AA359&gt;0),AND('Deutsche Markt'!$AH$1=FALSE,J359="F4",AA359&gt;0)),"",AA359)</f>
        <v>0</v>
      </c>
      <c r="Z359" s="769"/>
      <c r="AA359" s="771">
        <f>'Deutsche Markt'!AA359</f>
        <v>0</v>
      </c>
      <c r="AB359" s="772" t="str">
        <f>IFERROR(IF(VLOOKUP(C359,[1]List1!$A:$D,2,FALSE)="VYPRODÁNO",$V$9,IF(VLOOKUP(C359,[1]List1!$A:$D,2,FALSE)="DOCHÁZÍ",$V$3,VLOOKUP(C359,[1]List1!$A:$D,2,FALSE))),"OFFLINE!")</f>
        <v>OFFLINE!</v>
      </c>
      <c r="AC359" s="772" t="str">
        <f ca="1">IF(AO359="NE",$V$10,IF(AB359=$V$3,IF(AP359&lt;1,$V$8,$V$2&amp;" "&amp;AP359&amp;" "&amp;$V$1),IF(AB359="SKLADEM",$V$6,IFERROR(IF(OR(AB359-TODAY()&gt;21,VLOOKUP(C359,[1]List1!$A:$E,4,FALSE)=0),AB359,DAY(AB359)&amp;"."&amp;MONTH(AB359)&amp;"."&amp;YEAR(AB359)&amp;" "&amp;$V$4&amp;VLOOKUP(C359,[1]List1!$A:$E,4,FALSE)&amp;" "&amp;$V$1),AB359))))</f>
        <v>OFFLINE!</v>
      </c>
      <c r="AD359" s="772" t="str">
        <f t="shared" ca="1" si="137"/>
        <v>OFFLINE!</v>
      </c>
      <c r="AE359" s="605"/>
      <c r="AF359" s="605"/>
      <c r="AG359" s="615"/>
      <c r="AH359" s="616"/>
      <c r="AI359" s="615"/>
      <c r="AJ359" s="617"/>
      <c r="AK359" s="617"/>
      <c r="AL359" s="617"/>
      <c r="AM359" s="617"/>
      <c r="AO359" s="567" t="str">
        <f t="shared" si="138"/>
        <v/>
      </c>
      <c r="AP359" s="568" t="str">
        <f>IF(AB359=$V$3,IF(VLOOKUP(C359,[1]List1!$A:$E,5,FALSE)=0,1,VLOOKUP(C359,[1]List1!$A:$E,5,FALSE)),"")</f>
        <v/>
      </c>
      <c r="AQ359" s="292" t="str">
        <f t="shared" si="139"/>
        <v/>
      </c>
      <c r="AR359" s="618" t="str">
        <f t="shared" si="140"/>
        <v/>
      </c>
      <c r="AS359" s="292" t="str">
        <f t="shared" si="141"/>
        <v/>
      </c>
      <c r="AT359" s="377" t="e">
        <f t="shared" si="142"/>
        <v>#N/A</v>
      </c>
      <c r="AU359" s="292" t="e">
        <f t="shared" si="143"/>
        <v>#N/A</v>
      </c>
    </row>
    <row r="360" spans="1:47" ht="15" customHeight="1">
      <c r="A360" s="601" t="str">
        <f>Kat.!B358</f>
        <v/>
      </c>
      <c r="B360" s="601">
        <f t="shared" si="135"/>
        <v>1</v>
      </c>
      <c r="C360" s="778" t="s">
        <v>1304</v>
      </c>
      <c r="D360" s="778"/>
      <c r="E360" s="778"/>
      <c r="F360" s="779"/>
      <c r="G360" s="778"/>
      <c r="H360" s="778"/>
      <c r="I360" s="778"/>
      <c r="J360" s="778"/>
      <c r="K360" s="765"/>
      <c r="L360" s="778"/>
      <c r="M360" s="778"/>
      <c r="N360" s="778"/>
      <c r="O360" s="778"/>
      <c r="P360" s="778"/>
      <c r="Q360" s="778"/>
      <c r="R360" s="778"/>
      <c r="S360" s="778"/>
      <c r="T360" s="778"/>
      <c r="U360" s="778"/>
      <c r="V360" s="778"/>
      <c r="W360" s="778"/>
      <c r="X360" s="778"/>
      <c r="Y360" s="770">
        <f>IF(OR(AP360&lt;AA360,AND(NOT(OR(LEFT(AB360,3)="SKL",LEFT(AB360,3)=LEFT($V$2,3))),AA360&gt;0),AND('Deutsche Markt'!$AH$1=FALSE,J360="F4",AA360&gt;0)),"",AA360)</f>
        <v>0</v>
      </c>
      <c r="Z360" s="778"/>
      <c r="AA360" s="771">
        <f>'Deutsche Markt'!AA360</f>
        <v>0</v>
      </c>
      <c r="AB360" s="778"/>
      <c r="AC360" s="778"/>
      <c r="AD360" s="778"/>
      <c r="AE360" s="599"/>
      <c r="AF360" s="599"/>
      <c r="AG360" s="599"/>
      <c r="AH360" s="599"/>
      <c r="AI360" s="599"/>
      <c r="AJ360" s="599"/>
      <c r="AK360" s="599"/>
      <c r="AL360" s="599"/>
      <c r="AM360" s="599"/>
      <c r="AN360" s="566"/>
      <c r="AO360" s="567" t="str">
        <f t="shared" ref="AO360:AO418" si="144">IF($AK$3=1,IF(Y360=AA360,"","NE"),IF(AQ360=$V$10,"NE",""))</f>
        <v/>
      </c>
      <c r="AP360" s="568" t="str">
        <f>IF(AB360=$V$3,IF(VLOOKUP(C360,[1]List1!$A:$E,5,FALSE)=0,1,VLOOKUP(C360,[1]List1!$A:$E,5,FALSE)),"")</f>
        <v/>
      </c>
      <c r="AQ360" s="292" t="str">
        <f t="shared" ref="AQ360:AQ418" si="145">IF($AK$3=1,"",IF(OR(AA360&lt;&gt;"",AA360&lt;&gt;0),IF(OR(AB360=$V$6,AB360=$V$3,AB360=$V$9),$V$10,""),""))</f>
        <v/>
      </c>
      <c r="AR360" s="618" t="str">
        <f t="shared" ref="AR360:AR418" si="146">IF(AS360&lt;&gt;"","X","")</f>
        <v/>
      </c>
      <c r="AS360" s="292" t="str">
        <f t="shared" ref="AS360:AS418" si="147">IF(AND($AK$3=2,AQ360="",AA360&lt;&gt;""),AC360,"")</f>
        <v/>
      </c>
      <c r="AT360" s="377" t="e">
        <f t="shared" ref="AT360:AT418" si="148">IF(AS360=$AR$21,AA360,"")</f>
        <v>#N/A</v>
      </c>
      <c r="AU360" s="292" t="e">
        <f t="shared" ref="AU360:AU418" si="149">IF(OR(AA360="",AND(AS360&lt;&gt;"",AT360&lt;&gt;"")),"",$V$10)</f>
        <v>#N/A</v>
      </c>
    </row>
    <row r="361" spans="1:47" ht="15" customHeight="1">
      <c r="A361" s="601" t="str">
        <f>Kat.!B359</f>
        <v>Batterien 16 schuss, 30mm Mörser-1.3G</v>
      </c>
      <c r="B361" s="601">
        <f t="shared" si="135"/>
        <v>1</v>
      </c>
      <c r="C361" s="758" t="s">
        <v>1305</v>
      </c>
      <c r="D361" s="776"/>
      <c r="E361" s="760"/>
      <c r="F361" s="761"/>
      <c r="G361" s="762"/>
      <c r="H361" s="596"/>
      <c r="I361" s="763"/>
      <c r="J361" s="764"/>
      <c r="K361" s="773"/>
      <c r="L361" s="766"/>
      <c r="M361" s="764"/>
      <c r="N361" s="798"/>
      <c r="O361" s="798"/>
      <c r="P361" s="763"/>
      <c r="Q361" s="764"/>
      <c r="R361" s="764"/>
      <c r="S361" s="764"/>
      <c r="T361" s="764"/>
      <c r="U361" s="768"/>
      <c r="V361" s="768"/>
      <c r="W361" s="769" t="str">
        <f>IFERROR(VLOOKUP('General price list'!$C361,Popisy!A:P,MATCH($W$17,Popisy!$A$7:$P$7,0),FALSE),"---------------")</f>
        <v>4 verschiedenfarbige Effekte</v>
      </c>
      <c r="X361" s="769" t="str">
        <f t="shared" ref="X361:X371" si="150">IF(AA361&lt;0.0001,"",AA361)</f>
        <v/>
      </c>
      <c r="Y361" s="770">
        <f>IF(OR(AP361&lt;AA361,AND(NOT(OR(LEFT(AB361,3)="SKL",LEFT(AB361,3)=LEFT($V$2,3))),AA361&gt;0),AND('Deutsche Markt'!$AH$1=FALSE,J361="F4",AA361&gt;0)),"",AA361)</f>
        <v>0</v>
      </c>
      <c r="Z361" s="769"/>
      <c r="AA361" s="771">
        <f>'Deutsche Markt'!AA361</f>
        <v>0</v>
      </c>
      <c r="AB361" s="772" t="str">
        <f>IFERROR(IF(VLOOKUP(C361,[1]List1!$A:$D,2,FALSE)="VYPRODÁNO",$V$9,IF(VLOOKUP(C361,[1]List1!$A:$D,2,FALSE)="DOCHÁZÍ",$V$3,VLOOKUP(C361,[1]List1!$A:$D,2,FALSE))),"OFFLINE!")</f>
        <v>30.04.2024</v>
      </c>
      <c r="AC361" s="772" t="str">
        <f ca="1">IF(AO361="NE",$V$10,IF(AB361=$V$3,IF(AP361&lt;1,$V$8,$V$2&amp;" "&amp;AP361&amp;" "&amp;$V$1),IF(AB361="SKLADEM",$V$6,IFERROR(IF(OR(AB361-TODAY()&gt;21,VLOOKUP(C361,[1]List1!$A:$E,4,FALSE)=0),AB361,DAY(AB361)&amp;"."&amp;MONTH(AB361)&amp;"."&amp;YEAR(AB361)&amp;" "&amp;$V$4&amp;VLOOKUP(C361,[1]List1!$A:$E,4,FALSE)&amp;" "&amp;$V$1),AB361))))</f>
        <v>30.04.2024</v>
      </c>
      <c r="AD361" s="772" t="str">
        <f t="shared" ref="AD361:AD371" ca="1" si="151">IFERROR(IF(AU361&lt;&gt;"",AU361,AC361),AC361)</f>
        <v>30.04.2024</v>
      </c>
      <c r="AE361" s="605"/>
      <c r="AF361" s="605"/>
      <c r="AG361" s="615"/>
      <c r="AH361" s="616"/>
      <c r="AI361" s="615"/>
      <c r="AJ361" s="617"/>
      <c r="AK361" s="617"/>
      <c r="AL361" s="617"/>
      <c r="AM361" s="617"/>
      <c r="AN361" s="292"/>
      <c r="AO361" s="567" t="str">
        <f t="shared" si="144"/>
        <v/>
      </c>
      <c r="AP361" s="568" t="str">
        <f>IF(AB361=$V$3,IF(VLOOKUP(C361,[1]List1!$A:$E,5,FALSE)=0,1,VLOOKUP(C361,[1]List1!$A:$E,5,FALSE)),"")</f>
        <v/>
      </c>
      <c r="AQ361" s="292" t="str">
        <f t="shared" si="145"/>
        <v/>
      </c>
      <c r="AR361" s="618" t="str">
        <f t="shared" si="146"/>
        <v/>
      </c>
      <c r="AS361" s="292" t="str">
        <f t="shared" si="147"/>
        <v/>
      </c>
      <c r="AT361" s="377" t="e">
        <f t="shared" si="148"/>
        <v>#N/A</v>
      </c>
      <c r="AU361" s="292" t="e">
        <f t="shared" si="149"/>
        <v>#N/A</v>
      </c>
    </row>
    <row r="362" spans="1:47" ht="15" customHeight="1">
      <c r="A362" s="601" t="str">
        <f>Kat.!B360</f>
        <v/>
      </c>
      <c r="B362" s="601">
        <f t="shared" si="135"/>
        <v>1</v>
      </c>
      <c r="C362" s="758" t="s">
        <v>1306</v>
      </c>
      <c r="D362" s="783"/>
      <c r="E362" s="764"/>
      <c r="F362" s="761"/>
      <c r="G362" s="762"/>
      <c r="H362" s="596"/>
      <c r="I362" s="787"/>
      <c r="J362" s="764"/>
      <c r="K362" s="765"/>
      <c r="L362" s="787"/>
      <c r="M362" s="764"/>
      <c r="N362" s="767"/>
      <c r="O362" s="763"/>
      <c r="P362" s="763"/>
      <c r="Q362" s="764"/>
      <c r="R362" s="764"/>
      <c r="S362" s="764"/>
      <c r="T362" s="764"/>
      <c r="U362" s="768"/>
      <c r="V362" s="768"/>
      <c r="W362" s="769" t="str">
        <f>IFERROR(VLOOKUP('General price list'!$C362,Popisy!A:P,MATCH($W$17,Popisy!$A$7:$P$7,0),FALSE),"---------------")</f>
        <v>4 verschiedenfarbige Effekte</v>
      </c>
      <c r="X362" s="769" t="str">
        <f t="shared" si="150"/>
        <v/>
      </c>
      <c r="Y362" s="770">
        <f>IF(OR(AP362&lt;AA362,AND(NOT(OR(LEFT(AB362,3)="SKL",LEFT(AB362,3)=LEFT($V$2,3))),AA362&gt;0),AND('Deutsche Markt'!$AH$1=FALSE,J362="F4",AA362&gt;0)),"",AA362)</f>
        <v>0</v>
      </c>
      <c r="Z362" s="769"/>
      <c r="AA362" s="771">
        <f>'Deutsche Markt'!AA362</f>
        <v>0</v>
      </c>
      <c r="AB362" s="772" t="str">
        <f>IFERROR(IF(VLOOKUP(C362,[1]List1!$A:$D,2,FALSE)="VYPRODÁNO",$V$9,IF(VLOOKUP(C362,[1]List1!$A:$D,2,FALSE)="DOCHÁZÍ",$V$3,VLOOKUP(C362,[1]List1!$A:$D,2,FALSE))),"OFFLINE!")</f>
        <v>SKLADEM</v>
      </c>
      <c r="AC362" s="772" t="str">
        <f ca="1">IF(AO362="NE",$V$10,IF(AB362=$V$3,IF(AP362&lt;1,$V$8,$V$2&amp;" "&amp;AP362&amp;" "&amp;$V$1),IF(AB362="SKLADEM",$V$6,IFERROR(IF(OR(AB362-TODAY()&gt;21,VLOOKUP(C362,[1]List1!$A:$E,4,FALSE)=0),AB362,DAY(AB362)&amp;"."&amp;MONTH(AB362)&amp;"."&amp;YEAR(AB362)&amp;" "&amp;$V$4&amp;VLOOKUP(C362,[1]List1!$A:$E,4,FALSE)&amp;" "&amp;$V$1),AB362))))</f>
        <v>AUF LAGER</v>
      </c>
      <c r="AD362" s="772" t="str">
        <f t="shared" ca="1" si="151"/>
        <v>AUF LAGER</v>
      </c>
      <c r="AE362" s="605"/>
      <c r="AF362" s="605"/>
      <c r="AG362" s="615"/>
      <c r="AH362" s="616"/>
      <c r="AI362" s="615"/>
      <c r="AJ362" s="617"/>
      <c r="AK362" s="617"/>
      <c r="AL362" s="617"/>
      <c r="AM362" s="617"/>
      <c r="AN362" s="292"/>
      <c r="AO362" s="567" t="str">
        <f t="shared" si="144"/>
        <v/>
      </c>
      <c r="AP362" s="568" t="str">
        <f>IF(AB362=$V$3,IF(VLOOKUP(C362,[1]List1!$A:$E,5,FALSE)=0,1,VLOOKUP(C362,[1]List1!$A:$E,5,FALSE)),"")</f>
        <v/>
      </c>
      <c r="AQ362" s="292" t="str">
        <f t="shared" si="145"/>
        <v/>
      </c>
      <c r="AR362" s="618" t="str">
        <f t="shared" si="146"/>
        <v/>
      </c>
      <c r="AS362" s="292" t="str">
        <f t="shared" si="147"/>
        <v/>
      </c>
      <c r="AT362" s="377" t="e">
        <f t="shared" si="148"/>
        <v>#N/A</v>
      </c>
      <c r="AU362" s="292" t="e">
        <f t="shared" si="149"/>
        <v>#N/A</v>
      </c>
    </row>
    <row r="363" spans="1:47" ht="15" customHeight="1">
      <c r="A363" s="601" t="str">
        <f>Kat.!B361</f>
        <v/>
      </c>
      <c r="B363" s="601">
        <f t="shared" si="135"/>
        <v>1</v>
      </c>
      <c r="C363" s="783" t="s">
        <v>1308</v>
      </c>
      <c r="D363" s="794"/>
      <c r="E363" s="764"/>
      <c r="F363" s="761"/>
      <c r="G363" s="762"/>
      <c r="H363" s="596"/>
      <c r="I363" s="763"/>
      <c r="J363" s="764"/>
      <c r="K363" s="773"/>
      <c r="L363" s="766"/>
      <c r="M363" s="764"/>
      <c r="N363" s="777"/>
      <c r="O363" s="763"/>
      <c r="P363" s="763"/>
      <c r="Q363" s="764"/>
      <c r="R363" s="764"/>
      <c r="S363" s="764"/>
      <c r="T363" s="764"/>
      <c r="U363" s="768"/>
      <c r="V363" s="768"/>
      <c r="W363" s="769" t="str">
        <f>IFERROR(VLOOKUP('General price list'!$C363,Popisy!A:P,MATCH($W$17,Popisy!$A$7:$P$7,0),FALSE),"---------------")</f>
        <v>4 verschiedenfarbige Effekte</v>
      </c>
      <c r="X363" s="769" t="str">
        <f t="shared" si="150"/>
        <v/>
      </c>
      <c r="Y363" s="770">
        <f>IF(OR(AP363&lt;AA363,AND(NOT(OR(LEFT(AB363,3)="SKL",LEFT(AB363,3)=LEFT($V$2,3))),AA363&gt;0),AND('Deutsche Markt'!$AH$1=FALSE,J363="F4",AA363&gt;0)),"",AA363)</f>
        <v>0</v>
      </c>
      <c r="Z363" s="769"/>
      <c r="AA363" s="771">
        <f>'Deutsche Markt'!AA363</f>
        <v>0</v>
      </c>
      <c r="AB363" s="772" t="str">
        <f>IFERROR(IF(VLOOKUP(C363,[1]List1!$A:$D,2,FALSE)="VYPRODÁNO",$V$9,IF(VLOOKUP(C363,[1]List1!$A:$D,2,FALSE)="DOCHÁZÍ",$V$3,VLOOKUP(C363,[1]List1!$A:$D,2,FALSE))),"OFFLINE!")</f>
        <v>SKLADEM</v>
      </c>
      <c r="AC363" s="772" t="str">
        <f ca="1">IF(AO363="NE",$V$10,IF(AB363=$V$3,IF(AP363&lt;1,$V$8,$V$2&amp;" "&amp;AP363&amp;" "&amp;$V$1),IF(AB363="SKLADEM",$V$6,IFERROR(IF(OR(AB363-TODAY()&gt;21,VLOOKUP(C363,[1]List1!$A:$E,4,FALSE)=0),AB363,DAY(AB363)&amp;"."&amp;MONTH(AB363)&amp;"."&amp;YEAR(AB363)&amp;" "&amp;$V$4&amp;VLOOKUP(C363,[1]List1!$A:$E,4,FALSE)&amp;" "&amp;$V$1),AB363))))</f>
        <v>AUF LAGER</v>
      </c>
      <c r="AD363" s="772" t="str">
        <f t="shared" ca="1" si="151"/>
        <v>AUF LAGER</v>
      </c>
      <c r="AE363" s="605"/>
      <c r="AF363" s="605"/>
      <c r="AG363" s="615"/>
      <c r="AH363" s="616"/>
      <c r="AI363" s="615"/>
      <c r="AJ363" s="617"/>
      <c r="AK363" s="617"/>
      <c r="AL363" s="617"/>
      <c r="AM363" s="617"/>
      <c r="AO363" s="567" t="str">
        <f t="shared" si="144"/>
        <v/>
      </c>
      <c r="AP363" s="568" t="str">
        <f>IF(AB363=$V$3,IF(VLOOKUP(C363,[1]List1!$A:$E,5,FALSE)=0,1,VLOOKUP(C363,[1]List1!$A:$E,5,FALSE)),"")</f>
        <v/>
      </c>
      <c r="AQ363" s="292" t="str">
        <f t="shared" si="145"/>
        <v/>
      </c>
      <c r="AR363" s="618" t="str">
        <f t="shared" si="146"/>
        <v/>
      </c>
      <c r="AS363" s="292" t="str">
        <f t="shared" si="147"/>
        <v/>
      </c>
      <c r="AT363" s="377" t="e">
        <f t="shared" si="148"/>
        <v>#N/A</v>
      </c>
      <c r="AU363" s="292" t="e">
        <f t="shared" si="149"/>
        <v>#N/A</v>
      </c>
    </row>
    <row r="364" spans="1:47" ht="15" customHeight="1">
      <c r="A364" s="601" t="str">
        <f>Kat.!B362</f>
        <v/>
      </c>
      <c r="B364" s="601">
        <f t="shared" si="135"/>
        <v>1</v>
      </c>
      <c r="C364" s="783" t="s">
        <v>1311</v>
      </c>
      <c r="D364" s="776"/>
      <c r="E364" s="760"/>
      <c r="F364" s="761"/>
      <c r="G364" s="762"/>
      <c r="H364" s="596"/>
      <c r="I364" s="763"/>
      <c r="J364" s="764"/>
      <c r="K364" s="765"/>
      <c r="L364" s="766"/>
      <c r="M364" s="764"/>
      <c r="N364" s="767"/>
      <c r="O364" s="763"/>
      <c r="P364" s="763"/>
      <c r="Q364" s="764"/>
      <c r="R364" s="764"/>
      <c r="S364" s="764"/>
      <c r="T364" s="761"/>
      <c r="U364" s="768"/>
      <c r="V364" s="768"/>
      <c r="W364" s="769" t="str">
        <f>IFERROR(VLOOKUP('General price list'!$C364,Popisy!A:P,MATCH($W$17,Popisy!$A$7:$P$7,0),FALSE),"---------------")</f>
        <v>4 verschiedenfarbige wechselnde Effekte nach jedem schuss</v>
      </c>
      <c r="X364" s="769" t="str">
        <f t="shared" si="150"/>
        <v/>
      </c>
      <c r="Y364" s="770">
        <f>IF(OR(AP364&lt;AA364,AND(NOT(OR(LEFT(AB364,3)="SKL",LEFT(AB364,3)=LEFT($V$2,3))),AA364&gt;0),AND('Deutsche Markt'!$AH$1=FALSE,J364="F4",AA364&gt;0)),"",AA364)</f>
        <v>0</v>
      </c>
      <c r="Z364" s="769"/>
      <c r="AA364" s="771">
        <f>'Deutsche Markt'!AA364</f>
        <v>0</v>
      </c>
      <c r="AB364" s="772" t="str">
        <f>IFERROR(IF(VLOOKUP(C364,[1]List1!$A:$D,2,FALSE)="VYPRODÁNO",$V$9,IF(VLOOKUP(C364,[1]List1!$A:$D,2,FALSE)="DOCHÁZÍ",$V$3,VLOOKUP(C364,[1]List1!$A:$D,2,FALSE))),"OFFLINE!")</f>
        <v>15.09.2024</v>
      </c>
      <c r="AC364" s="772" t="str">
        <f ca="1">IF(AO364="NE",$V$10,IF(AB364=$V$3,IF(AP364&lt;1,$V$8,$V$2&amp;" "&amp;AP364&amp;" "&amp;$V$1),IF(AB364="SKLADEM",$V$6,IFERROR(IF(OR(AB364-TODAY()&gt;21,VLOOKUP(C364,[1]List1!$A:$E,4,FALSE)=0),AB364,DAY(AB364)&amp;"."&amp;MONTH(AB364)&amp;"."&amp;YEAR(AB364)&amp;" "&amp;$V$4&amp;VLOOKUP(C364,[1]List1!$A:$E,4,FALSE)&amp;" "&amp;$V$1),AB364))))</f>
        <v>15.09.2024</v>
      </c>
      <c r="AD364" s="772" t="str">
        <f t="shared" ca="1" si="151"/>
        <v>15.09.2024</v>
      </c>
      <c r="AE364" s="605"/>
      <c r="AF364" s="605"/>
      <c r="AG364" s="615"/>
      <c r="AH364" s="616"/>
      <c r="AI364" s="615"/>
      <c r="AJ364" s="617"/>
      <c r="AK364" s="617"/>
      <c r="AL364" s="617"/>
      <c r="AM364" s="617"/>
      <c r="AO364" s="567" t="str">
        <f t="shared" si="144"/>
        <v/>
      </c>
      <c r="AP364" s="568" t="str">
        <f>IF(AB364=$V$3,IF(VLOOKUP(C364,[1]List1!$A:$E,5,FALSE)=0,1,VLOOKUP(C364,[1]List1!$A:$E,5,FALSE)),"")</f>
        <v/>
      </c>
      <c r="AQ364" s="292" t="str">
        <f t="shared" si="145"/>
        <v/>
      </c>
      <c r="AR364" s="618" t="str">
        <f t="shared" si="146"/>
        <v/>
      </c>
      <c r="AS364" s="292" t="str">
        <f t="shared" si="147"/>
        <v/>
      </c>
      <c r="AT364" s="377" t="e">
        <f t="shared" si="148"/>
        <v>#N/A</v>
      </c>
      <c r="AU364" s="292" t="e">
        <f t="shared" si="149"/>
        <v>#N/A</v>
      </c>
    </row>
    <row r="365" spans="1:47" ht="15" customHeight="1">
      <c r="A365" s="601" t="str">
        <f>Kat.!$B$1&amp;Kat.!B363</f>
        <v/>
      </c>
      <c r="B365" s="601">
        <f t="shared" si="135"/>
        <v>1</v>
      </c>
      <c r="C365" s="602" t="s">
        <v>1318</v>
      </c>
      <c r="D365" s="235"/>
      <c r="E365" s="604"/>
      <c r="F365" s="605"/>
      <c r="G365" s="606"/>
      <c r="H365" s="607"/>
      <c r="I365" s="608"/>
      <c r="J365" s="609"/>
      <c r="K365" s="708"/>
      <c r="L365" s="611"/>
      <c r="M365" s="609"/>
      <c r="N365" s="612"/>
      <c r="O365" s="608"/>
      <c r="P365" s="608"/>
      <c r="Q365" s="609"/>
      <c r="R365" s="609"/>
      <c r="S365" s="609"/>
      <c r="T365" s="605"/>
      <c r="U365" s="613"/>
      <c r="V365" s="613"/>
      <c r="W365" s="601" t="str">
        <f>IFERROR(VLOOKUP('General price list'!$C365,Popisy!A:P,MATCH($W$17,Popisy!$A$7:$P$7,0),FALSE),"---------------")</f>
        <v>Brokatspur + Brokatkrone mit knallenden Sternen</v>
      </c>
      <c r="X365" s="601" t="str">
        <f t="shared" si="150"/>
        <v/>
      </c>
      <c r="Y365" s="770">
        <f>IF(OR(AP365&lt;AA365,AND(NOT(OR(LEFT(AB365,3)="SKL",LEFT(AB365,3)=LEFT($V$2,3))),AA365&gt;0),AND('Deutsche Markt'!$AH$1=FALSE,J365="F4",AA365&gt;0)),"",AA365)</f>
        <v>0</v>
      </c>
      <c r="Z365" s="601"/>
      <c r="AA365" s="771">
        <f>'Deutsche Markt'!AA365</f>
        <v>0</v>
      </c>
      <c r="AB365" s="614" t="str">
        <f>IFERROR(IF(VLOOKUP(C365,[1]List1!$A:$D,2,FALSE)="VYPRODÁNO",$V$9,IF(VLOOKUP(C365,[1]List1!$A:$D,2,FALSE)="DOCHÁZÍ",$V$3,VLOOKUP(C365,[1]List1!$A:$D,2,FALSE))),"OFFLINE!")</f>
        <v>15.09.2024</v>
      </c>
      <c r="AC365" s="614" t="str">
        <f ca="1">IF(AO365="NE",$V$10,IF(AB365=$V$3,IF(AP365&lt;1,$V$8,$V$2&amp;" "&amp;AP365&amp;" "&amp;$V$1),IF(AB365="SKLADEM",$V$6,IFERROR(IF(OR(AB365-TODAY()&gt;21,VLOOKUP(C365,[1]List1!$A:$E,4,FALSE)=0),AB365,DAY(AB365)&amp;"."&amp;MONTH(AB365)&amp;"."&amp;YEAR(AB365)&amp;" "&amp;$V$4&amp;VLOOKUP(C365,[1]List1!$A:$E,4,FALSE)&amp;" "&amp;$V$1),AB365))))</f>
        <v>15.09.2024</v>
      </c>
      <c r="AD365" s="614" t="str">
        <f t="shared" ca="1" si="151"/>
        <v>15.09.2024</v>
      </c>
      <c r="AE365" s="605"/>
      <c r="AF365" s="605"/>
      <c r="AG365" s="615"/>
      <c r="AH365" s="616"/>
      <c r="AI365" s="615"/>
      <c r="AJ365" s="617"/>
      <c r="AK365" s="617"/>
      <c r="AL365" s="617"/>
      <c r="AM365" s="617"/>
      <c r="AO365" s="567" t="str">
        <f t="shared" si="144"/>
        <v/>
      </c>
      <c r="AP365" s="568" t="str">
        <f>IF(AB365=$V$3,IF(VLOOKUP(C365,[1]List1!$A:$E,5,FALSE)=0,1,VLOOKUP(C365,[1]List1!$A:$E,5,FALSE)),"")</f>
        <v/>
      </c>
      <c r="AQ365" s="292" t="str">
        <f t="shared" si="145"/>
        <v/>
      </c>
      <c r="AR365" s="618" t="str">
        <f t="shared" si="146"/>
        <v/>
      </c>
      <c r="AS365" s="292" t="str">
        <f t="shared" si="147"/>
        <v/>
      </c>
      <c r="AT365" s="377" t="e">
        <f t="shared" si="148"/>
        <v>#N/A</v>
      </c>
      <c r="AU365" s="292" t="e">
        <f t="shared" si="149"/>
        <v>#N/A</v>
      </c>
    </row>
    <row r="366" spans="1:47" ht="15" customHeight="1">
      <c r="A366" s="601" t="str">
        <f>Kat.!B364</f>
        <v/>
      </c>
      <c r="B366" s="601">
        <f t="shared" si="135"/>
        <v>1</v>
      </c>
      <c r="C366" s="783" t="s">
        <v>1323</v>
      </c>
      <c r="D366" s="776"/>
      <c r="E366" s="760"/>
      <c r="F366" s="761"/>
      <c r="G366" s="762"/>
      <c r="H366" s="596"/>
      <c r="I366" s="763"/>
      <c r="J366" s="764"/>
      <c r="K366" s="765"/>
      <c r="L366" s="766"/>
      <c r="M366" s="764"/>
      <c r="N366" s="767"/>
      <c r="O366" s="763"/>
      <c r="P366" s="763"/>
      <c r="Q366" s="764"/>
      <c r="R366" s="764"/>
      <c r="S366" s="764"/>
      <c r="T366" s="761"/>
      <c r="U366" s="768"/>
      <c r="V366" s="768"/>
      <c r="W366" s="769" t="str">
        <f>IFERROR(VLOOKUP('General price list'!$C366,Popisy!A:P,MATCH($W$17,Popisy!$A$7:$P$7,0),FALSE),"---------------")</f>
        <v xml:space="preserve">Silberne Mine mit der roten Spur + silberne Chrysantheme </v>
      </c>
      <c r="X366" s="769" t="str">
        <f t="shared" si="150"/>
        <v/>
      </c>
      <c r="Y366" s="770">
        <f>IF(OR(AP366&lt;AA366,AND(NOT(OR(LEFT(AB366,3)="SKL",LEFT(AB366,3)=LEFT($V$2,3))),AA366&gt;0),AND('Deutsche Markt'!$AH$1=FALSE,J366="F4",AA366&gt;0)),"",AA366)</f>
        <v>0</v>
      </c>
      <c r="Z366" s="769"/>
      <c r="AA366" s="771">
        <f>'Deutsche Markt'!AA366</f>
        <v>0</v>
      </c>
      <c r="AB366" s="772" t="str">
        <f>IFERROR(IF(VLOOKUP(C366,[1]List1!$A:$D,2,FALSE)="VYPRODÁNO",$V$9,IF(VLOOKUP(C366,[1]List1!$A:$D,2,FALSE)="DOCHÁZÍ",$V$3,VLOOKUP(C366,[1]List1!$A:$D,2,FALSE))),"OFFLINE!")</f>
        <v>15.09.2024</v>
      </c>
      <c r="AC366" s="772" t="str">
        <f ca="1">IF(AO366="NE",$V$10,IF(AB366=$V$3,IF(AP366&lt;1,$V$8,$V$2&amp;" "&amp;AP366&amp;" "&amp;$V$1),IF(AB366="SKLADEM",$V$6,IFERROR(IF(OR(AB366-TODAY()&gt;21,VLOOKUP(C366,[1]List1!$A:$E,4,FALSE)=0),AB366,DAY(AB366)&amp;"."&amp;MONTH(AB366)&amp;"."&amp;YEAR(AB366)&amp;" "&amp;$V$4&amp;VLOOKUP(C366,[1]List1!$A:$E,4,FALSE)&amp;" "&amp;$V$1),AB366))))</f>
        <v>15.09.2024</v>
      </c>
      <c r="AD366" s="772" t="str">
        <f t="shared" ca="1" si="151"/>
        <v>15.09.2024</v>
      </c>
      <c r="AE366" s="605"/>
      <c r="AF366" s="605"/>
      <c r="AG366" s="615"/>
      <c r="AH366" s="616"/>
      <c r="AI366" s="615"/>
      <c r="AJ366" s="617"/>
      <c r="AK366" s="617"/>
      <c r="AL366" s="617"/>
      <c r="AM366" s="617"/>
      <c r="AO366" s="567" t="str">
        <f t="shared" si="144"/>
        <v/>
      </c>
      <c r="AP366" s="568" t="str">
        <f>IF(AB366=$V$3,IF(VLOOKUP(C366,[1]List1!$A:$E,5,FALSE)=0,1,VLOOKUP(C366,[1]List1!$A:$E,5,FALSE)),"")</f>
        <v/>
      </c>
      <c r="AQ366" s="292" t="str">
        <f t="shared" si="145"/>
        <v/>
      </c>
      <c r="AR366" s="618" t="str">
        <f t="shared" si="146"/>
        <v/>
      </c>
      <c r="AS366" s="292" t="str">
        <f t="shared" si="147"/>
        <v/>
      </c>
      <c r="AT366" s="377" t="e">
        <f t="shared" si="148"/>
        <v>#N/A</v>
      </c>
      <c r="AU366" s="292" t="e">
        <f t="shared" si="149"/>
        <v>#N/A</v>
      </c>
    </row>
    <row r="367" spans="1:47" ht="15" customHeight="1">
      <c r="A367" s="601" t="str">
        <f>Kat.!B365</f>
        <v/>
      </c>
      <c r="B367" s="601">
        <f t="shared" si="135"/>
        <v>0</v>
      </c>
      <c r="C367" s="783"/>
      <c r="D367" s="776"/>
      <c r="E367" s="760"/>
      <c r="F367" s="761"/>
      <c r="G367" s="762"/>
      <c r="H367" s="596"/>
      <c r="I367" s="763"/>
      <c r="J367" s="764"/>
      <c r="K367" s="773"/>
      <c r="L367" s="766"/>
      <c r="M367" s="764"/>
      <c r="N367" s="767"/>
      <c r="O367" s="763"/>
      <c r="P367" s="763"/>
      <c r="Q367" s="764"/>
      <c r="R367" s="764"/>
      <c r="S367" s="764"/>
      <c r="T367" s="764"/>
      <c r="U367" s="768"/>
      <c r="V367" s="768"/>
      <c r="W367" s="769" t="str">
        <f>IFERROR(VLOOKUP('General price list'!$C367,Popisy!A:P,MATCH($W$17,Popisy!$A$7:$P$7,0),FALSE),"---------------")</f>
        <v>---------------</v>
      </c>
      <c r="X367" s="769" t="str">
        <f t="shared" si="150"/>
        <v/>
      </c>
      <c r="Y367" s="770">
        <f>IF(OR(AP367&lt;AA367,AND(NOT(OR(LEFT(AB367,3)="SKL",LEFT(AB367,3)=LEFT($V$2,3))),AA367&gt;0),AND('Deutsche Markt'!$AH$1=FALSE,J367="F4",AA367&gt;0)),"",AA367)</f>
        <v>0</v>
      </c>
      <c r="Z367" s="769"/>
      <c r="AA367" s="771">
        <f>'Deutsche Markt'!AA367</f>
        <v>0</v>
      </c>
      <c r="AB367" s="772" t="str">
        <f>IFERROR(IF(VLOOKUP(C367,[1]List1!$A:$D,2,FALSE)="VYPRODÁNO",$V$9,IF(VLOOKUP(C367,[1]List1!$A:$D,2,FALSE)="DOCHÁZÍ",$V$3,VLOOKUP(C367,[1]List1!$A:$D,2,FALSE))),"OFFLINE!")</f>
        <v>OFFLINE!</v>
      </c>
      <c r="AC367" s="772" t="str">
        <f ca="1">IF(AO367="NE",$V$10,IF(AB367=$V$3,IF(AP367&lt;1,$V$8,$V$2&amp;" "&amp;AP367&amp;" "&amp;$V$1),IF(AB367="SKLADEM",$V$6,IFERROR(IF(OR(AB367-TODAY()&gt;21,VLOOKUP(C367,[1]List1!$A:$E,4,FALSE)=0),AB367,DAY(AB367)&amp;"."&amp;MONTH(AB367)&amp;"."&amp;YEAR(AB367)&amp;" "&amp;$V$4&amp;VLOOKUP(C367,[1]List1!$A:$E,4,FALSE)&amp;" "&amp;$V$1),AB367))))</f>
        <v>OFFLINE!</v>
      </c>
      <c r="AD367" s="772" t="str">
        <f t="shared" ca="1" si="151"/>
        <v>OFFLINE!</v>
      </c>
      <c r="AE367" s="605"/>
      <c r="AF367" s="605"/>
      <c r="AG367" s="615"/>
      <c r="AH367" s="616"/>
      <c r="AI367" s="615"/>
      <c r="AJ367" s="617"/>
      <c r="AK367" s="617"/>
      <c r="AL367" s="617"/>
      <c r="AM367" s="617"/>
      <c r="AN367" s="292"/>
      <c r="AO367" s="567" t="str">
        <f t="shared" si="144"/>
        <v/>
      </c>
      <c r="AP367" s="568" t="str">
        <f>IF(AB367=$V$3,IF(VLOOKUP(C367,[1]List1!$A:$E,5,FALSE)=0,1,VLOOKUP(C367,[1]List1!$A:$E,5,FALSE)),"")</f>
        <v/>
      </c>
      <c r="AQ367" s="292" t="str">
        <f t="shared" si="145"/>
        <v/>
      </c>
      <c r="AR367" s="618" t="str">
        <f t="shared" si="146"/>
        <v/>
      </c>
      <c r="AS367" s="292" t="str">
        <f t="shared" si="147"/>
        <v/>
      </c>
      <c r="AT367" s="377" t="e">
        <f t="shared" si="148"/>
        <v>#N/A</v>
      </c>
      <c r="AU367" s="292" t="e">
        <f t="shared" si="149"/>
        <v>#N/A</v>
      </c>
    </row>
    <row r="368" spans="1:47" ht="15" customHeight="1">
      <c r="A368" s="601" t="str">
        <f>Kat.!B366</f>
        <v/>
      </c>
      <c r="B368" s="601">
        <f t="shared" si="135"/>
        <v>1</v>
      </c>
      <c r="C368" s="783" t="s">
        <v>1316</v>
      </c>
      <c r="D368" s="776"/>
      <c r="E368" s="760"/>
      <c r="F368" s="761"/>
      <c r="G368" s="762"/>
      <c r="H368" s="596"/>
      <c r="I368" s="763"/>
      <c r="J368" s="764"/>
      <c r="K368" s="765"/>
      <c r="L368" s="766"/>
      <c r="M368" s="764"/>
      <c r="N368" s="777"/>
      <c r="O368" s="763"/>
      <c r="P368" s="763"/>
      <c r="Q368" s="764"/>
      <c r="R368" s="764"/>
      <c r="S368" s="764"/>
      <c r="T368" s="761"/>
      <c r="U368" s="768"/>
      <c r="V368" s="768"/>
      <c r="W368" s="769" t="str">
        <f>IFERROR(VLOOKUP('General price list'!$C368,Popisy!A:P,MATCH($W$17,Popisy!$A$7:$P$7,0),FALSE),"---------------")</f>
        <v>4 verschiedenfarbige Effekte</v>
      </c>
      <c r="X368" s="769" t="str">
        <f t="shared" si="150"/>
        <v/>
      </c>
      <c r="Y368" s="770">
        <f>IF(OR(AP368&lt;AA368,AND(NOT(OR(LEFT(AB368,3)="SKL",LEFT(AB368,3)=LEFT($V$2,3))),AA368&gt;0),AND('Deutsche Markt'!$AH$1=FALSE,J368="F4",AA368&gt;0)),"",AA368)</f>
        <v>0</v>
      </c>
      <c r="Z368" s="769"/>
      <c r="AA368" s="771">
        <f>'Deutsche Markt'!AA368</f>
        <v>0</v>
      </c>
      <c r="AB368" s="772" t="str">
        <f>IFERROR(IF(VLOOKUP(C368,[1]List1!$A:$D,2,FALSE)="VYPRODÁNO",$V$9,IF(VLOOKUP(C368,[1]List1!$A:$D,2,FALSE)="DOCHÁZÍ",$V$3,VLOOKUP(C368,[1]List1!$A:$D,2,FALSE))),"OFFLINE!")</f>
        <v>15.09.2024</v>
      </c>
      <c r="AC368" s="772" t="str">
        <f ca="1">IF(AO368="NE",$V$10,IF(AB368=$V$3,IF(AP368&lt;1,$V$8,$V$2&amp;" "&amp;AP368&amp;" "&amp;$V$1),IF(AB368="SKLADEM",$V$6,IFERROR(IF(OR(AB368-TODAY()&gt;21,VLOOKUP(C368,[1]List1!$A:$E,4,FALSE)=0),AB368,DAY(AB368)&amp;"."&amp;MONTH(AB368)&amp;"."&amp;YEAR(AB368)&amp;" "&amp;$V$4&amp;VLOOKUP(C368,[1]List1!$A:$E,4,FALSE)&amp;" "&amp;$V$1),AB368))))</f>
        <v>15.09.2024</v>
      </c>
      <c r="AD368" s="772" t="str">
        <f t="shared" ca="1" si="151"/>
        <v>15.09.2024</v>
      </c>
      <c r="AE368" s="605"/>
      <c r="AF368" s="605"/>
      <c r="AG368" s="615"/>
      <c r="AH368" s="616"/>
      <c r="AI368" s="615"/>
      <c r="AJ368" s="617"/>
      <c r="AK368" s="617"/>
      <c r="AL368" s="617"/>
      <c r="AM368" s="617"/>
      <c r="AN368" s="292"/>
      <c r="AO368" s="567" t="str">
        <f t="shared" si="144"/>
        <v/>
      </c>
      <c r="AP368" s="568" t="str">
        <f>IF(AB368=$V$3,IF(VLOOKUP(C368,[1]List1!$A:$E,5,FALSE)=0,1,VLOOKUP(C368,[1]List1!$A:$E,5,FALSE)),"")</f>
        <v/>
      </c>
      <c r="AQ368" s="292" t="str">
        <f t="shared" si="145"/>
        <v/>
      </c>
      <c r="AR368" s="618" t="str">
        <f t="shared" si="146"/>
        <v/>
      </c>
      <c r="AS368" s="292" t="str">
        <f t="shared" si="147"/>
        <v/>
      </c>
      <c r="AT368" s="377" t="e">
        <f t="shared" si="148"/>
        <v>#N/A</v>
      </c>
      <c r="AU368" s="292" t="e">
        <f t="shared" si="149"/>
        <v>#N/A</v>
      </c>
    </row>
    <row r="369" spans="1:47" ht="15" customHeight="1">
      <c r="A369" s="601" t="str">
        <f>Kat.!B367</f>
        <v>Batterien 16 schuss, 30mm Mörser-1.4G</v>
      </c>
      <c r="B369" s="601">
        <f t="shared" si="135"/>
        <v>0</v>
      </c>
      <c r="C369" s="783"/>
      <c r="D369" s="776"/>
      <c r="E369" s="760"/>
      <c r="F369" s="761"/>
      <c r="G369" s="762"/>
      <c r="H369" s="596"/>
      <c r="I369" s="763"/>
      <c r="J369" s="764"/>
      <c r="K369" s="773"/>
      <c r="L369" s="782"/>
      <c r="M369" s="764"/>
      <c r="N369" s="767"/>
      <c r="O369" s="763"/>
      <c r="P369" s="763"/>
      <c r="Q369" s="764"/>
      <c r="R369" s="764"/>
      <c r="S369" s="764"/>
      <c r="T369" s="764"/>
      <c r="U369" s="768"/>
      <c r="V369" s="768"/>
      <c r="W369" s="769" t="str">
        <f>IFERROR(VLOOKUP('General price list'!$C369,Popisy!A:P,MATCH($W$17,Popisy!$A$7:$P$7,0),FALSE),"---------------")</f>
        <v>---------------</v>
      </c>
      <c r="X369" s="769" t="str">
        <f t="shared" si="150"/>
        <v/>
      </c>
      <c r="Y369" s="770">
        <f>IF(OR(AP369&lt;AA369,AND(NOT(OR(LEFT(AB369,3)="SKL",LEFT(AB369,3)=LEFT($V$2,3))),AA369&gt;0),AND('Deutsche Markt'!$AH$1=FALSE,J369="F4",AA369&gt;0)),"",AA369)</f>
        <v>0</v>
      </c>
      <c r="Z369" s="769"/>
      <c r="AA369" s="771">
        <f>'Deutsche Markt'!AA369</f>
        <v>0</v>
      </c>
      <c r="AB369" s="772" t="str">
        <f>IFERROR(IF(VLOOKUP(C369,[1]List1!$A:$D,2,FALSE)="VYPRODÁNO",$V$9,IF(VLOOKUP(C369,[1]List1!$A:$D,2,FALSE)="DOCHÁZÍ",$V$3,VLOOKUP(C369,[1]List1!$A:$D,2,FALSE))),"OFFLINE!")</f>
        <v>OFFLINE!</v>
      </c>
      <c r="AC369" s="772" t="str">
        <f ca="1">IF(AO369="NE",$V$10,IF(AB369=$V$3,IF(AP369&lt;1,$V$8,$V$2&amp;" "&amp;AP369&amp;" "&amp;$V$1),IF(AB369="SKLADEM",$V$6,IFERROR(IF(OR(AB369-TODAY()&gt;21,VLOOKUP(C369,[1]List1!$A:$E,4,FALSE)=0),AB369,DAY(AB369)&amp;"."&amp;MONTH(AB369)&amp;"."&amp;YEAR(AB369)&amp;" "&amp;$V$4&amp;VLOOKUP(C369,[1]List1!$A:$E,4,FALSE)&amp;" "&amp;$V$1),AB369))))</f>
        <v>OFFLINE!</v>
      </c>
      <c r="AD369" s="772" t="str">
        <f t="shared" ca="1" si="151"/>
        <v>OFFLINE!</v>
      </c>
      <c r="AE369" s="605"/>
      <c r="AF369" s="605"/>
      <c r="AG369" s="615"/>
      <c r="AH369" s="616"/>
      <c r="AI369" s="615"/>
      <c r="AJ369" s="617"/>
      <c r="AK369" s="617"/>
      <c r="AL369" s="617"/>
      <c r="AM369" s="617"/>
      <c r="AO369" s="567" t="str">
        <f t="shared" si="144"/>
        <v/>
      </c>
      <c r="AP369" s="568" t="str">
        <f>IF(AB369=$V$3,IF(VLOOKUP(C369,[1]List1!$A:$E,5,FALSE)=0,1,VLOOKUP(C369,[1]List1!$A:$E,5,FALSE)),"")</f>
        <v/>
      </c>
      <c r="AQ369" s="292" t="str">
        <f t="shared" si="145"/>
        <v/>
      </c>
      <c r="AR369" s="618" t="str">
        <f t="shared" si="146"/>
        <v/>
      </c>
      <c r="AS369" s="292" t="str">
        <f t="shared" si="147"/>
        <v/>
      </c>
      <c r="AT369" s="377" t="e">
        <f t="shared" si="148"/>
        <v>#N/A</v>
      </c>
      <c r="AU369" s="292" t="e">
        <f t="shared" si="149"/>
        <v>#N/A</v>
      </c>
    </row>
    <row r="370" spans="1:47" ht="15" customHeight="1">
      <c r="A370" s="601" t="str">
        <f>Kat.!B368</f>
        <v/>
      </c>
      <c r="B370" s="601">
        <f t="shared" si="135"/>
        <v>1</v>
      </c>
      <c r="C370" s="783" t="s">
        <v>1329</v>
      </c>
      <c r="D370" s="776"/>
      <c r="E370" s="760"/>
      <c r="F370" s="761"/>
      <c r="G370" s="762"/>
      <c r="H370" s="596"/>
      <c r="I370" s="763"/>
      <c r="J370" s="764"/>
      <c r="K370" s="765"/>
      <c r="L370" s="766"/>
      <c r="M370" s="764"/>
      <c r="N370" s="777"/>
      <c r="O370" s="763"/>
      <c r="P370" s="763"/>
      <c r="Q370" s="764"/>
      <c r="R370" s="764"/>
      <c r="S370" s="764"/>
      <c r="T370" s="761"/>
      <c r="U370" s="768"/>
      <c r="V370" s="768"/>
      <c r="W370" s="769" t="str">
        <f>IFERROR(VLOOKUP('General price list'!$C370,Popisy!A:P,MATCH($W$17,Popisy!$A$7:$P$7,0),FALSE),"---------------")</f>
        <v>4 verschiedenfarbige Effekte</v>
      </c>
      <c r="X370" s="769" t="str">
        <f t="shared" si="150"/>
        <v/>
      </c>
      <c r="Y370" s="770">
        <f>IF(OR(AP370&lt;AA370,AND(NOT(OR(LEFT(AB370,3)="SKL",LEFT(AB370,3)=LEFT($V$2,3))),AA370&gt;0),AND('Deutsche Markt'!$AH$1=FALSE,J370="F4",AA370&gt;0)),"",AA370)</f>
        <v>0</v>
      </c>
      <c r="Z370" s="769"/>
      <c r="AA370" s="771">
        <f>'Deutsche Markt'!AA370</f>
        <v>0</v>
      </c>
      <c r="AB370" s="772" t="str">
        <f>IFERROR(IF(VLOOKUP(C370,[1]List1!$A:$D,2,FALSE)="VYPRODÁNO",$V$9,IF(VLOOKUP(C370,[1]List1!$A:$D,2,FALSE)="DOCHÁZÍ",$V$3,VLOOKUP(C370,[1]List1!$A:$D,2,FALSE))),"OFFLINE!")</f>
        <v>SKLADEM</v>
      </c>
      <c r="AC370" s="772" t="str">
        <f ca="1">IF(AO370="NE",$V$10,IF(AB370=$V$3,IF(AP370&lt;1,$V$8,$V$2&amp;" "&amp;AP370&amp;" "&amp;$V$1),IF(AB370="SKLADEM",$V$6,IFERROR(IF(OR(AB370-TODAY()&gt;21,VLOOKUP(C370,[1]List1!$A:$E,4,FALSE)=0),AB370,DAY(AB370)&amp;"."&amp;MONTH(AB370)&amp;"."&amp;YEAR(AB370)&amp;" "&amp;$V$4&amp;VLOOKUP(C370,[1]List1!$A:$E,4,FALSE)&amp;" "&amp;$V$1),AB370))))</f>
        <v>AUF LAGER</v>
      </c>
      <c r="AD370" s="772" t="str">
        <f t="shared" ca="1" si="151"/>
        <v>AUF LAGER</v>
      </c>
      <c r="AE370" s="605"/>
      <c r="AF370" s="605"/>
      <c r="AG370" s="615"/>
      <c r="AH370" s="616"/>
      <c r="AI370" s="615"/>
      <c r="AJ370" s="617"/>
      <c r="AK370" s="617"/>
      <c r="AL370" s="617"/>
      <c r="AM370" s="617"/>
      <c r="AO370" s="567" t="str">
        <f t="shared" si="144"/>
        <v/>
      </c>
      <c r="AP370" s="568" t="str">
        <f>IF(AB370=$V$3,IF(VLOOKUP(C370,[1]List1!$A:$E,5,FALSE)=0,1,VLOOKUP(C370,[1]List1!$A:$E,5,FALSE)),"")</f>
        <v/>
      </c>
      <c r="AQ370" s="292" t="str">
        <f t="shared" si="145"/>
        <v/>
      </c>
      <c r="AR370" s="618" t="str">
        <f t="shared" si="146"/>
        <v/>
      </c>
      <c r="AS370" s="292" t="str">
        <f t="shared" si="147"/>
        <v/>
      </c>
      <c r="AT370" s="377" t="e">
        <f t="shared" si="148"/>
        <v>#N/A</v>
      </c>
      <c r="AU370" s="292" t="e">
        <f t="shared" si="149"/>
        <v>#N/A</v>
      </c>
    </row>
    <row r="371" spans="1:47" ht="15" customHeight="1">
      <c r="A371" s="601" t="str">
        <f>Kat.!B369</f>
        <v>Batterien 19 schuss, 30mm Mörser-1.3G</v>
      </c>
      <c r="B371" s="601">
        <f t="shared" si="135"/>
        <v>1</v>
      </c>
      <c r="C371" s="783" t="s">
        <v>1330</v>
      </c>
      <c r="D371" s="776"/>
      <c r="E371" s="760"/>
      <c r="F371" s="761"/>
      <c r="G371" s="762"/>
      <c r="H371" s="596"/>
      <c r="I371" s="763"/>
      <c r="J371" s="764"/>
      <c r="K371" s="773"/>
      <c r="L371" s="766"/>
      <c r="M371" s="764"/>
      <c r="N371" s="767"/>
      <c r="O371" s="763"/>
      <c r="P371" s="763"/>
      <c r="Q371" s="764"/>
      <c r="R371" s="764"/>
      <c r="S371" s="764"/>
      <c r="T371" s="764"/>
      <c r="U371" s="768"/>
      <c r="V371" s="768"/>
      <c r="W371" s="769" t="str">
        <f>IFERROR(VLOOKUP('General price list'!$C371,Popisy!A:P,MATCH($W$17,Popisy!$A$7:$P$7,0),FALSE),"---------------")</f>
        <v>4 verschiedenfarbige Effekte</v>
      </c>
      <c r="X371" s="769" t="str">
        <f t="shared" si="150"/>
        <v/>
      </c>
      <c r="Y371" s="770">
        <f>IF(OR(AP371&lt;AA371,AND(NOT(OR(LEFT(AB371,3)="SKL",LEFT(AB371,3)=LEFT($V$2,3))),AA371&gt;0),AND('Deutsche Markt'!$AH$1=FALSE,J371="F4",AA371&gt;0)),"",AA371)</f>
        <v>0</v>
      </c>
      <c r="Z371" s="769"/>
      <c r="AA371" s="771">
        <f>'Deutsche Markt'!AA371</f>
        <v>0</v>
      </c>
      <c r="AB371" s="772" t="str">
        <f>IFERROR(IF(VLOOKUP(C371,[1]List1!$A:$D,2,FALSE)="VYPRODÁNO",$V$9,IF(VLOOKUP(C371,[1]List1!$A:$D,2,FALSE)="DOCHÁZÍ",$V$3,VLOOKUP(C371,[1]List1!$A:$D,2,FALSE))),"OFFLINE!")</f>
        <v>SKLADEM</v>
      </c>
      <c r="AC371" s="772" t="str">
        <f ca="1">IF(AO371="NE",$V$10,IF(AB371=$V$3,IF(AP371&lt;1,$V$8,$V$2&amp;" "&amp;AP371&amp;" "&amp;$V$1),IF(AB371="SKLADEM",$V$6,IFERROR(IF(OR(AB371-TODAY()&gt;21,VLOOKUP(C371,[1]List1!$A:$E,4,FALSE)=0),AB371,DAY(AB371)&amp;"."&amp;MONTH(AB371)&amp;"."&amp;YEAR(AB371)&amp;" "&amp;$V$4&amp;VLOOKUP(C371,[1]List1!$A:$E,4,FALSE)&amp;" "&amp;$V$1),AB371))))</f>
        <v>AUF LAGER</v>
      </c>
      <c r="AD371" s="772" t="str">
        <f t="shared" ca="1" si="151"/>
        <v>AUF LAGER</v>
      </c>
      <c r="AE371" s="605"/>
      <c r="AF371" s="605"/>
      <c r="AG371" s="615"/>
      <c r="AH371" s="616"/>
      <c r="AI371" s="615"/>
      <c r="AJ371" s="617"/>
      <c r="AK371" s="617"/>
      <c r="AL371" s="617"/>
      <c r="AM371" s="617"/>
      <c r="AO371" s="567" t="str">
        <f t="shared" si="144"/>
        <v/>
      </c>
      <c r="AP371" s="568" t="str">
        <f>IF(AB371=$V$3,IF(VLOOKUP(C371,[1]List1!$A:$E,5,FALSE)=0,1,VLOOKUP(C371,[1]List1!$A:$E,5,FALSE)),"")</f>
        <v/>
      </c>
      <c r="AQ371" s="292" t="str">
        <f t="shared" si="145"/>
        <v/>
      </c>
      <c r="AR371" s="618" t="str">
        <f t="shared" si="146"/>
        <v/>
      </c>
      <c r="AS371" s="292" t="str">
        <f t="shared" si="147"/>
        <v/>
      </c>
      <c r="AT371" s="377" t="e">
        <f t="shared" si="148"/>
        <v>#N/A</v>
      </c>
      <c r="AU371" s="292" t="e">
        <f t="shared" si="149"/>
        <v>#N/A</v>
      </c>
    </row>
    <row r="372" spans="1:47" ht="15" customHeight="1">
      <c r="A372" s="601" t="str">
        <f>Kat.!B370</f>
        <v>x</v>
      </c>
      <c r="B372" s="601">
        <f t="shared" si="135"/>
        <v>1</v>
      </c>
      <c r="C372" s="758" t="s">
        <v>1332</v>
      </c>
      <c r="D372" s="776"/>
      <c r="E372" s="760"/>
      <c r="F372" s="761"/>
      <c r="G372" s="762"/>
      <c r="H372" s="596"/>
      <c r="I372" s="763"/>
      <c r="J372" s="764"/>
      <c r="K372" s="765"/>
      <c r="L372" s="766"/>
      <c r="M372" s="764"/>
      <c r="N372" s="777"/>
      <c r="O372" s="763"/>
      <c r="P372" s="763"/>
      <c r="Q372" s="764"/>
      <c r="R372" s="764"/>
      <c r="S372" s="764"/>
      <c r="T372" s="761"/>
      <c r="U372" s="768"/>
      <c r="V372" s="768"/>
      <c r="W372" s="769"/>
      <c r="X372" s="769"/>
      <c r="Y372" s="770">
        <f>IF(OR(AP372&lt;AA372,AND(NOT(OR(LEFT(AB372,3)="SKL",LEFT(AB372,3)=LEFT($V$2,3))),AA372&gt;0),AND('Deutsche Markt'!$AH$1=FALSE,J372="F4",AA372&gt;0)),"",AA372)</f>
        <v>0</v>
      </c>
      <c r="Z372" s="769"/>
      <c r="AA372" s="771">
        <f>'Deutsche Markt'!AA372</f>
        <v>0</v>
      </c>
      <c r="AB372" s="772"/>
      <c r="AC372" s="772"/>
      <c r="AD372" s="772"/>
      <c r="AE372" s="605"/>
      <c r="AF372" s="605"/>
      <c r="AG372" s="615"/>
      <c r="AH372" s="616"/>
      <c r="AI372" s="615"/>
      <c r="AJ372" s="617"/>
      <c r="AK372" s="617"/>
      <c r="AL372" s="617"/>
      <c r="AM372" s="617"/>
      <c r="AO372" s="567" t="str">
        <f t="shared" si="144"/>
        <v/>
      </c>
      <c r="AP372" s="568" t="str">
        <f>IF(AB372=$V$3,IF(VLOOKUP(C372,[1]List1!$A:$E,5,FALSE)=0,1,VLOOKUP(C372,[1]List1!$A:$E,5,FALSE)),"")</f>
        <v/>
      </c>
      <c r="AQ372" s="292" t="str">
        <f t="shared" si="145"/>
        <v/>
      </c>
      <c r="AR372" s="618" t="str">
        <f t="shared" si="146"/>
        <v/>
      </c>
      <c r="AS372" s="292" t="str">
        <f t="shared" si="147"/>
        <v/>
      </c>
      <c r="AT372" s="377" t="e">
        <f t="shared" si="148"/>
        <v>#N/A</v>
      </c>
      <c r="AU372" s="292" t="e">
        <f t="shared" si="149"/>
        <v>#N/A</v>
      </c>
    </row>
    <row r="373" spans="1:47" ht="15" customHeight="1">
      <c r="A373" s="601" t="str">
        <f>Kat.!B371</f>
        <v/>
      </c>
      <c r="B373" s="601">
        <f t="shared" si="135"/>
        <v>1</v>
      </c>
      <c r="C373" s="758" t="s">
        <v>1334</v>
      </c>
      <c r="D373" s="776"/>
      <c r="E373" s="760"/>
      <c r="F373" s="761"/>
      <c r="G373" s="762"/>
      <c r="H373" s="596"/>
      <c r="I373" s="763"/>
      <c r="J373" s="764"/>
      <c r="K373" s="773"/>
      <c r="L373" s="766"/>
      <c r="M373" s="764"/>
      <c r="N373" s="798"/>
      <c r="O373" s="798"/>
      <c r="P373" s="763"/>
      <c r="Q373" s="764"/>
      <c r="R373" s="764"/>
      <c r="S373" s="764"/>
      <c r="T373" s="764"/>
      <c r="U373" s="768"/>
      <c r="V373" s="768"/>
      <c r="W373" s="769" t="str">
        <f>IFERROR(VLOOKUP('General price list'!$C373,Popisy!A:P,MATCH($W$17,Popisy!$A$7:$P$7,0),FALSE),"---------------")</f>
        <v>4 verschiedenfarbige wechselnde Effekte nach jedem schuss</v>
      </c>
      <c r="X373" s="769" t="str">
        <f t="shared" ref="X373:X376" si="152">IF(AA373&lt;0.0001,"",AA373)</f>
        <v/>
      </c>
      <c r="Y373" s="770">
        <f>IF(OR(AP373&lt;AA373,AND(NOT(OR(LEFT(AB373,3)="SKL",LEFT(AB373,3)=LEFT($V$2,3))),AA373&gt;0),AND('Deutsche Markt'!$AH$1=FALSE,J373="F4",AA373&gt;0)),"",AA373)</f>
        <v>0</v>
      </c>
      <c r="Z373" s="769"/>
      <c r="AA373" s="771">
        <f>'Deutsche Markt'!AA373</f>
        <v>0</v>
      </c>
      <c r="AB373" s="772" t="str">
        <f>IFERROR(IF(VLOOKUP(C373,[1]List1!$A:$D,2,FALSE)="VYPRODÁNO",$V$9,IF(VLOOKUP(C373,[1]List1!$A:$D,2,FALSE)="DOCHÁZÍ",$V$3,VLOOKUP(C373,[1]List1!$A:$D,2,FALSE))),"OFFLINE!")</f>
        <v>SKLADEM</v>
      </c>
      <c r="AC373" s="772" t="str">
        <f ca="1">IF(AO373="NE",$V$10,IF(AB373=$V$3,IF(AP373&lt;1,$V$8,$V$2&amp;" "&amp;AP373&amp;" "&amp;$V$1),IF(AB373="SKLADEM",$V$6,IFERROR(IF(OR(AB373-TODAY()&gt;21,VLOOKUP(C373,[1]List1!$A:$E,4,FALSE)=0),AB373,DAY(AB373)&amp;"."&amp;MONTH(AB373)&amp;"."&amp;YEAR(AB373)&amp;" "&amp;$V$4&amp;VLOOKUP(C373,[1]List1!$A:$E,4,FALSE)&amp;" "&amp;$V$1),AB373))))</f>
        <v>AUF LAGER</v>
      </c>
      <c r="AD373" s="772" t="str">
        <f t="shared" ref="AD373:AD376" ca="1" si="153">IFERROR(IF(AU373&lt;&gt;"",AU373,AC373),AC373)</f>
        <v>AUF LAGER</v>
      </c>
      <c r="AE373" s="605"/>
      <c r="AF373" s="605"/>
      <c r="AG373" s="615"/>
      <c r="AH373" s="616"/>
      <c r="AI373" s="615"/>
      <c r="AJ373" s="617"/>
      <c r="AK373" s="617"/>
      <c r="AL373" s="617"/>
      <c r="AM373" s="617"/>
      <c r="AN373" s="292"/>
      <c r="AO373" s="567" t="str">
        <f t="shared" si="144"/>
        <v/>
      </c>
      <c r="AP373" s="568" t="str">
        <f>IF(AB373=$V$3,IF(VLOOKUP(C373,[1]List1!$A:$E,5,FALSE)=0,1,VLOOKUP(C373,[1]List1!$A:$E,5,FALSE)),"")</f>
        <v/>
      </c>
      <c r="AQ373" s="292" t="str">
        <f t="shared" si="145"/>
        <v/>
      </c>
      <c r="AR373" s="618" t="str">
        <f t="shared" si="146"/>
        <v/>
      </c>
      <c r="AS373" s="292" t="str">
        <f t="shared" si="147"/>
        <v/>
      </c>
      <c r="AT373" s="377" t="e">
        <f t="shared" si="148"/>
        <v>#N/A</v>
      </c>
      <c r="AU373" s="292" t="e">
        <f t="shared" si="149"/>
        <v>#N/A</v>
      </c>
    </row>
    <row r="374" spans="1:47" ht="15" customHeight="1">
      <c r="A374" s="601" t="str">
        <f>Kat.!B372</f>
        <v/>
      </c>
      <c r="B374" s="601">
        <f t="shared" si="135"/>
        <v>1</v>
      </c>
      <c r="C374" s="783" t="s">
        <v>1336</v>
      </c>
      <c r="D374" s="783"/>
      <c r="E374" s="764"/>
      <c r="F374" s="761"/>
      <c r="G374" s="762"/>
      <c r="H374" s="595"/>
      <c r="I374" s="764"/>
      <c r="J374" s="764"/>
      <c r="K374" s="765"/>
      <c r="L374" s="764"/>
      <c r="M374" s="764"/>
      <c r="N374" s="764"/>
      <c r="O374" s="764"/>
      <c r="P374" s="764"/>
      <c r="Q374" s="764"/>
      <c r="R374" s="764"/>
      <c r="S374" s="764"/>
      <c r="T374" s="764"/>
      <c r="U374" s="764"/>
      <c r="V374" s="764"/>
      <c r="W374" s="764" t="str">
        <f>IFERROR(VLOOKUP('General price list'!$C374,Popisy!A:P,MATCH($W$17,Popisy!$A$7:$P$7,0),FALSE),"---------------")</f>
        <v>Silberne Spur + silberne Palme mit der violetten Mitte</v>
      </c>
      <c r="X374" s="764" t="str">
        <f t="shared" si="152"/>
        <v/>
      </c>
      <c r="Y374" s="770">
        <f>IF(OR(AP374&lt;AA374,AND(NOT(OR(LEFT(AB374,3)="SKL",LEFT(AB374,3)=LEFT($V$2,3))),AA374&gt;0),AND('Deutsche Markt'!$AH$1=FALSE,J374="F4",AA374&gt;0)),"",AA374)</f>
        <v>0</v>
      </c>
      <c r="Z374" s="764"/>
      <c r="AA374" s="771">
        <f>'Deutsche Markt'!AA374</f>
        <v>0</v>
      </c>
      <c r="AB374" s="772" t="str">
        <f>IFERROR(IF(VLOOKUP(C374,[1]List1!$A:$D,2,FALSE)="VYPRODÁNO",$V$9,IF(VLOOKUP(C374,[1]List1!$A:$D,2,FALSE)="DOCHÁZÍ",$V$3,VLOOKUP(C374,[1]List1!$A:$D,2,FALSE))),"OFFLINE!")</f>
        <v>SKLADEM</v>
      </c>
      <c r="AC374" s="785" t="str">
        <f ca="1">IF(AO374="NE",$V$10,IF(AB374=$V$3,IF(AP374&lt;1,$V$8,$V$2&amp;" "&amp;AP374&amp;" "&amp;$V$1),IF(AB374="SKLADEM",$V$6,IFERROR(IF(OR(AB374-TODAY()&gt;21,VLOOKUP(C374,[1]List1!$A:$E,4,FALSE)=0),AB374,DAY(AB374)&amp;"."&amp;MONTH(AB374)&amp;"."&amp;YEAR(AB374)&amp;" "&amp;$V$4&amp;VLOOKUP(C374,[1]List1!$A:$E,4,FALSE)&amp;" "&amp;$V$1),AB374))))</f>
        <v>AUF LAGER</v>
      </c>
      <c r="AD374" s="785" t="str">
        <f t="shared" ca="1" si="153"/>
        <v>AUF LAGER</v>
      </c>
      <c r="AE374" s="609"/>
      <c r="AF374" s="609"/>
      <c r="AG374" s="627"/>
      <c r="AH374" s="609"/>
      <c r="AI374" s="627"/>
      <c r="AJ374" s="609"/>
      <c r="AK374" s="609"/>
      <c r="AL374" s="609"/>
      <c r="AM374" s="627"/>
      <c r="AO374" s="567" t="str">
        <f t="shared" si="144"/>
        <v/>
      </c>
      <c r="AP374" s="568" t="str">
        <f>IF(AB374=$V$3,IF(VLOOKUP(C374,[1]List1!$A:$E,5,FALSE)=0,1,VLOOKUP(C374,[1]List1!$A:$E,5,FALSE)),"")</f>
        <v/>
      </c>
      <c r="AQ374" s="292" t="str">
        <f t="shared" si="145"/>
        <v/>
      </c>
      <c r="AR374" s="618" t="str">
        <f t="shared" si="146"/>
        <v/>
      </c>
      <c r="AS374" s="292" t="str">
        <f t="shared" si="147"/>
        <v/>
      </c>
      <c r="AT374" s="377" t="e">
        <f t="shared" si="148"/>
        <v>#N/A</v>
      </c>
      <c r="AU374" s="292" t="e">
        <f t="shared" si="149"/>
        <v>#N/A</v>
      </c>
    </row>
    <row r="375" spans="1:47" ht="15" customHeight="1">
      <c r="A375" s="601" t="str">
        <f>Kat.!B373</f>
        <v/>
      </c>
      <c r="B375" s="601">
        <f t="shared" si="135"/>
        <v>1</v>
      </c>
      <c r="C375" s="758" t="s">
        <v>1341</v>
      </c>
      <c r="D375" s="776"/>
      <c r="E375" s="760"/>
      <c r="F375" s="761"/>
      <c r="G375" s="762"/>
      <c r="H375" s="596"/>
      <c r="I375" s="763"/>
      <c r="J375" s="764"/>
      <c r="K375" s="773"/>
      <c r="L375" s="766"/>
      <c r="M375" s="764"/>
      <c r="N375" s="767"/>
      <c r="O375" s="763"/>
      <c r="P375" s="763"/>
      <c r="Q375" s="764"/>
      <c r="R375" s="764"/>
      <c r="S375" s="764"/>
      <c r="T375" s="764"/>
      <c r="U375" s="768"/>
      <c r="V375" s="768"/>
      <c r="W375" s="769" t="str">
        <f>IFERROR(VLOOKUP('General price list'!$C375,Popisy!A:P,MATCH($W$17,Popisy!$A$7:$P$7,0),FALSE),"---------------")</f>
        <v>Vollfarbiger Blumenstrauß mit knallenden Sternen</v>
      </c>
      <c r="X375" s="769" t="str">
        <f t="shared" si="152"/>
        <v/>
      </c>
      <c r="Y375" s="770">
        <f>IF(OR(AP375&lt;AA375,AND(NOT(OR(LEFT(AB375,3)="SKL",LEFT(AB375,3)=LEFT($V$2,3))),AA375&gt;0),AND('Deutsche Markt'!$AH$1=FALSE,J375="F4",AA375&gt;0)),"",AA375)</f>
        <v>0</v>
      </c>
      <c r="Z375" s="769"/>
      <c r="AA375" s="771">
        <f>'Deutsche Markt'!AA375</f>
        <v>0</v>
      </c>
      <c r="AB375" s="772" t="str">
        <f>IFERROR(IF(VLOOKUP(C375,[1]List1!$A:$D,2,FALSE)="VYPRODÁNO",$V$9,IF(VLOOKUP(C375,[1]List1!$A:$D,2,FALSE)="DOCHÁZÍ",$V$3,VLOOKUP(C375,[1]List1!$A:$D,2,FALSE))),"OFFLINE!")</f>
        <v>SKLADEM</v>
      </c>
      <c r="AC375" s="772" t="str">
        <f ca="1">IF(AO375="NE",$V$10,IF(AB375=$V$3,IF(AP375&lt;1,$V$8,$V$2&amp;" "&amp;AP375&amp;" "&amp;$V$1),IF(AB375="SKLADEM",$V$6,IFERROR(IF(OR(AB375-TODAY()&gt;21,VLOOKUP(C375,[1]List1!$A:$E,4,FALSE)=0),AB375,DAY(AB375)&amp;"."&amp;MONTH(AB375)&amp;"."&amp;YEAR(AB375)&amp;" "&amp;$V$4&amp;VLOOKUP(C375,[1]List1!$A:$E,4,FALSE)&amp;" "&amp;$V$1),AB375))))</f>
        <v>AUF LAGER</v>
      </c>
      <c r="AD375" s="772" t="str">
        <f t="shared" ca="1" si="153"/>
        <v>AUF LAGER</v>
      </c>
      <c r="AE375" s="605"/>
      <c r="AF375" s="605"/>
      <c r="AG375" s="615"/>
      <c r="AH375" s="616"/>
      <c r="AI375" s="615"/>
      <c r="AJ375" s="617"/>
      <c r="AK375" s="617"/>
      <c r="AL375" s="617"/>
      <c r="AM375" s="617"/>
      <c r="AN375" s="292"/>
      <c r="AO375" s="567" t="str">
        <f t="shared" si="144"/>
        <v/>
      </c>
      <c r="AP375" s="568" t="str">
        <f>IF(AB375=$V$3,IF(VLOOKUP(C375,[1]List1!$A:$E,5,FALSE)=0,1,VLOOKUP(C375,[1]List1!$A:$E,5,FALSE)),"")</f>
        <v/>
      </c>
      <c r="AQ375" s="292" t="str">
        <f t="shared" si="145"/>
        <v/>
      </c>
      <c r="AR375" s="618" t="str">
        <f t="shared" si="146"/>
        <v/>
      </c>
      <c r="AS375" s="292" t="str">
        <f t="shared" si="147"/>
        <v/>
      </c>
      <c r="AT375" s="377" t="e">
        <f t="shared" si="148"/>
        <v>#N/A</v>
      </c>
      <c r="AU375" s="292" t="e">
        <f t="shared" si="149"/>
        <v>#N/A</v>
      </c>
    </row>
    <row r="376" spans="1:47" ht="15" customHeight="1">
      <c r="A376" s="601" t="str">
        <f>Kat.!B374</f>
        <v/>
      </c>
      <c r="B376" s="601">
        <f t="shared" si="135"/>
        <v>0</v>
      </c>
      <c r="C376" s="775"/>
      <c r="D376" s="786"/>
      <c r="E376" s="760"/>
      <c r="F376" s="761"/>
      <c r="G376" s="762"/>
      <c r="H376" s="596"/>
      <c r="I376" s="763"/>
      <c r="J376" s="764"/>
      <c r="K376" s="765"/>
      <c r="L376" s="766"/>
      <c r="M376" s="764"/>
      <c r="N376" s="767"/>
      <c r="O376" s="763"/>
      <c r="P376" s="763"/>
      <c r="Q376" s="764"/>
      <c r="R376" s="764"/>
      <c r="S376" s="764"/>
      <c r="T376" s="761"/>
      <c r="U376" s="768"/>
      <c r="V376" s="768"/>
      <c r="W376" s="769" t="str">
        <f>IFERROR(VLOOKUP('General price list'!$C376,Popisy!A:P,MATCH($W$17,Popisy!$A$7:$P$7,0),FALSE),"---------------")</f>
        <v>---------------</v>
      </c>
      <c r="X376" s="769" t="str">
        <f t="shared" si="152"/>
        <v/>
      </c>
      <c r="Y376" s="770">
        <f>IF(OR(AP376&lt;AA376,AND(NOT(OR(LEFT(AB376,3)="SKL",LEFT(AB376,3)=LEFT($V$2,3))),AA376&gt;0),AND('Deutsche Markt'!$AH$1=FALSE,J376="F4",AA376&gt;0)),"",AA376)</f>
        <v>0</v>
      </c>
      <c r="Z376" s="769"/>
      <c r="AA376" s="771">
        <f>'Deutsche Markt'!AA376</f>
        <v>0</v>
      </c>
      <c r="AB376" s="772" t="str">
        <f>IFERROR(IF(VLOOKUP(C376,[1]List1!$A:$D,2,FALSE)="VYPRODÁNO",$V$9,IF(VLOOKUP(C376,[1]List1!$A:$D,2,FALSE)="DOCHÁZÍ",$V$3,VLOOKUP(C376,[1]List1!$A:$D,2,FALSE))),"OFFLINE!")</f>
        <v>OFFLINE!</v>
      </c>
      <c r="AC376" s="772" t="str">
        <f ca="1">IF(AO376="NE",$V$10,IF(AB376=$V$3,IF(AP376&lt;1,$V$8,$V$2&amp;" "&amp;AP376&amp;" "&amp;$V$1),IF(AB376="SKLADEM",$V$6,IFERROR(IF(OR(AB376-TODAY()&gt;21,VLOOKUP(C376,[1]List1!$A:$E,4,FALSE)=0),AB376,DAY(AB376)&amp;"."&amp;MONTH(AB376)&amp;"."&amp;YEAR(AB376)&amp;" "&amp;$V$4&amp;VLOOKUP(C376,[1]List1!$A:$E,4,FALSE)&amp;" "&amp;$V$1),AB376))))</f>
        <v>OFFLINE!</v>
      </c>
      <c r="AD376" s="772" t="str">
        <f t="shared" ca="1" si="153"/>
        <v>OFFLINE!</v>
      </c>
      <c r="AE376" s="605"/>
      <c r="AF376" s="605"/>
      <c r="AG376" s="615"/>
      <c r="AH376" s="616"/>
      <c r="AI376" s="615"/>
      <c r="AJ376" s="617"/>
      <c r="AK376" s="617"/>
      <c r="AL376" s="617"/>
      <c r="AM376" s="617"/>
      <c r="AN376" s="292"/>
      <c r="AO376" s="567" t="str">
        <f t="shared" si="144"/>
        <v/>
      </c>
      <c r="AP376" s="568" t="str">
        <f>IF(AB376=$V$3,IF(VLOOKUP(C376,[1]List1!$A:$E,5,FALSE)=0,1,VLOOKUP(C376,[1]List1!$A:$E,5,FALSE)),"")</f>
        <v/>
      </c>
      <c r="AQ376" s="292" t="str">
        <f t="shared" si="145"/>
        <v/>
      </c>
      <c r="AR376" s="618" t="str">
        <f t="shared" si="146"/>
        <v/>
      </c>
      <c r="AS376" s="292" t="str">
        <f t="shared" si="147"/>
        <v/>
      </c>
      <c r="AT376" s="377" t="e">
        <f t="shared" si="148"/>
        <v>#N/A</v>
      </c>
      <c r="AU376" s="292" t="e">
        <f t="shared" si="149"/>
        <v>#N/A</v>
      </c>
    </row>
    <row r="377" spans="1:47" ht="15" customHeight="1">
      <c r="A377" s="601" t="str">
        <f>Kat.!B375</f>
        <v/>
      </c>
      <c r="B377" s="601">
        <f t="shared" si="135"/>
        <v>1</v>
      </c>
      <c r="C377" s="775" t="s">
        <v>1348</v>
      </c>
      <c r="D377" s="776"/>
      <c r="E377" s="760"/>
      <c r="F377" s="761"/>
      <c r="G377" s="762"/>
      <c r="H377" s="596"/>
      <c r="I377" s="763"/>
      <c r="J377" s="764"/>
      <c r="K377" s="773"/>
      <c r="L377" s="766"/>
      <c r="M377" s="764"/>
      <c r="N377" s="777"/>
      <c r="O377" s="763"/>
      <c r="P377" s="763"/>
      <c r="Q377" s="764"/>
      <c r="R377" s="764"/>
      <c r="S377" s="764"/>
      <c r="T377" s="761"/>
      <c r="U377" s="768"/>
      <c r="V377" s="768"/>
      <c r="W377" s="769"/>
      <c r="X377" s="769"/>
      <c r="Y377" s="770">
        <f>IF(OR(AP377&lt;AA377,AND(NOT(OR(LEFT(AB377,3)="SKL",LEFT(AB377,3)=LEFT($V$2,3))),AA377&gt;0),AND('Deutsche Markt'!$AH$1=FALSE,J377="F4",AA377&gt;0)),"",AA377)</f>
        <v>0</v>
      </c>
      <c r="Z377" s="769"/>
      <c r="AA377" s="771">
        <f>'Deutsche Markt'!AA377</f>
        <v>0</v>
      </c>
      <c r="AB377" s="772"/>
      <c r="AC377" s="772"/>
      <c r="AD377" s="772"/>
      <c r="AE377" s="605"/>
      <c r="AF377" s="605"/>
      <c r="AG377" s="615"/>
      <c r="AH377" s="616"/>
      <c r="AI377" s="615"/>
      <c r="AJ377" s="617"/>
      <c r="AK377" s="617"/>
      <c r="AL377" s="617"/>
      <c r="AM377" s="617"/>
      <c r="AN377" s="292"/>
      <c r="AO377" s="567" t="str">
        <f t="shared" si="144"/>
        <v/>
      </c>
      <c r="AP377" s="568" t="str">
        <f>IF(AB377=$V$3,IF(VLOOKUP(C377,[1]List1!$A:$E,5,FALSE)=0,1,VLOOKUP(C377,[1]List1!$A:$E,5,FALSE)),"")</f>
        <v/>
      </c>
      <c r="AQ377" s="292" t="str">
        <f t="shared" si="145"/>
        <v/>
      </c>
      <c r="AR377" s="618" t="str">
        <f t="shared" si="146"/>
        <v/>
      </c>
      <c r="AS377" s="292" t="str">
        <f t="shared" si="147"/>
        <v/>
      </c>
      <c r="AT377" s="377" t="e">
        <f t="shared" si="148"/>
        <v>#N/A</v>
      </c>
      <c r="AU377" s="292" t="e">
        <f t="shared" si="149"/>
        <v>#N/A</v>
      </c>
    </row>
    <row r="378" spans="1:47" ht="15" customHeight="1">
      <c r="A378" s="601" t="str">
        <f>Kat.!B376</f>
        <v>Batterien 25 schuss, 30mm Mörser F3 - 1.3G</v>
      </c>
      <c r="B378" s="601">
        <f t="shared" si="135"/>
        <v>1</v>
      </c>
      <c r="C378" s="758" t="s">
        <v>12560</v>
      </c>
      <c r="D378" s="776"/>
      <c r="E378" s="760"/>
      <c r="F378" s="761"/>
      <c r="G378" s="762"/>
      <c r="H378" s="596"/>
      <c r="I378" s="763"/>
      <c r="J378" s="764"/>
      <c r="K378" s="765"/>
      <c r="L378" s="766"/>
      <c r="M378" s="764"/>
      <c r="N378" s="767"/>
      <c r="O378" s="763"/>
      <c r="P378" s="763"/>
      <c r="Q378" s="764"/>
      <c r="R378" s="764"/>
      <c r="S378" s="764"/>
      <c r="T378" s="764"/>
      <c r="U378" s="768"/>
      <c r="V378" s="768"/>
      <c r="W378" s="769" t="str">
        <f>IFERROR(VLOOKUP('General price list'!$C378,Popisy!A:P,MATCH($W$17,Popisy!$A$7:$P$7,0),FALSE),"---------------")</f>
        <v>5 verschiedenfarbige Effekte</v>
      </c>
      <c r="X378" s="769" t="str">
        <f t="shared" ref="X378:X381" si="154">IF(AA378&lt;0.0001,"",AA378)</f>
        <v/>
      </c>
      <c r="Y378" s="770">
        <f>IF(OR(AP378&lt;AA378,AND(NOT(OR(LEFT(AB378,3)="SKL",LEFT(AB378,3)=LEFT($V$2,3))),AA378&gt;0),AND('Deutsche Markt'!$AH$1=FALSE,J378="F4",AA378&gt;0)),"",AA378)</f>
        <v>0</v>
      </c>
      <c r="Z378" s="769"/>
      <c r="AA378" s="771">
        <f>'Deutsche Markt'!AA378</f>
        <v>0</v>
      </c>
      <c r="AB378" s="772" t="str">
        <f>IFERROR(IF(VLOOKUP(C378,[1]List1!$A:$D,2,FALSE)="VYPRODÁNO",$V$9,IF(VLOOKUP(C378,[1]List1!$A:$D,2,FALSE)="DOCHÁZÍ",$V$3,VLOOKUP(C378,[1]List1!$A:$D,2,FALSE))),"OFFLINE!")</f>
        <v>SKLADEM</v>
      </c>
      <c r="AC378" s="772" t="str">
        <f ca="1">IF(AO378="NE",$V$10,IF(AB378=$V$3,IF(AP378&lt;1,$V$8,$V$2&amp;" "&amp;AP378&amp;" "&amp;$V$1),IF(AB378="SKLADEM",$V$6,IFERROR(IF(OR(AB378-TODAY()&gt;21,VLOOKUP(C378,[1]List1!$A:$E,4,FALSE)=0),AB378,DAY(AB378)&amp;"."&amp;MONTH(AB378)&amp;"."&amp;YEAR(AB378)&amp;" "&amp;$V$4&amp;VLOOKUP(C378,[1]List1!$A:$E,4,FALSE)&amp;" "&amp;$V$1),AB378))))</f>
        <v>AUF LAGER</v>
      </c>
      <c r="AD378" s="772" t="str">
        <f t="shared" ref="AD378:AD381" ca="1" si="155">IFERROR(IF(AU378&lt;&gt;"",AU378,AC378),AC378)</f>
        <v>AUF LAGER</v>
      </c>
      <c r="AE378" s="605"/>
      <c r="AF378" s="605"/>
      <c r="AG378" s="615"/>
      <c r="AH378" s="616"/>
      <c r="AI378" s="615"/>
      <c r="AJ378" s="617"/>
      <c r="AK378" s="617"/>
      <c r="AL378" s="617"/>
      <c r="AM378" s="617"/>
      <c r="AO378" s="567" t="str">
        <f t="shared" si="144"/>
        <v/>
      </c>
      <c r="AP378" s="568" t="str">
        <f>IF(AB378=$V$3,IF(VLOOKUP(C378,[1]List1!$A:$E,5,FALSE)=0,1,VLOOKUP(C378,[1]List1!$A:$E,5,FALSE)),"")</f>
        <v/>
      </c>
      <c r="AQ378" s="292" t="str">
        <f t="shared" si="145"/>
        <v/>
      </c>
      <c r="AR378" s="618" t="str">
        <f t="shared" si="146"/>
        <v/>
      </c>
      <c r="AS378" s="292" t="str">
        <f t="shared" si="147"/>
        <v/>
      </c>
      <c r="AT378" s="377" t="e">
        <f t="shared" si="148"/>
        <v>#N/A</v>
      </c>
      <c r="AU378" s="292" t="e">
        <f t="shared" si="149"/>
        <v>#N/A</v>
      </c>
    </row>
    <row r="379" spans="1:47" ht="15" customHeight="1">
      <c r="A379" s="599" t="str">
        <f>Kat.!$B$1&amp;Kat.!B377</f>
        <v/>
      </c>
      <c r="B379" s="601">
        <f t="shared" si="135"/>
        <v>1</v>
      </c>
      <c r="C379" s="599" t="s">
        <v>1357</v>
      </c>
      <c r="D379" s="599"/>
      <c r="E379" s="599"/>
      <c r="F379" s="600"/>
      <c r="G379" s="599"/>
      <c r="H379" s="599"/>
      <c r="I379" s="599"/>
      <c r="J379" s="599"/>
      <c r="K379" s="708"/>
      <c r="L379" s="599"/>
      <c r="M379" s="599"/>
      <c r="N379" s="599"/>
      <c r="O379" s="599"/>
      <c r="P379" s="599"/>
      <c r="Q379" s="599"/>
      <c r="R379" s="599"/>
      <c r="S379" s="599"/>
      <c r="T379" s="599"/>
      <c r="U379" s="599"/>
      <c r="V379" s="599"/>
      <c r="W379" s="599" t="str">
        <f>IFERROR(VLOOKUP('General price list'!$C379,Popisy!A:P,MATCH($W$17,Popisy!$A$7:$P$7,0),FALSE),"---------------")</f>
        <v>5 verschiedenfarbige Effekte</v>
      </c>
      <c r="X379" s="599" t="str">
        <f t="shared" si="154"/>
        <v/>
      </c>
      <c r="Y379" s="770">
        <f>IF(OR(AP379&lt;AA379,AND(NOT(OR(LEFT(AB379,3)="SKL",LEFT(AB379,3)=LEFT($V$2,3))),AA379&gt;0),AND('Deutsche Markt'!$AH$1=FALSE,J379="F4",AA379&gt;0)),"",AA379)</f>
        <v>0</v>
      </c>
      <c r="Z379" s="599"/>
      <c r="AA379" s="771">
        <f>'Deutsche Markt'!AA379</f>
        <v>0</v>
      </c>
      <c r="AB379" s="599" t="str">
        <f>IFERROR(IF(VLOOKUP(C379,[1]List1!$A:$D,2,FALSE)="VYPRODÁNO",$V$9,IF(VLOOKUP(C379,[1]List1!$A:$D,2,FALSE)="DOCHÁZÍ",$V$3,VLOOKUP(C379,[1]List1!$A:$D,2,FALSE))),"OFFLINE!")</f>
        <v>30.04.2024</v>
      </c>
      <c r="AC379" s="599" t="str">
        <f ca="1">IF(AO379="NE",$V$10,IF(AB379=$V$3,IF(AP379&lt;1,$V$8,$V$2&amp;" "&amp;AP379&amp;" "&amp;$V$1),IF(AB379="SKLADEM",$V$6,IFERROR(IF(OR(AB379-TODAY()&gt;21,VLOOKUP(C379,[1]List1!$A:$E,4,FALSE)=0),AB379,DAY(AB379)&amp;"."&amp;MONTH(AB379)&amp;"."&amp;YEAR(AB379)&amp;" "&amp;$V$4&amp;VLOOKUP(C379,[1]List1!$A:$E,4,FALSE)&amp;" "&amp;$V$1),AB379))))</f>
        <v>30.04.2024</v>
      </c>
      <c r="AD379" s="599" t="str">
        <f t="shared" ca="1" si="155"/>
        <v>30.04.2024</v>
      </c>
      <c r="AE379" s="599"/>
      <c r="AF379" s="599"/>
      <c r="AG379" s="599"/>
      <c r="AH379" s="599"/>
      <c r="AI379" s="599"/>
      <c r="AJ379" s="599"/>
      <c r="AK379" s="599"/>
      <c r="AL379" s="599"/>
      <c r="AM379" s="599"/>
      <c r="AN379" s="566"/>
      <c r="AO379" s="567" t="str">
        <f t="shared" si="144"/>
        <v/>
      </c>
      <c r="AP379" s="568" t="str">
        <f>IF(AB379=$V$3,IF(VLOOKUP(C379,[1]List1!$A:$E,5,FALSE)=0,1,VLOOKUP(C379,[1]List1!$A:$E,5,FALSE)),"")</f>
        <v/>
      </c>
      <c r="AQ379" s="292" t="str">
        <f t="shared" si="145"/>
        <v/>
      </c>
      <c r="AR379" s="618" t="str">
        <f t="shared" si="146"/>
        <v/>
      </c>
      <c r="AS379" s="292" t="str">
        <f t="shared" si="147"/>
        <v/>
      </c>
      <c r="AT379" s="377" t="e">
        <f t="shared" si="148"/>
        <v>#N/A</v>
      </c>
      <c r="AU379" s="292" t="e">
        <f t="shared" si="149"/>
        <v>#N/A</v>
      </c>
    </row>
    <row r="380" spans="1:47" ht="15" customHeight="1">
      <c r="A380" s="601" t="str">
        <f>Kat.!B378</f>
        <v/>
      </c>
      <c r="B380" s="601">
        <f t="shared" si="135"/>
        <v>1</v>
      </c>
      <c r="C380" s="775" t="s">
        <v>1358</v>
      </c>
      <c r="D380" s="776"/>
      <c r="E380" s="760"/>
      <c r="F380" s="761"/>
      <c r="G380" s="762"/>
      <c r="H380" s="596"/>
      <c r="I380" s="797"/>
      <c r="J380" s="764"/>
      <c r="K380" s="765"/>
      <c r="L380" s="782"/>
      <c r="M380" s="764"/>
      <c r="N380" s="767"/>
      <c r="O380" s="763"/>
      <c r="P380" s="763"/>
      <c r="Q380" s="764"/>
      <c r="R380" s="764"/>
      <c r="S380" s="764"/>
      <c r="T380" s="764"/>
      <c r="U380" s="768"/>
      <c r="V380" s="768"/>
      <c r="W380" s="769" t="str">
        <f>IFERROR(VLOOKUP('General price list'!$C380,Popisy!A:P,MATCH($W$17,Popisy!$A$7:$P$7,0),FALSE),"---------------")</f>
        <v>5 verschiedenfarbige Effekte</v>
      </c>
      <c r="X380" s="769" t="str">
        <f t="shared" si="154"/>
        <v/>
      </c>
      <c r="Y380" s="770">
        <f>IF(OR(AP380&lt;AA380,AND(NOT(OR(LEFT(AB380,3)="SKL",LEFT(AB380,3)=LEFT($V$2,3))),AA380&gt;0),AND('Deutsche Markt'!$AH$1=FALSE,J380="F4",AA380&gt;0)),"",AA380)</f>
        <v>0</v>
      </c>
      <c r="Z380" s="769"/>
      <c r="AA380" s="771">
        <f>'Deutsche Markt'!AA380</f>
        <v>0</v>
      </c>
      <c r="AB380" s="772" t="str">
        <f>IFERROR(IF(VLOOKUP(C380,[1]List1!$A:$D,2,FALSE)="VYPRODÁNO",$V$9,IF(VLOOKUP(C380,[1]List1!$A:$D,2,FALSE)="DOCHÁZÍ",$V$3,VLOOKUP(C380,[1]List1!$A:$D,2,FALSE))),"OFFLINE!")</f>
        <v>30.04.2024</v>
      </c>
      <c r="AC380" s="772" t="str">
        <f ca="1">IF(AO380="NE",$V$10,IF(AB380=$V$3,IF(AP380&lt;1,$V$8,$V$2&amp;" "&amp;AP380&amp;" "&amp;$V$1),IF(AB380="SKLADEM",$V$6,IFERROR(IF(OR(AB380-TODAY()&gt;21,VLOOKUP(C380,[1]List1!$A:$E,4,FALSE)=0),AB380,DAY(AB380)&amp;"."&amp;MONTH(AB380)&amp;"."&amp;YEAR(AB380)&amp;" "&amp;$V$4&amp;VLOOKUP(C380,[1]List1!$A:$E,4,FALSE)&amp;" "&amp;$V$1),AB380))))</f>
        <v>30.04.2024</v>
      </c>
      <c r="AD380" s="772" t="str">
        <f t="shared" ca="1" si="155"/>
        <v>30.04.2024</v>
      </c>
      <c r="AE380" s="605"/>
      <c r="AF380" s="605"/>
      <c r="AG380" s="615"/>
      <c r="AH380" s="616"/>
      <c r="AI380" s="615"/>
      <c r="AJ380" s="617"/>
      <c r="AK380" s="617"/>
      <c r="AL380" s="617"/>
      <c r="AM380" s="617"/>
      <c r="AN380" s="292"/>
      <c r="AO380" s="567" t="str">
        <f t="shared" si="144"/>
        <v/>
      </c>
      <c r="AP380" s="568" t="str">
        <f>IF(AB380=$V$3,IF(VLOOKUP(C380,[1]List1!$A:$E,5,FALSE)=0,1,VLOOKUP(C380,[1]List1!$A:$E,5,FALSE)),"")</f>
        <v/>
      </c>
      <c r="AQ380" s="292" t="str">
        <f t="shared" si="145"/>
        <v/>
      </c>
      <c r="AR380" s="618" t="str">
        <f t="shared" si="146"/>
        <v/>
      </c>
      <c r="AS380" s="292" t="str">
        <f t="shared" si="147"/>
        <v/>
      </c>
      <c r="AT380" s="377" t="e">
        <f t="shared" si="148"/>
        <v>#N/A</v>
      </c>
      <c r="AU380" s="292" t="e">
        <f t="shared" si="149"/>
        <v>#N/A</v>
      </c>
    </row>
    <row r="381" spans="1:47" ht="15" customHeight="1">
      <c r="A381" s="601" t="str">
        <f>Kat.!B379</f>
        <v/>
      </c>
      <c r="B381" s="601">
        <f t="shared" si="135"/>
        <v>1</v>
      </c>
      <c r="C381" s="783" t="s">
        <v>1369</v>
      </c>
      <c r="D381" s="776"/>
      <c r="E381" s="760"/>
      <c r="F381" s="761"/>
      <c r="G381" s="762"/>
      <c r="H381" s="596"/>
      <c r="I381" s="763"/>
      <c r="J381" s="764"/>
      <c r="K381" s="773"/>
      <c r="L381" s="766"/>
      <c r="M381" s="764"/>
      <c r="N381" s="767"/>
      <c r="O381" s="763"/>
      <c r="P381" s="763"/>
      <c r="Q381" s="764"/>
      <c r="R381" s="764"/>
      <c r="S381" s="764"/>
      <c r="T381" s="764"/>
      <c r="U381" s="768"/>
      <c r="V381" s="768"/>
      <c r="W381" s="769" t="str">
        <f>IFERROR(VLOOKUP('General price list'!$C381,Popisy!A:P,MATCH($W$17,Popisy!$A$7:$P$7,0),FALSE),"---------------")</f>
        <v>Silberne Minen mit der roten Spur und mit der titanischen Detonation</v>
      </c>
      <c r="X381" s="769" t="str">
        <f t="shared" si="154"/>
        <v/>
      </c>
      <c r="Y381" s="770">
        <f>IF(OR(AP381&lt;AA381,AND(NOT(OR(LEFT(AB381,3)="SKL",LEFT(AB381,3)=LEFT($V$2,3))),AA381&gt;0),AND('Deutsche Markt'!$AH$1=FALSE,J381="F4",AA381&gt;0)),"",AA381)</f>
        <v>0</v>
      </c>
      <c r="Z381" s="769"/>
      <c r="AA381" s="771">
        <f>'Deutsche Markt'!AA381</f>
        <v>0</v>
      </c>
      <c r="AB381" s="772" t="str">
        <f>IFERROR(IF(VLOOKUP(C381,[1]List1!$A:$D,2,FALSE)="VYPRODÁNO",$V$9,IF(VLOOKUP(C381,[1]List1!$A:$D,2,FALSE)="DOCHÁZÍ",$V$3,VLOOKUP(C381,[1]List1!$A:$D,2,FALSE))),"OFFLINE!")</f>
        <v>20.06.2024</v>
      </c>
      <c r="AC381" s="772" t="str">
        <f ca="1">IF(AO381="NE",$V$10,IF(AB381=$V$3,IF(AP381&lt;1,$V$8,$V$2&amp;" "&amp;AP381&amp;" "&amp;$V$1),IF(AB381="SKLADEM",$V$6,IFERROR(IF(OR(AB381-TODAY()&gt;21,VLOOKUP(C381,[1]List1!$A:$E,4,FALSE)=0),AB381,DAY(AB381)&amp;"."&amp;MONTH(AB381)&amp;"."&amp;YEAR(AB381)&amp;" "&amp;$V$4&amp;VLOOKUP(C381,[1]List1!$A:$E,4,FALSE)&amp;" "&amp;$V$1),AB381))))</f>
        <v>20.06.2024</v>
      </c>
      <c r="AD381" s="772" t="str">
        <f t="shared" ca="1" si="155"/>
        <v>20.06.2024</v>
      </c>
      <c r="AE381" s="605"/>
      <c r="AF381" s="605"/>
      <c r="AG381" s="615"/>
      <c r="AH381" s="616"/>
      <c r="AI381" s="615"/>
      <c r="AJ381" s="617"/>
      <c r="AK381" s="617"/>
      <c r="AL381" s="617"/>
      <c r="AM381" s="617"/>
      <c r="AO381" s="567" t="str">
        <f t="shared" si="144"/>
        <v/>
      </c>
      <c r="AP381" s="568" t="str">
        <f>IF(AB381=$V$3,IF(VLOOKUP(C381,[1]List1!$A:$E,5,FALSE)=0,1,VLOOKUP(C381,[1]List1!$A:$E,5,FALSE)),"")</f>
        <v/>
      </c>
      <c r="AQ381" s="292" t="str">
        <f t="shared" si="145"/>
        <v/>
      </c>
      <c r="AR381" s="618" t="str">
        <f t="shared" si="146"/>
        <v/>
      </c>
      <c r="AS381" s="292" t="str">
        <f t="shared" si="147"/>
        <v/>
      </c>
      <c r="AT381" s="377" t="e">
        <f t="shared" si="148"/>
        <v>#N/A</v>
      </c>
      <c r="AU381" s="292" t="e">
        <f t="shared" si="149"/>
        <v>#N/A</v>
      </c>
    </row>
    <row r="382" spans="1:47" ht="15" customHeight="1">
      <c r="A382" s="601" t="str">
        <f>Kat.!B380</f>
        <v/>
      </c>
      <c r="B382" s="601">
        <f t="shared" si="135"/>
        <v>0</v>
      </c>
      <c r="C382" s="783"/>
      <c r="D382" s="786"/>
      <c r="E382" s="760"/>
      <c r="F382" s="761"/>
      <c r="G382" s="762"/>
      <c r="H382" s="596"/>
      <c r="I382" s="763"/>
      <c r="J382" s="764"/>
      <c r="K382" s="774"/>
      <c r="L382" s="782"/>
      <c r="M382" s="764"/>
      <c r="N382" s="767"/>
      <c r="O382" s="763"/>
      <c r="P382" s="763"/>
      <c r="Q382" s="764"/>
      <c r="R382" s="764"/>
      <c r="S382" s="764"/>
      <c r="T382" s="761"/>
      <c r="U382" s="768"/>
      <c r="V382" s="768"/>
      <c r="W382" s="769"/>
      <c r="X382" s="769"/>
      <c r="Y382" s="770">
        <f>IF(OR(AP382&lt;AA382,AND(NOT(OR(LEFT(AB382,3)="SKL",LEFT(AB382,3)=LEFT($V$2,3))),AA382&gt;0),AND('Deutsche Markt'!$AH$1=FALSE,J382="F4",AA382&gt;0)),"",AA382)</f>
        <v>0</v>
      </c>
      <c r="Z382" s="769"/>
      <c r="AA382" s="771">
        <f>'Deutsche Markt'!AA382</f>
        <v>0</v>
      </c>
      <c r="AB382" s="772"/>
      <c r="AC382" s="772"/>
      <c r="AD382" s="772"/>
      <c r="AE382" s="605"/>
      <c r="AF382" s="605"/>
      <c r="AG382" s="615"/>
      <c r="AH382" s="616"/>
      <c r="AI382" s="615"/>
      <c r="AJ382" s="617"/>
      <c r="AK382" s="617"/>
      <c r="AL382" s="617"/>
      <c r="AM382" s="617"/>
      <c r="AO382" s="567" t="str">
        <f t="shared" si="144"/>
        <v/>
      </c>
      <c r="AP382" s="568" t="str">
        <f>IF(AB382=$V$3,IF(VLOOKUP(C382,[1]List1!$A:$E,5,FALSE)=0,1,VLOOKUP(C382,[1]List1!$A:$E,5,FALSE)),"")</f>
        <v/>
      </c>
      <c r="AQ382" s="292" t="str">
        <f t="shared" si="145"/>
        <v/>
      </c>
      <c r="AR382" s="618" t="str">
        <f t="shared" si="146"/>
        <v/>
      </c>
      <c r="AS382" s="292" t="str">
        <f t="shared" si="147"/>
        <v/>
      </c>
      <c r="AT382" s="377" t="e">
        <f t="shared" si="148"/>
        <v>#N/A</v>
      </c>
      <c r="AU382" s="292" t="e">
        <f t="shared" si="149"/>
        <v>#N/A</v>
      </c>
    </row>
    <row r="383" spans="1:47" ht="15" customHeight="1">
      <c r="A383" s="601" t="str">
        <f>Kat.!B381</f>
        <v/>
      </c>
      <c r="B383" s="601">
        <f t="shared" si="135"/>
        <v>1</v>
      </c>
      <c r="C383" s="783" t="s">
        <v>1359</v>
      </c>
      <c r="D383" s="786"/>
      <c r="E383" s="760"/>
      <c r="F383" s="761"/>
      <c r="G383" s="762"/>
      <c r="H383" s="596"/>
      <c r="I383" s="763"/>
      <c r="J383" s="764"/>
      <c r="K383" s="781"/>
      <c r="L383" s="766"/>
      <c r="M383" s="764"/>
      <c r="N383" s="767"/>
      <c r="O383" s="763"/>
      <c r="P383" s="763"/>
      <c r="Q383" s="764"/>
      <c r="R383" s="764"/>
      <c r="S383" s="764"/>
      <c r="T383" s="761"/>
      <c r="U383" s="768"/>
      <c r="V383" s="768"/>
      <c r="W383" s="769" t="str">
        <f>IFERROR(VLOOKUP('General price list'!$C383,Popisy!A:P,MATCH($W$17,Popisy!$A$7:$P$7,0),FALSE),"---------------")</f>
        <v>5 verschiedenfarbige Effekte</v>
      </c>
      <c r="X383" s="769" t="str">
        <f t="shared" ref="X383:X386" si="156">IF(AA383&lt;0.0001,"",AA383)</f>
        <v/>
      </c>
      <c r="Y383" s="770">
        <f>IF(OR(AP383&lt;AA383,AND(NOT(OR(LEFT(AB383,3)="SKL",LEFT(AB383,3)=LEFT($V$2,3))),AA383&gt;0),AND('Deutsche Markt'!$AH$1=FALSE,J383="F4",AA383&gt;0)),"",AA383)</f>
        <v>0</v>
      </c>
      <c r="Z383" s="769"/>
      <c r="AA383" s="771">
        <f>'Deutsche Markt'!AA383</f>
        <v>0</v>
      </c>
      <c r="AB383" s="772" t="str">
        <f>IFERROR(IF(VLOOKUP(C383,[1]List1!$A:$D,2,FALSE)="VYPRODÁNO",$V$9,IF(VLOOKUP(C383,[1]List1!$A:$D,2,FALSE)="DOCHÁZÍ",$V$3,VLOOKUP(C383,[1]List1!$A:$D,2,FALSE))),"OFFLINE!")</f>
        <v>SKLADEM</v>
      </c>
      <c r="AC383" s="772" t="str">
        <f ca="1">IF(AO383="NE",$V$10,IF(AB383=$V$3,IF(AP383&lt;1,$V$8,$V$2&amp;" "&amp;AP383&amp;" "&amp;$V$1),IF(AB383="SKLADEM",$V$6,IFERROR(IF(OR(AB383-TODAY()&gt;21,VLOOKUP(C383,[1]List1!$A:$E,4,FALSE)=0),AB383,DAY(AB383)&amp;"."&amp;MONTH(AB383)&amp;"."&amp;YEAR(AB383)&amp;" "&amp;$V$4&amp;VLOOKUP(C383,[1]List1!$A:$E,4,FALSE)&amp;" "&amp;$V$1),AB383))))</f>
        <v>AUF LAGER</v>
      </c>
      <c r="AD383" s="772" t="str">
        <f t="shared" ref="AD383:AD386" ca="1" si="157">IFERROR(IF(AU383&lt;&gt;"",AU383,AC383),AC383)</f>
        <v>AUF LAGER</v>
      </c>
      <c r="AE383" s="605"/>
      <c r="AF383" s="605"/>
      <c r="AG383" s="615"/>
      <c r="AH383" s="616"/>
      <c r="AI383" s="615"/>
      <c r="AJ383" s="617"/>
      <c r="AK383" s="617"/>
      <c r="AL383" s="617"/>
      <c r="AM383" s="617"/>
      <c r="AO383" s="567" t="str">
        <f t="shared" si="144"/>
        <v/>
      </c>
      <c r="AP383" s="568" t="str">
        <f>IF(AB383=$V$3,IF(VLOOKUP(C383,[1]List1!$A:$E,5,FALSE)=0,1,VLOOKUP(C383,[1]List1!$A:$E,5,FALSE)),"")</f>
        <v/>
      </c>
      <c r="AQ383" s="292" t="str">
        <f t="shared" si="145"/>
        <v/>
      </c>
      <c r="AR383" s="618" t="str">
        <f t="shared" si="146"/>
        <v/>
      </c>
      <c r="AS383" s="292" t="str">
        <f t="shared" si="147"/>
        <v/>
      </c>
      <c r="AT383" s="377" t="e">
        <f t="shared" si="148"/>
        <v>#N/A</v>
      </c>
      <c r="AU383" s="292" t="e">
        <f t="shared" si="149"/>
        <v>#N/A</v>
      </c>
    </row>
    <row r="384" spans="1:47" ht="15" customHeight="1">
      <c r="A384" s="601" t="str">
        <f>Kat.!B382</f>
        <v>Batterien 25 schuss, 30mm Mörser F2 -1.4G</v>
      </c>
      <c r="B384" s="601">
        <f t="shared" si="135"/>
        <v>1</v>
      </c>
      <c r="C384" s="783" t="s">
        <v>1360</v>
      </c>
      <c r="D384" s="776"/>
      <c r="E384" s="760"/>
      <c r="F384" s="761"/>
      <c r="G384" s="762"/>
      <c r="H384" s="596"/>
      <c r="I384" s="763"/>
      <c r="J384" s="764"/>
      <c r="K384" s="774"/>
      <c r="L384" s="766"/>
      <c r="M384" s="764"/>
      <c r="N384" s="777"/>
      <c r="O384" s="763"/>
      <c r="P384" s="763"/>
      <c r="Q384" s="764"/>
      <c r="R384" s="764"/>
      <c r="S384" s="764"/>
      <c r="T384" s="761"/>
      <c r="U384" s="768"/>
      <c r="V384" s="768"/>
      <c r="W384" s="769" t="str">
        <f>IFERROR(VLOOKUP('General price list'!$C384,Popisy!A:P,MATCH($W$17,Popisy!$A$7:$P$7,0),FALSE),"---------------")</f>
        <v>5 verschiedenfarbige Effekte</v>
      </c>
      <c r="X384" s="769" t="str">
        <f t="shared" si="156"/>
        <v/>
      </c>
      <c r="Y384" s="770">
        <f>IF(OR(AP384&lt;AA384,AND(NOT(OR(LEFT(AB384,3)="SKL",LEFT(AB384,3)=LEFT($V$2,3))),AA384&gt;0),AND('Deutsche Markt'!$AH$1=FALSE,J384="F4",AA384&gt;0)),"",AA384)</f>
        <v>0</v>
      </c>
      <c r="Z384" s="769"/>
      <c r="AA384" s="771">
        <f>'Deutsche Markt'!AA384</f>
        <v>0</v>
      </c>
      <c r="AB384" s="772" t="str">
        <f>IFERROR(IF(VLOOKUP(C384,[1]List1!$A:$D,2,FALSE)="VYPRODÁNO",$V$9,IF(VLOOKUP(C384,[1]List1!$A:$D,2,FALSE)="DOCHÁZÍ",$V$3,VLOOKUP(C384,[1]List1!$A:$D,2,FALSE))),"OFFLINE!")</f>
        <v>SKLADEM</v>
      </c>
      <c r="AC384" s="772" t="str">
        <f ca="1">IF(AO384="NE",$V$10,IF(AB384=$V$3,IF(AP384&lt;1,$V$8,$V$2&amp;" "&amp;AP384&amp;" "&amp;$V$1),IF(AB384="SKLADEM",$V$6,IFERROR(IF(OR(AB384-TODAY()&gt;21,VLOOKUP(C384,[1]List1!$A:$E,4,FALSE)=0),AB384,DAY(AB384)&amp;"."&amp;MONTH(AB384)&amp;"."&amp;YEAR(AB384)&amp;" "&amp;$V$4&amp;VLOOKUP(C384,[1]List1!$A:$E,4,FALSE)&amp;" "&amp;$V$1),AB384))))</f>
        <v>AUF LAGER</v>
      </c>
      <c r="AD384" s="772" t="str">
        <f t="shared" ca="1" si="157"/>
        <v>AUF LAGER</v>
      </c>
      <c r="AE384" s="605"/>
      <c r="AF384" s="605"/>
      <c r="AG384" s="615"/>
      <c r="AH384" s="616"/>
      <c r="AI384" s="615"/>
      <c r="AJ384" s="617"/>
      <c r="AK384" s="617"/>
      <c r="AL384" s="617"/>
      <c r="AM384" s="617"/>
      <c r="AN384" s="292"/>
      <c r="AO384" s="567" t="str">
        <f t="shared" si="144"/>
        <v/>
      </c>
      <c r="AP384" s="568" t="str">
        <f>IF(AB384=$V$3,IF(VLOOKUP(C384,[1]List1!$A:$E,5,FALSE)=0,1,VLOOKUP(C384,[1]List1!$A:$E,5,FALSE)),"")</f>
        <v/>
      </c>
      <c r="AQ384" s="292" t="str">
        <f t="shared" si="145"/>
        <v/>
      </c>
      <c r="AR384" s="618" t="str">
        <f t="shared" si="146"/>
        <v/>
      </c>
      <c r="AS384" s="292" t="str">
        <f t="shared" si="147"/>
        <v/>
      </c>
      <c r="AT384" s="377" t="e">
        <f t="shared" si="148"/>
        <v>#N/A</v>
      </c>
      <c r="AU384" s="292" t="e">
        <f t="shared" si="149"/>
        <v>#N/A</v>
      </c>
    </row>
    <row r="385" spans="1:47" ht="15" customHeight="1">
      <c r="A385" s="601" t="str">
        <f>Kat.!B383</f>
        <v/>
      </c>
      <c r="B385" s="601">
        <f t="shared" si="135"/>
        <v>1</v>
      </c>
      <c r="C385" s="783" t="s">
        <v>1361</v>
      </c>
      <c r="D385" s="776"/>
      <c r="E385" s="760"/>
      <c r="F385" s="761"/>
      <c r="G385" s="762"/>
      <c r="H385" s="596"/>
      <c r="I385" s="763"/>
      <c r="J385" s="764"/>
      <c r="K385" s="781"/>
      <c r="L385" s="766"/>
      <c r="M385" s="764"/>
      <c r="N385" s="767"/>
      <c r="O385" s="763"/>
      <c r="P385" s="763"/>
      <c r="Q385" s="764"/>
      <c r="R385" s="764"/>
      <c r="S385" s="764"/>
      <c r="T385" s="764"/>
      <c r="U385" s="768"/>
      <c r="V385" s="768"/>
      <c r="W385" s="769" t="str">
        <f>IFERROR(VLOOKUP('General price list'!$C385,Popisy!A:P,MATCH($W$17,Popisy!$A$7:$P$7,0),FALSE),"---------------")</f>
        <v>5 verschiedenfarbige Effekte - ohne Lärm</v>
      </c>
      <c r="X385" s="769" t="str">
        <f t="shared" si="156"/>
        <v/>
      </c>
      <c r="Y385" s="770">
        <f>IF(OR(AP385&lt;AA385,AND(NOT(OR(LEFT(AB385,3)="SKL",LEFT(AB385,3)=LEFT($V$2,3))),AA385&gt;0),AND('Deutsche Markt'!$AH$1=FALSE,J385="F4",AA385&gt;0)),"",AA385)</f>
        <v>0</v>
      </c>
      <c r="Z385" s="769"/>
      <c r="AA385" s="771">
        <f>'Deutsche Markt'!AA385</f>
        <v>0</v>
      </c>
      <c r="AB385" s="772" t="str">
        <f>IFERROR(IF(VLOOKUP(C385,[1]List1!$A:$D,2,FALSE)="VYPRODÁNO",$V$9,IF(VLOOKUP(C385,[1]List1!$A:$D,2,FALSE)="DOCHÁZÍ",$V$3,VLOOKUP(C385,[1]List1!$A:$D,2,FALSE))),"OFFLINE!")</f>
        <v>15.09.2024</v>
      </c>
      <c r="AC385" s="772" t="str">
        <f ca="1">IF(AO385="NE",$V$10,IF(AB385=$V$3,IF(AP385&lt;1,$V$8,$V$2&amp;" "&amp;AP385&amp;" "&amp;$V$1),IF(AB385="SKLADEM",$V$6,IFERROR(IF(OR(AB385-TODAY()&gt;21,VLOOKUP(C385,[1]List1!$A:$E,4,FALSE)=0),AB385,DAY(AB385)&amp;"."&amp;MONTH(AB385)&amp;"."&amp;YEAR(AB385)&amp;" "&amp;$V$4&amp;VLOOKUP(C385,[1]List1!$A:$E,4,FALSE)&amp;" "&amp;$V$1),AB385))))</f>
        <v>15.09.2024</v>
      </c>
      <c r="AD385" s="772" t="str">
        <f t="shared" ca="1" si="157"/>
        <v>15.09.2024</v>
      </c>
      <c r="AE385" s="605"/>
      <c r="AF385" s="605"/>
      <c r="AG385" s="615"/>
      <c r="AH385" s="616"/>
      <c r="AI385" s="615"/>
      <c r="AJ385" s="617"/>
      <c r="AK385" s="617"/>
      <c r="AL385" s="617"/>
      <c r="AM385" s="617"/>
      <c r="AN385" s="292"/>
      <c r="AO385" s="567" t="str">
        <f t="shared" si="144"/>
        <v/>
      </c>
      <c r="AP385" s="568" t="str">
        <f>IF(AB385=$V$3,IF(VLOOKUP(C385,[1]List1!$A:$E,5,FALSE)=0,1,VLOOKUP(C385,[1]List1!$A:$E,5,FALSE)),"")</f>
        <v/>
      </c>
      <c r="AQ385" s="292" t="str">
        <f t="shared" si="145"/>
        <v/>
      </c>
      <c r="AR385" s="618" t="str">
        <f t="shared" si="146"/>
        <v/>
      </c>
      <c r="AS385" s="292" t="str">
        <f t="shared" si="147"/>
        <v/>
      </c>
      <c r="AT385" s="377" t="e">
        <f t="shared" si="148"/>
        <v>#N/A</v>
      </c>
      <c r="AU385" s="292" t="e">
        <f t="shared" si="149"/>
        <v>#N/A</v>
      </c>
    </row>
    <row r="386" spans="1:47" ht="15" customHeight="1">
      <c r="A386" s="601" t="str">
        <f>Kat.!B384</f>
        <v/>
      </c>
      <c r="B386" s="601">
        <f t="shared" si="135"/>
        <v>1</v>
      </c>
      <c r="C386" s="775" t="s">
        <v>1365</v>
      </c>
      <c r="D386" s="786"/>
      <c r="E386" s="760"/>
      <c r="F386" s="761"/>
      <c r="G386" s="762"/>
      <c r="H386" s="596"/>
      <c r="I386" s="763"/>
      <c r="J386" s="764"/>
      <c r="K386" s="774"/>
      <c r="L386" s="766"/>
      <c r="M386" s="764"/>
      <c r="N386" s="767"/>
      <c r="O386" s="763"/>
      <c r="P386" s="763"/>
      <c r="Q386" s="764"/>
      <c r="R386" s="764"/>
      <c r="S386" s="764"/>
      <c r="T386" s="761"/>
      <c r="U386" s="768"/>
      <c r="V386" s="768"/>
      <c r="W386" s="769" t="str">
        <f>IFERROR(VLOOKUP('General price list'!$C386,Popisy!A:P,MATCH($W$17,Popisy!$A$7:$P$7,0),FALSE),"---------------")</f>
        <v>5 verschiedenfarbige Effekte</v>
      </c>
      <c r="X386" s="769" t="str">
        <f t="shared" si="156"/>
        <v/>
      </c>
      <c r="Y386" s="770">
        <f>IF(OR(AP386&lt;AA386,AND(NOT(OR(LEFT(AB386,3)="SKL",LEFT(AB386,3)=LEFT($V$2,3))),AA386&gt;0),AND('Deutsche Markt'!$AH$1=FALSE,J386="F4",AA386&gt;0)),"",AA386)</f>
        <v>0</v>
      </c>
      <c r="Z386" s="769"/>
      <c r="AA386" s="771">
        <f>'Deutsche Markt'!AA386</f>
        <v>0</v>
      </c>
      <c r="AB386" s="772" t="str">
        <f>IFERROR(IF(VLOOKUP(C386,[1]List1!$A:$D,2,FALSE)="VYPRODÁNO",$V$9,IF(VLOOKUP(C386,[1]List1!$A:$D,2,FALSE)="DOCHÁZÍ",$V$3,VLOOKUP(C386,[1]List1!$A:$D,2,FALSE))),"OFFLINE!")</f>
        <v>SKLADEM</v>
      </c>
      <c r="AC386" s="772" t="str">
        <f ca="1">IF(AO386="NE",$V$10,IF(AB386=$V$3,IF(AP386&lt;1,$V$8,$V$2&amp;" "&amp;AP386&amp;" "&amp;$V$1),IF(AB386="SKLADEM",$V$6,IFERROR(IF(OR(AB386-TODAY()&gt;21,VLOOKUP(C386,[1]List1!$A:$E,4,FALSE)=0),AB386,DAY(AB386)&amp;"."&amp;MONTH(AB386)&amp;"."&amp;YEAR(AB386)&amp;" "&amp;$V$4&amp;VLOOKUP(C386,[1]List1!$A:$E,4,FALSE)&amp;" "&amp;$V$1),AB386))))</f>
        <v>AUF LAGER</v>
      </c>
      <c r="AD386" s="772" t="str">
        <f t="shared" ca="1" si="157"/>
        <v>AUF LAGER</v>
      </c>
      <c r="AE386" s="605"/>
      <c r="AF386" s="605"/>
      <c r="AG386" s="615"/>
      <c r="AH386" s="616"/>
      <c r="AI386" s="615"/>
      <c r="AJ386" s="617"/>
      <c r="AK386" s="617"/>
      <c r="AL386" s="617"/>
      <c r="AM386" s="617"/>
      <c r="AN386" s="292"/>
      <c r="AO386" s="567" t="str">
        <f t="shared" si="144"/>
        <v/>
      </c>
      <c r="AP386" s="568" t="str">
        <f>IF(AB386=$V$3,IF(VLOOKUP(C386,[1]List1!$A:$E,5,FALSE)=0,1,VLOOKUP(C386,[1]List1!$A:$E,5,FALSE)),"")</f>
        <v/>
      </c>
      <c r="AQ386" s="292" t="str">
        <f t="shared" si="145"/>
        <v/>
      </c>
      <c r="AR386" s="618" t="str">
        <f t="shared" si="146"/>
        <v/>
      </c>
      <c r="AS386" s="292" t="str">
        <f t="shared" si="147"/>
        <v/>
      </c>
      <c r="AT386" s="377" t="e">
        <f t="shared" si="148"/>
        <v>#N/A</v>
      </c>
      <c r="AU386" s="292" t="e">
        <f t="shared" si="149"/>
        <v>#N/A</v>
      </c>
    </row>
    <row r="387" spans="1:47" ht="15" customHeight="1">
      <c r="A387" s="601" t="str">
        <f>Kat.!B385</f>
        <v/>
      </c>
      <c r="B387" s="601">
        <f t="shared" si="135"/>
        <v>1</v>
      </c>
      <c r="C387" s="775" t="s">
        <v>1366</v>
      </c>
      <c r="D387" s="776"/>
      <c r="E387" s="760"/>
      <c r="F387" s="761"/>
      <c r="G387" s="762"/>
      <c r="H387" s="596"/>
      <c r="I387" s="763"/>
      <c r="J387" s="764"/>
      <c r="K387" s="781"/>
      <c r="L387" s="766"/>
      <c r="M387" s="764"/>
      <c r="N387" s="777"/>
      <c r="O387" s="763"/>
      <c r="P387" s="763"/>
      <c r="Q387" s="764"/>
      <c r="R387" s="764"/>
      <c r="S387" s="764"/>
      <c r="T387" s="761"/>
      <c r="U387" s="768"/>
      <c r="V387" s="768"/>
      <c r="W387" s="769"/>
      <c r="X387" s="769"/>
      <c r="Y387" s="770">
        <f>IF(OR(AP387&lt;AA387,AND(NOT(OR(LEFT(AB387,3)="SKL",LEFT(AB387,3)=LEFT($V$2,3))),AA387&gt;0),AND('Deutsche Markt'!$AH$1=FALSE,J387="F4",AA387&gt;0)),"",AA387)</f>
        <v>0</v>
      </c>
      <c r="Z387" s="769"/>
      <c r="AA387" s="771">
        <f>'Deutsche Markt'!AA387</f>
        <v>0</v>
      </c>
      <c r="AB387" s="772"/>
      <c r="AC387" s="772"/>
      <c r="AD387" s="772"/>
      <c r="AE387" s="605"/>
      <c r="AF387" s="605"/>
      <c r="AG387" s="615"/>
      <c r="AH387" s="616"/>
      <c r="AI387" s="615"/>
      <c r="AJ387" s="617"/>
      <c r="AK387" s="617"/>
      <c r="AL387" s="617"/>
      <c r="AM387" s="617"/>
      <c r="AN387" s="292"/>
      <c r="AO387" s="567" t="str">
        <f t="shared" si="144"/>
        <v/>
      </c>
      <c r="AP387" s="568" t="str">
        <f>IF(AB387=$V$3,IF(VLOOKUP(C387,[1]List1!$A:$E,5,FALSE)=0,1,VLOOKUP(C387,[1]List1!$A:$E,5,FALSE)),"")</f>
        <v/>
      </c>
      <c r="AQ387" s="292" t="str">
        <f t="shared" si="145"/>
        <v/>
      </c>
      <c r="AR387" s="618" t="str">
        <f t="shared" si="146"/>
        <v/>
      </c>
      <c r="AS387" s="292" t="str">
        <f t="shared" si="147"/>
        <v/>
      </c>
      <c r="AT387" s="377" t="e">
        <f t="shared" si="148"/>
        <v>#N/A</v>
      </c>
      <c r="AU387" s="292" t="e">
        <f t="shared" si="149"/>
        <v>#N/A</v>
      </c>
    </row>
    <row r="388" spans="1:47" ht="15" customHeight="1">
      <c r="A388" s="601" t="str">
        <f>Kat.!B386</f>
        <v/>
      </c>
      <c r="B388" s="601">
        <f t="shared" si="135"/>
        <v>1</v>
      </c>
      <c r="C388" s="775" t="s">
        <v>1367</v>
      </c>
      <c r="D388" s="776"/>
      <c r="E388" s="760"/>
      <c r="F388" s="761"/>
      <c r="G388" s="762"/>
      <c r="H388" s="596"/>
      <c r="I388" s="763"/>
      <c r="J388" s="764"/>
      <c r="K388" s="774"/>
      <c r="L388" s="766"/>
      <c r="M388" s="764"/>
      <c r="N388" s="767"/>
      <c r="O388" s="763"/>
      <c r="P388" s="763"/>
      <c r="Q388" s="764"/>
      <c r="R388" s="764"/>
      <c r="S388" s="764"/>
      <c r="T388" s="764"/>
      <c r="U388" s="768"/>
      <c r="V388" s="768"/>
      <c r="W388" s="769" t="str">
        <f>IFERROR(VLOOKUP('General price list'!$C388,Popisy!A:P,MATCH($W$17,Popisy!$A$7:$P$7,0),FALSE),"---------------")</f>
        <v>5 verschiedenfarbige Effekte</v>
      </c>
      <c r="X388" s="769" t="str">
        <f t="shared" ref="X388:X391" si="158">IF(AA388&lt;0.0001,"",AA388)</f>
        <v/>
      </c>
      <c r="Y388" s="770">
        <f>IF(OR(AP388&lt;AA388,AND(NOT(OR(LEFT(AB388,3)="SKL",LEFT(AB388,3)=LEFT($V$2,3))),AA388&gt;0),AND('Deutsche Markt'!$AH$1=FALSE,J388="F4",AA388&gt;0)),"",AA388)</f>
        <v>0</v>
      </c>
      <c r="Z388" s="769"/>
      <c r="AA388" s="771">
        <f>'Deutsche Markt'!AA388</f>
        <v>0</v>
      </c>
      <c r="AB388" s="772" t="str">
        <f>IFERROR(IF(VLOOKUP(C388,[1]List1!$A:$D,2,FALSE)="VYPRODÁNO",$V$9,IF(VLOOKUP(C388,[1]List1!$A:$D,2,FALSE)="DOCHÁZÍ",$V$3,VLOOKUP(C388,[1]List1!$A:$D,2,FALSE))),"OFFLINE!")</f>
        <v>SKLADEM</v>
      </c>
      <c r="AC388" s="772" t="str">
        <f ca="1">IF(AO388="NE",$V$10,IF(AB388=$V$3,IF(AP388&lt;1,$V$8,$V$2&amp;" "&amp;AP388&amp;" "&amp;$V$1),IF(AB388="SKLADEM",$V$6,IFERROR(IF(OR(AB388-TODAY()&gt;21,VLOOKUP(C388,[1]List1!$A:$E,4,FALSE)=0),AB388,DAY(AB388)&amp;"."&amp;MONTH(AB388)&amp;"."&amp;YEAR(AB388)&amp;" "&amp;$V$4&amp;VLOOKUP(C388,[1]List1!$A:$E,4,FALSE)&amp;" "&amp;$V$1),AB388))))</f>
        <v>AUF LAGER</v>
      </c>
      <c r="AD388" s="772" t="str">
        <f t="shared" ref="AD388:AD391" ca="1" si="159">IFERROR(IF(AU388&lt;&gt;"",AU388,AC388),AC388)</f>
        <v>AUF LAGER</v>
      </c>
      <c r="AE388" s="605"/>
      <c r="AF388" s="605"/>
      <c r="AG388" s="615"/>
      <c r="AH388" s="616"/>
      <c r="AI388" s="615"/>
      <c r="AJ388" s="617"/>
      <c r="AK388" s="617"/>
      <c r="AL388" s="617"/>
      <c r="AM388" s="617"/>
      <c r="AN388" s="292"/>
      <c r="AO388" s="567" t="str">
        <f t="shared" si="144"/>
        <v/>
      </c>
      <c r="AP388" s="568" t="str">
        <f>IF(AB388=$V$3,IF(VLOOKUP(C388,[1]List1!$A:$E,5,FALSE)=0,1,VLOOKUP(C388,[1]List1!$A:$E,5,FALSE)),"")</f>
        <v/>
      </c>
      <c r="AQ388" s="292" t="str">
        <f t="shared" si="145"/>
        <v/>
      </c>
      <c r="AR388" s="618" t="str">
        <f t="shared" si="146"/>
        <v/>
      </c>
      <c r="AS388" s="292" t="str">
        <f t="shared" si="147"/>
        <v/>
      </c>
      <c r="AT388" s="377" t="e">
        <f t="shared" si="148"/>
        <v>#N/A</v>
      </c>
      <c r="AU388" s="292" t="e">
        <f t="shared" si="149"/>
        <v>#N/A</v>
      </c>
    </row>
    <row r="389" spans="1:47" ht="15" customHeight="1">
      <c r="A389" s="601" t="str">
        <f>Kat.!B387</f>
        <v/>
      </c>
      <c r="B389" s="601">
        <f t="shared" si="135"/>
        <v>0</v>
      </c>
      <c r="C389" s="775"/>
      <c r="D389" s="776"/>
      <c r="E389" s="760"/>
      <c r="F389" s="761"/>
      <c r="G389" s="762"/>
      <c r="H389" s="596"/>
      <c r="I389" s="763"/>
      <c r="J389" s="764"/>
      <c r="K389" s="781"/>
      <c r="L389" s="766"/>
      <c r="M389" s="764"/>
      <c r="N389" s="767"/>
      <c r="O389" s="763"/>
      <c r="P389" s="763"/>
      <c r="Q389" s="764"/>
      <c r="R389" s="764"/>
      <c r="S389" s="764"/>
      <c r="T389" s="764"/>
      <c r="U389" s="768"/>
      <c r="V389" s="768"/>
      <c r="W389" s="769" t="str">
        <f>IFERROR(VLOOKUP('General price list'!$C389,Popisy!A:P,MATCH($W$17,Popisy!$A$7:$P$7,0),FALSE),"---------------")</f>
        <v>---------------</v>
      </c>
      <c r="X389" s="769" t="str">
        <f t="shared" si="158"/>
        <v/>
      </c>
      <c r="Y389" s="770">
        <f>IF(OR(AP389&lt;AA389,AND(NOT(OR(LEFT(AB389,3)="SKL",LEFT(AB389,3)=LEFT($V$2,3))),AA389&gt;0),AND('Deutsche Markt'!$AH$1=FALSE,J389="F4",AA389&gt;0)),"",AA389)</f>
        <v>0</v>
      </c>
      <c r="Z389" s="769"/>
      <c r="AA389" s="771">
        <f>'Deutsche Markt'!AA389</f>
        <v>0</v>
      </c>
      <c r="AB389" s="772" t="str">
        <f>IFERROR(IF(VLOOKUP(C389,[1]List1!$A:$D,2,FALSE)="VYPRODÁNO",$V$9,IF(VLOOKUP(C389,[1]List1!$A:$D,2,FALSE)="DOCHÁZÍ",$V$3,VLOOKUP(C389,[1]List1!$A:$D,2,FALSE))),"OFFLINE!")</f>
        <v>OFFLINE!</v>
      </c>
      <c r="AC389" s="772" t="str">
        <f ca="1">IF(AO389="NE",$V$10,IF(AB389=$V$3,IF(AP389&lt;1,$V$8,$V$2&amp;" "&amp;AP389&amp;" "&amp;$V$1),IF(AB389="SKLADEM",$V$6,IFERROR(IF(OR(AB389-TODAY()&gt;21,VLOOKUP(C389,[1]List1!$A:$E,4,FALSE)=0),AB389,DAY(AB389)&amp;"."&amp;MONTH(AB389)&amp;"."&amp;YEAR(AB389)&amp;" "&amp;$V$4&amp;VLOOKUP(C389,[1]List1!$A:$E,4,FALSE)&amp;" "&amp;$V$1),AB389))))</f>
        <v>OFFLINE!</v>
      </c>
      <c r="AD389" s="772" t="str">
        <f t="shared" ca="1" si="159"/>
        <v>OFFLINE!</v>
      </c>
      <c r="AE389" s="605"/>
      <c r="AF389" s="605"/>
      <c r="AG389" s="615"/>
      <c r="AH389" s="616"/>
      <c r="AI389" s="615"/>
      <c r="AJ389" s="617"/>
      <c r="AK389" s="617"/>
      <c r="AL389" s="617"/>
      <c r="AM389" s="617"/>
      <c r="AN389" s="292"/>
      <c r="AO389" s="567" t="str">
        <f t="shared" si="144"/>
        <v/>
      </c>
      <c r="AP389" s="568" t="str">
        <f>IF(AB389=$V$3,IF(VLOOKUP(C389,[1]List1!$A:$E,5,FALSE)=0,1,VLOOKUP(C389,[1]List1!$A:$E,5,FALSE)),"")</f>
        <v/>
      </c>
      <c r="AQ389" s="292" t="str">
        <f t="shared" si="145"/>
        <v/>
      </c>
      <c r="AR389" s="618" t="str">
        <f t="shared" si="146"/>
        <v/>
      </c>
      <c r="AS389" s="292" t="str">
        <f t="shared" si="147"/>
        <v/>
      </c>
      <c r="AT389" s="377" t="e">
        <f t="shared" si="148"/>
        <v>#N/A</v>
      </c>
      <c r="AU389" s="292" t="e">
        <f t="shared" si="149"/>
        <v>#N/A</v>
      </c>
    </row>
    <row r="390" spans="1:47" ht="15" customHeight="1">
      <c r="A390" s="601" t="str">
        <f>Kat.!B388</f>
        <v/>
      </c>
      <c r="B390" s="601">
        <f t="shared" si="135"/>
        <v>1</v>
      </c>
      <c r="C390" s="775" t="s">
        <v>1378</v>
      </c>
      <c r="D390" s="776"/>
      <c r="E390" s="760"/>
      <c r="F390" s="761"/>
      <c r="G390" s="762"/>
      <c r="H390" s="596"/>
      <c r="I390" s="797"/>
      <c r="J390" s="764"/>
      <c r="K390" s="774"/>
      <c r="L390" s="782"/>
      <c r="M390" s="764"/>
      <c r="N390" s="767"/>
      <c r="O390" s="763"/>
      <c r="P390" s="763"/>
      <c r="Q390" s="764"/>
      <c r="R390" s="764"/>
      <c r="S390" s="764"/>
      <c r="T390" s="764"/>
      <c r="U390" s="768"/>
      <c r="V390" s="768"/>
      <c r="W390" s="769" t="str">
        <f>IFERROR(VLOOKUP('General price list'!$C390,Popisy!A:P,MATCH($W$17,Popisy!$A$7:$P$7,0),FALSE),"---------------")</f>
        <v>Brokatkrone mit violetten enden</v>
      </c>
      <c r="X390" s="769" t="str">
        <f t="shared" si="158"/>
        <v/>
      </c>
      <c r="Y390" s="770">
        <f>IF(OR(AP390&lt;AA390,AND(NOT(OR(LEFT(AB390,3)="SKL",LEFT(AB390,3)=LEFT($V$2,3))),AA390&gt;0),AND('Deutsche Markt'!$AH$1=FALSE,J390="F4",AA390&gt;0)),"",AA390)</f>
        <v>0</v>
      </c>
      <c r="Z390" s="769"/>
      <c r="AA390" s="771">
        <f>'Deutsche Markt'!AA390</f>
        <v>0</v>
      </c>
      <c r="AB390" s="772" t="str">
        <f>IFERROR(IF(VLOOKUP(C390,[1]List1!$A:$D,2,FALSE)="VYPRODÁNO",$V$9,IF(VLOOKUP(C390,[1]List1!$A:$D,2,FALSE)="DOCHÁZÍ",$V$3,VLOOKUP(C390,[1]List1!$A:$D,2,FALSE))),"OFFLINE!")</f>
        <v>LETZTE STÜCKE</v>
      </c>
      <c r="AC390" s="772" t="str">
        <f ca="1">IF(AO390="NE",$V$10,IF(AB390=$V$3,IF(AP390&lt;1,$V$8,$V$2&amp;" "&amp;AP390&amp;" "&amp;$V$1),IF(AB390="SKLADEM",$V$6,IFERROR(IF(OR(AB390-TODAY()&gt;21,VLOOKUP(C390,[1]List1!$A:$E,4,FALSE)=0),AB390,DAY(AB390)&amp;"."&amp;MONTH(AB390)&amp;"."&amp;YEAR(AB390)&amp;" "&amp;$V$4&amp;VLOOKUP(C390,[1]List1!$A:$E,4,FALSE)&amp;" "&amp;$V$1),AB390))))</f>
        <v>LETZTE 2 KTN</v>
      </c>
      <c r="AD390" s="772" t="str">
        <f t="shared" ca="1" si="159"/>
        <v>LETZTE 2 KTN</v>
      </c>
      <c r="AE390" s="605"/>
      <c r="AF390" s="605"/>
      <c r="AG390" s="615"/>
      <c r="AH390" s="616"/>
      <c r="AI390" s="615"/>
      <c r="AJ390" s="617"/>
      <c r="AK390" s="617"/>
      <c r="AL390" s="617"/>
      <c r="AM390" s="617"/>
      <c r="AN390" s="292"/>
      <c r="AO390" s="567" t="str">
        <f t="shared" si="144"/>
        <v/>
      </c>
      <c r="AP390" s="568">
        <f>IF(AB390=$V$3,IF(VLOOKUP(C390,[1]List1!$A:$E,5,FALSE)=0,1,VLOOKUP(C390,[1]List1!$A:$E,5,FALSE)),"")</f>
        <v>2</v>
      </c>
      <c r="AQ390" s="292" t="str">
        <f t="shared" si="145"/>
        <v/>
      </c>
      <c r="AR390" s="618" t="str">
        <f t="shared" si="146"/>
        <v/>
      </c>
      <c r="AS390" s="292" t="str">
        <f t="shared" si="147"/>
        <v/>
      </c>
      <c r="AT390" s="377" t="e">
        <f t="shared" si="148"/>
        <v>#N/A</v>
      </c>
      <c r="AU390" s="292" t="e">
        <f t="shared" si="149"/>
        <v>#N/A</v>
      </c>
    </row>
    <row r="391" spans="1:47" ht="15" customHeight="1">
      <c r="A391" s="601" t="str">
        <f>Kat.!B389</f>
        <v>Batterien 25 schuss, 30mm Mörser-1.4G</v>
      </c>
      <c r="B391" s="601">
        <f t="shared" si="135"/>
        <v>0</v>
      </c>
      <c r="C391" s="775"/>
      <c r="D391" s="776"/>
      <c r="E391" s="760"/>
      <c r="F391" s="761"/>
      <c r="G391" s="762"/>
      <c r="H391" s="596"/>
      <c r="I391" s="797"/>
      <c r="J391" s="764"/>
      <c r="K391" s="781"/>
      <c r="L391" s="766"/>
      <c r="M391" s="764"/>
      <c r="N391" s="767"/>
      <c r="O391" s="763"/>
      <c r="P391" s="763"/>
      <c r="Q391" s="764"/>
      <c r="R391" s="764"/>
      <c r="S391" s="764"/>
      <c r="T391" s="764"/>
      <c r="U391" s="768"/>
      <c r="V391" s="768"/>
      <c r="W391" s="769" t="str">
        <f>IFERROR(VLOOKUP('General price list'!$C391,Popisy!A:P,MATCH($W$17,Popisy!$A$7:$P$7,0),FALSE),"---------------")</f>
        <v>---------------</v>
      </c>
      <c r="X391" s="769" t="str">
        <f t="shared" si="158"/>
        <v/>
      </c>
      <c r="Y391" s="770">
        <f>IF(OR(AP391&lt;AA391,AND(NOT(OR(LEFT(AB391,3)="SKL",LEFT(AB391,3)=LEFT($V$2,3))),AA391&gt;0),AND('Deutsche Markt'!$AH$1=FALSE,J391="F4",AA391&gt;0)),"",AA391)</f>
        <v>0</v>
      </c>
      <c r="Z391" s="769"/>
      <c r="AA391" s="771">
        <f>'Deutsche Markt'!AA391</f>
        <v>0</v>
      </c>
      <c r="AB391" s="772" t="str">
        <f>IFERROR(IF(VLOOKUP(C391,[1]List1!$A:$D,2,FALSE)="VYPRODÁNO",$V$9,IF(VLOOKUP(C391,[1]List1!$A:$D,2,FALSE)="DOCHÁZÍ",$V$3,VLOOKUP(C391,[1]List1!$A:$D,2,FALSE))),"OFFLINE!")</f>
        <v>OFFLINE!</v>
      </c>
      <c r="AC391" s="772" t="str">
        <f ca="1">IF(AO391="NE",$V$10,IF(AB391=$V$3,IF(AP391&lt;1,$V$8,$V$2&amp;" "&amp;AP391&amp;" "&amp;$V$1),IF(AB391="SKLADEM",$V$6,IFERROR(IF(OR(AB391-TODAY()&gt;21,VLOOKUP(C391,[1]List1!$A:$E,4,FALSE)=0),AB391,DAY(AB391)&amp;"."&amp;MONTH(AB391)&amp;"."&amp;YEAR(AB391)&amp;" "&amp;$V$4&amp;VLOOKUP(C391,[1]List1!$A:$E,4,FALSE)&amp;" "&amp;$V$1),AB391))))</f>
        <v>OFFLINE!</v>
      </c>
      <c r="AD391" s="772" t="str">
        <f t="shared" ca="1" si="159"/>
        <v>OFFLINE!</v>
      </c>
      <c r="AE391" s="605"/>
      <c r="AF391" s="605"/>
      <c r="AG391" s="615"/>
      <c r="AH391" s="616"/>
      <c r="AI391" s="615"/>
      <c r="AJ391" s="617"/>
      <c r="AK391" s="617"/>
      <c r="AL391" s="617"/>
      <c r="AM391" s="617"/>
      <c r="AN391" s="292"/>
      <c r="AO391" s="567" t="str">
        <f t="shared" si="144"/>
        <v/>
      </c>
      <c r="AP391" s="568" t="str">
        <f>IF(AB391=$V$3,IF(VLOOKUP(C391,[1]List1!$A:$E,5,FALSE)=0,1,VLOOKUP(C391,[1]List1!$A:$E,5,FALSE)),"")</f>
        <v/>
      </c>
      <c r="AQ391" s="292" t="str">
        <f t="shared" si="145"/>
        <v/>
      </c>
      <c r="AR391" s="618" t="str">
        <f t="shared" si="146"/>
        <v/>
      </c>
      <c r="AS391" s="292" t="str">
        <f t="shared" si="147"/>
        <v/>
      </c>
      <c r="AT391" s="377" t="e">
        <f t="shared" si="148"/>
        <v>#N/A</v>
      </c>
      <c r="AU391" s="292" t="e">
        <f t="shared" si="149"/>
        <v>#N/A</v>
      </c>
    </row>
    <row r="392" spans="1:47" ht="15" customHeight="1">
      <c r="A392" s="601" t="str">
        <f>Kat.!$B$1&amp;Kat.!B390</f>
        <v/>
      </c>
      <c r="B392" s="601">
        <f t="shared" si="135"/>
        <v>1</v>
      </c>
      <c r="C392" s="620" t="s">
        <v>1383</v>
      </c>
      <c r="D392" s="235"/>
      <c r="E392" s="604"/>
      <c r="F392" s="605"/>
      <c r="G392" s="606"/>
      <c r="H392" s="607"/>
      <c r="I392" s="636"/>
      <c r="J392" s="609"/>
      <c r="K392" s="708"/>
      <c r="L392" s="611"/>
      <c r="M392" s="609"/>
      <c r="N392" s="612"/>
      <c r="O392" s="608"/>
      <c r="P392" s="608"/>
      <c r="Q392" s="609"/>
      <c r="R392" s="609"/>
      <c r="S392" s="609"/>
      <c r="T392" s="609"/>
      <c r="U392" s="613"/>
      <c r="V392" s="613"/>
      <c r="W392" s="601" t="str">
        <f>IFERROR(VLOOKUP('General price list'!$C392,Popisy!A:P,MATCH($W$17,Popisy!$A$7:$P$7,0),FALSE),"---------------")</f>
        <v>5 verschiedenfarbige Effekte</v>
      </c>
      <c r="X392" s="601" t="str">
        <f t="shared" ref="X392:X396" si="160">IF(AA392&lt;0.0001,"",AA392)</f>
        <v/>
      </c>
      <c r="Y392" s="770">
        <f>IF(OR(AP392&lt;AA392,AND(NOT(OR(LEFT(AB392,3)="SKL",LEFT(AB392,3)=LEFT($V$2,3))),AA392&gt;0),AND('Deutsche Markt'!$AH$1=FALSE,J392="F4",AA392&gt;0)),"",AA392)</f>
        <v>0</v>
      </c>
      <c r="Z392" s="601"/>
      <c r="AA392" s="771">
        <f>'Deutsche Markt'!AA392</f>
        <v>0</v>
      </c>
      <c r="AB392" s="614" t="str">
        <f>IFERROR(IF(VLOOKUP(C392,[1]List1!$A:$D,2,FALSE)="VYPRODÁNO",$V$9,IF(VLOOKUP(C392,[1]List1!$A:$D,2,FALSE)="DOCHÁZÍ",$V$3,VLOOKUP(C392,[1]List1!$A:$D,2,FALSE))),"OFFLINE!")</f>
        <v>15.05.2024</v>
      </c>
      <c r="AC392" s="614" t="str">
        <f ca="1">IF(AO392="NE",$V$10,IF(AB392=$V$3,IF(AP392&lt;1,$V$8,$V$2&amp;" "&amp;AP392&amp;" "&amp;$V$1),IF(AB392="SKLADEM",$V$6,IFERROR(IF(OR(AB392-TODAY()&gt;21,VLOOKUP(C392,[1]List1!$A:$E,4,FALSE)=0),AB392,DAY(AB392)&amp;"."&amp;MONTH(AB392)&amp;"."&amp;YEAR(AB392)&amp;" "&amp;$V$4&amp;VLOOKUP(C392,[1]List1!$A:$E,4,FALSE)&amp;" "&amp;$V$1),AB392))))</f>
        <v>15.05.2024</v>
      </c>
      <c r="AD392" s="614" t="str">
        <f t="shared" ref="AD392:AD396" ca="1" si="161">IFERROR(IF(AU392&lt;&gt;"",AU392,AC392),AC392)</f>
        <v>15.05.2024</v>
      </c>
      <c r="AE392" s="605"/>
      <c r="AF392" s="605"/>
      <c r="AG392" s="615"/>
      <c r="AH392" s="616"/>
      <c r="AI392" s="615"/>
      <c r="AJ392" s="617"/>
      <c r="AK392" s="617"/>
      <c r="AL392" s="617"/>
      <c r="AM392" s="617"/>
      <c r="AN392" s="292"/>
      <c r="AO392" s="567" t="str">
        <f t="shared" si="144"/>
        <v/>
      </c>
      <c r="AP392" s="568" t="str">
        <f>IF(AB392=$V$3,IF(VLOOKUP(C392,[1]List1!$A:$E,5,FALSE)=0,1,VLOOKUP(C392,[1]List1!$A:$E,5,FALSE)),"")</f>
        <v/>
      </c>
      <c r="AQ392" s="292" t="str">
        <f t="shared" si="145"/>
        <v/>
      </c>
      <c r="AR392" s="618" t="str">
        <f t="shared" si="146"/>
        <v/>
      </c>
      <c r="AS392" s="292" t="str">
        <f t="shared" si="147"/>
        <v/>
      </c>
      <c r="AT392" s="377" t="e">
        <f t="shared" si="148"/>
        <v>#N/A</v>
      </c>
      <c r="AU392" s="292" t="e">
        <f t="shared" si="149"/>
        <v>#N/A</v>
      </c>
    </row>
    <row r="393" spans="1:47" ht="15" customHeight="1">
      <c r="A393" s="601" t="str">
        <f>Kat.!B391</f>
        <v>Batterien 25 schuss, 30mm schräg Mörser-1.4G</v>
      </c>
      <c r="B393" s="601">
        <f t="shared" si="135"/>
        <v>1</v>
      </c>
      <c r="C393" s="778" t="s">
        <v>1384</v>
      </c>
      <c r="D393" s="778"/>
      <c r="E393" s="778"/>
      <c r="F393" s="779"/>
      <c r="G393" s="778"/>
      <c r="H393" s="778"/>
      <c r="I393" s="778"/>
      <c r="J393" s="778"/>
      <c r="K393" s="781"/>
      <c r="L393" s="778"/>
      <c r="M393" s="778"/>
      <c r="N393" s="778"/>
      <c r="O393" s="778"/>
      <c r="P393" s="778"/>
      <c r="Q393" s="778"/>
      <c r="R393" s="778"/>
      <c r="S393" s="778"/>
      <c r="T393" s="778"/>
      <c r="U393" s="778"/>
      <c r="V393" s="778"/>
      <c r="W393" s="778" t="str">
        <f>IFERROR(VLOOKUP('General price list'!$C393,Popisy!A:P,MATCH($W$17,Popisy!$A$7:$P$7,0),FALSE),"---------------")</f>
        <v>5 verschiedenfarbige wechselnde Effekte nach jedem schuss</v>
      </c>
      <c r="X393" s="778" t="str">
        <f t="shared" si="160"/>
        <v/>
      </c>
      <c r="Y393" s="770">
        <f>IF(OR(AP393&lt;AA393,AND(NOT(OR(LEFT(AB393,3)="SKL",LEFT(AB393,3)=LEFT($V$2,3))),AA393&gt;0),AND('Deutsche Markt'!$AH$1=FALSE,J393="F4",AA393&gt;0)),"",AA393)</f>
        <v>0</v>
      </c>
      <c r="Z393" s="778"/>
      <c r="AA393" s="771">
        <f>'Deutsche Markt'!AA393</f>
        <v>0</v>
      </c>
      <c r="AB393" s="778" t="str">
        <f>IFERROR(IF(VLOOKUP(C393,[1]List1!$A:$D,2,FALSE)="VYPRODÁNO",$V$9,IF(VLOOKUP(C393,[1]List1!$A:$D,2,FALSE)="DOCHÁZÍ",$V$3,VLOOKUP(C393,[1]List1!$A:$D,2,FALSE))),"OFFLINE!")</f>
        <v>15.05.2024</v>
      </c>
      <c r="AC393" s="778" t="str">
        <f ca="1">IF(AO393="NE",$V$10,IF(AB393=$V$3,IF(AP393&lt;1,$V$8,$V$2&amp;" "&amp;AP393&amp;" "&amp;$V$1),IF(AB393="SKLADEM",$V$6,IFERROR(IF(OR(AB393-TODAY()&gt;21,VLOOKUP(C393,[1]List1!$A:$E,4,FALSE)=0),AB393,DAY(AB393)&amp;"."&amp;MONTH(AB393)&amp;"."&amp;YEAR(AB393)&amp;" "&amp;$V$4&amp;VLOOKUP(C393,[1]List1!$A:$E,4,FALSE)&amp;" "&amp;$V$1),AB393))))</f>
        <v>15.05.2024</v>
      </c>
      <c r="AD393" s="778" t="str">
        <f t="shared" ca="1" si="161"/>
        <v>15.05.2024</v>
      </c>
      <c r="AE393" s="599"/>
      <c r="AF393" s="599"/>
      <c r="AG393" s="599"/>
      <c r="AH393" s="599"/>
      <c r="AI393" s="599"/>
      <c r="AJ393" s="599"/>
      <c r="AK393" s="599"/>
      <c r="AL393" s="599"/>
      <c r="AM393" s="599"/>
      <c r="AN393" s="566"/>
      <c r="AO393" s="567" t="str">
        <f t="shared" si="144"/>
        <v/>
      </c>
      <c r="AP393" s="568" t="str">
        <f>IF(AB393=$V$3,IF(VLOOKUP(C393,[1]List1!$A:$E,5,FALSE)=0,1,VLOOKUP(C393,[1]List1!$A:$E,5,FALSE)),"")</f>
        <v/>
      </c>
      <c r="AQ393" s="292" t="str">
        <f t="shared" si="145"/>
        <v/>
      </c>
      <c r="AR393" s="618" t="str">
        <f t="shared" si="146"/>
        <v/>
      </c>
      <c r="AS393" s="292" t="str">
        <f t="shared" si="147"/>
        <v/>
      </c>
      <c r="AT393" s="377" t="e">
        <f t="shared" si="148"/>
        <v>#N/A</v>
      </c>
      <c r="AU393" s="292" t="e">
        <f t="shared" si="149"/>
        <v>#N/A</v>
      </c>
    </row>
    <row r="394" spans="1:47" ht="15" customHeight="1">
      <c r="A394" s="601" t="str">
        <f>Kat.!B392</f>
        <v/>
      </c>
      <c r="B394" s="601">
        <f t="shared" si="135"/>
        <v>1</v>
      </c>
      <c r="C394" s="775" t="s">
        <v>1385</v>
      </c>
      <c r="D394" s="776"/>
      <c r="E394" s="760"/>
      <c r="F394" s="761"/>
      <c r="G394" s="762"/>
      <c r="H394" s="596"/>
      <c r="I394" s="797"/>
      <c r="J394" s="764"/>
      <c r="K394" s="774"/>
      <c r="L394" s="766"/>
      <c r="M394" s="764"/>
      <c r="N394" s="767"/>
      <c r="O394" s="763"/>
      <c r="P394" s="763"/>
      <c r="Q394" s="764"/>
      <c r="R394" s="764"/>
      <c r="S394" s="764"/>
      <c r="T394" s="764"/>
      <c r="U394" s="768"/>
      <c r="V394" s="768"/>
      <c r="W394" s="769" t="str">
        <f>IFERROR(VLOOKUP('General price list'!$C394,Popisy!A:P,MATCH($W$17,Popisy!$A$7:$P$7,0),FALSE),"---------------")</f>
        <v>5 verschiedenfarbige Effekte</v>
      </c>
      <c r="X394" s="769" t="str">
        <f t="shared" si="160"/>
        <v/>
      </c>
      <c r="Y394" s="770">
        <f>IF(OR(AP394&lt;AA394,AND(NOT(OR(LEFT(AB394,3)="SKL",LEFT(AB394,3)=LEFT($V$2,3))),AA394&gt;0),AND('Deutsche Markt'!$AH$1=FALSE,J394="F4",AA394&gt;0)),"",AA394)</f>
        <v>0</v>
      </c>
      <c r="Z394" s="769"/>
      <c r="AA394" s="771">
        <f>'Deutsche Markt'!AA394</f>
        <v>0</v>
      </c>
      <c r="AB394" s="772" t="str">
        <f>IFERROR(IF(VLOOKUP(C394,[1]List1!$A:$D,2,FALSE)="VYPRODÁNO",$V$9,IF(VLOOKUP(C394,[1]List1!$A:$D,2,FALSE)="DOCHÁZÍ",$V$3,VLOOKUP(C394,[1]List1!$A:$D,2,FALSE))),"OFFLINE!")</f>
        <v>15.05.2024</v>
      </c>
      <c r="AC394" s="772" t="str">
        <f ca="1">IF(AO394="NE",$V$10,IF(AB394=$V$3,IF(AP394&lt;1,$V$8,$V$2&amp;" "&amp;AP394&amp;" "&amp;$V$1),IF(AB394="SKLADEM",$V$6,IFERROR(IF(OR(AB394-TODAY()&gt;21,VLOOKUP(C394,[1]List1!$A:$E,4,FALSE)=0),AB394,DAY(AB394)&amp;"."&amp;MONTH(AB394)&amp;"."&amp;YEAR(AB394)&amp;" "&amp;$V$4&amp;VLOOKUP(C394,[1]List1!$A:$E,4,FALSE)&amp;" "&amp;$V$1),AB394))))</f>
        <v>15.05.2024</v>
      </c>
      <c r="AD394" s="772" t="str">
        <f t="shared" ca="1" si="161"/>
        <v>15.05.2024</v>
      </c>
      <c r="AE394" s="605"/>
      <c r="AF394" s="605"/>
      <c r="AG394" s="615"/>
      <c r="AH394" s="616"/>
      <c r="AI394" s="615"/>
      <c r="AJ394" s="617"/>
      <c r="AK394" s="617"/>
      <c r="AL394" s="617"/>
      <c r="AM394" s="617"/>
      <c r="AN394" s="292"/>
      <c r="AO394" s="567" t="str">
        <f t="shared" si="144"/>
        <v/>
      </c>
      <c r="AP394" s="568" t="str">
        <f>IF(AB394=$V$3,IF(VLOOKUP(C394,[1]List1!$A:$E,5,FALSE)=0,1,VLOOKUP(C394,[1]List1!$A:$E,5,FALSE)),"")</f>
        <v/>
      </c>
      <c r="AQ394" s="292" t="str">
        <f t="shared" si="145"/>
        <v/>
      </c>
      <c r="AR394" s="618" t="str">
        <f t="shared" si="146"/>
        <v/>
      </c>
      <c r="AS394" s="292" t="str">
        <f t="shared" si="147"/>
        <v/>
      </c>
      <c r="AT394" s="377" t="e">
        <f t="shared" si="148"/>
        <v>#N/A</v>
      </c>
      <c r="AU394" s="292" t="e">
        <f t="shared" si="149"/>
        <v>#N/A</v>
      </c>
    </row>
    <row r="395" spans="1:47" ht="15" customHeight="1">
      <c r="A395" s="601" t="str">
        <f>Kat.!B393</f>
        <v/>
      </c>
      <c r="B395" s="601">
        <f t="shared" si="135"/>
        <v>0</v>
      </c>
      <c r="C395" s="775"/>
      <c r="D395" s="776"/>
      <c r="E395" s="760"/>
      <c r="F395" s="761"/>
      <c r="G395" s="762"/>
      <c r="H395" s="596"/>
      <c r="I395" s="763"/>
      <c r="J395" s="764"/>
      <c r="K395" s="781"/>
      <c r="L395" s="766"/>
      <c r="M395" s="764"/>
      <c r="N395" s="777"/>
      <c r="O395" s="763"/>
      <c r="P395" s="763"/>
      <c r="Q395" s="764"/>
      <c r="R395" s="764"/>
      <c r="S395" s="764"/>
      <c r="T395" s="761"/>
      <c r="U395" s="768"/>
      <c r="V395" s="768"/>
      <c r="W395" s="769" t="str">
        <f>IFERROR(VLOOKUP('General price list'!$C395,Popisy!A:P,MATCH($W$17,Popisy!$A$7:$P$7,0),FALSE),"---------------")</f>
        <v>---------------</v>
      </c>
      <c r="X395" s="769" t="str">
        <f t="shared" si="160"/>
        <v/>
      </c>
      <c r="Y395" s="770">
        <f>IF(OR(AP395&lt;AA395,AND(NOT(OR(LEFT(AB395,3)="SKL",LEFT(AB395,3)=LEFT($V$2,3))),AA395&gt;0),AND('Deutsche Markt'!$AH$1=FALSE,J395="F4",AA395&gt;0)),"",AA395)</f>
        <v>0</v>
      </c>
      <c r="Z395" s="769"/>
      <c r="AA395" s="771">
        <f>'Deutsche Markt'!AA395</f>
        <v>0</v>
      </c>
      <c r="AB395" s="772" t="str">
        <f>IFERROR(IF(VLOOKUP(C395,[1]List1!$A:$D,2,FALSE)="VYPRODÁNO",$V$9,IF(VLOOKUP(C395,[1]List1!$A:$D,2,FALSE)="DOCHÁZÍ",$V$3,VLOOKUP(C395,[1]List1!$A:$D,2,FALSE))),"OFFLINE!")</f>
        <v>OFFLINE!</v>
      </c>
      <c r="AC395" s="772" t="str">
        <f ca="1">IF(AO395="NE",$V$10,IF(AB395=$V$3,IF(AP395&lt;1,$V$8,$V$2&amp;" "&amp;AP395&amp;" "&amp;$V$1),IF(AB395="SKLADEM",$V$6,IFERROR(IF(OR(AB395-TODAY()&gt;21,VLOOKUP(C395,[1]List1!$A:$E,4,FALSE)=0),AB395,DAY(AB395)&amp;"."&amp;MONTH(AB395)&amp;"."&amp;YEAR(AB395)&amp;" "&amp;$V$4&amp;VLOOKUP(C395,[1]List1!$A:$E,4,FALSE)&amp;" "&amp;$V$1),AB395))))</f>
        <v>OFFLINE!</v>
      </c>
      <c r="AD395" s="772" t="str">
        <f t="shared" ca="1" si="161"/>
        <v>OFFLINE!</v>
      </c>
      <c r="AE395" s="605"/>
      <c r="AF395" s="605"/>
      <c r="AG395" s="615"/>
      <c r="AH395" s="616"/>
      <c r="AI395" s="615"/>
      <c r="AJ395" s="617"/>
      <c r="AK395" s="617"/>
      <c r="AL395" s="617"/>
      <c r="AM395" s="617"/>
      <c r="AN395" s="292"/>
      <c r="AO395" s="567" t="str">
        <f t="shared" si="144"/>
        <v/>
      </c>
      <c r="AP395" s="568" t="str">
        <f>IF(AB395=$V$3,IF(VLOOKUP(C395,[1]List1!$A:$E,5,FALSE)=0,1,VLOOKUP(C395,[1]List1!$A:$E,5,FALSE)),"")</f>
        <v/>
      </c>
      <c r="AQ395" s="292" t="str">
        <f t="shared" si="145"/>
        <v/>
      </c>
      <c r="AR395" s="618" t="str">
        <f t="shared" si="146"/>
        <v/>
      </c>
      <c r="AS395" s="292" t="str">
        <f t="shared" si="147"/>
        <v/>
      </c>
      <c r="AT395" s="377" t="e">
        <f t="shared" si="148"/>
        <v>#N/A</v>
      </c>
      <c r="AU395" s="292" t="e">
        <f t="shared" si="149"/>
        <v>#N/A</v>
      </c>
    </row>
    <row r="396" spans="1:47" ht="15" customHeight="1">
      <c r="A396" s="601" t="str">
        <f>Kat.!B394</f>
        <v/>
      </c>
      <c r="B396" s="601">
        <f t="shared" si="135"/>
        <v>1</v>
      </c>
      <c r="C396" s="775" t="s">
        <v>1392</v>
      </c>
      <c r="D396" s="776"/>
      <c r="E396" s="760"/>
      <c r="F396" s="761"/>
      <c r="G396" s="762"/>
      <c r="H396" s="596"/>
      <c r="I396" s="797"/>
      <c r="J396" s="764"/>
      <c r="K396" s="774"/>
      <c r="L396" s="782"/>
      <c r="M396" s="764"/>
      <c r="N396" s="767"/>
      <c r="O396" s="763"/>
      <c r="P396" s="763"/>
      <c r="Q396" s="764"/>
      <c r="R396" s="764"/>
      <c r="S396" s="764"/>
      <c r="T396" s="764"/>
      <c r="U396" s="768"/>
      <c r="V396" s="768"/>
      <c r="W396" s="769" t="str">
        <f>IFERROR(VLOOKUP('General price list'!$C396,Popisy!A:P,MATCH($W$17,Popisy!$A$7:$P$7,0),FALSE),"---------------")</f>
        <v>6 verschiedenfarbige wechselnde Effekte nach jedem schuss</v>
      </c>
      <c r="X396" s="769" t="str">
        <f t="shared" si="160"/>
        <v/>
      </c>
      <c r="Y396" s="770">
        <f>IF(OR(AP396&lt;AA396,AND(NOT(OR(LEFT(AB396,3)="SKL",LEFT(AB396,3)=LEFT($V$2,3))),AA396&gt;0),AND('Deutsche Markt'!$AH$1=FALSE,J396="F4",AA396&gt;0)),"",AA396)</f>
        <v>0</v>
      </c>
      <c r="Z396" s="769"/>
      <c r="AA396" s="771">
        <f>'Deutsche Markt'!AA396</f>
        <v>0</v>
      </c>
      <c r="AB396" s="772" t="str">
        <f>IFERROR(IF(VLOOKUP(C396,[1]List1!$A:$D,2,FALSE)="VYPRODÁNO",$V$9,IF(VLOOKUP(C396,[1]List1!$A:$D,2,FALSE)="DOCHÁZÍ",$V$3,VLOOKUP(C396,[1]List1!$A:$D,2,FALSE))),"OFFLINE!")</f>
        <v>SKLADEM</v>
      </c>
      <c r="AC396" s="772" t="str">
        <f ca="1">IF(AO396="NE",$V$10,IF(AB396=$V$3,IF(AP396&lt;1,$V$8,$V$2&amp;" "&amp;AP396&amp;" "&amp;$V$1),IF(AB396="SKLADEM",$V$6,IFERROR(IF(OR(AB396-TODAY()&gt;21,VLOOKUP(C396,[1]List1!$A:$E,4,FALSE)=0),AB396,DAY(AB396)&amp;"."&amp;MONTH(AB396)&amp;"."&amp;YEAR(AB396)&amp;" "&amp;$V$4&amp;VLOOKUP(C396,[1]List1!$A:$E,4,FALSE)&amp;" "&amp;$V$1),AB396))))</f>
        <v>AUF LAGER</v>
      </c>
      <c r="AD396" s="772" t="str">
        <f t="shared" ca="1" si="161"/>
        <v>AUF LAGER</v>
      </c>
      <c r="AE396" s="605"/>
      <c r="AF396" s="605"/>
      <c r="AG396" s="615"/>
      <c r="AH396" s="616"/>
      <c r="AI396" s="615"/>
      <c r="AJ396" s="617"/>
      <c r="AK396" s="617"/>
      <c r="AL396" s="617"/>
      <c r="AM396" s="617"/>
      <c r="AN396" s="292"/>
      <c r="AO396" s="567" t="str">
        <f t="shared" si="144"/>
        <v/>
      </c>
      <c r="AP396" s="568" t="str">
        <f>IF(AB396=$V$3,IF(VLOOKUP(C396,[1]List1!$A:$E,5,FALSE)=0,1,VLOOKUP(C396,[1]List1!$A:$E,5,FALSE)),"")</f>
        <v/>
      </c>
      <c r="AQ396" s="292" t="str">
        <f t="shared" si="145"/>
        <v/>
      </c>
      <c r="AR396" s="618" t="str">
        <f t="shared" si="146"/>
        <v/>
      </c>
      <c r="AS396" s="292" t="str">
        <f t="shared" si="147"/>
        <v/>
      </c>
      <c r="AT396" s="377" t="e">
        <f t="shared" si="148"/>
        <v>#N/A</v>
      </c>
      <c r="AU396" s="292" t="e">
        <f t="shared" si="149"/>
        <v>#N/A</v>
      </c>
    </row>
    <row r="397" spans="1:47" ht="15" customHeight="1">
      <c r="A397" s="601" t="str">
        <f>Kat.!$B$1&amp;Kat.!B395</f>
        <v>Batterien 36 schuss, 30mm Mörser-1.3G</v>
      </c>
      <c r="B397" s="601">
        <f t="shared" si="135"/>
        <v>0</v>
      </c>
      <c r="C397" s="620"/>
      <c r="D397" s="235"/>
      <c r="E397" s="604"/>
      <c r="F397" s="605"/>
      <c r="G397" s="606"/>
      <c r="H397" s="607"/>
      <c r="I397" s="636"/>
      <c r="J397" s="609"/>
      <c r="K397" s="708"/>
      <c r="L397" s="623"/>
      <c r="M397" s="609"/>
      <c r="N397" s="612"/>
      <c r="O397" s="608"/>
      <c r="P397" s="608"/>
      <c r="Q397" s="609"/>
      <c r="R397" s="609"/>
      <c r="S397" s="609"/>
      <c r="T397" s="609"/>
      <c r="U397" s="613"/>
      <c r="V397" s="613"/>
      <c r="W397" s="601" t="str">
        <f>IFERROR(VLOOKUP('General price list'!$C397,Popisy!A:P,MATCH($W$17,Popisy!$A$7:$P$7,0),FALSE),"---------------")</f>
        <v>---------------</v>
      </c>
      <c r="X397" s="601" t="str">
        <f t="shared" ref="X397:X399" si="162">IF(AA397&lt;0.0001,"",AA397)</f>
        <v/>
      </c>
      <c r="Y397" s="770">
        <f>IF(OR(AP397&lt;AA397,AND(NOT(OR(LEFT(AB397,3)="SKL",LEFT(AB397,3)=LEFT($V$2,3))),AA397&gt;0),AND('Deutsche Markt'!$AH$1=FALSE,J397="F4",AA397&gt;0)),"",AA397)</f>
        <v>0</v>
      </c>
      <c r="Z397" s="601"/>
      <c r="AA397" s="771">
        <f>'Deutsche Markt'!AA397</f>
        <v>0</v>
      </c>
      <c r="AB397" s="614" t="str">
        <f>IFERROR(IF(VLOOKUP(C397,[1]List1!$A:$D,2,FALSE)="VYPRODÁNO",$V$9,IF(VLOOKUP(C397,[1]List1!$A:$D,2,FALSE)="DOCHÁZÍ",$V$3,VLOOKUP(C397,[1]List1!$A:$D,2,FALSE))),"OFFLINE!")</f>
        <v>OFFLINE!</v>
      </c>
      <c r="AC397" s="614" t="str">
        <f ca="1">IF(AO397="NE",$V$10,IF(AB397=$V$3,IF(AP397&lt;1,$V$8,$V$2&amp;" "&amp;AP397&amp;" "&amp;$V$1),IF(AB397="SKLADEM",$V$6,IFERROR(IF(OR(AB397-TODAY()&gt;21,VLOOKUP(C397,[1]List1!$A:$E,4,FALSE)=0),AB397,DAY(AB397)&amp;"."&amp;MONTH(AB397)&amp;"."&amp;YEAR(AB397)&amp;" "&amp;$V$4&amp;VLOOKUP(C397,[1]List1!$A:$E,4,FALSE)&amp;" "&amp;$V$1),AB397))))</f>
        <v>OFFLINE!</v>
      </c>
      <c r="AD397" s="614" t="str">
        <f t="shared" ref="AD397:AD399" ca="1" si="163">IFERROR(IF(AU397&lt;&gt;"",AU397,AC397),AC397)</f>
        <v>OFFLINE!</v>
      </c>
      <c r="AE397" s="605"/>
      <c r="AF397" s="605"/>
      <c r="AG397" s="615"/>
      <c r="AH397" s="616"/>
      <c r="AI397" s="615"/>
      <c r="AJ397" s="617"/>
      <c r="AK397" s="617"/>
      <c r="AL397" s="617"/>
      <c r="AM397" s="617"/>
      <c r="AO397" s="567" t="str">
        <f t="shared" si="144"/>
        <v/>
      </c>
      <c r="AP397" s="568" t="str">
        <f>IF(AB397=$V$3,IF(VLOOKUP(C397,[1]List1!$A:$E,5,FALSE)=0,1,VLOOKUP(C397,[1]List1!$A:$E,5,FALSE)),"")</f>
        <v/>
      </c>
      <c r="AQ397" s="292" t="str">
        <f t="shared" si="145"/>
        <v/>
      </c>
      <c r="AR397" s="618" t="str">
        <f t="shared" si="146"/>
        <v/>
      </c>
      <c r="AS397" s="292" t="str">
        <f t="shared" si="147"/>
        <v/>
      </c>
      <c r="AT397" s="377" t="e">
        <f t="shared" si="148"/>
        <v>#N/A</v>
      </c>
      <c r="AU397" s="292" t="e">
        <f t="shared" si="149"/>
        <v>#N/A</v>
      </c>
    </row>
    <row r="398" spans="1:47" ht="15" customHeight="1">
      <c r="A398" s="601" t="str">
        <f>Kat.!B396</f>
        <v/>
      </c>
      <c r="B398" s="601">
        <f t="shared" si="135"/>
        <v>1</v>
      </c>
      <c r="C398" s="775" t="s">
        <v>1426</v>
      </c>
      <c r="D398" s="776"/>
      <c r="E398" s="760"/>
      <c r="F398" s="761"/>
      <c r="G398" s="762"/>
      <c r="H398" s="596"/>
      <c r="I398" s="797"/>
      <c r="J398" s="764"/>
      <c r="K398" s="765"/>
      <c r="L398" s="766"/>
      <c r="M398" s="764"/>
      <c r="N398" s="767"/>
      <c r="O398" s="763"/>
      <c r="P398" s="763"/>
      <c r="Q398" s="764"/>
      <c r="R398" s="764"/>
      <c r="S398" s="764"/>
      <c r="T398" s="764"/>
      <c r="U398" s="768"/>
      <c r="V398" s="768"/>
      <c r="W398" s="769" t="str">
        <f>IFERROR(VLOOKUP('General price list'!$C398,Popisy!A:P,MATCH($W$17,Popisy!$A$7:$P$7,0),FALSE),"---------------")</f>
        <v>5 verschiedenfarbige Effekte</v>
      </c>
      <c r="X398" s="769" t="str">
        <f t="shared" si="162"/>
        <v/>
      </c>
      <c r="Y398" s="770">
        <f>IF(OR(AP398&lt;AA398,AND(NOT(OR(LEFT(AB398,3)="SKL",LEFT(AB398,3)=LEFT($V$2,3))),AA398&gt;0),AND('Deutsche Markt'!$AH$1=FALSE,J398="F4",AA398&gt;0)),"",AA398)</f>
        <v>0</v>
      </c>
      <c r="Z398" s="769"/>
      <c r="AA398" s="771">
        <f>'Deutsche Markt'!AA398</f>
        <v>0</v>
      </c>
      <c r="AB398" s="772" t="str">
        <f>IFERROR(IF(VLOOKUP(C398,[1]List1!$A:$D,2,FALSE)="VYPRODÁNO",$V$9,IF(VLOOKUP(C398,[1]List1!$A:$D,2,FALSE)="DOCHÁZÍ",$V$3,VLOOKUP(C398,[1]List1!$A:$D,2,FALSE))),"OFFLINE!")</f>
        <v>SKLADEM</v>
      </c>
      <c r="AC398" s="772" t="str">
        <f ca="1">IF(AO398="NE",$V$10,IF(AB398=$V$3,IF(AP398&lt;1,$V$8,$V$2&amp;" "&amp;AP398&amp;" "&amp;$V$1),IF(AB398="SKLADEM",$V$6,IFERROR(IF(OR(AB398-TODAY()&gt;21,VLOOKUP(C398,[1]List1!$A:$E,4,FALSE)=0),AB398,DAY(AB398)&amp;"."&amp;MONTH(AB398)&amp;"."&amp;YEAR(AB398)&amp;" "&amp;$V$4&amp;VLOOKUP(C398,[1]List1!$A:$E,4,FALSE)&amp;" "&amp;$V$1),AB398))))</f>
        <v>AUF LAGER</v>
      </c>
      <c r="AD398" s="772" t="str">
        <f t="shared" ca="1" si="163"/>
        <v>AUF LAGER</v>
      </c>
      <c r="AE398" s="605"/>
      <c r="AF398" s="605"/>
      <c r="AG398" s="615"/>
      <c r="AH398" s="616"/>
      <c r="AI398" s="615"/>
      <c r="AJ398" s="617"/>
      <c r="AK398" s="617"/>
      <c r="AL398" s="617"/>
      <c r="AM398" s="617"/>
      <c r="AN398" s="292"/>
      <c r="AO398" s="567" t="str">
        <f t="shared" si="144"/>
        <v/>
      </c>
      <c r="AP398" s="568" t="str">
        <f>IF(AB398=$V$3,IF(VLOOKUP(C398,[1]List1!$A:$E,5,FALSE)=0,1,VLOOKUP(C398,[1]List1!$A:$E,5,FALSE)),"")</f>
        <v/>
      </c>
      <c r="AQ398" s="292" t="str">
        <f t="shared" si="145"/>
        <v/>
      </c>
      <c r="AR398" s="618" t="str">
        <f t="shared" si="146"/>
        <v/>
      </c>
      <c r="AS398" s="292" t="str">
        <f t="shared" si="147"/>
        <v/>
      </c>
      <c r="AT398" s="377" t="e">
        <f t="shared" si="148"/>
        <v>#N/A</v>
      </c>
      <c r="AU398" s="292" t="e">
        <f t="shared" si="149"/>
        <v>#N/A</v>
      </c>
    </row>
    <row r="399" spans="1:47" ht="15" customHeight="1">
      <c r="A399" s="601" t="str">
        <f>Kat.!B397</f>
        <v>Batterien 50 schuss, 30mm Mörser-1.3G</v>
      </c>
      <c r="B399" s="601">
        <f t="shared" si="135"/>
        <v>1</v>
      </c>
      <c r="C399" s="783" t="s">
        <v>1428</v>
      </c>
      <c r="D399" s="776"/>
      <c r="E399" s="760"/>
      <c r="F399" s="761"/>
      <c r="G399" s="762"/>
      <c r="H399" s="596"/>
      <c r="I399" s="763"/>
      <c r="J399" s="764"/>
      <c r="K399" s="773"/>
      <c r="L399" s="766"/>
      <c r="M399" s="764"/>
      <c r="N399" s="767"/>
      <c r="O399" s="763"/>
      <c r="P399" s="763"/>
      <c r="Q399" s="764"/>
      <c r="R399" s="764"/>
      <c r="S399" s="764"/>
      <c r="T399" s="764"/>
      <c r="U399" s="768"/>
      <c r="V399" s="768"/>
      <c r="W399" s="769" t="str">
        <f>IFERROR(VLOOKUP('General price list'!$C399,Popisy!A:P,MATCH($W$17,Popisy!$A$7:$P$7,0),FALSE),"---------------")</f>
        <v>5 verschiedenfarbige Effekte</v>
      </c>
      <c r="X399" s="769" t="str">
        <f t="shared" si="162"/>
        <v/>
      </c>
      <c r="Y399" s="770">
        <f>IF(OR(AP399&lt;AA399,AND(NOT(OR(LEFT(AB399,3)="SKL",LEFT(AB399,3)=LEFT($V$2,3))),AA399&gt;0),AND('Deutsche Markt'!$AH$1=FALSE,J399="F4",AA399&gt;0)),"",AA399)</f>
        <v>0</v>
      </c>
      <c r="Z399" s="769"/>
      <c r="AA399" s="771">
        <f>'Deutsche Markt'!AA399</f>
        <v>0</v>
      </c>
      <c r="AB399" s="772" t="str">
        <f>IFERROR(IF(VLOOKUP(C399,[1]List1!$A:$D,2,FALSE)="VYPRODÁNO",$V$9,IF(VLOOKUP(C399,[1]List1!$A:$D,2,FALSE)="DOCHÁZÍ",$V$3,VLOOKUP(C399,[1]List1!$A:$D,2,FALSE))),"OFFLINE!")</f>
        <v>30.09.2024</v>
      </c>
      <c r="AC399" s="772" t="str">
        <f ca="1">IF(AO399="NE",$V$10,IF(AB399=$V$3,IF(AP399&lt;1,$V$8,$V$2&amp;" "&amp;AP399&amp;" "&amp;$V$1),IF(AB399="SKLADEM",$V$6,IFERROR(IF(OR(AB399-TODAY()&gt;21,VLOOKUP(C399,[1]List1!$A:$E,4,FALSE)=0),AB399,DAY(AB399)&amp;"."&amp;MONTH(AB399)&amp;"."&amp;YEAR(AB399)&amp;" "&amp;$V$4&amp;VLOOKUP(C399,[1]List1!$A:$E,4,FALSE)&amp;" "&amp;$V$1),AB399))))</f>
        <v>30.09.2024</v>
      </c>
      <c r="AD399" s="772" t="str">
        <f t="shared" ca="1" si="163"/>
        <v>30.09.2024</v>
      </c>
      <c r="AE399" s="605"/>
      <c r="AF399" s="605"/>
      <c r="AG399" s="615"/>
      <c r="AH399" s="616"/>
      <c r="AI399" s="615"/>
      <c r="AJ399" s="617"/>
      <c r="AK399" s="617"/>
      <c r="AL399" s="617"/>
      <c r="AM399" s="617"/>
      <c r="AN399" s="292"/>
      <c r="AO399" s="567" t="str">
        <f t="shared" si="144"/>
        <v/>
      </c>
      <c r="AP399" s="568" t="str">
        <f>IF(AB399=$V$3,IF(VLOOKUP(C399,[1]List1!$A:$E,5,FALSE)=0,1,VLOOKUP(C399,[1]List1!$A:$E,5,FALSE)),"")</f>
        <v/>
      </c>
      <c r="AQ399" s="292" t="str">
        <f t="shared" si="145"/>
        <v/>
      </c>
      <c r="AR399" s="618" t="str">
        <f t="shared" si="146"/>
        <v/>
      </c>
      <c r="AS399" s="292" t="str">
        <f t="shared" si="147"/>
        <v/>
      </c>
      <c r="AT399" s="377" t="e">
        <f t="shared" si="148"/>
        <v>#N/A</v>
      </c>
      <c r="AU399" s="292" t="e">
        <f t="shared" si="149"/>
        <v>#N/A</v>
      </c>
    </row>
    <row r="400" spans="1:47" ht="15" customHeight="1">
      <c r="A400" s="601" t="str">
        <f>Kat.!B398</f>
        <v/>
      </c>
      <c r="B400" s="601">
        <f t="shared" si="135"/>
        <v>1</v>
      </c>
      <c r="C400" s="775" t="s">
        <v>1430</v>
      </c>
      <c r="D400" s="776"/>
      <c r="E400" s="760"/>
      <c r="F400" s="761"/>
      <c r="G400" s="762"/>
      <c r="H400" s="596"/>
      <c r="I400" s="797"/>
      <c r="J400" s="764"/>
      <c r="K400" s="765"/>
      <c r="L400" s="766"/>
      <c r="M400" s="764"/>
      <c r="N400" s="767"/>
      <c r="O400" s="763"/>
      <c r="P400" s="763"/>
      <c r="Q400" s="764"/>
      <c r="R400" s="764"/>
      <c r="S400" s="764"/>
      <c r="T400" s="764"/>
      <c r="U400" s="768"/>
      <c r="V400" s="768"/>
      <c r="W400" s="769"/>
      <c r="X400" s="769"/>
      <c r="Y400" s="770">
        <f>IF(OR(AP400&lt;AA400,AND(NOT(OR(LEFT(AB400,3)="SKL",LEFT(AB400,3)=LEFT($V$2,3))),AA400&gt;0),AND('Deutsche Markt'!$AH$1=FALSE,J400="F4",AA400&gt;0)),"",AA400)</f>
        <v>0</v>
      </c>
      <c r="Z400" s="769"/>
      <c r="AA400" s="771">
        <f>'Deutsche Markt'!AA400</f>
        <v>0</v>
      </c>
      <c r="AB400" s="772"/>
      <c r="AC400" s="772"/>
      <c r="AD400" s="772"/>
      <c r="AE400" s="605"/>
      <c r="AF400" s="605"/>
      <c r="AG400" s="615"/>
      <c r="AH400" s="616"/>
      <c r="AI400" s="615"/>
      <c r="AJ400" s="617"/>
      <c r="AK400" s="617"/>
      <c r="AL400" s="617"/>
      <c r="AM400" s="617"/>
      <c r="AN400" s="292"/>
      <c r="AO400" s="567" t="str">
        <f t="shared" si="144"/>
        <v/>
      </c>
      <c r="AP400" s="568" t="str">
        <f>IF(AB400=$V$3,IF(VLOOKUP(C400,[1]List1!$A:$E,5,FALSE)=0,1,VLOOKUP(C400,[1]List1!$A:$E,5,FALSE)),"")</f>
        <v/>
      </c>
      <c r="AQ400" s="292" t="str">
        <f t="shared" si="145"/>
        <v/>
      </c>
      <c r="AR400" s="618" t="str">
        <f t="shared" si="146"/>
        <v/>
      </c>
      <c r="AS400" s="292" t="str">
        <f t="shared" si="147"/>
        <v/>
      </c>
      <c r="AT400" s="377" t="e">
        <f t="shared" si="148"/>
        <v>#N/A</v>
      </c>
      <c r="AU400" s="292" t="e">
        <f t="shared" si="149"/>
        <v>#N/A</v>
      </c>
    </row>
    <row r="401" spans="1:47" ht="15" customHeight="1">
      <c r="A401" s="601" t="str">
        <f>Kat.!B399</f>
        <v/>
      </c>
      <c r="B401" s="601">
        <f t="shared" si="135"/>
        <v>0</v>
      </c>
      <c r="C401" s="775"/>
      <c r="D401" s="776"/>
      <c r="E401" s="760"/>
      <c r="F401" s="761"/>
      <c r="G401" s="762"/>
      <c r="H401" s="596"/>
      <c r="I401" s="763"/>
      <c r="J401" s="764"/>
      <c r="K401" s="773"/>
      <c r="L401" s="766"/>
      <c r="M401" s="764"/>
      <c r="N401" s="777"/>
      <c r="O401" s="763"/>
      <c r="P401" s="763"/>
      <c r="Q401" s="764"/>
      <c r="R401" s="764"/>
      <c r="S401" s="764"/>
      <c r="T401" s="764"/>
      <c r="U401" s="768"/>
      <c r="V401" s="768"/>
      <c r="W401" s="769" t="str">
        <f>IFERROR(VLOOKUP('General price list'!$C401,Popisy!A:P,MATCH($W$17,Popisy!$A$7:$P$7,0),FALSE),"---------------")</f>
        <v>---------------</v>
      </c>
      <c r="X401" s="769" t="str">
        <f t="shared" ref="X401:X418" si="164">IF(AA401&lt;0.0001,"",AA401)</f>
        <v/>
      </c>
      <c r="Y401" s="770">
        <f>IF(OR(AP401&lt;AA401,AND(NOT(OR(LEFT(AB401,3)="SKL",LEFT(AB401,3)=LEFT($V$2,3))),AA401&gt;0),AND('Deutsche Markt'!$AH$1=FALSE,J401="F4",AA401&gt;0)),"",AA401)</f>
        <v>0</v>
      </c>
      <c r="Z401" s="769"/>
      <c r="AA401" s="771">
        <f>'Deutsche Markt'!AA401</f>
        <v>0</v>
      </c>
      <c r="AB401" s="772" t="str">
        <f>IFERROR(IF(VLOOKUP(C401,[1]List1!$A:$D,2,FALSE)="VYPRODÁNO",$V$9,IF(VLOOKUP(C401,[1]List1!$A:$D,2,FALSE)="DOCHÁZÍ",$V$3,VLOOKUP(C401,[1]List1!$A:$D,2,FALSE))),"OFFLINE!")</f>
        <v>OFFLINE!</v>
      </c>
      <c r="AC401" s="772" t="str">
        <f ca="1">IF(AO401="NE",$V$10,IF(AB401=$V$3,IF(AP401&lt;1,$V$8,$V$2&amp;" "&amp;AP401&amp;" "&amp;$V$1),IF(AB401="SKLADEM",$V$6,IFERROR(IF(OR(AB401-TODAY()&gt;21,VLOOKUP(C401,[1]List1!$A:$E,4,FALSE)=0),AB401,DAY(AB401)&amp;"."&amp;MONTH(AB401)&amp;"."&amp;YEAR(AB401)&amp;" "&amp;$V$4&amp;VLOOKUP(C401,[1]List1!$A:$E,4,FALSE)&amp;" "&amp;$V$1),AB401))))</f>
        <v>OFFLINE!</v>
      </c>
      <c r="AD401" s="772" t="str">
        <f t="shared" ref="AD401:AD418" ca="1" si="165">IFERROR(IF(AU401&lt;&gt;"",AU401,AC401),AC401)</f>
        <v>OFFLINE!</v>
      </c>
      <c r="AE401" s="605"/>
      <c r="AF401" s="605"/>
      <c r="AG401" s="615"/>
      <c r="AH401" s="616"/>
      <c r="AI401" s="615"/>
      <c r="AJ401" s="617"/>
      <c r="AK401" s="617"/>
      <c r="AL401" s="617"/>
      <c r="AM401" s="617"/>
      <c r="AN401" s="292"/>
      <c r="AO401" s="567" t="str">
        <f t="shared" si="144"/>
        <v/>
      </c>
      <c r="AP401" s="568" t="str">
        <f>IF(AB401=$V$3,IF(VLOOKUP(C401,[1]List1!$A:$E,5,FALSE)=0,1,VLOOKUP(C401,[1]List1!$A:$E,5,FALSE)),"")</f>
        <v/>
      </c>
      <c r="AQ401" s="292" t="str">
        <f t="shared" si="145"/>
        <v/>
      </c>
      <c r="AR401" s="618" t="str">
        <f t="shared" si="146"/>
        <v/>
      </c>
      <c r="AS401" s="292" t="str">
        <f t="shared" si="147"/>
        <v/>
      </c>
      <c r="AT401" s="377" t="e">
        <f t="shared" si="148"/>
        <v>#N/A</v>
      </c>
      <c r="AU401" s="292" t="e">
        <f t="shared" si="149"/>
        <v>#N/A</v>
      </c>
    </row>
    <row r="402" spans="1:47" ht="15" customHeight="1">
      <c r="A402" s="601" t="str">
        <f>Kat.!$B$1&amp;Kat.!B400</f>
        <v>x</v>
      </c>
      <c r="B402" s="601">
        <f t="shared" si="135"/>
        <v>1</v>
      </c>
      <c r="C402" s="620" t="s">
        <v>1433</v>
      </c>
      <c r="D402" s="163"/>
      <c r="E402" s="604"/>
      <c r="F402" s="605"/>
      <c r="G402" s="606"/>
      <c r="H402" s="607"/>
      <c r="I402" s="636"/>
      <c r="J402" s="609"/>
      <c r="K402" s="708"/>
      <c r="L402" s="623"/>
      <c r="M402" s="609"/>
      <c r="N402" s="612"/>
      <c r="O402" s="608"/>
      <c r="P402" s="608"/>
      <c r="Q402" s="609"/>
      <c r="R402" s="609"/>
      <c r="S402" s="609"/>
      <c r="T402" s="609"/>
      <c r="U402" s="613"/>
      <c r="V402" s="613"/>
      <c r="W402" s="601" t="str">
        <f>IFERROR(VLOOKUP('General price list'!$C402,Popisy!A:P,MATCH($W$17,Popisy!$A$7:$P$7,0),FALSE),"---------------")</f>
        <v>8 verschiedenfarbige Effekte</v>
      </c>
      <c r="X402" s="601" t="str">
        <f t="shared" si="164"/>
        <v/>
      </c>
      <c r="Y402" s="770">
        <f>IF(OR(AP402&lt;AA402,AND(NOT(OR(LEFT(AB402,3)="SKL",LEFT(AB402,3)=LEFT($V$2,3))),AA402&gt;0),AND('Deutsche Markt'!$AH$1=FALSE,J402="F4",AA402&gt;0)),"",AA402)</f>
        <v>0</v>
      </c>
      <c r="Z402" s="601"/>
      <c r="AA402" s="771">
        <f>'Deutsche Markt'!AA402</f>
        <v>0</v>
      </c>
      <c r="AB402" s="614" t="str">
        <f>IFERROR(IF(VLOOKUP(C402,[1]List1!$A:$D,2,FALSE)="VYPRODÁNO",$V$9,IF(VLOOKUP(C402,[1]List1!$A:$D,2,FALSE)="DOCHÁZÍ",$V$3,VLOOKUP(C402,[1]List1!$A:$D,2,FALSE))),"OFFLINE!")</f>
        <v>SKLADEM</v>
      </c>
      <c r="AC402" s="614" t="str">
        <f ca="1">IF(AO402="NE",$V$10,IF(AB402=$V$3,IF(AP402&lt;1,$V$8,$V$2&amp;" "&amp;AP402&amp;" "&amp;$V$1),IF(AB402="SKLADEM",$V$6,IFERROR(IF(OR(AB402-TODAY()&gt;21,VLOOKUP(C402,[1]List1!$A:$E,4,FALSE)=0),AB402,DAY(AB402)&amp;"."&amp;MONTH(AB402)&amp;"."&amp;YEAR(AB402)&amp;" "&amp;$V$4&amp;VLOOKUP(C402,[1]List1!$A:$E,4,FALSE)&amp;" "&amp;$V$1),AB402))))</f>
        <v>AUF LAGER</v>
      </c>
      <c r="AD402" s="614" t="str">
        <f t="shared" ca="1" si="165"/>
        <v>AUF LAGER</v>
      </c>
      <c r="AE402" s="605"/>
      <c r="AF402" s="605"/>
      <c r="AG402" s="615"/>
      <c r="AH402" s="616"/>
      <c r="AI402" s="615"/>
      <c r="AJ402" s="617"/>
      <c r="AK402" s="617"/>
      <c r="AL402" s="617"/>
      <c r="AM402" s="617"/>
      <c r="AN402" s="292"/>
      <c r="AO402" s="567" t="str">
        <f t="shared" si="144"/>
        <v/>
      </c>
      <c r="AP402" s="568" t="str">
        <f>IF(AB402=$V$3,IF(VLOOKUP(C402,[1]List1!$A:$E,5,FALSE)=0,1,VLOOKUP(C402,[1]List1!$A:$E,5,FALSE)),"")</f>
        <v/>
      </c>
      <c r="AQ402" s="292" t="str">
        <f t="shared" si="145"/>
        <v/>
      </c>
      <c r="AR402" s="618" t="str">
        <f t="shared" si="146"/>
        <v/>
      </c>
      <c r="AS402" s="292" t="str">
        <f t="shared" si="147"/>
        <v/>
      </c>
      <c r="AT402" s="377" t="e">
        <f t="shared" si="148"/>
        <v>#N/A</v>
      </c>
      <c r="AU402" s="292" t="e">
        <f t="shared" si="149"/>
        <v>#N/A</v>
      </c>
    </row>
    <row r="403" spans="1:47" ht="15" customHeight="1">
      <c r="A403" s="601" t="str">
        <f>Kat.!B401</f>
        <v>Batterien 64 schuss, 30mm Mörser-1.3G</v>
      </c>
      <c r="B403" s="601">
        <f t="shared" si="135"/>
        <v>1</v>
      </c>
      <c r="C403" s="775" t="s">
        <v>1439</v>
      </c>
      <c r="D403" s="776"/>
      <c r="E403" s="760"/>
      <c r="F403" s="761"/>
      <c r="G403" s="762"/>
      <c r="H403" s="596"/>
      <c r="I403" s="797"/>
      <c r="J403" s="764"/>
      <c r="K403" s="781"/>
      <c r="L403" s="766"/>
      <c r="M403" s="764"/>
      <c r="N403" s="767"/>
      <c r="O403" s="763"/>
      <c r="P403" s="763"/>
      <c r="Q403" s="764"/>
      <c r="R403" s="764"/>
      <c r="S403" s="764"/>
      <c r="T403" s="764"/>
      <c r="U403" s="768"/>
      <c r="V403" s="768"/>
      <c r="W403" s="769" t="str">
        <f>IFERROR(VLOOKUP('General price list'!$C403,Popisy!A:P,MATCH($W$17,Popisy!$A$7:$P$7,0),FALSE),"---------------")</f>
        <v>8 verschiedenfarbige Effekte</v>
      </c>
      <c r="X403" s="769" t="str">
        <f t="shared" si="164"/>
        <v/>
      </c>
      <c r="Y403" s="770">
        <f>IF(OR(AP403&lt;AA403,AND(NOT(OR(LEFT(AB403,3)="SKL",LEFT(AB403,3)=LEFT($V$2,3))),AA403&gt;0),AND('Deutsche Markt'!$AH$1=FALSE,J403="F4",AA403&gt;0)),"",AA403)</f>
        <v>0</v>
      </c>
      <c r="Z403" s="769"/>
      <c r="AA403" s="771">
        <f>'Deutsche Markt'!AA403</f>
        <v>0</v>
      </c>
      <c r="AB403" s="772" t="str">
        <f>IFERROR(IF(VLOOKUP(C403,[1]List1!$A:$D,2,FALSE)="VYPRODÁNO",$V$9,IF(VLOOKUP(C403,[1]List1!$A:$D,2,FALSE)="DOCHÁZÍ",$V$3,VLOOKUP(C403,[1]List1!$A:$D,2,FALSE))),"OFFLINE!")</f>
        <v>SKLADEM</v>
      </c>
      <c r="AC403" s="772" t="str">
        <f ca="1">IF(AO403="NE",$V$10,IF(AB403=$V$3,IF(AP403&lt;1,$V$8,$V$2&amp;" "&amp;AP403&amp;" "&amp;$V$1),IF(AB403="SKLADEM",$V$6,IFERROR(IF(OR(AB403-TODAY()&gt;21,VLOOKUP(C403,[1]List1!$A:$E,4,FALSE)=0),AB403,DAY(AB403)&amp;"."&amp;MONTH(AB403)&amp;"."&amp;YEAR(AB403)&amp;" "&amp;$V$4&amp;VLOOKUP(C403,[1]List1!$A:$E,4,FALSE)&amp;" "&amp;$V$1),AB403))))</f>
        <v>AUF LAGER</v>
      </c>
      <c r="AD403" s="772" t="str">
        <f t="shared" ca="1" si="165"/>
        <v>AUF LAGER</v>
      </c>
      <c r="AE403" s="605"/>
      <c r="AF403" s="605"/>
      <c r="AG403" s="615"/>
      <c r="AH403" s="616"/>
      <c r="AI403" s="615"/>
      <c r="AJ403" s="617"/>
      <c r="AK403" s="617"/>
      <c r="AL403" s="617"/>
      <c r="AM403" s="617"/>
      <c r="AN403" s="292"/>
      <c r="AO403" s="567" t="str">
        <f t="shared" si="144"/>
        <v/>
      </c>
      <c r="AP403" s="568" t="str">
        <f>IF(AB403=$V$3,IF(VLOOKUP(C403,[1]List1!$A:$E,5,FALSE)=0,1,VLOOKUP(C403,[1]List1!$A:$E,5,FALSE)),"")</f>
        <v/>
      </c>
      <c r="AQ403" s="292" t="str">
        <f t="shared" si="145"/>
        <v/>
      </c>
      <c r="AR403" s="618" t="str">
        <f t="shared" si="146"/>
        <v/>
      </c>
      <c r="AS403" s="292" t="str">
        <f t="shared" si="147"/>
        <v/>
      </c>
      <c r="AT403" s="377" t="e">
        <f t="shared" si="148"/>
        <v>#N/A</v>
      </c>
      <c r="AU403" s="292" t="e">
        <f t="shared" si="149"/>
        <v>#N/A</v>
      </c>
    </row>
    <row r="404" spans="1:47" ht="15" customHeight="1">
      <c r="A404" s="601" t="str">
        <f>Kat.!B402</f>
        <v/>
      </c>
      <c r="B404" s="601">
        <f t="shared" si="135"/>
        <v>1</v>
      </c>
      <c r="C404" s="775" t="s">
        <v>1440</v>
      </c>
      <c r="D404" s="776"/>
      <c r="E404" s="760"/>
      <c r="F404" s="761"/>
      <c r="G404" s="762"/>
      <c r="H404" s="596"/>
      <c r="I404" s="797"/>
      <c r="J404" s="764"/>
      <c r="K404" s="774"/>
      <c r="L404" s="766"/>
      <c r="M404" s="764"/>
      <c r="N404" s="767"/>
      <c r="O404" s="763"/>
      <c r="P404" s="763"/>
      <c r="Q404" s="764"/>
      <c r="R404" s="764"/>
      <c r="S404" s="764"/>
      <c r="T404" s="764"/>
      <c r="U404" s="768"/>
      <c r="V404" s="768"/>
      <c r="W404" s="769" t="str">
        <f>IFERROR(VLOOKUP('General price list'!$C404,Popisy!A:P,MATCH($W$17,Popisy!$A$7:$P$7,0),FALSE),"---------------")</f>
        <v>8 verschiedenfarbige wechselnde Effekte nach jedem schuss</v>
      </c>
      <c r="X404" s="769" t="str">
        <f t="shared" si="164"/>
        <v/>
      </c>
      <c r="Y404" s="770">
        <f>IF(OR(AP404&lt;AA404,AND(NOT(OR(LEFT(AB404,3)="SKL",LEFT(AB404,3)=LEFT($V$2,3))),AA404&gt;0),AND('Deutsche Markt'!$AH$1=FALSE,J404="F4",AA404&gt;0)),"",AA404)</f>
        <v>0</v>
      </c>
      <c r="Z404" s="769"/>
      <c r="AA404" s="771">
        <f>'Deutsche Markt'!AA404</f>
        <v>0</v>
      </c>
      <c r="AB404" s="772" t="str">
        <f>IFERROR(IF(VLOOKUP(C404,[1]List1!$A:$D,2,FALSE)="VYPRODÁNO",$V$9,IF(VLOOKUP(C404,[1]List1!$A:$D,2,FALSE)="DOCHÁZÍ",$V$3,VLOOKUP(C404,[1]List1!$A:$D,2,FALSE))),"OFFLINE!")</f>
        <v>SKLADEM</v>
      </c>
      <c r="AC404" s="772" t="str">
        <f ca="1">IF(AO404="NE",$V$10,IF(AB404=$V$3,IF(AP404&lt;1,$V$8,$V$2&amp;" "&amp;AP404&amp;" "&amp;$V$1),IF(AB404="SKLADEM",$V$6,IFERROR(IF(OR(AB404-TODAY()&gt;21,VLOOKUP(C404,[1]List1!$A:$E,4,FALSE)=0),AB404,DAY(AB404)&amp;"."&amp;MONTH(AB404)&amp;"."&amp;YEAR(AB404)&amp;" "&amp;$V$4&amp;VLOOKUP(C404,[1]List1!$A:$E,4,FALSE)&amp;" "&amp;$V$1),AB404))))</f>
        <v>AUF LAGER</v>
      </c>
      <c r="AD404" s="772" t="str">
        <f t="shared" ca="1" si="165"/>
        <v>AUF LAGER</v>
      </c>
      <c r="AE404" s="605"/>
      <c r="AF404" s="605"/>
      <c r="AG404" s="615"/>
      <c r="AH404" s="616"/>
      <c r="AI404" s="615"/>
      <c r="AJ404" s="617"/>
      <c r="AK404" s="617"/>
      <c r="AL404" s="617"/>
      <c r="AM404" s="617"/>
      <c r="AN404" s="292"/>
      <c r="AO404" s="567" t="str">
        <f t="shared" si="144"/>
        <v/>
      </c>
      <c r="AP404" s="568" t="str">
        <f>IF(AB404=$V$3,IF(VLOOKUP(C404,[1]List1!$A:$E,5,FALSE)=0,1,VLOOKUP(C404,[1]List1!$A:$E,5,FALSE)),"")</f>
        <v/>
      </c>
      <c r="AQ404" s="292" t="str">
        <f t="shared" si="145"/>
        <v/>
      </c>
      <c r="AR404" s="618" t="str">
        <f t="shared" si="146"/>
        <v/>
      </c>
      <c r="AS404" s="292" t="str">
        <f t="shared" si="147"/>
        <v/>
      </c>
      <c r="AT404" s="377" t="e">
        <f t="shared" si="148"/>
        <v>#N/A</v>
      </c>
      <c r="AU404" s="292" t="e">
        <f t="shared" si="149"/>
        <v>#N/A</v>
      </c>
    </row>
    <row r="405" spans="1:47" ht="15" customHeight="1">
      <c r="A405" s="601" t="str">
        <f>Kat.!B403</f>
        <v/>
      </c>
      <c r="B405" s="601">
        <f t="shared" si="135"/>
        <v>0</v>
      </c>
      <c r="C405" s="775"/>
      <c r="D405" s="776"/>
      <c r="E405" s="760"/>
      <c r="F405" s="761"/>
      <c r="G405" s="762"/>
      <c r="H405" s="596"/>
      <c r="I405" s="797"/>
      <c r="J405" s="764"/>
      <c r="K405" s="781"/>
      <c r="L405" s="766"/>
      <c r="M405" s="764"/>
      <c r="N405" s="767"/>
      <c r="O405" s="763"/>
      <c r="P405" s="763"/>
      <c r="Q405" s="764"/>
      <c r="R405" s="764"/>
      <c r="S405" s="764"/>
      <c r="T405" s="764"/>
      <c r="U405" s="768"/>
      <c r="V405" s="768"/>
      <c r="W405" s="769" t="str">
        <f>IFERROR(VLOOKUP('General price list'!$C405,Popisy!A:P,MATCH($W$17,Popisy!$A$7:$P$7,0),FALSE),"---------------")</f>
        <v>---------------</v>
      </c>
      <c r="X405" s="769" t="str">
        <f t="shared" si="164"/>
        <v/>
      </c>
      <c r="Y405" s="770">
        <f>IF(OR(AP405&lt;AA405,AND(NOT(OR(LEFT(AB405,3)="SKL",LEFT(AB405,3)=LEFT($V$2,3))),AA405&gt;0),AND('Deutsche Markt'!$AH$1=FALSE,J405="F4",AA405&gt;0)),"",AA405)</f>
        <v>0</v>
      </c>
      <c r="Z405" s="769"/>
      <c r="AA405" s="771">
        <f>'Deutsche Markt'!AA405</f>
        <v>0</v>
      </c>
      <c r="AB405" s="772" t="str">
        <f>IFERROR(IF(VLOOKUP(C405,[1]List1!$A:$D,2,FALSE)="VYPRODÁNO",$V$9,IF(VLOOKUP(C405,[1]List1!$A:$D,2,FALSE)="DOCHÁZÍ",$V$3,VLOOKUP(C405,[1]List1!$A:$D,2,FALSE))),"OFFLINE!")</f>
        <v>OFFLINE!</v>
      </c>
      <c r="AC405" s="772" t="str">
        <f ca="1">IF(AO405="NE",$V$10,IF(AB405=$V$3,IF(AP405&lt;1,$V$8,$V$2&amp;" "&amp;AP405&amp;" "&amp;$V$1),IF(AB405="SKLADEM",$V$6,IFERROR(IF(OR(AB405-TODAY()&gt;21,VLOOKUP(C405,[1]List1!$A:$E,4,FALSE)=0),AB405,DAY(AB405)&amp;"."&amp;MONTH(AB405)&amp;"."&amp;YEAR(AB405)&amp;" "&amp;$V$4&amp;VLOOKUP(C405,[1]List1!$A:$E,4,FALSE)&amp;" "&amp;$V$1),AB405))))</f>
        <v>OFFLINE!</v>
      </c>
      <c r="AD405" s="772" t="str">
        <f t="shared" ca="1" si="165"/>
        <v>OFFLINE!</v>
      </c>
      <c r="AE405" s="605"/>
      <c r="AF405" s="605"/>
      <c r="AG405" s="615"/>
      <c r="AH405" s="616"/>
      <c r="AI405" s="615"/>
      <c r="AJ405" s="617"/>
      <c r="AK405" s="617"/>
      <c r="AL405" s="617"/>
      <c r="AM405" s="617"/>
      <c r="AN405" s="292"/>
      <c r="AO405" s="567" t="str">
        <f t="shared" si="144"/>
        <v/>
      </c>
      <c r="AP405" s="568" t="str">
        <f>IF(AB405=$V$3,IF(VLOOKUP(C405,[1]List1!$A:$E,5,FALSE)=0,1,VLOOKUP(C405,[1]List1!$A:$E,5,FALSE)),"")</f>
        <v/>
      </c>
      <c r="AQ405" s="292" t="str">
        <f t="shared" si="145"/>
        <v/>
      </c>
      <c r="AR405" s="618" t="str">
        <f t="shared" si="146"/>
        <v/>
      </c>
      <c r="AS405" s="292" t="str">
        <f t="shared" si="147"/>
        <v/>
      </c>
      <c r="AT405" s="377" t="e">
        <f t="shared" si="148"/>
        <v>#N/A</v>
      </c>
      <c r="AU405" s="292" t="e">
        <f t="shared" si="149"/>
        <v>#N/A</v>
      </c>
    </row>
    <row r="406" spans="1:47" ht="15" customHeight="1">
      <c r="A406" s="601" t="str">
        <f>Kat.!B404</f>
        <v/>
      </c>
      <c r="B406" s="601">
        <f t="shared" si="135"/>
        <v>1</v>
      </c>
      <c r="C406" s="775" t="s">
        <v>2366</v>
      </c>
      <c r="D406" s="776"/>
      <c r="E406" s="760"/>
      <c r="F406" s="761"/>
      <c r="G406" s="762"/>
      <c r="H406" s="596"/>
      <c r="I406" s="797"/>
      <c r="J406" s="764"/>
      <c r="K406" s="774"/>
      <c r="L406" s="766"/>
      <c r="M406" s="764"/>
      <c r="N406" s="767"/>
      <c r="O406" s="763"/>
      <c r="P406" s="763"/>
      <c r="Q406" s="764"/>
      <c r="R406" s="764"/>
      <c r="S406" s="764"/>
      <c r="T406" s="764"/>
      <c r="U406" s="768"/>
      <c r="V406" s="768"/>
      <c r="W406" s="769" t="str">
        <f>IFERROR(VLOOKUP('General price list'!$C406,Popisy!A:P,MATCH($W$17,Popisy!$A$7:$P$7,0),FALSE),"---------------")</f>
        <v>goldene funkelnde Weide</v>
      </c>
      <c r="X406" s="769" t="str">
        <f t="shared" si="164"/>
        <v/>
      </c>
      <c r="Y406" s="770">
        <f>IF(OR(AP406&lt;AA406,AND(NOT(OR(LEFT(AB406,3)="SKL",LEFT(AB406,3)=LEFT($V$2,3))),AA406&gt;0),AND('Deutsche Markt'!$AH$1=FALSE,J406="F4",AA406&gt;0)),"",AA406)</f>
        <v>0</v>
      </c>
      <c r="Z406" s="769"/>
      <c r="AA406" s="771">
        <f>'Deutsche Markt'!AA406</f>
        <v>0</v>
      </c>
      <c r="AB406" s="772" t="str">
        <f>IFERROR(IF(VLOOKUP(C406,[1]List1!$A:$D,2,FALSE)="VYPRODÁNO",$V$9,IF(VLOOKUP(C406,[1]List1!$A:$D,2,FALSE)="DOCHÁZÍ",$V$3,VLOOKUP(C406,[1]List1!$A:$D,2,FALSE))),"OFFLINE!")</f>
        <v>SKLADEM</v>
      </c>
      <c r="AC406" s="772" t="str">
        <f ca="1">IF(AO406="NE",$V$10,IF(AB406=$V$3,IF(AP406&lt;1,$V$8,$V$2&amp;" "&amp;AP406&amp;" "&amp;$V$1),IF(AB406="SKLADEM",$V$6,IFERROR(IF(OR(AB406-TODAY()&gt;21,VLOOKUP(C406,[1]List1!$A:$E,4,FALSE)=0),AB406,DAY(AB406)&amp;"."&amp;MONTH(AB406)&amp;"."&amp;YEAR(AB406)&amp;" "&amp;$V$4&amp;VLOOKUP(C406,[1]List1!$A:$E,4,FALSE)&amp;" "&amp;$V$1),AB406))))</f>
        <v>AUF LAGER</v>
      </c>
      <c r="AD406" s="772" t="str">
        <f t="shared" ca="1" si="165"/>
        <v>AUF LAGER</v>
      </c>
      <c r="AE406" s="605"/>
      <c r="AF406" s="605"/>
      <c r="AG406" s="615"/>
      <c r="AH406" s="616"/>
      <c r="AI406" s="615"/>
      <c r="AJ406" s="617"/>
      <c r="AK406" s="617"/>
      <c r="AL406" s="617"/>
      <c r="AM406" s="617"/>
      <c r="AN406" s="292"/>
      <c r="AO406" s="567" t="str">
        <f t="shared" si="144"/>
        <v/>
      </c>
      <c r="AP406" s="568" t="str">
        <f>IF(AB406=$V$3,IF(VLOOKUP(C406,[1]List1!$A:$E,5,FALSE)=0,1,VLOOKUP(C406,[1]List1!$A:$E,5,FALSE)),"")</f>
        <v/>
      </c>
      <c r="AQ406" s="292" t="str">
        <f t="shared" si="145"/>
        <v/>
      </c>
      <c r="AR406" s="618" t="str">
        <f t="shared" si="146"/>
        <v/>
      </c>
      <c r="AS406" s="292" t="str">
        <f t="shared" si="147"/>
        <v/>
      </c>
      <c r="AT406" s="377" t="e">
        <f t="shared" si="148"/>
        <v>#N/A</v>
      </c>
      <c r="AU406" s="292" t="e">
        <f t="shared" si="149"/>
        <v>#N/A</v>
      </c>
    </row>
    <row r="407" spans="1:47" ht="15" customHeight="1">
      <c r="A407" s="601" t="str">
        <f>Kat.!$B$1&amp;Kat.!B405</f>
        <v>Verbundfeurwerk 30mm - F2 - 1.4G</v>
      </c>
      <c r="B407" s="601">
        <f t="shared" si="135"/>
        <v>1</v>
      </c>
      <c r="C407" s="620" t="s">
        <v>5190</v>
      </c>
      <c r="D407" s="235"/>
      <c r="E407" s="604"/>
      <c r="F407" s="605"/>
      <c r="G407" s="606"/>
      <c r="H407" s="607"/>
      <c r="I407" s="636"/>
      <c r="J407" s="609"/>
      <c r="K407" s="708"/>
      <c r="L407" s="611"/>
      <c r="M407" s="609"/>
      <c r="N407" s="612"/>
      <c r="O407" s="608"/>
      <c r="P407" s="608"/>
      <c r="Q407" s="609"/>
      <c r="R407" s="609"/>
      <c r="S407" s="609"/>
      <c r="T407" s="609"/>
      <c r="U407" s="613"/>
      <c r="V407" s="613"/>
      <c r="W407" s="601" t="str">
        <f>IFERROR(VLOOKUP('General price list'!$C407,Popisy!A:P,MATCH($W$17,Popisy!$A$7:$P$7,0),FALSE),"---------------")</f>
        <v>10 verschiedenfarbige Effekte</v>
      </c>
      <c r="X407" s="601" t="str">
        <f t="shared" si="164"/>
        <v/>
      </c>
      <c r="Y407" s="770">
        <f>IF(OR(AP407&lt;AA407,AND(NOT(OR(LEFT(AB407,3)="SKL",LEFT(AB407,3)=LEFT($V$2,3))),AA407&gt;0),AND('Deutsche Markt'!$AH$1=FALSE,J407="F4",AA407&gt;0)),"",AA407)</f>
        <v>0</v>
      </c>
      <c r="Z407" s="601"/>
      <c r="AA407" s="771">
        <f>'Deutsche Markt'!AA407</f>
        <v>0</v>
      </c>
      <c r="AB407" s="614" t="str">
        <f>IFERROR(IF(VLOOKUP(C407,[1]List1!$A:$D,2,FALSE)="VYPRODÁNO",$V$9,IF(VLOOKUP(C407,[1]List1!$A:$D,2,FALSE)="DOCHÁZÍ",$V$3,VLOOKUP(C407,[1]List1!$A:$D,2,FALSE))),"OFFLINE!")</f>
        <v>SKLADEM</v>
      </c>
      <c r="AC407" s="614" t="str">
        <f ca="1">IF(AO407="NE",$V$10,IF(AB407=$V$3,IF(AP407&lt;1,$V$8,$V$2&amp;" "&amp;AP407&amp;" "&amp;$V$1),IF(AB407="SKLADEM",$V$6,IFERROR(IF(OR(AB407-TODAY()&gt;21,VLOOKUP(C407,[1]List1!$A:$E,4,FALSE)=0),AB407,DAY(AB407)&amp;"."&amp;MONTH(AB407)&amp;"."&amp;YEAR(AB407)&amp;" "&amp;$V$4&amp;VLOOKUP(C407,[1]List1!$A:$E,4,FALSE)&amp;" "&amp;$V$1),AB407))))</f>
        <v>AUF LAGER</v>
      </c>
      <c r="AD407" s="614" t="str">
        <f t="shared" ca="1" si="165"/>
        <v>AUF LAGER</v>
      </c>
      <c r="AE407" s="605"/>
      <c r="AF407" s="605"/>
      <c r="AG407" s="615"/>
      <c r="AH407" s="616"/>
      <c r="AI407" s="615"/>
      <c r="AJ407" s="617"/>
      <c r="AK407" s="617"/>
      <c r="AL407" s="617"/>
      <c r="AM407" s="617"/>
      <c r="AN407" s="292"/>
      <c r="AO407" s="567" t="str">
        <f t="shared" si="144"/>
        <v/>
      </c>
      <c r="AP407" s="568" t="str">
        <f>IF(AB407=$V$3,IF(VLOOKUP(C407,[1]List1!$A:$E,5,FALSE)=0,1,VLOOKUP(C407,[1]List1!$A:$E,5,FALSE)),"")</f>
        <v/>
      </c>
      <c r="AQ407" s="292" t="str">
        <f t="shared" si="145"/>
        <v/>
      </c>
      <c r="AR407" s="618" t="str">
        <f t="shared" si="146"/>
        <v/>
      </c>
      <c r="AS407" s="292" t="str">
        <f t="shared" si="147"/>
        <v/>
      </c>
      <c r="AT407" s="377" t="e">
        <f t="shared" si="148"/>
        <v>#N/A</v>
      </c>
      <c r="AU407" s="292" t="e">
        <f t="shared" si="149"/>
        <v>#N/A</v>
      </c>
    </row>
    <row r="408" spans="1:47" ht="15" customHeight="1">
      <c r="A408" s="601" t="str">
        <f>Kat.!B406</f>
        <v/>
      </c>
      <c r="B408" s="601">
        <f t="shared" si="135"/>
        <v>1</v>
      </c>
      <c r="C408" s="783" t="s">
        <v>1448</v>
      </c>
      <c r="D408" s="783"/>
      <c r="E408" s="764"/>
      <c r="F408" s="761"/>
      <c r="G408" s="762"/>
      <c r="H408" s="596"/>
      <c r="I408" s="787"/>
      <c r="J408" s="764"/>
      <c r="K408" s="765"/>
      <c r="L408" s="787"/>
      <c r="M408" s="764"/>
      <c r="N408" s="767"/>
      <c r="O408" s="763"/>
      <c r="P408" s="763"/>
      <c r="Q408" s="764"/>
      <c r="R408" s="764"/>
      <c r="S408" s="764"/>
      <c r="T408" s="764"/>
      <c r="U408" s="768"/>
      <c r="V408" s="768"/>
      <c r="W408" s="769" t="str">
        <f>IFERROR(VLOOKUP('General price list'!$C408,Popisy!A:P,MATCH($W$17,Popisy!$A$7:$P$7,0),FALSE),"---------------")</f>
        <v>10 verschiedenfarbige Effekte</v>
      </c>
      <c r="X408" s="769" t="str">
        <f t="shared" si="164"/>
        <v/>
      </c>
      <c r="Y408" s="770">
        <f>IF(OR(AP408&lt;AA408,AND(NOT(OR(LEFT(AB408,3)="SKL",LEFT(AB408,3)=LEFT($V$2,3))),AA408&gt;0),AND('Deutsche Markt'!$AH$1=FALSE,J408="F4",AA408&gt;0)),"",AA408)</f>
        <v>0</v>
      </c>
      <c r="Z408" s="769"/>
      <c r="AA408" s="771">
        <f>'Deutsche Markt'!AA408</f>
        <v>0</v>
      </c>
      <c r="AB408" s="772" t="str">
        <f>IFERROR(IF(VLOOKUP(C408,[1]List1!$A:$D,2,FALSE)="VYPRODÁNO",$V$9,IF(VLOOKUP(C408,[1]List1!$A:$D,2,FALSE)="DOCHÁZÍ",$V$3,VLOOKUP(C408,[1]List1!$A:$D,2,FALSE))),"OFFLINE!")</f>
        <v>15.05.2024</v>
      </c>
      <c r="AC408" s="772" t="str">
        <f ca="1">IF(AO408="NE",$V$10,IF(AB408=$V$3,IF(AP408&lt;1,$V$8,$V$2&amp;" "&amp;AP408&amp;" "&amp;$V$1),IF(AB408="SKLADEM",$V$6,IFERROR(IF(OR(AB408-TODAY()&gt;21,VLOOKUP(C408,[1]List1!$A:$E,4,FALSE)=0),AB408,DAY(AB408)&amp;"."&amp;MONTH(AB408)&amp;"."&amp;YEAR(AB408)&amp;" "&amp;$V$4&amp;VLOOKUP(C408,[1]List1!$A:$E,4,FALSE)&amp;" "&amp;$V$1),AB408))))</f>
        <v>15.05.2024</v>
      </c>
      <c r="AD408" s="772" t="str">
        <f t="shared" ca="1" si="165"/>
        <v>15.05.2024</v>
      </c>
      <c r="AE408" s="605"/>
      <c r="AF408" s="605"/>
      <c r="AG408" s="615"/>
      <c r="AH408" s="616"/>
      <c r="AI408" s="615"/>
      <c r="AJ408" s="617"/>
      <c r="AK408" s="617"/>
      <c r="AL408" s="617"/>
      <c r="AM408" s="617"/>
      <c r="AO408" s="567" t="str">
        <f t="shared" si="144"/>
        <v/>
      </c>
      <c r="AP408" s="568" t="str">
        <f>IF(AB408=$V$3,IF(VLOOKUP(C408,[1]List1!$A:$E,5,FALSE)=0,1,VLOOKUP(C408,[1]List1!$A:$E,5,FALSE)),"")</f>
        <v/>
      </c>
      <c r="AQ408" s="292" t="str">
        <f t="shared" si="145"/>
        <v/>
      </c>
      <c r="AR408" s="618" t="str">
        <f t="shared" si="146"/>
        <v/>
      </c>
      <c r="AS408" s="292" t="str">
        <f t="shared" si="147"/>
        <v/>
      </c>
      <c r="AT408" s="377" t="e">
        <f t="shared" si="148"/>
        <v>#N/A</v>
      </c>
      <c r="AU408" s="292" t="e">
        <f t="shared" si="149"/>
        <v>#N/A</v>
      </c>
    </row>
    <row r="409" spans="1:47" ht="15" customHeight="1">
      <c r="A409" s="601" t="str">
        <f>Kat.!B407</f>
        <v/>
      </c>
      <c r="B409" s="601">
        <f t="shared" ref="B409:B472" si="166">IF(OR(L409="ZUGEWIESEN",AND(C409&lt;&gt;"",M409="")),1,IF(AB409=$V$3,1,0))</f>
        <v>1</v>
      </c>
      <c r="C409" s="783" t="s">
        <v>1450</v>
      </c>
      <c r="D409" s="783"/>
      <c r="E409" s="760"/>
      <c r="F409" s="761"/>
      <c r="G409" s="762"/>
      <c r="H409" s="596"/>
      <c r="I409" s="797"/>
      <c r="J409" s="764"/>
      <c r="K409" s="773"/>
      <c r="L409" s="780"/>
      <c r="M409" s="764"/>
      <c r="N409" s="767"/>
      <c r="O409" s="763"/>
      <c r="P409" s="763"/>
      <c r="Q409" s="764"/>
      <c r="R409" s="764"/>
      <c r="S409" s="764"/>
      <c r="T409" s="764"/>
      <c r="U409" s="768"/>
      <c r="V409" s="768"/>
      <c r="W409" s="769" t="str">
        <f>IFERROR(VLOOKUP('General price list'!$C409,Popisy!A:P,MATCH($W$17,Popisy!$A$7:$P$7,0),FALSE),"---------------")</f>
        <v>10 verschiedenfarbige Effekte</v>
      </c>
      <c r="X409" s="769" t="str">
        <f t="shared" si="164"/>
        <v/>
      </c>
      <c r="Y409" s="770">
        <f>IF(OR(AP409&lt;AA409,AND(NOT(OR(LEFT(AB409,3)="SKL",LEFT(AB409,3)=LEFT($V$2,3))),AA409&gt;0),AND('Deutsche Markt'!$AH$1=FALSE,J409="F4",AA409&gt;0)),"",AA409)</f>
        <v>0</v>
      </c>
      <c r="Z409" s="769"/>
      <c r="AA409" s="771">
        <f>'Deutsche Markt'!AA409</f>
        <v>0</v>
      </c>
      <c r="AB409" s="772" t="str">
        <f>IFERROR(IF(VLOOKUP(C409,[1]List1!$A:$D,2,FALSE)="VYPRODÁNO",$V$9,IF(VLOOKUP(C409,[1]List1!$A:$D,2,FALSE)="DOCHÁZÍ",$V$3,VLOOKUP(C409,[1]List1!$A:$D,2,FALSE))),"OFFLINE!")</f>
        <v>SKLADEM</v>
      </c>
      <c r="AC409" s="772" t="str">
        <f ca="1">IF(AO409="NE",$V$10,IF(AB409=$V$3,IF(AP409&lt;1,$V$8,$V$2&amp;" "&amp;AP409&amp;" "&amp;$V$1),IF(AB409="SKLADEM",$V$6,IFERROR(IF(OR(AB409-TODAY()&gt;21,VLOOKUP(C409,[1]List1!$A:$E,4,FALSE)=0),AB409,DAY(AB409)&amp;"."&amp;MONTH(AB409)&amp;"."&amp;YEAR(AB409)&amp;" "&amp;$V$4&amp;VLOOKUP(C409,[1]List1!$A:$E,4,FALSE)&amp;" "&amp;$V$1),AB409))))</f>
        <v>AUF LAGER</v>
      </c>
      <c r="AD409" s="772" t="str">
        <f t="shared" ca="1" si="165"/>
        <v>AUF LAGER</v>
      </c>
      <c r="AE409" s="605"/>
      <c r="AF409" s="605"/>
      <c r="AG409" s="615"/>
      <c r="AH409" s="616"/>
      <c r="AI409" s="615"/>
      <c r="AJ409" s="617"/>
      <c r="AK409" s="617"/>
      <c r="AL409" s="617"/>
      <c r="AM409" s="617"/>
      <c r="AN409" s="292"/>
      <c r="AO409" s="567" t="str">
        <f t="shared" si="144"/>
        <v/>
      </c>
      <c r="AP409" s="568" t="str">
        <f>IF(AB409=$V$3,IF(VLOOKUP(C409,[1]List1!$A:$E,5,FALSE)=0,1,VLOOKUP(C409,[1]List1!$A:$E,5,FALSE)),"")</f>
        <v/>
      </c>
      <c r="AQ409" s="292" t="str">
        <f t="shared" si="145"/>
        <v/>
      </c>
      <c r="AR409" s="618" t="str">
        <f t="shared" si="146"/>
        <v/>
      </c>
      <c r="AS409" s="292" t="str">
        <f t="shared" si="147"/>
        <v/>
      </c>
      <c r="AT409" s="377" t="e">
        <f t="shared" si="148"/>
        <v>#N/A</v>
      </c>
      <c r="AU409" s="292" t="e">
        <f t="shared" si="149"/>
        <v>#N/A</v>
      </c>
    </row>
    <row r="410" spans="1:47" ht="15" customHeight="1">
      <c r="A410" s="601" t="str">
        <f>Kat.!B408</f>
        <v/>
      </c>
      <c r="B410" s="601">
        <f t="shared" si="166"/>
        <v>1</v>
      </c>
      <c r="C410" s="783" t="s">
        <v>1453</v>
      </c>
      <c r="D410" s="783"/>
      <c r="E410" s="764"/>
      <c r="F410" s="761"/>
      <c r="G410" s="762"/>
      <c r="H410" s="595"/>
      <c r="I410" s="764"/>
      <c r="J410" s="764"/>
      <c r="K410" s="765"/>
      <c r="L410" s="764"/>
      <c r="M410" s="764"/>
      <c r="N410" s="764"/>
      <c r="O410" s="764"/>
      <c r="P410" s="764"/>
      <c r="Q410" s="764"/>
      <c r="R410" s="764"/>
      <c r="S410" s="764"/>
      <c r="T410" s="764"/>
      <c r="U410" s="764"/>
      <c r="V410" s="764"/>
      <c r="W410" s="764" t="str">
        <f>IFERROR(VLOOKUP('General price list'!$C410,Popisy!A:P,MATCH($W$17,Popisy!$A$7:$P$7,0),FALSE),"---------------")</f>
        <v>10 verschiedenfarbige Effekte</v>
      </c>
      <c r="X410" s="764" t="str">
        <f t="shared" si="164"/>
        <v/>
      </c>
      <c r="Y410" s="770">
        <f>IF(OR(AP410&lt;AA410,AND(NOT(OR(LEFT(AB410,3)="SKL",LEFT(AB410,3)=LEFT($V$2,3))),AA410&gt;0),AND('Deutsche Markt'!$AH$1=FALSE,J410="F4",AA410&gt;0)),"",AA410)</f>
        <v>0</v>
      </c>
      <c r="Z410" s="764"/>
      <c r="AA410" s="771">
        <f>'Deutsche Markt'!AA410</f>
        <v>0</v>
      </c>
      <c r="AB410" s="772" t="str">
        <f>IFERROR(IF(VLOOKUP(C410,[1]List1!$A:$D,2,FALSE)="VYPRODÁNO",$V$9,IF(VLOOKUP(C410,[1]List1!$A:$D,2,FALSE)="DOCHÁZÍ",$V$3,VLOOKUP(C410,[1]List1!$A:$D,2,FALSE))),"OFFLINE!")</f>
        <v>LETZTE STÜCKE</v>
      </c>
      <c r="AC410" s="785" t="str">
        <f ca="1">IF(AO410="NE",$V$10,IF(AB410=$V$3,IF(AP410&lt;1,$V$8,$V$2&amp;" "&amp;AP410&amp;" "&amp;$V$1),IF(AB410="SKLADEM",$V$6,IFERROR(IF(OR(AB410-TODAY()&gt;21,VLOOKUP(C410,[1]List1!$A:$E,4,FALSE)=0),AB410,DAY(AB410)&amp;"."&amp;MONTH(AB410)&amp;"."&amp;YEAR(AB410)&amp;" "&amp;$V$4&amp;VLOOKUP(C410,[1]List1!$A:$E,4,FALSE)&amp;" "&amp;$V$1),AB410))))</f>
        <v>LETZTE 30 KTN</v>
      </c>
      <c r="AD410" s="785" t="str">
        <f t="shared" ca="1" si="165"/>
        <v>LETZTE 30 KTN</v>
      </c>
      <c r="AE410" s="609"/>
      <c r="AF410" s="609"/>
      <c r="AG410" s="627"/>
      <c r="AH410" s="609"/>
      <c r="AI410" s="627"/>
      <c r="AJ410" s="609"/>
      <c r="AK410" s="609"/>
      <c r="AL410" s="609"/>
      <c r="AM410" s="627"/>
      <c r="AO410" s="567" t="str">
        <f t="shared" si="144"/>
        <v/>
      </c>
      <c r="AP410" s="568">
        <f>IF(AB410=$V$3,IF(VLOOKUP(C410,[1]List1!$A:$E,5,FALSE)=0,1,VLOOKUP(C410,[1]List1!$A:$E,5,FALSE)),"")</f>
        <v>30</v>
      </c>
      <c r="AQ410" s="292" t="str">
        <f t="shared" si="145"/>
        <v/>
      </c>
      <c r="AR410" s="618" t="str">
        <f t="shared" si="146"/>
        <v/>
      </c>
      <c r="AS410" s="292" t="str">
        <f t="shared" si="147"/>
        <v/>
      </c>
      <c r="AT410" s="377" t="e">
        <f t="shared" si="148"/>
        <v>#N/A</v>
      </c>
      <c r="AU410" s="292" t="e">
        <f t="shared" si="149"/>
        <v>#N/A</v>
      </c>
    </row>
    <row r="411" spans="1:47" ht="15" customHeight="1">
      <c r="A411" s="601" t="str">
        <f>Kat.!B409</f>
        <v/>
      </c>
      <c r="B411" s="601">
        <f t="shared" si="166"/>
        <v>1</v>
      </c>
      <c r="C411" s="778" t="s">
        <v>1452</v>
      </c>
      <c r="D411" s="778"/>
      <c r="E411" s="778"/>
      <c r="F411" s="779"/>
      <c r="G411" s="778"/>
      <c r="H411" s="778"/>
      <c r="I411" s="778"/>
      <c r="J411" s="778"/>
      <c r="K411" s="773"/>
      <c r="L411" s="778"/>
      <c r="M411" s="778"/>
      <c r="N411" s="778"/>
      <c r="O411" s="778"/>
      <c r="P411" s="778"/>
      <c r="Q411" s="778"/>
      <c r="R411" s="778"/>
      <c r="S411" s="778"/>
      <c r="T411" s="778"/>
      <c r="U411" s="778"/>
      <c r="V411" s="778"/>
      <c r="W411" s="778" t="str">
        <f>IFERROR(VLOOKUP('General price list'!$C411,Popisy!A:P,MATCH($W$17,Popisy!$A$7:$P$7,0),FALSE),"---------------")</f>
        <v>10 verschiedenfarbige Effekte</v>
      </c>
      <c r="X411" s="778" t="str">
        <f t="shared" si="164"/>
        <v/>
      </c>
      <c r="Y411" s="770">
        <f>IF(OR(AP411&lt;AA411,AND(NOT(OR(LEFT(AB411,3)="SKL",LEFT(AB411,3)=LEFT($V$2,3))),AA411&gt;0),AND('Deutsche Markt'!$AH$1=FALSE,J411="F4",AA411&gt;0)),"",AA411)</f>
        <v>0</v>
      </c>
      <c r="Z411" s="778"/>
      <c r="AA411" s="771">
        <f>'Deutsche Markt'!AA411</f>
        <v>0</v>
      </c>
      <c r="AB411" s="778" t="str">
        <f>IFERROR(IF(VLOOKUP(C411,[1]List1!$A:$D,2,FALSE)="VYPRODÁNO",$V$9,IF(VLOOKUP(C411,[1]List1!$A:$D,2,FALSE)="DOCHÁZÍ",$V$3,VLOOKUP(C411,[1]List1!$A:$D,2,FALSE))),"OFFLINE!")</f>
        <v>SKLADEM</v>
      </c>
      <c r="AC411" s="778" t="str">
        <f ca="1">IF(AO411="NE",$V$10,IF(AB411=$V$3,IF(AP411&lt;1,$V$8,$V$2&amp;" "&amp;AP411&amp;" "&amp;$V$1),IF(AB411="SKLADEM",$V$6,IFERROR(IF(OR(AB411-TODAY()&gt;21,VLOOKUP(C411,[1]List1!$A:$E,4,FALSE)=0),AB411,DAY(AB411)&amp;"."&amp;MONTH(AB411)&amp;"."&amp;YEAR(AB411)&amp;" "&amp;$V$4&amp;VLOOKUP(C411,[1]List1!$A:$E,4,FALSE)&amp;" "&amp;$V$1),AB411))))</f>
        <v>AUF LAGER</v>
      </c>
      <c r="AD411" s="778" t="str">
        <f t="shared" ca="1" si="165"/>
        <v>AUF LAGER</v>
      </c>
      <c r="AE411" s="599"/>
      <c r="AF411" s="599"/>
      <c r="AG411" s="599"/>
      <c r="AH411" s="599"/>
      <c r="AI411" s="599"/>
      <c r="AJ411" s="599"/>
      <c r="AK411" s="599"/>
      <c r="AL411" s="599"/>
      <c r="AM411" s="599"/>
      <c r="AN411" s="566"/>
      <c r="AO411" s="567" t="str">
        <f t="shared" si="144"/>
        <v/>
      </c>
      <c r="AP411" s="568" t="str">
        <f>IF(AB411=$V$3,IF(VLOOKUP(C411,[1]List1!$A:$E,5,FALSE)=0,1,VLOOKUP(C411,[1]List1!$A:$E,5,FALSE)),"")</f>
        <v/>
      </c>
      <c r="AQ411" s="292" t="str">
        <f t="shared" si="145"/>
        <v/>
      </c>
      <c r="AR411" s="618" t="str">
        <f t="shared" si="146"/>
        <v/>
      </c>
      <c r="AS411" s="292" t="str">
        <f t="shared" si="147"/>
        <v/>
      </c>
      <c r="AT411" s="377" t="e">
        <f t="shared" si="148"/>
        <v>#N/A</v>
      </c>
      <c r="AU411" s="292" t="e">
        <f t="shared" si="149"/>
        <v>#N/A</v>
      </c>
    </row>
    <row r="412" spans="1:47" ht="15" customHeight="1">
      <c r="A412" s="601" t="str">
        <f>Kat.!$B$1&amp;Kat.!B410</f>
        <v>x</v>
      </c>
      <c r="B412" s="601">
        <f t="shared" si="166"/>
        <v>1</v>
      </c>
      <c r="C412" s="163" t="s">
        <v>1455</v>
      </c>
      <c r="D412" s="235"/>
      <c r="E412" s="604"/>
      <c r="F412" s="605"/>
      <c r="G412" s="606"/>
      <c r="H412" s="607"/>
      <c r="I412" s="636"/>
      <c r="J412" s="609"/>
      <c r="K412" s="708"/>
      <c r="L412" s="611"/>
      <c r="M412" s="609"/>
      <c r="N412" s="612"/>
      <c r="O412" s="608"/>
      <c r="P412" s="608"/>
      <c r="Q412" s="609"/>
      <c r="R412" s="609"/>
      <c r="S412" s="609"/>
      <c r="T412" s="609"/>
      <c r="U412" s="613"/>
      <c r="V412" s="613"/>
      <c r="W412" s="601" t="str">
        <f>IFERROR(VLOOKUP('General price list'!$C412,Popisy!A:P,MATCH($W$17,Popisy!$A$7:$P$7,0),FALSE),"---------------")</f>
        <v>20 verschiedenfarbige Effekte</v>
      </c>
      <c r="X412" s="601" t="str">
        <f t="shared" si="164"/>
        <v/>
      </c>
      <c r="Y412" s="770">
        <f>IF(OR(AP412&lt;AA412,AND(NOT(OR(LEFT(AB412,3)="SKL",LEFT(AB412,3)=LEFT($V$2,3))),AA412&gt;0),AND('Deutsche Markt'!$AH$1=FALSE,J412="F4",AA412&gt;0)),"",AA412)</f>
        <v>0</v>
      </c>
      <c r="Z412" s="601"/>
      <c r="AA412" s="771">
        <f>'Deutsche Markt'!AA412</f>
        <v>0</v>
      </c>
      <c r="AB412" s="614" t="str">
        <f>IFERROR(IF(VLOOKUP(C412,[1]List1!$A:$D,2,FALSE)="VYPRODÁNO",$V$9,IF(VLOOKUP(C412,[1]List1!$A:$D,2,FALSE)="DOCHÁZÍ",$V$3,VLOOKUP(C412,[1]List1!$A:$D,2,FALSE))),"OFFLINE!")</f>
        <v>15.05.2024</v>
      </c>
      <c r="AC412" s="614" t="str">
        <f ca="1">IF(AO412="NE",$V$10,IF(AB412=$V$3,IF(AP412&lt;1,$V$8,$V$2&amp;" "&amp;AP412&amp;" "&amp;$V$1),IF(AB412="SKLADEM",$V$6,IFERROR(IF(OR(AB412-TODAY()&gt;21,VLOOKUP(C412,[1]List1!$A:$E,4,FALSE)=0),AB412,DAY(AB412)&amp;"."&amp;MONTH(AB412)&amp;"."&amp;YEAR(AB412)&amp;" "&amp;$V$4&amp;VLOOKUP(C412,[1]List1!$A:$E,4,FALSE)&amp;" "&amp;$V$1),AB412))))</f>
        <v>15.05.2024</v>
      </c>
      <c r="AD412" s="614" t="str">
        <f t="shared" ca="1" si="165"/>
        <v>15.05.2024</v>
      </c>
      <c r="AE412" s="605"/>
      <c r="AF412" s="605"/>
      <c r="AG412" s="615"/>
      <c r="AH412" s="616"/>
      <c r="AI412" s="615"/>
      <c r="AJ412" s="617"/>
      <c r="AK412" s="617"/>
      <c r="AL412" s="617"/>
      <c r="AM412" s="617"/>
      <c r="AO412" s="567" t="str">
        <f t="shared" si="144"/>
        <v/>
      </c>
      <c r="AP412" s="568" t="str">
        <f>IF(AB412=$V$3,IF(VLOOKUP(C412,[1]List1!$A:$E,5,FALSE)=0,1,VLOOKUP(C412,[1]List1!$A:$E,5,FALSE)),"")</f>
        <v/>
      </c>
      <c r="AQ412" s="292" t="str">
        <f t="shared" si="145"/>
        <v/>
      </c>
      <c r="AR412" s="618" t="str">
        <f t="shared" si="146"/>
        <v/>
      </c>
      <c r="AS412" s="292" t="str">
        <f t="shared" si="147"/>
        <v/>
      </c>
      <c r="AT412" s="377" t="e">
        <f t="shared" si="148"/>
        <v>#N/A</v>
      </c>
      <c r="AU412" s="292" t="e">
        <f t="shared" si="149"/>
        <v>#N/A</v>
      </c>
    </row>
    <row r="413" spans="1:47" ht="15" customHeight="1">
      <c r="A413" s="601" t="str">
        <f>Kat.!B411</f>
        <v/>
      </c>
      <c r="B413" s="601">
        <f t="shared" si="166"/>
        <v>1</v>
      </c>
      <c r="C413" s="783" t="s">
        <v>2368</v>
      </c>
      <c r="D413" s="776"/>
      <c r="E413" s="760"/>
      <c r="F413" s="761"/>
      <c r="G413" s="762"/>
      <c r="H413" s="596"/>
      <c r="I413" s="797"/>
      <c r="J413" s="764"/>
      <c r="K413" s="781"/>
      <c r="L413" s="766"/>
      <c r="M413" s="764"/>
      <c r="N413" s="767"/>
      <c r="O413" s="763"/>
      <c r="P413" s="763"/>
      <c r="Q413" s="764"/>
      <c r="R413" s="764"/>
      <c r="S413" s="764"/>
      <c r="T413" s="764"/>
      <c r="U413" s="768"/>
      <c r="V413" s="768"/>
      <c r="W413" s="769" t="str">
        <f>IFERROR(VLOOKUP('General price list'!$C413,Popisy!A:P,MATCH($W$17,Popisy!$A$7:$P$7,0),FALSE),"---------------")</f>
        <v>20 verschiedenfarbige Effekte</v>
      </c>
      <c r="X413" s="769" t="str">
        <f t="shared" si="164"/>
        <v/>
      </c>
      <c r="Y413" s="770">
        <f>IF(OR(AP413&lt;AA413,AND(NOT(OR(LEFT(AB413,3)="SKL",LEFT(AB413,3)=LEFT($V$2,3))),AA413&gt;0),AND('Deutsche Markt'!$AH$1=FALSE,J413="F4",AA413&gt;0)),"",AA413)</f>
        <v>0</v>
      </c>
      <c r="Z413" s="769"/>
      <c r="AA413" s="771">
        <f>'Deutsche Markt'!AA413</f>
        <v>0</v>
      </c>
      <c r="AB413" s="772" t="str">
        <f>IFERROR(IF(VLOOKUP(C413,[1]List1!$A:$D,2,FALSE)="VYPRODÁNO",$V$9,IF(VLOOKUP(C413,[1]List1!$A:$D,2,FALSE)="DOCHÁZÍ",$V$3,VLOOKUP(C413,[1]List1!$A:$D,2,FALSE))),"OFFLINE!")</f>
        <v>LETZTE STÜCKE</v>
      </c>
      <c r="AC413" s="772" t="str">
        <f ca="1">IF(AO413="NE",$V$10,IF(AB413=$V$3,IF(AP413&lt;1,$V$8,$V$2&amp;" "&amp;AP413&amp;" "&amp;$V$1),IF(AB413="SKLADEM",$V$6,IFERROR(IF(OR(AB413-TODAY()&gt;21,VLOOKUP(C413,[1]List1!$A:$E,4,FALSE)=0),AB413,DAY(AB413)&amp;"."&amp;MONTH(AB413)&amp;"."&amp;YEAR(AB413)&amp;" "&amp;$V$4&amp;VLOOKUP(C413,[1]List1!$A:$E,4,FALSE)&amp;" "&amp;$V$1),AB413))))</f>
        <v>LETZTE 23 KTN</v>
      </c>
      <c r="AD413" s="772" t="str">
        <f t="shared" ca="1" si="165"/>
        <v>LETZTE 23 KTN</v>
      </c>
      <c r="AE413" s="605"/>
      <c r="AF413" s="605"/>
      <c r="AG413" s="615"/>
      <c r="AH413" s="616"/>
      <c r="AI413" s="615"/>
      <c r="AJ413" s="617"/>
      <c r="AK413" s="617"/>
      <c r="AL413" s="617"/>
      <c r="AM413" s="617"/>
      <c r="AO413" s="567" t="str">
        <f t="shared" si="144"/>
        <v/>
      </c>
      <c r="AP413" s="568">
        <f>IF(AB413=$V$3,IF(VLOOKUP(C413,[1]List1!$A:$E,5,FALSE)=0,1,VLOOKUP(C413,[1]List1!$A:$E,5,FALSE)),"")</f>
        <v>23</v>
      </c>
      <c r="AQ413" s="292" t="str">
        <f t="shared" si="145"/>
        <v/>
      </c>
      <c r="AR413" s="618" t="str">
        <f t="shared" si="146"/>
        <v/>
      </c>
      <c r="AS413" s="292" t="str">
        <f t="shared" si="147"/>
        <v/>
      </c>
      <c r="AT413" s="377" t="e">
        <f t="shared" si="148"/>
        <v>#N/A</v>
      </c>
      <c r="AU413" s="292" t="e">
        <f t="shared" si="149"/>
        <v>#N/A</v>
      </c>
    </row>
    <row r="414" spans="1:47" ht="15" customHeight="1">
      <c r="A414" s="601" t="str">
        <f>Kat.!B412</f>
        <v/>
      </c>
      <c r="B414" s="601">
        <f t="shared" si="166"/>
        <v>1</v>
      </c>
      <c r="C414" s="783" t="s">
        <v>2369</v>
      </c>
      <c r="D414" s="776"/>
      <c r="E414" s="760"/>
      <c r="F414" s="761"/>
      <c r="G414" s="762"/>
      <c r="H414" s="596"/>
      <c r="I414" s="797"/>
      <c r="J414" s="764"/>
      <c r="K414" s="774"/>
      <c r="L414" s="766"/>
      <c r="M414" s="764"/>
      <c r="N414" s="767"/>
      <c r="O414" s="763"/>
      <c r="P414" s="763"/>
      <c r="Q414" s="764"/>
      <c r="R414" s="764"/>
      <c r="S414" s="764"/>
      <c r="T414" s="764"/>
      <c r="U414" s="768"/>
      <c r="V414" s="768"/>
      <c r="W414" s="769" t="str">
        <f>IFERROR(VLOOKUP('General price list'!$C414,Popisy!A:P,MATCH($W$17,Popisy!$A$7:$P$7,0),FALSE),"---------------")</f>
        <v>20 verschiedenfarbige Effekte</v>
      </c>
      <c r="X414" s="769" t="str">
        <f t="shared" si="164"/>
        <v/>
      </c>
      <c r="Y414" s="770">
        <f>IF(OR(AP414&lt;AA414,AND(NOT(OR(LEFT(AB414,3)="SKL",LEFT(AB414,3)=LEFT($V$2,3))),AA414&gt;0),AND('Deutsche Markt'!$AH$1=FALSE,J414="F4",AA414&gt;0)),"",AA414)</f>
        <v>0</v>
      </c>
      <c r="Z414" s="769"/>
      <c r="AA414" s="771">
        <f>'Deutsche Markt'!AA414</f>
        <v>0</v>
      </c>
      <c r="AB414" s="772" t="str">
        <f>IFERROR(IF(VLOOKUP(C414,[1]List1!$A:$D,2,FALSE)="VYPRODÁNO",$V$9,IF(VLOOKUP(C414,[1]List1!$A:$D,2,FALSE)="DOCHÁZÍ",$V$3,VLOOKUP(C414,[1]List1!$A:$D,2,FALSE))),"OFFLINE!")</f>
        <v>SKLADEM</v>
      </c>
      <c r="AC414" s="772" t="str">
        <f ca="1">IF(AO414="NE",$V$10,IF(AB414=$V$3,IF(AP414&lt;1,$V$8,$V$2&amp;" "&amp;AP414&amp;" "&amp;$V$1),IF(AB414="SKLADEM",$V$6,IFERROR(IF(OR(AB414-TODAY()&gt;21,VLOOKUP(C414,[1]List1!$A:$E,4,FALSE)=0),AB414,DAY(AB414)&amp;"."&amp;MONTH(AB414)&amp;"."&amp;YEAR(AB414)&amp;" "&amp;$V$4&amp;VLOOKUP(C414,[1]List1!$A:$E,4,FALSE)&amp;" "&amp;$V$1),AB414))))</f>
        <v>AUF LAGER</v>
      </c>
      <c r="AD414" s="772" t="str">
        <f t="shared" ca="1" si="165"/>
        <v>AUF LAGER</v>
      </c>
      <c r="AE414" s="605"/>
      <c r="AF414" s="605"/>
      <c r="AG414" s="615"/>
      <c r="AH414" s="616"/>
      <c r="AI414" s="615"/>
      <c r="AJ414" s="617"/>
      <c r="AK414" s="617"/>
      <c r="AL414" s="617"/>
      <c r="AM414" s="617"/>
      <c r="AN414" s="292"/>
      <c r="AO414" s="567" t="str">
        <f t="shared" si="144"/>
        <v/>
      </c>
      <c r="AP414" s="568" t="str">
        <f>IF(AB414=$V$3,IF(VLOOKUP(C414,[1]List1!$A:$E,5,FALSE)=0,1,VLOOKUP(C414,[1]List1!$A:$E,5,FALSE)),"")</f>
        <v/>
      </c>
      <c r="AQ414" s="292" t="str">
        <f t="shared" si="145"/>
        <v/>
      </c>
      <c r="AR414" s="618" t="str">
        <f t="shared" si="146"/>
        <v/>
      </c>
      <c r="AS414" s="292" t="str">
        <f t="shared" si="147"/>
        <v/>
      </c>
      <c r="AT414" s="377" t="e">
        <f t="shared" si="148"/>
        <v>#N/A</v>
      </c>
      <c r="AU414" s="292" t="e">
        <f t="shared" si="149"/>
        <v>#N/A</v>
      </c>
    </row>
    <row r="415" spans="1:47" ht="15" customHeight="1">
      <c r="A415" s="601" t="str">
        <f>Kat.!B413</f>
        <v/>
      </c>
      <c r="B415" s="601">
        <f t="shared" si="166"/>
        <v>1</v>
      </c>
      <c r="C415" s="783" t="s">
        <v>1457</v>
      </c>
      <c r="D415" s="776"/>
      <c r="E415" s="760"/>
      <c r="F415" s="761"/>
      <c r="G415" s="762"/>
      <c r="H415" s="596"/>
      <c r="I415" s="797"/>
      <c r="J415" s="764"/>
      <c r="K415" s="781"/>
      <c r="L415" s="766"/>
      <c r="M415" s="764"/>
      <c r="N415" s="767"/>
      <c r="O415" s="763"/>
      <c r="P415" s="763"/>
      <c r="Q415" s="764"/>
      <c r="R415" s="764"/>
      <c r="S415" s="764"/>
      <c r="T415" s="764"/>
      <c r="U415" s="768"/>
      <c r="V415" s="768"/>
      <c r="W415" s="769" t="str">
        <f>IFERROR(VLOOKUP('General price list'!$C415,Popisy!A:P,MATCH($W$17,Popisy!$A$7:$P$7,0),FALSE),"---------------")</f>
        <v>14 verschiedenfarbige Effekte</v>
      </c>
      <c r="X415" s="769" t="str">
        <f t="shared" si="164"/>
        <v/>
      </c>
      <c r="Y415" s="770">
        <f>IF(OR(AP415&lt;AA415,AND(NOT(OR(LEFT(AB415,3)="SKL",LEFT(AB415,3)=LEFT($V$2,3))),AA415&gt;0),AND('Deutsche Markt'!$AH$1=FALSE,J415="F4",AA415&gt;0)),"",AA415)</f>
        <v>0</v>
      </c>
      <c r="Z415" s="769"/>
      <c r="AA415" s="771">
        <f>'Deutsche Markt'!AA415</f>
        <v>0</v>
      </c>
      <c r="AB415" s="772" t="str">
        <f>IFERROR(IF(VLOOKUP(C415,[1]List1!$A:$D,2,FALSE)="VYPRODÁNO",$V$9,IF(VLOOKUP(C415,[1]List1!$A:$D,2,FALSE)="DOCHÁZÍ",$V$3,VLOOKUP(C415,[1]List1!$A:$D,2,FALSE))),"OFFLINE!")</f>
        <v>SKLADEM</v>
      </c>
      <c r="AC415" s="772" t="str">
        <f ca="1">IF(AO415="NE",$V$10,IF(AB415=$V$3,IF(AP415&lt;1,$V$8,$V$2&amp;" "&amp;AP415&amp;" "&amp;$V$1),IF(AB415="SKLADEM",$V$6,IFERROR(IF(OR(AB415-TODAY()&gt;21,VLOOKUP(C415,[1]List1!$A:$E,4,FALSE)=0),AB415,DAY(AB415)&amp;"."&amp;MONTH(AB415)&amp;"."&amp;YEAR(AB415)&amp;" "&amp;$V$4&amp;VLOOKUP(C415,[1]List1!$A:$E,4,FALSE)&amp;" "&amp;$V$1),AB415))))</f>
        <v>AUF LAGER</v>
      </c>
      <c r="AD415" s="772" t="str">
        <f t="shared" ca="1" si="165"/>
        <v>AUF LAGER</v>
      </c>
      <c r="AE415" s="605"/>
      <c r="AF415" s="605"/>
      <c r="AG415" s="615"/>
      <c r="AH415" s="616"/>
      <c r="AI415" s="615"/>
      <c r="AJ415" s="617"/>
      <c r="AK415" s="617"/>
      <c r="AL415" s="617"/>
      <c r="AM415" s="617"/>
      <c r="AO415" s="567" t="str">
        <f t="shared" si="144"/>
        <v/>
      </c>
      <c r="AP415" s="568" t="str">
        <f>IF(AB415=$V$3,IF(VLOOKUP(C415,[1]List1!$A:$E,5,FALSE)=0,1,VLOOKUP(C415,[1]List1!$A:$E,5,FALSE)),"")</f>
        <v/>
      </c>
      <c r="AQ415" s="292" t="str">
        <f t="shared" si="145"/>
        <v/>
      </c>
      <c r="AR415" s="618" t="str">
        <f t="shared" si="146"/>
        <v/>
      </c>
      <c r="AS415" s="292" t="str">
        <f t="shared" si="147"/>
        <v/>
      </c>
      <c r="AT415" s="377" t="e">
        <f t="shared" si="148"/>
        <v>#N/A</v>
      </c>
      <c r="AU415" s="292" t="e">
        <f t="shared" si="149"/>
        <v>#N/A</v>
      </c>
    </row>
    <row r="416" spans="1:47" ht="15" customHeight="1">
      <c r="A416" s="601" t="str">
        <f>Kat.!B414</f>
        <v/>
      </c>
      <c r="B416" s="601">
        <f t="shared" si="166"/>
        <v>1</v>
      </c>
      <c r="C416" s="783" t="s">
        <v>2371</v>
      </c>
      <c r="D416" s="776"/>
      <c r="E416" s="760"/>
      <c r="F416" s="761"/>
      <c r="G416" s="762"/>
      <c r="H416" s="596"/>
      <c r="I416" s="797"/>
      <c r="J416" s="764"/>
      <c r="K416" s="774"/>
      <c r="L416" s="766"/>
      <c r="M416" s="764"/>
      <c r="N416" s="767"/>
      <c r="O416" s="763"/>
      <c r="P416" s="763"/>
      <c r="Q416" s="764"/>
      <c r="R416" s="764"/>
      <c r="S416" s="764"/>
      <c r="T416" s="764"/>
      <c r="U416" s="768"/>
      <c r="V416" s="768"/>
      <c r="W416" s="769" t="str">
        <f>IFERROR(VLOOKUP('General price list'!$C416,Popisy!A:P,MATCH($W$17,Popisy!$A$7:$P$7,0),FALSE),"---------------")</f>
        <v>15 verschiedenfarbige Effekte</v>
      </c>
      <c r="X416" s="769" t="str">
        <f t="shared" si="164"/>
        <v/>
      </c>
      <c r="Y416" s="770">
        <f>IF(OR(AP416&lt;AA416,AND(NOT(OR(LEFT(AB416,3)="SKL",LEFT(AB416,3)=LEFT($V$2,3))),AA416&gt;0),AND('Deutsche Markt'!$AH$1=FALSE,J416="F4",AA416&gt;0)),"",AA416)</f>
        <v>0</v>
      </c>
      <c r="Z416" s="769"/>
      <c r="AA416" s="771">
        <f>'Deutsche Markt'!AA416</f>
        <v>0</v>
      </c>
      <c r="AB416" s="772" t="str">
        <f>IFERROR(IF(VLOOKUP(C416,[1]List1!$A:$D,2,FALSE)="VYPRODÁNO",$V$9,IF(VLOOKUP(C416,[1]List1!$A:$D,2,FALSE)="DOCHÁZÍ",$V$3,VLOOKUP(C416,[1]List1!$A:$D,2,FALSE))),"OFFLINE!")</f>
        <v>SKLADEM</v>
      </c>
      <c r="AC416" s="772" t="str">
        <f ca="1">IF(AO416="NE",$V$10,IF(AB416=$V$3,IF(AP416&lt;1,$V$8,$V$2&amp;" "&amp;AP416&amp;" "&amp;$V$1),IF(AB416="SKLADEM",$V$6,IFERROR(IF(OR(AB416-TODAY()&gt;21,VLOOKUP(C416,[1]List1!$A:$E,4,FALSE)=0),AB416,DAY(AB416)&amp;"."&amp;MONTH(AB416)&amp;"."&amp;YEAR(AB416)&amp;" "&amp;$V$4&amp;VLOOKUP(C416,[1]List1!$A:$E,4,FALSE)&amp;" "&amp;$V$1),AB416))))</f>
        <v>AUF LAGER</v>
      </c>
      <c r="AD416" s="772" t="str">
        <f t="shared" ca="1" si="165"/>
        <v>AUF LAGER</v>
      </c>
      <c r="AE416" s="605"/>
      <c r="AF416" s="605"/>
      <c r="AG416" s="615"/>
      <c r="AH416" s="616"/>
      <c r="AI416" s="615"/>
      <c r="AJ416" s="617"/>
      <c r="AK416" s="617"/>
      <c r="AL416" s="617"/>
      <c r="AM416" s="617"/>
      <c r="AO416" s="567" t="str">
        <f t="shared" si="144"/>
        <v/>
      </c>
      <c r="AP416" s="568" t="str">
        <f>IF(AB416=$V$3,IF(VLOOKUP(C416,[1]List1!$A:$E,5,FALSE)=0,1,VLOOKUP(C416,[1]List1!$A:$E,5,FALSE)),"")</f>
        <v/>
      </c>
      <c r="AQ416" s="292" t="str">
        <f t="shared" si="145"/>
        <v/>
      </c>
      <c r="AR416" s="618" t="str">
        <f t="shared" si="146"/>
        <v/>
      </c>
      <c r="AS416" s="292" t="str">
        <f t="shared" si="147"/>
        <v/>
      </c>
      <c r="AT416" s="377" t="e">
        <f t="shared" si="148"/>
        <v>#N/A</v>
      </c>
      <c r="AU416" s="292" t="e">
        <f t="shared" si="149"/>
        <v>#N/A</v>
      </c>
    </row>
    <row r="417" spans="1:47" ht="15" customHeight="1">
      <c r="A417" s="601" t="str">
        <f>Kat.!$B$1&amp;Kat.!B415</f>
        <v/>
      </c>
      <c r="B417" s="601">
        <f t="shared" si="166"/>
        <v>0</v>
      </c>
      <c r="C417" s="163"/>
      <c r="D417" s="235"/>
      <c r="E417" s="604"/>
      <c r="F417" s="605"/>
      <c r="G417" s="606"/>
      <c r="H417" s="607"/>
      <c r="I417" s="636"/>
      <c r="J417" s="609"/>
      <c r="K417" s="708"/>
      <c r="L417" s="611"/>
      <c r="M417" s="609"/>
      <c r="N417" s="612"/>
      <c r="O417" s="608"/>
      <c r="P417" s="608"/>
      <c r="Q417" s="609"/>
      <c r="R417" s="609"/>
      <c r="S417" s="609"/>
      <c r="T417" s="609"/>
      <c r="U417" s="613"/>
      <c r="V417" s="613"/>
      <c r="W417" s="601" t="str">
        <f>IFERROR(VLOOKUP('General price list'!$C417,Popisy!A:P,MATCH($W$17,Popisy!$A$7:$P$7,0),FALSE),"---------------")</f>
        <v>---------------</v>
      </c>
      <c r="X417" s="601" t="str">
        <f t="shared" si="164"/>
        <v/>
      </c>
      <c r="Y417" s="770">
        <f>IF(OR(AP417&lt;AA417,AND(NOT(OR(LEFT(AB417,3)="SKL",LEFT(AB417,3)=LEFT($V$2,3))),AA417&gt;0),AND('Deutsche Markt'!$AH$1=FALSE,J417="F4",AA417&gt;0)),"",AA417)</f>
        <v>0</v>
      </c>
      <c r="Z417" s="601"/>
      <c r="AA417" s="771">
        <f>'Deutsche Markt'!AA417</f>
        <v>0</v>
      </c>
      <c r="AB417" s="614" t="str">
        <f>IFERROR(IF(VLOOKUP(C417,[1]List1!$A:$D,2,FALSE)="VYPRODÁNO",$V$9,IF(VLOOKUP(C417,[1]List1!$A:$D,2,FALSE)="DOCHÁZÍ",$V$3,VLOOKUP(C417,[1]List1!$A:$D,2,FALSE))),"OFFLINE!")</f>
        <v>OFFLINE!</v>
      </c>
      <c r="AC417" s="614" t="str">
        <f ca="1">IF(AO417="NE",$V$10,IF(AB417=$V$3,IF(AP417&lt;1,$V$8,$V$2&amp;" "&amp;AP417&amp;" "&amp;$V$1),IF(AB417="SKLADEM",$V$6,IFERROR(IF(OR(AB417-TODAY()&gt;21,VLOOKUP(C417,[1]List1!$A:$E,4,FALSE)=0),AB417,DAY(AB417)&amp;"."&amp;MONTH(AB417)&amp;"."&amp;YEAR(AB417)&amp;" "&amp;$V$4&amp;VLOOKUP(C417,[1]List1!$A:$E,4,FALSE)&amp;" "&amp;$V$1),AB417))))</f>
        <v>OFFLINE!</v>
      </c>
      <c r="AD417" s="614" t="str">
        <f t="shared" ca="1" si="165"/>
        <v>OFFLINE!</v>
      </c>
      <c r="AE417" s="605"/>
      <c r="AF417" s="605"/>
      <c r="AG417" s="615"/>
      <c r="AH417" s="616"/>
      <c r="AI417" s="615"/>
      <c r="AJ417" s="617"/>
      <c r="AK417" s="617"/>
      <c r="AL417" s="617"/>
      <c r="AM417" s="617"/>
      <c r="AO417" s="567" t="str">
        <f t="shared" si="144"/>
        <v/>
      </c>
      <c r="AP417" s="568" t="str">
        <f>IF(AB417=$V$3,IF(VLOOKUP(C417,[1]List1!$A:$E,5,FALSE)=0,1,VLOOKUP(C417,[1]List1!$A:$E,5,FALSE)),"")</f>
        <v/>
      </c>
      <c r="AQ417" s="292" t="str">
        <f t="shared" si="145"/>
        <v/>
      </c>
      <c r="AR417" s="618" t="str">
        <f t="shared" si="146"/>
        <v/>
      </c>
      <c r="AS417" s="292" t="str">
        <f t="shared" si="147"/>
        <v/>
      </c>
      <c r="AT417" s="377" t="e">
        <f t="shared" si="148"/>
        <v>#N/A</v>
      </c>
      <c r="AU417" s="292" t="e">
        <f t="shared" si="149"/>
        <v>#N/A</v>
      </c>
    </row>
    <row r="418" spans="1:47" ht="15" customHeight="1">
      <c r="A418" s="601" t="str">
        <f>Kat.!B416</f>
        <v/>
      </c>
      <c r="B418" s="601">
        <f t="shared" si="166"/>
        <v>1</v>
      </c>
      <c r="C418" s="783" t="s">
        <v>2384</v>
      </c>
      <c r="D418" s="776"/>
      <c r="E418" s="760"/>
      <c r="F418" s="761"/>
      <c r="G418" s="762"/>
      <c r="H418" s="596"/>
      <c r="I418" s="797"/>
      <c r="J418" s="764"/>
      <c r="K418" s="765"/>
      <c r="L418" s="766"/>
      <c r="M418" s="764"/>
      <c r="N418" s="767"/>
      <c r="O418" s="763"/>
      <c r="P418" s="763"/>
      <c r="Q418" s="764"/>
      <c r="R418" s="764"/>
      <c r="S418" s="764"/>
      <c r="T418" s="764"/>
      <c r="U418" s="768"/>
      <c r="V418" s="768"/>
      <c r="W418" s="769" t="str">
        <f>IFERROR(VLOOKUP('General price list'!$C418,Popisy!A:P,MATCH($W$17,Popisy!$A$7:$P$7,0),FALSE),"---------------")</f>
        <v>6 verschiedenfarbige Effekte</v>
      </c>
      <c r="X418" s="769" t="str">
        <f t="shared" si="164"/>
        <v/>
      </c>
      <c r="Y418" s="770">
        <f>IF(OR(AP418&lt;AA418,AND(NOT(OR(LEFT(AB418,3)="SKL",LEFT(AB418,3)=LEFT($V$2,3))),AA418&gt;0),AND('Deutsche Markt'!$AH$1=FALSE,J418="F4",AA418&gt;0)),"",AA418)</f>
        <v>0</v>
      </c>
      <c r="Z418" s="769"/>
      <c r="AA418" s="771">
        <f>'Deutsche Markt'!AA418</f>
        <v>0</v>
      </c>
      <c r="AB418" s="772" t="str">
        <f>IFERROR(IF(VLOOKUP(C418,[1]List1!$A:$D,2,FALSE)="VYPRODÁNO",$V$9,IF(VLOOKUP(C418,[1]List1!$A:$D,2,FALSE)="DOCHÁZÍ",$V$3,VLOOKUP(C418,[1]List1!$A:$D,2,FALSE))),"OFFLINE!")</f>
        <v>SKLADEM</v>
      </c>
      <c r="AC418" s="772" t="str">
        <f ca="1">IF(AO418="NE",$V$10,IF(AB418=$V$3,IF(AP418&lt;1,$V$8,$V$2&amp;" "&amp;AP418&amp;" "&amp;$V$1),IF(AB418="SKLADEM",$V$6,IFERROR(IF(OR(AB418-TODAY()&gt;21,VLOOKUP(C418,[1]List1!$A:$E,4,FALSE)=0),AB418,DAY(AB418)&amp;"."&amp;MONTH(AB418)&amp;"."&amp;YEAR(AB418)&amp;" "&amp;$V$4&amp;VLOOKUP(C418,[1]List1!$A:$E,4,FALSE)&amp;" "&amp;$V$1),AB418))))</f>
        <v>AUF LAGER</v>
      </c>
      <c r="AD418" s="772" t="str">
        <f t="shared" ca="1" si="165"/>
        <v>AUF LAGER</v>
      </c>
      <c r="AE418" s="605"/>
      <c r="AF418" s="605"/>
      <c r="AG418" s="615"/>
      <c r="AH418" s="616"/>
      <c r="AI418" s="615"/>
      <c r="AJ418" s="617"/>
      <c r="AK418" s="617"/>
      <c r="AL418" s="617"/>
      <c r="AM418" s="617"/>
      <c r="AO418" s="567" t="str">
        <f t="shared" si="144"/>
        <v/>
      </c>
      <c r="AP418" s="568" t="str">
        <f>IF(AB418=$V$3,IF(VLOOKUP(C418,[1]List1!$A:$E,5,FALSE)=0,1,VLOOKUP(C418,[1]List1!$A:$E,5,FALSE)),"")</f>
        <v/>
      </c>
      <c r="AQ418" s="292" t="str">
        <f t="shared" si="145"/>
        <v/>
      </c>
      <c r="AR418" s="618" t="str">
        <f t="shared" si="146"/>
        <v/>
      </c>
      <c r="AS418" s="292" t="str">
        <f t="shared" si="147"/>
        <v/>
      </c>
      <c r="AT418" s="377" t="e">
        <f t="shared" si="148"/>
        <v>#N/A</v>
      </c>
      <c r="AU418" s="292" t="e">
        <f t="shared" si="149"/>
        <v>#N/A</v>
      </c>
    </row>
    <row r="419" spans="1:47" ht="15" customHeight="1">
      <c r="A419" s="601" t="str">
        <f>Kat.!B417</f>
        <v>Batterien 39 schuss, 20+25+30mm schräg+V+W Mörser-1.4G</v>
      </c>
      <c r="B419" s="601">
        <f t="shared" si="166"/>
        <v>0</v>
      </c>
      <c r="C419" s="783"/>
      <c r="D419" s="776"/>
      <c r="E419" s="760"/>
      <c r="F419" s="761"/>
      <c r="G419" s="762"/>
      <c r="H419" s="596"/>
      <c r="I419" s="797"/>
      <c r="J419" s="764"/>
      <c r="K419" s="773"/>
      <c r="L419" s="766"/>
      <c r="M419" s="764"/>
      <c r="N419" s="767"/>
      <c r="O419" s="763"/>
      <c r="P419" s="763"/>
      <c r="Q419" s="764"/>
      <c r="R419" s="764"/>
      <c r="S419" s="764"/>
      <c r="T419" s="764"/>
      <c r="U419" s="768"/>
      <c r="V419" s="768"/>
      <c r="W419" s="769"/>
      <c r="X419" s="769"/>
      <c r="Y419" s="770">
        <f>IF(OR(AP419&lt;AA419,AND(NOT(OR(LEFT(AB419,3)="SKL",LEFT(AB419,3)=LEFT($V$2,3))),AA419&gt;0),AND('Deutsche Markt'!$AH$1=FALSE,J419="F4",AA419&gt;0)),"",AA419)</f>
        <v>0</v>
      </c>
      <c r="Z419" s="769"/>
      <c r="AA419" s="771">
        <f>'Deutsche Markt'!AA419</f>
        <v>0</v>
      </c>
      <c r="AB419" s="772"/>
      <c r="AC419" s="772"/>
      <c r="AD419" s="772"/>
      <c r="AE419" s="605"/>
      <c r="AF419" s="605"/>
      <c r="AG419" s="615"/>
      <c r="AH419" s="616"/>
      <c r="AI419" s="615"/>
      <c r="AJ419" s="617"/>
      <c r="AK419" s="617"/>
      <c r="AL419" s="617"/>
      <c r="AM419" s="617"/>
      <c r="AO419" s="567" t="str">
        <f t="shared" ref="AO419:AO482" si="167">IF($AK$3=1,IF(Y419=AA419,"","NE"),IF(AQ419=$V$10,"NE",""))</f>
        <v/>
      </c>
      <c r="AP419" s="568" t="str">
        <f>IF(AB419=$V$3,IF(VLOOKUP(C419,[1]List1!$A:$E,5,FALSE)=0,1,VLOOKUP(C419,[1]List1!$A:$E,5,FALSE)),"")</f>
        <v/>
      </c>
      <c r="AQ419" s="292" t="str">
        <f t="shared" ref="AQ419:AQ482" si="168">IF($AK$3=1,"",IF(OR(AA419&lt;&gt;"",AA419&lt;&gt;0),IF(OR(AB419=$V$6,AB419=$V$3,AB419=$V$9),$V$10,""),""))</f>
        <v/>
      </c>
      <c r="AR419" s="618" t="str">
        <f t="shared" ref="AR419:AR482" si="169">IF(AS419&lt;&gt;"","X","")</f>
        <v/>
      </c>
      <c r="AS419" s="292" t="str">
        <f t="shared" ref="AS419:AS482" si="170">IF(AND($AK$3=2,AQ419="",AA419&lt;&gt;""),AC419,"")</f>
        <v/>
      </c>
      <c r="AT419" s="377" t="e">
        <f t="shared" ref="AT419:AT482" si="171">IF(AS419=$AR$21,AA419,"")</f>
        <v>#N/A</v>
      </c>
      <c r="AU419" s="292" t="e">
        <f t="shared" ref="AU419:AU482" si="172">IF(OR(AA419="",AND(AS419&lt;&gt;"",AT419&lt;&gt;"")),"",$V$10)</f>
        <v>#N/A</v>
      </c>
    </row>
    <row r="420" spans="1:47" ht="15" customHeight="1">
      <c r="A420" s="601" t="str">
        <f>Kat.!$B$1&amp;Kat.!B418</f>
        <v>x</v>
      </c>
      <c r="B420" s="601">
        <f t="shared" si="166"/>
        <v>1</v>
      </c>
      <c r="C420" s="163" t="s">
        <v>1519</v>
      </c>
      <c r="D420" s="235"/>
      <c r="E420" s="604"/>
      <c r="F420" s="605"/>
      <c r="G420" s="606"/>
      <c r="H420" s="607"/>
      <c r="I420" s="636"/>
      <c r="J420" s="609"/>
      <c r="K420" s="708"/>
      <c r="L420" s="611"/>
      <c r="M420" s="609"/>
      <c r="N420" s="612"/>
      <c r="O420" s="608"/>
      <c r="P420" s="608"/>
      <c r="Q420" s="609"/>
      <c r="R420" s="609"/>
      <c r="S420" s="609"/>
      <c r="T420" s="609"/>
      <c r="U420" s="613"/>
      <c r="V420" s="613"/>
      <c r="W420" s="601" t="str">
        <f>IFERROR(VLOOKUP('General price list'!$C420,Popisy!A:P,MATCH($W$17,Popisy!$A$7:$P$7,0),FALSE),"---------------")</f>
        <v>7 verschiedenfarbige Effekte</v>
      </c>
      <c r="X420" s="601" t="str">
        <f t="shared" ref="X420:X421" si="173">IF(AA420&lt;0.0001,"",AA420)</f>
        <v/>
      </c>
      <c r="Y420" s="770">
        <f>IF(OR(AP420&lt;AA420,AND(NOT(OR(LEFT(AB420,3)="SKL",LEFT(AB420,3)=LEFT($V$2,3))),AA420&gt;0),AND('Deutsche Markt'!$AH$1=FALSE,J420="F4",AA420&gt;0)),"",AA420)</f>
        <v>0</v>
      </c>
      <c r="Z420" s="601"/>
      <c r="AA420" s="771">
        <f>'Deutsche Markt'!AA420</f>
        <v>0</v>
      </c>
      <c r="AB420" s="614" t="str">
        <f>IFERROR(IF(VLOOKUP(C420,[1]List1!$A:$D,2,FALSE)="VYPRODÁNO",$V$9,IF(VLOOKUP(C420,[1]List1!$A:$D,2,FALSE)="DOCHÁZÍ",$V$3,VLOOKUP(C420,[1]List1!$A:$D,2,FALSE))),"OFFLINE!")</f>
        <v>SKLADEM</v>
      </c>
      <c r="AC420" s="614" t="str">
        <f ca="1">IF(AO420="NE",$V$10,IF(AB420=$V$3,IF(AP420&lt;1,$V$8,$V$2&amp;" "&amp;AP420&amp;" "&amp;$V$1),IF(AB420="SKLADEM",$V$6,IFERROR(IF(OR(AB420-TODAY()&gt;21,VLOOKUP(C420,[1]List1!$A:$E,4,FALSE)=0),AB420,DAY(AB420)&amp;"."&amp;MONTH(AB420)&amp;"."&amp;YEAR(AB420)&amp;" "&amp;$V$4&amp;VLOOKUP(C420,[1]List1!$A:$E,4,FALSE)&amp;" "&amp;$V$1),AB420))))</f>
        <v>AUF LAGER</v>
      </c>
      <c r="AD420" s="614" t="str">
        <f t="shared" ref="AD420:AD421" ca="1" si="174">IFERROR(IF(AU420&lt;&gt;"",AU420,AC420),AC420)</f>
        <v>AUF LAGER</v>
      </c>
      <c r="AE420" s="605"/>
      <c r="AF420" s="605"/>
      <c r="AG420" s="615"/>
      <c r="AH420" s="616"/>
      <c r="AI420" s="615"/>
      <c r="AJ420" s="617"/>
      <c r="AK420" s="617"/>
      <c r="AL420" s="617"/>
      <c r="AM420" s="617"/>
      <c r="AO420" s="567" t="str">
        <f t="shared" si="167"/>
        <v/>
      </c>
      <c r="AP420" s="568" t="str">
        <f>IF(AB420=$V$3,IF(VLOOKUP(C420,[1]List1!$A:$E,5,FALSE)=0,1,VLOOKUP(C420,[1]List1!$A:$E,5,FALSE)),"")</f>
        <v/>
      </c>
      <c r="AQ420" s="292" t="str">
        <f t="shared" si="168"/>
        <v/>
      </c>
      <c r="AR420" s="618" t="str">
        <f t="shared" si="169"/>
        <v/>
      </c>
      <c r="AS420" s="292" t="str">
        <f t="shared" si="170"/>
        <v/>
      </c>
      <c r="AT420" s="377" t="e">
        <f t="shared" si="171"/>
        <v>#N/A</v>
      </c>
      <c r="AU420" s="292" t="e">
        <f t="shared" si="172"/>
        <v>#N/A</v>
      </c>
    </row>
    <row r="421" spans="1:47" ht="15" customHeight="1">
      <c r="A421" s="601" t="str">
        <f>Kat.!B419</f>
        <v>Batterien 50 schuss, 20+25+30mm gerader+schräg+S Mörser-1.4G</v>
      </c>
      <c r="B421" s="601">
        <f t="shared" si="166"/>
        <v>0</v>
      </c>
      <c r="C421" s="783"/>
      <c r="D421" s="776"/>
      <c r="E421" s="760"/>
      <c r="F421" s="761"/>
      <c r="G421" s="762"/>
      <c r="H421" s="596"/>
      <c r="I421" s="797"/>
      <c r="J421" s="764"/>
      <c r="K421" s="781"/>
      <c r="L421" s="766"/>
      <c r="M421" s="764"/>
      <c r="N421" s="767"/>
      <c r="O421" s="763"/>
      <c r="P421" s="763"/>
      <c r="Q421" s="764"/>
      <c r="R421" s="764"/>
      <c r="S421" s="764"/>
      <c r="T421" s="764"/>
      <c r="U421" s="768"/>
      <c r="V421" s="768"/>
      <c r="W421" s="769" t="str">
        <f>IFERROR(VLOOKUP('General price list'!$C421,Popisy!A:P,MATCH($W$17,Popisy!$A$7:$P$7,0),FALSE),"---------------")</f>
        <v>---------------</v>
      </c>
      <c r="X421" s="769" t="str">
        <f t="shared" si="173"/>
        <v/>
      </c>
      <c r="Y421" s="770">
        <f>IF(OR(AP421&lt;AA421,AND(NOT(OR(LEFT(AB421,3)="SKL",LEFT(AB421,3)=LEFT($V$2,3))),AA421&gt;0),AND('Deutsche Markt'!$AH$1=FALSE,J421="F4",AA421&gt;0)),"",AA421)</f>
        <v>0</v>
      </c>
      <c r="Z421" s="769"/>
      <c r="AA421" s="771">
        <f>'Deutsche Markt'!AA421</f>
        <v>0</v>
      </c>
      <c r="AB421" s="772" t="str">
        <f>IFERROR(IF(VLOOKUP(C421,[1]List1!$A:$D,2,FALSE)="VYPRODÁNO",$V$9,IF(VLOOKUP(C421,[1]List1!$A:$D,2,FALSE)="DOCHÁZÍ",$V$3,VLOOKUP(C421,[1]List1!$A:$D,2,FALSE))),"OFFLINE!")</f>
        <v>OFFLINE!</v>
      </c>
      <c r="AC421" s="772" t="str">
        <f ca="1">IF(AO421="NE",$V$10,IF(AB421=$V$3,IF(AP421&lt;1,$V$8,$V$2&amp;" "&amp;AP421&amp;" "&amp;$V$1),IF(AB421="SKLADEM",$V$6,IFERROR(IF(OR(AB421-TODAY()&gt;21,VLOOKUP(C421,[1]List1!$A:$E,4,FALSE)=0),AB421,DAY(AB421)&amp;"."&amp;MONTH(AB421)&amp;"."&amp;YEAR(AB421)&amp;" "&amp;$V$4&amp;VLOOKUP(C421,[1]List1!$A:$E,4,FALSE)&amp;" "&amp;$V$1),AB421))))</f>
        <v>OFFLINE!</v>
      </c>
      <c r="AD421" s="772" t="str">
        <f t="shared" ca="1" si="174"/>
        <v>OFFLINE!</v>
      </c>
      <c r="AE421" s="605"/>
      <c r="AF421" s="605"/>
      <c r="AG421" s="615"/>
      <c r="AH421" s="616"/>
      <c r="AI421" s="615"/>
      <c r="AJ421" s="617"/>
      <c r="AK421" s="617"/>
      <c r="AL421" s="617"/>
      <c r="AM421" s="617"/>
      <c r="AO421" s="567" t="str">
        <f t="shared" si="167"/>
        <v/>
      </c>
      <c r="AP421" s="568" t="str">
        <f>IF(AB421=$V$3,IF(VLOOKUP(C421,[1]List1!$A:$E,5,FALSE)=0,1,VLOOKUP(C421,[1]List1!$A:$E,5,FALSE)),"")</f>
        <v/>
      </c>
      <c r="AQ421" s="292" t="str">
        <f t="shared" si="168"/>
        <v/>
      </c>
      <c r="AR421" s="618" t="str">
        <f t="shared" si="169"/>
        <v/>
      </c>
      <c r="AS421" s="292" t="str">
        <f t="shared" si="170"/>
        <v/>
      </c>
      <c r="AT421" s="377" t="e">
        <f t="shared" si="171"/>
        <v>#N/A</v>
      </c>
      <c r="AU421" s="292" t="e">
        <f t="shared" si="172"/>
        <v>#N/A</v>
      </c>
    </row>
    <row r="422" spans="1:47" ht="15" customHeight="1">
      <c r="A422" s="601" t="str">
        <f>Kat.!B420</f>
        <v>x</v>
      </c>
      <c r="B422" s="601">
        <f t="shared" si="166"/>
        <v>1</v>
      </c>
      <c r="C422" s="783" t="s">
        <v>1525</v>
      </c>
      <c r="D422" s="776"/>
      <c r="E422" s="760"/>
      <c r="F422" s="761"/>
      <c r="G422" s="762"/>
      <c r="H422" s="596"/>
      <c r="I422" s="797"/>
      <c r="J422" s="764"/>
      <c r="K422" s="774"/>
      <c r="L422" s="766"/>
      <c r="M422" s="764"/>
      <c r="N422" s="767"/>
      <c r="O422" s="763"/>
      <c r="P422" s="763"/>
      <c r="Q422" s="764"/>
      <c r="R422" s="764"/>
      <c r="S422" s="764"/>
      <c r="T422" s="764"/>
      <c r="U422" s="768"/>
      <c r="V422" s="768"/>
      <c r="W422" s="769"/>
      <c r="X422" s="769"/>
      <c r="Y422" s="770">
        <f>IF(OR(AP422&lt;AA422,AND(NOT(OR(LEFT(AB422,3)="SKL",LEFT(AB422,3)=LEFT($V$2,3))),AA422&gt;0),AND('Deutsche Markt'!$AH$1=FALSE,J422="F4",AA422&gt;0)),"",AA422)</f>
        <v>0</v>
      </c>
      <c r="Z422" s="769"/>
      <c r="AA422" s="771">
        <f>'Deutsche Markt'!AA422</f>
        <v>0</v>
      </c>
      <c r="AB422" s="772"/>
      <c r="AC422" s="772"/>
      <c r="AD422" s="772"/>
      <c r="AE422" s="605"/>
      <c r="AF422" s="605"/>
      <c r="AG422" s="615"/>
      <c r="AH422" s="616"/>
      <c r="AI422" s="615"/>
      <c r="AJ422" s="617"/>
      <c r="AK422" s="617"/>
      <c r="AL422" s="617"/>
      <c r="AM422" s="617"/>
      <c r="AO422" s="567" t="str">
        <f t="shared" si="167"/>
        <v/>
      </c>
      <c r="AP422" s="568" t="str">
        <f>IF(AB422=$V$3,IF(VLOOKUP(C422,[1]List1!$A:$E,5,FALSE)=0,1,VLOOKUP(C422,[1]List1!$A:$E,5,FALSE)),"")</f>
        <v/>
      </c>
      <c r="AQ422" s="292" t="str">
        <f t="shared" si="168"/>
        <v/>
      </c>
      <c r="AR422" s="618" t="str">
        <f t="shared" si="169"/>
        <v/>
      </c>
      <c r="AS422" s="292" t="str">
        <f t="shared" si="170"/>
        <v/>
      </c>
      <c r="AT422" s="377" t="e">
        <f t="shared" si="171"/>
        <v>#N/A</v>
      </c>
      <c r="AU422" s="292" t="e">
        <f t="shared" si="172"/>
        <v>#N/A</v>
      </c>
    </row>
    <row r="423" spans="1:47" ht="15" customHeight="1">
      <c r="A423" s="601" t="str">
        <f>Kat.!B421</f>
        <v>Batterien 64 schuss, 20+25mm Mörser-1.4G</v>
      </c>
      <c r="B423" s="601">
        <f t="shared" si="166"/>
        <v>0</v>
      </c>
      <c r="C423" s="783"/>
      <c r="D423" s="776"/>
      <c r="E423" s="760"/>
      <c r="F423" s="761"/>
      <c r="G423" s="762"/>
      <c r="H423" s="596"/>
      <c r="I423" s="797"/>
      <c r="J423" s="764"/>
      <c r="K423" s="781"/>
      <c r="L423" s="766"/>
      <c r="M423" s="764"/>
      <c r="N423" s="767"/>
      <c r="O423" s="763"/>
      <c r="P423" s="763"/>
      <c r="Q423" s="764"/>
      <c r="R423" s="764"/>
      <c r="S423" s="764"/>
      <c r="T423" s="764"/>
      <c r="U423" s="768"/>
      <c r="V423" s="768"/>
      <c r="W423" s="769" t="str">
        <f>IFERROR(VLOOKUP('General price list'!$C423,Popisy!A:P,MATCH($W$17,Popisy!$A$7:$P$7,0),FALSE),"---------------")</f>
        <v>---------------</v>
      </c>
      <c r="X423" s="769" t="str">
        <f t="shared" ref="X423:X426" si="175">IF(AA423&lt;0.0001,"",AA423)</f>
        <v/>
      </c>
      <c r="Y423" s="770">
        <f>IF(OR(AP423&lt;AA423,AND(NOT(OR(LEFT(AB423,3)="SKL",LEFT(AB423,3)=LEFT($V$2,3))),AA423&gt;0),AND('Deutsche Markt'!$AH$1=FALSE,J423="F4",AA423&gt;0)),"",AA423)</f>
        <v>0</v>
      </c>
      <c r="Z423" s="769"/>
      <c r="AA423" s="771">
        <f>'Deutsche Markt'!AA423</f>
        <v>0</v>
      </c>
      <c r="AB423" s="772" t="str">
        <f>IFERROR(IF(VLOOKUP(C423,[1]List1!$A:$D,2,FALSE)="VYPRODÁNO",$V$9,IF(VLOOKUP(C423,[1]List1!$A:$D,2,FALSE)="DOCHÁZÍ",$V$3,VLOOKUP(C423,[1]List1!$A:$D,2,FALSE))),"OFFLINE!")</f>
        <v>OFFLINE!</v>
      </c>
      <c r="AC423" s="772" t="str">
        <f ca="1">IF(AO423="NE",$V$10,IF(AB423=$V$3,IF(AP423&lt;1,$V$8,$V$2&amp;" "&amp;AP423&amp;" "&amp;$V$1),IF(AB423="SKLADEM",$V$6,IFERROR(IF(OR(AB423-TODAY()&gt;21,VLOOKUP(C423,[1]List1!$A:$E,4,FALSE)=0),AB423,DAY(AB423)&amp;"."&amp;MONTH(AB423)&amp;"."&amp;YEAR(AB423)&amp;" "&amp;$V$4&amp;VLOOKUP(C423,[1]List1!$A:$E,4,FALSE)&amp;" "&amp;$V$1),AB423))))</f>
        <v>OFFLINE!</v>
      </c>
      <c r="AD423" s="772" t="str">
        <f t="shared" ref="AD423:AD426" ca="1" si="176">IFERROR(IF(AU423&lt;&gt;"",AU423,AC423),AC423)</f>
        <v>OFFLINE!</v>
      </c>
      <c r="AE423" s="605"/>
      <c r="AF423" s="605"/>
      <c r="AG423" s="615"/>
      <c r="AH423" s="616"/>
      <c r="AI423" s="615"/>
      <c r="AJ423" s="617"/>
      <c r="AK423" s="617"/>
      <c r="AL423" s="617"/>
      <c r="AM423" s="617"/>
      <c r="AO423" s="567" t="str">
        <f t="shared" si="167"/>
        <v/>
      </c>
      <c r="AP423" s="568" t="str">
        <f>IF(AB423=$V$3,IF(VLOOKUP(C423,[1]List1!$A:$E,5,FALSE)=0,1,VLOOKUP(C423,[1]List1!$A:$E,5,FALSE)),"")</f>
        <v/>
      </c>
      <c r="AQ423" s="292" t="str">
        <f t="shared" si="168"/>
        <v/>
      </c>
      <c r="AR423" s="618" t="str">
        <f t="shared" si="169"/>
        <v/>
      </c>
      <c r="AS423" s="292" t="str">
        <f t="shared" si="170"/>
        <v/>
      </c>
      <c r="AT423" s="377" t="e">
        <f t="shared" si="171"/>
        <v>#N/A</v>
      </c>
      <c r="AU423" s="292" t="e">
        <f t="shared" si="172"/>
        <v>#N/A</v>
      </c>
    </row>
    <row r="424" spans="1:47" ht="15" customHeight="1">
      <c r="A424" s="601" t="str">
        <f>Kat.!B422</f>
        <v>x</v>
      </c>
      <c r="B424" s="601">
        <f t="shared" si="166"/>
        <v>1</v>
      </c>
      <c r="C424" s="783" t="s">
        <v>2388</v>
      </c>
      <c r="D424" s="776"/>
      <c r="E424" s="760"/>
      <c r="F424" s="761"/>
      <c r="G424" s="762"/>
      <c r="H424" s="596"/>
      <c r="I424" s="797"/>
      <c r="J424" s="764"/>
      <c r="K424" s="774"/>
      <c r="L424" s="766"/>
      <c r="M424" s="764"/>
      <c r="N424" s="767"/>
      <c r="O424" s="763"/>
      <c r="P424" s="763"/>
      <c r="Q424" s="764"/>
      <c r="R424" s="764"/>
      <c r="S424" s="764"/>
      <c r="T424" s="764"/>
      <c r="U424" s="768"/>
      <c r="V424" s="768"/>
      <c r="W424" s="769" t="str">
        <f>IFERROR(VLOOKUP('General price list'!$C424,Popisy!A:P,MATCH($W$17,Popisy!$A$7:$P$7,0),FALSE),"---------------")</f>
        <v>14 verschiedenfarbige Effekte</v>
      </c>
      <c r="X424" s="769" t="str">
        <f t="shared" si="175"/>
        <v/>
      </c>
      <c r="Y424" s="770">
        <f>IF(OR(AP424&lt;AA424,AND(NOT(OR(LEFT(AB424,3)="SKL",LEFT(AB424,3)=LEFT($V$2,3))),AA424&gt;0),AND('Deutsche Markt'!$AH$1=FALSE,J424="F4",AA424&gt;0)),"",AA424)</f>
        <v>0</v>
      </c>
      <c r="Z424" s="769"/>
      <c r="AA424" s="771">
        <f>'Deutsche Markt'!AA424</f>
        <v>0</v>
      </c>
      <c r="AB424" s="772" t="str">
        <f>IFERROR(IF(VLOOKUP(C424,[1]List1!$A:$D,2,FALSE)="VYPRODÁNO",$V$9,IF(VLOOKUP(C424,[1]List1!$A:$D,2,FALSE)="DOCHÁZÍ",$V$3,VLOOKUP(C424,[1]List1!$A:$D,2,FALSE))),"OFFLINE!")</f>
        <v>LETZTE STÜCKE</v>
      </c>
      <c r="AC424" s="772" t="str">
        <f ca="1">IF(AO424="NE",$V$10,IF(AB424=$V$3,IF(AP424&lt;1,$V$8,$V$2&amp;" "&amp;AP424&amp;" "&amp;$V$1),IF(AB424="SKLADEM",$V$6,IFERROR(IF(OR(AB424-TODAY()&gt;21,VLOOKUP(C424,[1]List1!$A:$E,4,FALSE)=0),AB424,DAY(AB424)&amp;"."&amp;MONTH(AB424)&amp;"."&amp;YEAR(AB424)&amp;" "&amp;$V$4&amp;VLOOKUP(C424,[1]List1!$A:$E,4,FALSE)&amp;" "&amp;$V$1),AB424))))</f>
        <v>LETZTE 4 KTN</v>
      </c>
      <c r="AD424" s="772" t="str">
        <f t="shared" ca="1" si="176"/>
        <v>LETZTE 4 KTN</v>
      </c>
      <c r="AE424" s="605"/>
      <c r="AF424" s="605"/>
      <c r="AG424" s="615"/>
      <c r="AH424" s="616"/>
      <c r="AI424" s="615"/>
      <c r="AJ424" s="617"/>
      <c r="AK424" s="617"/>
      <c r="AL424" s="617"/>
      <c r="AM424" s="617"/>
      <c r="AO424" s="567" t="str">
        <f t="shared" si="167"/>
        <v/>
      </c>
      <c r="AP424" s="568">
        <f>IF(AB424=$V$3,IF(VLOOKUP(C424,[1]List1!$A:$E,5,FALSE)=0,1,VLOOKUP(C424,[1]List1!$A:$E,5,FALSE)),"")</f>
        <v>4</v>
      </c>
      <c r="AQ424" s="292" t="str">
        <f t="shared" si="168"/>
        <v/>
      </c>
      <c r="AR424" s="618" t="str">
        <f t="shared" si="169"/>
        <v/>
      </c>
      <c r="AS424" s="292" t="str">
        <f t="shared" si="170"/>
        <v/>
      </c>
      <c r="AT424" s="377" t="e">
        <f t="shared" si="171"/>
        <v>#N/A</v>
      </c>
      <c r="AU424" s="292" t="e">
        <f t="shared" si="172"/>
        <v>#N/A</v>
      </c>
    </row>
    <row r="425" spans="1:47" ht="15" customHeight="1">
      <c r="A425" s="601" t="str">
        <f>Kat.!B423</f>
        <v>Batterien 68 schuss, 20+25+30mm Mörser(alle Richtungen)-1.4G</v>
      </c>
      <c r="B425" s="601">
        <f t="shared" si="166"/>
        <v>1</v>
      </c>
      <c r="C425" s="783" t="s">
        <v>2389</v>
      </c>
      <c r="D425" s="776"/>
      <c r="E425" s="760"/>
      <c r="F425" s="761"/>
      <c r="G425" s="762"/>
      <c r="H425" s="596"/>
      <c r="I425" s="797"/>
      <c r="J425" s="764"/>
      <c r="K425" s="781"/>
      <c r="L425" s="766"/>
      <c r="M425" s="764"/>
      <c r="N425" s="767"/>
      <c r="O425" s="763"/>
      <c r="P425" s="763"/>
      <c r="Q425" s="764"/>
      <c r="R425" s="764"/>
      <c r="S425" s="764"/>
      <c r="T425" s="764"/>
      <c r="U425" s="768"/>
      <c r="V425" s="768"/>
      <c r="W425" s="769" t="str">
        <f>IFERROR(VLOOKUP('General price list'!$C425,Popisy!A:P,MATCH($W$17,Popisy!$A$7:$P$7,0),FALSE),"---------------")</f>
        <v>14 verschiedenfarbige Effekte</v>
      </c>
      <c r="X425" s="769" t="str">
        <f t="shared" si="175"/>
        <v/>
      </c>
      <c r="Y425" s="770">
        <f>IF(OR(AP425&lt;AA425,AND(NOT(OR(LEFT(AB425,3)="SKL",LEFT(AB425,3)=LEFT($V$2,3))),AA425&gt;0),AND('Deutsche Markt'!$AH$1=FALSE,J425="F4",AA425&gt;0)),"",AA425)</f>
        <v>0</v>
      </c>
      <c r="Z425" s="769"/>
      <c r="AA425" s="771">
        <f>'Deutsche Markt'!AA425</f>
        <v>0</v>
      </c>
      <c r="AB425" s="772" t="str">
        <f>IFERROR(IF(VLOOKUP(C425,[1]List1!$A:$D,2,FALSE)="VYPRODÁNO",$V$9,IF(VLOOKUP(C425,[1]List1!$A:$D,2,FALSE)="DOCHÁZÍ",$V$3,VLOOKUP(C425,[1]List1!$A:$D,2,FALSE))),"OFFLINE!")</f>
        <v>SKLADEM</v>
      </c>
      <c r="AC425" s="772" t="str">
        <f ca="1">IF(AO425="NE",$V$10,IF(AB425=$V$3,IF(AP425&lt;1,$V$8,$V$2&amp;" "&amp;AP425&amp;" "&amp;$V$1),IF(AB425="SKLADEM",$V$6,IFERROR(IF(OR(AB425-TODAY()&gt;21,VLOOKUP(C425,[1]List1!$A:$E,4,FALSE)=0),AB425,DAY(AB425)&amp;"."&amp;MONTH(AB425)&amp;"."&amp;YEAR(AB425)&amp;" "&amp;$V$4&amp;VLOOKUP(C425,[1]List1!$A:$E,4,FALSE)&amp;" "&amp;$V$1),AB425))))</f>
        <v>AUF LAGER</v>
      </c>
      <c r="AD425" s="772" t="str">
        <f t="shared" ca="1" si="176"/>
        <v>AUF LAGER</v>
      </c>
      <c r="AE425" s="605"/>
      <c r="AF425" s="605"/>
      <c r="AG425" s="615"/>
      <c r="AH425" s="616"/>
      <c r="AI425" s="615"/>
      <c r="AJ425" s="617"/>
      <c r="AK425" s="617"/>
      <c r="AL425" s="617"/>
      <c r="AM425" s="617"/>
      <c r="AO425" s="567" t="str">
        <f t="shared" si="167"/>
        <v/>
      </c>
      <c r="AP425" s="568" t="str">
        <f>IF(AB425=$V$3,IF(VLOOKUP(C425,[1]List1!$A:$E,5,FALSE)=0,1,VLOOKUP(C425,[1]List1!$A:$E,5,FALSE)),"")</f>
        <v/>
      </c>
      <c r="AQ425" s="292" t="str">
        <f t="shared" si="168"/>
        <v/>
      </c>
      <c r="AR425" s="618" t="str">
        <f t="shared" si="169"/>
        <v/>
      </c>
      <c r="AS425" s="292" t="str">
        <f t="shared" si="170"/>
        <v/>
      </c>
      <c r="AT425" s="377" t="e">
        <f t="shared" si="171"/>
        <v>#N/A</v>
      </c>
      <c r="AU425" s="292" t="e">
        <f t="shared" si="172"/>
        <v>#N/A</v>
      </c>
    </row>
    <row r="426" spans="1:47" ht="15" customHeight="1">
      <c r="A426" s="601" t="str">
        <f>Kat.!B424</f>
        <v/>
      </c>
      <c r="B426" s="601">
        <f t="shared" si="166"/>
        <v>0</v>
      </c>
      <c r="C426" s="783"/>
      <c r="D426" s="776"/>
      <c r="E426" s="760"/>
      <c r="F426" s="761"/>
      <c r="G426" s="762"/>
      <c r="H426" s="596"/>
      <c r="I426" s="797"/>
      <c r="J426" s="764"/>
      <c r="K426" s="774"/>
      <c r="L426" s="766"/>
      <c r="M426" s="764"/>
      <c r="N426" s="767"/>
      <c r="O426" s="763"/>
      <c r="P426" s="763"/>
      <c r="Q426" s="764"/>
      <c r="R426" s="764"/>
      <c r="S426" s="764"/>
      <c r="T426" s="764"/>
      <c r="U426" s="768"/>
      <c r="V426" s="768"/>
      <c r="W426" s="769" t="str">
        <f>IFERROR(VLOOKUP('General price list'!$C426,Popisy!A:P,MATCH($W$17,Popisy!$A$7:$P$7,0),FALSE),"---------------")</f>
        <v>---------------</v>
      </c>
      <c r="X426" s="769" t="str">
        <f t="shared" si="175"/>
        <v/>
      </c>
      <c r="Y426" s="770">
        <f>IF(OR(AP426&lt;AA426,AND(NOT(OR(LEFT(AB426,3)="SKL",LEFT(AB426,3)=LEFT($V$2,3))),AA426&gt;0),AND('Deutsche Markt'!$AH$1=FALSE,J426="F4",AA426&gt;0)),"",AA426)</f>
        <v>0</v>
      </c>
      <c r="Z426" s="769"/>
      <c r="AA426" s="771">
        <f>'Deutsche Markt'!AA426</f>
        <v>0</v>
      </c>
      <c r="AB426" s="772" t="str">
        <f>IFERROR(IF(VLOOKUP(C426,[1]List1!$A:$D,2,FALSE)="VYPRODÁNO",$V$9,IF(VLOOKUP(C426,[1]List1!$A:$D,2,FALSE)="DOCHÁZÍ",$V$3,VLOOKUP(C426,[1]List1!$A:$D,2,FALSE))),"OFFLINE!")</f>
        <v>OFFLINE!</v>
      </c>
      <c r="AC426" s="772" t="str">
        <f ca="1">IF(AO426="NE",$V$10,IF(AB426=$V$3,IF(AP426&lt;1,$V$8,$V$2&amp;" "&amp;AP426&amp;" "&amp;$V$1),IF(AB426="SKLADEM",$V$6,IFERROR(IF(OR(AB426-TODAY()&gt;21,VLOOKUP(C426,[1]List1!$A:$E,4,FALSE)=0),AB426,DAY(AB426)&amp;"."&amp;MONTH(AB426)&amp;"."&amp;YEAR(AB426)&amp;" "&amp;$V$4&amp;VLOOKUP(C426,[1]List1!$A:$E,4,FALSE)&amp;" "&amp;$V$1),AB426))))</f>
        <v>OFFLINE!</v>
      </c>
      <c r="AD426" s="772" t="str">
        <f t="shared" ca="1" si="176"/>
        <v>OFFLINE!</v>
      </c>
      <c r="AE426" s="605"/>
      <c r="AF426" s="605"/>
      <c r="AG426" s="615"/>
      <c r="AH426" s="616"/>
      <c r="AI426" s="615"/>
      <c r="AJ426" s="617"/>
      <c r="AK426" s="617"/>
      <c r="AL426" s="617"/>
      <c r="AM426" s="617"/>
      <c r="AO426" s="567" t="str">
        <f t="shared" si="167"/>
        <v/>
      </c>
      <c r="AP426" s="568" t="str">
        <f>IF(AB426=$V$3,IF(VLOOKUP(C426,[1]List1!$A:$E,5,FALSE)=0,1,VLOOKUP(C426,[1]List1!$A:$E,5,FALSE)),"")</f>
        <v/>
      </c>
      <c r="AQ426" s="292" t="str">
        <f t="shared" si="168"/>
        <v/>
      </c>
      <c r="AR426" s="618" t="str">
        <f t="shared" si="169"/>
        <v/>
      </c>
      <c r="AS426" s="292" t="str">
        <f t="shared" si="170"/>
        <v/>
      </c>
      <c r="AT426" s="377" t="e">
        <f t="shared" si="171"/>
        <v>#N/A</v>
      </c>
      <c r="AU426" s="292" t="e">
        <f t="shared" si="172"/>
        <v>#N/A</v>
      </c>
    </row>
    <row r="427" spans="1:47" ht="15" customHeight="1">
      <c r="A427" s="601" t="str">
        <f>Kat.!B425</f>
        <v>x</v>
      </c>
      <c r="B427" s="601">
        <f t="shared" si="166"/>
        <v>1</v>
      </c>
      <c r="C427" s="783" t="s">
        <v>5248</v>
      </c>
      <c r="D427" s="776"/>
      <c r="E427" s="760"/>
      <c r="F427" s="761"/>
      <c r="G427" s="762"/>
      <c r="H427" s="596"/>
      <c r="I427" s="797"/>
      <c r="J427" s="764"/>
      <c r="K427" s="781"/>
      <c r="L427" s="766"/>
      <c r="M427" s="764"/>
      <c r="N427" s="767"/>
      <c r="O427" s="763"/>
      <c r="P427" s="763"/>
      <c r="Q427" s="764"/>
      <c r="R427" s="764"/>
      <c r="S427" s="764"/>
      <c r="T427" s="764"/>
      <c r="U427" s="768"/>
      <c r="V427" s="768"/>
      <c r="W427" s="769"/>
      <c r="X427" s="769"/>
      <c r="Y427" s="770">
        <f>IF(OR(AP427&lt;AA427,AND(NOT(OR(LEFT(AB427,3)="SKL",LEFT(AB427,3)=LEFT($V$2,3))),AA427&gt;0),AND('Deutsche Markt'!$AH$1=FALSE,J427="F4",AA427&gt;0)),"",AA427)</f>
        <v>0</v>
      </c>
      <c r="Z427" s="769"/>
      <c r="AA427" s="771">
        <f>'Deutsche Markt'!AA427</f>
        <v>0</v>
      </c>
      <c r="AB427" s="772"/>
      <c r="AC427" s="772"/>
      <c r="AD427" s="772"/>
      <c r="AE427" s="605"/>
      <c r="AF427" s="605"/>
      <c r="AG427" s="615"/>
      <c r="AH427" s="616"/>
      <c r="AI427" s="615"/>
      <c r="AJ427" s="617"/>
      <c r="AK427" s="617"/>
      <c r="AL427" s="617"/>
      <c r="AM427" s="617"/>
      <c r="AO427" s="567" t="str">
        <f t="shared" si="167"/>
        <v/>
      </c>
      <c r="AP427" s="568" t="str">
        <f>IF(AB427=$V$3,IF(VLOOKUP(C427,[1]List1!$A:$E,5,FALSE)=0,1,VLOOKUP(C427,[1]List1!$A:$E,5,FALSE)),"")</f>
        <v/>
      </c>
      <c r="AQ427" s="292" t="str">
        <f t="shared" si="168"/>
        <v/>
      </c>
      <c r="AR427" s="618" t="str">
        <f t="shared" si="169"/>
        <v/>
      </c>
      <c r="AS427" s="292" t="str">
        <f t="shared" si="170"/>
        <v/>
      </c>
      <c r="AT427" s="377" t="e">
        <f t="shared" si="171"/>
        <v>#N/A</v>
      </c>
      <c r="AU427" s="292" t="e">
        <f t="shared" si="172"/>
        <v>#N/A</v>
      </c>
    </row>
    <row r="428" spans="1:47" ht="15" customHeight="1">
      <c r="A428" s="601" t="str">
        <f>Kat.!B426</f>
        <v>Verbundfeurwerk, multikaliber F2 - 1.4G</v>
      </c>
      <c r="B428" s="601">
        <f t="shared" si="166"/>
        <v>1</v>
      </c>
      <c r="C428" s="783" t="s">
        <v>5250</v>
      </c>
      <c r="D428" s="776"/>
      <c r="E428" s="760"/>
      <c r="F428" s="761"/>
      <c r="G428" s="762"/>
      <c r="H428" s="596"/>
      <c r="I428" s="797"/>
      <c r="J428" s="764"/>
      <c r="K428" s="774"/>
      <c r="L428" s="766"/>
      <c r="M428" s="764"/>
      <c r="N428" s="767"/>
      <c r="O428" s="763"/>
      <c r="P428" s="763"/>
      <c r="Q428" s="764"/>
      <c r="R428" s="764"/>
      <c r="S428" s="764"/>
      <c r="T428" s="764"/>
      <c r="U428" s="768"/>
      <c r="V428" s="768"/>
      <c r="W428" s="769" t="str">
        <f>IFERROR(VLOOKUP('General price list'!$C428,Popisy!A:P,MATCH($W$17,Popisy!$A$7:$P$7,0),FALSE),"---------------")</f>
        <v>14 verschiedenfarbige Effekte</v>
      </c>
      <c r="X428" s="769" t="str">
        <f t="shared" ref="X428" si="177">IF(AA428&lt;0.0001,"",AA428)</f>
        <v/>
      </c>
      <c r="Y428" s="770">
        <f>IF(OR(AP428&lt;AA428,AND(NOT(OR(LEFT(AB428,3)="SKL",LEFT(AB428,3)=LEFT($V$2,3))),AA428&gt;0),AND('Deutsche Markt'!$AH$1=FALSE,J428="F4",AA428&gt;0)),"",AA428)</f>
        <v>0</v>
      </c>
      <c r="Z428" s="769"/>
      <c r="AA428" s="771">
        <f>'Deutsche Markt'!AA428</f>
        <v>0</v>
      </c>
      <c r="AB428" s="772" t="str">
        <f>IFERROR(IF(VLOOKUP(C428,[1]List1!$A:$D,2,FALSE)="VYPRODÁNO",$V$9,IF(VLOOKUP(C428,[1]List1!$A:$D,2,FALSE)="DOCHÁZÍ",$V$3,VLOOKUP(C428,[1]List1!$A:$D,2,FALSE))),"OFFLINE!")</f>
        <v>SKLADEM</v>
      </c>
      <c r="AC428" s="772" t="str">
        <f ca="1">IF(AO428="NE",$V$10,IF(AB428=$V$3,IF(AP428&lt;1,$V$8,$V$2&amp;" "&amp;AP428&amp;" "&amp;$V$1),IF(AB428="SKLADEM",$V$6,IFERROR(IF(OR(AB428-TODAY()&gt;21,VLOOKUP(C428,[1]List1!$A:$E,4,FALSE)=0),AB428,DAY(AB428)&amp;"."&amp;MONTH(AB428)&amp;"."&amp;YEAR(AB428)&amp;" "&amp;$V$4&amp;VLOOKUP(C428,[1]List1!$A:$E,4,FALSE)&amp;" "&amp;$V$1),AB428))))</f>
        <v>AUF LAGER</v>
      </c>
      <c r="AD428" s="772" t="str">
        <f t="shared" ref="AD428" ca="1" si="178">IFERROR(IF(AU428&lt;&gt;"",AU428,AC428),AC428)</f>
        <v>AUF LAGER</v>
      </c>
      <c r="AE428" s="605"/>
      <c r="AF428" s="605"/>
      <c r="AG428" s="615"/>
      <c r="AH428" s="616"/>
      <c r="AI428" s="615"/>
      <c r="AJ428" s="617"/>
      <c r="AK428" s="617"/>
      <c r="AL428" s="617"/>
      <c r="AM428" s="617"/>
      <c r="AO428" s="567" t="str">
        <f t="shared" si="167"/>
        <v/>
      </c>
      <c r="AP428" s="568" t="str">
        <f>IF(AB428=$V$3,IF(VLOOKUP(C428,[1]List1!$A:$E,5,FALSE)=0,1,VLOOKUP(C428,[1]List1!$A:$E,5,FALSE)),"")</f>
        <v/>
      </c>
      <c r="AQ428" s="292" t="str">
        <f t="shared" si="168"/>
        <v/>
      </c>
      <c r="AR428" s="618" t="str">
        <f t="shared" si="169"/>
        <v/>
      </c>
      <c r="AS428" s="292" t="str">
        <f t="shared" si="170"/>
        <v/>
      </c>
      <c r="AT428" s="377" t="e">
        <f t="shared" si="171"/>
        <v>#N/A</v>
      </c>
      <c r="AU428" s="292" t="e">
        <f t="shared" si="172"/>
        <v>#N/A</v>
      </c>
    </row>
    <row r="429" spans="1:47" ht="15" customHeight="1">
      <c r="A429" s="601" t="str">
        <f>Kat.!B427</f>
        <v/>
      </c>
      <c r="B429" s="601">
        <f t="shared" si="166"/>
        <v>1</v>
      </c>
      <c r="C429" s="783" t="s">
        <v>1537</v>
      </c>
      <c r="D429" s="776"/>
      <c r="E429" s="760"/>
      <c r="F429" s="761"/>
      <c r="G429" s="762"/>
      <c r="H429" s="596"/>
      <c r="I429" s="797"/>
      <c r="J429" s="764"/>
      <c r="K429" s="781"/>
      <c r="L429" s="766"/>
      <c r="M429" s="764"/>
      <c r="N429" s="767"/>
      <c r="O429" s="763"/>
      <c r="P429" s="763"/>
      <c r="Q429" s="764"/>
      <c r="R429" s="764"/>
      <c r="S429" s="764"/>
      <c r="T429" s="764"/>
      <c r="U429" s="768"/>
      <c r="V429" s="768"/>
      <c r="W429" s="769"/>
      <c r="X429" s="769"/>
      <c r="Y429" s="770">
        <f>IF(OR(AP429&lt;AA429,AND(NOT(OR(LEFT(AB429,3)="SKL",LEFT(AB429,3)=LEFT($V$2,3))),AA429&gt;0),AND('Deutsche Markt'!$AH$1=FALSE,J429="F4",AA429&gt;0)),"",AA429)</f>
        <v>0</v>
      </c>
      <c r="Z429" s="769"/>
      <c r="AA429" s="771">
        <f>'Deutsche Markt'!AA429</f>
        <v>0</v>
      </c>
      <c r="AB429" s="772"/>
      <c r="AC429" s="772"/>
      <c r="AD429" s="772"/>
      <c r="AE429" s="605"/>
      <c r="AF429" s="605"/>
      <c r="AG429" s="615"/>
      <c r="AH429" s="616"/>
      <c r="AI429" s="615"/>
      <c r="AJ429" s="617"/>
      <c r="AK429" s="617"/>
      <c r="AL429" s="617"/>
      <c r="AM429" s="617"/>
      <c r="AO429" s="567" t="str">
        <f t="shared" si="167"/>
        <v/>
      </c>
      <c r="AP429" s="568" t="str">
        <f>IF(AB429=$V$3,IF(VLOOKUP(C429,[1]List1!$A:$E,5,FALSE)=0,1,VLOOKUP(C429,[1]List1!$A:$E,5,FALSE)),"")</f>
        <v/>
      </c>
      <c r="AQ429" s="292" t="str">
        <f t="shared" si="168"/>
        <v/>
      </c>
      <c r="AR429" s="618" t="str">
        <f t="shared" si="169"/>
        <v/>
      </c>
      <c r="AS429" s="292" t="str">
        <f t="shared" si="170"/>
        <v/>
      </c>
      <c r="AT429" s="377" t="e">
        <f t="shared" si="171"/>
        <v>#N/A</v>
      </c>
      <c r="AU429" s="292" t="e">
        <f t="shared" si="172"/>
        <v>#N/A</v>
      </c>
    </row>
    <row r="430" spans="1:47" ht="15" customHeight="1">
      <c r="A430" s="601" t="str">
        <f>Kat.!B428</f>
        <v/>
      </c>
      <c r="B430" s="601">
        <f t="shared" si="166"/>
        <v>1</v>
      </c>
      <c r="C430" s="783" t="s">
        <v>2391</v>
      </c>
      <c r="D430" s="776"/>
      <c r="E430" s="760"/>
      <c r="F430" s="761"/>
      <c r="G430" s="762"/>
      <c r="H430" s="596"/>
      <c r="I430" s="797"/>
      <c r="J430" s="764"/>
      <c r="K430" s="774"/>
      <c r="L430" s="766"/>
      <c r="M430" s="764"/>
      <c r="N430" s="767"/>
      <c r="O430" s="763"/>
      <c r="P430" s="763"/>
      <c r="Q430" s="764"/>
      <c r="R430" s="764"/>
      <c r="S430" s="764"/>
      <c r="T430" s="764"/>
      <c r="U430" s="768"/>
      <c r="V430" s="768"/>
      <c r="W430" s="769" t="str">
        <f>IFERROR(VLOOKUP('General price list'!$C430,Popisy!A:P,MATCH($W$17,Popisy!$A$7:$P$7,0),FALSE),"---------------")</f>
        <v>24 verschiedenfarbige Effekte</v>
      </c>
      <c r="X430" s="769" t="str">
        <f t="shared" ref="X430" si="179">IF(AA430&lt;0.0001,"",AA430)</f>
        <v/>
      </c>
      <c r="Y430" s="770">
        <f>IF(OR(AP430&lt;AA430,AND(NOT(OR(LEFT(AB430,3)="SKL",LEFT(AB430,3)=LEFT($V$2,3))),AA430&gt;0),AND('Deutsche Markt'!$AH$1=FALSE,J430="F4",AA430&gt;0)),"",AA430)</f>
        <v>0</v>
      </c>
      <c r="Z430" s="769"/>
      <c r="AA430" s="771">
        <f>'Deutsche Markt'!AA430</f>
        <v>0</v>
      </c>
      <c r="AB430" s="772" t="str">
        <f>IFERROR(IF(VLOOKUP(C430,[1]List1!$A:$D,2,FALSE)="VYPRODÁNO",$V$9,IF(VLOOKUP(C430,[1]List1!$A:$D,2,FALSE)="DOCHÁZÍ",$V$3,VLOOKUP(C430,[1]List1!$A:$D,2,FALSE))),"OFFLINE!")</f>
        <v>SKLADEM</v>
      </c>
      <c r="AC430" s="772" t="str">
        <f ca="1">IF(AO430="NE",$V$10,IF(AB430=$V$3,IF(AP430&lt;1,$V$8,$V$2&amp;" "&amp;AP430&amp;" "&amp;$V$1),IF(AB430="SKLADEM",$V$6,IFERROR(IF(OR(AB430-TODAY()&gt;21,VLOOKUP(C430,[1]List1!$A:$E,4,FALSE)=0),AB430,DAY(AB430)&amp;"."&amp;MONTH(AB430)&amp;"."&amp;YEAR(AB430)&amp;" "&amp;$V$4&amp;VLOOKUP(C430,[1]List1!$A:$E,4,FALSE)&amp;" "&amp;$V$1),AB430))))</f>
        <v>AUF LAGER</v>
      </c>
      <c r="AD430" s="772" t="str">
        <f t="shared" ref="AD430" ca="1" si="180">IFERROR(IF(AU430&lt;&gt;"",AU430,AC430),AC430)</f>
        <v>AUF LAGER</v>
      </c>
      <c r="AE430" s="605"/>
      <c r="AF430" s="605"/>
      <c r="AG430" s="615"/>
      <c r="AH430" s="616"/>
      <c r="AI430" s="615"/>
      <c r="AJ430" s="617"/>
      <c r="AK430" s="617"/>
      <c r="AL430" s="617"/>
      <c r="AM430" s="617"/>
      <c r="AO430" s="567" t="str">
        <f t="shared" si="167"/>
        <v/>
      </c>
      <c r="AP430" s="568" t="str">
        <f>IF(AB430=$V$3,IF(VLOOKUP(C430,[1]List1!$A:$E,5,FALSE)=0,1,VLOOKUP(C430,[1]List1!$A:$E,5,FALSE)),"")</f>
        <v/>
      </c>
      <c r="AQ430" s="292" t="str">
        <f t="shared" si="168"/>
        <v/>
      </c>
      <c r="AR430" s="618" t="str">
        <f t="shared" si="169"/>
        <v/>
      </c>
      <c r="AS430" s="292" t="str">
        <f t="shared" si="170"/>
        <v/>
      </c>
      <c r="AT430" s="377" t="e">
        <f t="shared" si="171"/>
        <v>#N/A</v>
      </c>
      <c r="AU430" s="292" t="e">
        <f t="shared" si="172"/>
        <v>#N/A</v>
      </c>
    </row>
    <row r="431" spans="1:47" ht="15" customHeight="1">
      <c r="A431" s="601" t="str">
        <f>Kat.!B429</f>
        <v/>
      </c>
      <c r="B431" s="601">
        <f t="shared" si="166"/>
        <v>1</v>
      </c>
      <c r="C431" s="783" t="s">
        <v>5251</v>
      </c>
      <c r="D431" s="776"/>
      <c r="E431" s="760"/>
      <c r="F431" s="761"/>
      <c r="G431" s="762"/>
      <c r="H431" s="596"/>
      <c r="I431" s="797"/>
      <c r="J431" s="764"/>
      <c r="K431" s="781"/>
      <c r="L431" s="766"/>
      <c r="M431" s="764"/>
      <c r="N431" s="767"/>
      <c r="O431" s="763"/>
      <c r="P431" s="763"/>
      <c r="Q431" s="764"/>
      <c r="R431" s="764"/>
      <c r="S431" s="764"/>
      <c r="T431" s="764"/>
      <c r="U431" s="768"/>
      <c r="V431" s="768"/>
      <c r="W431" s="769"/>
      <c r="X431" s="769"/>
      <c r="Y431" s="770">
        <f>IF(OR(AP431&lt;AA431,AND(NOT(OR(LEFT(AB431,3)="SKL",LEFT(AB431,3)=LEFT($V$2,3))),AA431&gt;0),AND('Deutsche Markt'!$AH$1=FALSE,J431="F4",AA431&gt;0)),"",AA431)</f>
        <v>0</v>
      </c>
      <c r="Z431" s="769"/>
      <c r="AA431" s="771">
        <f>'Deutsche Markt'!AA431</f>
        <v>0</v>
      </c>
      <c r="AB431" s="772"/>
      <c r="AC431" s="772"/>
      <c r="AD431" s="772"/>
      <c r="AE431" s="605"/>
      <c r="AF431" s="605"/>
      <c r="AG431" s="615"/>
      <c r="AH431" s="616"/>
      <c r="AI431" s="615"/>
      <c r="AJ431" s="617"/>
      <c r="AK431" s="617"/>
      <c r="AL431" s="617"/>
      <c r="AM431" s="617"/>
      <c r="AO431" s="567" t="str">
        <f t="shared" si="167"/>
        <v/>
      </c>
      <c r="AP431" s="568" t="str">
        <f>IF(AB431=$V$3,IF(VLOOKUP(C431,[1]List1!$A:$E,5,FALSE)=0,1,VLOOKUP(C431,[1]List1!$A:$E,5,FALSE)),"")</f>
        <v/>
      </c>
      <c r="AQ431" s="292" t="str">
        <f t="shared" si="168"/>
        <v/>
      </c>
      <c r="AR431" s="618" t="str">
        <f t="shared" si="169"/>
        <v/>
      </c>
      <c r="AS431" s="292" t="str">
        <f t="shared" si="170"/>
        <v/>
      </c>
      <c r="AT431" s="377" t="e">
        <f t="shared" si="171"/>
        <v>#N/A</v>
      </c>
      <c r="AU431" s="292" t="e">
        <f t="shared" si="172"/>
        <v>#N/A</v>
      </c>
    </row>
    <row r="432" spans="1:47" ht="15" customHeight="1">
      <c r="A432" s="601" t="str">
        <f>Kat.!B430</f>
        <v/>
      </c>
      <c r="B432" s="601">
        <f t="shared" si="166"/>
        <v>1</v>
      </c>
      <c r="C432" s="783" t="s">
        <v>5253</v>
      </c>
      <c r="D432" s="776"/>
      <c r="E432" s="760"/>
      <c r="F432" s="761"/>
      <c r="G432" s="762"/>
      <c r="H432" s="596"/>
      <c r="I432" s="797"/>
      <c r="J432" s="764"/>
      <c r="K432" s="774"/>
      <c r="L432" s="766"/>
      <c r="M432" s="764"/>
      <c r="N432" s="767"/>
      <c r="O432" s="763"/>
      <c r="P432" s="763"/>
      <c r="Q432" s="764"/>
      <c r="R432" s="764"/>
      <c r="S432" s="764"/>
      <c r="T432" s="764"/>
      <c r="U432" s="768"/>
      <c r="V432" s="768"/>
      <c r="W432" s="769" t="str">
        <f>IFERROR(VLOOKUP('General price list'!$C432,Popisy!A:P,MATCH($W$17,Popisy!$A$7:$P$7,0),FALSE),"---------------")</f>
        <v>28 verschiedenfarbige Effekte</v>
      </c>
      <c r="X432" s="769" t="str">
        <f t="shared" ref="X432" si="181">IF(AA432&lt;0.0001,"",AA432)</f>
        <v/>
      </c>
      <c r="Y432" s="770">
        <f>IF(OR(AP432&lt;AA432,AND(NOT(OR(LEFT(AB432,3)="SKL",LEFT(AB432,3)=LEFT($V$2,3))),AA432&gt;0),AND('Deutsche Markt'!$AH$1=FALSE,J432="F4",AA432&gt;0)),"",AA432)</f>
        <v>0</v>
      </c>
      <c r="Z432" s="769"/>
      <c r="AA432" s="771">
        <f>'Deutsche Markt'!AA432</f>
        <v>0</v>
      </c>
      <c r="AB432" s="772" t="str">
        <f>IFERROR(IF(VLOOKUP(C432,[1]List1!$A:$D,2,FALSE)="VYPRODÁNO",$V$9,IF(VLOOKUP(C432,[1]List1!$A:$D,2,FALSE)="DOCHÁZÍ",$V$3,VLOOKUP(C432,[1]List1!$A:$D,2,FALSE))),"OFFLINE!")</f>
        <v>SKLADEM</v>
      </c>
      <c r="AC432" s="772" t="str">
        <f ca="1">IF(AO432="NE",$V$10,IF(AB432=$V$3,IF(AP432&lt;1,$V$8,$V$2&amp;" "&amp;AP432&amp;" "&amp;$V$1),IF(AB432="SKLADEM",$V$6,IFERROR(IF(OR(AB432-TODAY()&gt;21,VLOOKUP(C432,[1]List1!$A:$E,4,FALSE)=0),AB432,DAY(AB432)&amp;"."&amp;MONTH(AB432)&amp;"."&amp;YEAR(AB432)&amp;" "&amp;$V$4&amp;VLOOKUP(C432,[1]List1!$A:$E,4,FALSE)&amp;" "&amp;$V$1),AB432))))</f>
        <v>AUF LAGER</v>
      </c>
      <c r="AD432" s="772" t="str">
        <f t="shared" ref="AD432" ca="1" si="182">IFERROR(IF(AU432&lt;&gt;"",AU432,AC432),AC432)</f>
        <v>AUF LAGER</v>
      </c>
      <c r="AE432" s="605"/>
      <c r="AF432" s="605"/>
      <c r="AG432" s="615"/>
      <c r="AH432" s="616"/>
      <c r="AI432" s="615"/>
      <c r="AJ432" s="617"/>
      <c r="AK432" s="617"/>
      <c r="AL432" s="617"/>
      <c r="AM432" s="617"/>
      <c r="AO432" s="567" t="str">
        <f t="shared" si="167"/>
        <v/>
      </c>
      <c r="AP432" s="568" t="str">
        <f>IF(AB432=$V$3,IF(VLOOKUP(C432,[1]List1!$A:$E,5,FALSE)=0,1,VLOOKUP(C432,[1]List1!$A:$E,5,FALSE)),"")</f>
        <v/>
      </c>
      <c r="AQ432" s="292" t="str">
        <f t="shared" si="168"/>
        <v/>
      </c>
      <c r="AR432" s="618" t="str">
        <f t="shared" si="169"/>
        <v/>
      </c>
      <c r="AS432" s="292" t="str">
        <f t="shared" si="170"/>
        <v/>
      </c>
      <c r="AT432" s="377" t="e">
        <f t="shared" si="171"/>
        <v>#N/A</v>
      </c>
      <c r="AU432" s="292" t="e">
        <f t="shared" si="172"/>
        <v>#N/A</v>
      </c>
    </row>
    <row r="433" spans="1:47" ht="15" customHeight="1">
      <c r="A433" s="601" t="str">
        <f>Kat.!B431</f>
        <v/>
      </c>
      <c r="B433" s="601">
        <f t="shared" si="166"/>
        <v>1</v>
      </c>
      <c r="C433" s="783" t="s">
        <v>1539</v>
      </c>
      <c r="D433" s="776"/>
      <c r="E433" s="760"/>
      <c r="F433" s="761"/>
      <c r="G433" s="762"/>
      <c r="H433" s="596"/>
      <c r="I433" s="797"/>
      <c r="J433" s="764"/>
      <c r="K433" s="781"/>
      <c r="L433" s="766"/>
      <c r="M433" s="764"/>
      <c r="N433" s="767"/>
      <c r="O433" s="763"/>
      <c r="P433" s="763"/>
      <c r="Q433" s="764"/>
      <c r="R433" s="764"/>
      <c r="S433" s="764"/>
      <c r="T433" s="764"/>
      <c r="U433" s="768"/>
      <c r="V433" s="768"/>
      <c r="W433" s="769"/>
      <c r="X433" s="769"/>
      <c r="Y433" s="770">
        <f>IF(OR(AP433&lt;AA433,AND(NOT(OR(LEFT(AB433,3)="SKL",LEFT(AB433,3)=LEFT($V$2,3))),AA433&gt;0),AND('Deutsche Markt'!$AH$1=FALSE,J433="F4",AA433&gt;0)),"",AA433)</f>
        <v>0</v>
      </c>
      <c r="Z433" s="769"/>
      <c r="AA433" s="771">
        <f>'Deutsche Markt'!AA433</f>
        <v>0</v>
      </c>
      <c r="AB433" s="772"/>
      <c r="AC433" s="772"/>
      <c r="AD433" s="772"/>
      <c r="AE433" s="605"/>
      <c r="AF433" s="605"/>
      <c r="AG433" s="615"/>
      <c r="AH433" s="616"/>
      <c r="AI433" s="615"/>
      <c r="AJ433" s="617"/>
      <c r="AK433" s="617"/>
      <c r="AL433" s="617"/>
      <c r="AM433" s="617"/>
      <c r="AO433" s="567" t="str">
        <f t="shared" si="167"/>
        <v/>
      </c>
      <c r="AP433" s="568" t="str">
        <f>IF(AB433=$V$3,IF(VLOOKUP(C433,[1]List1!$A:$E,5,FALSE)=0,1,VLOOKUP(C433,[1]List1!$A:$E,5,FALSE)),"")</f>
        <v/>
      </c>
      <c r="AQ433" s="292" t="str">
        <f t="shared" si="168"/>
        <v/>
      </c>
      <c r="AR433" s="618" t="str">
        <f t="shared" si="169"/>
        <v/>
      </c>
      <c r="AS433" s="292" t="str">
        <f t="shared" si="170"/>
        <v/>
      </c>
      <c r="AT433" s="377" t="e">
        <f t="shared" si="171"/>
        <v>#N/A</v>
      </c>
      <c r="AU433" s="292" t="e">
        <f t="shared" si="172"/>
        <v>#N/A</v>
      </c>
    </row>
    <row r="434" spans="1:47" ht="15" customHeight="1">
      <c r="A434" s="601" t="str">
        <f>Kat.!B432</f>
        <v/>
      </c>
      <c r="B434" s="601">
        <f t="shared" si="166"/>
        <v>1</v>
      </c>
      <c r="C434" s="778" t="s">
        <v>1543</v>
      </c>
      <c r="D434" s="778"/>
      <c r="E434" s="778"/>
      <c r="F434" s="779"/>
      <c r="G434" s="778"/>
      <c r="H434" s="778"/>
      <c r="I434" s="778"/>
      <c r="J434" s="778"/>
      <c r="K434" s="774"/>
      <c r="L434" s="778"/>
      <c r="M434" s="778"/>
      <c r="N434" s="778"/>
      <c r="O434" s="778"/>
      <c r="P434" s="778"/>
      <c r="Q434" s="778"/>
      <c r="R434" s="778"/>
      <c r="S434" s="778"/>
      <c r="T434" s="778"/>
      <c r="U434" s="778"/>
      <c r="V434" s="778"/>
      <c r="W434" s="778" t="str">
        <f>IFERROR(VLOOKUP('General price list'!$C434,Popisy!A:P,MATCH($W$17,Popisy!$A$7:$P$7,0),FALSE),"---------------")</f>
        <v>14 verschiedenfarbige Effekte</v>
      </c>
      <c r="X434" s="778" t="str">
        <f t="shared" ref="X434" si="183">IF(AA434&lt;0.0001,"",AA434)</f>
        <v/>
      </c>
      <c r="Y434" s="770">
        <f>IF(OR(AP434&lt;AA434,AND(NOT(OR(LEFT(AB434,3)="SKL",LEFT(AB434,3)=LEFT($V$2,3))),AA434&gt;0),AND('Deutsche Markt'!$AH$1=FALSE,J434="F4",AA434&gt;0)),"",AA434)</f>
        <v>0</v>
      </c>
      <c r="Z434" s="778"/>
      <c r="AA434" s="771">
        <f>'Deutsche Markt'!AA434</f>
        <v>0</v>
      </c>
      <c r="AB434" s="778" t="str">
        <f>IFERROR(IF(VLOOKUP(C434,[1]List1!$A:$D,2,FALSE)="VYPRODÁNO",$V$9,IF(VLOOKUP(C434,[1]List1!$A:$D,2,FALSE)="DOCHÁZÍ",$V$3,VLOOKUP(C434,[1]List1!$A:$D,2,FALSE))),"OFFLINE!")</f>
        <v>30.09.2024</v>
      </c>
      <c r="AC434" s="778" t="str">
        <f ca="1">IF(AO434="NE",$V$10,IF(AB434=$V$3,IF(AP434&lt;1,$V$8,$V$2&amp;" "&amp;AP434&amp;" "&amp;$V$1),IF(AB434="SKLADEM",$V$6,IFERROR(IF(OR(AB434-TODAY()&gt;21,VLOOKUP(C434,[1]List1!$A:$E,4,FALSE)=0),AB434,DAY(AB434)&amp;"."&amp;MONTH(AB434)&amp;"."&amp;YEAR(AB434)&amp;" "&amp;$V$4&amp;VLOOKUP(C434,[1]List1!$A:$E,4,FALSE)&amp;" "&amp;$V$1),AB434))))</f>
        <v>30.09.2024</v>
      </c>
      <c r="AD434" s="778" t="str">
        <f t="shared" ref="AD434" ca="1" si="184">IFERROR(IF(AU434&lt;&gt;"",AU434,AC434),AC434)</f>
        <v>30.09.2024</v>
      </c>
      <c r="AE434" s="599"/>
      <c r="AF434" s="599"/>
      <c r="AG434" s="599"/>
      <c r="AH434" s="599"/>
      <c r="AI434" s="599"/>
      <c r="AJ434" s="599"/>
      <c r="AK434" s="599"/>
      <c r="AL434" s="599"/>
      <c r="AM434" s="599"/>
      <c r="AN434" s="566"/>
      <c r="AO434" s="567" t="str">
        <f t="shared" si="167"/>
        <v/>
      </c>
      <c r="AP434" s="568" t="str">
        <f>IF(AB434=$V$3,IF(VLOOKUP(C434,[1]List1!$A:$E,5,FALSE)=0,1,VLOOKUP(C434,[1]List1!$A:$E,5,FALSE)),"")</f>
        <v/>
      </c>
      <c r="AQ434" s="292" t="str">
        <f t="shared" si="168"/>
        <v/>
      </c>
      <c r="AR434" s="618" t="str">
        <f t="shared" si="169"/>
        <v/>
      </c>
      <c r="AS434" s="292" t="str">
        <f t="shared" si="170"/>
        <v/>
      </c>
      <c r="AT434" s="377" t="e">
        <f t="shared" si="171"/>
        <v>#N/A</v>
      </c>
      <c r="AU434" s="292" t="e">
        <f t="shared" si="172"/>
        <v>#N/A</v>
      </c>
    </row>
    <row r="435" spans="1:47" ht="15" customHeight="1">
      <c r="A435" s="601" t="str">
        <f>Kat.!B433</f>
        <v/>
      </c>
      <c r="B435" s="601">
        <f t="shared" si="166"/>
        <v>1</v>
      </c>
      <c r="C435" s="783" t="s">
        <v>2393</v>
      </c>
      <c r="D435" s="776"/>
      <c r="E435" s="760"/>
      <c r="F435" s="761"/>
      <c r="G435" s="762"/>
      <c r="H435" s="596"/>
      <c r="I435" s="797"/>
      <c r="J435" s="764"/>
      <c r="K435" s="781"/>
      <c r="L435" s="766"/>
      <c r="M435" s="764"/>
      <c r="N435" s="767"/>
      <c r="O435" s="763"/>
      <c r="P435" s="763"/>
      <c r="Q435" s="764"/>
      <c r="R435" s="764"/>
      <c r="S435" s="764"/>
      <c r="T435" s="764"/>
      <c r="U435" s="768"/>
      <c r="V435" s="768"/>
      <c r="W435" s="769"/>
      <c r="X435" s="769"/>
      <c r="Y435" s="770">
        <f>IF(OR(AP435&lt;AA435,AND(NOT(OR(LEFT(AB435,3)="SKL",LEFT(AB435,3)=LEFT($V$2,3))),AA435&gt;0),AND('Deutsche Markt'!$AH$1=FALSE,J435="F4",AA435&gt;0)),"",AA435)</f>
        <v>0</v>
      </c>
      <c r="Z435" s="769"/>
      <c r="AA435" s="771">
        <f>'Deutsche Markt'!AA435</f>
        <v>0</v>
      </c>
      <c r="AB435" s="772"/>
      <c r="AC435" s="772"/>
      <c r="AD435" s="772"/>
      <c r="AE435" s="605"/>
      <c r="AF435" s="605"/>
      <c r="AG435" s="615"/>
      <c r="AH435" s="616"/>
      <c r="AI435" s="615"/>
      <c r="AJ435" s="617"/>
      <c r="AK435" s="617"/>
      <c r="AL435" s="617"/>
      <c r="AM435" s="617"/>
      <c r="AO435" s="567" t="str">
        <f t="shared" si="167"/>
        <v/>
      </c>
      <c r="AP435" s="568" t="str">
        <f>IF(AB435=$V$3,IF(VLOOKUP(C435,[1]List1!$A:$E,5,FALSE)=0,1,VLOOKUP(C435,[1]List1!$A:$E,5,FALSE)),"")</f>
        <v/>
      </c>
      <c r="AQ435" s="292" t="str">
        <f t="shared" si="168"/>
        <v/>
      </c>
      <c r="AR435" s="618" t="str">
        <f t="shared" si="169"/>
        <v/>
      </c>
      <c r="AS435" s="292" t="str">
        <f t="shared" si="170"/>
        <v/>
      </c>
      <c r="AT435" s="377" t="e">
        <f t="shared" si="171"/>
        <v>#N/A</v>
      </c>
      <c r="AU435" s="292" t="e">
        <f t="shared" si="172"/>
        <v>#N/A</v>
      </c>
    </row>
    <row r="436" spans="1:47" ht="15" customHeight="1">
      <c r="A436" s="601" t="str">
        <f>Kat.!B434</f>
        <v/>
      </c>
      <c r="B436" s="601">
        <f t="shared" si="166"/>
        <v>1</v>
      </c>
      <c r="C436" s="783" t="s">
        <v>2396</v>
      </c>
      <c r="D436" s="783"/>
      <c r="E436" s="764"/>
      <c r="F436" s="761"/>
      <c r="G436" s="762"/>
      <c r="H436" s="596"/>
      <c r="I436" s="787"/>
      <c r="J436" s="764"/>
      <c r="K436" s="774"/>
      <c r="L436" s="787"/>
      <c r="M436" s="764"/>
      <c r="N436" s="767"/>
      <c r="O436" s="763"/>
      <c r="P436" s="763"/>
      <c r="Q436" s="764"/>
      <c r="R436" s="764"/>
      <c r="S436" s="764"/>
      <c r="T436" s="764"/>
      <c r="U436" s="768"/>
      <c r="V436" s="768"/>
      <c r="W436" s="769" t="str">
        <f>IFERROR(VLOOKUP('General price list'!$C436,Popisy!A:P,MATCH($W$17,Popisy!$A$7:$P$7,0),FALSE),"---------------")</f>
        <v>34 verschiedenfarbige Effekte</v>
      </c>
      <c r="X436" s="769" t="str">
        <f t="shared" ref="X436:X437" si="185">IF(AA436&lt;0.0001,"",AA436)</f>
        <v/>
      </c>
      <c r="Y436" s="770">
        <f>IF(OR(AP436&lt;AA436,AND(NOT(OR(LEFT(AB436,3)="SKL",LEFT(AB436,3)=LEFT($V$2,3))),AA436&gt;0),AND('Deutsche Markt'!$AH$1=FALSE,J436="F4",AA436&gt;0)),"",AA436)</f>
        <v>0</v>
      </c>
      <c r="Z436" s="769"/>
      <c r="AA436" s="771">
        <f>'Deutsche Markt'!AA436</f>
        <v>0</v>
      </c>
      <c r="AB436" s="772" t="str">
        <f>IFERROR(IF(VLOOKUP(C436,[1]List1!$A:$D,2,FALSE)="VYPRODÁNO",$V$9,IF(VLOOKUP(C436,[1]List1!$A:$D,2,FALSE)="DOCHÁZÍ",$V$3,VLOOKUP(C436,[1]List1!$A:$D,2,FALSE))),"OFFLINE!")</f>
        <v>SKLADEM</v>
      </c>
      <c r="AC436" s="772" t="str">
        <f ca="1">IF(AO436="NE",$V$10,IF(AB436=$V$3,IF(AP436&lt;1,$V$8,$V$2&amp;" "&amp;AP436&amp;" "&amp;$V$1),IF(AB436="SKLADEM",$V$6,IFERROR(IF(OR(AB436-TODAY()&gt;21,VLOOKUP(C436,[1]List1!$A:$E,4,FALSE)=0),AB436,DAY(AB436)&amp;"."&amp;MONTH(AB436)&amp;"."&amp;YEAR(AB436)&amp;" "&amp;$V$4&amp;VLOOKUP(C436,[1]List1!$A:$E,4,FALSE)&amp;" "&amp;$V$1),AB436))))</f>
        <v>AUF LAGER</v>
      </c>
      <c r="AD436" s="772" t="str">
        <f t="shared" ref="AD436:AD437" ca="1" si="186">IFERROR(IF(AU436&lt;&gt;"",AU436,AC436),AC436)</f>
        <v>AUF LAGER</v>
      </c>
      <c r="AE436" s="605"/>
      <c r="AF436" s="605"/>
      <c r="AG436" s="615"/>
      <c r="AH436" s="616"/>
      <c r="AI436" s="615"/>
      <c r="AJ436" s="617"/>
      <c r="AK436" s="617"/>
      <c r="AL436" s="617"/>
      <c r="AM436" s="617"/>
      <c r="AO436" s="567" t="str">
        <f t="shared" si="167"/>
        <v/>
      </c>
      <c r="AP436" s="568" t="str">
        <f>IF(AB436=$V$3,IF(VLOOKUP(C436,[1]List1!$A:$E,5,FALSE)=0,1,VLOOKUP(C436,[1]List1!$A:$E,5,FALSE)),"")</f>
        <v/>
      </c>
      <c r="AQ436" s="292" t="str">
        <f t="shared" si="168"/>
        <v/>
      </c>
      <c r="AR436" s="618" t="str">
        <f t="shared" si="169"/>
        <v/>
      </c>
      <c r="AS436" s="292" t="str">
        <f t="shared" si="170"/>
        <v/>
      </c>
      <c r="AT436" s="377" t="e">
        <f t="shared" si="171"/>
        <v>#N/A</v>
      </c>
      <c r="AU436" s="292" t="e">
        <f t="shared" si="172"/>
        <v>#N/A</v>
      </c>
    </row>
    <row r="437" spans="1:47" ht="15" customHeight="1">
      <c r="A437" s="601" t="str">
        <f>Kat.!B435</f>
        <v/>
      </c>
      <c r="B437" s="601">
        <f t="shared" si="166"/>
        <v>0</v>
      </c>
      <c r="C437" s="783"/>
      <c r="D437" s="776"/>
      <c r="E437" s="760"/>
      <c r="F437" s="761"/>
      <c r="G437" s="762"/>
      <c r="H437" s="596"/>
      <c r="I437" s="797"/>
      <c r="J437" s="764"/>
      <c r="K437" s="781"/>
      <c r="L437" s="766"/>
      <c r="M437" s="764"/>
      <c r="N437" s="767"/>
      <c r="O437" s="763"/>
      <c r="P437" s="763"/>
      <c r="Q437" s="764"/>
      <c r="R437" s="764"/>
      <c r="S437" s="764"/>
      <c r="T437" s="764"/>
      <c r="U437" s="768"/>
      <c r="V437" s="768"/>
      <c r="W437" s="769" t="str">
        <f>IFERROR(VLOOKUP('General price list'!$C437,Popisy!A:P,MATCH($W$17,Popisy!$A$7:$P$7,0),FALSE),"---------------")</f>
        <v>---------------</v>
      </c>
      <c r="X437" s="769" t="str">
        <f t="shared" si="185"/>
        <v/>
      </c>
      <c r="Y437" s="770">
        <f>IF(OR(AP437&lt;AA437,AND(NOT(OR(LEFT(AB437,3)="SKL",LEFT(AB437,3)=LEFT($V$2,3))),AA437&gt;0),AND('Deutsche Markt'!$AH$1=FALSE,J437="F4",AA437&gt;0)),"",AA437)</f>
        <v>0</v>
      </c>
      <c r="Z437" s="769"/>
      <c r="AA437" s="771">
        <f>'Deutsche Markt'!AA437</f>
        <v>0</v>
      </c>
      <c r="AB437" s="772" t="str">
        <f>IFERROR(IF(VLOOKUP(C437,[1]List1!$A:$D,2,FALSE)="VYPRODÁNO",$V$9,IF(VLOOKUP(C437,[1]List1!$A:$D,2,FALSE)="DOCHÁZÍ",$V$3,VLOOKUP(C437,[1]List1!$A:$D,2,FALSE))),"OFFLINE!")</f>
        <v>OFFLINE!</v>
      </c>
      <c r="AC437" s="772" t="str">
        <f ca="1">IF(AO437="NE",$V$10,IF(AB437=$V$3,IF(AP437&lt;1,$V$8,$V$2&amp;" "&amp;AP437&amp;" "&amp;$V$1),IF(AB437="SKLADEM",$V$6,IFERROR(IF(OR(AB437-TODAY()&gt;21,VLOOKUP(C437,[1]List1!$A:$E,4,FALSE)=0),AB437,DAY(AB437)&amp;"."&amp;MONTH(AB437)&amp;"."&amp;YEAR(AB437)&amp;" "&amp;$V$4&amp;VLOOKUP(C437,[1]List1!$A:$E,4,FALSE)&amp;" "&amp;$V$1),AB437))))</f>
        <v>OFFLINE!</v>
      </c>
      <c r="AD437" s="772" t="str">
        <f t="shared" ca="1" si="186"/>
        <v>OFFLINE!</v>
      </c>
      <c r="AE437" s="605"/>
      <c r="AF437" s="605"/>
      <c r="AG437" s="615"/>
      <c r="AH437" s="616"/>
      <c r="AI437" s="615"/>
      <c r="AJ437" s="617"/>
      <c r="AK437" s="617"/>
      <c r="AL437" s="617"/>
      <c r="AM437" s="617"/>
      <c r="AN437" s="292"/>
      <c r="AO437" s="567" t="str">
        <f t="shared" si="167"/>
        <v/>
      </c>
      <c r="AP437" s="568" t="str">
        <f>IF(AB437=$V$3,IF(VLOOKUP(C437,[1]List1!$A:$E,5,FALSE)=0,1,VLOOKUP(C437,[1]List1!$A:$E,5,FALSE)),"")</f>
        <v/>
      </c>
      <c r="AQ437" s="292" t="str">
        <f t="shared" si="168"/>
        <v/>
      </c>
      <c r="AR437" s="618" t="str">
        <f t="shared" si="169"/>
        <v/>
      </c>
      <c r="AS437" s="292" t="str">
        <f t="shared" si="170"/>
        <v/>
      </c>
      <c r="AT437" s="377" t="e">
        <f t="shared" si="171"/>
        <v>#N/A</v>
      </c>
      <c r="AU437" s="292" t="e">
        <f t="shared" si="172"/>
        <v>#N/A</v>
      </c>
    </row>
    <row r="438" spans="1:47" ht="15" customHeight="1">
      <c r="A438" s="601" t="str">
        <f>Kat.!B436</f>
        <v/>
      </c>
      <c r="B438" s="601">
        <f t="shared" si="166"/>
        <v>1</v>
      </c>
      <c r="C438" s="783" t="s">
        <v>1846</v>
      </c>
      <c r="D438" s="783"/>
      <c r="E438" s="764"/>
      <c r="F438" s="761"/>
      <c r="G438" s="762"/>
      <c r="H438" s="596"/>
      <c r="I438" s="787"/>
      <c r="J438" s="764"/>
      <c r="K438" s="774"/>
      <c r="L438" s="787"/>
      <c r="M438" s="764"/>
      <c r="N438" s="767"/>
      <c r="O438" s="763"/>
      <c r="P438" s="763"/>
      <c r="Q438" s="764"/>
      <c r="R438" s="764"/>
      <c r="S438" s="764"/>
      <c r="T438" s="764"/>
      <c r="U438" s="768"/>
      <c r="V438" s="768"/>
      <c r="W438" s="769"/>
      <c r="X438" s="769"/>
      <c r="Y438" s="770">
        <f>IF(OR(AP438&lt;AA438,AND(NOT(OR(LEFT(AB438,3)="SKL",LEFT(AB438,3)=LEFT($V$2,3))),AA438&gt;0),AND('Deutsche Markt'!$AH$1=FALSE,J438="F4",AA438&gt;0)),"",AA438)</f>
        <v>0</v>
      </c>
      <c r="Z438" s="769"/>
      <c r="AA438" s="771">
        <f>'Deutsche Markt'!AA438</f>
        <v>0</v>
      </c>
      <c r="AB438" s="772"/>
      <c r="AC438" s="772"/>
      <c r="AD438" s="772"/>
      <c r="AE438" s="605"/>
      <c r="AF438" s="605"/>
      <c r="AG438" s="615"/>
      <c r="AH438" s="616"/>
      <c r="AI438" s="615"/>
      <c r="AJ438" s="617"/>
      <c r="AK438" s="617"/>
      <c r="AL438" s="617"/>
      <c r="AM438" s="617"/>
      <c r="AN438" s="292"/>
      <c r="AO438" s="567" t="str">
        <f t="shared" si="167"/>
        <v/>
      </c>
      <c r="AP438" s="568" t="str">
        <f>IF(AB438=$V$3,IF(VLOOKUP(C438,[1]List1!$A:$E,5,FALSE)=0,1,VLOOKUP(C438,[1]List1!$A:$E,5,FALSE)),"")</f>
        <v/>
      </c>
      <c r="AQ438" s="292" t="str">
        <f t="shared" si="168"/>
        <v/>
      </c>
      <c r="AR438" s="618" t="str">
        <f t="shared" si="169"/>
        <v/>
      </c>
      <c r="AS438" s="292" t="str">
        <f t="shared" si="170"/>
        <v/>
      </c>
      <c r="AT438" s="377" t="e">
        <f t="shared" si="171"/>
        <v>#N/A</v>
      </c>
      <c r="AU438" s="292" t="e">
        <f t="shared" si="172"/>
        <v>#N/A</v>
      </c>
    </row>
    <row r="439" spans="1:47" ht="15" customHeight="1">
      <c r="A439" s="601" t="str">
        <f>Kat.!B437</f>
        <v>Kugelbomben 50mm</v>
      </c>
      <c r="B439" s="601">
        <f t="shared" si="166"/>
        <v>0</v>
      </c>
      <c r="C439" s="783"/>
      <c r="D439" s="776"/>
      <c r="E439" s="760"/>
      <c r="F439" s="761"/>
      <c r="G439" s="762"/>
      <c r="H439" s="596"/>
      <c r="I439" s="797"/>
      <c r="J439" s="764"/>
      <c r="K439" s="781"/>
      <c r="L439" s="766"/>
      <c r="M439" s="764"/>
      <c r="N439" s="767"/>
      <c r="O439" s="763"/>
      <c r="P439" s="763"/>
      <c r="Q439" s="764"/>
      <c r="R439" s="764"/>
      <c r="S439" s="764"/>
      <c r="T439" s="764"/>
      <c r="U439" s="768"/>
      <c r="V439" s="768"/>
      <c r="W439" s="769" t="str">
        <f>IFERROR(VLOOKUP('General price list'!$C439,Popisy!A:P,MATCH($W$17,Popisy!$A$7:$P$7,0),FALSE),"---------------")</f>
        <v>---------------</v>
      </c>
      <c r="X439" s="769" t="str">
        <f t="shared" ref="X439:X446" si="187">IF(AA439&lt;0.0001,"",AA439)</f>
        <v/>
      </c>
      <c r="Y439" s="770">
        <f>IF(OR(AP439&lt;AA439,AND(NOT(OR(LEFT(AB439,3)="SKL",LEFT(AB439,3)=LEFT($V$2,3))),AA439&gt;0),AND('Deutsche Markt'!$AH$1=FALSE,J439="F4",AA439&gt;0)),"",AA439)</f>
        <v>0</v>
      </c>
      <c r="Z439" s="769"/>
      <c r="AA439" s="771">
        <f>'Deutsche Markt'!AA439</f>
        <v>0</v>
      </c>
      <c r="AB439" s="772" t="str">
        <f>IFERROR(IF(VLOOKUP(C439,[1]List1!$A:$D,2,FALSE)="VYPRODÁNO",$V$9,IF(VLOOKUP(C439,[1]List1!$A:$D,2,FALSE)="DOCHÁZÍ",$V$3,VLOOKUP(C439,[1]List1!$A:$D,2,FALSE))),"OFFLINE!")</f>
        <v>OFFLINE!</v>
      </c>
      <c r="AC439" s="772" t="str">
        <f ca="1">IF(AO439="NE",$V$10,IF(AB439=$V$3,IF(AP439&lt;1,$V$8,$V$2&amp;" "&amp;AP439&amp;" "&amp;$V$1),IF(AB439="SKLADEM",$V$6,IFERROR(IF(OR(AB439-TODAY()&gt;21,VLOOKUP(C439,[1]List1!$A:$E,4,FALSE)=0),AB439,DAY(AB439)&amp;"."&amp;MONTH(AB439)&amp;"."&amp;YEAR(AB439)&amp;" "&amp;$V$4&amp;VLOOKUP(C439,[1]List1!$A:$E,4,FALSE)&amp;" "&amp;$V$1),AB439))))</f>
        <v>OFFLINE!</v>
      </c>
      <c r="AD439" s="772" t="str">
        <f t="shared" ref="AD439:AD446" ca="1" si="188">IFERROR(IF(AU439&lt;&gt;"",AU439,AC439),AC439)</f>
        <v>OFFLINE!</v>
      </c>
      <c r="AE439" s="605"/>
      <c r="AF439" s="605"/>
      <c r="AG439" s="615"/>
      <c r="AH439" s="616"/>
      <c r="AI439" s="615"/>
      <c r="AJ439" s="617"/>
      <c r="AK439" s="617"/>
      <c r="AL439" s="617"/>
      <c r="AM439" s="617"/>
      <c r="AO439" s="567" t="str">
        <f t="shared" si="167"/>
        <v/>
      </c>
      <c r="AP439" s="568" t="str">
        <f>IF(AB439=$V$3,IF(VLOOKUP(C439,[1]List1!$A:$E,5,FALSE)=0,1,VLOOKUP(C439,[1]List1!$A:$E,5,FALSE)),"")</f>
        <v/>
      </c>
      <c r="AQ439" s="292" t="str">
        <f t="shared" si="168"/>
        <v/>
      </c>
      <c r="AR439" s="618" t="str">
        <f t="shared" si="169"/>
        <v/>
      </c>
      <c r="AS439" s="292" t="str">
        <f t="shared" si="170"/>
        <v/>
      </c>
      <c r="AT439" s="377" t="e">
        <f t="shared" si="171"/>
        <v>#N/A</v>
      </c>
      <c r="AU439" s="292" t="e">
        <f t="shared" si="172"/>
        <v>#N/A</v>
      </c>
    </row>
    <row r="440" spans="1:47" ht="15" customHeight="1">
      <c r="A440" s="601" t="str">
        <f>Kat.!B438</f>
        <v/>
      </c>
      <c r="B440" s="601">
        <f t="shared" si="166"/>
        <v>1</v>
      </c>
      <c r="C440" s="783" t="s">
        <v>1876</v>
      </c>
      <c r="D440" s="783"/>
      <c r="E440" s="764"/>
      <c r="F440" s="761"/>
      <c r="G440" s="762"/>
      <c r="H440" s="596"/>
      <c r="I440" s="787"/>
      <c r="J440" s="764"/>
      <c r="K440" s="774"/>
      <c r="L440" s="787"/>
      <c r="M440" s="764"/>
      <c r="N440" s="767"/>
      <c r="O440" s="763"/>
      <c r="P440" s="763"/>
      <c r="Q440" s="764"/>
      <c r="R440" s="764"/>
      <c r="S440" s="764"/>
      <c r="T440" s="764"/>
      <c r="U440" s="768"/>
      <c r="V440" s="768"/>
      <c r="W440" s="769" t="str">
        <f>IFERROR(VLOOKUP('General price list'!$C440,Popisy!A:P,MATCH($W$17,Popisy!$A$7:$P$7,0),FALSE),"---------------")</f>
        <v>delay cracker willow</v>
      </c>
      <c r="X440" s="769" t="str">
        <f t="shared" si="187"/>
        <v/>
      </c>
      <c r="Y440" s="770">
        <f>IF(OR(AP440&lt;AA440,AND(NOT(OR(LEFT(AB440,3)="SKL",LEFT(AB440,3)=LEFT($V$2,3))),AA440&gt;0),AND('Deutsche Markt'!$AH$1=FALSE,J440="F4",AA440&gt;0)),"",AA440)</f>
        <v>0</v>
      </c>
      <c r="Z440" s="769"/>
      <c r="AA440" s="771">
        <f>'Deutsche Markt'!AA440</f>
        <v>0</v>
      </c>
      <c r="AB440" s="772" t="str">
        <f>IFERROR(IF(VLOOKUP(C440,[1]List1!$A:$D,2,FALSE)="VYPRODÁNO",$V$9,IF(VLOOKUP(C440,[1]List1!$A:$D,2,FALSE)="DOCHÁZÍ",$V$3,VLOOKUP(C440,[1]List1!$A:$D,2,FALSE))),"OFFLINE!")</f>
        <v>15.08.2024</v>
      </c>
      <c r="AC440" s="772" t="str">
        <f ca="1">IF(AO440="NE",$V$10,IF(AB440=$V$3,IF(AP440&lt;1,$V$8,$V$2&amp;" "&amp;AP440&amp;" "&amp;$V$1),IF(AB440="SKLADEM",$V$6,IFERROR(IF(OR(AB440-TODAY()&gt;21,VLOOKUP(C440,[1]List1!$A:$E,4,FALSE)=0),AB440,DAY(AB440)&amp;"."&amp;MONTH(AB440)&amp;"."&amp;YEAR(AB440)&amp;" "&amp;$V$4&amp;VLOOKUP(C440,[1]List1!$A:$E,4,FALSE)&amp;" "&amp;$V$1),AB440))))</f>
        <v>15.08.2024</v>
      </c>
      <c r="AD440" s="772" t="str">
        <f t="shared" ca="1" si="188"/>
        <v>15.08.2024</v>
      </c>
      <c r="AE440" s="605"/>
      <c r="AF440" s="605"/>
      <c r="AG440" s="615"/>
      <c r="AH440" s="616"/>
      <c r="AI440" s="615"/>
      <c r="AJ440" s="617"/>
      <c r="AK440" s="617"/>
      <c r="AL440" s="617"/>
      <c r="AM440" s="617"/>
      <c r="AO440" s="567" t="str">
        <f t="shared" si="167"/>
        <v/>
      </c>
      <c r="AP440" s="568" t="str">
        <f>IF(AB440=$V$3,IF(VLOOKUP(C440,[1]List1!$A:$E,5,FALSE)=0,1,VLOOKUP(C440,[1]List1!$A:$E,5,FALSE)),"")</f>
        <v/>
      </c>
      <c r="AQ440" s="292" t="str">
        <f t="shared" si="168"/>
        <v/>
      </c>
      <c r="AR440" s="618" t="str">
        <f t="shared" si="169"/>
        <v/>
      </c>
      <c r="AS440" s="292" t="str">
        <f t="shared" si="170"/>
        <v/>
      </c>
      <c r="AT440" s="377" t="e">
        <f t="shared" si="171"/>
        <v>#N/A</v>
      </c>
      <c r="AU440" s="292" t="e">
        <f t="shared" si="172"/>
        <v>#N/A</v>
      </c>
    </row>
    <row r="441" spans="1:47" ht="15" customHeight="1">
      <c r="A441" s="601" t="str">
        <f>Kat.!B439</f>
        <v>Kugelbomben 75 mm, Prämienqualität</v>
      </c>
      <c r="B441" s="601">
        <f t="shared" si="166"/>
        <v>1</v>
      </c>
      <c r="C441" s="783" t="s">
        <v>1879</v>
      </c>
      <c r="D441" s="776"/>
      <c r="E441" s="760"/>
      <c r="F441" s="761"/>
      <c r="G441" s="762"/>
      <c r="H441" s="596"/>
      <c r="I441" s="797"/>
      <c r="J441" s="764"/>
      <c r="K441" s="781"/>
      <c r="L441" s="766"/>
      <c r="M441" s="764"/>
      <c r="N441" s="767"/>
      <c r="O441" s="763"/>
      <c r="P441" s="763"/>
      <c r="Q441" s="764"/>
      <c r="R441" s="764"/>
      <c r="S441" s="764"/>
      <c r="T441" s="764"/>
      <c r="U441" s="768"/>
      <c r="V441" s="768"/>
      <c r="W441" s="769" t="str">
        <f>IFERROR(VLOOKUP('General price list'!$C441,Popisy!A:P,MATCH($W$17,Popisy!$A$7:$P$7,0),FALSE),"---------------")</f>
        <v>golden Ti-willow</v>
      </c>
      <c r="X441" s="769" t="str">
        <f t="shared" si="187"/>
        <v/>
      </c>
      <c r="Y441" s="770">
        <f>IF(OR(AP441&lt;AA441,AND(NOT(OR(LEFT(AB441,3)="SKL",LEFT(AB441,3)=LEFT($V$2,3))),AA441&gt;0),AND('Deutsche Markt'!$AH$1=FALSE,J441="F4",AA441&gt;0)),"",AA441)</f>
        <v>0</v>
      </c>
      <c r="Z441" s="769"/>
      <c r="AA441" s="771">
        <f>'Deutsche Markt'!AA441</f>
        <v>0</v>
      </c>
      <c r="AB441" s="772" t="str">
        <f>IFERROR(IF(VLOOKUP(C441,[1]List1!$A:$D,2,FALSE)="VYPRODÁNO",$V$9,IF(VLOOKUP(C441,[1]List1!$A:$D,2,FALSE)="DOCHÁZÍ",$V$3,VLOOKUP(C441,[1]List1!$A:$D,2,FALSE))),"OFFLINE!")</f>
        <v>SKLADEM</v>
      </c>
      <c r="AC441" s="772" t="str">
        <f ca="1">IF(AO441="NE",$V$10,IF(AB441=$V$3,IF(AP441&lt;1,$V$8,$V$2&amp;" "&amp;AP441&amp;" "&amp;$V$1),IF(AB441="SKLADEM",$V$6,IFERROR(IF(OR(AB441-TODAY()&gt;21,VLOOKUP(C441,[1]List1!$A:$E,4,FALSE)=0),AB441,DAY(AB441)&amp;"."&amp;MONTH(AB441)&amp;"."&amp;YEAR(AB441)&amp;" "&amp;$V$4&amp;VLOOKUP(C441,[1]List1!$A:$E,4,FALSE)&amp;" "&amp;$V$1),AB441))))</f>
        <v>AUF LAGER</v>
      </c>
      <c r="AD441" s="772" t="str">
        <f t="shared" ca="1" si="188"/>
        <v>AUF LAGER</v>
      </c>
      <c r="AE441" s="605"/>
      <c r="AF441" s="605"/>
      <c r="AG441" s="615"/>
      <c r="AH441" s="616"/>
      <c r="AI441" s="615"/>
      <c r="AJ441" s="617"/>
      <c r="AK441" s="617"/>
      <c r="AL441" s="617"/>
      <c r="AM441" s="617"/>
      <c r="AN441" s="292"/>
      <c r="AO441" s="567" t="str">
        <f t="shared" si="167"/>
        <v/>
      </c>
      <c r="AP441" s="568" t="str">
        <f>IF(AB441=$V$3,IF(VLOOKUP(C441,[1]List1!$A:$E,5,FALSE)=0,1,VLOOKUP(C441,[1]List1!$A:$E,5,FALSE)),"")</f>
        <v/>
      </c>
      <c r="AQ441" s="292" t="str">
        <f t="shared" si="168"/>
        <v/>
      </c>
      <c r="AR441" s="618" t="str">
        <f t="shared" si="169"/>
        <v/>
      </c>
      <c r="AS441" s="292" t="str">
        <f t="shared" si="170"/>
        <v/>
      </c>
      <c r="AT441" s="377" t="e">
        <f t="shared" si="171"/>
        <v>#N/A</v>
      </c>
      <c r="AU441" s="292" t="e">
        <f t="shared" si="172"/>
        <v>#N/A</v>
      </c>
    </row>
    <row r="442" spans="1:47" ht="15" customHeight="1">
      <c r="A442" s="601" t="str">
        <f>Kat.!$B$1&amp;Kat.!B440</f>
        <v/>
      </c>
      <c r="B442" s="601">
        <f t="shared" si="166"/>
        <v>1</v>
      </c>
      <c r="C442" s="163" t="s">
        <v>1880</v>
      </c>
      <c r="D442" s="163"/>
      <c r="E442" s="609"/>
      <c r="F442" s="605"/>
      <c r="G442" s="606"/>
      <c r="H442" s="607"/>
      <c r="I442" s="629"/>
      <c r="J442" s="609"/>
      <c r="K442" s="708"/>
      <c r="L442" s="629"/>
      <c r="M442" s="609"/>
      <c r="N442" s="612"/>
      <c r="O442" s="608"/>
      <c r="P442" s="608"/>
      <c r="Q442" s="609"/>
      <c r="R442" s="609"/>
      <c r="S442" s="609"/>
      <c r="T442" s="609"/>
      <c r="U442" s="613"/>
      <c r="V442" s="613"/>
      <c r="W442" s="601" t="str">
        <f>IFERROR(VLOOKUP('General price list'!$C442,Popisy!A:P,MATCH($W$17,Popisy!$A$7:$P$7,0),FALSE),"---------------")</f>
        <v>brocade crown crossette</v>
      </c>
      <c r="X442" s="601" t="str">
        <f t="shared" si="187"/>
        <v/>
      </c>
      <c r="Y442" s="770">
        <f>IF(OR(AP442&lt;AA442,AND(NOT(OR(LEFT(AB442,3)="SKL",LEFT(AB442,3)=LEFT($V$2,3))),AA442&gt;0),AND('Deutsche Markt'!$AH$1=FALSE,J442="F4",AA442&gt;0)),"",AA442)</f>
        <v>0</v>
      </c>
      <c r="Z442" s="601"/>
      <c r="AA442" s="771">
        <f>'Deutsche Markt'!AA442</f>
        <v>0</v>
      </c>
      <c r="AB442" s="614" t="str">
        <f>IFERROR(IF(VLOOKUP(C442,[1]List1!$A:$D,2,FALSE)="VYPRODÁNO",$V$9,IF(VLOOKUP(C442,[1]List1!$A:$D,2,FALSE)="DOCHÁZÍ",$V$3,VLOOKUP(C442,[1]List1!$A:$D,2,FALSE))),"OFFLINE!")</f>
        <v>20.06.2024</v>
      </c>
      <c r="AC442" s="614" t="str">
        <f ca="1">IF(AO442="NE",$V$10,IF(AB442=$V$3,IF(AP442&lt;1,$V$8,$V$2&amp;" "&amp;AP442&amp;" "&amp;$V$1),IF(AB442="SKLADEM",$V$6,IFERROR(IF(OR(AB442-TODAY()&gt;21,VLOOKUP(C442,[1]List1!$A:$E,4,FALSE)=0),AB442,DAY(AB442)&amp;"."&amp;MONTH(AB442)&amp;"."&amp;YEAR(AB442)&amp;" "&amp;$V$4&amp;VLOOKUP(C442,[1]List1!$A:$E,4,FALSE)&amp;" "&amp;$V$1),AB442))))</f>
        <v>20.06.2024</v>
      </c>
      <c r="AD442" s="614" t="str">
        <f t="shared" ca="1" si="188"/>
        <v>20.06.2024</v>
      </c>
      <c r="AE442" s="605"/>
      <c r="AF442" s="605"/>
      <c r="AG442" s="615"/>
      <c r="AH442" s="616"/>
      <c r="AI442" s="615"/>
      <c r="AJ442" s="617"/>
      <c r="AK442" s="617"/>
      <c r="AL442" s="617"/>
      <c r="AM442" s="617"/>
      <c r="AO442" s="567" t="str">
        <f t="shared" si="167"/>
        <v/>
      </c>
      <c r="AP442" s="568" t="str">
        <f>IF(AB442=$V$3,IF(VLOOKUP(C442,[1]List1!$A:$E,5,FALSE)=0,1,VLOOKUP(C442,[1]List1!$A:$E,5,FALSE)),"")</f>
        <v/>
      </c>
      <c r="AQ442" s="292" t="str">
        <f t="shared" si="168"/>
        <v/>
      </c>
      <c r="AR442" s="618" t="str">
        <f t="shared" si="169"/>
        <v/>
      </c>
      <c r="AS442" s="292" t="str">
        <f t="shared" si="170"/>
        <v/>
      </c>
      <c r="AT442" s="377" t="e">
        <f t="shared" si="171"/>
        <v>#N/A</v>
      </c>
      <c r="AU442" s="292" t="e">
        <f t="shared" si="172"/>
        <v>#N/A</v>
      </c>
    </row>
    <row r="443" spans="1:47" ht="15" customHeight="1">
      <c r="A443" s="601" t="str">
        <f>Kat.!B441</f>
        <v/>
      </c>
      <c r="B443" s="601">
        <f t="shared" si="166"/>
        <v>1</v>
      </c>
      <c r="C443" s="783" t="s">
        <v>1886</v>
      </c>
      <c r="D443" s="776"/>
      <c r="E443" s="760"/>
      <c r="F443" s="761"/>
      <c r="G443" s="762"/>
      <c r="H443" s="596"/>
      <c r="I443" s="797"/>
      <c r="J443" s="764"/>
      <c r="K443" s="781"/>
      <c r="L443" s="766"/>
      <c r="M443" s="764"/>
      <c r="N443" s="767"/>
      <c r="O443" s="763"/>
      <c r="P443" s="763"/>
      <c r="Q443" s="764"/>
      <c r="R443" s="764"/>
      <c r="S443" s="764"/>
      <c r="T443" s="764"/>
      <c r="U443" s="768"/>
      <c r="V443" s="768"/>
      <c r="W443" s="769" t="str">
        <f>IFERROR(VLOOKUP('General price list'!$C443,Popisy!A:P,MATCH($W$17,Popisy!$A$7:$P$7,0),FALSE),"---------------")</f>
        <v>blood red + silver strobe</v>
      </c>
      <c r="X443" s="769" t="str">
        <f t="shared" si="187"/>
        <v/>
      </c>
      <c r="Y443" s="770">
        <f>IF(OR(AP443&lt;AA443,AND(NOT(OR(LEFT(AB443,3)="SKL",LEFT(AB443,3)=LEFT($V$2,3))),AA443&gt;0),AND('Deutsche Markt'!$AH$1=FALSE,J443="F4",AA443&gt;0)),"",AA443)</f>
        <v>0</v>
      </c>
      <c r="Z443" s="769"/>
      <c r="AA443" s="771">
        <f>'Deutsche Markt'!AA443</f>
        <v>0</v>
      </c>
      <c r="AB443" s="772" t="str">
        <f>IFERROR(IF(VLOOKUP(C443,[1]List1!$A:$D,2,FALSE)="VYPRODÁNO",$V$9,IF(VLOOKUP(C443,[1]List1!$A:$D,2,FALSE)="DOCHÁZÍ",$V$3,VLOOKUP(C443,[1]List1!$A:$D,2,FALSE))),"OFFLINE!")</f>
        <v>15.08.2024</v>
      </c>
      <c r="AC443" s="772" t="str">
        <f ca="1">IF(AO443="NE",$V$10,IF(AB443=$V$3,IF(AP443&lt;1,$V$8,$V$2&amp;" "&amp;AP443&amp;" "&amp;$V$1),IF(AB443="SKLADEM",$V$6,IFERROR(IF(OR(AB443-TODAY()&gt;21,VLOOKUP(C443,[1]List1!$A:$E,4,FALSE)=0),AB443,DAY(AB443)&amp;"."&amp;MONTH(AB443)&amp;"."&amp;YEAR(AB443)&amp;" "&amp;$V$4&amp;VLOOKUP(C443,[1]List1!$A:$E,4,FALSE)&amp;" "&amp;$V$1),AB443))))</f>
        <v>15.08.2024</v>
      </c>
      <c r="AD443" s="772" t="str">
        <f t="shared" ca="1" si="188"/>
        <v>15.08.2024</v>
      </c>
      <c r="AE443" s="605"/>
      <c r="AF443" s="605"/>
      <c r="AG443" s="615"/>
      <c r="AH443" s="616"/>
      <c r="AI443" s="615"/>
      <c r="AJ443" s="617"/>
      <c r="AK443" s="617"/>
      <c r="AL443" s="617"/>
      <c r="AM443" s="617"/>
      <c r="AO443" s="567" t="str">
        <f t="shared" si="167"/>
        <v/>
      </c>
      <c r="AP443" s="568" t="str">
        <f>IF(AB443=$V$3,IF(VLOOKUP(C443,[1]List1!$A:$E,5,FALSE)=0,1,VLOOKUP(C443,[1]List1!$A:$E,5,FALSE)),"")</f>
        <v/>
      </c>
      <c r="AQ443" s="292" t="str">
        <f t="shared" si="168"/>
        <v/>
      </c>
      <c r="AR443" s="618" t="str">
        <f t="shared" si="169"/>
        <v/>
      </c>
      <c r="AS443" s="292" t="str">
        <f t="shared" si="170"/>
        <v/>
      </c>
      <c r="AT443" s="377" t="e">
        <f t="shared" si="171"/>
        <v>#N/A</v>
      </c>
      <c r="AU443" s="292" t="e">
        <f t="shared" si="172"/>
        <v>#N/A</v>
      </c>
    </row>
    <row r="444" spans="1:47" ht="15" customHeight="1">
      <c r="A444" s="601" t="str">
        <f>Kat.!B442</f>
        <v/>
      </c>
      <c r="B444" s="601">
        <f t="shared" si="166"/>
        <v>1</v>
      </c>
      <c r="C444" s="783" t="s">
        <v>1891</v>
      </c>
      <c r="D444" s="783"/>
      <c r="E444" s="764"/>
      <c r="F444" s="761"/>
      <c r="G444" s="762"/>
      <c r="H444" s="596"/>
      <c r="I444" s="787"/>
      <c r="J444" s="764"/>
      <c r="K444" s="774"/>
      <c r="L444" s="787"/>
      <c r="M444" s="764"/>
      <c r="N444" s="767"/>
      <c r="O444" s="763"/>
      <c r="P444" s="763"/>
      <c r="Q444" s="764"/>
      <c r="R444" s="764"/>
      <c r="S444" s="764"/>
      <c r="T444" s="764"/>
      <c r="U444" s="768"/>
      <c r="V444" s="768"/>
      <c r="W444" s="769" t="str">
        <f>IFERROR(VLOOKUP('General price list'!$C444,Popisy!A:P,MATCH($W$17,Popisy!$A$7:$P$7,0),FALSE),"---------------")</f>
        <v>Mixed carton contains-premiun quality(each box including: silver tail to red wave w.crackling, flower crown chrysant.to blue, silver tail to silver strobe, delay cracker willow, golden ti willow, silver tail to silver palm tree)</v>
      </c>
      <c r="X444" s="769" t="str">
        <f t="shared" si="187"/>
        <v/>
      </c>
      <c r="Y444" s="770">
        <f>IF(OR(AP444&lt;AA444,AND(NOT(OR(LEFT(AB444,3)="SKL",LEFT(AB444,3)=LEFT($V$2,3))),AA444&gt;0),AND('Deutsche Markt'!$AH$1=FALSE,J444="F4",AA444&gt;0)),"",AA444)</f>
        <v>0</v>
      </c>
      <c r="Z444" s="769"/>
      <c r="AA444" s="771">
        <f>'Deutsche Markt'!AA444</f>
        <v>0</v>
      </c>
      <c r="AB444" s="772" t="str">
        <f>IFERROR(IF(VLOOKUP(C444,[1]List1!$A:$D,2,FALSE)="VYPRODÁNO",$V$9,IF(VLOOKUP(C444,[1]List1!$A:$D,2,FALSE)="DOCHÁZÍ",$V$3,VLOOKUP(C444,[1]List1!$A:$D,2,FALSE))),"OFFLINE!")</f>
        <v>SKLADEM</v>
      </c>
      <c r="AC444" s="772" t="str">
        <f ca="1">IF(AO444="NE",$V$10,IF(AB444=$V$3,IF(AP444&lt;1,$V$8,$V$2&amp;" "&amp;AP444&amp;" "&amp;$V$1),IF(AB444="SKLADEM",$V$6,IFERROR(IF(OR(AB444-TODAY()&gt;21,VLOOKUP(C444,[1]List1!$A:$E,4,FALSE)=0),AB444,DAY(AB444)&amp;"."&amp;MONTH(AB444)&amp;"."&amp;YEAR(AB444)&amp;" "&amp;$V$4&amp;VLOOKUP(C444,[1]List1!$A:$E,4,FALSE)&amp;" "&amp;$V$1),AB444))))</f>
        <v>AUF LAGER</v>
      </c>
      <c r="AD444" s="772" t="str">
        <f t="shared" ca="1" si="188"/>
        <v>AUF LAGER</v>
      </c>
      <c r="AE444" s="605"/>
      <c r="AF444" s="605"/>
      <c r="AG444" s="615"/>
      <c r="AH444" s="616"/>
      <c r="AI444" s="615"/>
      <c r="AJ444" s="617"/>
      <c r="AK444" s="617"/>
      <c r="AL444" s="617"/>
      <c r="AM444" s="617"/>
      <c r="AO444" s="567" t="str">
        <f t="shared" si="167"/>
        <v/>
      </c>
      <c r="AP444" s="568" t="str">
        <f>IF(AB444=$V$3,IF(VLOOKUP(C444,[1]List1!$A:$E,5,FALSE)=0,1,VLOOKUP(C444,[1]List1!$A:$E,5,FALSE)),"")</f>
        <v/>
      </c>
      <c r="AQ444" s="292" t="str">
        <f t="shared" si="168"/>
        <v/>
      </c>
      <c r="AR444" s="618" t="str">
        <f t="shared" si="169"/>
        <v/>
      </c>
      <c r="AS444" s="292" t="str">
        <f t="shared" si="170"/>
        <v/>
      </c>
      <c r="AT444" s="377" t="e">
        <f t="shared" si="171"/>
        <v>#N/A</v>
      </c>
      <c r="AU444" s="292" t="e">
        <f t="shared" si="172"/>
        <v>#N/A</v>
      </c>
    </row>
    <row r="445" spans="1:47" ht="15" customHeight="1">
      <c r="A445" s="601" t="str">
        <f>Kat.!$B$1&amp;Kat.!B443</f>
        <v/>
      </c>
      <c r="B445" s="601">
        <f t="shared" si="166"/>
        <v>0</v>
      </c>
      <c r="C445" s="163"/>
      <c r="D445" s="235"/>
      <c r="E445" s="604"/>
      <c r="F445" s="605"/>
      <c r="G445" s="606"/>
      <c r="H445" s="607"/>
      <c r="I445" s="636"/>
      <c r="J445" s="609"/>
      <c r="K445" s="708"/>
      <c r="L445" s="611"/>
      <c r="M445" s="609"/>
      <c r="N445" s="612"/>
      <c r="O445" s="608"/>
      <c r="P445" s="608"/>
      <c r="Q445" s="609"/>
      <c r="R445" s="609"/>
      <c r="S445" s="609"/>
      <c r="T445" s="609"/>
      <c r="U445" s="613"/>
      <c r="V445" s="613"/>
      <c r="W445" s="601" t="str">
        <f>IFERROR(VLOOKUP('General price list'!$C445,Popisy!A:P,MATCH($W$17,Popisy!$A$7:$P$7,0),FALSE),"---------------")</f>
        <v>---------------</v>
      </c>
      <c r="X445" s="601" t="str">
        <f t="shared" si="187"/>
        <v/>
      </c>
      <c r="Y445" s="770">
        <f>IF(OR(AP445&lt;AA445,AND(NOT(OR(LEFT(AB445,3)="SKL",LEFT(AB445,3)=LEFT($V$2,3))),AA445&gt;0),AND('Deutsche Markt'!$AH$1=FALSE,J445="F4",AA445&gt;0)),"",AA445)</f>
        <v>0</v>
      </c>
      <c r="Z445" s="601"/>
      <c r="AA445" s="771">
        <f>'Deutsche Markt'!AA445</f>
        <v>0</v>
      </c>
      <c r="AB445" s="614" t="str">
        <f>IFERROR(IF(VLOOKUP(C445,[1]List1!$A:$D,2,FALSE)="VYPRODÁNO",$V$9,IF(VLOOKUP(C445,[1]List1!$A:$D,2,FALSE)="DOCHÁZÍ",$V$3,VLOOKUP(C445,[1]List1!$A:$D,2,FALSE))),"OFFLINE!")</f>
        <v>OFFLINE!</v>
      </c>
      <c r="AC445" s="614" t="str">
        <f ca="1">IF(AO445="NE",$V$10,IF(AB445=$V$3,IF(AP445&lt;1,$V$8,$V$2&amp;" "&amp;AP445&amp;" "&amp;$V$1),IF(AB445="SKLADEM",$V$6,IFERROR(IF(OR(AB445-TODAY()&gt;21,VLOOKUP(C445,[1]List1!$A:$E,4,FALSE)=0),AB445,DAY(AB445)&amp;"."&amp;MONTH(AB445)&amp;"."&amp;YEAR(AB445)&amp;" "&amp;$V$4&amp;VLOOKUP(C445,[1]List1!$A:$E,4,FALSE)&amp;" "&amp;$V$1),AB445))))</f>
        <v>OFFLINE!</v>
      </c>
      <c r="AD445" s="614" t="str">
        <f t="shared" ca="1" si="188"/>
        <v>OFFLINE!</v>
      </c>
      <c r="AE445" s="605"/>
      <c r="AF445" s="605"/>
      <c r="AG445" s="615"/>
      <c r="AH445" s="616"/>
      <c r="AI445" s="615"/>
      <c r="AJ445" s="617"/>
      <c r="AK445" s="617"/>
      <c r="AL445" s="617"/>
      <c r="AM445" s="617"/>
      <c r="AO445" s="567" t="str">
        <f t="shared" si="167"/>
        <v/>
      </c>
      <c r="AP445" s="568" t="str">
        <f>IF(AB445=$V$3,IF(VLOOKUP(C445,[1]List1!$A:$E,5,FALSE)=0,1,VLOOKUP(C445,[1]List1!$A:$E,5,FALSE)),"")</f>
        <v/>
      </c>
      <c r="AQ445" s="292" t="str">
        <f t="shared" si="168"/>
        <v/>
      </c>
      <c r="AR445" s="618" t="str">
        <f t="shared" si="169"/>
        <v/>
      </c>
      <c r="AS445" s="292" t="str">
        <f t="shared" si="170"/>
        <v/>
      </c>
      <c r="AT445" s="377" t="e">
        <f t="shared" si="171"/>
        <v>#N/A</v>
      </c>
      <c r="AU445" s="292" t="e">
        <f t="shared" si="172"/>
        <v>#N/A</v>
      </c>
    </row>
    <row r="446" spans="1:47" ht="15" customHeight="1">
      <c r="A446" s="601" t="str">
        <f>Kat.!B444</f>
        <v/>
      </c>
      <c r="B446" s="601">
        <f t="shared" si="166"/>
        <v>1</v>
      </c>
      <c r="C446" s="783" t="s">
        <v>1932</v>
      </c>
      <c r="D446" s="783"/>
      <c r="E446" s="764"/>
      <c r="F446" s="761"/>
      <c r="G446" s="762"/>
      <c r="H446" s="596"/>
      <c r="I446" s="787"/>
      <c r="J446" s="764"/>
      <c r="K446" s="765"/>
      <c r="L446" s="787"/>
      <c r="M446" s="764"/>
      <c r="N446" s="767"/>
      <c r="O446" s="763"/>
      <c r="P446" s="763"/>
      <c r="Q446" s="764"/>
      <c r="R446" s="764"/>
      <c r="S446" s="764"/>
      <c r="T446" s="764"/>
      <c r="U446" s="768"/>
      <c r="V446" s="768"/>
      <c r="W446" s="769" t="str">
        <f>IFERROR(VLOOKUP('General price list'!$C446,Popisy!A:P,MATCH($W$17,Popisy!$A$7:$P$7,0),FALSE),"---------------")</f>
        <v>silver tail to titanium salute</v>
      </c>
      <c r="X446" s="769" t="str">
        <f t="shared" si="187"/>
        <v/>
      </c>
      <c r="Y446" s="770">
        <f>IF(OR(AP446&lt;AA446,AND(NOT(OR(LEFT(AB446,3)="SKL",LEFT(AB446,3)=LEFT($V$2,3))),AA446&gt;0),AND('Deutsche Markt'!$AH$1=FALSE,J446="F4",AA446&gt;0)),"",AA446)</f>
        <v>0</v>
      </c>
      <c r="Z446" s="769"/>
      <c r="AA446" s="771">
        <f>'Deutsche Markt'!AA446</f>
        <v>0</v>
      </c>
      <c r="AB446" s="772" t="str">
        <f>IFERROR(IF(VLOOKUP(C446,[1]List1!$A:$D,2,FALSE)="VYPRODÁNO",$V$9,IF(VLOOKUP(C446,[1]List1!$A:$D,2,FALSE)="DOCHÁZÍ",$V$3,VLOOKUP(C446,[1]List1!$A:$D,2,FALSE))),"OFFLINE!")</f>
        <v>15.06.2024</v>
      </c>
      <c r="AC446" s="772" t="str">
        <f ca="1">IF(AO446="NE",$V$10,IF(AB446=$V$3,IF(AP446&lt;1,$V$8,$V$2&amp;" "&amp;AP446&amp;" "&amp;$V$1),IF(AB446="SKLADEM",$V$6,IFERROR(IF(OR(AB446-TODAY()&gt;21,VLOOKUP(C446,[1]List1!$A:$E,4,FALSE)=0),AB446,DAY(AB446)&amp;"."&amp;MONTH(AB446)&amp;"."&amp;YEAR(AB446)&amp;" "&amp;$V$4&amp;VLOOKUP(C446,[1]List1!$A:$E,4,FALSE)&amp;" "&amp;$V$1),AB446))))</f>
        <v>15.06.2024</v>
      </c>
      <c r="AD446" s="772" t="str">
        <f t="shared" ca="1" si="188"/>
        <v>15.06.2024</v>
      </c>
      <c r="AE446" s="605"/>
      <c r="AF446" s="605"/>
      <c r="AG446" s="615"/>
      <c r="AH446" s="616"/>
      <c r="AI446" s="615"/>
      <c r="AJ446" s="617"/>
      <c r="AK446" s="617"/>
      <c r="AL446" s="617"/>
      <c r="AM446" s="617"/>
      <c r="AO446" s="567" t="str">
        <f t="shared" si="167"/>
        <v/>
      </c>
      <c r="AP446" s="568" t="str">
        <f>IF(AB446=$V$3,IF(VLOOKUP(C446,[1]List1!$A:$E,5,FALSE)=0,1,VLOOKUP(C446,[1]List1!$A:$E,5,FALSE)),"")</f>
        <v/>
      </c>
      <c r="AQ446" s="292" t="str">
        <f t="shared" si="168"/>
        <v/>
      </c>
      <c r="AR446" s="618" t="str">
        <f t="shared" si="169"/>
        <v/>
      </c>
      <c r="AS446" s="292" t="str">
        <f t="shared" si="170"/>
        <v/>
      </c>
      <c r="AT446" s="377" t="e">
        <f t="shared" si="171"/>
        <v>#N/A</v>
      </c>
      <c r="AU446" s="292" t="e">
        <f t="shared" si="172"/>
        <v>#N/A</v>
      </c>
    </row>
    <row r="447" spans="1:47" ht="15" customHeight="1">
      <c r="A447" s="601" t="str">
        <f>Kat.!B445</f>
        <v>Kugelbomben 100mm</v>
      </c>
      <c r="B447" s="601">
        <f t="shared" si="166"/>
        <v>0</v>
      </c>
      <c r="C447" s="783"/>
      <c r="D447" s="776"/>
      <c r="E447" s="760"/>
      <c r="F447" s="761"/>
      <c r="G447" s="762"/>
      <c r="H447" s="596"/>
      <c r="I447" s="797"/>
      <c r="J447" s="764"/>
      <c r="K447" s="773"/>
      <c r="L447" s="766"/>
      <c r="M447" s="764"/>
      <c r="N447" s="767"/>
      <c r="O447" s="763"/>
      <c r="P447" s="763"/>
      <c r="Q447" s="764"/>
      <c r="R447" s="764"/>
      <c r="S447" s="764"/>
      <c r="T447" s="764"/>
      <c r="U447" s="768"/>
      <c r="V447" s="768"/>
      <c r="W447" s="769"/>
      <c r="X447" s="769"/>
      <c r="Y447" s="770">
        <f>IF(OR(AP447&lt;AA447,AND(NOT(OR(LEFT(AB447,3)="SKL",LEFT(AB447,3)=LEFT($V$2,3))),AA447&gt;0),AND('Deutsche Markt'!$AH$1=FALSE,J447="F4",AA447&gt;0)),"",AA447)</f>
        <v>0</v>
      </c>
      <c r="Z447" s="769"/>
      <c r="AA447" s="771">
        <f>'Deutsche Markt'!AA447</f>
        <v>0</v>
      </c>
      <c r="AB447" s="772"/>
      <c r="AC447" s="772"/>
      <c r="AD447" s="772"/>
      <c r="AE447" s="605"/>
      <c r="AF447" s="605"/>
      <c r="AG447" s="615"/>
      <c r="AH447" s="616"/>
      <c r="AI447" s="615"/>
      <c r="AJ447" s="617"/>
      <c r="AK447" s="617"/>
      <c r="AL447" s="617"/>
      <c r="AM447" s="617"/>
      <c r="AO447" s="567" t="str">
        <f t="shared" si="167"/>
        <v/>
      </c>
      <c r="AP447" s="568" t="str">
        <f>IF(AB447=$V$3,IF(VLOOKUP(C447,[1]List1!$A:$E,5,FALSE)=0,1,VLOOKUP(C447,[1]List1!$A:$E,5,FALSE)),"")</f>
        <v/>
      </c>
      <c r="AQ447" s="292" t="str">
        <f t="shared" si="168"/>
        <v/>
      </c>
      <c r="AR447" s="618" t="str">
        <f t="shared" si="169"/>
        <v/>
      </c>
      <c r="AS447" s="292" t="str">
        <f t="shared" si="170"/>
        <v/>
      </c>
      <c r="AT447" s="377" t="e">
        <f t="shared" si="171"/>
        <v>#N/A</v>
      </c>
      <c r="AU447" s="292" t="e">
        <f t="shared" si="172"/>
        <v>#N/A</v>
      </c>
    </row>
    <row r="448" spans="1:47" ht="15" customHeight="1">
      <c r="A448" s="601" t="str">
        <f>Kat.!B446</f>
        <v/>
      </c>
      <c r="B448" s="601">
        <f t="shared" si="166"/>
        <v>1</v>
      </c>
      <c r="C448" s="783" t="s">
        <v>1938</v>
      </c>
      <c r="D448" s="783"/>
      <c r="E448" s="764"/>
      <c r="F448" s="761"/>
      <c r="G448" s="762"/>
      <c r="H448" s="595"/>
      <c r="I448" s="764"/>
      <c r="J448" s="764"/>
      <c r="K448" s="765"/>
      <c r="L448" s="764"/>
      <c r="M448" s="764"/>
      <c r="N448" s="764"/>
      <c r="O448" s="764"/>
      <c r="P448" s="764"/>
      <c r="Q448" s="764"/>
      <c r="R448" s="764"/>
      <c r="S448" s="764"/>
      <c r="T448" s="764"/>
      <c r="U448" s="764"/>
      <c r="V448" s="764"/>
      <c r="W448" s="764" t="str">
        <f>IFERROR(VLOOKUP('General price list'!$C448,Popisy!A:P,MATCH($W$17,Popisy!$A$7:$P$7,0),FALSE),"---------------")</f>
        <v>glitter.palm tree</v>
      </c>
      <c r="X448" s="764" t="str">
        <f t="shared" ref="X448:X451" si="189">IF(AA448&lt;0.0001,"",AA448)</f>
        <v/>
      </c>
      <c r="Y448" s="770">
        <f>IF(OR(AP448&lt;AA448,AND(NOT(OR(LEFT(AB448,3)="SKL",LEFT(AB448,3)=LEFT($V$2,3))),AA448&gt;0),AND('Deutsche Markt'!$AH$1=FALSE,J448="F4",AA448&gt;0)),"",AA448)</f>
        <v>0</v>
      </c>
      <c r="Z448" s="764"/>
      <c r="AA448" s="771">
        <f>'Deutsche Markt'!AA448</f>
        <v>0</v>
      </c>
      <c r="AB448" s="772" t="str">
        <f>IFERROR(IF(VLOOKUP(C448,[1]List1!$A:$D,2,FALSE)="VYPRODÁNO",$V$9,IF(VLOOKUP(C448,[1]List1!$A:$D,2,FALSE)="DOCHÁZÍ",$V$3,VLOOKUP(C448,[1]List1!$A:$D,2,FALSE))),"OFFLINE!")</f>
        <v>SKLADEM</v>
      </c>
      <c r="AC448" s="785" t="str">
        <f ca="1">IF(AO448="NE",$V$10,IF(AB448=$V$3,IF(AP448&lt;1,$V$8,$V$2&amp;" "&amp;AP448&amp;" "&amp;$V$1),IF(AB448="SKLADEM",$V$6,IFERROR(IF(OR(AB448-TODAY()&gt;21,VLOOKUP(C448,[1]List1!$A:$E,4,FALSE)=0),AB448,DAY(AB448)&amp;"."&amp;MONTH(AB448)&amp;"."&amp;YEAR(AB448)&amp;" "&amp;$V$4&amp;VLOOKUP(C448,[1]List1!$A:$E,4,FALSE)&amp;" "&amp;$V$1),AB448))))</f>
        <v>AUF LAGER</v>
      </c>
      <c r="AD448" s="785" t="str">
        <f t="shared" ref="AD448:AD451" ca="1" si="190">IFERROR(IF(AU448&lt;&gt;"",AU448,AC448),AC448)</f>
        <v>AUF LAGER</v>
      </c>
      <c r="AE448" s="609"/>
      <c r="AF448" s="609"/>
      <c r="AG448" s="627"/>
      <c r="AH448" s="609"/>
      <c r="AI448" s="627"/>
      <c r="AJ448" s="609"/>
      <c r="AK448" s="609"/>
      <c r="AL448" s="609"/>
      <c r="AM448" s="627"/>
      <c r="AO448" s="567" t="str">
        <f t="shared" si="167"/>
        <v/>
      </c>
      <c r="AP448" s="568" t="str">
        <f>IF(AB448=$V$3,IF(VLOOKUP(C448,[1]List1!$A:$E,5,FALSE)=0,1,VLOOKUP(C448,[1]List1!$A:$E,5,FALSE)),"")</f>
        <v/>
      </c>
      <c r="AQ448" s="292" t="str">
        <f t="shared" si="168"/>
        <v/>
      </c>
      <c r="AR448" s="618" t="str">
        <f t="shared" si="169"/>
        <v/>
      </c>
      <c r="AS448" s="292" t="str">
        <f t="shared" si="170"/>
        <v/>
      </c>
      <c r="AT448" s="377" t="e">
        <f t="shared" si="171"/>
        <v>#N/A</v>
      </c>
      <c r="AU448" s="292" t="e">
        <f t="shared" si="172"/>
        <v>#N/A</v>
      </c>
    </row>
    <row r="449" spans="1:47" ht="15" customHeight="1">
      <c r="A449" s="601" t="str">
        <f>Kat.!B447</f>
        <v>Kugelbomben 100mm, Prämienqualität</v>
      </c>
      <c r="B449" s="601">
        <f t="shared" si="166"/>
        <v>1</v>
      </c>
      <c r="C449" s="758" t="s">
        <v>1945</v>
      </c>
      <c r="D449" s="776"/>
      <c r="E449" s="760"/>
      <c r="F449" s="761"/>
      <c r="G449" s="762"/>
      <c r="H449" s="596"/>
      <c r="I449" s="797"/>
      <c r="J449" s="764"/>
      <c r="K449" s="773"/>
      <c r="L449" s="766"/>
      <c r="M449" s="764"/>
      <c r="N449" s="767"/>
      <c r="O449" s="763"/>
      <c r="P449" s="763"/>
      <c r="Q449" s="764"/>
      <c r="R449" s="764"/>
      <c r="S449" s="764"/>
      <c r="T449" s="764"/>
      <c r="U449" s="768"/>
      <c r="V449" s="768"/>
      <c r="W449" s="769" t="str">
        <f>IFERROR(VLOOKUP('General price list'!$C449,Popisy!A:P,MATCH($W$17,Popisy!$A$7:$P$7,0),FALSE),"---------------")</f>
        <v>crackling nishiki kamuro</v>
      </c>
      <c r="X449" s="769" t="str">
        <f t="shared" si="189"/>
        <v/>
      </c>
      <c r="Y449" s="770">
        <f>IF(OR(AP449&lt;AA449,AND(NOT(OR(LEFT(AB449,3)="SKL",LEFT(AB449,3)=LEFT($V$2,3))),AA449&gt;0),AND('Deutsche Markt'!$AH$1=FALSE,J449="F4",AA449&gt;0)),"",AA449)</f>
        <v>0</v>
      </c>
      <c r="Z449" s="769"/>
      <c r="AA449" s="771">
        <f>'Deutsche Markt'!AA449</f>
        <v>0</v>
      </c>
      <c r="AB449" s="772" t="str">
        <f>IFERROR(IF(VLOOKUP(C449,[1]List1!$A:$D,2,FALSE)="VYPRODÁNO",$V$9,IF(VLOOKUP(C449,[1]List1!$A:$D,2,FALSE)="DOCHÁZÍ",$V$3,VLOOKUP(C449,[1]List1!$A:$D,2,FALSE))),"OFFLINE!")</f>
        <v>15.06.2024</v>
      </c>
      <c r="AC449" s="772" t="str">
        <f ca="1">IF(AO449="NE",$V$10,IF(AB449=$V$3,IF(AP449&lt;1,$V$8,$V$2&amp;" "&amp;AP449&amp;" "&amp;$V$1),IF(AB449="SKLADEM",$V$6,IFERROR(IF(OR(AB449-TODAY()&gt;21,VLOOKUP(C449,[1]List1!$A:$E,4,FALSE)=0),AB449,DAY(AB449)&amp;"."&amp;MONTH(AB449)&amp;"."&amp;YEAR(AB449)&amp;" "&amp;$V$4&amp;VLOOKUP(C449,[1]List1!$A:$E,4,FALSE)&amp;" "&amp;$V$1),AB449))))</f>
        <v>15.06.2024</v>
      </c>
      <c r="AD449" s="772" t="str">
        <f t="shared" ca="1" si="190"/>
        <v>15.06.2024</v>
      </c>
      <c r="AE449" s="605"/>
      <c r="AF449" s="605"/>
      <c r="AG449" s="615"/>
      <c r="AH449" s="616"/>
      <c r="AI449" s="615"/>
      <c r="AJ449" s="617"/>
      <c r="AK449" s="617"/>
      <c r="AL449" s="617"/>
      <c r="AM449" s="617"/>
      <c r="AO449" s="567" t="str">
        <f t="shared" si="167"/>
        <v/>
      </c>
      <c r="AP449" s="568" t="str">
        <f>IF(AB449=$V$3,IF(VLOOKUP(C449,[1]List1!$A:$E,5,FALSE)=0,1,VLOOKUP(C449,[1]List1!$A:$E,5,FALSE)),"")</f>
        <v/>
      </c>
      <c r="AQ449" s="292" t="str">
        <f t="shared" si="168"/>
        <v/>
      </c>
      <c r="AR449" s="618" t="str">
        <f t="shared" si="169"/>
        <v/>
      </c>
      <c r="AS449" s="292" t="str">
        <f t="shared" si="170"/>
        <v/>
      </c>
      <c r="AT449" s="377" t="e">
        <f t="shared" si="171"/>
        <v>#N/A</v>
      </c>
      <c r="AU449" s="292" t="e">
        <f t="shared" si="172"/>
        <v>#N/A</v>
      </c>
    </row>
    <row r="450" spans="1:47" ht="15" customHeight="1">
      <c r="A450" s="609" t="str">
        <f>Kat.!$B$1&amp;Kat.!B448</f>
        <v/>
      </c>
      <c r="B450" s="601">
        <f t="shared" si="166"/>
        <v>1</v>
      </c>
      <c r="C450" s="163" t="s">
        <v>1946</v>
      </c>
      <c r="D450" s="163"/>
      <c r="E450" s="609"/>
      <c r="F450" s="605"/>
      <c r="G450" s="606"/>
      <c r="H450" s="607"/>
      <c r="I450" s="629"/>
      <c r="J450" s="609"/>
      <c r="K450" s="708"/>
      <c r="L450" s="629"/>
      <c r="M450" s="609"/>
      <c r="N450" s="624"/>
      <c r="O450" s="624"/>
      <c r="P450" s="608"/>
      <c r="Q450" s="609"/>
      <c r="R450" s="609"/>
      <c r="S450" s="609"/>
      <c r="T450" s="609"/>
      <c r="U450" s="613"/>
      <c r="V450" s="613"/>
      <c r="W450" s="601" t="str">
        <f>IFERROR(VLOOKUP('General price list'!$C450,Popisy!A:P,MATCH($W$17,Popisy!$A$7:$P$7,0),FALSE),"---------------")</f>
        <v>silver crown w.red pistil</v>
      </c>
      <c r="X450" s="601" t="str">
        <f t="shared" si="189"/>
        <v/>
      </c>
      <c r="Y450" s="770">
        <f>IF(OR(AP450&lt;AA450,AND(NOT(OR(LEFT(AB450,3)="SKL",LEFT(AB450,3)=LEFT($V$2,3))),AA450&gt;0),AND('Deutsche Markt'!$AH$1=FALSE,J450="F4",AA450&gt;0)),"",AA450)</f>
        <v>0</v>
      </c>
      <c r="Z450" s="601"/>
      <c r="AA450" s="771">
        <f>'Deutsche Markt'!AA450</f>
        <v>0</v>
      </c>
      <c r="AB450" s="614" t="str">
        <f>IFERROR(IF(VLOOKUP(C450,[1]List1!$A:$D,2,FALSE)="VYPRODÁNO",$V$9,IF(VLOOKUP(C450,[1]List1!$A:$D,2,FALSE)="DOCHÁZÍ",$V$3,VLOOKUP(C450,[1]List1!$A:$D,2,FALSE))),"OFFLINE!")</f>
        <v>SKLADEM</v>
      </c>
      <c r="AC450" s="614" t="str">
        <f ca="1">IF(AO450="NE",$V$10,IF(AB450=$V$3,IF(AP450&lt;1,$V$8,$V$2&amp;" "&amp;AP450&amp;" "&amp;$V$1),IF(AB450="SKLADEM",$V$6,IFERROR(IF(OR(AB450-TODAY()&gt;21,VLOOKUP(C450,[1]List1!$A:$E,4,FALSE)=0),AB450,DAY(AB450)&amp;"."&amp;MONTH(AB450)&amp;"."&amp;YEAR(AB450)&amp;" "&amp;$V$4&amp;VLOOKUP(C450,[1]List1!$A:$E,4,FALSE)&amp;" "&amp;$V$1),AB450))))</f>
        <v>AUF LAGER</v>
      </c>
      <c r="AD450" s="614" t="str">
        <f t="shared" ca="1" si="190"/>
        <v>AUF LAGER</v>
      </c>
      <c r="AE450" s="605"/>
      <c r="AF450" s="605"/>
      <c r="AG450" s="615"/>
      <c r="AH450" s="616"/>
      <c r="AI450" s="615"/>
      <c r="AJ450" s="617"/>
      <c r="AK450" s="617"/>
      <c r="AL450" s="617"/>
      <c r="AM450" s="617"/>
      <c r="AO450" s="567" t="str">
        <f t="shared" si="167"/>
        <v/>
      </c>
      <c r="AP450" s="568" t="str">
        <f>IF(AB450=$V$3,IF(VLOOKUP(C450,[1]List1!$A:$E,5,FALSE)=0,1,VLOOKUP(C450,[1]List1!$A:$E,5,FALSE)),"")</f>
        <v/>
      </c>
      <c r="AQ450" s="292" t="str">
        <f t="shared" si="168"/>
        <v/>
      </c>
      <c r="AR450" s="618" t="str">
        <f t="shared" si="169"/>
        <v/>
      </c>
      <c r="AS450" s="292" t="str">
        <f t="shared" si="170"/>
        <v/>
      </c>
      <c r="AT450" s="377" t="e">
        <f t="shared" si="171"/>
        <v>#N/A</v>
      </c>
      <c r="AU450" s="292" t="e">
        <f t="shared" si="172"/>
        <v>#N/A</v>
      </c>
    </row>
    <row r="451" spans="1:47" ht="15" customHeight="1">
      <c r="A451" s="601" t="str">
        <f>Kat.!B449</f>
        <v/>
      </c>
      <c r="B451" s="601">
        <f t="shared" si="166"/>
        <v>1</v>
      </c>
      <c r="C451" s="775" t="s">
        <v>1947</v>
      </c>
      <c r="D451" s="800"/>
      <c r="E451" s="760"/>
      <c r="F451" s="761"/>
      <c r="G451" s="762"/>
      <c r="H451" s="596"/>
      <c r="I451" s="797"/>
      <c r="J451" s="764"/>
      <c r="K451" s="781"/>
      <c r="L451" s="766"/>
      <c r="M451" s="764"/>
      <c r="N451" s="767"/>
      <c r="O451" s="763"/>
      <c r="P451" s="763"/>
      <c r="Q451" s="764"/>
      <c r="R451" s="764"/>
      <c r="S451" s="764"/>
      <c r="T451" s="764"/>
      <c r="U451" s="768"/>
      <c r="V451" s="768"/>
      <c r="W451" s="769" t="str">
        <f>IFERROR(VLOOKUP('General price list'!$C451,Popisy!A:P,MATCH($W$17,Popisy!$A$7:$P$7,0),FALSE),"---------------")</f>
        <v>blood red+silver strobe</v>
      </c>
      <c r="X451" s="769" t="str">
        <f t="shared" si="189"/>
        <v/>
      </c>
      <c r="Y451" s="770">
        <f>IF(OR(AP451&lt;AA451,AND(NOT(OR(LEFT(AB451,3)="SKL",LEFT(AB451,3)=LEFT($V$2,3))),AA451&gt;0),AND('Deutsche Markt'!$AH$1=FALSE,J451="F4",AA451&gt;0)),"",AA451)</f>
        <v>0</v>
      </c>
      <c r="Z451" s="769"/>
      <c r="AA451" s="771">
        <f>'Deutsche Markt'!AA451</f>
        <v>0</v>
      </c>
      <c r="AB451" s="772" t="str">
        <f>IFERROR(IF(VLOOKUP(C451,[1]List1!$A:$D,2,FALSE)="VYPRODÁNO",$V$9,IF(VLOOKUP(C451,[1]List1!$A:$D,2,FALSE)="DOCHÁZÍ",$V$3,VLOOKUP(C451,[1]List1!$A:$D,2,FALSE))),"OFFLINE!")</f>
        <v>30.09.2024</v>
      </c>
      <c r="AC451" s="772" t="str">
        <f ca="1">IF(AO451="NE",$V$10,IF(AB451=$V$3,IF(AP451&lt;1,$V$8,$V$2&amp;" "&amp;AP451&amp;" "&amp;$V$1),IF(AB451="SKLADEM",$V$6,IFERROR(IF(OR(AB451-TODAY()&gt;21,VLOOKUP(C451,[1]List1!$A:$E,4,FALSE)=0),AB451,DAY(AB451)&amp;"."&amp;MONTH(AB451)&amp;"."&amp;YEAR(AB451)&amp;" "&amp;$V$4&amp;VLOOKUP(C451,[1]List1!$A:$E,4,FALSE)&amp;" "&amp;$V$1),AB451))))</f>
        <v>30.09.2024</v>
      </c>
      <c r="AD451" s="772" t="str">
        <f t="shared" ca="1" si="190"/>
        <v>30.09.2024</v>
      </c>
      <c r="AE451" s="605"/>
      <c r="AF451" s="605"/>
      <c r="AG451" s="615"/>
      <c r="AH451" s="616"/>
      <c r="AI451" s="615"/>
      <c r="AJ451" s="617"/>
      <c r="AK451" s="617"/>
      <c r="AL451" s="617"/>
      <c r="AM451" s="617"/>
      <c r="AO451" s="567" t="str">
        <f t="shared" si="167"/>
        <v/>
      </c>
      <c r="AP451" s="568" t="str">
        <f>IF(AB451=$V$3,IF(VLOOKUP(C451,[1]List1!$A:$E,5,FALSE)=0,1,VLOOKUP(C451,[1]List1!$A:$E,5,FALSE)),"")</f>
        <v/>
      </c>
      <c r="AQ451" s="292" t="str">
        <f t="shared" si="168"/>
        <v/>
      </c>
      <c r="AR451" s="618" t="str">
        <f t="shared" si="169"/>
        <v/>
      </c>
      <c r="AS451" s="292" t="str">
        <f t="shared" si="170"/>
        <v/>
      </c>
      <c r="AT451" s="377" t="e">
        <f t="shared" si="171"/>
        <v>#N/A</v>
      </c>
      <c r="AU451" s="292" t="e">
        <f t="shared" si="172"/>
        <v>#N/A</v>
      </c>
    </row>
    <row r="452" spans="1:47" ht="15" customHeight="1">
      <c r="A452" s="601" t="str">
        <f>Kat.!$B$1&amp;Kat.!B450</f>
        <v/>
      </c>
      <c r="B452" s="601">
        <f t="shared" si="166"/>
        <v>1</v>
      </c>
      <c r="C452" s="163" t="s">
        <v>1948</v>
      </c>
      <c r="D452" s="163"/>
      <c r="E452" s="609"/>
      <c r="F452" s="605"/>
      <c r="G452" s="606"/>
      <c r="H452" s="607"/>
      <c r="I452" s="629"/>
      <c r="J452" s="609"/>
      <c r="K452" s="708"/>
      <c r="L452" s="629"/>
      <c r="M452" s="609"/>
      <c r="N452" s="612"/>
      <c r="O452" s="608"/>
      <c r="P452" s="608"/>
      <c r="Q452" s="609"/>
      <c r="R452" s="609"/>
      <c r="S452" s="609"/>
      <c r="T452" s="609"/>
      <c r="U452" s="613"/>
      <c r="V452" s="613"/>
      <c r="W452" s="601" t="str">
        <f>IFERROR(VLOOKUP('General price list'!$C452,Popisy!A:P,MATCH($W$17,Popisy!$A$7:$P$7,0),FALSE),"---------------")</f>
        <v>golden Ti-willow</v>
      </c>
      <c r="X452" s="601" t="str">
        <f t="shared" ref="X452:X454" si="191">IF(AA452&lt;0.0001,"",AA452)</f>
        <v/>
      </c>
      <c r="Y452" s="770">
        <f>IF(OR(AP452&lt;AA452,AND(NOT(OR(LEFT(AB452,3)="SKL",LEFT(AB452,3)=LEFT($V$2,3))),AA452&gt;0),AND('Deutsche Markt'!$AH$1=FALSE,J452="F4",AA452&gt;0)),"",AA452)</f>
        <v>0</v>
      </c>
      <c r="Z452" s="601"/>
      <c r="AA452" s="771">
        <f>'Deutsche Markt'!AA452</f>
        <v>0</v>
      </c>
      <c r="AB452" s="614" t="str">
        <f>IFERROR(IF(VLOOKUP(C452,[1]List1!$A:$D,2,FALSE)="VYPRODÁNO",$V$9,IF(VLOOKUP(C452,[1]List1!$A:$D,2,FALSE)="DOCHÁZÍ",$V$3,VLOOKUP(C452,[1]List1!$A:$D,2,FALSE))),"OFFLINE!")</f>
        <v>15.06.2024</v>
      </c>
      <c r="AC452" s="614" t="str">
        <f ca="1">IF(AO452="NE",$V$10,IF(AB452=$V$3,IF(AP452&lt;1,$V$8,$V$2&amp;" "&amp;AP452&amp;" "&amp;$V$1),IF(AB452="SKLADEM",$V$6,IFERROR(IF(OR(AB452-TODAY()&gt;21,VLOOKUP(C452,[1]List1!$A:$E,4,FALSE)=0),AB452,DAY(AB452)&amp;"."&amp;MONTH(AB452)&amp;"."&amp;YEAR(AB452)&amp;" "&amp;$V$4&amp;VLOOKUP(C452,[1]List1!$A:$E,4,FALSE)&amp;" "&amp;$V$1),AB452))))</f>
        <v>15.06.2024</v>
      </c>
      <c r="AD452" s="614" t="str">
        <f t="shared" ref="AD452:AD454" ca="1" si="192">IFERROR(IF(AU452&lt;&gt;"",AU452,AC452),AC452)</f>
        <v>15.06.2024</v>
      </c>
      <c r="AE452" s="605"/>
      <c r="AF452" s="605"/>
      <c r="AG452" s="615"/>
      <c r="AH452" s="616"/>
      <c r="AI452" s="615"/>
      <c r="AJ452" s="617"/>
      <c r="AK452" s="617"/>
      <c r="AL452" s="617"/>
      <c r="AM452" s="617"/>
      <c r="AO452" s="567" t="str">
        <f t="shared" si="167"/>
        <v/>
      </c>
      <c r="AP452" s="568" t="str">
        <f>IF(AB452=$V$3,IF(VLOOKUP(C452,[1]List1!$A:$E,5,FALSE)=0,1,VLOOKUP(C452,[1]List1!$A:$E,5,FALSE)),"")</f>
        <v/>
      </c>
      <c r="AQ452" s="292" t="str">
        <f t="shared" si="168"/>
        <v/>
      </c>
      <c r="AR452" s="618" t="str">
        <f t="shared" si="169"/>
        <v/>
      </c>
      <c r="AS452" s="292" t="str">
        <f t="shared" si="170"/>
        <v/>
      </c>
      <c r="AT452" s="377" t="e">
        <f t="shared" si="171"/>
        <v>#N/A</v>
      </c>
      <c r="AU452" s="292" t="e">
        <f t="shared" si="172"/>
        <v>#N/A</v>
      </c>
    </row>
    <row r="453" spans="1:47" ht="15" customHeight="1">
      <c r="A453" s="601" t="str">
        <f>Kat.!B451</f>
        <v/>
      </c>
      <c r="B453" s="601">
        <f t="shared" si="166"/>
        <v>1</v>
      </c>
      <c r="C453" s="783" t="s">
        <v>1949</v>
      </c>
      <c r="D453" s="776"/>
      <c r="E453" s="760"/>
      <c r="F453" s="761"/>
      <c r="G453" s="762"/>
      <c r="H453" s="596"/>
      <c r="I453" s="797"/>
      <c r="J453" s="764"/>
      <c r="K453" s="781"/>
      <c r="L453" s="766"/>
      <c r="M453" s="764"/>
      <c r="N453" s="767"/>
      <c r="O453" s="763"/>
      <c r="P453" s="763"/>
      <c r="Q453" s="764"/>
      <c r="R453" s="764"/>
      <c r="S453" s="764"/>
      <c r="T453" s="764"/>
      <c r="U453" s="768"/>
      <c r="V453" s="768"/>
      <c r="W453" s="769" t="str">
        <f>IFERROR(VLOOKUP('General price list'!$C453,Popisy!A:P,MATCH($W$17,Popisy!$A$7:$P$7,0),FALSE),"---------------")</f>
        <v>silver strobe</v>
      </c>
      <c r="X453" s="769" t="str">
        <f t="shared" si="191"/>
        <v/>
      </c>
      <c r="Y453" s="770">
        <f>IF(OR(AP453&lt;AA453,AND(NOT(OR(LEFT(AB453,3)="SKL",LEFT(AB453,3)=LEFT($V$2,3))),AA453&gt;0),AND('Deutsche Markt'!$AH$1=FALSE,J453="F4",AA453&gt;0)),"",AA453)</f>
        <v>0</v>
      </c>
      <c r="Z453" s="769"/>
      <c r="AA453" s="771">
        <f>'Deutsche Markt'!AA453</f>
        <v>0</v>
      </c>
      <c r="AB453" s="772" t="str">
        <f>IFERROR(IF(VLOOKUP(C453,[1]List1!$A:$D,2,FALSE)="VYPRODÁNO",$V$9,IF(VLOOKUP(C453,[1]List1!$A:$D,2,FALSE)="DOCHÁZÍ",$V$3,VLOOKUP(C453,[1]List1!$A:$D,2,FALSE))),"OFFLINE!")</f>
        <v>SKLADEM</v>
      </c>
      <c r="AC453" s="772" t="str">
        <f ca="1">IF(AO453="NE",$V$10,IF(AB453=$V$3,IF(AP453&lt;1,$V$8,$V$2&amp;" "&amp;AP453&amp;" "&amp;$V$1),IF(AB453="SKLADEM",$V$6,IFERROR(IF(OR(AB453-TODAY()&gt;21,VLOOKUP(C453,[1]List1!$A:$E,4,FALSE)=0),AB453,DAY(AB453)&amp;"."&amp;MONTH(AB453)&amp;"."&amp;YEAR(AB453)&amp;" "&amp;$V$4&amp;VLOOKUP(C453,[1]List1!$A:$E,4,FALSE)&amp;" "&amp;$V$1),AB453))))</f>
        <v>AUF LAGER</v>
      </c>
      <c r="AD453" s="772" t="str">
        <f t="shared" ca="1" si="192"/>
        <v>AUF LAGER</v>
      </c>
      <c r="AE453" s="605"/>
      <c r="AF453" s="605"/>
      <c r="AG453" s="615"/>
      <c r="AH453" s="616"/>
      <c r="AI453" s="615"/>
      <c r="AJ453" s="617"/>
      <c r="AK453" s="617"/>
      <c r="AL453" s="617"/>
      <c r="AM453" s="617"/>
      <c r="AO453" s="567" t="str">
        <f t="shared" si="167"/>
        <v/>
      </c>
      <c r="AP453" s="568" t="str">
        <f>IF(AB453=$V$3,IF(VLOOKUP(C453,[1]List1!$A:$E,5,FALSE)=0,1,VLOOKUP(C453,[1]List1!$A:$E,5,FALSE)),"")</f>
        <v/>
      </c>
      <c r="AQ453" s="292" t="str">
        <f t="shared" si="168"/>
        <v/>
      </c>
      <c r="AR453" s="618" t="str">
        <f t="shared" si="169"/>
        <v/>
      </c>
      <c r="AS453" s="292" t="str">
        <f t="shared" si="170"/>
        <v/>
      </c>
      <c r="AT453" s="377" t="e">
        <f t="shared" si="171"/>
        <v>#N/A</v>
      </c>
      <c r="AU453" s="292" t="e">
        <f t="shared" si="172"/>
        <v>#N/A</v>
      </c>
    </row>
    <row r="454" spans="1:47" ht="15" customHeight="1">
      <c r="A454" s="601" t="str">
        <f>Kat.!$B$1&amp;Kat.!B452</f>
        <v/>
      </c>
      <c r="B454" s="601">
        <f t="shared" si="166"/>
        <v>1</v>
      </c>
      <c r="C454" s="163" t="s">
        <v>1950</v>
      </c>
      <c r="D454" s="235"/>
      <c r="E454" s="604"/>
      <c r="F454" s="605"/>
      <c r="G454" s="606"/>
      <c r="H454" s="607"/>
      <c r="I454" s="636"/>
      <c r="J454" s="609"/>
      <c r="K454" s="708"/>
      <c r="L454" s="611"/>
      <c r="M454" s="609"/>
      <c r="N454" s="612"/>
      <c r="O454" s="608"/>
      <c r="P454" s="608"/>
      <c r="Q454" s="609"/>
      <c r="R454" s="609"/>
      <c r="S454" s="609"/>
      <c r="T454" s="609"/>
      <c r="U454" s="613"/>
      <c r="V454" s="613"/>
      <c r="W454" s="601" t="str">
        <f>IFERROR(VLOOKUP('General price list'!$C454,Popisy!A:P,MATCH($W$17,Popisy!$A$7:$P$7,0),FALSE),"---------------")</f>
        <v>silver tail to silver palm tree</v>
      </c>
      <c r="X454" s="601" t="str">
        <f t="shared" si="191"/>
        <v/>
      </c>
      <c r="Y454" s="770">
        <f>IF(OR(AP454&lt;AA454,AND(NOT(OR(LEFT(AB454,3)="SKL",LEFT(AB454,3)=LEFT($V$2,3))),AA454&gt;0),AND('Deutsche Markt'!$AH$1=FALSE,J454="F4",AA454&gt;0)),"",AA454)</f>
        <v>0</v>
      </c>
      <c r="Z454" s="601"/>
      <c r="AA454" s="771">
        <f>'Deutsche Markt'!AA454</f>
        <v>0</v>
      </c>
      <c r="AB454" s="614" t="str">
        <f>IFERROR(IF(VLOOKUP(C454,[1]List1!$A:$D,2,FALSE)="VYPRODÁNO",$V$9,IF(VLOOKUP(C454,[1]List1!$A:$D,2,FALSE)="DOCHÁZÍ",$V$3,VLOOKUP(C454,[1]List1!$A:$D,2,FALSE))),"OFFLINE!")</f>
        <v>SKLADEM</v>
      </c>
      <c r="AC454" s="614" t="str">
        <f ca="1">IF(AO454="NE",$V$10,IF(AB454=$V$3,IF(AP454&lt;1,$V$8,$V$2&amp;" "&amp;AP454&amp;" "&amp;$V$1),IF(AB454="SKLADEM",$V$6,IFERROR(IF(OR(AB454-TODAY()&gt;21,VLOOKUP(C454,[1]List1!$A:$E,4,FALSE)=0),AB454,DAY(AB454)&amp;"."&amp;MONTH(AB454)&amp;"."&amp;YEAR(AB454)&amp;" "&amp;$V$4&amp;VLOOKUP(C454,[1]List1!$A:$E,4,FALSE)&amp;" "&amp;$V$1),AB454))))</f>
        <v>AUF LAGER</v>
      </c>
      <c r="AD454" s="614" t="str">
        <f t="shared" ca="1" si="192"/>
        <v>AUF LAGER</v>
      </c>
      <c r="AE454" s="605"/>
      <c r="AF454" s="605"/>
      <c r="AG454" s="615"/>
      <c r="AH454" s="616"/>
      <c r="AI454" s="615"/>
      <c r="AJ454" s="617"/>
      <c r="AK454" s="617"/>
      <c r="AL454" s="617"/>
      <c r="AM454" s="617"/>
      <c r="AO454" s="567" t="str">
        <f t="shared" si="167"/>
        <v/>
      </c>
      <c r="AP454" s="568" t="str">
        <f>IF(AB454=$V$3,IF(VLOOKUP(C454,[1]List1!$A:$E,5,FALSE)=0,1,VLOOKUP(C454,[1]List1!$A:$E,5,FALSE)),"")</f>
        <v/>
      </c>
      <c r="AQ454" s="292" t="str">
        <f t="shared" si="168"/>
        <v/>
      </c>
      <c r="AR454" s="618" t="str">
        <f t="shared" si="169"/>
        <v/>
      </c>
      <c r="AS454" s="292" t="str">
        <f t="shared" si="170"/>
        <v/>
      </c>
      <c r="AT454" s="377" t="e">
        <f t="shared" si="171"/>
        <v>#N/A</v>
      </c>
      <c r="AU454" s="292" t="e">
        <f t="shared" si="172"/>
        <v>#N/A</v>
      </c>
    </row>
    <row r="455" spans="1:47" ht="15" customHeight="1">
      <c r="A455" s="601" t="str">
        <f>Kat.!B453</f>
        <v/>
      </c>
      <c r="B455" s="601">
        <f t="shared" si="166"/>
        <v>1</v>
      </c>
      <c r="C455" s="783" t="s">
        <v>1951</v>
      </c>
      <c r="D455" s="783"/>
      <c r="E455" s="764"/>
      <c r="F455" s="761"/>
      <c r="G455" s="762"/>
      <c r="H455" s="596"/>
      <c r="I455" s="787"/>
      <c r="J455" s="764"/>
      <c r="K455" s="781"/>
      <c r="L455" s="787"/>
      <c r="M455" s="764"/>
      <c r="N455" s="767"/>
      <c r="O455" s="763"/>
      <c r="P455" s="763"/>
      <c r="Q455" s="764"/>
      <c r="R455" s="764"/>
      <c r="S455" s="764"/>
      <c r="T455" s="764"/>
      <c r="U455" s="768"/>
      <c r="V455" s="768"/>
      <c r="W455" s="769"/>
      <c r="X455" s="769"/>
      <c r="Y455" s="770">
        <f>IF(OR(AP455&lt;AA455,AND(NOT(OR(LEFT(AB455,3)="SKL",LEFT(AB455,3)=LEFT($V$2,3))),AA455&gt;0),AND('Deutsche Markt'!$AH$1=FALSE,J455="F4",AA455&gt;0)),"",AA455)</f>
        <v>0</v>
      </c>
      <c r="Z455" s="769"/>
      <c r="AA455" s="771">
        <f>'Deutsche Markt'!AA455</f>
        <v>0</v>
      </c>
      <c r="AB455" s="772"/>
      <c r="AC455" s="772"/>
      <c r="AD455" s="772"/>
      <c r="AE455" s="605"/>
      <c r="AF455" s="605"/>
      <c r="AG455" s="615"/>
      <c r="AH455" s="616"/>
      <c r="AI455" s="615"/>
      <c r="AJ455" s="617"/>
      <c r="AK455" s="617"/>
      <c r="AL455" s="617"/>
      <c r="AM455" s="617"/>
      <c r="AO455" s="567" t="str">
        <f t="shared" si="167"/>
        <v/>
      </c>
      <c r="AP455" s="568" t="str">
        <f>IF(AB455=$V$3,IF(VLOOKUP(C455,[1]List1!$A:$E,5,FALSE)=0,1,VLOOKUP(C455,[1]List1!$A:$E,5,FALSE)),"")</f>
        <v/>
      </c>
      <c r="AQ455" s="292" t="str">
        <f t="shared" si="168"/>
        <v/>
      </c>
      <c r="AR455" s="618" t="str">
        <f t="shared" si="169"/>
        <v/>
      </c>
      <c r="AS455" s="292" t="str">
        <f t="shared" si="170"/>
        <v/>
      </c>
      <c r="AT455" s="377" t="e">
        <f t="shared" si="171"/>
        <v>#N/A</v>
      </c>
      <c r="AU455" s="292" t="e">
        <f t="shared" si="172"/>
        <v>#N/A</v>
      </c>
    </row>
    <row r="456" spans="1:47" ht="15" customHeight="1">
      <c r="A456" s="601" t="str">
        <f>Kat.!$B$1&amp;Kat.!B454</f>
        <v/>
      </c>
      <c r="B456" s="601">
        <f t="shared" si="166"/>
        <v>1</v>
      </c>
      <c r="C456" s="163" t="s">
        <v>1953</v>
      </c>
      <c r="D456" s="628"/>
      <c r="E456" s="604"/>
      <c r="F456" s="605"/>
      <c r="G456" s="606"/>
      <c r="H456" s="607"/>
      <c r="I456" s="636"/>
      <c r="J456" s="609"/>
      <c r="K456" s="708"/>
      <c r="L456" s="611"/>
      <c r="M456" s="609"/>
      <c r="N456" s="612"/>
      <c r="O456" s="608"/>
      <c r="P456" s="608"/>
      <c r="Q456" s="609"/>
      <c r="R456" s="609"/>
      <c r="S456" s="609"/>
      <c r="T456" s="609"/>
      <c r="U456" s="613"/>
      <c r="V456" s="613"/>
      <c r="W456" s="601" t="str">
        <f>IFERROR(VLOOKUP('General price list'!$C456,Popisy!A:P,MATCH($W$17,Popisy!$A$7:$P$7,0),FALSE),"---------------")</f>
        <v>silver wave to blue w.crackling</v>
      </c>
      <c r="X456" s="601" t="str">
        <f t="shared" ref="X456:X466" si="193">IF(AA456&lt;0.0001,"",AA456)</f>
        <v/>
      </c>
      <c r="Y456" s="770">
        <f>IF(OR(AP456&lt;AA456,AND(NOT(OR(LEFT(AB456,3)="SKL",LEFT(AB456,3)=LEFT($V$2,3))),AA456&gt;0),AND('Deutsche Markt'!$AH$1=FALSE,J456="F4",AA456&gt;0)),"",AA456)</f>
        <v>0</v>
      </c>
      <c r="Z456" s="601"/>
      <c r="AA456" s="771">
        <f>'Deutsche Markt'!AA456</f>
        <v>0</v>
      </c>
      <c r="AB456" s="614" t="str">
        <f>IFERROR(IF(VLOOKUP(C456,[1]List1!$A:$D,2,FALSE)="VYPRODÁNO",$V$9,IF(VLOOKUP(C456,[1]List1!$A:$D,2,FALSE)="DOCHÁZÍ",$V$3,VLOOKUP(C456,[1]List1!$A:$D,2,FALSE))),"OFFLINE!")</f>
        <v>SKLADEM</v>
      </c>
      <c r="AC456" s="614" t="str">
        <f ca="1">IF(AO456="NE",$V$10,IF(AB456=$V$3,IF(AP456&lt;1,$V$8,$V$2&amp;" "&amp;AP456&amp;" "&amp;$V$1),IF(AB456="SKLADEM",$V$6,IFERROR(IF(OR(AB456-TODAY()&gt;21,VLOOKUP(C456,[1]List1!$A:$E,4,FALSE)=0),AB456,DAY(AB456)&amp;"."&amp;MONTH(AB456)&amp;"."&amp;YEAR(AB456)&amp;" "&amp;$V$4&amp;VLOOKUP(C456,[1]List1!$A:$E,4,FALSE)&amp;" "&amp;$V$1),AB456))))</f>
        <v>AUF LAGER</v>
      </c>
      <c r="AD456" s="614" t="str">
        <f t="shared" ref="AD456:AD466" ca="1" si="194">IFERROR(IF(AU456&lt;&gt;"",AU456,AC456),AC456)</f>
        <v>AUF LAGER</v>
      </c>
      <c r="AE456" s="605"/>
      <c r="AF456" s="605"/>
      <c r="AG456" s="615"/>
      <c r="AH456" s="616"/>
      <c r="AI456" s="615"/>
      <c r="AJ456" s="617"/>
      <c r="AK456" s="617"/>
      <c r="AL456" s="617"/>
      <c r="AM456" s="617"/>
      <c r="AO456" s="567" t="str">
        <f t="shared" si="167"/>
        <v/>
      </c>
      <c r="AP456" s="568" t="str">
        <f>IF(AB456=$V$3,IF(VLOOKUP(C456,[1]List1!$A:$E,5,FALSE)=0,1,VLOOKUP(C456,[1]List1!$A:$E,5,FALSE)),"")</f>
        <v/>
      </c>
      <c r="AQ456" s="292" t="str">
        <f t="shared" si="168"/>
        <v/>
      </c>
      <c r="AR456" s="618" t="str">
        <f t="shared" si="169"/>
        <v/>
      </c>
      <c r="AS456" s="292" t="str">
        <f t="shared" si="170"/>
        <v/>
      </c>
      <c r="AT456" s="377" t="e">
        <f t="shared" si="171"/>
        <v>#N/A</v>
      </c>
      <c r="AU456" s="292" t="e">
        <f t="shared" si="172"/>
        <v>#N/A</v>
      </c>
    </row>
    <row r="457" spans="1:47" ht="15" customHeight="1">
      <c r="A457" s="601" t="str">
        <f>Kat.!B455</f>
        <v/>
      </c>
      <c r="B457" s="601">
        <f t="shared" si="166"/>
        <v>1</v>
      </c>
      <c r="C457" s="778" t="s">
        <v>1956</v>
      </c>
      <c r="D457" s="778"/>
      <c r="E457" s="778"/>
      <c r="F457" s="779"/>
      <c r="G457" s="778"/>
      <c r="H457" s="778"/>
      <c r="I457" s="778"/>
      <c r="J457" s="778"/>
      <c r="K457" s="781"/>
      <c r="L457" s="778"/>
      <c r="M457" s="778"/>
      <c r="N457" s="778"/>
      <c r="O457" s="778"/>
      <c r="P457" s="778"/>
      <c r="Q457" s="778"/>
      <c r="R457" s="778"/>
      <c r="S457" s="778"/>
      <c r="T457" s="778"/>
      <c r="U457" s="778"/>
      <c r="V457" s="778"/>
      <c r="W457" s="778" t="str">
        <f>IFERROR(VLOOKUP('General price list'!$C457,Popisy!A:P,MATCH($W$17,Popisy!$A$7:$P$7,0),FALSE),"---------------")</f>
        <v>golden wave to red</v>
      </c>
      <c r="X457" s="778" t="str">
        <f t="shared" si="193"/>
        <v/>
      </c>
      <c r="Y457" s="770">
        <f>IF(OR(AP457&lt;AA457,AND(NOT(OR(LEFT(AB457,3)="SKL",LEFT(AB457,3)=LEFT($V$2,3))),AA457&gt;0),AND('Deutsche Markt'!$AH$1=FALSE,J457="F4",AA457&gt;0)),"",AA457)</f>
        <v>0</v>
      </c>
      <c r="Z457" s="778"/>
      <c r="AA457" s="771">
        <f>'Deutsche Markt'!AA457</f>
        <v>0</v>
      </c>
      <c r="AB457" s="778" t="str">
        <f>IFERROR(IF(VLOOKUP(C457,[1]List1!$A:$D,2,FALSE)="VYPRODÁNO",$V$9,IF(VLOOKUP(C457,[1]List1!$A:$D,2,FALSE)="DOCHÁZÍ",$V$3,VLOOKUP(C457,[1]List1!$A:$D,2,FALSE))),"OFFLINE!")</f>
        <v>LETZTE STÜCKE</v>
      </c>
      <c r="AC457" s="778" t="str">
        <f ca="1">IF(AO457="NE",$V$10,IF(AB457=$V$3,IF(AP457&lt;1,$V$8,$V$2&amp;" "&amp;AP457&amp;" "&amp;$V$1),IF(AB457="SKLADEM",$V$6,IFERROR(IF(OR(AB457-TODAY()&gt;21,VLOOKUP(C457,[1]List1!$A:$E,4,FALSE)=0),AB457,DAY(AB457)&amp;"."&amp;MONTH(AB457)&amp;"."&amp;YEAR(AB457)&amp;" "&amp;$V$4&amp;VLOOKUP(C457,[1]List1!$A:$E,4,FALSE)&amp;" "&amp;$V$1),AB457))))</f>
        <v>LETZTE 2 KTN</v>
      </c>
      <c r="AD457" s="778" t="str">
        <f t="shared" ca="1" si="194"/>
        <v>LETZTE 2 KTN</v>
      </c>
      <c r="AE457" s="599"/>
      <c r="AF457" s="599"/>
      <c r="AG457" s="599"/>
      <c r="AH457" s="599"/>
      <c r="AI457" s="599"/>
      <c r="AJ457" s="599"/>
      <c r="AK457" s="599"/>
      <c r="AL457" s="599"/>
      <c r="AM457" s="599"/>
      <c r="AN457" s="566"/>
      <c r="AO457" s="567" t="str">
        <f t="shared" si="167"/>
        <v/>
      </c>
      <c r="AP457" s="568">
        <f>IF(AB457=$V$3,IF(VLOOKUP(C457,[1]List1!$A:$E,5,FALSE)=0,1,VLOOKUP(C457,[1]List1!$A:$E,5,FALSE)),"")</f>
        <v>2</v>
      </c>
      <c r="AQ457" s="292" t="str">
        <f t="shared" si="168"/>
        <v/>
      </c>
      <c r="AR457" s="618" t="str">
        <f t="shared" si="169"/>
        <v/>
      </c>
      <c r="AS457" s="292" t="str">
        <f t="shared" si="170"/>
        <v/>
      </c>
      <c r="AT457" s="377" t="e">
        <f t="shared" si="171"/>
        <v>#N/A</v>
      </c>
      <c r="AU457" s="292" t="e">
        <f t="shared" si="172"/>
        <v>#N/A</v>
      </c>
    </row>
    <row r="458" spans="1:47" ht="15" customHeight="1">
      <c r="A458" s="601" t="str">
        <f>Kat.!$B$1&amp;Kat.!B456</f>
        <v/>
      </c>
      <c r="B458" s="601">
        <f t="shared" si="166"/>
        <v>1</v>
      </c>
      <c r="C458" s="163" t="s">
        <v>1964</v>
      </c>
      <c r="D458" s="235"/>
      <c r="E458" s="604"/>
      <c r="F458" s="605"/>
      <c r="G458" s="606"/>
      <c r="H458" s="607"/>
      <c r="I458" s="636"/>
      <c r="J458" s="609"/>
      <c r="K458" s="708"/>
      <c r="L458" s="611"/>
      <c r="M458" s="609"/>
      <c r="N458" s="612"/>
      <c r="O458" s="608"/>
      <c r="P458" s="608"/>
      <c r="Q458" s="609"/>
      <c r="R458" s="609"/>
      <c r="S458" s="609"/>
      <c r="T458" s="609"/>
      <c r="U458" s="613"/>
      <c r="V458" s="613"/>
      <c r="W458" s="601" t="str">
        <f>IFERROR(VLOOKUP('General price list'!$C458,Popisy!A:P,MATCH($W$17,Popisy!$A$7:$P$7,0),FALSE),"---------------")</f>
        <v>red strobe willow</v>
      </c>
      <c r="X458" s="601" t="str">
        <f t="shared" si="193"/>
        <v/>
      </c>
      <c r="Y458" s="770">
        <f>IF(OR(AP458&lt;AA458,AND(NOT(OR(LEFT(AB458,3)="SKL",LEFT(AB458,3)=LEFT($V$2,3))),AA458&gt;0),AND('Deutsche Markt'!$AH$1=FALSE,J458="F4",AA458&gt;0)),"",AA458)</f>
        <v>0</v>
      </c>
      <c r="Z458" s="601"/>
      <c r="AA458" s="771">
        <f>'Deutsche Markt'!AA458</f>
        <v>0</v>
      </c>
      <c r="AB458" s="614" t="str">
        <f>IFERROR(IF(VLOOKUP(C458,[1]List1!$A:$D,2,FALSE)="VYPRODÁNO",$V$9,IF(VLOOKUP(C458,[1]List1!$A:$D,2,FALSE)="DOCHÁZÍ",$V$3,VLOOKUP(C458,[1]List1!$A:$D,2,FALSE))),"OFFLINE!")</f>
        <v>20.06.2024</v>
      </c>
      <c r="AC458" s="614" t="str">
        <f ca="1">IF(AO458="NE",$V$10,IF(AB458=$V$3,IF(AP458&lt;1,$V$8,$V$2&amp;" "&amp;AP458&amp;" "&amp;$V$1),IF(AB458="SKLADEM",$V$6,IFERROR(IF(OR(AB458-TODAY()&gt;21,VLOOKUP(C458,[1]List1!$A:$E,4,FALSE)=0),AB458,DAY(AB458)&amp;"."&amp;MONTH(AB458)&amp;"."&amp;YEAR(AB458)&amp;" "&amp;$V$4&amp;VLOOKUP(C458,[1]List1!$A:$E,4,FALSE)&amp;" "&amp;$V$1),AB458))))</f>
        <v>20.06.2024</v>
      </c>
      <c r="AD458" s="614" t="str">
        <f t="shared" ca="1" si="194"/>
        <v>20.06.2024</v>
      </c>
      <c r="AE458" s="605"/>
      <c r="AF458" s="605"/>
      <c r="AG458" s="615"/>
      <c r="AH458" s="616"/>
      <c r="AI458" s="615"/>
      <c r="AJ458" s="617"/>
      <c r="AK458" s="617"/>
      <c r="AL458" s="617"/>
      <c r="AM458" s="617"/>
      <c r="AO458" s="567" t="str">
        <f t="shared" si="167"/>
        <v/>
      </c>
      <c r="AP458" s="568" t="str">
        <f>IF(AB458=$V$3,IF(VLOOKUP(C458,[1]List1!$A:$E,5,FALSE)=0,1,VLOOKUP(C458,[1]List1!$A:$E,5,FALSE)),"")</f>
        <v/>
      </c>
      <c r="AQ458" s="292" t="str">
        <f t="shared" si="168"/>
        <v/>
      </c>
      <c r="AR458" s="618" t="str">
        <f t="shared" si="169"/>
        <v/>
      </c>
      <c r="AS458" s="292" t="str">
        <f t="shared" si="170"/>
        <v/>
      </c>
      <c r="AT458" s="377" t="e">
        <f t="shared" si="171"/>
        <v>#N/A</v>
      </c>
      <c r="AU458" s="292" t="e">
        <f t="shared" si="172"/>
        <v>#N/A</v>
      </c>
    </row>
    <row r="459" spans="1:47" ht="15" customHeight="1">
      <c r="A459" s="601" t="str">
        <f>Kat.!B457</f>
        <v/>
      </c>
      <c r="B459" s="601">
        <f t="shared" si="166"/>
        <v>1</v>
      </c>
      <c r="C459" s="783" t="s">
        <v>1965</v>
      </c>
      <c r="D459" s="783"/>
      <c r="E459" s="764"/>
      <c r="F459" s="761"/>
      <c r="G459" s="762"/>
      <c r="H459" s="596"/>
      <c r="I459" s="787"/>
      <c r="J459" s="764"/>
      <c r="K459" s="781"/>
      <c r="L459" s="787"/>
      <c r="M459" s="764"/>
      <c r="N459" s="767"/>
      <c r="O459" s="763"/>
      <c r="P459" s="763"/>
      <c r="Q459" s="764"/>
      <c r="R459" s="764"/>
      <c r="S459" s="764"/>
      <c r="T459" s="764"/>
      <c r="U459" s="768"/>
      <c r="V459" s="768"/>
      <c r="W459" s="769" t="str">
        <f>IFERROR(VLOOKUP('General price list'!$C459,Popisy!A:P,MATCH($W$17,Popisy!$A$7:$P$7,0),FALSE),"---------------")</f>
        <v>red three swords man</v>
      </c>
      <c r="X459" s="769" t="str">
        <f t="shared" si="193"/>
        <v/>
      </c>
      <c r="Y459" s="770">
        <f>IF(OR(AP459&lt;AA459,AND(NOT(OR(LEFT(AB459,3)="SKL",LEFT(AB459,3)=LEFT($V$2,3))),AA459&gt;0),AND('Deutsche Markt'!$AH$1=FALSE,J459="F4",AA459&gt;0)),"",AA459)</f>
        <v>0</v>
      </c>
      <c r="Z459" s="769"/>
      <c r="AA459" s="771">
        <f>'Deutsche Markt'!AA459</f>
        <v>0</v>
      </c>
      <c r="AB459" s="772" t="str">
        <f>IFERROR(IF(VLOOKUP(C459,[1]List1!$A:$D,2,FALSE)="VYPRODÁNO",$V$9,IF(VLOOKUP(C459,[1]List1!$A:$D,2,FALSE)="DOCHÁZÍ",$V$3,VLOOKUP(C459,[1]List1!$A:$D,2,FALSE))),"OFFLINE!")</f>
        <v>30.09.2024</v>
      </c>
      <c r="AC459" s="772" t="str">
        <f ca="1">IF(AO459="NE",$V$10,IF(AB459=$V$3,IF(AP459&lt;1,$V$8,$V$2&amp;" "&amp;AP459&amp;" "&amp;$V$1),IF(AB459="SKLADEM",$V$6,IFERROR(IF(OR(AB459-TODAY()&gt;21,VLOOKUP(C459,[1]List1!$A:$E,4,FALSE)=0),AB459,DAY(AB459)&amp;"."&amp;MONTH(AB459)&amp;"."&amp;YEAR(AB459)&amp;" "&amp;$V$4&amp;VLOOKUP(C459,[1]List1!$A:$E,4,FALSE)&amp;" "&amp;$V$1),AB459))))</f>
        <v>30.09.2024</v>
      </c>
      <c r="AD459" s="772" t="str">
        <f t="shared" ca="1" si="194"/>
        <v>30.09.2024</v>
      </c>
      <c r="AE459" s="605"/>
      <c r="AF459" s="605"/>
      <c r="AG459" s="615"/>
      <c r="AH459" s="616"/>
      <c r="AI459" s="615"/>
      <c r="AJ459" s="617"/>
      <c r="AK459" s="617"/>
      <c r="AL459" s="617"/>
      <c r="AM459" s="617"/>
      <c r="AO459" s="567" t="str">
        <f t="shared" si="167"/>
        <v/>
      </c>
      <c r="AP459" s="568" t="str">
        <f>IF(AB459=$V$3,IF(VLOOKUP(C459,[1]List1!$A:$E,5,FALSE)=0,1,VLOOKUP(C459,[1]List1!$A:$E,5,FALSE)),"")</f>
        <v/>
      </c>
      <c r="AQ459" s="292" t="str">
        <f t="shared" si="168"/>
        <v/>
      </c>
      <c r="AR459" s="618" t="str">
        <f t="shared" si="169"/>
        <v/>
      </c>
      <c r="AS459" s="292" t="str">
        <f t="shared" si="170"/>
        <v/>
      </c>
      <c r="AT459" s="377" t="e">
        <f t="shared" si="171"/>
        <v>#N/A</v>
      </c>
      <c r="AU459" s="292" t="e">
        <f t="shared" si="172"/>
        <v>#N/A</v>
      </c>
    </row>
    <row r="460" spans="1:47" ht="15" customHeight="1">
      <c r="A460" s="601" t="str">
        <f>Kat.!B458</f>
        <v/>
      </c>
      <c r="B460" s="601">
        <f t="shared" si="166"/>
        <v>1</v>
      </c>
      <c r="C460" s="778" t="s">
        <v>1967</v>
      </c>
      <c r="D460" s="778"/>
      <c r="E460" s="778"/>
      <c r="F460" s="779"/>
      <c r="G460" s="778"/>
      <c r="H460" s="778"/>
      <c r="I460" s="778"/>
      <c r="J460" s="778"/>
      <c r="K460" s="774"/>
      <c r="L460" s="778"/>
      <c r="M460" s="778"/>
      <c r="N460" s="778"/>
      <c r="O460" s="778"/>
      <c r="P460" s="778"/>
      <c r="Q460" s="778"/>
      <c r="R460" s="778"/>
      <c r="S460" s="778"/>
      <c r="T460" s="778"/>
      <c r="U460" s="778"/>
      <c r="V460" s="778"/>
      <c r="W460" s="778" t="str">
        <f>IFERROR(VLOOKUP('General price list'!$C460,Popisy!A:P,MATCH($W$17,Popisy!$A$7:$P$7,0),FALSE),"---------------")</f>
        <v>brocade crown to color</v>
      </c>
      <c r="X460" s="778" t="str">
        <f t="shared" si="193"/>
        <v/>
      </c>
      <c r="Y460" s="770">
        <f>IF(OR(AP460&lt;AA460,AND(NOT(OR(LEFT(AB460,3)="SKL",LEFT(AB460,3)=LEFT($V$2,3))),AA460&gt;0),AND('Deutsche Markt'!$AH$1=FALSE,J460="F4",AA460&gt;0)),"",AA460)</f>
        <v>0</v>
      </c>
      <c r="Z460" s="778"/>
      <c r="AA460" s="771">
        <f>'Deutsche Markt'!AA460</f>
        <v>0</v>
      </c>
      <c r="AB460" s="778" t="str">
        <f>IFERROR(IF(VLOOKUP(C460,[1]List1!$A:$D,2,FALSE)="VYPRODÁNO",$V$9,IF(VLOOKUP(C460,[1]List1!$A:$D,2,FALSE)="DOCHÁZÍ",$V$3,VLOOKUP(C460,[1]List1!$A:$D,2,FALSE))),"OFFLINE!")</f>
        <v>30.09.2024</v>
      </c>
      <c r="AC460" s="778" t="str">
        <f ca="1">IF(AO460="NE",$V$10,IF(AB460=$V$3,IF(AP460&lt;1,$V$8,$V$2&amp;" "&amp;AP460&amp;" "&amp;$V$1),IF(AB460="SKLADEM",$V$6,IFERROR(IF(OR(AB460-TODAY()&gt;21,VLOOKUP(C460,[1]List1!$A:$E,4,FALSE)=0),AB460,DAY(AB460)&amp;"."&amp;MONTH(AB460)&amp;"."&amp;YEAR(AB460)&amp;" "&amp;$V$4&amp;VLOOKUP(C460,[1]List1!$A:$E,4,FALSE)&amp;" "&amp;$V$1),AB460))))</f>
        <v>30.09.2024</v>
      </c>
      <c r="AD460" s="778" t="str">
        <f t="shared" ca="1" si="194"/>
        <v>30.09.2024</v>
      </c>
      <c r="AE460" s="599"/>
      <c r="AF460" s="599"/>
      <c r="AG460" s="599"/>
      <c r="AH460" s="599"/>
      <c r="AI460" s="599"/>
      <c r="AJ460" s="599"/>
      <c r="AK460" s="599"/>
      <c r="AL460" s="599"/>
      <c r="AM460" s="599"/>
      <c r="AN460" s="566"/>
      <c r="AO460" s="567" t="str">
        <f t="shared" si="167"/>
        <v/>
      </c>
      <c r="AP460" s="568" t="str">
        <f>IF(AB460=$V$3,IF(VLOOKUP(C460,[1]List1!$A:$E,5,FALSE)=0,1,VLOOKUP(C460,[1]List1!$A:$E,5,FALSE)),"")</f>
        <v/>
      </c>
      <c r="AQ460" s="292" t="str">
        <f t="shared" si="168"/>
        <v/>
      </c>
      <c r="AR460" s="618" t="str">
        <f t="shared" si="169"/>
        <v/>
      </c>
      <c r="AS460" s="292" t="str">
        <f t="shared" si="170"/>
        <v/>
      </c>
      <c r="AT460" s="377" t="e">
        <f t="shared" si="171"/>
        <v>#N/A</v>
      </c>
      <c r="AU460" s="292" t="e">
        <f t="shared" si="172"/>
        <v>#N/A</v>
      </c>
    </row>
    <row r="461" spans="1:47" ht="15" customHeight="1">
      <c r="A461" s="601" t="str">
        <f>Kat.!$B$1&amp;Kat.!B459</f>
        <v/>
      </c>
      <c r="B461" s="601">
        <f t="shared" si="166"/>
        <v>1</v>
      </c>
      <c r="C461" s="163" t="s">
        <v>1968</v>
      </c>
      <c r="D461" s="235"/>
      <c r="E461" s="604"/>
      <c r="F461" s="605"/>
      <c r="G461" s="606"/>
      <c r="H461" s="607"/>
      <c r="I461" s="636"/>
      <c r="J461" s="609"/>
      <c r="K461" s="708"/>
      <c r="L461" s="623"/>
      <c r="M461" s="609"/>
      <c r="N461" s="612"/>
      <c r="O461" s="608"/>
      <c r="P461" s="608"/>
      <c r="Q461" s="609"/>
      <c r="R461" s="609"/>
      <c r="S461" s="609"/>
      <c r="T461" s="609"/>
      <c r="U461" s="613"/>
      <c r="V461" s="613"/>
      <c r="W461" s="601" t="str">
        <f>IFERROR(VLOOKUP('General price list'!$C461,Popisy!A:P,MATCH($W$17,Popisy!$A$7:$P$7,0),FALSE),"---------------")</f>
        <v>Mixed carton contains-premium quality-each box including: S4L blood red+silver strobe, S4CH flower crown with red glitter pistil, S4Z/8 brocade crown to color, S4Z/7 orange wave to green</v>
      </c>
      <c r="X461" s="601" t="str">
        <f t="shared" si="193"/>
        <v/>
      </c>
      <c r="Y461" s="770">
        <f>IF(OR(AP461&lt;AA461,AND(NOT(OR(LEFT(AB461,3)="SKL",LEFT(AB461,3)=LEFT($V$2,3))),AA461&gt;0),AND('Deutsche Markt'!$AH$1=FALSE,J461="F4",AA461&gt;0)),"",AA461)</f>
        <v>0</v>
      </c>
      <c r="Z461" s="601"/>
      <c r="AA461" s="771">
        <f>'Deutsche Markt'!AA461</f>
        <v>0</v>
      </c>
      <c r="AB461" s="614" t="str">
        <f>IFERROR(IF(VLOOKUP(C461,[1]List1!$A:$D,2,FALSE)="VYPRODÁNO",$V$9,IF(VLOOKUP(C461,[1]List1!$A:$D,2,FALSE)="DOCHÁZÍ",$V$3,VLOOKUP(C461,[1]List1!$A:$D,2,FALSE))),"OFFLINE!")</f>
        <v>30.09.2024</v>
      </c>
      <c r="AC461" s="614" t="str">
        <f ca="1">IF(AO461="NE",$V$10,IF(AB461=$V$3,IF(AP461&lt;1,$V$8,$V$2&amp;" "&amp;AP461&amp;" "&amp;$V$1),IF(AB461="SKLADEM",$V$6,IFERROR(IF(OR(AB461-TODAY()&gt;21,VLOOKUP(C461,[1]List1!$A:$E,4,FALSE)=0),AB461,DAY(AB461)&amp;"."&amp;MONTH(AB461)&amp;"."&amp;YEAR(AB461)&amp;" "&amp;$V$4&amp;VLOOKUP(C461,[1]List1!$A:$E,4,FALSE)&amp;" "&amp;$V$1),AB461))))</f>
        <v>30.09.2024</v>
      </c>
      <c r="AD461" s="614" t="str">
        <f t="shared" ca="1" si="194"/>
        <v>30.09.2024</v>
      </c>
      <c r="AE461" s="605"/>
      <c r="AF461" s="605"/>
      <c r="AG461" s="615"/>
      <c r="AH461" s="616"/>
      <c r="AI461" s="615"/>
      <c r="AJ461" s="617"/>
      <c r="AK461" s="617"/>
      <c r="AL461" s="617"/>
      <c r="AM461" s="617"/>
      <c r="AO461" s="567" t="str">
        <f t="shared" si="167"/>
        <v/>
      </c>
      <c r="AP461" s="568" t="str">
        <f>IF(AB461=$V$3,IF(VLOOKUP(C461,[1]List1!$A:$E,5,FALSE)=0,1,VLOOKUP(C461,[1]List1!$A:$E,5,FALSE)),"")</f>
        <v/>
      </c>
      <c r="AQ461" s="292" t="str">
        <f t="shared" si="168"/>
        <v/>
      </c>
      <c r="AR461" s="618" t="str">
        <f t="shared" si="169"/>
        <v/>
      </c>
      <c r="AS461" s="292" t="str">
        <f t="shared" si="170"/>
        <v/>
      </c>
      <c r="AT461" s="377" t="e">
        <f t="shared" si="171"/>
        <v>#N/A</v>
      </c>
      <c r="AU461" s="292" t="e">
        <f t="shared" si="172"/>
        <v>#N/A</v>
      </c>
    </row>
    <row r="462" spans="1:47" ht="15" customHeight="1">
      <c r="A462" s="601" t="str">
        <f>Kat.!B460</f>
        <v/>
      </c>
      <c r="B462" s="601">
        <f t="shared" si="166"/>
        <v>0</v>
      </c>
      <c r="C462" s="778"/>
      <c r="D462" s="778"/>
      <c r="E462" s="778"/>
      <c r="F462" s="779"/>
      <c r="G462" s="778"/>
      <c r="H462" s="778"/>
      <c r="I462" s="778"/>
      <c r="J462" s="778"/>
      <c r="K462" s="765"/>
      <c r="L462" s="778"/>
      <c r="M462" s="778"/>
      <c r="N462" s="778"/>
      <c r="O462" s="778"/>
      <c r="P462" s="778"/>
      <c r="Q462" s="778"/>
      <c r="R462" s="778"/>
      <c r="S462" s="778"/>
      <c r="T462" s="778"/>
      <c r="U462" s="778"/>
      <c r="V462" s="778"/>
      <c r="W462" s="778" t="str">
        <f>IFERROR(VLOOKUP('General price list'!$C462,Popisy!A:P,MATCH($W$17,Popisy!$A$7:$P$7,0),FALSE),"---------------")</f>
        <v>---------------</v>
      </c>
      <c r="X462" s="778" t="str">
        <f t="shared" si="193"/>
        <v/>
      </c>
      <c r="Y462" s="770">
        <f>IF(OR(AP462&lt;AA462,AND(NOT(OR(LEFT(AB462,3)="SKL",LEFT(AB462,3)=LEFT($V$2,3))),AA462&gt;0),AND('Deutsche Markt'!$AH$1=FALSE,J462="F4",AA462&gt;0)),"",AA462)</f>
        <v>0</v>
      </c>
      <c r="Z462" s="778"/>
      <c r="AA462" s="771">
        <f>'Deutsche Markt'!AA462</f>
        <v>0</v>
      </c>
      <c r="AB462" s="778" t="str">
        <f>IFERROR(IF(VLOOKUP(C462,[1]List1!$A:$D,2,FALSE)="VYPRODÁNO",$V$9,IF(VLOOKUP(C462,[1]List1!$A:$D,2,FALSE)="DOCHÁZÍ",$V$3,VLOOKUP(C462,[1]List1!$A:$D,2,FALSE))),"OFFLINE!")</f>
        <v>OFFLINE!</v>
      </c>
      <c r="AC462" s="778" t="str">
        <f ca="1">IF(AO462="NE",$V$10,IF(AB462=$V$3,IF(AP462&lt;1,$V$8,$V$2&amp;" "&amp;AP462&amp;" "&amp;$V$1),IF(AB462="SKLADEM",$V$6,IFERROR(IF(OR(AB462-TODAY()&gt;21,VLOOKUP(C462,[1]List1!$A:$E,4,FALSE)=0),AB462,DAY(AB462)&amp;"."&amp;MONTH(AB462)&amp;"."&amp;YEAR(AB462)&amp;" "&amp;$V$4&amp;VLOOKUP(C462,[1]List1!$A:$E,4,FALSE)&amp;" "&amp;$V$1),AB462))))</f>
        <v>OFFLINE!</v>
      </c>
      <c r="AD462" s="778" t="str">
        <f t="shared" ca="1" si="194"/>
        <v>OFFLINE!</v>
      </c>
      <c r="AE462" s="599"/>
      <c r="AF462" s="599"/>
      <c r="AG462" s="599"/>
      <c r="AH462" s="599"/>
      <c r="AI462" s="599"/>
      <c r="AJ462" s="599"/>
      <c r="AK462" s="599"/>
      <c r="AL462" s="599"/>
      <c r="AM462" s="599"/>
      <c r="AN462" s="566"/>
      <c r="AO462" s="567" t="str">
        <f t="shared" si="167"/>
        <v/>
      </c>
      <c r="AP462" s="568" t="str">
        <f>IF(AB462=$V$3,IF(VLOOKUP(C462,[1]List1!$A:$E,5,FALSE)=0,1,VLOOKUP(C462,[1]List1!$A:$E,5,FALSE)),"")</f>
        <v/>
      </c>
      <c r="AQ462" s="292" t="str">
        <f t="shared" si="168"/>
        <v/>
      </c>
      <c r="AR462" s="618" t="str">
        <f t="shared" si="169"/>
        <v/>
      </c>
      <c r="AS462" s="292" t="str">
        <f t="shared" si="170"/>
        <v/>
      </c>
      <c r="AT462" s="377" t="e">
        <f t="shared" si="171"/>
        <v>#N/A</v>
      </c>
      <c r="AU462" s="292" t="e">
        <f t="shared" si="172"/>
        <v>#N/A</v>
      </c>
    </row>
    <row r="463" spans="1:47" ht="15" customHeight="1">
      <c r="A463" s="601" t="str">
        <f>Kat.!B461</f>
        <v/>
      </c>
      <c r="B463" s="601">
        <f t="shared" si="166"/>
        <v>1</v>
      </c>
      <c r="C463" s="783" t="s">
        <v>1982</v>
      </c>
      <c r="D463" s="776"/>
      <c r="E463" s="760"/>
      <c r="F463" s="761"/>
      <c r="G463" s="762"/>
      <c r="H463" s="596"/>
      <c r="I463" s="797"/>
      <c r="J463" s="764"/>
      <c r="K463" s="773"/>
      <c r="L463" s="782"/>
      <c r="M463" s="764"/>
      <c r="N463" s="767"/>
      <c r="O463" s="763"/>
      <c r="P463" s="763"/>
      <c r="Q463" s="764"/>
      <c r="R463" s="764"/>
      <c r="S463" s="764"/>
      <c r="T463" s="764"/>
      <c r="U463" s="768"/>
      <c r="V463" s="768"/>
      <c r="W463" s="769" t="str">
        <f>IFERROR(VLOOKUP('General price list'!$C463,Popisy!A:P,MATCH($W$17,Popisy!$A$7:$P$7,0),FALSE),"---------------")</f>
        <v xml:space="preserve">silver glittering red coco crossette </v>
      </c>
      <c r="X463" s="769" t="str">
        <f t="shared" si="193"/>
        <v/>
      </c>
      <c r="Y463" s="770">
        <f>IF(OR(AP463&lt;AA463,AND(NOT(OR(LEFT(AB463,3)="SKL",LEFT(AB463,3)=LEFT($V$2,3))),AA463&gt;0),AND('Deutsche Markt'!$AH$1=FALSE,J463="F4",AA463&gt;0)),"",AA463)</f>
        <v>0</v>
      </c>
      <c r="Z463" s="769"/>
      <c r="AA463" s="771">
        <f>'Deutsche Markt'!AA463</f>
        <v>0</v>
      </c>
      <c r="AB463" s="772" t="str">
        <f>IFERROR(IF(VLOOKUP(C463,[1]List1!$A:$D,2,FALSE)="VYPRODÁNO",$V$9,IF(VLOOKUP(C463,[1]List1!$A:$D,2,FALSE)="DOCHÁZÍ",$V$3,VLOOKUP(C463,[1]List1!$A:$D,2,FALSE))),"OFFLINE!")</f>
        <v>15.06.2024</v>
      </c>
      <c r="AC463" s="772" t="str">
        <f ca="1">IF(AO463="NE",$V$10,IF(AB463=$V$3,IF(AP463&lt;1,$V$8,$V$2&amp;" "&amp;AP463&amp;" "&amp;$V$1),IF(AB463="SKLADEM",$V$6,IFERROR(IF(OR(AB463-TODAY()&gt;21,VLOOKUP(C463,[1]List1!$A:$E,4,FALSE)=0),AB463,DAY(AB463)&amp;"."&amp;MONTH(AB463)&amp;"."&amp;YEAR(AB463)&amp;" "&amp;$V$4&amp;VLOOKUP(C463,[1]List1!$A:$E,4,FALSE)&amp;" "&amp;$V$1),AB463))))</f>
        <v>15.06.2024</v>
      </c>
      <c r="AD463" s="772" t="str">
        <f t="shared" ca="1" si="194"/>
        <v>15.06.2024</v>
      </c>
      <c r="AE463" s="605"/>
      <c r="AF463" s="605"/>
      <c r="AG463" s="615"/>
      <c r="AH463" s="616"/>
      <c r="AI463" s="615"/>
      <c r="AJ463" s="617"/>
      <c r="AK463" s="617"/>
      <c r="AL463" s="617"/>
      <c r="AM463" s="617"/>
      <c r="AO463" s="567" t="str">
        <f t="shared" si="167"/>
        <v/>
      </c>
      <c r="AP463" s="568" t="str">
        <f>IF(AB463=$V$3,IF(VLOOKUP(C463,[1]List1!$A:$E,5,FALSE)=0,1,VLOOKUP(C463,[1]List1!$A:$E,5,FALSE)),"")</f>
        <v/>
      </c>
      <c r="AQ463" s="292" t="str">
        <f t="shared" si="168"/>
        <v/>
      </c>
      <c r="AR463" s="618" t="str">
        <f t="shared" si="169"/>
        <v/>
      </c>
      <c r="AS463" s="292" t="str">
        <f t="shared" si="170"/>
        <v/>
      </c>
      <c r="AT463" s="377" t="e">
        <f t="shared" si="171"/>
        <v>#N/A</v>
      </c>
      <c r="AU463" s="292" t="e">
        <f t="shared" si="172"/>
        <v>#N/A</v>
      </c>
    </row>
    <row r="464" spans="1:47" ht="15" customHeight="1">
      <c r="A464" s="601" t="str">
        <f>Kat.!B462</f>
        <v>Kugelbomben 125mm, Prämienqualität</v>
      </c>
      <c r="B464" s="601">
        <f t="shared" si="166"/>
        <v>1</v>
      </c>
      <c r="C464" s="778" t="s">
        <v>1985</v>
      </c>
      <c r="D464" s="778"/>
      <c r="E464" s="778"/>
      <c r="F464" s="779"/>
      <c r="G464" s="778"/>
      <c r="H464" s="778"/>
      <c r="I464" s="778"/>
      <c r="J464" s="778"/>
      <c r="K464" s="765"/>
      <c r="L464" s="778"/>
      <c r="M464" s="778"/>
      <c r="N464" s="778"/>
      <c r="O464" s="778"/>
      <c r="P464" s="778"/>
      <c r="Q464" s="778"/>
      <c r="R464" s="778"/>
      <c r="S464" s="778"/>
      <c r="T464" s="778"/>
      <c r="U464" s="778"/>
      <c r="V464" s="778"/>
      <c r="W464" s="778" t="str">
        <f>IFERROR(VLOOKUP('General price list'!$C464,Popisy!A:P,MATCH($W$17,Popisy!$A$7:$P$7,0),FALSE),"---------------")</f>
        <v xml:space="preserve">golden Ti-willow </v>
      </c>
      <c r="X464" s="778" t="str">
        <f t="shared" si="193"/>
        <v/>
      </c>
      <c r="Y464" s="770">
        <f>IF(OR(AP464&lt;AA464,AND(NOT(OR(LEFT(AB464,3)="SKL",LEFT(AB464,3)=LEFT($V$2,3))),AA464&gt;0),AND('Deutsche Markt'!$AH$1=FALSE,J464="F4",AA464&gt;0)),"",AA464)</f>
        <v>0</v>
      </c>
      <c r="Z464" s="778"/>
      <c r="AA464" s="771">
        <f>'Deutsche Markt'!AA464</f>
        <v>0</v>
      </c>
      <c r="AB464" s="778" t="str">
        <f>IFERROR(IF(VLOOKUP(C464,[1]List1!$A:$D,2,FALSE)="VYPRODÁNO",$V$9,IF(VLOOKUP(C464,[1]List1!$A:$D,2,FALSE)="DOCHÁZÍ",$V$3,VLOOKUP(C464,[1]List1!$A:$D,2,FALSE))),"OFFLINE!")</f>
        <v>30.09.2024</v>
      </c>
      <c r="AC464" s="778" t="str">
        <f ca="1">IF(AO464="NE",$V$10,IF(AB464=$V$3,IF(AP464&lt;1,$V$8,$V$2&amp;" "&amp;AP464&amp;" "&amp;$V$1),IF(AB464="SKLADEM",$V$6,IFERROR(IF(OR(AB464-TODAY()&gt;21,VLOOKUP(C464,[1]List1!$A:$E,4,FALSE)=0),AB464,DAY(AB464)&amp;"."&amp;MONTH(AB464)&amp;"."&amp;YEAR(AB464)&amp;" "&amp;$V$4&amp;VLOOKUP(C464,[1]List1!$A:$E,4,FALSE)&amp;" "&amp;$V$1),AB464))))</f>
        <v>30.09.2024</v>
      </c>
      <c r="AD464" s="778" t="str">
        <f t="shared" ca="1" si="194"/>
        <v>30.09.2024</v>
      </c>
      <c r="AE464" s="599"/>
      <c r="AF464" s="599"/>
      <c r="AG464" s="599"/>
      <c r="AH464" s="599"/>
      <c r="AI464" s="599"/>
      <c r="AJ464" s="599"/>
      <c r="AK464" s="599"/>
      <c r="AL464" s="599"/>
      <c r="AM464" s="599"/>
      <c r="AN464" s="566"/>
      <c r="AO464" s="567" t="str">
        <f t="shared" si="167"/>
        <v/>
      </c>
      <c r="AP464" s="568" t="str">
        <f>IF(AB464=$V$3,IF(VLOOKUP(C464,[1]List1!$A:$E,5,FALSE)=0,1,VLOOKUP(C464,[1]List1!$A:$E,5,FALSE)),"")</f>
        <v/>
      </c>
      <c r="AQ464" s="292" t="str">
        <f t="shared" si="168"/>
        <v/>
      </c>
      <c r="AR464" s="618" t="str">
        <f t="shared" si="169"/>
        <v/>
      </c>
      <c r="AS464" s="292" t="str">
        <f t="shared" si="170"/>
        <v/>
      </c>
      <c r="AT464" s="377" t="e">
        <f t="shared" si="171"/>
        <v>#N/A</v>
      </c>
      <c r="AU464" s="292" t="e">
        <f t="shared" si="172"/>
        <v>#N/A</v>
      </c>
    </row>
    <row r="465" spans="1:47" ht="15" customHeight="1">
      <c r="A465" s="601" t="str">
        <f>Kat.!B463</f>
        <v/>
      </c>
      <c r="B465" s="601">
        <f t="shared" si="166"/>
        <v>1</v>
      </c>
      <c r="C465" s="783" t="s">
        <v>1988</v>
      </c>
      <c r="D465" s="776"/>
      <c r="E465" s="760"/>
      <c r="F465" s="761"/>
      <c r="G465" s="762"/>
      <c r="H465" s="596"/>
      <c r="I465" s="797"/>
      <c r="J465" s="764"/>
      <c r="K465" s="773"/>
      <c r="L465" s="782"/>
      <c r="M465" s="764"/>
      <c r="N465" s="767"/>
      <c r="O465" s="763"/>
      <c r="P465" s="763"/>
      <c r="Q465" s="764"/>
      <c r="R465" s="764"/>
      <c r="S465" s="764"/>
      <c r="T465" s="764"/>
      <c r="U465" s="768"/>
      <c r="V465" s="768"/>
      <c r="W465" s="769" t="str">
        <f>IFERROR(VLOOKUP('General price list'!$C465,Popisy!A:P,MATCH($W$17,Popisy!$A$7:$P$7,0),FALSE),"---------------")</f>
        <v>brocade crown</v>
      </c>
      <c r="X465" s="769" t="str">
        <f t="shared" si="193"/>
        <v/>
      </c>
      <c r="Y465" s="770">
        <f>IF(OR(AP465&lt;AA465,AND(NOT(OR(LEFT(AB465,3)="SKL",LEFT(AB465,3)=LEFT($V$2,3))),AA465&gt;0),AND('Deutsche Markt'!$AH$1=FALSE,J465="F4",AA465&gt;0)),"",AA465)</f>
        <v>0</v>
      </c>
      <c r="Z465" s="769"/>
      <c r="AA465" s="771">
        <f>'Deutsche Markt'!AA465</f>
        <v>0</v>
      </c>
      <c r="AB465" s="772" t="str">
        <f>IFERROR(IF(VLOOKUP(C465,[1]List1!$A:$D,2,FALSE)="VYPRODÁNO",$V$9,IF(VLOOKUP(C465,[1]List1!$A:$D,2,FALSE)="DOCHÁZÍ",$V$3,VLOOKUP(C465,[1]List1!$A:$D,2,FALSE))),"OFFLINE!")</f>
        <v>30.09.2024</v>
      </c>
      <c r="AC465" s="772" t="str">
        <f ca="1">IF(AO465="NE",$V$10,IF(AB465=$V$3,IF(AP465&lt;1,$V$8,$V$2&amp;" "&amp;AP465&amp;" "&amp;$V$1),IF(AB465="SKLADEM",$V$6,IFERROR(IF(OR(AB465-TODAY()&gt;21,VLOOKUP(C465,[1]List1!$A:$E,4,FALSE)=0),AB465,DAY(AB465)&amp;"."&amp;MONTH(AB465)&amp;"."&amp;YEAR(AB465)&amp;" "&amp;$V$4&amp;VLOOKUP(C465,[1]List1!$A:$E,4,FALSE)&amp;" "&amp;$V$1),AB465))))</f>
        <v>30.09.2024</v>
      </c>
      <c r="AD465" s="772" t="str">
        <f t="shared" ca="1" si="194"/>
        <v>30.09.2024</v>
      </c>
      <c r="AE465" s="605"/>
      <c r="AF465" s="605"/>
      <c r="AG465" s="615"/>
      <c r="AH465" s="616"/>
      <c r="AI465" s="615"/>
      <c r="AJ465" s="617"/>
      <c r="AK465" s="617"/>
      <c r="AL465" s="617"/>
      <c r="AM465" s="617"/>
      <c r="AO465" s="567" t="str">
        <f t="shared" si="167"/>
        <v/>
      </c>
      <c r="AP465" s="568" t="str">
        <f>IF(AB465=$V$3,IF(VLOOKUP(C465,[1]List1!$A:$E,5,FALSE)=0,1,VLOOKUP(C465,[1]List1!$A:$E,5,FALSE)),"")</f>
        <v/>
      </c>
      <c r="AQ465" s="292" t="str">
        <f t="shared" si="168"/>
        <v/>
      </c>
      <c r="AR465" s="618" t="str">
        <f t="shared" si="169"/>
        <v/>
      </c>
      <c r="AS465" s="292" t="str">
        <f t="shared" si="170"/>
        <v/>
      </c>
      <c r="AT465" s="377" t="e">
        <f t="shared" si="171"/>
        <v>#N/A</v>
      </c>
      <c r="AU465" s="292" t="e">
        <f t="shared" si="172"/>
        <v>#N/A</v>
      </c>
    </row>
    <row r="466" spans="1:47" ht="15" customHeight="1">
      <c r="A466" s="601" t="str">
        <f>Kat.!B464</f>
        <v/>
      </c>
      <c r="B466" s="601">
        <f t="shared" si="166"/>
        <v>1</v>
      </c>
      <c r="C466" s="778" t="s">
        <v>1991</v>
      </c>
      <c r="D466" s="778"/>
      <c r="E466" s="778"/>
      <c r="F466" s="779"/>
      <c r="G466" s="778"/>
      <c r="H466" s="778"/>
      <c r="I466" s="778"/>
      <c r="J466" s="778"/>
      <c r="K466" s="765"/>
      <c r="L466" s="778"/>
      <c r="M466" s="778"/>
      <c r="N466" s="778"/>
      <c r="O466" s="778"/>
      <c r="P466" s="778"/>
      <c r="Q466" s="778"/>
      <c r="R466" s="778"/>
      <c r="S466" s="778"/>
      <c r="T466" s="778"/>
      <c r="U466" s="778"/>
      <c r="V466" s="778"/>
      <c r="W466" s="778">
        <f>IFERROR(VLOOKUP('General price list'!$C466,Popisy!A:P,MATCH($W$17,Popisy!$A$7:$P$7,0),FALSE),"---------------")</f>
        <v>0</v>
      </c>
      <c r="X466" s="778" t="str">
        <f t="shared" si="193"/>
        <v/>
      </c>
      <c r="Y466" s="770">
        <f>IF(OR(AP466&lt;AA466,AND(NOT(OR(LEFT(AB466,3)="SKL",LEFT(AB466,3)=LEFT($V$2,3))),AA466&gt;0),AND('Deutsche Markt'!$AH$1=FALSE,J466="F4",AA466&gt;0)),"",AA466)</f>
        <v>0</v>
      </c>
      <c r="Z466" s="778"/>
      <c r="AA466" s="771">
        <f>'Deutsche Markt'!AA466</f>
        <v>0</v>
      </c>
      <c r="AB466" s="778" t="str">
        <f>IFERROR(IF(VLOOKUP(C466,[1]List1!$A:$D,2,FALSE)="VYPRODÁNO",$V$9,IF(VLOOKUP(C466,[1]List1!$A:$D,2,FALSE)="DOCHÁZÍ",$V$3,VLOOKUP(C466,[1]List1!$A:$D,2,FALSE))),"OFFLINE!")</f>
        <v>20.06.2024</v>
      </c>
      <c r="AC466" s="778" t="str">
        <f ca="1">IF(AO466="NE",$V$10,IF(AB466=$V$3,IF(AP466&lt;1,$V$8,$V$2&amp;" "&amp;AP466&amp;" "&amp;$V$1),IF(AB466="SKLADEM",$V$6,IFERROR(IF(OR(AB466-TODAY()&gt;21,VLOOKUP(C466,[1]List1!$A:$E,4,FALSE)=0),AB466,DAY(AB466)&amp;"."&amp;MONTH(AB466)&amp;"."&amp;YEAR(AB466)&amp;" "&amp;$V$4&amp;VLOOKUP(C466,[1]List1!$A:$E,4,FALSE)&amp;" "&amp;$V$1),AB466))))</f>
        <v>20.06.2024</v>
      </c>
      <c r="AD466" s="778" t="str">
        <f t="shared" ca="1" si="194"/>
        <v>20.06.2024</v>
      </c>
      <c r="AE466" s="599"/>
      <c r="AF466" s="599"/>
      <c r="AG466" s="599"/>
      <c r="AH466" s="599"/>
      <c r="AI466" s="599"/>
      <c r="AJ466" s="599"/>
      <c r="AK466" s="599"/>
      <c r="AL466" s="599"/>
      <c r="AM466" s="599"/>
      <c r="AN466" s="566"/>
      <c r="AO466" s="567" t="str">
        <f t="shared" si="167"/>
        <v/>
      </c>
      <c r="AP466" s="568" t="str">
        <f>IF(AB466=$V$3,IF(VLOOKUP(C466,[1]List1!$A:$E,5,FALSE)=0,1,VLOOKUP(C466,[1]List1!$A:$E,5,FALSE)),"")</f>
        <v/>
      </c>
      <c r="AQ466" s="292" t="str">
        <f t="shared" si="168"/>
        <v/>
      </c>
      <c r="AR466" s="618" t="str">
        <f t="shared" si="169"/>
        <v/>
      </c>
      <c r="AS466" s="292" t="str">
        <f t="shared" si="170"/>
        <v/>
      </c>
      <c r="AT466" s="377" t="e">
        <f t="shared" si="171"/>
        <v>#N/A</v>
      </c>
      <c r="AU466" s="292" t="e">
        <f t="shared" si="172"/>
        <v>#N/A</v>
      </c>
    </row>
    <row r="467" spans="1:47" ht="15" customHeight="1">
      <c r="A467" s="601" t="str">
        <f>Kat.!B465</f>
        <v/>
      </c>
      <c r="B467" s="601">
        <f t="shared" si="166"/>
        <v>0</v>
      </c>
      <c r="C467" s="783"/>
      <c r="D467" s="776"/>
      <c r="E467" s="760"/>
      <c r="F467" s="761"/>
      <c r="G467" s="762"/>
      <c r="H467" s="596"/>
      <c r="I467" s="797"/>
      <c r="J467" s="764"/>
      <c r="K467" s="773"/>
      <c r="L467" s="782"/>
      <c r="M467" s="764"/>
      <c r="N467" s="767"/>
      <c r="O467" s="763"/>
      <c r="P467" s="763"/>
      <c r="Q467" s="764"/>
      <c r="R467" s="764"/>
      <c r="S467" s="764"/>
      <c r="T467" s="764"/>
      <c r="U467" s="768"/>
      <c r="V467" s="768"/>
      <c r="W467" s="769"/>
      <c r="X467" s="769"/>
      <c r="Y467" s="770">
        <f>IF(OR(AP467&lt;AA467,AND(NOT(OR(LEFT(AB467,3)="SKL",LEFT(AB467,3)=LEFT($V$2,3))),AA467&gt;0),AND('Deutsche Markt'!$AH$1=FALSE,J467="F4",AA467&gt;0)),"",AA467)</f>
        <v>0</v>
      </c>
      <c r="Z467" s="769"/>
      <c r="AA467" s="771">
        <f>'Deutsche Markt'!AA467</f>
        <v>0</v>
      </c>
      <c r="AB467" s="772"/>
      <c r="AC467" s="772"/>
      <c r="AD467" s="772"/>
      <c r="AE467" s="605"/>
      <c r="AF467" s="605"/>
      <c r="AG467" s="615"/>
      <c r="AH467" s="616"/>
      <c r="AI467" s="615"/>
      <c r="AJ467" s="617"/>
      <c r="AK467" s="617"/>
      <c r="AL467" s="617"/>
      <c r="AM467" s="617"/>
      <c r="AO467" s="567" t="str">
        <f t="shared" si="167"/>
        <v/>
      </c>
      <c r="AP467" s="568" t="str">
        <f>IF(AB467=$V$3,IF(VLOOKUP(C467,[1]List1!$A:$E,5,FALSE)=0,1,VLOOKUP(C467,[1]List1!$A:$E,5,FALSE)),"")</f>
        <v/>
      </c>
      <c r="AQ467" s="292" t="str">
        <f t="shared" si="168"/>
        <v/>
      </c>
      <c r="AR467" s="618" t="str">
        <f t="shared" si="169"/>
        <v/>
      </c>
      <c r="AS467" s="292" t="str">
        <f t="shared" si="170"/>
        <v/>
      </c>
      <c r="AT467" s="377" t="e">
        <f t="shared" si="171"/>
        <v>#N/A</v>
      </c>
      <c r="AU467" s="292" t="e">
        <f t="shared" si="172"/>
        <v>#N/A</v>
      </c>
    </row>
    <row r="468" spans="1:47" ht="15" customHeight="1">
      <c r="A468" s="601" t="str">
        <f>Kat.!B466</f>
        <v/>
      </c>
      <c r="B468" s="601">
        <f t="shared" si="166"/>
        <v>1</v>
      </c>
      <c r="C468" s="778" t="s">
        <v>2423</v>
      </c>
      <c r="D468" s="778"/>
      <c r="E468" s="778"/>
      <c r="F468" s="779"/>
      <c r="G468" s="778"/>
      <c r="H468" s="778"/>
      <c r="I468" s="778"/>
      <c r="J468" s="778"/>
      <c r="K468" s="765"/>
      <c r="L468" s="778"/>
      <c r="M468" s="778"/>
      <c r="N468" s="778"/>
      <c r="O468" s="778"/>
      <c r="P468" s="778"/>
      <c r="Q468" s="778"/>
      <c r="R468" s="778"/>
      <c r="S468" s="778"/>
      <c r="T468" s="778"/>
      <c r="U468" s="778"/>
      <c r="V468" s="778"/>
      <c r="W468" s="778" t="str">
        <f>IFERROR(VLOOKUP('General price list'!$C468,Popisy!A:P,MATCH($W$17,Popisy!$A$7:$P$7,0),FALSE),"---------------")</f>
        <v>Mixed carton contains: S6CH gold wave w.purple peony double rings to special orange strobing pistil(2pc), S6H color chrysanthemum(2pc), S6S silver tail to silver palm(2pc), S6O colorfull dahlia(1pc), S6K red glitter w.brocade crown(2pc)</v>
      </c>
      <c r="X468" s="778" t="str">
        <f t="shared" ref="X468:X470" si="195">IF(AA468&lt;0.0001,"",AA468)</f>
        <v/>
      </c>
      <c r="Y468" s="770">
        <f>IF(OR(AP468&lt;AA468,AND(NOT(OR(LEFT(AB468,3)="SKL",LEFT(AB468,3)=LEFT($V$2,3))),AA468&gt;0),AND('Deutsche Markt'!$AH$1=FALSE,J468="F4",AA468&gt;0)),"",AA468)</f>
        <v>0</v>
      </c>
      <c r="Z468" s="778"/>
      <c r="AA468" s="771">
        <f>'Deutsche Markt'!AA468</f>
        <v>0</v>
      </c>
      <c r="AB468" s="778" t="str">
        <f>IFERROR(IF(VLOOKUP(C468,[1]List1!$A:$D,2,FALSE)="VYPRODÁNO",$V$9,IF(VLOOKUP(C468,[1]List1!$A:$D,2,FALSE)="DOCHÁZÍ",$V$3,VLOOKUP(C468,[1]List1!$A:$D,2,FALSE))),"OFFLINE!")</f>
        <v>SKLADEM</v>
      </c>
      <c r="AC468" s="778" t="str">
        <f ca="1">IF(AO468="NE",$V$10,IF(AB468=$V$3,IF(AP468&lt;1,$V$8,$V$2&amp;" "&amp;AP468&amp;" "&amp;$V$1),IF(AB468="SKLADEM",$V$6,IFERROR(IF(OR(AB468-TODAY()&gt;21,VLOOKUP(C468,[1]List1!$A:$E,4,FALSE)=0),AB468,DAY(AB468)&amp;"."&amp;MONTH(AB468)&amp;"."&amp;YEAR(AB468)&amp;" "&amp;$V$4&amp;VLOOKUP(C468,[1]List1!$A:$E,4,FALSE)&amp;" "&amp;$V$1),AB468))))</f>
        <v>AUF LAGER</v>
      </c>
      <c r="AD468" s="778" t="str">
        <f t="shared" ref="AD468:AD470" ca="1" si="196">IFERROR(IF(AU468&lt;&gt;"",AU468,AC468),AC468)</f>
        <v>AUF LAGER</v>
      </c>
      <c r="AE468" s="599"/>
      <c r="AF468" s="599"/>
      <c r="AG468" s="599"/>
      <c r="AH468" s="599"/>
      <c r="AI468" s="599"/>
      <c r="AJ468" s="599"/>
      <c r="AK468" s="599"/>
      <c r="AL468" s="599"/>
      <c r="AM468" s="599"/>
      <c r="AN468" s="566"/>
      <c r="AO468" s="567" t="str">
        <f t="shared" si="167"/>
        <v/>
      </c>
      <c r="AP468" s="568" t="str">
        <f>IF(AB468=$V$3,IF(VLOOKUP(C468,[1]List1!$A:$E,5,FALSE)=0,1,VLOOKUP(C468,[1]List1!$A:$E,5,FALSE)),"")</f>
        <v/>
      </c>
      <c r="AQ468" s="292" t="str">
        <f t="shared" si="168"/>
        <v/>
      </c>
      <c r="AR468" s="618" t="str">
        <f t="shared" si="169"/>
        <v/>
      </c>
      <c r="AS468" s="292" t="str">
        <f t="shared" si="170"/>
        <v/>
      </c>
      <c r="AT468" s="377" t="e">
        <f t="shared" si="171"/>
        <v>#N/A</v>
      </c>
      <c r="AU468" s="292" t="e">
        <f t="shared" si="172"/>
        <v>#N/A</v>
      </c>
    </row>
    <row r="469" spans="1:47" ht="15" customHeight="1">
      <c r="A469" s="601" t="str">
        <f>Kat.!B467</f>
        <v>Kugelbomben 150mm</v>
      </c>
      <c r="B469" s="601">
        <f t="shared" si="166"/>
        <v>0</v>
      </c>
      <c r="C469" s="783"/>
      <c r="D469" s="776"/>
      <c r="E469" s="760"/>
      <c r="F469" s="761"/>
      <c r="G469" s="762"/>
      <c r="H469" s="596"/>
      <c r="I469" s="763"/>
      <c r="J469" s="764"/>
      <c r="K469" s="773"/>
      <c r="L469" s="766"/>
      <c r="M469" s="764"/>
      <c r="N469" s="777"/>
      <c r="O469" s="763"/>
      <c r="P469" s="763"/>
      <c r="Q469" s="764"/>
      <c r="R469" s="764"/>
      <c r="S469" s="764"/>
      <c r="T469" s="764"/>
      <c r="U469" s="768"/>
      <c r="V469" s="768"/>
      <c r="W469" s="769" t="str">
        <f>IFERROR(VLOOKUP('General price list'!$C469,Popisy!A:P,MATCH($W$17,Popisy!$A$7:$P$7,0),FALSE),"---------------")</f>
        <v>---------------</v>
      </c>
      <c r="X469" s="769" t="str">
        <f t="shared" si="195"/>
        <v/>
      </c>
      <c r="Y469" s="770">
        <f>IF(OR(AP469&lt;AA469,AND(NOT(OR(LEFT(AB469,3)="SKL",LEFT(AB469,3)=LEFT($V$2,3))),AA469&gt;0),AND('Deutsche Markt'!$AH$1=FALSE,J469="F4",AA469&gt;0)),"",AA469)</f>
        <v>0</v>
      </c>
      <c r="Z469" s="769"/>
      <c r="AA469" s="771">
        <f>'Deutsche Markt'!AA469</f>
        <v>0</v>
      </c>
      <c r="AB469" s="772" t="str">
        <f>IFERROR(IF(VLOOKUP(C469,[1]List1!$A:$D,2,FALSE)="VYPRODÁNO",$V$9,IF(VLOOKUP(C469,[1]List1!$A:$D,2,FALSE)="DOCHÁZÍ",$V$3,VLOOKUP(C469,[1]List1!$A:$D,2,FALSE))),"OFFLINE!")</f>
        <v>OFFLINE!</v>
      </c>
      <c r="AC469" s="772" t="str">
        <f ca="1">IF(AO469="NE",$V$10,IF(AB469=$V$3,IF(AP469&lt;1,$V$8,$V$2&amp;" "&amp;AP469&amp;" "&amp;$V$1),IF(AB469="SKLADEM",$V$6,IFERROR(IF(OR(AB469-TODAY()&gt;21,VLOOKUP(C469,[1]List1!$A:$E,4,FALSE)=0),AB469,DAY(AB469)&amp;"."&amp;MONTH(AB469)&amp;"."&amp;YEAR(AB469)&amp;" "&amp;$V$4&amp;VLOOKUP(C469,[1]List1!$A:$E,4,FALSE)&amp;" "&amp;$V$1),AB469))))</f>
        <v>OFFLINE!</v>
      </c>
      <c r="AD469" s="772" t="str">
        <f t="shared" ca="1" si="196"/>
        <v>OFFLINE!</v>
      </c>
      <c r="AE469" s="605"/>
      <c r="AF469" s="605"/>
      <c r="AG469" s="615"/>
      <c r="AH469" s="616"/>
      <c r="AI469" s="615"/>
      <c r="AJ469" s="617"/>
      <c r="AK469" s="617"/>
      <c r="AL469" s="617"/>
      <c r="AM469" s="617"/>
      <c r="AO469" s="567" t="str">
        <f t="shared" si="167"/>
        <v/>
      </c>
      <c r="AP469" s="568" t="str">
        <f>IF(AB469=$V$3,IF(VLOOKUP(C469,[1]List1!$A:$E,5,FALSE)=0,1,VLOOKUP(C469,[1]List1!$A:$E,5,FALSE)),"")</f>
        <v/>
      </c>
      <c r="AQ469" s="292" t="str">
        <f t="shared" si="168"/>
        <v/>
      </c>
      <c r="AR469" s="618" t="str">
        <f t="shared" si="169"/>
        <v/>
      </c>
      <c r="AS469" s="292" t="str">
        <f t="shared" si="170"/>
        <v/>
      </c>
      <c r="AT469" s="377" t="e">
        <f t="shared" si="171"/>
        <v>#N/A</v>
      </c>
      <c r="AU469" s="292" t="e">
        <f t="shared" si="172"/>
        <v>#N/A</v>
      </c>
    </row>
    <row r="470" spans="1:47" ht="15" customHeight="1">
      <c r="A470" s="599" t="str">
        <f>Kat.!$B$1&amp;Kat.!B468</f>
        <v/>
      </c>
      <c r="B470" s="601">
        <f t="shared" si="166"/>
        <v>1</v>
      </c>
      <c r="C470" s="599" t="s">
        <v>2425</v>
      </c>
      <c r="D470" s="599"/>
      <c r="E470" s="599"/>
      <c r="F470" s="600"/>
      <c r="G470" s="599"/>
      <c r="H470" s="599"/>
      <c r="I470" s="599"/>
      <c r="J470" s="599"/>
      <c r="K470" s="708"/>
      <c r="L470" s="599"/>
      <c r="M470" s="599"/>
      <c r="N470" s="599"/>
      <c r="O470" s="599"/>
      <c r="P470" s="599"/>
      <c r="Q470" s="599"/>
      <c r="R470" s="599"/>
      <c r="S470" s="599"/>
      <c r="T470" s="599"/>
      <c r="U470" s="599"/>
      <c r="V470" s="599"/>
      <c r="W470" s="599" t="str">
        <f>IFERROR(VLOOKUP('General price list'!$C470,Popisy!A:P,MATCH($W$17,Popisy!$A$7:$P$7,0),FALSE),"---------------")</f>
        <v>ghost silver to red</v>
      </c>
      <c r="X470" s="599" t="str">
        <f t="shared" si="195"/>
        <v/>
      </c>
      <c r="Y470" s="770">
        <f>IF(OR(AP470&lt;AA470,AND(NOT(OR(LEFT(AB470,3)="SKL",LEFT(AB470,3)=LEFT($V$2,3))),AA470&gt;0),AND('Deutsche Markt'!$AH$1=FALSE,J470="F4",AA470&gt;0)),"",AA470)</f>
        <v>0</v>
      </c>
      <c r="Z470" s="599"/>
      <c r="AA470" s="771">
        <f>'Deutsche Markt'!AA470</f>
        <v>0</v>
      </c>
      <c r="AB470" s="599" t="str">
        <f>IFERROR(IF(VLOOKUP(C470,[1]List1!$A:$D,2,FALSE)="VYPRODÁNO",$V$9,IF(VLOOKUP(C470,[1]List1!$A:$D,2,FALSE)="DOCHÁZÍ",$V$3,VLOOKUP(C470,[1]List1!$A:$D,2,FALSE))),"OFFLINE!")</f>
        <v>30.09.2024</v>
      </c>
      <c r="AC470" s="599" t="str">
        <f ca="1">IF(AO470="NE",$V$10,IF(AB470=$V$3,IF(AP470&lt;1,$V$8,$V$2&amp;" "&amp;AP470&amp;" "&amp;$V$1),IF(AB470="SKLADEM",$V$6,IFERROR(IF(OR(AB470-TODAY()&gt;21,VLOOKUP(C470,[1]List1!$A:$E,4,FALSE)=0),AB470,DAY(AB470)&amp;"."&amp;MONTH(AB470)&amp;"."&amp;YEAR(AB470)&amp;" "&amp;$V$4&amp;VLOOKUP(C470,[1]List1!$A:$E,4,FALSE)&amp;" "&amp;$V$1),AB470))))</f>
        <v>30.09.2024</v>
      </c>
      <c r="AD470" s="599" t="str">
        <f t="shared" ca="1" si="196"/>
        <v>30.09.2024</v>
      </c>
      <c r="AE470" s="599"/>
      <c r="AF470" s="599"/>
      <c r="AG470" s="599"/>
      <c r="AH470" s="599"/>
      <c r="AI470" s="599"/>
      <c r="AJ470" s="599"/>
      <c r="AK470" s="599"/>
      <c r="AL470" s="599"/>
      <c r="AM470" s="599"/>
      <c r="AN470" s="566"/>
      <c r="AO470" s="567" t="str">
        <f t="shared" si="167"/>
        <v/>
      </c>
      <c r="AP470" s="568" t="str">
        <f>IF(AB470=$V$3,IF(VLOOKUP(C470,[1]List1!$A:$E,5,FALSE)=0,1,VLOOKUP(C470,[1]List1!$A:$E,5,FALSE)),"")</f>
        <v/>
      </c>
      <c r="AQ470" s="292" t="str">
        <f t="shared" si="168"/>
        <v/>
      </c>
      <c r="AR470" s="618" t="str">
        <f t="shared" si="169"/>
        <v/>
      </c>
      <c r="AS470" s="292" t="str">
        <f t="shared" si="170"/>
        <v/>
      </c>
      <c r="AT470" s="377" t="e">
        <f t="shared" si="171"/>
        <v>#N/A</v>
      </c>
      <c r="AU470" s="292" t="e">
        <f t="shared" si="172"/>
        <v>#N/A</v>
      </c>
    </row>
    <row r="471" spans="1:47" ht="15" customHeight="1">
      <c r="A471" s="601" t="str">
        <f>Kat.!B469</f>
        <v>Kugelbomben 150mm, Prämienqualität</v>
      </c>
      <c r="B471" s="601">
        <f t="shared" si="166"/>
        <v>1</v>
      </c>
      <c r="C471" s="783" t="s">
        <v>2022</v>
      </c>
      <c r="D471" s="800"/>
      <c r="E471" s="760"/>
      <c r="F471" s="761"/>
      <c r="G471" s="762"/>
      <c r="H471" s="596"/>
      <c r="I471" s="797"/>
      <c r="J471" s="764"/>
      <c r="K471" s="781"/>
      <c r="L471" s="766"/>
      <c r="M471" s="764"/>
      <c r="N471" s="767"/>
      <c r="O471" s="763"/>
      <c r="P471" s="763"/>
      <c r="Q471" s="764"/>
      <c r="R471" s="764"/>
      <c r="S471" s="764"/>
      <c r="T471" s="764"/>
      <c r="U471" s="768"/>
      <c r="V471" s="768"/>
      <c r="W471" s="769"/>
      <c r="X471" s="769"/>
      <c r="Y471" s="770">
        <f>IF(OR(AP471&lt;AA471,AND(NOT(OR(LEFT(AB471,3)="SKL",LEFT(AB471,3)=LEFT($V$2,3))),AA471&gt;0),AND('Deutsche Markt'!$AH$1=FALSE,J471="F4",AA471&gt;0)),"",AA471)</f>
        <v>0</v>
      </c>
      <c r="Z471" s="769"/>
      <c r="AA471" s="771">
        <f>'Deutsche Markt'!AA471</f>
        <v>0</v>
      </c>
      <c r="AB471" s="772"/>
      <c r="AC471" s="772"/>
      <c r="AD471" s="772"/>
      <c r="AE471" s="605"/>
      <c r="AF471" s="605"/>
      <c r="AG471" s="615"/>
      <c r="AH471" s="616"/>
      <c r="AI471" s="615"/>
      <c r="AJ471" s="617"/>
      <c r="AK471" s="617"/>
      <c r="AL471" s="617"/>
      <c r="AM471" s="617"/>
      <c r="AO471" s="567" t="str">
        <f t="shared" si="167"/>
        <v/>
      </c>
      <c r="AP471" s="568" t="str">
        <f>IF(AB471=$V$3,IF(VLOOKUP(C471,[1]List1!$A:$E,5,FALSE)=0,1,VLOOKUP(C471,[1]List1!$A:$E,5,FALSE)),"")</f>
        <v/>
      </c>
      <c r="AQ471" s="292" t="str">
        <f t="shared" si="168"/>
        <v/>
      </c>
      <c r="AR471" s="618" t="str">
        <f t="shared" si="169"/>
        <v/>
      </c>
      <c r="AS471" s="292" t="str">
        <f t="shared" si="170"/>
        <v/>
      </c>
      <c r="AT471" s="377" t="e">
        <f t="shared" si="171"/>
        <v>#N/A</v>
      </c>
      <c r="AU471" s="292" t="e">
        <f t="shared" si="172"/>
        <v>#N/A</v>
      </c>
    </row>
    <row r="472" spans="1:47" ht="15" customHeight="1">
      <c r="A472" s="601" t="str">
        <f>Kat.!B470</f>
        <v/>
      </c>
      <c r="B472" s="601">
        <f t="shared" si="166"/>
        <v>1</v>
      </c>
      <c r="C472" s="778" t="s">
        <v>2023</v>
      </c>
      <c r="D472" s="778"/>
      <c r="E472" s="778"/>
      <c r="F472" s="779"/>
      <c r="G472" s="778"/>
      <c r="H472" s="778"/>
      <c r="I472" s="778"/>
      <c r="J472" s="778"/>
      <c r="K472" s="774"/>
      <c r="L472" s="778"/>
      <c r="M472" s="778"/>
      <c r="N472" s="778"/>
      <c r="O472" s="778"/>
      <c r="P472" s="778"/>
      <c r="Q472" s="778"/>
      <c r="R472" s="778"/>
      <c r="S472" s="778"/>
      <c r="T472" s="778"/>
      <c r="U472" s="778"/>
      <c r="V472" s="778"/>
      <c r="W472" s="778" t="str">
        <f>IFERROR(VLOOKUP('General price list'!$C472,Popisy!A:P,MATCH($W$17,Popisy!$A$7:$P$7,0),FALSE),"---------------")</f>
        <v>silver glittering red coco crossettte</v>
      </c>
      <c r="X472" s="778" t="str">
        <f t="shared" ref="X472:X477" si="197">IF(AA472&lt;0.0001,"",AA472)</f>
        <v/>
      </c>
      <c r="Y472" s="770">
        <f>IF(OR(AP472&lt;AA472,AND(NOT(OR(LEFT(AB472,3)="SKL",LEFT(AB472,3)=LEFT($V$2,3))),AA472&gt;0),AND('Deutsche Markt'!$AH$1=FALSE,J472="F4",AA472&gt;0)),"",AA472)</f>
        <v>0</v>
      </c>
      <c r="Z472" s="778"/>
      <c r="AA472" s="771">
        <f>'Deutsche Markt'!AA472</f>
        <v>0</v>
      </c>
      <c r="AB472" s="778" t="str">
        <f>IFERROR(IF(VLOOKUP(C472,[1]List1!$A:$D,2,FALSE)="VYPRODÁNO",$V$9,IF(VLOOKUP(C472,[1]List1!$A:$D,2,FALSE)="DOCHÁZÍ",$V$3,VLOOKUP(C472,[1]List1!$A:$D,2,FALSE))),"OFFLINE!")</f>
        <v>30.09.2024</v>
      </c>
      <c r="AC472" s="778" t="str">
        <f ca="1">IF(AO472="NE",$V$10,IF(AB472=$V$3,IF(AP472&lt;1,$V$8,$V$2&amp;" "&amp;AP472&amp;" "&amp;$V$1),IF(AB472="SKLADEM",$V$6,IFERROR(IF(OR(AB472-TODAY()&gt;21,VLOOKUP(C472,[1]List1!$A:$E,4,FALSE)=0),AB472,DAY(AB472)&amp;"."&amp;MONTH(AB472)&amp;"."&amp;YEAR(AB472)&amp;" "&amp;$V$4&amp;VLOOKUP(C472,[1]List1!$A:$E,4,FALSE)&amp;" "&amp;$V$1),AB472))))</f>
        <v>30.09.2024</v>
      </c>
      <c r="AD472" s="778" t="str">
        <f t="shared" ref="AD472:AD477" ca="1" si="198">IFERROR(IF(AU472&lt;&gt;"",AU472,AC472),AC472)</f>
        <v>30.09.2024</v>
      </c>
      <c r="AE472" s="599"/>
      <c r="AF472" s="599"/>
      <c r="AG472" s="599"/>
      <c r="AH472" s="599"/>
      <c r="AI472" s="599"/>
      <c r="AJ472" s="599"/>
      <c r="AK472" s="599"/>
      <c r="AL472" s="599"/>
      <c r="AM472" s="599"/>
      <c r="AN472" s="566"/>
      <c r="AO472" s="567" t="str">
        <f t="shared" si="167"/>
        <v/>
      </c>
      <c r="AP472" s="292" t="str">
        <f>IF(AB472=$V$3,IF(VLOOKUP(C472,[1]List1!$A:$E,5,FALSE)=0,1,VLOOKUP(C472,[1]List1!$A:$E,5,FALSE)),"")</f>
        <v/>
      </c>
      <c r="AQ472" s="292" t="str">
        <f t="shared" si="168"/>
        <v/>
      </c>
      <c r="AR472" s="618" t="str">
        <f t="shared" si="169"/>
        <v/>
      </c>
      <c r="AS472" s="292" t="str">
        <f t="shared" si="170"/>
        <v/>
      </c>
      <c r="AT472" s="377" t="e">
        <f t="shared" si="171"/>
        <v>#N/A</v>
      </c>
      <c r="AU472" s="292" t="e">
        <f t="shared" si="172"/>
        <v>#N/A</v>
      </c>
    </row>
    <row r="473" spans="1:47" ht="15" customHeight="1">
      <c r="A473" s="601" t="str">
        <f>Kat.!B471</f>
        <v/>
      </c>
      <c r="B473" s="601">
        <f t="shared" ref="B473:B536" si="199">IF(OR(L473="ZUGEWIESEN",AND(C473&lt;&gt;"",M473="")),1,IF(AB473=$V$3,1,0))</f>
        <v>0</v>
      </c>
      <c r="C473" s="783"/>
      <c r="D473" s="776"/>
      <c r="E473" s="760"/>
      <c r="F473" s="761"/>
      <c r="G473" s="762"/>
      <c r="H473" s="596"/>
      <c r="I473" s="763"/>
      <c r="J473" s="764"/>
      <c r="K473" s="781"/>
      <c r="L473" s="766"/>
      <c r="M473" s="764"/>
      <c r="N473" s="777"/>
      <c r="O473" s="763"/>
      <c r="P473" s="763"/>
      <c r="Q473" s="764"/>
      <c r="R473" s="764"/>
      <c r="S473" s="764"/>
      <c r="T473" s="764"/>
      <c r="U473" s="768"/>
      <c r="V473" s="768"/>
      <c r="W473" s="769" t="str">
        <f>IFERROR(VLOOKUP('General price list'!$C473,Popisy!A:P,MATCH($W$17,Popisy!$A$7:$P$7,0),FALSE),"---------------")</f>
        <v>---------------</v>
      </c>
      <c r="X473" s="769" t="str">
        <f t="shared" si="197"/>
        <v/>
      </c>
      <c r="Y473" s="770">
        <f>IF(OR(AP473&lt;AA473,AND(NOT(OR(LEFT(AB473,3)="SKL",LEFT(AB473,3)=LEFT($V$2,3))),AA473&gt;0),AND('Deutsche Markt'!$AH$1=FALSE,J473="F4",AA473&gt;0)),"",AA473)</f>
        <v>0</v>
      </c>
      <c r="Z473" s="769"/>
      <c r="AA473" s="771">
        <f>'Deutsche Markt'!AA473</f>
        <v>0</v>
      </c>
      <c r="AB473" s="772" t="str">
        <f>IFERROR(IF(VLOOKUP(C473,[1]List1!$A:$D,2,FALSE)="VYPRODÁNO",$V$9,IF(VLOOKUP(C473,[1]List1!$A:$D,2,FALSE)="DOCHÁZÍ",$V$3,VLOOKUP(C473,[1]List1!$A:$D,2,FALSE))),"OFFLINE!")</f>
        <v>OFFLINE!</v>
      </c>
      <c r="AC473" s="772" t="str">
        <f ca="1">IF(AO473="NE",$V$10,IF(AB473=$V$3,IF(AP473&lt;1,$V$8,$V$2&amp;" "&amp;AP473&amp;" "&amp;$V$1),IF(AB473="SKLADEM",$V$6,IFERROR(IF(OR(AB473-TODAY()&gt;21,VLOOKUP(C473,[1]List1!$A:$E,4,FALSE)=0),AB473,DAY(AB473)&amp;"."&amp;MONTH(AB473)&amp;"."&amp;YEAR(AB473)&amp;" "&amp;$V$4&amp;VLOOKUP(C473,[1]List1!$A:$E,4,FALSE)&amp;" "&amp;$V$1),AB473))))</f>
        <v>OFFLINE!</v>
      </c>
      <c r="AD473" s="772" t="str">
        <f t="shared" ca="1" si="198"/>
        <v>OFFLINE!</v>
      </c>
      <c r="AE473" s="605"/>
      <c r="AF473" s="605"/>
      <c r="AG473" s="615"/>
      <c r="AH473" s="616"/>
      <c r="AI473" s="615"/>
      <c r="AJ473" s="617"/>
      <c r="AK473" s="617"/>
      <c r="AL473" s="617"/>
      <c r="AM473" s="617"/>
      <c r="AN473" s="292"/>
      <c r="AO473" s="567" t="str">
        <f t="shared" si="167"/>
        <v/>
      </c>
      <c r="AP473" s="568" t="str">
        <f>IF(AB473=$V$3,IF(VLOOKUP(C473,[1]List1!$A:$E,5,FALSE)=0,1,VLOOKUP(C473,[1]List1!$A:$E,5,FALSE)),"")</f>
        <v/>
      </c>
      <c r="AQ473" s="292" t="str">
        <f t="shared" si="168"/>
        <v/>
      </c>
      <c r="AR473" s="618" t="str">
        <f t="shared" si="169"/>
        <v/>
      </c>
      <c r="AS473" s="292" t="str">
        <f t="shared" si="170"/>
        <v/>
      </c>
      <c r="AT473" s="377" t="e">
        <f t="shared" si="171"/>
        <v>#N/A</v>
      </c>
      <c r="AU473" s="292" t="e">
        <f t="shared" si="172"/>
        <v>#N/A</v>
      </c>
    </row>
    <row r="474" spans="1:47" ht="15" customHeight="1">
      <c r="A474" s="601" t="str">
        <f>Kat.!B472</f>
        <v/>
      </c>
      <c r="B474" s="601">
        <f t="shared" si="199"/>
        <v>1</v>
      </c>
      <c r="C474" s="778" t="s">
        <v>2024</v>
      </c>
      <c r="D474" s="778"/>
      <c r="E474" s="778"/>
      <c r="F474" s="779"/>
      <c r="G474" s="778"/>
      <c r="H474" s="778"/>
      <c r="I474" s="778"/>
      <c r="J474" s="778"/>
      <c r="K474" s="774"/>
      <c r="L474" s="778"/>
      <c r="M474" s="778"/>
      <c r="N474" s="778"/>
      <c r="O474" s="778"/>
      <c r="P474" s="778"/>
      <c r="Q474" s="778"/>
      <c r="R474" s="778"/>
      <c r="S474" s="778"/>
      <c r="T474" s="778"/>
      <c r="U474" s="778"/>
      <c r="V474" s="778"/>
      <c r="W474" s="778" t="str">
        <f>IFERROR(VLOOKUP('General price list'!$C474,Popisy!A:P,MATCH($W$17,Popisy!$A$7:$P$7,0),FALSE),"---------------")</f>
        <v>Unverwüstlich, dünnwandig mörser, höhe 38cm, wandstärke 2,2mm</v>
      </c>
      <c r="X474" s="778" t="str">
        <f t="shared" si="197"/>
        <v/>
      </c>
      <c r="Y474" s="770">
        <f>IF(OR(AP474&lt;AA474,AND(NOT(OR(LEFT(AB474,3)="SKL",LEFT(AB474,3)=LEFT($V$2,3))),AA474&gt;0),AND('Deutsche Markt'!$AH$1=FALSE,J474="F4",AA474&gt;0)),"",AA474)</f>
        <v>0</v>
      </c>
      <c r="Z474" s="778"/>
      <c r="AA474" s="771">
        <f>'Deutsche Markt'!AA474</f>
        <v>0</v>
      </c>
      <c r="AB474" s="778" t="str">
        <f>IFERROR(IF(VLOOKUP(C474,[1]List1!$A:$D,2,FALSE)="VYPRODÁNO",$V$9,IF(VLOOKUP(C474,[1]List1!$A:$D,2,FALSE)="DOCHÁZÍ",$V$3,VLOOKUP(C474,[1]List1!$A:$D,2,FALSE))),"OFFLINE!")</f>
        <v>SKLADEM</v>
      </c>
      <c r="AC474" s="778" t="str">
        <f ca="1">IF(AO474="NE",$V$10,IF(AB474=$V$3,IF(AP474&lt;1,$V$8,$V$2&amp;" "&amp;AP474&amp;" "&amp;$V$1),IF(AB474="SKLADEM",$V$6,IFERROR(IF(OR(AB474-TODAY()&gt;21,VLOOKUP(C474,[1]List1!$A:$E,4,FALSE)=0),AB474,DAY(AB474)&amp;"."&amp;MONTH(AB474)&amp;"."&amp;YEAR(AB474)&amp;" "&amp;$V$4&amp;VLOOKUP(C474,[1]List1!$A:$E,4,FALSE)&amp;" "&amp;$V$1),AB474))))</f>
        <v>AUF LAGER</v>
      </c>
      <c r="AD474" s="778" t="str">
        <f t="shared" ca="1" si="198"/>
        <v>AUF LAGER</v>
      </c>
      <c r="AE474" s="599"/>
      <c r="AF474" s="599"/>
      <c r="AG474" s="599"/>
      <c r="AH474" s="599"/>
      <c r="AI474" s="599"/>
      <c r="AJ474" s="599"/>
      <c r="AK474" s="599"/>
      <c r="AL474" s="599"/>
      <c r="AM474" s="599"/>
      <c r="AN474" s="566"/>
      <c r="AO474" s="567" t="str">
        <f t="shared" si="167"/>
        <v/>
      </c>
      <c r="AP474" s="568" t="str">
        <f>IF(AB474=$V$3,IF(VLOOKUP(C474,[1]List1!$A:$E,5,FALSE)=0,1,VLOOKUP(C474,[1]List1!$A:$E,5,FALSE)),"")</f>
        <v/>
      </c>
      <c r="AQ474" s="292" t="str">
        <f t="shared" si="168"/>
        <v/>
      </c>
      <c r="AR474" s="618" t="str">
        <f t="shared" si="169"/>
        <v/>
      </c>
      <c r="AS474" s="292" t="str">
        <f t="shared" si="170"/>
        <v/>
      </c>
      <c r="AT474" s="377" t="e">
        <f t="shared" si="171"/>
        <v>#N/A</v>
      </c>
      <c r="AU474" s="292" t="e">
        <f t="shared" si="172"/>
        <v>#N/A</v>
      </c>
    </row>
    <row r="475" spans="1:47" ht="15" customHeight="1">
      <c r="A475" s="601" t="str">
        <f>Kat.!$B$1&amp;Kat.!B473</f>
        <v>Unvernichtbare Mörser</v>
      </c>
      <c r="B475" s="601">
        <f t="shared" si="199"/>
        <v>1</v>
      </c>
      <c r="C475" s="163" t="s">
        <v>2033</v>
      </c>
      <c r="D475" s="163"/>
      <c r="E475" s="609"/>
      <c r="F475" s="605"/>
      <c r="G475" s="606"/>
      <c r="H475" s="607"/>
      <c r="I475" s="629"/>
      <c r="J475" s="609"/>
      <c r="K475" s="708"/>
      <c r="L475" s="629"/>
      <c r="M475" s="609"/>
      <c r="N475" s="612"/>
      <c r="O475" s="608"/>
      <c r="P475" s="608"/>
      <c r="Q475" s="609"/>
      <c r="R475" s="609"/>
      <c r="S475" s="609"/>
      <c r="T475" s="609"/>
      <c r="U475" s="613"/>
      <c r="V475" s="613"/>
      <c r="W475" s="601" t="str">
        <f>IFERROR(VLOOKUP('General price list'!$C475,Popisy!A:P,MATCH($W$17,Popisy!$A$7:$P$7,0),FALSE),"---------------")</f>
        <v>Unverwüstlich, dünnwandig mörser, höhe 48cm, wandstärke 2,5mm</v>
      </c>
      <c r="X475" s="601" t="str">
        <f t="shared" si="197"/>
        <v/>
      </c>
      <c r="Y475" s="770">
        <f>IF(OR(AP475&lt;AA475,AND(NOT(OR(LEFT(AB475,3)="SKL",LEFT(AB475,3)=LEFT($V$2,3))),AA475&gt;0),AND('Deutsche Markt'!$AH$1=FALSE,J475="F4",AA475&gt;0)),"",AA475)</f>
        <v>0</v>
      </c>
      <c r="Z475" s="601"/>
      <c r="AA475" s="771">
        <f>'Deutsche Markt'!AA475</f>
        <v>0</v>
      </c>
      <c r="AB475" s="614" t="str">
        <f>IFERROR(IF(VLOOKUP(C475,[1]List1!$A:$D,2,FALSE)="VYPRODÁNO",$V$9,IF(VLOOKUP(C475,[1]List1!$A:$D,2,FALSE)="DOCHÁZÍ",$V$3,VLOOKUP(C475,[1]List1!$A:$D,2,FALSE))),"OFFLINE!")</f>
        <v>SKLADEM</v>
      </c>
      <c r="AC475" s="614" t="str">
        <f ca="1">IF(AO475="NE",$V$10,IF(AB475=$V$3,IF(AP475&lt;1,$V$8,$V$2&amp;" "&amp;AP475&amp;" "&amp;$V$1),IF(AB475="SKLADEM",$V$6,IFERROR(IF(OR(AB475-TODAY()&gt;21,VLOOKUP(C475,[1]List1!$A:$E,4,FALSE)=0),AB475,DAY(AB475)&amp;"."&amp;MONTH(AB475)&amp;"."&amp;YEAR(AB475)&amp;" "&amp;$V$4&amp;VLOOKUP(C475,[1]List1!$A:$E,4,FALSE)&amp;" "&amp;$V$1),AB475))))</f>
        <v>AUF LAGER</v>
      </c>
      <c r="AD475" s="614" t="str">
        <f t="shared" ca="1" si="198"/>
        <v>AUF LAGER</v>
      </c>
      <c r="AE475" s="605"/>
      <c r="AF475" s="605"/>
      <c r="AG475" s="615"/>
      <c r="AH475" s="616"/>
      <c r="AI475" s="615"/>
      <c r="AJ475" s="617"/>
      <c r="AK475" s="617"/>
      <c r="AL475" s="617"/>
      <c r="AM475" s="617"/>
      <c r="AO475" s="567" t="str">
        <f t="shared" si="167"/>
        <v/>
      </c>
      <c r="AP475" s="568" t="str">
        <f>IF(AB475=$V$3,IF(VLOOKUP(C475,[1]List1!$A:$E,5,FALSE)=0,1,VLOOKUP(C475,[1]List1!$A:$E,5,FALSE)),"")</f>
        <v/>
      </c>
      <c r="AQ475" s="292" t="str">
        <f t="shared" si="168"/>
        <v/>
      </c>
      <c r="AR475" s="618" t="str">
        <f t="shared" si="169"/>
        <v/>
      </c>
      <c r="AS475" s="292" t="str">
        <f t="shared" si="170"/>
        <v/>
      </c>
      <c r="AT475" s="377" t="e">
        <f t="shared" si="171"/>
        <v>#N/A</v>
      </c>
      <c r="AU475" s="292" t="e">
        <f t="shared" si="172"/>
        <v>#N/A</v>
      </c>
    </row>
    <row r="476" spans="1:47" ht="15" customHeight="1">
      <c r="A476" s="601" t="str">
        <f>Kat.!B474</f>
        <v/>
      </c>
      <c r="B476" s="601">
        <f t="shared" si="199"/>
        <v>1</v>
      </c>
      <c r="C476" s="778" t="s">
        <v>2038</v>
      </c>
      <c r="D476" s="778"/>
      <c r="E476" s="778"/>
      <c r="F476" s="779"/>
      <c r="G476" s="778"/>
      <c r="H476" s="778"/>
      <c r="I476" s="778"/>
      <c r="J476" s="778"/>
      <c r="K476" s="765"/>
      <c r="L476" s="778"/>
      <c r="M476" s="778"/>
      <c r="N476" s="778"/>
      <c r="O476" s="778"/>
      <c r="P476" s="778"/>
      <c r="Q476" s="778"/>
      <c r="R476" s="778"/>
      <c r="S476" s="778"/>
      <c r="T476" s="778"/>
      <c r="U476" s="778"/>
      <c r="V476" s="778"/>
      <c r="W476" s="778" t="str">
        <f>IFERROR(VLOOKUP('General price list'!$C476,Popisy!A:P,MATCH($W$17,Popisy!$A$7:$P$7,0),FALSE),"---------------")</f>
        <v>Unverwüstlich, dünnwandig mörser, höhe 58cm, wandstärke 3mm</v>
      </c>
      <c r="X476" s="778" t="str">
        <f t="shared" si="197"/>
        <v/>
      </c>
      <c r="Y476" s="770">
        <f>IF(OR(AP476&lt;AA476,AND(NOT(OR(LEFT(AB476,3)="SKL",LEFT(AB476,3)=LEFT($V$2,3))),AA476&gt;0),AND('Deutsche Markt'!$AH$1=FALSE,J476="F4",AA476&gt;0)),"",AA476)</f>
        <v>0</v>
      </c>
      <c r="Z476" s="778"/>
      <c r="AA476" s="771">
        <f>'Deutsche Markt'!AA476</f>
        <v>0</v>
      </c>
      <c r="AB476" s="778" t="str">
        <f>IFERROR(IF(VLOOKUP(C476,[1]List1!$A:$D,2,FALSE)="VYPRODÁNO",$V$9,IF(VLOOKUP(C476,[1]List1!$A:$D,2,FALSE)="DOCHÁZÍ",$V$3,VLOOKUP(C476,[1]List1!$A:$D,2,FALSE))),"OFFLINE!")</f>
        <v>15.06.2024</v>
      </c>
      <c r="AC476" s="778" t="str">
        <f ca="1">IF(AO476="NE",$V$10,IF(AB476=$V$3,IF(AP476&lt;1,$V$8,$V$2&amp;" "&amp;AP476&amp;" "&amp;$V$1),IF(AB476="SKLADEM",$V$6,IFERROR(IF(OR(AB476-TODAY()&gt;21,VLOOKUP(C476,[1]List1!$A:$E,4,FALSE)=0),AB476,DAY(AB476)&amp;"."&amp;MONTH(AB476)&amp;"."&amp;YEAR(AB476)&amp;" "&amp;$V$4&amp;VLOOKUP(C476,[1]List1!$A:$E,4,FALSE)&amp;" "&amp;$V$1),AB476))))</f>
        <v>15.06.2024</v>
      </c>
      <c r="AD476" s="778" t="str">
        <f t="shared" ca="1" si="198"/>
        <v>15.06.2024</v>
      </c>
      <c r="AE476" s="599"/>
      <c r="AF476" s="599"/>
      <c r="AG476" s="599"/>
      <c r="AH476" s="599"/>
      <c r="AI476" s="599"/>
      <c r="AJ476" s="599"/>
      <c r="AK476" s="599"/>
      <c r="AL476" s="599"/>
      <c r="AM476" s="599"/>
      <c r="AN476" s="566"/>
      <c r="AO476" s="567" t="str">
        <f t="shared" si="167"/>
        <v/>
      </c>
      <c r="AP476" s="568" t="str">
        <f>IF(AB476=$V$3,IF(VLOOKUP(C476,[1]List1!$A:$E,5,FALSE)=0,1,VLOOKUP(C476,[1]List1!$A:$E,5,FALSE)),"")</f>
        <v/>
      </c>
      <c r="AQ476" s="292" t="str">
        <f t="shared" si="168"/>
        <v/>
      </c>
      <c r="AR476" s="618" t="str">
        <f t="shared" si="169"/>
        <v/>
      </c>
      <c r="AS476" s="292" t="str">
        <f t="shared" si="170"/>
        <v/>
      </c>
      <c r="AT476" s="377" t="e">
        <f t="shared" si="171"/>
        <v>#N/A</v>
      </c>
      <c r="AU476" s="292" t="e">
        <f t="shared" si="172"/>
        <v>#N/A</v>
      </c>
    </row>
    <row r="477" spans="1:47" ht="15" customHeight="1">
      <c r="A477" s="601" t="str">
        <f>Kat.!B475</f>
        <v/>
      </c>
      <c r="B477" s="601">
        <f t="shared" si="199"/>
        <v>1</v>
      </c>
      <c r="C477" s="775" t="s">
        <v>2042</v>
      </c>
      <c r="D477" s="776"/>
      <c r="E477" s="760"/>
      <c r="F477" s="761"/>
      <c r="G477" s="762"/>
      <c r="H477" s="596"/>
      <c r="I477" s="797"/>
      <c r="J477" s="764"/>
      <c r="K477" s="773"/>
      <c r="L477" s="782"/>
      <c r="M477" s="764"/>
      <c r="N477" s="767"/>
      <c r="O477" s="763"/>
      <c r="P477" s="763"/>
      <c r="Q477" s="764"/>
      <c r="R477" s="764"/>
      <c r="S477" s="764"/>
      <c r="T477" s="764"/>
      <c r="U477" s="768"/>
      <c r="V477" s="768"/>
      <c r="W477" s="769" t="str">
        <f>IFERROR(VLOOKUP('General price list'!$C477,Popisy!A:P,MATCH($W$17,Popisy!$A$7:$P$7,0),FALSE),"---------------")</f>
        <v>Unverwüstlich, dünnwandig mörser, höhe 80cm, wandstärke 4mm</v>
      </c>
      <c r="X477" s="769" t="str">
        <f t="shared" si="197"/>
        <v/>
      </c>
      <c r="Y477" s="770">
        <f>IF(OR(AP477&lt;AA477,AND(NOT(OR(LEFT(AB477,3)="SKL",LEFT(AB477,3)=LEFT($V$2,3))),AA477&gt;0),AND('Deutsche Markt'!$AH$1=FALSE,J477="F4",AA477&gt;0)),"",AA477)</f>
        <v>0</v>
      </c>
      <c r="Z477" s="769"/>
      <c r="AA477" s="771">
        <f>'Deutsche Markt'!AA477</f>
        <v>0</v>
      </c>
      <c r="AB477" s="772" t="str">
        <f>IFERROR(IF(VLOOKUP(C477,[1]List1!$A:$D,2,FALSE)="VYPRODÁNO",$V$9,IF(VLOOKUP(C477,[1]List1!$A:$D,2,FALSE)="DOCHÁZÍ",$V$3,VLOOKUP(C477,[1]List1!$A:$D,2,FALSE))),"OFFLINE!")</f>
        <v>SKLADEM</v>
      </c>
      <c r="AC477" s="772" t="str">
        <f ca="1">IF(AO477="NE",$V$10,IF(AB477=$V$3,IF(AP477&lt;1,$V$8,$V$2&amp;" "&amp;AP477&amp;" "&amp;$V$1),IF(AB477="SKLADEM",$V$6,IFERROR(IF(OR(AB477-TODAY()&gt;21,VLOOKUP(C477,[1]List1!$A:$E,4,FALSE)=0),AB477,DAY(AB477)&amp;"."&amp;MONTH(AB477)&amp;"."&amp;YEAR(AB477)&amp;" "&amp;$V$4&amp;VLOOKUP(C477,[1]List1!$A:$E,4,FALSE)&amp;" "&amp;$V$1),AB477))))</f>
        <v>AUF LAGER</v>
      </c>
      <c r="AD477" s="772" t="str">
        <f t="shared" ca="1" si="198"/>
        <v>AUF LAGER</v>
      </c>
      <c r="AE477" s="605"/>
      <c r="AF477" s="605"/>
      <c r="AG477" s="615"/>
      <c r="AH477" s="616"/>
      <c r="AI477" s="615"/>
      <c r="AJ477" s="617"/>
      <c r="AK477" s="617"/>
      <c r="AL477" s="617"/>
      <c r="AM477" s="617"/>
      <c r="AN477" s="292"/>
      <c r="AO477" s="567" t="str">
        <f t="shared" si="167"/>
        <v/>
      </c>
      <c r="AP477" s="568" t="str">
        <f>IF(AB477=$V$3,IF(VLOOKUP(C477,[1]List1!$A:$E,5,FALSE)=0,1,VLOOKUP(C477,[1]List1!$A:$E,5,FALSE)),"")</f>
        <v/>
      </c>
      <c r="AQ477" s="292" t="str">
        <f t="shared" si="168"/>
        <v/>
      </c>
      <c r="AR477" s="618" t="str">
        <f t="shared" si="169"/>
        <v/>
      </c>
      <c r="AS477" s="292" t="str">
        <f t="shared" si="170"/>
        <v/>
      </c>
      <c r="AT477" s="377" t="e">
        <f t="shared" si="171"/>
        <v>#N/A</v>
      </c>
      <c r="AU477" s="292" t="e">
        <f t="shared" si="172"/>
        <v>#N/A</v>
      </c>
    </row>
    <row r="478" spans="1:47" ht="15" customHeight="1">
      <c r="A478" s="601" t="str">
        <f>Kat.!$B$1&amp;Kat.!B476</f>
        <v/>
      </c>
      <c r="B478" s="601">
        <f t="shared" si="199"/>
        <v>1</v>
      </c>
      <c r="C478" s="163" t="s">
        <v>2047</v>
      </c>
      <c r="D478" s="235"/>
      <c r="E478" s="604"/>
      <c r="F478" s="605"/>
      <c r="G478" s="606"/>
      <c r="H478" s="607"/>
      <c r="I478" s="608"/>
      <c r="J478" s="609"/>
      <c r="K478" s="708"/>
      <c r="L478" s="611"/>
      <c r="M478" s="609"/>
      <c r="N478" s="621"/>
      <c r="O478" s="608"/>
      <c r="P478" s="608"/>
      <c r="Q478" s="609"/>
      <c r="R478" s="609"/>
      <c r="S478" s="609"/>
      <c r="T478" s="609"/>
      <c r="U478" s="613"/>
      <c r="V478" s="613"/>
      <c r="W478" s="601" t="str">
        <f>IFERROR(VLOOKUP('General price list'!$C478,Popisy!A:P,MATCH($W$17,Popisy!$A$7:$P$7,0),FALSE),"---------------")</f>
        <v>Unverwüstlich, dünnwandig mörser, höhe 90cm, wandstärke 4mm</v>
      </c>
      <c r="X478" s="601" t="str">
        <f>IF(AA478&lt;0.0001,"",AA478)</f>
        <v/>
      </c>
      <c r="Y478" s="770">
        <f>IF(OR(AP478&lt;AA478,AND(NOT(OR(LEFT(AB478,3)="SKL",LEFT(AB478,3)=LEFT($V$2,3))),AA478&gt;0),AND('Deutsche Markt'!$AH$1=FALSE,J478="F4",AA478&gt;0)),"",AA478)</f>
        <v>0</v>
      </c>
      <c r="Z478" s="601"/>
      <c r="AA478" s="771">
        <f>'Deutsche Markt'!AA478</f>
        <v>0</v>
      </c>
      <c r="AB478" s="614" t="str">
        <f>IFERROR(IF(VLOOKUP(C478,[1]List1!$A:$D,2,FALSE)="VYPRODÁNO",$V$9,IF(VLOOKUP(C478,[1]List1!$A:$D,2,FALSE)="DOCHÁZÍ",$V$3,VLOOKUP(C478,[1]List1!$A:$D,2,FALSE))),"OFFLINE!")</f>
        <v>SKLADEM</v>
      </c>
      <c r="AC478" s="614" t="str">
        <f ca="1">IF(AO478="NE",$V$10,IF(AB478=$V$3,IF(AP478&lt;1,$V$8,$V$2&amp;" "&amp;AP478&amp;" "&amp;$V$1),IF(AB478="SKLADEM",$V$6,IFERROR(IF(OR(AB478-TODAY()&gt;21,VLOOKUP(C478,[1]List1!$A:$E,4,FALSE)=0),AB478,DAY(AB478)&amp;"."&amp;MONTH(AB478)&amp;"."&amp;YEAR(AB478)&amp;" "&amp;$V$4&amp;VLOOKUP(C478,[1]List1!$A:$E,4,FALSE)&amp;" "&amp;$V$1),AB478))))</f>
        <v>AUF LAGER</v>
      </c>
      <c r="AD478" s="614" t="str">
        <f ca="1">IFERROR(IF(AU478&lt;&gt;"",AU478,AC478),AC478)</f>
        <v>AUF LAGER</v>
      </c>
      <c r="AE478" s="605"/>
      <c r="AF478" s="605"/>
      <c r="AG478" s="615"/>
      <c r="AH478" s="616"/>
      <c r="AI478" s="615"/>
      <c r="AJ478" s="617"/>
      <c r="AK478" s="617"/>
      <c r="AL478" s="617"/>
      <c r="AM478" s="617"/>
      <c r="AN478" s="292"/>
      <c r="AO478" s="567" t="str">
        <f t="shared" si="167"/>
        <v/>
      </c>
      <c r="AP478" s="568" t="str">
        <f>IF(AB478=$V$3,IF(VLOOKUP(C478,[1]List1!$A:$E,5,FALSE)=0,1,VLOOKUP(C478,[1]List1!$A:$E,5,FALSE)),"")</f>
        <v/>
      </c>
      <c r="AQ478" s="292" t="str">
        <f t="shared" si="168"/>
        <v/>
      </c>
      <c r="AR478" s="618" t="str">
        <f t="shared" si="169"/>
        <v/>
      </c>
      <c r="AS478" s="292" t="str">
        <f t="shared" si="170"/>
        <v/>
      </c>
      <c r="AT478" s="377" t="e">
        <f t="shared" si="171"/>
        <v>#N/A</v>
      </c>
      <c r="AU478" s="292" t="e">
        <f t="shared" si="172"/>
        <v>#N/A</v>
      </c>
    </row>
    <row r="479" spans="1:47" ht="15" customHeight="1">
      <c r="A479" s="601" t="str">
        <f>Kat.!B477</f>
        <v/>
      </c>
      <c r="B479" s="601">
        <f t="shared" si="199"/>
        <v>0</v>
      </c>
      <c r="C479" s="778"/>
      <c r="D479" s="778"/>
      <c r="E479" s="778"/>
      <c r="F479" s="779"/>
      <c r="G479" s="778"/>
      <c r="H479" s="778"/>
      <c r="I479" s="778"/>
      <c r="J479" s="778"/>
      <c r="K479" s="781"/>
      <c r="L479" s="778"/>
      <c r="M479" s="778"/>
      <c r="N479" s="778"/>
      <c r="O479" s="778"/>
      <c r="P479" s="778"/>
      <c r="Q479" s="778"/>
      <c r="R479" s="778"/>
      <c r="S479" s="778"/>
      <c r="T479" s="778"/>
      <c r="U479" s="778"/>
      <c r="V479" s="778"/>
      <c r="W479" s="778" t="str">
        <f>IFERROR(VLOOKUP('General price list'!$C479,Popisy!A:P,MATCH($W$17,Popisy!$A$7:$P$7,0),FALSE),"---------------")</f>
        <v>---------------</v>
      </c>
      <c r="X479" s="778" t="str">
        <f t="shared" ref="X479:X481" si="200">IF(AA479&lt;0.0001,"",AA479)</f>
        <v/>
      </c>
      <c r="Y479" s="770">
        <f>IF(OR(AP479&lt;AA479,AND(NOT(OR(LEFT(AB479,3)="SKL",LEFT(AB479,3)=LEFT($V$2,3))),AA479&gt;0),AND('Deutsche Markt'!$AH$1=FALSE,J479="F4",AA479&gt;0)),"",AA479)</f>
        <v>0</v>
      </c>
      <c r="Z479" s="778"/>
      <c r="AA479" s="771">
        <f>'Deutsche Markt'!AA479</f>
        <v>0</v>
      </c>
      <c r="AB479" s="778" t="str">
        <f>IFERROR(IF(VLOOKUP(C479,[1]List1!$A:$D,2,FALSE)="VYPRODÁNO",$V$9,IF(VLOOKUP(C479,[1]List1!$A:$D,2,FALSE)="DOCHÁZÍ",$V$3,VLOOKUP(C479,[1]List1!$A:$D,2,FALSE))),"OFFLINE!")</f>
        <v>OFFLINE!</v>
      </c>
      <c r="AC479" s="778" t="str">
        <f ca="1">IF(AO479="NE",$V$10,IF(AB479=$V$3,IF(AP479&lt;1,$V$8,$V$2&amp;" "&amp;AP479&amp;" "&amp;$V$1),IF(AB479="SKLADEM",$V$6,IFERROR(IF(OR(AB479-TODAY()&gt;21,VLOOKUP(C479,[1]List1!$A:$E,4,FALSE)=0),AB479,DAY(AB479)&amp;"."&amp;MONTH(AB479)&amp;"."&amp;YEAR(AB479)&amp;" "&amp;$V$4&amp;VLOOKUP(C479,[1]List1!$A:$E,4,FALSE)&amp;" "&amp;$V$1),AB479))))</f>
        <v>OFFLINE!</v>
      </c>
      <c r="AD479" s="778" t="str">
        <f t="shared" ref="AD479:AD481" ca="1" si="201">IFERROR(IF(AU479&lt;&gt;"",AU479,AC479),AC479)</f>
        <v>OFFLINE!</v>
      </c>
      <c r="AE479" s="599"/>
      <c r="AF479" s="599"/>
      <c r="AG479" s="599"/>
      <c r="AH479" s="599"/>
      <c r="AI479" s="599"/>
      <c r="AJ479" s="599"/>
      <c r="AK479" s="599"/>
      <c r="AL479" s="599"/>
      <c r="AM479" s="599"/>
      <c r="AN479" s="566"/>
      <c r="AO479" s="567" t="str">
        <f t="shared" si="167"/>
        <v/>
      </c>
      <c r="AP479" s="568" t="str">
        <f>IF(AB479=$V$3,IF(VLOOKUP(C479,[1]List1!$A:$E,5,FALSE)=0,1,VLOOKUP(C479,[1]List1!$A:$E,5,FALSE)),"")</f>
        <v/>
      </c>
      <c r="AQ479" s="292" t="str">
        <f t="shared" si="168"/>
        <v/>
      </c>
      <c r="AR479" s="618" t="str">
        <f t="shared" si="169"/>
        <v/>
      </c>
      <c r="AS479" s="292" t="str">
        <f t="shared" si="170"/>
        <v/>
      </c>
      <c r="AT479" s="377" t="e">
        <f t="shared" si="171"/>
        <v>#N/A</v>
      </c>
      <c r="AU479" s="292" t="e">
        <f t="shared" si="172"/>
        <v>#N/A</v>
      </c>
    </row>
    <row r="480" spans="1:47" ht="15" customHeight="1">
      <c r="A480" s="601" t="str">
        <f>Kat.!B478</f>
        <v/>
      </c>
      <c r="B480" s="601">
        <f t="shared" si="199"/>
        <v>1</v>
      </c>
      <c r="C480" s="783" t="s">
        <v>2061</v>
      </c>
      <c r="D480" s="800"/>
      <c r="E480" s="760"/>
      <c r="F480" s="761"/>
      <c r="G480" s="762"/>
      <c r="H480" s="596"/>
      <c r="I480" s="797"/>
      <c r="J480" s="764"/>
      <c r="K480" s="774"/>
      <c r="L480" s="782"/>
      <c r="M480" s="764"/>
      <c r="N480" s="767"/>
      <c r="O480" s="763"/>
      <c r="P480" s="763"/>
      <c r="Q480" s="764"/>
      <c r="R480" s="764"/>
      <c r="S480" s="764"/>
      <c r="T480" s="764"/>
      <c r="U480" s="768"/>
      <c r="V480" s="768"/>
      <c r="W480" s="769" t="str">
        <f>IFERROR(VLOOKUP('General price list'!$C480,Popisy!A:P,MATCH($W$17,Popisy!$A$7:$P$7,0),FALSE),"---------------")</f>
        <v>Silberne fontäne-ohne rauch, 2m höhe effekte, elektrisch Abschuss</v>
      </c>
      <c r="X480" s="769" t="str">
        <f t="shared" si="200"/>
        <v/>
      </c>
      <c r="Y480" s="770">
        <f>IF(OR(AP480&lt;AA480,AND(NOT(OR(LEFT(AB480,3)="SKL",LEFT(AB480,3)=LEFT($V$2,3))),AA480&gt;0),AND('Deutsche Markt'!$AH$1=FALSE,J480="F4",AA480&gt;0)),"",AA480)</f>
        <v>0</v>
      </c>
      <c r="Z480" s="769"/>
      <c r="AA480" s="771">
        <f>'Deutsche Markt'!AA480</f>
        <v>0</v>
      </c>
      <c r="AB480" s="772" t="str">
        <f>IFERROR(IF(VLOOKUP(C480,[1]List1!$A:$D,2,FALSE)="VYPRODÁNO",$V$9,IF(VLOOKUP(C480,[1]List1!$A:$D,2,FALSE)="DOCHÁZÍ",$V$3,VLOOKUP(C480,[1]List1!$A:$D,2,FALSE))),"OFFLINE!")</f>
        <v>SKLADEM</v>
      </c>
      <c r="AC480" s="772" t="str">
        <f ca="1">IF(AO480="NE",$V$10,IF(AB480=$V$3,IF(AP480&lt;1,$V$8,$V$2&amp;" "&amp;AP480&amp;" "&amp;$V$1),IF(AB480="SKLADEM",$V$6,IFERROR(IF(OR(AB480-TODAY()&gt;21,VLOOKUP(C480,[1]List1!$A:$E,4,FALSE)=0),AB480,DAY(AB480)&amp;"."&amp;MONTH(AB480)&amp;"."&amp;YEAR(AB480)&amp;" "&amp;$V$4&amp;VLOOKUP(C480,[1]List1!$A:$E,4,FALSE)&amp;" "&amp;$V$1),AB480))))</f>
        <v>AUF LAGER</v>
      </c>
      <c r="AD480" s="772" t="str">
        <f t="shared" ca="1" si="201"/>
        <v>AUF LAGER</v>
      </c>
      <c r="AE480" s="605"/>
      <c r="AF480" s="605"/>
      <c r="AG480" s="615"/>
      <c r="AH480" s="616"/>
      <c r="AI480" s="615"/>
      <c r="AJ480" s="617"/>
      <c r="AK480" s="617"/>
      <c r="AL480" s="617"/>
      <c r="AM480" s="617"/>
      <c r="AN480" s="292"/>
      <c r="AO480" s="567" t="str">
        <f t="shared" si="167"/>
        <v/>
      </c>
      <c r="AP480" s="568" t="str">
        <f>IF(AB480=$V$3,IF(VLOOKUP(C480,[1]List1!$A:$E,5,FALSE)=0,1,VLOOKUP(C480,[1]List1!$A:$E,5,FALSE)),"")</f>
        <v/>
      </c>
      <c r="AQ480" s="292" t="str">
        <f t="shared" si="168"/>
        <v/>
      </c>
      <c r="AR480" s="618" t="str">
        <f t="shared" si="169"/>
        <v/>
      </c>
      <c r="AS480" s="292" t="str">
        <f t="shared" si="170"/>
        <v/>
      </c>
      <c r="AT480" s="377" t="e">
        <f t="shared" si="171"/>
        <v>#N/A</v>
      </c>
      <c r="AU480" s="292" t="e">
        <f t="shared" si="172"/>
        <v>#N/A</v>
      </c>
    </row>
    <row r="481" spans="1:47" ht="15" customHeight="1">
      <c r="A481" s="601" t="str">
        <f>Kat.!B479</f>
        <v>Interiur-Fontänen, Spritzer, Wasserfälle</v>
      </c>
      <c r="B481" s="601">
        <f t="shared" si="199"/>
        <v>1</v>
      </c>
      <c r="C481" s="783" t="s">
        <v>2066</v>
      </c>
      <c r="D481" s="776"/>
      <c r="E481" s="760"/>
      <c r="F481" s="761"/>
      <c r="G481" s="762"/>
      <c r="H481" s="596"/>
      <c r="I481" s="763"/>
      <c r="J481" s="764"/>
      <c r="K481" s="781"/>
      <c r="L481" s="766"/>
      <c r="M481" s="764"/>
      <c r="N481" s="777"/>
      <c r="O481" s="763"/>
      <c r="P481" s="763"/>
      <c r="Q481" s="764"/>
      <c r="R481" s="764"/>
      <c r="S481" s="764"/>
      <c r="T481" s="764"/>
      <c r="U481" s="768"/>
      <c r="V481" s="768"/>
      <c r="W481" s="769" t="str">
        <f>IFERROR(VLOOKUP('General price list'!$C481,Popisy!A:P,MATCH($W$17,Popisy!$A$7:$P$7,0),FALSE),"---------------")</f>
        <v>Silberne fontäne-ohne rauch, 3m höhe effekte, elektrisch Abschuss</v>
      </c>
      <c r="X481" s="769" t="str">
        <f t="shared" si="200"/>
        <v/>
      </c>
      <c r="Y481" s="770">
        <f>IF(OR(AP481&lt;AA481,AND(NOT(OR(LEFT(AB481,3)="SKL",LEFT(AB481,3)=LEFT($V$2,3))),AA481&gt;0),AND('Deutsche Markt'!$AH$1=FALSE,J481="F4",AA481&gt;0)),"",AA481)</f>
        <v>0</v>
      </c>
      <c r="Z481" s="769"/>
      <c r="AA481" s="771">
        <f>'Deutsche Markt'!AA481</f>
        <v>0</v>
      </c>
      <c r="AB481" s="772" t="str">
        <f>IFERROR(IF(VLOOKUP(C481,[1]List1!$A:$D,2,FALSE)="VYPRODÁNO",$V$9,IF(VLOOKUP(C481,[1]List1!$A:$D,2,FALSE)="DOCHÁZÍ",$V$3,VLOOKUP(C481,[1]List1!$A:$D,2,FALSE))),"OFFLINE!")</f>
        <v>15.08.2024</v>
      </c>
      <c r="AC481" s="772" t="str">
        <f ca="1">IF(AO481="NE",$V$10,IF(AB481=$V$3,IF(AP481&lt;1,$V$8,$V$2&amp;" "&amp;AP481&amp;" "&amp;$V$1),IF(AB481="SKLADEM",$V$6,IFERROR(IF(OR(AB481-TODAY()&gt;21,VLOOKUP(C481,[1]List1!$A:$E,4,FALSE)=0),AB481,DAY(AB481)&amp;"."&amp;MONTH(AB481)&amp;"."&amp;YEAR(AB481)&amp;" "&amp;$V$4&amp;VLOOKUP(C481,[1]List1!$A:$E,4,FALSE)&amp;" "&amp;$V$1),AB481))))</f>
        <v>15.08.2024</v>
      </c>
      <c r="AD481" s="772" t="str">
        <f t="shared" ca="1" si="201"/>
        <v>15.08.2024</v>
      </c>
      <c r="AE481" s="605"/>
      <c r="AF481" s="605"/>
      <c r="AG481" s="615"/>
      <c r="AH481" s="616"/>
      <c r="AI481" s="615"/>
      <c r="AJ481" s="617"/>
      <c r="AK481" s="617"/>
      <c r="AL481" s="617"/>
      <c r="AM481" s="617"/>
      <c r="AN481" s="292"/>
      <c r="AO481" s="567" t="str">
        <f t="shared" si="167"/>
        <v/>
      </c>
      <c r="AP481" s="568" t="str">
        <f>IF(AB481=$V$3,IF(VLOOKUP(C481,[1]List1!$A:$E,5,FALSE)=0,1,VLOOKUP(C481,[1]List1!$A:$E,5,FALSE)),"")</f>
        <v/>
      </c>
      <c r="AQ481" s="292" t="str">
        <f t="shared" si="168"/>
        <v/>
      </c>
      <c r="AR481" s="618" t="str">
        <f t="shared" si="169"/>
        <v/>
      </c>
      <c r="AS481" s="292" t="str">
        <f t="shared" si="170"/>
        <v/>
      </c>
      <c r="AT481" s="377" t="e">
        <f t="shared" si="171"/>
        <v>#N/A</v>
      </c>
      <c r="AU481" s="292" t="e">
        <f t="shared" si="172"/>
        <v>#N/A</v>
      </c>
    </row>
    <row r="482" spans="1:47" ht="15" customHeight="1">
      <c r="A482" s="601" t="str">
        <f>Kat.!B480</f>
        <v/>
      </c>
      <c r="B482" s="601">
        <f t="shared" si="199"/>
        <v>1</v>
      </c>
      <c r="C482" s="783" t="s">
        <v>2075</v>
      </c>
      <c r="D482" s="800"/>
      <c r="E482" s="760"/>
      <c r="F482" s="761"/>
      <c r="G482" s="762"/>
      <c r="H482" s="596"/>
      <c r="I482" s="797"/>
      <c r="J482" s="764"/>
      <c r="K482" s="774"/>
      <c r="L482" s="766"/>
      <c r="M482" s="764"/>
      <c r="N482" s="767"/>
      <c r="O482" s="763"/>
      <c r="P482" s="763"/>
      <c r="Q482" s="764"/>
      <c r="R482" s="764"/>
      <c r="S482" s="764"/>
      <c r="T482" s="764"/>
      <c r="U482" s="768"/>
      <c r="V482" s="768"/>
      <c r="W482" s="769"/>
      <c r="X482" s="769"/>
      <c r="Y482" s="770">
        <f>IF(OR(AP482&lt;AA482,AND(NOT(OR(LEFT(AB482,3)="SKL",LEFT(AB482,3)=LEFT($V$2,3))),AA482&gt;0),AND('Deutsche Markt'!$AH$1=FALSE,J482="F4",AA482&gt;0)),"",AA482)</f>
        <v>0</v>
      </c>
      <c r="Z482" s="769"/>
      <c r="AA482" s="771">
        <f>'Deutsche Markt'!AA482</f>
        <v>0</v>
      </c>
      <c r="AB482" s="772"/>
      <c r="AC482" s="772"/>
      <c r="AD482" s="772"/>
      <c r="AE482" s="605"/>
      <c r="AF482" s="605"/>
      <c r="AG482" s="615"/>
      <c r="AH482" s="616"/>
      <c r="AI482" s="615"/>
      <c r="AJ482" s="617"/>
      <c r="AK482" s="617"/>
      <c r="AL482" s="617"/>
      <c r="AM482" s="617"/>
      <c r="AN482" s="292"/>
      <c r="AO482" s="567" t="str">
        <f t="shared" si="167"/>
        <v/>
      </c>
      <c r="AP482" s="568" t="str">
        <f>IF(AB482=$V$3,IF(VLOOKUP(C482,[1]List1!$A:$E,5,FALSE)=0,1,VLOOKUP(C482,[1]List1!$A:$E,5,FALSE)),"")</f>
        <v/>
      </c>
      <c r="AQ482" s="292" t="str">
        <f t="shared" si="168"/>
        <v/>
      </c>
      <c r="AR482" s="618" t="str">
        <f t="shared" si="169"/>
        <v/>
      </c>
      <c r="AS482" s="292" t="str">
        <f t="shared" si="170"/>
        <v/>
      </c>
      <c r="AT482" s="377" t="e">
        <f t="shared" si="171"/>
        <v>#N/A</v>
      </c>
      <c r="AU482" s="292" t="e">
        <f t="shared" si="172"/>
        <v>#N/A</v>
      </c>
    </row>
    <row r="483" spans="1:47" ht="15" customHeight="1">
      <c r="A483" s="601" t="str">
        <f>Kat.!B481</f>
        <v/>
      </c>
      <c r="B483" s="601">
        <f t="shared" si="199"/>
        <v>1</v>
      </c>
      <c r="C483" s="783" t="s">
        <v>2644</v>
      </c>
      <c r="D483" s="800"/>
      <c r="E483" s="760"/>
      <c r="F483" s="761"/>
      <c r="G483" s="762"/>
      <c r="H483" s="596"/>
      <c r="I483" s="797"/>
      <c r="J483" s="764"/>
      <c r="K483" s="781"/>
      <c r="L483" s="782"/>
      <c r="M483" s="764"/>
      <c r="N483" s="767"/>
      <c r="O483" s="763"/>
      <c r="P483" s="763"/>
      <c r="Q483" s="764"/>
      <c r="R483" s="764"/>
      <c r="S483" s="764"/>
      <c r="T483" s="764"/>
      <c r="U483" s="768"/>
      <c r="V483" s="768"/>
      <c r="W483" s="769" t="str">
        <f>IFERROR(VLOOKUP('General price list'!$C483,Popisy!A:P,MATCH($W$17,Popisy!$A$7:$P$7,0),FALSE),"---------------")</f>
        <v>Silberne fontäne-ohne rauch, 6m höhe effekte, elektrisch Abschuss</v>
      </c>
      <c r="X483" s="769" t="str">
        <f t="shared" ref="X483:X486" si="202">IF(AA483&lt;0.0001,"",AA483)</f>
        <v/>
      </c>
      <c r="Y483" s="770">
        <f>IF(OR(AP483&lt;AA483,AND(NOT(OR(LEFT(AB483,3)="SKL",LEFT(AB483,3)=LEFT($V$2,3))),AA483&gt;0),AND('Deutsche Markt'!$AH$1=FALSE,J483="F4",AA483&gt;0)),"",AA483)</f>
        <v>0</v>
      </c>
      <c r="Z483" s="769"/>
      <c r="AA483" s="771">
        <f>'Deutsche Markt'!AA483</f>
        <v>0</v>
      </c>
      <c r="AB483" s="772" t="str">
        <f>IFERROR(IF(VLOOKUP(C483,[1]List1!$A:$D,2,FALSE)="VYPRODÁNO",$V$9,IF(VLOOKUP(C483,[1]List1!$A:$D,2,FALSE)="DOCHÁZÍ",$V$3,VLOOKUP(C483,[1]List1!$A:$D,2,FALSE))),"OFFLINE!")</f>
        <v>SKLADEM</v>
      </c>
      <c r="AC483" s="772" t="str">
        <f ca="1">IF(AO483="NE",$V$10,IF(AB483=$V$3,IF(AP483&lt;1,$V$8,$V$2&amp;" "&amp;AP483&amp;" "&amp;$V$1),IF(AB483="SKLADEM",$V$6,IFERROR(IF(OR(AB483-TODAY()&gt;21,VLOOKUP(C483,[1]List1!$A:$E,4,FALSE)=0),AB483,DAY(AB483)&amp;"."&amp;MONTH(AB483)&amp;"."&amp;YEAR(AB483)&amp;" "&amp;$V$4&amp;VLOOKUP(C483,[1]List1!$A:$E,4,FALSE)&amp;" "&amp;$V$1),AB483))))</f>
        <v>AUF LAGER</v>
      </c>
      <c r="AD483" s="772" t="str">
        <f t="shared" ref="AD483:AD486" ca="1" si="203">IFERROR(IF(AU483&lt;&gt;"",AU483,AC483),AC483)</f>
        <v>AUF LAGER</v>
      </c>
      <c r="AE483" s="605"/>
      <c r="AF483" s="605"/>
      <c r="AG483" s="615"/>
      <c r="AH483" s="616"/>
      <c r="AI483" s="615"/>
      <c r="AJ483" s="617"/>
      <c r="AK483" s="617"/>
      <c r="AL483" s="617"/>
      <c r="AM483" s="617"/>
      <c r="AN483" s="292"/>
      <c r="AO483" s="567" t="str">
        <f t="shared" ref="AO483:AO486" si="204">IF($AK$3=1,IF(Y483=AA483,"","NE"),IF(AQ483=$V$10,"NE",""))</f>
        <v/>
      </c>
      <c r="AP483" s="568" t="str">
        <f>IF(AB483=$V$3,IF(VLOOKUP(C483,[1]List1!$A:$E,5,FALSE)=0,1,VLOOKUP(C483,[1]List1!$A:$E,5,FALSE)),"")</f>
        <v/>
      </c>
      <c r="AQ483" s="292" t="str">
        <f t="shared" ref="AQ483:AQ486" si="205">IF($AK$3=1,"",IF(OR(AA483&lt;&gt;"",AA483&lt;&gt;0),IF(OR(AB483=$V$6,AB483=$V$3,AB483=$V$9),$V$10,""),""))</f>
        <v/>
      </c>
      <c r="AR483" s="618" t="str">
        <f t="shared" ref="AR483:AR486" si="206">IF(AS483&lt;&gt;"","X","")</f>
        <v/>
      </c>
      <c r="AS483" s="292" t="str">
        <f t="shared" ref="AS483:AS486" si="207">IF(AND($AK$3=2,AQ483="",AA483&lt;&gt;""),AC483,"")</f>
        <v/>
      </c>
      <c r="AT483" s="377" t="e">
        <f t="shared" ref="AT483:AT486" si="208">IF(AS483=$AR$21,AA483,"")</f>
        <v>#N/A</v>
      </c>
      <c r="AU483" s="292" t="e">
        <f t="shared" ref="AU483:AU486" si="209">IF(OR(AA483="",AND(AS483&lt;&gt;"",AT483&lt;&gt;"")),"",$V$10)</f>
        <v>#N/A</v>
      </c>
    </row>
    <row r="484" spans="1:47" ht="15" customHeight="1">
      <c r="A484" s="601" t="str">
        <f>Kat.!B482</f>
        <v/>
      </c>
      <c r="B484" s="601">
        <f t="shared" si="199"/>
        <v>0</v>
      </c>
      <c r="C484" s="783"/>
      <c r="D484" s="783"/>
      <c r="E484" s="764"/>
      <c r="F484" s="761"/>
      <c r="G484" s="762"/>
      <c r="H484" s="596"/>
      <c r="I484" s="787"/>
      <c r="J484" s="764"/>
      <c r="K484" s="774"/>
      <c r="L484" s="787"/>
      <c r="M484" s="764"/>
      <c r="N484" s="767"/>
      <c r="O484" s="763"/>
      <c r="P484" s="763"/>
      <c r="Q484" s="764"/>
      <c r="R484" s="764"/>
      <c r="S484" s="764"/>
      <c r="T484" s="764"/>
      <c r="U484" s="768"/>
      <c r="V484" s="768"/>
      <c r="W484" s="769" t="str">
        <f>IFERROR(VLOOKUP('General price list'!$C484,Popisy!A:P,MATCH($W$17,Popisy!$A$7:$P$7,0),FALSE),"---------------")</f>
        <v>---------------</v>
      </c>
      <c r="X484" s="769" t="str">
        <f t="shared" si="202"/>
        <v/>
      </c>
      <c r="Y484" s="770">
        <f>IF(OR(AP484&lt;AA484,AND(NOT(OR(LEFT(AB484,3)="SKL",LEFT(AB484,3)=LEFT($V$2,3))),AA484&gt;0),AND('Deutsche Markt'!$AH$1=FALSE,J484="F4",AA484&gt;0)),"",AA484)</f>
        <v>0</v>
      </c>
      <c r="Z484" s="769"/>
      <c r="AA484" s="771">
        <f>'Deutsche Markt'!AA484</f>
        <v>0</v>
      </c>
      <c r="AB484" s="772" t="str">
        <f>IFERROR(IF(VLOOKUP(C484,[1]List1!$A:$D,2,FALSE)="VYPRODÁNO",$V$9,IF(VLOOKUP(C484,[1]List1!$A:$D,2,FALSE)="DOCHÁZÍ",$V$3,VLOOKUP(C484,[1]List1!$A:$D,2,FALSE))),"OFFLINE!")</f>
        <v>OFFLINE!</v>
      </c>
      <c r="AC484" s="772" t="str">
        <f ca="1">IF(AO484="NE",$V$10,IF(AB484=$V$3,IF(AP484&lt;1,$V$8,$V$2&amp;" "&amp;AP484&amp;" "&amp;$V$1),IF(AB484="SKLADEM",$V$6,IFERROR(IF(OR(AB484-TODAY()&gt;21,VLOOKUP(C484,[1]List1!$A:$E,4,FALSE)=0),AB484,DAY(AB484)&amp;"."&amp;MONTH(AB484)&amp;"."&amp;YEAR(AB484)&amp;" "&amp;$V$4&amp;VLOOKUP(C484,[1]List1!$A:$E,4,FALSE)&amp;" "&amp;$V$1),AB484))))</f>
        <v>OFFLINE!</v>
      </c>
      <c r="AD484" s="772" t="str">
        <f t="shared" ca="1" si="203"/>
        <v>OFFLINE!</v>
      </c>
      <c r="AE484" s="605"/>
      <c r="AF484" s="605"/>
      <c r="AG484" s="615"/>
      <c r="AH484" s="616"/>
      <c r="AI484" s="615"/>
      <c r="AJ484" s="617"/>
      <c r="AK484" s="617"/>
      <c r="AL484" s="617"/>
      <c r="AM484" s="617"/>
      <c r="AN484" s="292"/>
      <c r="AO484" s="567" t="str">
        <f t="shared" si="204"/>
        <v/>
      </c>
      <c r="AP484" s="568" t="str">
        <f>IF(AB484=$V$3,IF(VLOOKUP(C484,[1]List1!$A:$E,5,FALSE)=0,1,VLOOKUP(C484,[1]List1!$A:$E,5,FALSE)),"")</f>
        <v/>
      </c>
      <c r="AQ484" s="292" t="str">
        <f t="shared" si="205"/>
        <v/>
      </c>
      <c r="AR484" s="618" t="str">
        <f t="shared" si="206"/>
        <v/>
      </c>
      <c r="AS484" s="292" t="str">
        <f t="shared" si="207"/>
        <v/>
      </c>
      <c r="AT484" s="377" t="e">
        <f t="shared" si="208"/>
        <v>#N/A</v>
      </c>
      <c r="AU484" s="292" t="e">
        <f t="shared" si="209"/>
        <v>#N/A</v>
      </c>
    </row>
    <row r="485" spans="1:47" ht="15" customHeight="1">
      <c r="A485" s="601" t="str">
        <f>Kat.!B483</f>
        <v/>
      </c>
      <c r="B485" s="601">
        <f t="shared" si="199"/>
        <v>1</v>
      </c>
      <c r="C485" s="783" t="s">
        <v>2085</v>
      </c>
      <c r="D485" s="800"/>
      <c r="E485" s="760"/>
      <c r="F485" s="761"/>
      <c r="G485" s="762"/>
      <c r="H485" s="596"/>
      <c r="I485" s="797"/>
      <c r="J485" s="764"/>
      <c r="K485" s="781"/>
      <c r="L485" s="766"/>
      <c r="M485" s="764"/>
      <c r="N485" s="767"/>
      <c r="O485" s="763"/>
      <c r="P485" s="763"/>
      <c r="Q485" s="764"/>
      <c r="R485" s="764"/>
      <c r="S485" s="764"/>
      <c r="T485" s="764"/>
      <c r="U485" s="768"/>
      <c r="V485" s="768"/>
      <c r="W485" s="769" t="str">
        <f>IFERROR(VLOOKUP('General price list'!$C485,Popisy!A:P,MATCH($W$17,Popisy!$A$7:$P$7,0),FALSE),"---------------")</f>
        <v>elektrische anzünder, 30cm länge</v>
      </c>
      <c r="X485" s="769" t="str">
        <f t="shared" si="202"/>
        <v/>
      </c>
      <c r="Y485" s="770">
        <f>IF(OR(AP485&lt;AA485,AND(NOT(OR(LEFT(AB485,3)="SKL",LEFT(AB485,3)=LEFT($V$2,3))),AA485&gt;0),AND('Deutsche Markt'!$AH$1=FALSE,J485="F4",AA485&gt;0)),"",AA485)</f>
        <v>0</v>
      </c>
      <c r="Z485" s="769"/>
      <c r="AA485" s="771">
        <f>'Deutsche Markt'!AA485</f>
        <v>0</v>
      </c>
      <c r="AB485" s="772" t="str">
        <f>IFERROR(IF(VLOOKUP(C485,[1]List1!$A:$D,2,FALSE)="VYPRODÁNO",$V$9,IF(VLOOKUP(C485,[1]List1!$A:$D,2,FALSE)="DOCHÁZÍ",$V$3,VLOOKUP(C485,[1]List1!$A:$D,2,FALSE))),"OFFLINE!")</f>
        <v>AUSVERKAUFT</v>
      </c>
      <c r="AC485" s="772" t="str">
        <f ca="1">IF(AO485="NE",$V$10,IF(AB485=$V$3,IF(AP485&lt;1,$V$8,$V$2&amp;" "&amp;AP485&amp;" "&amp;$V$1),IF(AB485="SKLADEM",$V$6,IFERROR(IF(OR(AB485-TODAY()&gt;21,VLOOKUP(C485,[1]List1!$A:$E,4,FALSE)=0),AB485,DAY(AB485)&amp;"."&amp;MONTH(AB485)&amp;"."&amp;YEAR(AB485)&amp;" "&amp;$V$4&amp;VLOOKUP(C485,[1]List1!$A:$E,4,FALSE)&amp;" "&amp;$V$1),AB485))))</f>
        <v>AUSVERKAUFT</v>
      </c>
      <c r="AD485" s="772" t="str">
        <f t="shared" ca="1" si="203"/>
        <v>AUSVERKAUFT</v>
      </c>
      <c r="AE485" s="605"/>
      <c r="AF485" s="605"/>
      <c r="AG485" s="615"/>
      <c r="AH485" s="616"/>
      <c r="AI485" s="615"/>
      <c r="AJ485" s="617"/>
      <c r="AK485" s="617"/>
      <c r="AL485" s="617"/>
      <c r="AM485" s="617"/>
      <c r="AN485" s="292"/>
      <c r="AO485" s="567" t="str">
        <f t="shared" si="204"/>
        <v/>
      </c>
      <c r="AP485" s="568" t="str">
        <f>IF(AB485=$V$3,IF(VLOOKUP(C485,[1]List1!$A:$E,5,FALSE)=0,1,VLOOKUP(C485,[1]List1!$A:$E,5,FALSE)),"")</f>
        <v/>
      </c>
      <c r="AQ485" s="292" t="str">
        <f t="shared" si="205"/>
        <v/>
      </c>
      <c r="AR485" s="618" t="str">
        <f t="shared" si="206"/>
        <v/>
      </c>
      <c r="AS485" s="292" t="str">
        <f t="shared" si="207"/>
        <v/>
      </c>
      <c r="AT485" s="377" t="e">
        <f t="shared" si="208"/>
        <v>#N/A</v>
      </c>
      <c r="AU485" s="292" t="e">
        <f t="shared" si="209"/>
        <v>#N/A</v>
      </c>
    </row>
    <row r="486" spans="1:47" ht="15" customHeight="1">
      <c r="A486" s="601" t="str">
        <f>Kat.!B484</f>
        <v>Sonstiges</v>
      </c>
      <c r="B486" s="601">
        <f t="shared" si="199"/>
        <v>1</v>
      </c>
      <c r="C486" s="783" t="s">
        <v>2091</v>
      </c>
      <c r="D486" s="776"/>
      <c r="E486" s="760"/>
      <c r="F486" s="761"/>
      <c r="G486" s="762"/>
      <c r="H486" s="596"/>
      <c r="I486" s="763"/>
      <c r="J486" s="764"/>
      <c r="K486" s="774"/>
      <c r="L486" s="766"/>
      <c r="M486" s="764"/>
      <c r="N486" s="777"/>
      <c r="O486" s="763"/>
      <c r="P486" s="763"/>
      <c r="Q486" s="764"/>
      <c r="R486" s="764"/>
      <c r="S486" s="764"/>
      <c r="T486" s="764"/>
      <c r="U486" s="768"/>
      <c r="V486" s="768"/>
      <c r="W486" s="769" t="str">
        <f>IFERROR(VLOOKUP('General price list'!$C486,Popisy!A:P,MATCH($W$17,Popisy!$A$7:$P$7,0),FALSE),"---------------")</f>
        <v>elektrische anzünder, 100cm länge</v>
      </c>
      <c r="X486" s="769" t="str">
        <f t="shared" si="202"/>
        <v/>
      </c>
      <c r="Y486" s="770">
        <f>IF(OR(AP486&lt;AA486,AND(NOT(OR(LEFT(AB486,3)="SKL",LEFT(AB486,3)=LEFT($V$2,3))),AA486&gt;0),AND('Deutsche Markt'!$AH$1=FALSE,J486="F4",AA486&gt;0)),"",AA486)</f>
        <v>0</v>
      </c>
      <c r="Z486" s="769"/>
      <c r="AA486" s="771">
        <f>'Deutsche Markt'!AA486</f>
        <v>0</v>
      </c>
      <c r="AB486" s="772" t="str">
        <f>IFERROR(IF(VLOOKUP(C486,[1]List1!$A:$D,2,FALSE)="VYPRODÁNO",$V$9,IF(VLOOKUP(C486,[1]List1!$A:$D,2,FALSE)="DOCHÁZÍ",$V$3,VLOOKUP(C486,[1]List1!$A:$D,2,FALSE))),"OFFLINE!")</f>
        <v>SKLADEM</v>
      </c>
      <c r="AC486" s="772" t="str">
        <f ca="1">IF(AO486="NE",$V$10,IF(AB486=$V$3,IF(AP486&lt;1,$V$8,$V$2&amp;" "&amp;AP486&amp;" "&amp;$V$1),IF(AB486="SKLADEM",$V$6,IFERROR(IF(OR(AB486-TODAY()&gt;21,VLOOKUP(C486,[1]List1!$A:$E,4,FALSE)=0),AB486,DAY(AB486)&amp;"."&amp;MONTH(AB486)&amp;"."&amp;YEAR(AB486)&amp;" "&amp;$V$4&amp;VLOOKUP(C486,[1]List1!$A:$E,4,FALSE)&amp;" "&amp;$V$1),AB486))))</f>
        <v>AUF LAGER</v>
      </c>
      <c r="AD486" s="772" t="str">
        <f t="shared" ca="1" si="203"/>
        <v>AUF LAGER</v>
      </c>
      <c r="AE486" s="605"/>
      <c r="AF486" s="605"/>
      <c r="AG486" s="615"/>
      <c r="AH486" s="616"/>
      <c r="AI486" s="615"/>
      <c r="AJ486" s="617"/>
      <c r="AK486" s="617"/>
      <c r="AL486" s="617"/>
      <c r="AM486" s="617"/>
      <c r="AN486" s="292"/>
      <c r="AO486" s="567" t="str">
        <f t="shared" si="204"/>
        <v/>
      </c>
      <c r="AP486" s="568" t="str">
        <f>IF(AB486=$V$3,IF(VLOOKUP(C486,[1]List1!$A:$E,5,FALSE)=0,1,VLOOKUP(C486,[1]List1!$A:$E,5,FALSE)),"")</f>
        <v/>
      </c>
      <c r="AQ486" s="292" t="str">
        <f t="shared" si="205"/>
        <v/>
      </c>
      <c r="AR486" s="618" t="str">
        <f t="shared" si="206"/>
        <v/>
      </c>
      <c r="AS486" s="292" t="str">
        <f t="shared" si="207"/>
        <v/>
      </c>
      <c r="AT486" s="377" t="e">
        <f t="shared" si="208"/>
        <v>#N/A</v>
      </c>
      <c r="AU486" s="292" t="e">
        <f t="shared" si="209"/>
        <v>#N/A</v>
      </c>
    </row>
    <row r="487" spans="1:47" ht="15" customHeight="1">
      <c r="A487" s="601" t="str">
        <f>Kat.!B485</f>
        <v/>
      </c>
      <c r="B487" s="601">
        <f t="shared" si="199"/>
        <v>1</v>
      </c>
      <c r="C487" s="783" t="s">
        <v>2097</v>
      </c>
      <c r="D487" s="783"/>
      <c r="E487" s="764"/>
      <c r="F487" s="761"/>
      <c r="G487" s="762"/>
      <c r="H487" s="595"/>
      <c r="I487" s="764"/>
      <c r="J487" s="764"/>
      <c r="K487" s="781"/>
      <c r="L487" s="764"/>
      <c r="M487" s="764"/>
      <c r="N487" s="764"/>
      <c r="O487" s="764"/>
      <c r="P487" s="764"/>
      <c r="Q487" s="764"/>
      <c r="R487" s="764"/>
      <c r="S487" s="764"/>
      <c r="T487" s="764"/>
      <c r="U487" s="764"/>
      <c r="V487" s="764"/>
      <c r="W487" s="764"/>
      <c r="X487" s="764"/>
      <c r="Y487" s="770">
        <f>IF(OR(AP487&lt;AA487,AND(NOT(OR(LEFT(AB487,3)="SKL",LEFT(AB487,3)=LEFT($V$2,3))),AA487&gt;0),AND('Deutsche Markt'!$AH$1=FALSE,J487="F4",AA487&gt;0)),"",AA487)</f>
        <v>0</v>
      </c>
      <c r="Z487" s="764"/>
      <c r="AA487" s="771">
        <f>'Deutsche Markt'!AA487</f>
        <v>0</v>
      </c>
      <c r="AB487" s="772"/>
      <c r="AC487" s="785"/>
      <c r="AD487" s="785"/>
      <c r="AE487" s="609"/>
      <c r="AF487" s="609"/>
      <c r="AG487" s="627"/>
      <c r="AH487" s="609"/>
      <c r="AI487" s="627"/>
      <c r="AJ487" s="609"/>
      <c r="AK487" s="609"/>
      <c r="AL487" s="609"/>
      <c r="AM487" s="627"/>
      <c r="AO487" s="567" t="str">
        <f t="shared" ref="AO487:AO546" si="210">IF($AK$3=1,IF(Y487=AA487,"","NE"),IF(AQ487=$V$10,"NE",""))</f>
        <v/>
      </c>
      <c r="AP487" s="568" t="str">
        <f>IF(AB487=$V$3,IF(VLOOKUP(C487,[1]List1!$A:$E,5,FALSE)=0,1,VLOOKUP(C487,[1]List1!$A:$E,5,FALSE)),"")</f>
        <v/>
      </c>
      <c r="AQ487" s="292" t="str">
        <f t="shared" ref="AQ487:AQ546" si="211">IF($AK$3=1,"",IF(OR(AA487&lt;&gt;"",AA487&lt;&gt;0),IF(OR(AB487=$V$6,AB487=$V$3,AB487=$V$9),$V$10,""),""))</f>
        <v/>
      </c>
      <c r="AR487" s="618" t="str">
        <f t="shared" ref="AR487:AR546" si="212">IF(AS487&lt;&gt;"","X","")</f>
        <v/>
      </c>
      <c r="AS487" s="292" t="str">
        <f t="shared" ref="AS487:AS546" si="213">IF(AND($AK$3=2,AQ487="",AA487&lt;&gt;""),AC487,"")</f>
        <v/>
      </c>
      <c r="AT487" s="377" t="e">
        <f t="shared" ref="AT487:AT546" si="214">IF(AS487=$AR$21,AA487,"")</f>
        <v>#N/A</v>
      </c>
      <c r="AU487" s="292" t="e">
        <f t="shared" ref="AU487:AU546" si="215">IF(OR(AA487="",AND(AS487&lt;&gt;"",AT487&lt;&gt;"")),"",$V$10)</f>
        <v>#N/A</v>
      </c>
    </row>
    <row r="488" spans="1:47" ht="15" customHeight="1">
      <c r="A488" s="601" t="str">
        <f>Kat.!B486</f>
        <v/>
      </c>
      <c r="B488" s="601">
        <f t="shared" si="199"/>
        <v>1</v>
      </c>
      <c r="C488" s="778" t="s">
        <v>2102</v>
      </c>
      <c r="D488" s="778"/>
      <c r="E488" s="778"/>
      <c r="F488" s="779"/>
      <c r="G488" s="778"/>
      <c r="H488" s="778"/>
      <c r="I488" s="778"/>
      <c r="J488" s="778"/>
      <c r="K488" s="774"/>
      <c r="L488" s="778"/>
      <c r="M488" s="778"/>
      <c r="N488" s="778"/>
      <c r="O488" s="778"/>
      <c r="P488" s="778"/>
      <c r="Q488" s="778"/>
      <c r="R488" s="778"/>
      <c r="S488" s="778"/>
      <c r="T488" s="778"/>
      <c r="U488" s="778"/>
      <c r="V488" s="778"/>
      <c r="W488" s="778" t="str">
        <f>IFERROR(VLOOKUP('General price list'!$C488,Popisy!A:P,MATCH($W$17,Popisy!$A$7:$P$7,0),FALSE),"---------------")</f>
        <v>elektrische anzünder, 300cm länge</v>
      </c>
      <c r="X488" s="778" t="str">
        <f t="shared" ref="X488" si="216">IF(AA488&lt;0.0001,"",AA488)</f>
        <v/>
      </c>
      <c r="Y488" s="770">
        <f>IF(OR(AP488&lt;AA488,AND(NOT(OR(LEFT(AB488,3)="SKL",LEFT(AB488,3)=LEFT($V$2,3))),AA488&gt;0),AND('Deutsche Markt'!$AH$1=FALSE,J488="F4",AA488&gt;0)),"",AA488)</f>
        <v>0</v>
      </c>
      <c r="Z488" s="778"/>
      <c r="AA488" s="771">
        <f>'Deutsche Markt'!AA488</f>
        <v>0</v>
      </c>
      <c r="AB488" s="778" t="str">
        <f>IFERROR(IF(VLOOKUP(C488,[1]List1!$A:$D,2,FALSE)="VYPRODÁNO",$V$9,IF(VLOOKUP(C488,[1]List1!$A:$D,2,FALSE)="DOCHÁZÍ",$V$3,VLOOKUP(C488,[1]List1!$A:$D,2,FALSE))),"OFFLINE!")</f>
        <v>SKLADEM</v>
      </c>
      <c r="AC488" s="778" t="str">
        <f ca="1">IF(AO488="NE",$V$10,IF(AB488=$V$3,IF(AP488&lt;1,$V$8,$V$2&amp;" "&amp;AP488&amp;" "&amp;$V$1),IF(AB488="SKLADEM",$V$6,IFERROR(IF(OR(AB488-TODAY()&gt;21,VLOOKUP(C488,[1]List1!$A:$E,4,FALSE)=0),AB488,DAY(AB488)&amp;"."&amp;MONTH(AB488)&amp;"."&amp;YEAR(AB488)&amp;" "&amp;$V$4&amp;VLOOKUP(C488,[1]List1!$A:$E,4,FALSE)&amp;" "&amp;$V$1),AB488))))</f>
        <v>AUF LAGER</v>
      </c>
      <c r="AD488" s="778" t="str">
        <f t="shared" ref="AD488" ca="1" si="217">IFERROR(IF(AU488&lt;&gt;"",AU488,AC488),AC488)</f>
        <v>AUF LAGER</v>
      </c>
      <c r="AE488" s="599"/>
      <c r="AF488" s="599"/>
      <c r="AG488" s="599"/>
      <c r="AH488" s="599"/>
      <c r="AI488" s="599"/>
      <c r="AJ488" s="599"/>
      <c r="AK488" s="599"/>
      <c r="AL488" s="599"/>
      <c r="AM488" s="599"/>
      <c r="AN488" s="566"/>
      <c r="AO488" s="567" t="str">
        <f t="shared" si="210"/>
        <v/>
      </c>
      <c r="AP488" s="568" t="str">
        <f>IF(AB488=$V$3,IF(VLOOKUP(C488,[1]List1!$A:$E,5,FALSE)=0,1,VLOOKUP(C488,[1]List1!$A:$E,5,FALSE)),"")</f>
        <v/>
      </c>
      <c r="AQ488" s="292" t="str">
        <f t="shared" si="211"/>
        <v/>
      </c>
      <c r="AR488" s="618" t="str">
        <f t="shared" si="212"/>
        <v/>
      </c>
      <c r="AS488" s="292" t="str">
        <f t="shared" si="213"/>
        <v/>
      </c>
      <c r="AT488" s="377" t="e">
        <f t="shared" si="214"/>
        <v>#N/A</v>
      </c>
      <c r="AU488" s="292" t="e">
        <f t="shared" si="215"/>
        <v>#N/A</v>
      </c>
    </row>
    <row r="489" spans="1:47" ht="15" customHeight="1">
      <c r="A489" s="601" t="str">
        <f>Kat.!B487</f>
        <v/>
      </c>
      <c r="B489" s="601">
        <f t="shared" si="199"/>
        <v>1</v>
      </c>
      <c r="C489" s="783" t="s">
        <v>2108</v>
      </c>
      <c r="D489" s="783"/>
      <c r="E489" s="764"/>
      <c r="F489" s="761"/>
      <c r="G489" s="762"/>
      <c r="H489" s="596"/>
      <c r="I489" s="763"/>
      <c r="J489" s="764"/>
      <c r="K489" s="781"/>
      <c r="L489" s="769"/>
      <c r="M489" s="764"/>
      <c r="N489" s="784"/>
      <c r="O489" s="784"/>
      <c r="P489" s="763"/>
      <c r="Q489" s="764"/>
      <c r="R489" s="764"/>
      <c r="S489" s="764"/>
      <c r="T489" s="764"/>
      <c r="U489" s="768"/>
      <c r="V489" s="768"/>
      <c r="W489" s="769"/>
      <c r="X489" s="769"/>
      <c r="Y489" s="770">
        <f>IF(OR(AP489&lt;AA489,AND(NOT(OR(LEFT(AB489,3)="SKL",LEFT(AB489,3)=LEFT($V$2,3))),AA489&gt;0),AND('Deutsche Markt'!$AH$1=FALSE,J489="F4",AA489&gt;0)),"",AA489)</f>
        <v>0</v>
      </c>
      <c r="Z489" s="769"/>
      <c r="AA489" s="771">
        <f>'Deutsche Markt'!AA489</f>
        <v>0</v>
      </c>
      <c r="AB489" s="772"/>
      <c r="AC489" s="785"/>
      <c r="AD489" s="785"/>
      <c r="AE489" s="605"/>
      <c r="AF489" s="605"/>
      <c r="AG489" s="615"/>
      <c r="AH489" s="616"/>
      <c r="AI489" s="615"/>
      <c r="AJ489" s="617"/>
      <c r="AK489" s="617"/>
      <c r="AL489" s="617"/>
      <c r="AM489" s="617"/>
      <c r="AN489" s="292"/>
      <c r="AO489" s="567" t="str">
        <f t="shared" si="210"/>
        <v/>
      </c>
      <c r="AP489" s="568" t="str">
        <f>IF(AB489=$V$3,IF(VLOOKUP(C489,[1]List1!$A:$E,5,FALSE)=0,1,VLOOKUP(C489,[1]List1!$A:$E,5,FALSE)),"")</f>
        <v/>
      </c>
      <c r="AQ489" s="292" t="str">
        <f t="shared" si="211"/>
        <v/>
      </c>
      <c r="AR489" s="618" t="str">
        <f t="shared" si="212"/>
        <v/>
      </c>
      <c r="AS489" s="292" t="str">
        <f t="shared" si="213"/>
        <v/>
      </c>
      <c r="AT489" s="377" t="e">
        <f t="shared" si="214"/>
        <v>#N/A</v>
      </c>
      <c r="AU489" s="292" t="e">
        <f t="shared" si="215"/>
        <v>#N/A</v>
      </c>
    </row>
    <row r="490" spans="1:47" ht="15" customHeight="1">
      <c r="A490" s="601" t="str">
        <f>Kat.!$B$1&amp;Kat.!B488</f>
        <v/>
      </c>
      <c r="B490" s="601">
        <f t="shared" si="199"/>
        <v>0</v>
      </c>
      <c r="C490" s="163"/>
      <c r="D490" s="235"/>
      <c r="E490" s="604"/>
      <c r="F490" s="605"/>
      <c r="G490" s="606"/>
      <c r="H490" s="607"/>
      <c r="I490" s="636"/>
      <c r="J490" s="609"/>
      <c r="K490" s="708"/>
      <c r="L490" s="623"/>
      <c r="M490" s="609"/>
      <c r="N490" s="612"/>
      <c r="O490" s="608"/>
      <c r="P490" s="608"/>
      <c r="Q490" s="609"/>
      <c r="R490" s="609"/>
      <c r="S490" s="609"/>
      <c r="T490" s="609"/>
      <c r="U490" s="613"/>
      <c r="V490" s="613"/>
      <c r="W490" s="601" t="str">
        <f>IFERROR(VLOOKUP('General price list'!$C490,Popisy!A:P,MATCH($W$17,Popisy!$A$7:$P$7,0),FALSE),"---------------")</f>
        <v>---------------</v>
      </c>
      <c r="X490" s="601" t="str">
        <f t="shared" ref="X490:X493" si="218">IF(AA490&lt;0.0001,"",AA490)</f>
        <v/>
      </c>
      <c r="Y490" s="770">
        <f>IF(OR(AP490&lt;AA490,AND(NOT(OR(LEFT(AB490,3)="SKL",LEFT(AB490,3)=LEFT($V$2,3))),AA490&gt;0),AND('Deutsche Markt'!$AH$1=FALSE,J490="F4",AA490&gt;0)),"",AA490)</f>
        <v>0</v>
      </c>
      <c r="Z490" s="601"/>
      <c r="AA490" s="771">
        <f>'Deutsche Markt'!AA490</f>
        <v>0</v>
      </c>
      <c r="AB490" s="614" t="str">
        <f>IFERROR(IF(VLOOKUP(C490,[1]List1!$A:$D,2,FALSE)="VYPRODÁNO",$V$9,IF(VLOOKUP(C490,[1]List1!$A:$D,2,FALSE)="DOCHÁZÍ",$V$3,VLOOKUP(C490,[1]List1!$A:$D,2,FALSE))),"OFFLINE!")</f>
        <v>OFFLINE!</v>
      </c>
      <c r="AC490" s="614" t="str">
        <f ca="1">IF(AO490="NE",$V$10,IF(AB490=$V$3,IF(AP490&lt;1,$V$8,$V$2&amp;" "&amp;AP490&amp;" "&amp;$V$1),IF(AB490="SKLADEM",$V$6,IFERROR(IF(OR(AB490-TODAY()&gt;21,VLOOKUP(C490,[1]List1!$A:$E,4,FALSE)=0),AB490,DAY(AB490)&amp;"."&amp;MONTH(AB490)&amp;"."&amp;YEAR(AB490)&amp;" "&amp;$V$4&amp;VLOOKUP(C490,[1]List1!$A:$E,4,FALSE)&amp;" "&amp;$V$1),AB490))))</f>
        <v>OFFLINE!</v>
      </c>
      <c r="AD490" s="614" t="str">
        <f t="shared" ref="AD490:AD493" ca="1" si="219">IFERROR(IF(AU490&lt;&gt;"",AU490,AC490),AC490)</f>
        <v>OFFLINE!</v>
      </c>
      <c r="AE490" s="605"/>
      <c r="AF490" s="605"/>
      <c r="AG490" s="615"/>
      <c r="AH490" s="616"/>
      <c r="AI490" s="615"/>
      <c r="AJ490" s="617"/>
      <c r="AK490" s="617"/>
      <c r="AL490" s="617"/>
      <c r="AM490" s="617"/>
      <c r="AO490" s="567" t="str">
        <f t="shared" si="210"/>
        <v/>
      </c>
      <c r="AP490" s="568" t="str">
        <f>IF(AB490=$V$3,IF(VLOOKUP(C490,[1]List1!$A:$E,5,FALSE)=0,1,VLOOKUP(C490,[1]List1!$A:$E,5,FALSE)),"")</f>
        <v/>
      </c>
      <c r="AQ490" s="292" t="str">
        <f t="shared" si="211"/>
        <v/>
      </c>
      <c r="AR490" s="618" t="str">
        <f t="shared" si="212"/>
        <v/>
      </c>
      <c r="AS490" s="292" t="str">
        <f t="shared" si="213"/>
        <v/>
      </c>
      <c r="AT490" s="377" t="e">
        <f t="shared" si="214"/>
        <v>#N/A</v>
      </c>
      <c r="AU490" s="292" t="e">
        <f t="shared" si="215"/>
        <v>#N/A</v>
      </c>
    </row>
    <row r="491" spans="1:47" ht="15" customHeight="1">
      <c r="A491" s="601" t="str">
        <f>Kat.!B489</f>
        <v/>
      </c>
      <c r="B491" s="601">
        <f t="shared" si="199"/>
        <v>1</v>
      </c>
      <c r="C491" s="783" t="s">
        <v>2125</v>
      </c>
      <c r="D491" s="776"/>
      <c r="E491" s="760"/>
      <c r="F491" s="761"/>
      <c r="G491" s="762"/>
      <c r="H491" s="596"/>
      <c r="I491" s="763"/>
      <c r="J491" s="764"/>
      <c r="K491" s="781"/>
      <c r="L491" s="766"/>
      <c r="M491" s="764"/>
      <c r="N491" s="777"/>
      <c r="O491" s="763"/>
      <c r="P491" s="763"/>
      <c r="Q491" s="764"/>
      <c r="R491" s="764"/>
      <c r="S491" s="764"/>
      <c r="T491" s="764"/>
      <c r="U491" s="768"/>
      <c r="V491" s="768"/>
      <c r="W491" s="769" t="str">
        <f>IFERROR(VLOOKUP('General price list'!$C491,Popisy!A:P,MATCH($W$17,Popisy!$A$7:$P$7,0),FALSE),"---------------")</f>
        <v>Produktmodell - ohne Sprengstoff</v>
      </c>
      <c r="X491" s="769" t="str">
        <f t="shared" si="218"/>
        <v/>
      </c>
      <c r="Y491" s="770">
        <f>IF(OR(AP491&lt;AA491,AND(NOT(OR(LEFT(AB491,3)="SKL",LEFT(AB491,3)=LEFT($V$2,3))),AA491&gt;0),AND('Deutsche Markt'!$AH$1=FALSE,J491="F4",AA491&gt;0)),"",AA491)</f>
        <v>0</v>
      </c>
      <c r="Z491" s="769"/>
      <c r="AA491" s="771">
        <f>'Deutsche Markt'!AA491</f>
        <v>0</v>
      </c>
      <c r="AB491" s="772" t="str">
        <f>IFERROR(IF(VLOOKUP(C491,[1]List1!$A:$D,2,FALSE)="VYPRODÁNO",$V$9,IF(VLOOKUP(C491,[1]List1!$A:$D,2,FALSE)="DOCHÁZÍ",$V$3,VLOOKUP(C491,[1]List1!$A:$D,2,FALSE))),"OFFLINE!")</f>
        <v>SKLADEM</v>
      </c>
      <c r="AC491" s="772" t="str">
        <f ca="1">IF(AO491="NE",$V$10,IF(AB491=$V$3,IF(AP491&lt;1,$V$8,$V$2&amp;" "&amp;AP491&amp;" "&amp;$V$1),IF(AB491="SKLADEM",$V$6,IFERROR(IF(OR(AB491-TODAY()&gt;21,VLOOKUP(C491,[1]List1!$A:$E,4,FALSE)=0),AB491,DAY(AB491)&amp;"."&amp;MONTH(AB491)&amp;"."&amp;YEAR(AB491)&amp;" "&amp;$V$4&amp;VLOOKUP(C491,[1]List1!$A:$E,4,FALSE)&amp;" "&amp;$V$1),AB491))))</f>
        <v>AUF LAGER</v>
      </c>
      <c r="AD491" s="772" t="str">
        <f t="shared" ca="1" si="219"/>
        <v>AUF LAGER</v>
      </c>
      <c r="AE491" s="605"/>
      <c r="AF491" s="605"/>
      <c r="AG491" s="615"/>
      <c r="AH491" s="616"/>
      <c r="AI491" s="615"/>
      <c r="AJ491" s="617"/>
      <c r="AK491" s="617"/>
      <c r="AL491" s="617"/>
      <c r="AM491" s="617"/>
      <c r="AO491" s="567" t="str">
        <f t="shared" si="210"/>
        <v/>
      </c>
      <c r="AP491" s="568" t="str">
        <f>IF(AB491=$V$3,IF(VLOOKUP(C491,[1]List1!$A:$E,5,FALSE)=0,1,VLOOKUP(C491,[1]List1!$A:$E,5,FALSE)),"")</f>
        <v/>
      </c>
      <c r="AQ491" s="292" t="str">
        <f t="shared" si="211"/>
        <v/>
      </c>
      <c r="AR491" s="618" t="str">
        <f t="shared" si="212"/>
        <v/>
      </c>
      <c r="AS491" s="292" t="str">
        <f t="shared" si="213"/>
        <v/>
      </c>
      <c r="AT491" s="377" t="e">
        <f t="shared" si="214"/>
        <v>#N/A</v>
      </c>
      <c r="AU491" s="292" t="e">
        <f t="shared" si="215"/>
        <v>#N/A</v>
      </c>
    </row>
    <row r="492" spans="1:47" ht="15" customHeight="1">
      <c r="A492" s="601" t="str">
        <f>Kat.!B490</f>
        <v>Interieur Fontänen</v>
      </c>
      <c r="B492" s="601">
        <f t="shared" si="199"/>
        <v>0</v>
      </c>
      <c r="C492" s="783"/>
      <c r="D492" s="783"/>
      <c r="E492" s="764"/>
      <c r="F492" s="761"/>
      <c r="G492" s="762"/>
      <c r="H492" s="595"/>
      <c r="I492" s="764"/>
      <c r="J492" s="764"/>
      <c r="K492" s="774"/>
      <c r="L492" s="764"/>
      <c r="M492" s="764"/>
      <c r="N492" s="764"/>
      <c r="O492" s="764"/>
      <c r="P492" s="764"/>
      <c r="Q492" s="764"/>
      <c r="R492" s="764"/>
      <c r="S492" s="764"/>
      <c r="T492" s="764"/>
      <c r="U492" s="764"/>
      <c r="V492" s="764"/>
      <c r="W492" s="764" t="str">
        <f>IFERROR(VLOOKUP('General price list'!$C492,Popisy!A:P,MATCH($W$17,Popisy!$A$7:$P$7,0),FALSE),"---------------")</f>
        <v>---------------</v>
      </c>
      <c r="X492" s="764" t="str">
        <f t="shared" si="218"/>
        <v/>
      </c>
      <c r="Y492" s="770">
        <f>IF(OR(AP492&lt;AA492,AND(NOT(OR(LEFT(AB492,3)="SKL",LEFT(AB492,3)=LEFT($V$2,3))),AA492&gt;0),AND('Deutsche Markt'!$AH$1=FALSE,J492="F4",AA492&gt;0)),"",AA492)</f>
        <v>0</v>
      </c>
      <c r="Z492" s="764"/>
      <c r="AA492" s="771">
        <f>'Deutsche Markt'!AA492</f>
        <v>0</v>
      </c>
      <c r="AB492" s="772" t="str">
        <f>IFERROR(IF(VLOOKUP(C492,[1]List1!$A:$D,2,FALSE)="VYPRODÁNO",$V$9,IF(VLOOKUP(C492,[1]List1!$A:$D,2,FALSE)="DOCHÁZÍ",$V$3,VLOOKUP(C492,[1]List1!$A:$D,2,FALSE))),"OFFLINE!")</f>
        <v>OFFLINE!</v>
      </c>
      <c r="AC492" s="785" t="str">
        <f ca="1">IF(AO492="NE",$V$10,IF(AB492=$V$3,IF(AP492&lt;1,$V$8,$V$2&amp;" "&amp;AP492&amp;" "&amp;$V$1),IF(AB492="SKLADEM",$V$6,IFERROR(IF(OR(AB492-TODAY()&gt;21,VLOOKUP(C492,[1]List1!$A:$E,4,FALSE)=0),AB492,DAY(AB492)&amp;"."&amp;MONTH(AB492)&amp;"."&amp;YEAR(AB492)&amp;" "&amp;$V$4&amp;VLOOKUP(C492,[1]List1!$A:$E,4,FALSE)&amp;" "&amp;$V$1),AB492))))</f>
        <v>OFFLINE!</v>
      </c>
      <c r="AD492" s="785" t="str">
        <f t="shared" ca="1" si="219"/>
        <v>OFFLINE!</v>
      </c>
      <c r="AE492" s="609"/>
      <c r="AF492" s="609"/>
      <c r="AG492" s="627"/>
      <c r="AH492" s="609"/>
      <c r="AI492" s="627"/>
      <c r="AJ492" s="609"/>
      <c r="AK492" s="609"/>
      <c r="AL492" s="609"/>
      <c r="AM492" s="627"/>
      <c r="AO492" s="567" t="str">
        <f t="shared" si="210"/>
        <v/>
      </c>
      <c r="AP492" s="292" t="str">
        <f>IF(AB492=$V$3,IF(VLOOKUP(C492,[1]List1!$A:$E,5,FALSE)=0,1,VLOOKUP(C492,[1]List1!$A:$E,5,FALSE)),"")</f>
        <v/>
      </c>
      <c r="AQ492" s="292" t="str">
        <f t="shared" si="211"/>
        <v/>
      </c>
      <c r="AR492" s="618" t="str">
        <f t="shared" si="212"/>
        <v/>
      </c>
      <c r="AS492" s="292" t="str">
        <f t="shared" si="213"/>
        <v/>
      </c>
      <c r="AT492" s="377" t="e">
        <f t="shared" si="214"/>
        <v>#N/A</v>
      </c>
      <c r="AU492" s="292" t="e">
        <f t="shared" si="215"/>
        <v>#N/A</v>
      </c>
    </row>
    <row r="493" spans="1:47" ht="15" customHeight="1">
      <c r="A493" s="601" t="str">
        <f>Kat.!B491</f>
        <v/>
      </c>
      <c r="B493" s="601">
        <f t="shared" si="199"/>
        <v>1</v>
      </c>
      <c r="C493" s="783" t="s">
        <v>2434</v>
      </c>
      <c r="D493" s="776"/>
      <c r="E493" s="760"/>
      <c r="F493" s="761"/>
      <c r="G493" s="762"/>
      <c r="H493" s="596"/>
      <c r="I493" s="763"/>
      <c r="J493" s="764"/>
      <c r="K493" s="781"/>
      <c r="L493" s="766"/>
      <c r="M493" s="764"/>
      <c r="N493" s="777"/>
      <c r="O493" s="763"/>
      <c r="P493" s="763"/>
      <c r="Q493" s="764"/>
      <c r="R493" s="764"/>
      <c r="S493" s="764"/>
      <c r="T493" s="764"/>
      <c r="U493" s="768"/>
      <c r="V493" s="768"/>
      <c r="W493" s="769" t="str">
        <f>IFERROR(VLOOKUP('General price list'!$C493,Popisy!A:P,MATCH($W$17,Popisy!$A$7:$P$7,0),FALSE),"---------------")</f>
        <v>Produktmodell - ohne Sprengstoff</v>
      </c>
      <c r="X493" s="769" t="str">
        <f t="shared" si="218"/>
        <v/>
      </c>
      <c r="Y493" s="770">
        <f>IF(OR(AP493&lt;AA493,AND(NOT(OR(LEFT(AB493,3)="SKL",LEFT(AB493,3)=LEFT($V$2,3))),AA493&gt;0),AND('Deutsche Markt'!$AH$1=FALSE,J493="F4",AA493&gt;0)),"",AA493)</f>
        <v>0</v>
      </c>
      <c r="Z493" s="769"/>
      <c r="AA493" s="771">
        <f>'Deutsche Markt'!AA493</f>
        <v>0</v>
      </c>
      <c r="AB493" s="772" t="str">
        <f>IFERROR(IF(VLOOKUP(C493,[1]List1!$A:$D,2,FALSE)="VYPRODÁNO",$V$9,IF(VLOOKUP(C493,[1]List1!$A:$D,2,FALSE)="DOCHÁZÍ",$V$3,VLOOKUP(C493,[1]List1!$A:$D,2,FALSE))),"OFFLINE!")</f>
        <v>SKLADEM</v>
      </c>
      <c r="AC493" s="772" t="str">
        <f ca="1">IF(AO493="NE",$V$10,IF(AB493=$V$3,IF(AP493&lt;1,$V$8,$V$2&amp;" "&amp;AP493&amp;" "&amp;$V$1),IF(AB493="SKLADEM",$V$6,IFERROR(IF(OR(AB493-TODAY()&gt;21,VLOOKUP(C493,[1]List1!$A:$E,4,FALSE)=0),AB493,DAY(AB493)&amp;"."&amp;MONTH(AB493)&amp;"."&amp;YEAR(AB493)&amp;" "&amp;$V$4&amp;VLOOKUP(C493,[1]List1!$A:$E,4,FALSE)&amp;" "&amp;$V$1),AB493))))</f>
        <v>AUF LAGER</v>
      </c>
      <c r="AD493" s="772" t="str">
        <f t="shared" ca="1" si="219"/>
        <v>AUF LAGER</v>
      </c>
      <c r="AE493" s="605"/>
      <c r="AF493" s="605"/>
      <c r="AG493" s="615"/>
      <c r="AH493" s="616"/>
      <c r="AI493" s="615"/>
      <c r="AJ493" s="617"/>
      <c r="AK493" s="617"/>
      <c r="AL493" s="617"/>
      <c r="AM493" s="617"/>
      <c r="AN493" s="292"/>
      <c r="AO493" s="567" t="str">
        <f t="shared" si="210"/>
        <v/>
      </c>
      <c r="AP493" s="568" t="str">
        <f>IF(AB493=$V$3,IF(VLOOKUP(C493,[1]List1!$A:$E,5,FALSE)=0,1,VLOOKUP(C493,[1]List1!$A:$E,5,FALSE)),"")</f>
        <v/>
      </c>
      <c r="AQ493" s="292" t="str">
        <f t="shared" si="211"/>
        <v/>
      </c>
      <c r="AR493" s="618" t="str">
        <f t="shared" si="212"/>
        <v/>
      </c>
      <c r="AS493" s="292" t="str">
        <f t="shared" si="213"/>
        <v/>
      </c>
      <c r="AT493" s="377" t="e">
        <f t="shared" si="214"/>
        <v>#N/A</v>
      </c>
      <c r="AU493" s="292" t="e">
        <f t="shared" si="215"/>
        <v>#N/A</v>
      </c>
    </row>
    <row r="494" spans="1:47" ht="15" customHeight="1">
      <c r="A494" s="599" t="str">
        <f>Kat.!$B$1&amp;Kat.!B492</f>
        <v>Raketensets 1.3G</v>
      </c>
      <c r="B494" s="601">
        <f t="shared" si="199"/>
        <v>0</v>
      </c>
      <c r="C494" s="599"/>
      <c r="D494" s="599"/>
      <c r="E494" s="599"/>
      <c r="F494" s="600"/>
      <c r="G494" s="599"/>
      <c r="H494" s="599"/>
      <c r="I494" s="599"/>
      <c r="J494" s="599"/>
      <c r="K494" s="708"/>
      <c r="L494" s="599"/>
      <c r="M494" s="599"/>
      <c r="N494" s="599"/>
      <c r="O494" s="599"/>
      <c r="P494" s="599"/>
      <c r="Q494" s="599"/>
      <c r="R494" s="599"/>
      <c r="S494" s="599"/>
      <c r="T494" s="599"/>
      <c r="U494" s="599"/>
      <c r="V494" s="599"/>
      <c r="W494" s="599"/>
      <c r="X494" s="599"/>
      <c r="Y494" s="770">
        <f>IF(OR(AP494&lt;AA494,AND(NOT(OR(LEFT(AB494,3)="SKL",LEFT(AB494,3)=LEFT($V$2,3))),AA494&gt;0),AND('Deutsche Markt'!$AH$1=FALSE,J494="F4",AA494&gt;0)),"",AA494)</f>
        <v>0</v>
      </c>
      <c r="Z494" s="599"/>
      <c r="AA494" s="771">
        <f>'Deutsche Markt'!AA494</f>
        <v>0</v>
      </c>
      <c r="AB494" s="599"/>
      <c r="AC494" s="599">
        <f ca="1">IF(AO494="NE",$V$10,IF(AB494=$V$3,IF(AP494&lt;1,$V$8,$V$2&amp;" "&amp;AP494&amp;" "&amp;$V$1),IF(AB494="SKLADEM",$V$6,IFERROR(IF(OR(AB494-TODAY()&gt;21,VLOOKUP(C494,[1]List1!$A:$E,4,FALSE)=0),AB494,DAY(AB494)&amp;"."&amp;MONTH(AB494)&amp;"."&amp;YEAR(AB494)&amp;" "&amp;$V$4&amp;VLOOKUP(C494,[1]List1!$A:$E,4,FALSE)&amp;" "&amp;$V$1),AB494))))</f>
        <v>0</v>
      </c>
      <c r="AD494" s="599"/>
      <c r="AE494" s="599"/>
      <c r="AF494" s="599"/>
      <c r="AG494" s="599"/>
      <c r="AH494" s="599"/>
      <c r="AI494" s="599"/>
      <c r="AJ494" s="599"/>
      <c r="AK494" s="599"/>
      <c r="AL494" s="599"/>
      <c r="AM494" s="599"/>
      <c r="AN494" s="566"/>
      <c r="AO494" s="567" t="str">
        <f t="shared" si="210"/>
        <v/>
      </c>
      <c r="AP494" s="568" t="str">
        <f>IF(AB494=$V$3,IF(VLOOKUP(C494,[1]List1!$A:$E,5,FALSE)=0,1,VLOOKUP(C494,[1]List1!$A:$E,5,FALSE)),"")</f>
        <v/>
      </c>
      <c r="AQ494" s="292" t="str">
        <f t="shared" si="211"/>
        <v/>
      </c>
      <c r="AR494" s="618" t="str">
        <f t="shared" si="212"/>
        <v/>
      </c>
      <c r="AS494" s="292" t="str">
        <f t="shared" si="213"/>
        <v/>
      </c>
      <c r="AT494" s="377" t="e">
        <f t="shared" si="214"/>
        <v>#N/A</v>
      </c>
      <c r="AU494" s="292" t="e">
        <f t="shared" si="215"/>
        <v>#N/A</v>
      </c>
    </row>
    <row r="495" spans="1:47" ht="15" customHeight="1">
      <c r="A495" s="601" t="str">
        <f>Kat.!B493</f>
        <v/>
      </c>
      <c r="B495" s="601">
        <f t="shared" si="199"/>
        <v>1</v>
      </c>
      <c r="C495" s="783" t="s">
        <v>2847</v>
      </c>
      <c r="D495" s="776"/>
      <c r="E495" s="760"/>
      <c r="F495" s="761"/>
      <c r="G495" s="762"/>
      <c r="H495" s="596"/>
      <c r="I495" s="763"/>
      <c r="J495" s="764"/>
      <c r="K495" s="781"/>
      <c r="L495" s="766"/>
      <c r="M495" s="764"/>
      <c r="N495" s="777"/>
      <c r="O495" s="763"/>
      <c r="P495" s="763"/>
      <c r="Q495" s="764"/>
      <c r="R495" s="764"/>
      <c r="S495" s="764"/>
      <c r="T495" s="764"/>
      <c r="U495" s="768"/>
      <c r="V495" s="768"/>
      <c r="W495" s="769" t="str">
        <f>IFERROR(VLOOKUP('General price list'!$C495,Popisy!A:P,MATCH($W$17,Popisy!$A$7:$P$7,0),FALSE),"---------------")</f>
        <v>Produktmodell - ohne Sprengstoff</v>
      </c>
      <c r="X495" s="769" t="str">
        <f t="shared" ref="X495:X496" si="220">IF(AA495&lt;0.0001,"",AA495)</f>
        <v/>
      </c>
      <c r="Y495" s="770">
        <f>IF(OR(AP495&lt;AA495,AND(NOT(OR(LEFT(AB495,3)="SKL",LEFT(AB495,3)=LEFT($V$2,3))),AA495&gt;0),AND('Deutsche Markt'!$AH$1=FALSE,J495="F4",AA495&gt;0)),"",AA495)</f>
        <v>0</v>
      </c>
      <c r="Z495" s="769"/>
      <c r="AA495" s="771">
        <f>'Deutsche Markt'!AA495</f>
        <v>0</v>
      </c>
      <c r="AB495" s="772" t="str">
        <f>IFERROR(IF(VLOOKUP(C495,[1]List1!$A:$D,2,FALSE)="VYPRODÁNO",$V$9,IF(VLOOKUP(C495,[1]List1!$A:$D,2,FALSE)="DOCHÁZÍ",$V$3,VLOOKUP(C495,[1]List1!$A:$D,2,FALSE))),"OFFLINE!")</f>
        <v>SKLADEM</v>
      </c>
      <c r="AC495" s="772" t="str">
        <f ca="1">IF(AO495="NE",$V$10,IF(AB495=$V$3,IF(AP495&lt;1,$V$8,$V$2&amp;" "&amp;AP495&amp;" "&amp;$V$1),IF(AB495="SKLADEM",$V$6,IFERROR(IF(OR(AB495-TODAY()&gt;21,VLOOKUP(C495,[1]List1!$A:$E,4,FALSE)=0),AB495,DAY(AB495)&amp;"."&amp;MONTH(AB495)&amp;"."&amp;YEAR(AB495)&amp;" "&amp;$V$4&amp;VLOOKUP(C495,[1]List1!$A:$E,4,FALSE)&amp;" "&amp;$V$1),AB495))))</f>
        <v>AUF LAGER</v>
      </c>
      <c r="AD495" s="772" t="str">
        <f t="shared" ref="AD495:AD496" ca="1" si="221">IFERROR(IF(AU495&lt;&gt;"",AU495,AC495),AC495)</f>
        <v>AUF LAGER</v>
      </c>
      <c r="AE495" s="605"/>
      <c r="AF495" s="605"/>
      <c r="AG495" s="615"/>
      <c r="AH495" s="616"/>
      <c r="AI495" s="615"/>
      <c r="AJ495" s="617"/>
      <c r="AK495" s="617"/>
      <c r="AL495" s="617"/>
      <c r="AM495" s="617"/>
      <c r="AN495" s="292"/>
      <c r="AO495" s="567" t="str">
        <f t="shared" si="210"/>
        <v/>
      </c>
      <c r="AP495" s="568" t="str">
        <f>IF(AB495=$V$3,IF(VLOOKUP(C495,[1]List1!$A:$E,5,FALSE)=0,1,VLOOKUP(C495,[1]List1!$A:$E,5,FALSE)),"")</f>
        <v/>
      </c>
      <c r="AQ495" s="292" t="str">
        <f t="shared" si="211"/>
        <v/>
      </c>
      <c r="AR495" s="618" t="str">
        <f t="shared" si="212"/>
        <v/>
      </c>
      <c r="AS495" s="292" t="str">
        <f t="shared" si="213"/>
        <v/>
      </c>
      <c r="AT495" s="377" t="e">
        <f t="shared" si="214"/>
        <v>#N/A</v>
      </c>
      <c r="AU495" s="292" t="e">
        <f t="shared" si="215"/>
        <v>#N/A</v>
      </c>
    </row>
    <row r="496" spans="1:47" ht="15" customHeight="1">
      <c r="A496" s="601" t="str">
        <f>Kat.!B494</f>
        <v>Batterien 25 schuss, 20mm Mörser-1.3G</v>
      </c>
      <c r="B496" s="601">
        <f t="shared" si="199"/>
        <v>1</v>
      </c>
      <c r="C496" s="783" t="s">
        <v>2128</v>
      </c>
      <c r="D496" s="783"/>
      <c r="E496" s="764"/>
      <c r="F496" s="761"/>
      <c r="G496" s="762"/>
      <c r="H496" s="595"/>
      <c r="I496" s="764"/>
      <c r="J496" s="764"/>
      <c r="K496" s="774"/>
      <c r="L496" s="764"/>
      <c r="M496" s="764"/>
      <c r="N496" s="764"/>
      <c r="O496" s="764"/>
      <c r="P496" s="764"/>
      <c r="Q496" s="764"/>
      <c r="R496" s="764"/>
      <c r="S496" s="764"/>
      <c r="T496" s="764"/>
      <c r="U496" s="764"/>
      <c r="V496" s="764"/>
      <c r="W496" s="764" t="str">
        <f>IFERROR(VLOOKUP('General price list'!$C496,Popisy!A:P,MATCH($W$17,Popisy!$A$7:$P$7,0),FALSE),"---------------")</f>
        <v>Produktmodell - ohne Sprengstoff</v>
      </c>
      <c r="X496" s="764" t="str">
        <f t="shared" si="220"/>
        <v/>
      </c>
      <c r="Y496" s="770">
        <f>IF(OR(AP496&lt;AA496,AND(NOT(OR(LEFT(AB496,3)="SKL",LEFT(AB496,3)=LEFT($V$2,3))),AA496&gt;0),AND('Deutsche Markt'!$AH$1=FALSE,J496="F4",AA496&gt;0)),"",AA496)</f>
        <v>0</v>
      </c>
      <c r="Z496" s="764"/>
      <c r="AA496" s="771">
        <f>'Deutsche Markt'!AA496</f>
        <v>0</v>
      </c>
      <c r="AB496" s="772" t="str">
        <f>IFERROR(IF(VLOOKUP(C496,[1]List1!$A:$D,2,FALSE)="VYPRODÁNO",$V$9,IF(VLOOKUP(C496,[1]List1!$A:$D,2,FALSE)="DOCHÁZÍ",$V$3,VLOOKUP(C496,[1]List1!$A:$D,2,FALSE))),"OFFLINE!")</f>
        <v>SKLADEM</v>
      </c>
      <c r="AC496" s="785" t="str">
        <f ca="1">IF(AO496="NE",$V$10,IF(AB496=$V$3,IF(AP496&lt;1,$V$8,$V$2&amp;" "&amp;AP496&amp;" "&amp;$V$1),IF(AB496="SKLADEM",$V$6,IFERROR(IF(OR(AB496-TODAY()&gt;21,VLOOKUP(C496,[1]List1!$A:$E,4,FALSE)=0),AB496,DAY(AB496)&amp;"."&amp;MONTH(AB496)&amp;"."&amp;YEAR(AB496)&amp;" "&amp;$V$4&amp;VLOOKUP(C496,[1]List1!$A:$E,4,FALSE)&amp;" "&amp;$V$1),AB496))))</f>
        <v>AUF LAGER</v>
      </c>
      <c r="AD496" s="785" t="str">
        <f t="shared" ca="1" si="221"/>
        <v>AUF LAGER</v>
      </c>
      <c r="AE496" s="609"/>
      <c r="AF496" s="609"/>
      <c r="AG496" s="627"/>
      <c r="AH496" s="609"/>
      <c r="AI496" s="627"/>
      <c r="AJ496" s="609"/>
      <c r="AK496" s="609"/>
      <c r="AL496" s="609"/>
      <c r="AM496" s="627"/>
      <c r="AO496" s="567" t="str">
        <f t="shared" si="210"/>
        <v/>
      </c>
      <c r="AP496" s="568" t="str">
        <f>IF(AB496=$V$3,IF(VLOOKUP(C496,[1]List1!$A:$E,5,FALSE)=0,1,VLOOKUP(C496,[1]List1!$A:$E,5,FALSE)),"")</f>
        <v/>
      </c>
      <c r="AQ496" s="292" t="str">
        <f t="shared" si="211"/>
        <v/>
      </c>
      <c r="AR496" s="618" t="str">
        <f t="shared" si="212"/>
        <v/>
      </c>
      <c r="AS496" s="292" t="str">
        <f t="shared" si="213"/>
        <v/>
      </c>
      <c r="AT496" s="377" t="e">
        <f t="shared" si="214"/>
        <v>#N/A</v>
      </c>
      <c r="AU496" s="292" t="e">
        <f t="shared" si="215"/>
        <v>#N/A</v>
      </c>
    </row>
    <row r="497" spans="1:47" ht="15" customHeight="1">
      <c r="A497" s="601" t="str">
        <f>Kat.!B495</f>
        <v/>
      </c>
      <c r="B497" s="601">
        <f t="shared" si="199"/>
        <v>0</v>
      </c>
      <c r="C497" s="778"/>
      <c r="D497" s="778"/>
      <c r="E497" s="778"/>
      <c r="F497" s="779"/>
      <c r="G497" s="778"/>
      <c r="H497" s="778"/>
      <c r="I497" s="778"/>
      <c r="J497" s="778"/>
      <c r="K497" s="781"/>
      <c r="L497" s="778"/>
      <c r="M497" s="778"/>
      <c r="N497" s="778"/>
      <c r="O497" s="778"/>
      <c r="P497" s="778"/>
      <c r="Q497" s="778"/>
      <c r="R497" s="778"/>
      <c r="S497" s="778"/>
      <c r="T497" s="778"/>
      <c r="U497" s="778"/>
      <c r="V497" s="778"/>
      <c r="W497" s="778"/>
      <c r="X497" s="778"/>
      <c r="Y497" s="770">
        <f>IF(OR(AP497&lt;AA497,AND(NOT(OR(LEFT(AB497,3)="SKL",LEFT(AB497,3)=LEFT($V$2,3))),AA497&gt;0),AND('Deutsche Markt'!$AH$1=FALSE,J497="F4",AA497&gt;0)),"",AA497)</f>
        <v>0</v>
      </c>
      <c r="Z497" s="778"/>
      <c r="AA497" s="771">
        <f>'Deutsche Markt'!AA497</f>
        <v>0</v>
      </c>
      <c r="AB497" s="778"/>
      <c r="AC497" s="778"/>
      <c r="AD497" s="778"/>
      <c r="AE497" s="599"/>
      <c r="AF497" s="599"/>
      <c r="AG497" s="599"/>
      <c r="AH497" s="599"/>
      <c r="AI497" s="599"/>
      <c r="AJ497" s="599"/>
      <c r="AK497" s="599"/>
      <c r="AL497" s="599"/>
      <c r="AM497" s="599"/>
      <c r="AN497" s="566"/>
      <c r="AO497" s="567" t="str">
        <f t="shared" si="210"/>
        <v/>
      </c>
      <c r="AP497" s="568" t="str">
        <f>IF(AB497=$V$3,IF(VLOOKUP(C497,[1]List1!$A:$E,5,FALSE)=0,1,VLOOKUP(C497,[1]List1!$A:$E,5,FALSE)),"")</f>
        <v/>
      </c>
      <c r="AQ497" s="292" t="str">
        <f t="shared" si="211"/>
        <v/>
      </c>
      <c r="AR497" s="618" t="str">
        <f t="shared" si="212"/>
        <v/>
      </c>
      <c r="AS497" s="292" t="str">
        <f t="shared" si="213"/>
        <v/>
      </c>
      <c r="AT497" s="377" t="e">
        <f t="shared" si="214"/>
        <v>#N/A</v>
      </c>
      <c r="AU497" s="292" t="e">
        <f t="shared" si="215"/>
        <v>#N/A</v>
      </c>
    </row>
    <row r="498" spans="1:47" ht="15" customHeight="1">
      <c r="A498" s="601" t="str">
        <f>Kat.!B496</f>
        <v/>
      </c>
      <c r="B498" s="601">
        <f t="shared" si="199"/>
        <v>1</v>
      </c>
      <c r="C498" s="783" t="s">
        <v>2131</v>
      </c>
      <c r="D498" s="783"/>
      <c r="E498" s="764"/>
      <c r="F498" s="761"/>
      <c r="G498" s="762"/>
      <c r="H498" s="595"/>
      <c r="I498" s="764"/>
      <c r="J498" s="764"/>
      <c r="K498" s="774"/>
      <c r="L498" s="764"/>
      <c r="M498" s="764"/>
      <c r="N498" s="764"/>
      <c r="O498" s="764"/>
      <c r="P498" s="764"/>
      <c r="Q498" s="764"/>
      <c r="R498" s="764"/>
      <c r="S498" s="764"/>
      <c r="T498" s="764"/>
      <c r="U498" s="764"/>
      <c r="V498" s="764"/>
      <c r="W498" s="764" t="str">
        <f>IFERROR(VLOOKUP('General price list'!$C498,Popisy!A:P,MATCH($W$17,Popisy!$A$7:$P$7,0),FALSE),"---------------")</f>
        <v>Produktmodell - ohne Sprengstoff</v>
      </c>
      <c r="X498" s="764" t="str">
        <f t="shared" ref="X498:X500" si="222">IF(AA498&lt;0.0001,"",AA498)</f>
        <v/>
      </c>
      <c r="Y498" s="770">
        <f>IF(OR(AP498&lt;AA498,AND(NOT(OR(LEFT(AB498,3)="SKL",LEFT(AB498,3)=LEFT($V$2,3))),AA498&gt;0),AND('Deutsche Markt'!$AH$1=FALSE,J498="F4",AA498&gt;0)),"",AA498)</f>
        <v>0</v>
      </c>
      <c r="Z498" s="764"/>
      <c r="AA498" s="771">
        <f>'Deutsche Markt'!AA498</f>
        <v>0</v>
      </c>
      <c r="AB498" s="772" t="str">
        <f>IFERROR(IF(VLOOKUP(C498,[1]List1!$A:$D,2,FALSE)="VYPRODÁNO",$V$9,IF(VLOOKUP(C498,[1]List1!$A:$D,2,FALSE)="DOCHÁZÍ",$V$3,VLOOKUP(C498,[1]List1!$A:$D,2,FALSE))),"OFFLINE!")</f>
        <v>SKLADEM</v>
      </c>
      <c r="AC498" s="785" t="str">
        <f ca="1">IF(AO498="NE",$V$10,IF(AB498=$V$3,IF(AP498&lt;1,$V$8,$V$2&amp;" "&amp;AP498&amp;" "&amp;$V$1),IF(AB498="SKLADEM",$V$6,IFERROR(IF(OR(AB498-TODAY()&gt;21,VLOOKUP(C498,[1]List1!$A:$E,4,FALSE)=0),AB498,DAY(AB498)&amp;"."&amp;MONTH(AB498)&amp;"."&amp;YEAR(AB498)&amp;" "&amp;$V$4&amp;VLOOKUP(C498,[1]List1!$A:$E,4,FALSE)&amp;" "&amp;$V$1),AB498))))</f>
        <v>AUF LAGER</v>
      </c>
      <c r="AD498" s="785" t="str">
        <f t="shared" ref="AD498:AD500" ca="1" si="223">IFERROR(IF(AU498&lt;&gt;"",AU498,AC498),AC498)</f>
        <v>AUF LAGER</v>
      </c>
      <c r="AE498" s="609"/>
      <c r="AF498" s="609"/>
      <c r="AG498" s="627"/>
      <c r="AH498" s="609"/>
      <c r="AI498" s="627"/>
      <c r="AJ498" s="609"/>
      <c r="AK498" s="609"/>
      <c r="AL498" s="609"/>
      <c r="AM498" s="627"/>
      <c r="AO498" s="567" t="str">
        <f t="shared" si="210"/>
        <v/>
      </c>
      <c r="AP498" s="292" t="str">
        <f>IF(AB498=$V$3,IF(VLOOKUP(C498,[1]List1!$A:$E,5,FALSE)=0,1,VLOOKUP(C498,[1]List1!$A:$E,5,FALSE)),"")</f>
        <v/>
      </c>
      <c r="AQ498" s="292" t="str">
        <f t="shared" si="211"/>
        <v/>
      </c>
      <c r="AR498" s="618" t="str">
        <f t="shared" si="212"/>
        <v/>
      </c>
      <c r="AS498" s="292" t="str">
        <f t="shared" si="213"/>
        <v/>
      </c>
      <c r="AT498" s="377" t="e">
        <f t="shared" si="214"/>
        <v>#N/A</v>
      </c>
      <c r="AU498" s="292" t="e">
        <f t="shared" si="215"/>
        <v>#N/A</v>
      </c>
    </row>
    <row r="499" spans="1:47" ht="15" customHeight="1">
      <c r="A499" s="601" t="str">
        <f>Kat.!B497</f>
        <v>Batterien 90 schuss, 20mm Mörser-1.3G</v>
      </c>
      <c r="B499" s="601">
        <f t="shared" si="199"/>
        <v>0</v>
      </c>
      <c r="C499" s="783"/>
      <c r="D499" s="776"/>
      <c r="E499" s="760"/>
      <c r="F499" s="761"/>
      <c r="G499" s="762"/>
      <c r="H499" s="596"/>
      <c r="I499" s="763"/>
      <c r="J499" s="764"/>
      <c r="K499" s="781"/>
      <c r="L499" s="766"/>
      <c r="M499" s="764"/>
      <c r="N499" s="777"/>
      <c r="O499" s="763"/>
      <c r="P499" s="763"/>
      <c r="Q499" s="764"/>
      <c r="R499" s="764"/>
      <c r="S499" s="764"/>
      <c r="T499" s="764"/>
      <c r="U499" s="768"/>
      <c r="V499" s="768"/>
      <c r="W499" s="769" t="str">
        <f>IFERROR(VLOOKUP('General price list'!$C499,Popisy!A:P,MATCH($W$17,Popisy!$A$7:$P$7,0),FALSE),"---------------")</f>
        <v>---------------</v>
      </c>
      <c r="X499" s="769" t="str">
        <f t="shared" si="222"/>
        <v/>
      </c>
      <c r="Y499" s="770">
        <f>IF(OR(AP499&lt;AA499,AND(NOT(OR(LEFT(AB499,3)="SKL",LEFT(AB499,3)=LEFT($V$2,3))),AA499&gt;0),AND('Deutsche Markt'!$AH$1=FALSE,J499="F4",AA499&gt;0)),"",AA499)</f>
        <v>0</v>
      </c>
      <c r="Z499" s="769"/>
      <c r="AA499" s="771">
        <f>'Deutsche Markt'!AA499</f>
        <v>0</v>
      </c>
      <c r="AB499" s="772" t="str">
        <f>IFERROR(IF(VLOOKUP(C499,[1]List1!$A:$D,2,FALSE)="VYPRODÁNO",$V$9,IF(VLOOKUP(C499,[1]List1!$A:$D,2,FALSE)="DOCHÁZÍ",$V$3,VLOOKUP(C499,[1]List1!$A:$D,2,FALSE))),"OFFLINE!")</f>
        <v>OFFLINE!</v>
      </c>
      <c r="AC499" s="772" t="str">
        <f ca="1">IF(AO499="NE",$V$10,IF(AB499=$V$3,IF(AP499&lt;1,$V$8,$V$2&amp;" "&amp;AP499&amp;" "&amp;$V$1),IF(AB499="SKLADEM",$V$6,IFERROR(IF(OR(AB499-TODAY()&gt;21,VLOOKUP(C499,[1]List1!$A:$E,4,FALSE)=0),AB499,DAY(AB499)&amp;"."&amp;MONTH(AB499)&amp;"."&amp;YEAR(AB499)&amp;" "&amp;$V$4&amp;VLOOKUP(C499,[1]List1!$A:$E,4,FALSE)&amp;" "&amp;$V$1),AB499))))</f>
        <v>OFFLINE!</v>
      </c>
      <c r="AD499" s="772" t="str">
        <f t="shared" ca="1" si="223"/>
        <v>OFFLINE!</v>
      </c>
      <c r="AE499" s="605"/>
      <c r="AF499" s="605"/>
      <c r="AG499" s="615"/>
      <c r="AH499" s="616"/>
      <c r="AI499" s="615"/>
      <c r="AJ499" s="617"/>
      <c r="AK499" s="617"/>
      <c r="AL499" s="617"/>
      <c r="AM499" s="617"/>
      <c r="AN499" s="292"/>
      <c r="AO499" s="567" t="str">
        <f t="shared" si="210"/>
        <v/>
      </c>
      <c r="AP499" s="568" t="str">
        <f>IF(AB499=$V$3,IF(VLOOKUP(C499,[1]List1!$A:$E,5,FALSE)=0,1,VLOOKUP(C499,[1]List1!$A:$E,5,FALSE)),"")</f>
        <v/>
      </c>
      <c r="AQ499" s="292" t="str">
        <f t="shared" si="211"/>
        <v/>
      </c>
      <c r="AR499" s="618" t="str">
        <f t="shared" si="212"/>
        <v/>
      </c>
      <c r="AS499" s="292" t="str">
        <f t="shared" si="213"/>
        <v/>
      </c>
      <c r="AT499" s="377" t="e">
        <f t="shared" si="214"/>
        <v>#N/A</v>
      </c>
      <c r="AU499" s="292" t="e">
        <f t="shared" si="215"/>
        <v>#N/A</v>
      </c>
    </row>
    <row r="500" spans="1:47" ht="15" customHeight="1">
      <c r="A500" s="601" t="str">
        <f>Kat.!B498</f>
        <v/>
      </c>
      <c r="B500" s="601">
        <f t="shared" si="199"/>
        <v>1</v>
      </c>
      <c r="C500" s="783" t="s">
        <v>13235</v>
      </c>
      <c r="D500" s="783"/>
      <c r="E500" s="764"/>
      <c r="F500" s="761"/>
      <c r="G500" s="762"/>
      <c r="H500" s="595"/>
      <c r="I500" s="764"/>
      <c r="J500" s="764"/>
      <c r="K500" s="774"/>
      <c r="L500" s="764"/>
      <c r="M500" s="764"/>
      <c r="N500" s="764"/>
      <c r="O500" s="764"/>
      <c r="P500" s="764"/>
      <c r="Q500" s="764"/>
      <c r="R500" s="764"/>
      <c r="S500" s="764"/>
      <c r="T500" s="764"/>
      <c r="U500" s="764"/>
      <c r="V500" s="764"/>
      <c r="W500" s="764" t="str">
        <f>IFERROR(VLOOKUP('General price list'!$C500,Popisy!A:P,MATCH($W$17,Popisy!$A$7:$P$7,0),FALSE),"---------------")</f>
        <v>Produktmodell - ohne Sprengstoff</v>
      </c>
      <c r="X500" s="764" t="str">
        <f t="shared" si="222"/>
        <v/>
      </c>
      <c r="Y500" s="770">
        <f>IF(OR(AP500&lt;AA500,AND(NOT(OR(LEFT(AB500,3)="SKL",LEFT(AB500,3)=LEFT($V$2,3))),AA500&gt;0),AND('Deutsche Markt'!$AH$1=FALSE,J500="F4",AA500&gt;0)),"",AA500)</f>
        <v>0</v>
      </c>
      <c r="Z500" s="764"/>
      <c r="AA500" s="771">
        <f>'Deutsche Markt'!AA500</f>
        <v>0</v>
      </c>
      <c r="AB500" s="772" t="str">
        <f>IFERROR(IF(VLOOKUP(C500,[1]List1!$A:$D,2,FALSE)="VYPRODÁNO",$V$9,IF(VLOOKUP(C500,[1]List1!$A:$D,2,FALSE)="DOCHÁZÍ",$V$3,VLOOKUP(C500,[1]List1!$A:$D,2,FALSE))),"OFFLINE!")</f>
        <v>SKLADEM</v>
      </c>
      <c r="AC500" s="785" t="str">
        <f ca="1">IF(AO500="NE",$V$10,IF(AB500=$V$3,IF(AP500&lt;1,$V$8,$V$2&amp;" "&amp;AP500&amp;" "&amp;$V$1),IF(AB500="SKLADEM",$V$6,IFERROR(IF(OR(AB500-TODAY()&gt;21,VLOOKUP(C500,[1]List1!$A:$E,4,FALSE)=0),AB500,DAY(AB500)&amp;"."&amp;MONTH(AB500)&amp;"."&amp;YEAR(AB500)&amp;" "&amp;$V$4&amp;VLOOKUP(C500,[1]List1!$A:$E,4,FALSE)&amp;" "&amp;$V$1),AB500))))</f>
        <v>AUF LAGER</v>
      </c>
      <c r="AD500" s="785" t="str">
        <f t="shared" ca="1" si="223"/>
        <v>AUF LAGER</v>
      </c>
      <c r="AE500" s="609"/>
      <c r="AF500" s="609"/>
      <c r="AG500" s="627"/>
      <c r="AH500" s="609"/>
      <c r="AI500" s="627"/>
      <c r="AJ500" s="609"/>
      <c r="AK500" s="609"/>
      <c r="AL500" s="609"/>
      <c r="AM500" s="627"/>
      <c r="AO500" s="567" t="str">
        <f t="shared" si="210"/>
        <v/>
      </c>
      <c r="AP500" s="568" t="str">
        <f>IF(AB500=$V$3,IF(VLOOKUP(C500,[1]List1!$A:$E,5,FALSE)=0,1,VLOOKUP(C500,[1]List1!$A:$E,5,FALSE)),"")</f>
        <v/>
      </c>
      <c r="AQ500" s="292" t="str">
        <f t="shared" si="211"/>
        <v/>
      </c>
      <c r="AR500" s="618" t="str">
        <f t="shared" si="212"/>
        <v/>
      </c>
      <c r="AS500" s="292" t="str">
        <f t="shared" si="213"/>
        <v/>
      </c>
      <c r="AT500" s="377" t="e">
        <f t="shared" si="214"/>
        <v>#N/A</v>
      </c>
      <c r="AU500" s="292" t="e">
        <f t="shared" si="215"/>
        <v>#N/A</v>
      </c>
    </row>
    <row r="501" spans="1:47" ht="15" customHeight="1">
      <c r="A501" s="601" t="str">
        <f>Kat.!$B$1&amp;Kat.!B499</f>
        <v>Batterien 100 schuss, 20mm Mörser-1.4G</v>
      </c>
      <c r="B501" s="601">
        <f t="shared" si="199"/>
        <v>0</v>
      </c>
      <c r="C501" s="602"/>
      <c r="D501" s="235"/>
      <c r="E501" s="604"/>
      <c r="F501" s="605"/>
      <c r="G501" s="606"/>
      <c r="H501" s="607"/>
      <c r="I501" s="608"/>
      <c r="J501" s="609"/>
      <c r="K501" s="708"/>
      <c r="L501" s="611"/>
      <c r="M501" s="609"/>
      <c r="N501" s="621"/>
      <c r="O501" s="608"/>
      <c r="P501" s="608"/>
      <c r="Q501" s="609"/>
      <c r="R501" s="609"/>
      <c r="S501" s="609"/>
      <c r="T501" s="609"/>
      <c r="U501" s="613"/>
      <c r="V501" s="613"/>
      <c r="W501" s="601" t="str">
        <f>IFERROR(VLOOKUP('General price list'!$C501,Popisy!A:P,MATCH($W$17,Popisy!$A$7:$P$7,0),FALSE),"---------------")</f>
        <v>---------------</v>
      </c>
      <c r="X501" s="601" t="str">
        <f t="shared" ref="X501:X503" si="224">IF(AA501&lt;0.0001,"",AA501)</f>
        <v/>
      </c>
      <c r="Y501" s="770">
        <f>IF(OR(AP501&lt;AA501,AND(NOT(OR(LEFT(AB501,3)="SKL",LEFT(AB501,3)=LEFT($V$2,3))),AA501&gt;0),AND('Deutsche Markt'!$AH$1=FALSE,J501="F4",AA501&gt;0)),"",AA501)</f>
        <v>0</v>
      </c>
      <c r="Z501" s="601"/>
      <c r="AA501" s="771">
        <f>'Deutsche Markt'!AA501</f>
        <v>0</v>
      </c>
      <c r="AB501" s="614" t="str">
        <f>IFERROR(IF(VLOOKUP(C501,[1]List1!$A:$D,2,FALSE)="VYPRODÁNO",$V$9,IF(VLOOKUP(C501,[1]List1!$A:$D,2,FALSE)="DOCHÁZÍ",$V$3,VLOOKUP(C501,[1]List1!$A:$D,2,FALSE))),"OFFLINE!")</f>
        <v>OFFLINE!</v>
      </c>
      <c r="AC501" s="614" t="str">
        <f ca="1">IF(AO501="NE",$V$10,IF(AB501=$V$3,IF(AP501&lt;1,$V$8,$V$2&amp;" "&amp;AP501&amp;" "&amp;$V$1),IF(AB501="SKLADEM",$V$6,IFERROR(IF(OR(AB501-TODAY()&gt;21,VLOOKUP(C501,[1]List1!$A:$E,4,FALSE)=0),AB501,DAY(AB501)&amp;"."&amp;MONTH(AB501)&amp;"."&amp;YEAR(AB501)&amp;" "&amp;$V$4&amp;VLOOKUP(C501,[1]List1!$A:$E,4,FALSE)&amp;" "&amp;$V$1),AB501))))</f>
        <v>OFFLINE!</v>
      </c>
      <c r="AD501" s="614" t="str">
        <f t="shared" ref="AD501:AD503" ca="1" si="225">IFERROR(IF(AU501&lt;&gt;"",AU501,AC501),AC501)</f>
        <v>OFFLINE!</v>
      </c>
      <c r="AE501" s="605"/>
      <c r="AF501" s="605"/>
      <c r="AG501" s="615"/>
      <c r="AH501" s="616"/>
      <c r="AI501" s="615"/>
      <c r="AJ501" s="617"/>
      <c r="AK501" s="617"/>
      <c r="AL501" s="617"/>
      <c r="AM501" s="617"/>
      <c r="AN501" s="292"/>
      <c r="AO501" s="567" t="str">
        <f t="shared" si="210"/>
        <v/>
      </c>
      <c r="AP501" s="568" t="str">
        <f>IF(AB501=$V$3,IF(VLOOKUP(C501,[1]List1!$A:$E,5,FALSE)=0,1,VLOOKUP(C501,[1]List1!$A:$E,5,FALSE)),"")</f>
        <v/>
      </c>
      <c r="AQ501" s="292" t="str">
        <f t="shared" si="211"/>
        <v/>
      </c>
      <c r="AR501" s="618" t="str">
        <f t="shared" si="212"/>
        <v/>
      </c>
      <c r="AS501" s="292" t="str">
        <f t="shared" si="213"/>
        <v/>
      </c>
      <c r="AT501" s="377" t="e">
        <f t="shared" si="214"/>
        <v>#N/A</v>
      </c>
      <c r="AU501" s="292" t="e">
        <f t="shared" si="215"/>
        <v>#N/A</v>
      </c>
    </row>
    <row r="502" spans="1:47" ht="15" customHeight="1">
      <c r="A502" s="601" t="str">
        <f>Kat.!B500</f>
        <v/>
      </c>
      <c r="B502" s="601">
        <f t="shared" si="199"/>
        <v>1</v>
      </c>
      <c r="C502" s="783" t="s">
        <v>2133</v>
      </c>
      <c r="D502" s="783"/>
      <c r="E502" s="764"/>
      <c r="F502" s="761"/>
      <c r="G502" s="762"/>
      <c r="H502" s="595"/>
      <c r="I502" s="764"/>
      <c r="J502" s="764"/>
      <c r="K502" s="765"/>
      <c r="L502" s="764"/>
      <c r="M502" s="764"/>
      <c r="N502" s="764"/>
      <c r="O502" s="764"/>
      <c r="P502" s="764"/>
      <c r="Q502" s="764"/>
      <c r="R502" s="764"/>
      <c r="S502" s="764"/>
      <c r="T502" s="764"/>
      <c r="U502" s="764"/>
      <c r="V502" s="764"/>
      <c r="W502" s="764" t="str">
        <f>IFERROR(VLOOKUP('General price list'!$C502,Popisy!A:P,MATCH($W$17,Popisy!$A$7:$P$7,0),FALSE),"---------------")</f>
        <v>Produktmodell - ohne Sprengstoff</v>
      </c>
      <c r="X502" s="764" t="str">
        <f t="shared" si="224"/>
        <v/>
      </c>
      <c r="Y502" s="770">
        <f>IF(OR(AP502&lt;AA502,AND(NOT(OR(LEFT(AB502,3)="SKL",LEFT(AB502,3)=LEFT($V$2,3))),AA502&gt;0),AND('Deutsche Markt'!$AH$1=FALSE,J502="F4",AA502&gt;0)),"",AA502)</f>
        <v>0</v>
      </c>
      <c r="Z502" s="764"/>
      <c r="AA502" s="771">
        <f>'Deutsche Markt'!AA502</f>
        <v>0</v>
      </c>
      <c r="AB502" s="772" t="str">
        <f>IFERROR(IF(VLOOKUP(C502,[1]List1!$A:$D,2,FALSE)="VYPRODÁNO",$V$9,IF(VLOOKUP(C502,[1]List1!$A:$D,2,FALSE)="DOCHÁZÍ",$V$3,VLOOKUP(C502,[1]List1!$A:$D,2,FALSE))),"OFFLINE!")</f>
        <v>SKLADEM</v>
      </c>
      <c r="AC502" s="785" t="str">
        <f ca="1">IF(AO502="NE",$V$10,IF(AB502=$V$3,IF(AP502&lt;1,$V$8,$V$2&amp;" "&amp;AP502&amp;" "&amp;$V$1),IF(AB502="SKLADEM",$V$6,IFERROR(IF(OR(AB502-TODAY()&gt;21,VLOOKUP(C502,[1]List1!$A:$E,4,FALSE)=0),AB502,DAY(AB502)&amp;"."&amp;MONTH(AB502)&amp;"."&amp;YEAR(AB502)&amp;" "&amp;$V$4&amp;VLOOKUP(C502,[1]List1!$A:$E,4,FALSE)&amp;" "&amp;$V$1),AB502))))</f>
        <v>AUF LAGER</v>
      </c>
      <c r="AD502" s="785" t="str">
        <f t="shared" ca="1" si="225"/>
        <v>AUF LAGER</v>
      </c>
      <c r="AE502" s="609"/>
      <c r="AF502" s="609"/>
      <c r="AG502" s="627"/>
      <c r="AH502" s="609"/>
      <c r="AI502" s="627"/>
      <c r="AJ502" s="609"/>
      <c r="AK502" s="609"/>
      <c r="AL502" s="609"/>
      <c r="AM502" s="627"/>
      <c r="AO502" s="567" t="str">
        <f t="shared" si="210"/>
        <v/>
      </c>
      <c r="AP502" s="292" t="str">
        <f>IF(AB502=$V$3,IF(VLOOKUP(C502,[1]List1!$A:$E,5,FALSE)=0,1,VLOOKUP(C502,[1]List1!$A:$E,5,FALSE)),"")</f>
        <v/>
      </c>
      <c r="AQ502" s="292" t="str">
        <f t="shared" si="211"/>
        <v/>
      </c>
      <c r="AR502" s="618" t="str">
        <f t="shared" si="212"/>
        <v/>
      </c>
      <c r="AS502" s="292" t="str">
        <f t="shared" si="213"/>
        <v/>
      </c>
      <c r="AT502" s="377" t="e">
        <f t="shared" si="214"/>
        <v>#N/A</v>
      </c>
      <c r="AU502" s="292" t="e">
        <f t="shared" si="215"/>
        <v>#N/A</v>
      </c>
    </row>
    <row r="503" spans="1:47" ht="15" customHeight="1">
      <c r="A503" s="601" t="str">
        <f>Kat.!B501</f>
        <v>Batterien 100 schuss, 20mm schräg Mörser-1.3G</v>
      </c>
      <c r="B503" s="601">
        <f t="shared" si="199"/>
        <v>0</v>
      </c>
      <c r="C503" s="783"/>
      <c r="D503" s="776"/>
      <c r="E503" s="760"/>
      <c r="F503" s="761"/>
      <c r="G503" s="762"/>
      <c r="H503" s="596"/>
      <c r="I503" s="763"/>
      <c r="J503" s="764"/>
      <c r="K503" s="773"/>
      <c r="L503" s="766"/>
      <c r="M503" s="764"/>
      <c r="N503" s="777"/>
      <c r="O503" s="763"/>
      <c r="P503" s="763"/>
      <c r="Q503" s="764"/>
      <c r="R503" s="764"/>
      <c r="S503" s="764"/>
      <c r="T503" s="764"/>
      <c r="U503" s="768"/>
      <c r="V503" s="768"/>
      <c r="W503" s="769" t="str">
        <f>IFERROR(VLOOKUP('General price list'!$C503,Popisy!A:P,MATCH($W$17,Popisy!$A$7:$P$7,0),FALSE),"---------------")</f>
        <v>---------------</v>
      </c>
      <c r="X503" s="769" t="str">
        <f t="shared" si="224"/>
        <v/>
      </c>
      <c r="Y503" s="770">
        <f>IF(OR(AP503&lt;AA503,AND(NOT(OR(LEFT(AB503,3)="SKL",LEFT(AB503,3)=LEFT($V$2,3))),AA503&gt;0),AND('Deutsche Markt'!$AH$1=FALSE,J503="F4",AA503&gt;0)),"",AA503)</f>
        <v>0</v>
      </c>
      <c r="Z503" s="769"/>
      <c r="AA503" s="771">
        <f>'Deutsche Markt'!AA503</f>
        <v>0</v>
      </c>
      <c r="AB503" s="772" t="str">
        <f>IFERROR(IF(VLOOKUP(C503,[1]List1!$A:$D,2,FALSE)="VYPRODÁNO",$V$9,IF(VLOOKUP(C503,[1]List1!$A:$D,2,FALSE)="DOCHÁZÍ",$V$3,VLOOKUP(C503,[1]List1!$A:$D,2,FALSE))),"OFFLINE!")</f>
        <v>OFFLINE!</v>
      </c>
      <c r="AC503" s="772" t="str">
        <f ca="1">IF(AO503="NE",$V$10,IF(AB503=$V$3,IF(AP503&lt;1,$V$8,$V$2&amp;" "&amp;AP503&amp;" "&amp;$V$1),IF(AB503="SKLADEM",$V$6,IFERROR(IF(OR(AB503-TODAY()&gt;21,VLOOKUP(C503,[1]List1!$A:$E,4,FALSE)=0),AB503,DAY(AB503)&amp;"."&amp;MONTH(AB503)&amp;"."&amp;YEAR(AB503)&amp;" "&amp;$V$4&amp;VLOOKUP(C503,[1]List1!$A:$E,4,FALSE)&amp;" "&amp;$V$1),AB503))))</f>
        <v>OFFLINE!</v>
      </c>
      <c r="AD503" s="772" t="str">
        <f t="shared" ca="1" si="225"/>
        <v>OFFLINE!</v>
      </c>
      <c r="AE503" s="605"/>
      <c r="AF503" s="605"/>
      <c r="AG503" s="615"/>
      <c r="AH503" s="616"/>
      <c r="AI503" s="615"/>
      <c r="AJ503" s="617"/>
      <c r="AK503" s="617"/>
      <c r="AL503" s="617"/>
      <c r="AM503" s="617"/>
      <c r="AN503" s="292"/>
      <c r="AO503" s="567" t="str">
        <f t="shared" si="210"/>
        <v/>
      </c>
      <c r="AP503" s="568" t="str">
        <f>IF(AB503=$V$3,IF(VLOOKUP(C503,[1]List1!$A:$E,5,FALSE)=0,1,VLOOKUP(C503,[1]List1!$A:$E,5,FALSE)),"")</f>
        <v/>
      </c>
      <c r="AQ503" s="292" t="str">
        <f t="shared" si="211"/>
        <v/>
      </c>
      <c r="AR503" s="618" t="str">
        <f t="shared" si="212"/>
        <v/>
      </c>
      <c r="AS503" s="292" t="str">
        <f t="shared" si="213"/>
        <v/>
      </c>
      <c r="AT503" s="377" t="e">
        <f t="shared" si="214"/>
        <v>#N/A</v>
      </c>
      <c r="AU503" s="292" t="e">
        <f t="shared" si="215"/>
        <v>#N/A</v>
      </c>
    </row>
    <row r="504" spans="1:47" ht="15" customHeight="1">
      <c r="A504" s="601" t="str">
        <f>Kat.!B502</f>
        <v/>
      </c>
      <c r="B504" s="601">
        <f t="shared" si="199"/>
        <v>1</v>
      </c>
      <c r="C504" s="783" t="s">
        <v>2135</v>
      </c>
      <c r="D504" s="783"/>
      <c r="E504" s="764"/>
      <c r="F504" s="761"/>
      <c r="G504" s="762"/>
      <c r="H504" s="595"/>
      <c r="I504" s="764"/>
      <c r="J504" s="764"/>
      <c r="K504" s="765"/>
      <c r="L504" s="764"/>
      <c r="M504" s="764"/>
      <c r="N504" s="764"/>
      <c r="O504" s="764"/>
      <c r="P504" s="764"/>
      <c r="Q504" s="764"/>
      <c r="R504" s="764"/>
      <c r="S504" s="764"/>
      <c r="T504" s="764"/>
      <c r="U504" s="764"/>
      <c r="V504" s="764"/>
      <c r="W504" s="764"/>
      <c r="X504" s="764"/>
      <c r="Y504" s="770">
        <f>IF(OR(AP504&lt;AA504,AND(NOT(OR(LEFT(AB504,3)="SKL",LEFT(AB504,3)=LEFT($V$2,3))),AA504&gt;0),AND('Deutsche Markt'!$AH$1=FALSE,J504="F4",AA504&gt;0)),"",AA504)</f>
        <v>0</v>
      </c>
      <c r="Z504" s="764"/>
      <c r="AA504" s="771">
        <f>'Deutsche Markt'!AA504</f>
        <v>0</v>
      </c>
      <c r="AB504" s="772"/>
      <c r="AC504" s="785"/>
      <c r="AD504" s="785"/>
      <c r="AE504" s="609"/>
      <c r="AF504" s="609"/>
      <c r="AG504" s="627"/>
      <c r="AH504" s="609"/>
      <c r="AI504" s="627"/>
      <c r="AJ504" s="609"/>
      <c r="AK504" s="609"/>
      <c r="AL504" s="609"/>
      <c r="AM504" s="627"/>
      <c r="AO504" s="567" t="str">
        <f t="shared" si="210"/>
        <v/>
      </c>
      <c r="AP504" s="568" t="str">
        <f>IF(AB504=$V$3,IF(VLOOKUP(C504,[1]List1!$A:$E,5,FALSE)=0,1,VLOOKUP(C504,[1]List1!$A:$E,5,FALSE)),"")</f>
        <v/>
      </c>
      <c r="AQ504" s="292" t="str">
        <f t="shared" si="211"/>
        <v/>
      </c>
      <c r="AR504" s="618" t="str">
        <f t="shared" si="212"/>
        <v/>
      </c>
      <c r="AS504" s="292" t="str">
        <f t="shared" si="213"/>
        <v/>
      </c>
      <c r="AT504" s="377" t="e">
        <f t="shared" si="214"/>
        <v>#N/A</v>
      </c>
      <c r="AU504" s="292" t="e">
        <f t="shared" si="215"/>
        <v>#N/A</v>
      </c>
    </row>
    <row r="505" spans="1:47" ht="15" customHeight="1">
      <c r="A505" s="601" t="str">
        <f>Kat.!B503</f>
        <v>Batterien 130 schuss, 20mm Mörser-1.3G</v>
      </c>
      <c r="B505" s="601">
        <f t="shared" si="199"/>
        <v>0</v>
      </c>
      <c r="C505" s="778"/>
      <c r="D505" s="778"/>
      <c r="E505" s="778"/>
      <c r="F505" s="779"/>
      <c r="G505" s="778"/>
      <c r="H505" s="778"/>
      <c r="I505" s="778"/>
      <c r="J505" s="778"/>
      <c r="K505" s="773"/>
      <c r="L505" s="778"/>
      <c r="M505" s="778"/>
      <c r="N505" s="778"/>
      <c r="O505" s="778"/>
      <c r="P505" s="778"/>
      <c r="Q505" s="778"/>
      <c r="R505" s="778"/>
      <c r="S505" s="778"/>
      <c r="T505" s="778"/>
      <c r="U505" s="778"/>
      <c r="V505" s="778"/>
      <c r="W505" s="778" t="str">
        <f>IFERROR(VLOOKUP('General price list'!$C505,Popisy!A:P,MATCH($W$17,Popisy!$A$7:$P$7,0),FALSE),"---------------")</f>
        <v>---------------</v>
      </c>
      <c r="X505" s="778" t="str">
        <f t="shared" ref="X505:X507" si="226">IF(AA505&lt;0.0001,"",AA505)</f>
        <v/>
      </c>
      <c r="Y505" s="770">
        <f>IF(OR(AP505&lt;AA505,AND(NOT(OR(LEFT(AB505,3)="SKL",LEFT(AB505,3)=LEFT($V$2,3))),AA505&gt;0),AND('Deutsche Markt'!$AH$1=FALSE,J505="F4",AA505&gt;0)),"",AA505)</f>
        <v>0</v>
      </c>
      <c r="Z505" s="778"/>
      <c r="AA505" s="771">
        <f>'Deutsche Markt'!AA505</f>
        <v>0</v>
      </c>
      <c r="AB505" s="778" t="str">
        <f>IFERROR(IF(VLOOKUP(C505,[1]List1!$A:$D,2,FALSE)="VYPRODÁNO",$V$9,IF(VLOOKUP(C505,[1]List1!$A:$D,2,FALSE)="DOCHÁZÍ",$V$3,VLOOKUP(C505,[1]List1!$A:$D,2,FALSE))),"OFFLINE!")</f>
        <v>OFFLINE!</v>
      </c>
      <c r="AC505" s="778" t="str">
        <f ca="1">IF(AO505="NE",$V$10,IF(AB505=$V$3,IF(AP505&lt;1,$V$8,$V$2&amp;" "&amp;AP505&amp;" "&amp;$V$1),IF(AB505="SKLADEM",$V$6,IFERROR(IF(OR(AB505-TODAY()&gt;21,VLOOKUP(C505,[1]List1!$A:$E,4,FALSE)=0),AB505,DAY(AB505)&amp;"."&amp;MONTH(AB505)&amp;"."&amp;YEAR(AB505)&amp;" "&amp;$V$4&amp;VLOOKUP(C505,[1]List1!$A:$E,4,FALSE)&amp;" "&amp;$V$1),AB505))))</f>
        <v>OFFLINE!</v>
      </c>
      <c r="AD505" s="778" t="str">
        <f t="shared" ref="AD505:AD507" ca="1" si="227">IFERROR(IF(AU505&lt;&gt;"",AU505,AC505),AC505)</f>
        <v>OFFLINE!</v>
      </c>
      <c r="AE505" s="599"/>
      <c r="AF505" s="599"/>
      <c r="AG505" s="599"/>
      <c r="AH505" s="599"/>
      <c r="AI505" s="599"/>
      <c r="AJ505" s="599"/>
      <c r="AK505" s="599"/>
      <c r="AL505" s="599"/>
      <c r="AM505" s="599"/>
      <c r="AN505" s="566"/>
      <c r="AO505" s="567" t="str">
        <f t="shared" si="210"/>
        <v/>
      </c>
      <c r="AP505" s="568" t="str">
        <f>IF(AB505=$V$3,IF(VLOOKUP(C505,[1]List1!$A:$E,5,FALSE)=0,1,VLOOKUP(C505,[1]List1!$A:$E,5,FALSE)),"")</f>
        <v/>
      </c>
      <c r="AQ505" s="292" t="str">
        <f t="shared" si="211"/>
        <v/>
      </c>
      <c r="AR505" s="618" t="str">
        <f t="shared" si="212"/>
        <v/>
      </c>
      <c r="AS505" s="292" t="str">
        <f t="shared" si="213"/>
        <v/>
      </c>
      <c r="AT505" s="377" t="e">
        <f t="shared" si="214"/>
        <v>#N/A</v>
      </c>
      <c r="AU505" s="292" t="e">
        <f t="shared" si="215"/>
        <v>#N/A</v>
      </c>
    </row>
    <row r="506" spans="1:47" ht="15" customHeight="1">
      <c r="A506" s="609" t="str">
        <f>Kat.!$B$1&amp;Kat.!B504</f>
        <v/>
      </c>
      <c r="B506" s="601">
        <f t="shared" si="199"/>
        <v>1</v>
      </c>
      <c r="C506" s="163" t="s">
        <v>2137</v>
      </c>
      <c r="D506" s="163"/>
      <c r="E506" s="609"/>
      <c r="F506" s="605"/>
      <c r="G506" s="606"/>
      <c r="H506" s="607"/>
      <c r="I506" s="608"/>
      <c r="J506" s="609"/>
      <c r="K506" s="708"/>
      <c r="L506" s="610"/>
      <c r="M506" s="609"/>
      <c r="N506" s="624"/>
      <c r="O506" s="624"/>
      <c r="P506" s="608"/>
      <c r="Q506" s="609"/>
      <c r="R506" s="609"/>
      <c r="S506" s="609"/>
      <c r="T506" s="609"/>
      <c r="U506" s="613"/>
      <c r="V506" s="613"/>
      <c r="W506" s="601" t="str">
        <f>IFERROR(VLOOKUP('General price list'!$C506,Popisy!A:P,MATCH($W$17,Popisy!$A$7:$P$7,0),FALSE),"---------------")</f>
        <v>Produktmodell - ohne Sprengstoff</v>
      </c>
      <c r="X506" s="601" t="str">
        <f t="shared" si="226"/>
        <v/>
      </c>
      <c r="Y506" s="770">
        <f>IF(OR(AP506&lt;AA506,AND(NOT(OR(LEFT(AB506,3)="SKL",LEFT(AB506,3)=LEFT($V$2,3))),AA506&gt;0),AND('Deutsche Markt'!$AH$1=FALSE,J506="F4",AA506&gt;0)),"",AA506)</f>
        <v>0</v>
      </c>
      <c r="Z506" s="601"/>
      <c r="AA506" s="771">
        <f>'Deutsche Markt'!AA506</f>
        <v>0</v>
      </c>
      <c r="AB506" s="614" t="str">
        <f>IFERROR(IF(VLOOKUP(C506,[1]List1!$A:$D,2,FALSE)="VYPRODÁNO",$V$9,IF(VLOOKUP(C506,[1]List1!$A:$D,2,FALSE)="DOCHÁZÍ",$V$3,VLOOKUP(C506,[1]List1!$A:$D,2,FALSE))),"OFFLINE!")</f>
        <v>SKLADEM</v>
      </c>
      <c r="AC506" s="626" t="str">
        <f ca="1">IF(AO506="NE",$V$10,IF(AB506=$V$3,IF(AP506&lt;1,$V$8,$V$2&amp;" "&amp;AP506&amp;" "&amp;$V$1),IF(AB506="SKLADEM",$V$6,IFERROR(IF(OR(AB506-TODAY()&gt;21,VLOOKUP(C506,[1]List1!$A:$E,4,FALSE)=0),AB506,DAY(AB506)&amp;"."&amp;MONTH(AB506)&amp;"."&amp;YEAR(AB506)&amp;" "&amp;$V$4&amp;VLOOKUP(C506,[1]List1!$A:$E,4,FALSE)&amp;" "&amp;$V$1),AB506))))</f>
        <v>AUF LAGER</v>
      </c>
      <c r="AD506" s="626" t="str">
        <f t="shared" ca="1" si="227"/>
        <v>AUF LAGER</v>
      </c>
      <c r="AE506" s="605"/>
      <c r="AF506" s="605"/>
      <c r="AG506" s="615"/>
      <c r="AH506" s="616"/>
      <c r="AI506" s="615"/>
      <c r="AJ506" s="617"/>
      <c r="AK506" s="617"/>
      <c r="AL506" s="617"/>
      <c r="AM506" s="617"/>
      <c r="AO506" s="567" t="str">
        <f t="shared" si="210"/>
        <v/>
      </c>
      <c r="AP506" s="568" t="str">
        <f>IF(AB506=$V$3,IF(VLOOKUP(C506,[1]List1!$A:$E,5,FALSE)=0,1,VLOOKUP(C506,[1]List1!$A:$E,5,FALSE)),"")</f>
        <v/>
      </c>
      <c r="AQ506" s="292" t="str">
        <f t="shared" si="211"/>
        <v/>
      </c>
      <c r="AR506" s="618" t="str">
        <f t="shared" si="212"/>
        <v/>
      </c>
      <c r="AS506" s="292" t="str">
        <f t="shared" si="213"/>
        <v/>
      </c>
      <c r="AT506" s="377" t="e">
        <f t="shared" si="214"/>
        <v>#N/A</v>
      </c>
      <c r="AU506" s="292" t="e">
        <f t="shared" si="215"/>
        <v>#N/A</v>
      </c>
    </row>
    <row r="507" spans="1:47" ht="15" customHeight="1">
      <c r="A507" s="601" t="str">
        <f>Kat.!B505</f>
        <v>Batterien 134 schuss, 20mm I+V+W+schräg Mörser-1.3G</v>
      </c>
      <c r="B507" s="601">
        <f t="shared" si="199"/>
        <v>1</v>
      </c>
      <c r="C507" s="783" t="s">
        <v>2139</v>
      </c>
      <c r="D507" s="783"/>
      <c r="E507" s="760"/>
      <c r="F507" s="761"/>
      <c r="G507" s="762"/>
      <c r="H507" s="596"/>
      <c r="I507" s="763"/>
      <c r="J507" s="764"/>
      <c r="K507" s="781"/>
      <c r="L507" s="782"/>
      <c r="M507" s="764"/>
      <c r="N507" s="767"/>
      <c r="O507" s="763"/>
      <c r="P507" s="763"/>
      <c r="Q507" s="764"/>
      <c r="R507" s="764"/>
      <c r="S507" s="764"/>
      <c r="T507" s="764"/>
      <c r="U507" s="768"/>
      <c r="V507" s="768"/>
      <c r="W507" s="769" t="str">
        <f>IFERROR(VLOOKUP('General price list'!$C507,Popisy!A:P,MATCH($W$17,Popisy!$A$7:$P$7,0),FALSE),"---------------")</f>
        <v>Produktmodell - ohne Sprengstoff</v>
      </c>
      <c r="X507" s="769" t="str">
        <f t="shared" si="226"/>
        <v/>
      </c>
      <c r="Y507" s="770">
        <f>IF(OR(AP507&lt;AA507,AND(NOT(OR(LEFT(AB507,3)="SKL",LEFT(AB507,3)=LEFT($V$2,3))),AA507&gt;0),AND('Deutsche Markt'!$AH$1=FALSE,J507="F4",AA507&gt;0)),"",AA507)</f>
        <v>0</v>
      </c>
      <c r="Z507" s="769"/>
      <c r="AA507" s="771">
        <f>'Deutsche Markt'!AA507</f>
        <v>0</v>
      </c>
      <c r="AB507" s="772" t="str">
        <f>IFERROR(IF(VLOOKUP(C507,[1]List1!$A:$D,2,FALSE)="VYPRODÁNO",$V$9,IF(VLOOKUP(C507,[1]List1!$A:$D,2,FALSE)="DOCHÁZÍ",$V$3,VLOOKUP(C507,[1]List1!$A:$D,2,FALSE))),"OFFLINE!")</f>
        <v>SKLADEM</v>
      </c>
      <c r="AC507" s="772" t="str">
        <f ca="1">IF(AO507="NE",$V$10,IF(AB507=$V$3,IF(AP507&lt;1,$V$8,$V$2&amp;" "&amp;AP507&amp;" "&amp;$V$1),IF(AB507="SKLADEM",$V$6,IFERROR(IF(OR(AB507-TODAY()&gt;21,VLOOKUP(C507,[1]List1!$A:$E,4,FALSE)=0),AB507,DAY(AB507)&amp;"."&amp;MONTH(AB507)&amp;"."&amp;YEAR(AB507)&amp;" "&amp;$V$4&amp;VLOOKUP(C507,[1]List1!$A:$E,4,FALSE)&amp;" "&amp;$V$1),AB507))))</f>
        <v>AUF LAGER</v>
      </c>
      <c r="AD507" s="772" t="str">
        <f t="shared" ca="1" si="227"/>
        <v>AUF LAGER</v>
      </c>
      <c r="AE507" s="605"/>
      <c r="AF507" s="605"/>
      <c r="AG507" s="615"/>
      <c r="AH507" s="616"/>
      <c r="AI507" s="615"/>
      <c r="AJ507" s="617"/>
      <c r="AK507" s="617"/>
      <c r="AL507" s="617"/>
      <c r="AM507" s="617"/>
      <c r="AO507" s="567" t="str">
        <f t="shared" si="210"/>
        <v/>
      </c>
      <c r="AP507" s="568" t="str">
        <f>IF(AB507=$V$3,IF(VLOOKUP(C507,[1]List1!$A:$E,5,FALSE)=0,1,VLOOKUP(C507,[1]List1!$A:$E,5,FALSE)),"")</f>
        <v/>
      </c>
      <c r="AQ507" s="292" t="str">
        <f t="shared" si="211"/>
        <v/>
      </c>
      <c r="AR507" s="618" t="str">
        <f t="shared" si="212"/>
        <v/>
      </c>
      <c r="AS507" s="292" t="str">
        <f t="shared" si="213"/>
        <v/>
      </c>
      <c r="AT507" s="377" t="e">
        <f t="shared" si="214"/>
        <v>#N/A</v>
      </c>
      <c r="AU507" s="292" t="e">
        <f t="shared" si="215"/>
        <v>#N/A</v>
      </c>
    </row>
    <row r="508" spans="1:47" ht="15" customHeight="1">
      <c r="A508" s="601" t="str">
        <f>Kat.!B506</f>
        <v/>
      </c>
      <c r="B508" s="601">
        <f t="shared" si="199"/>
        <v>0</v>
      </c>
      <c r="C508" s="783"/>
      <c r="D508" s="783"/>
      <c r="E508" s="764"/>
      <c r="F508" s="761"/>
      <c r="G508" s="762"/>
      <c r="H508" s="595"/>
      <c r="I508" s="764"/>
      <c r="J508" s="764"/>
      <c r="K508" s="774"/>
      <c r="L508" s="764"/>
      <c r="M508" s="764"/>
      <c r="N508" s="764"/>
      <c r="O508" s="764"/>
      <c r="P508" s="764"/>
      <c r="Q508" s="764"/>
      <c r="R508" s="764"/>
      <c r="S508" s="764"/>
      <c r="T508" s="764"/>
      <c r="U508" s="764"/>
      <c r="V508" s="764"/>
      <c r="W508" s="764"/>
      <c r="X508" s="764"/>
      <c r="Y508" s="770">
        <f>IF(OR(AP508&lt;AA508,AND(NOT(OR(LEFT(AB508,3)="SKL",LEFT(AB508,3)=LEFT($V$2,3))),AA508&gt;0),AND('Deutsche Markt'!$AH$1=FALSE,J508="F4",AA508&gt;0)),"",AA508)</f>
        <v>0</v>
      </c>
      <c r="Z508" s="764"/>
      <c r="AA508" s="771">
        <f>'Deutsche Markt'!AA508</f>
        <v>0</v>
      </c>
      <c r="AB508" s="772"/>
      <c r="AC508" s="785"/>
      <c r="AD508" s="785"/>
      <c r="AE508" s="609"/>
      <c r="AF508" s="609"/>
      <c r="AG508" s="627"/>
      <c r="AH508" s="609"/>
      <c r="AI508" s="627"/>
      <c r="AJ508" s="609"/>
      <c r="AK508" s="609"/>
      <c r="AL508" s="609"/>
      <c r="AM508" s="627"/>
      <c r="AO508" s="567" t="str">
        <f t="shared" si="210"/>
        <v/>
      </c>
      <c r="AP508" s="568" t="str">
        <f>IF(AB508=$V$3,IF(VLOOKUP(C508,[1]List1!$A:$E,5,FALSE)=0,1,VLOOKUP(C508,[1]List1!$A:$E,5,FALSE)),"")</f>
        <v/>
      </c>
      <c r="AQ508" s="292" t="str">
        <f t="shared" si="211"/>
        <v/>
      </c>
      <c r="AR508" s="618" t="str">
        <f t="shared" si="212"/>
        <v/>
      </c>
      <c r="AS508" s="292" t="str">
        <f t="shared" si="213"/>
        <v/>
      </c>
      <c r="AT508" s="377" t="e">
        <f t="shared" si="214"/>
        <v>#N/A</v>
      </c>
      <c r="AU508" s="292" t="e">
        <f t="shared" si="215"/>
        <v>#N/A</v>
      </c>
    </row>
    <row r="509" spans="1:47" ht="15" customHeight="1">
      <c r="A509" s="601" t="str">
        <f>Kat.!B507</f>
        <v/>
      </c>
      <c r="B509" s="601">
        <f t="shared" si="199"/>
        <v>1</v>
      </c>
      <c r="C509" s="778" t="s">
        <v>2141</v>
      </c>
      <c r="D509" s="778"/>
      <c r="E509" s="778"/>
      <c r="F509" s="779"/>
      <c r="G509" s="778"/>
      <c r="H509" s="778"/>
      <c r="I509" s="778"/>
      <c r="J509" s="778"/>
      <c r="K509" s="781"/>
      <c r="L509" s="778"/>
      <c r="M509" s="778"/>
      <c r="N509" s="778"/>
      <c r="O509" s="778"/>
      <c r="P509" s="778"/>
      <c r="Q509" s="778"/>
      <c r="R509" s="778"/>
      <c r="S509" s="778"/>
      <c r="T509" s="778"/>
      <c r="U509" s="778"/>
      <c r="V509" s="778"/>
      <c r="W509" s="778" t="str">
        <f>IFERROR(VLOOKUP('General price list'!$C509,Popisy!A:P,MATCH($W$17,Popisy!$A$7:$P$7,0),FALSE),"---------------")</f>
        <v>Produktmodell - ohne Sprengstoff</v>
      </c>
      <c r="X509" s="778" t="str">
        <f t="shared" ref="X509:X512" si="228">IF(AA509&lt;0.0001,"",AA509)</f>
        <v/>
      </c>
      <c r="Y509" s="770">
        <f>IF(OR(AP509&lt;AA509,AND(NOT(OR(LEFT(AB509,3)="SKL",LEFT(AB509,3)=LEFT($V$2,3))),AA509&gt;0),AND('Deutsche Markt'!$AH$1=FALSE,J509="F4",AA509&gt;0)),"",AA509)</f>
        <v>0</v>
      </c>
      <c r="Z509" s="778"/>
      <c r="AA509" s="771">
        <f>'Deutsche Markt'!AA509</f>
        <v>0</v>
      </c>
      <c r="AB509" s="778" t="str">
        <f>IFERROR(IF(VLOOKUP(C509,[1]List1!$A:$D,2,FALSE)="VYPRODÁNO",$V$9,IF(VLOOKUP(C509,[1]List1!$A:$D,2,FALSE)="DOCHÁZÍ",$V$3,VLOOKUP(C509,[1]List1!$A:$D,2,FALSE))),"OFFLINE!")</f>
        <v>SKLADEM</v>
      </c>
      <c r="AC509" s="778" t="str">
        <f ca="1">IF(AO509="NE",$V$10,IF(AB509=$V$3,IF(AP509&lt;1,$V$8,$V$2&amp;" "&amp;AP509&amp;" "&amp;$V$1),IF(AB509="SKLADEM",$V$6,IFERROR(IF(OR(AB509-TODAY()&gt;21,VLOOKUP(C509,[1]List1!$A:$E,4,FALSE)=0),AB509,DAY(AB509)&amp;"."&amp;MONTH(AB509)&amp;"."&amp;YEAR(AB509)&amp;" "&amp;$V$4&amp;VLOOKUP(C509,[1]List1!$A:$E,4,FALSE)&amp;" "&amp;$V$1),AB509))))</f>
        <v>AUF LAGER</v>
      </c>
      <c r="AD509" s="778" t="str">
        <f t="shared" ref="AD509:AD512" ca="1" si="229">IFERROR(IF(AU509&lt;&gt;"",AU509,AC509),AC509)</f>
        <v>AUF LAGER</v>
      </c>
      <c r="AE509" s="599"/>
      <c r="AF509" s="599"/>
      <c r="AG509" s="599"/>
      <c r="AH509" s="599"/>
      <c r="AI509" s="599"/>
      <c r="AJ509" s="599"/>
      <c r="AK509" s="599"/>
      <c r="AL509" s="599"/>
      <c r="AM509" s="599"/>
      <c r="AN509" s="566"/>
      <c r="AO509" s="567" t="str">
        <f t="shared" si="210"/>
        <v/>
      </c>
      <c r="AP509" s="568" t="str">
        <f>IF(AB509=$V$3,IF(VLOOKUP(C509,[1]List1!$A:$E,5,FALSE)=0,1,VLOOKUP(C509,[1]List1!$A:$E,5,FALSE)),"")</f>
        <v/>
      </c>
      <c r="AQ509" s="292" t="str">
        <f t="shared" si="211"/>
        <v/>
      </c>
      <c r="AR509" s="618" t="str">
        <f t="shared" si="212"/>
        <v/>
      </c>
      <c r="AS509" s="292" t="str">
        <f t="shared" si="213"/>
        <v/>
      </c>
      <c r="AT509" s="377" t="e">
        <f t="shared" si="214"/>
        <v>#N/A</v>
      </c>
      <c r="AU509" s="292" t="e">
        <f t="shared" si="215"/>
        <v>#N/A</v>
      </c>
    </row>
    <row r="510" spans="1:47" ht="15" customHeight="1">
      <c r="A510" s="601" t="str">
        <f>Kat.!B508</f>
        <v>Verbundfeurwerk F3 - 1.3G</v>
      </c>
      <c r="B510" s="601">
        <f t="shared" si="199"/>
        <v>0</v>
      </c>
      <c r="C510" s="783"/>
      <c r="D510" s="783"/>
      <c r="E510" s="764"/>
      <c r="F510" s="761"/>
      <c r="G510" s="762"/>
      <c r="H510" s="595"/>
      <c r="I510" s="764"/>
      <c r="J510" s="764"/>
      <c r="K510" s="774"/>
      <c r="L510" s="764"/>
      <c r="M510" s="764"/>
      <c r="N510" s="764"/>
      <c r="O510" s="764"/>
      <c r="P510" s="764"/>
      <c r="Q510" s="764"/>
      <c r="R510" s="764"/>
      <c r="S510" s="764"/>
      <c r="T510" s="764"/>
      <c r="U510" s="764"/>
      <c r="V510" s="764"/>
      <c r="W510" s="764" t="str">
        <f>IFERROR(VLOOKUP('General price list'!$C510,Popisy!A:P,MATCH($W$17,Popisy!$A$7:$P$7,0),FALSE),"---------------")</f>
        <v>---------------</v>
      </c>
      <c r="X510" s="764" t="str">
        <f t="shared" si="228"/>
        <v/>
      </c>
      <c r="Y510" s="770">
        <f>IF(OR(AP510&lt;AA510,AND(NOT(OR(LEFT(AB510,3)="SKL",LEFT(AB510,3)=LEFT($V$2,3))),AA510&gt;0),AND('Deutsche Markt'!$AH$1=FALSE,J510="F4",AA510&gt;0)),"",AA510)</f>
        <v>0</v>
      </c>
      <c r="Z510" s="764"/>
      <c r="AA510" s="771">
        <f>'Deutsche Markt'!AA510</f>
        <v>0</v>
      </c>
      <c r="AB510" s="772" t="str">
        <f>IFERROR(IF(VLOOKUP(C510,[1]List1!$A:$D,2,FALSE)="VYPRODÁNO",$V$9,IF(VLOOKUP(C510,[1]List1!$A:$D,2,FALSE)="DOCHÁZÍ",$V$3,VLOOKUP(C510,[1]List1!$A:$D,2,FALSE))),"OFFLINE!")</f>
        <v>OFFLINE!</v>
      </c>
      <c r="AC510" s="785" t="str">
        <f ca="1">IF(AO510="NE",$V$10,IF(AB510=$V$3,IF(AP510&lt;1,$V$8,$V$2&amp;" "&amp;AP510&amp;" "&amp;$V$1),IF(AB510="SKLADEM",$V$6,IFERROR(IF(OR(AB510-TODAY()&gt;21,VLOOKUP(C510,[1]List1!$A:$E,4,FALSE)=0),AB510,DAY(AB510)&amp;"."&amp;MONTH(AB510)&amp;"."&amp;YEAR(AB510)&amp;" "&amp;$V$4&amp;VLOOKUP(C510,[1]List1!$A:$E,4,FALSE)&amp;" "&amp;$V$1),AB510))))</f>
        <v>OFFLINE!</v>
      </c>
      <c r="AD510" s="785" t="str">
        <f t="shared" ca="1" si="229"/>
        <v>OFFLINE!</v>
      </c>
      <c r="AE510" s="609"/>
      <c r="AF510" s="609"/>
      <c r="AG510" s="627"/>
      <c r="AH510" s="609"/>
      <c r="AI510" s="627"/>
      <c r="AJ510" s="609"/>
      <c r="AK510" s="609"/>
      <c r="AL510" s="609"/>
      <c r="AM510" s="627"/>
      <c r="AO510" s="567" t="str">
        <f t="shared" si="210"/>
        <v/>
      </c>
      <c r="AP510" s="292" t="str">
        <f>IF(AB510=$V$3,IF(VLOOKUP(C510,[1]List1!$A:$E,5,FALSE)=0,1,VLOOKUP(C510,[1]List1!$A:$E,5,FALSE)),"")</f>
        <v/>
      </c>
      <c r="AQ510" s="292" t="str">
        <f t="shared" si="211"/>
        <v/>
      </c>
      <c r="AR510" s="618" t="str">
        <f t="shared" si="212"/>
        <v/>
      </c>
      <c r="AS510" s="292" t="str">
        <f t="shared" si="213"/>
        <v/>
      </c>
      <c r="AT510" s="377" t="e">
        <f t="shared" si="214"/>
        <v>#N/A</v>
      </c>
      <c r="AU510" s="292" t="e">
        <f t="shared" si="215"/>
        <v>#N/A</v>
      </c>
    </row>
    <row r="511" spans="1:47" ht="15" customHeight="1">
      <c r="A511" s="601" t="str">
        <f>Kat.!$B$1&amp;Kat.!B509</f>
        <v/>
      </c>
      <c r="B511" s="601">
        <f t="shared" si="199"/>
        <v>1</v>
      </c>
      <c r="C511" s="163" t="s">
        <v>2143</v>
      </c>
      <c r="D511" s="235"/>
      <c r="E511" s="604"/>
      <c r="F511" s="605"/>
      <c r="G511" s="606"/>
      <c r="H511" s="607"/>
      <c r="I511" s="608"/>
      <c r="J511" s="609"/>
      <c r="K511" s="708"/>
      <c r="L511" s="611"/>
      <c r="M511" s="609"/>
      <c r="N511" s="621"/>
      <c r="O511" s="608"/>
      <c r="P511" s="608"/>
      <c r="Q511" s="609"/>
      <c r="R511" s="609"/>
      <c r="S511" s="609"/>
      <c r="T511" s="609"/>
      <c r="U511" s="613"/>
      <c r="V511" s="613"/>
      <c r="W511" s="601" t="str">
        <f>IFERROR(VLOOKUP('General price list'!$C511,Popisy!A:P,MATCH($W$17,Popisy!$A$7:$P$7,0),FALSE),"---------------")</f>
        <v>Produktmodell - ohne Sprengstoff</v>
      </c>
      <c r="X511" s="601" t="str">
        <f t="shared" si="228"/>
        <v/>
      </c>
      <c r="Y511" s="770">
        <f>IF(OR(AP511&lt;AA511,AND(NOT(OR(LEFT(AB511,3)="SKL",LEFT(AB511,3)=LEFT($V$2,3))),AA511&gt;0),AND('Deutsche Markt'!$AH$1=FALSE,J511="F4",AA511&gt;0)),"",AA511)</f>
        <v>0</v>
      </c>
      <c r="Z511" s="601"/>
      <c r="AA511" s="771">
        <f>'Deutsche Markt'!AA511</f>
        <v>0</v>
      </c>
      <c r="AB511" s="614" t="str">
        <f>IFERROR(IF(VLOOKUP(C511,[1]List1!$A:$D,2,FALSE)="VYPRODÁNO",$V$9,IF(VLOOKUP(C511,[1]List1!$A:$D,2,FALSE)="DOCHÁZÍ",$V$3,VLOOKUP(C511,[1]List1!$A:$D,2,FALSE))),"OFFLINE!")</f>
        <v>SKLADEM</v>
      </c>
      <c r="AC511" s="614" t="str">
        <f ca="1">IF(AO511="NE",$V$10,IF(AB511=$V$3,IF(AP511&lt;1,$V$8,$V$2&amp;" "&amp;AP511&amp;" "&amp;$V$1),IF(AB511="SKLADEM",$V$6,IFERROR(IF(OR(AB511-TODAY()&gt;21,VLOOKUP(C511,[1]List1!$A:$E,4,FALSE)=0),AB511,DAY(AB511)&amp;"."&amp;MONTH(AB511)&amp;"."&amp;YEAR(AB511)&amp;" "&amp;$V$4&amp;VLOOKUP(C511,[1]List1!$A:$E,4,FALSE)&amp;" "&amp;$V$1),AB511))))</f>
        <v>AUF LAGER</v>
      </c>
      <c r="AD511" s="614" t="str">
        <f t="shared" ca="1" si="229"/>
        <v>AUF LAGER</v>
      </c>
      <c r="AE511" s="605"/>
      <c r="AF511" s="605"/>
      <c r="AG511" s="615"/>
      <c r="AH511" s="616"/>
      <c r="AI511" s="615"/>
      <c r="AJ511" s="617"/>
      <c r="AK511" s="617"/>
      <c r="AL511" s="617"/>
      <c r="AM511" s="617"/>
      <c r="AN511" s="292"/>
      <c r="AO511" s="567" t="str">
        <f t="shared" si="210"/>
        <v/>
      </c>
      <c r="AP511" s="568" t="str">
        <f>IF(AB511=$V$3,IF(VLOOKUP(C511,[1]List1!$A:$E,5,FALSE)=0,1,VLOOKUP(C511,[1]List1!$A:$E,5,FALSE)),"")</f>
        <v/>
      </c>
      <c r="AQ511" s="292" t="str">
        <f t="shared" si="211"/>
        <v/>
      </c>
      <c r="AR511" s="618" t="str">
        <f t="shared" si="212"/>
        <v/>
      </c>
      <c r="AS511" s="292" t="str">
        <f t="shared" si="213"/>
        <v/>
      </c>
      <c r="AT511" s="377" t="e">
        <f t="shared" si="214"/>
        <v>#N/A</v>
      </c>
      <c r="AU511" s="292" t="e">
        <f t="shared" si="215"/>
        <v>#N/A</v>
      </c>
    </row>
    <row r="512" spans="1:47" ht="15" customHeight="1">
      <c r="A512" s="601" t="str">
        <f>Kat.!B510</f>
        <v>Batterien 88 schuss, 25mm Mörser-1.3G</v>
      </c>
      <c r="B512" s="601">
        <f t="shared" si="199"/>
        <v>1</v>
      </c>
      <c r="C512" s="758" t="s">
        <v>2145</v>
      </c>
      <c r="D512" s="776"/>
      <c r="E512" s="760"/>
      <c r="F512" s="761"/>
      <c r="G512" s="762"/>
      <c r="H512" s="596"/>
      <c r="I512" s="763"/>
      <c r="J512" s="764"/>
      <c r="K512" s="765"/>
      <c r="L512" s="766"/>
      <c r="M512" s="764"/>
      <c r="N512" s="777"/>
      <c r="O512" s="763"/>
      <c r="P512" s="763"/>
      <c r="Q512" s="764"/>
      <c r="R512" s="764"/>
      <c r="S512" s="764"/>
      <c r="T512" s="764"/>
      <c r="U512" s="768"/>
      <c r="V512" s="768"/>
      <c r="W512" s="769" t="str">
        <f>IFERROR(VLOOKUP('General price list'!$C512,Popisy!A:P,MATCH($W$17,Popisy!$A$7:$P$7,0),FALSE),"---------------")</f>
        <v>Produktmodell - ohne Sprengstoff</v>
      </c>
      <c r="X512" s="769" t="str">
        <f t="shared" si="228"/>
        <v/>
      </c>
      <c r="Y512" s="770">
        <f>IF(OR(AP512&lt;AA512,AND(NOT(OR(LEFT(AB512,3)="SKL",LEFT(AB512,3)=LEFT($V$2,3))),AA512&gt;0),AND('Deutsche Markt'!$AH$1=FALSE,J512="F4",AA512&gt;0)),"",AA512)</f>
        <v>0</v>
      </c>
      <c r="Z512" s="769"/>
      <c r="AA512" s="771">
        <f>'Deutsche Markt'!AA512</f>
        <v>0</v>
      </c>
      <c r="AB512" s="772" t="str">
        <f>IFERROR(IF(VLOOKUP(C512,[1]List1!$A:$D,2,FALSE)="VYPRODÁNO",$V$9,IF(VLOOKUP(C512,[1]List1!$A:$D,2,FALSE)="DOCHÁZÍ",$V$3,VLOOKUP(C512,[1]List1!$A:$D,2,FALSE))),"OFFLINE!")</f>
        <v>SKLADEM</v>
      </c>
      <c r="AC512" s="772" t="str">
        <f ca="1">IF(AO512="NE",$V$10,IF(AB512=$V$3,IF(AP512&lt;1,$V$8,$V$2&amp;" "&amp;AP512&amp;" "&amp;$V$1),IF(AB512="SKLADEM",$V$6,IFERROR(IF(OR(AB512-TODAY()&gt;21,VLOOKUP(C512,[1]List1!$A:$E,4,FALSE)=0),AB512,DAY(AB512)&amp;"."&amp;MONTH(AB512)&amp;"."&amp;YEAR(AB512)&amp;" "&amp;$V$4&amp;VLOOKUP(C512,[1]List1!$A:$E,4,FALSE)&amp;" "&amp;$V$1),AB512))))</f>
        <v>AUF LAGER</v>
      </c>
      <c r="AD512" s="772" t="str">
        <f t="shared" ca="1" si="229"/>
        <v>AUF LAGER</v>
      </c>
      <c r="AE512" s="605"/>
      <c r="AF512" s="605"/>
      <c r="AG512" s="615"/>
      <c r="AH512" s="616"/>
      <c r="AI512" s="615"/>
      <c r="AJ512" s="617"/>
      <c r="AK512" s="617"/>
      <c r="AL512" s="617"/>
      <c r="AM512" s="617"/>
      <c r="AO512" s="567" t="str">
        <f t="shared" si="210"/>
        <v/>
      </c>
      <c r="AP512" s="568" t="str">
        <f>IF(AB512=$V$3,IF(VLOOKUP(C512,[1]List1!$A:$E,5,FALSE)=0,1,VLOOKUP(C512,[1]List1!$A:$E,5,FALSE)),"")</f>
        <v/>
      </c>
      <c r="AQ512" s="292" t="str">
        <f t="shared" si="211"/>
        <v/>
      </c>
      <c r="AR512" s="618" t="str">
        <f t="shared" si="212"/>
        <v/>
      </c>
      <c r="AS512" s="292" t="str">
        <f t="shared" si="213"/>
        <v/>
      </c>
      <c r="AT512" s="377" t="e">
        <f t="shared" si="214"/>
        <v>#N/A</v>
      </c>
      <c r="AU512" s="292" t="e">
        <f t="shared" si="215"/>
        <v>#N/A</v>
      </c>
    </row>
    <row r="513" spans="1:47" ht="15" customHeight="1">
      <c r="A513" s="624" t="str">
        <f>Kat.!$B$1&amp;Kat.!B511</f>
        <v/>
      </c>
      <c r="B513" s="601">
        <f t="shared" si="199"/>
        <v>0</v>
      </c>
      <c r="C513" s="163"/>
      <c r="D513" s="163"/>
      <c r="E513" s="609"/>
      <c r="F513" s="605"/>
      <c r="G513" s="606"/>
      <c r="H513" s="625"/>
      <c r="I513" s="609"/>
      <c r="J513" s="609"/>
      <c r="K513" s="708"/>
      <c r="L513" s="609"/>
      <c r="M513" s="609"/>
      <c r="N513" s="609"/>
      <c r="O513" s="609"/>
      <c r="P513" s="609"/>
      <c r="Q513" s="609"/>
      <c r="R513" s="609"/>
      <c r="S513" s="609"/>
      <c r="T513" s="609"/>
      <c r="U513" s="609"/>
      <c r="V513" s="609"/>
      <c r="W513" s="609" t="str">
        <f>IFERROR(VLOOKUP('General price list'!$C513,Popisy!A:P,MATCH($W$17,Popisy!$A$7:$P$7,0),FALSE),"---------------")</f>
        <v>---------------</v>
      </c>
      <c r="X513" s="609" t="str">
        <f>IF(AA513&lt;0.0001,"",AA513)</f>
        <v/>
      </c>
      <c r="Y513" s="770">
        <f>IF(OR(AP513&lt;AA513,AND(NOT(OR(LEFT(AB513,3)="SKL",LEFT(AB513,3)=LEFT($V$2,3))),AA513&gt;0),AND('Deutsche Markt'!$AH$1=FALSE,J513="F4",AA513&gt;0)),"",AA513)</f>
        <v>0</v>
      </c>
      <c r="Z513" s="609"/>
      <c r="AA513" s="771">
        <f>'Deutsche Markt'!AA513</f>
        <v>0</v>
      </c>
      <c r="AB513" s="614" t="str">
        <f>IFERROR(IF(VLOOKUP(C513,[1]List1!$A:$D,2,FALSE)="VYPRODÁNO",$V$9,IF(VLOOKUP(C513,[1]List1!$A:$D,2,FALSE)="DOCHÁZÍ",$V$3,VLOOKUP(C513,[1]List1!$A:$D,2,FALSE))),"OFFLINE!")</f>
        <v>OFFLINE!</v>
      </c>
      <c r="AC513" s="626" t="str">
        <f ca="1">IF(AO513="NE",$V$10,IF(AB513=$V$3,IF(AP513&lt;1,$V$8,$V$2&amp;" "&amp;AP513&amp;" "&amp;$V$1),IF(AB513="SKLADEM",$V$6,IFERROR(IF(OR(AB513-TODAY()&gt;21,VLOOKUP(C513,[1]List1!$A:$E,4,FALSE)=0),AB513,DAY(AB513)&amp;"."&amp;MONTH(AB513)&amp;"."&amp;YEAR(AB513)&amp;" "&amp;$V$4&amp;VLOOKUP(C513,[1]List1!$A:$E,4,FALSE)&amp;" "&amp;$V$1),AB513))))</f>
        <v>OFFLINE!</v>
      </c>
      <c r="AD513" s="626" t="str">
        <f ca="1">IFERROR(IF(AU513&lt;&gt;"",AU513,AC513),AC513)</f>
        <v>OFFLINE!</v>
      </c>
      <c r="AE513" s="609"/>
      <c r="AF513" s="609"/>
      <c r="AG513" s="627"/>
      <c r="AH513" s="609"/>
      <c r="AI513" s="627"/>
      <c r="AJ513" s="609"/>
      <c r="AK513" s="609"/>
      <c r="AL513" s="609"/>
      <c r="AM513" s="627"/>
      <c r="AO513" s="567" t="str">
        <f t="shared" si="210"/>
        <v/>
      </c>
      <c r="AP513" s="568" t="str">
        <f>IF(AB513=$V$3,IF(VLOOKUP(C513,[1]List1!$A:$E,5,FALSE)=0,1,VLOOKUP(C513,[1]List1!$A:$E,5,FALSE)),"")</f>
        <v/>
      </c>
      <c r="AQ513" s="292" t="str">
        <f t="shared" si="211"/>
        <v/>
      </c>
      <c r="AR513" s="618" t="str">
        <f t="shared" si="212"/>
        <v/>
      </c>
      <c r="AS513" s="292" t="str">
        <f t="shared" si="213"/>
        <v/>
      </c>
      <c r="AT513" s="377" t="e">
        <f t="shared" si="214"/>
        <v>#N/A</v>
      </c>
      <c r="AU513" s="292" t="e">
        <f t="shared" si="215"/>
        <v>#N/A</v>
      </c>
    </row>
    <row r="514" spans="1:47" ht="15" customHeight="1">
      <c r="A514" s="601" t="str">
        <f>Kat.!B512</f>
        <v/>
      </c>
      <c r="B514" s="601">
        <f t="shared" si="199"/>
        <v>1</v>
      </c>
      <c r="C514" s="778" t="s">
        <v>2147</v>
      </c>
      <c r="D514" s="778"/>
      <c r="E514" s="778"/>
      <c r="F514" s="779"/>
      <c r="G514" s="778"/>
      <c r="H514" s="778"/>
      <c r="I514" s="778"/>
      <c r="J514" s="778"/>
      <c r="K514" s="765"/>
      <c r="L514" s="778"/>
      <c r="M514" s="778"/>
      <c r="N514" s="778"/>
      <c r="O514" s="778"/>
      <c r="P514" s="778"/>
      <c r="Q514" s="778"/>
      <c r="R514" s="778"/>
      <c r="S514" s="778"/>
      <c r="T514" s="778"/>
      <c r="U514" s="778"/>
      <c r="V514" s="778"/>
      <c r="W514" s="778" t="str">
        <f>IFERROR(VLOOKUP('General price list'!$C514,Popisy!A:P,MATCH($W$17,Popisy!$A$7:$P$7,0),FALSE),"---------------")</f>
        <v>Produktmodell - ohne Sprengstoff</v>
      </c>
      <c r="X514" s="778" t="str">
        <f t="shared" ref="X514:X517" si="230">IF(AA514&lt;0.0001,"",AA514)</f>
        <v/>
      </c>
      <c r="Y514" s="770">
        <f>IF(OR(AP514&lt;AA514,AND(NOT(OR(LEFT(AB514,3)="SKL",LEFT(AB514,3)=LEFT($V$2,3))),AA514&gt;0),AND('Deutsche Markt'!$AH$1=FALSE,J514="F4",AA514&gt;0)),"",AA514)</f>
        <v>0</v>
      </c>
      <c r="Z514" s="778"/>
      <c r="AA514" s="771">
        <f>'Deutsche Markt'!AA514</f>
        <v>0</v>
      </c>
      <c r="AB514" s="778" t="str">
        <f>IFERROR(IF(VLOOKUP(C514,[1]List1!$A:$D,2,FALSE)="VYPRODÁNO",$V$9,IF(VLOOKUP(C514,[1]List1!$A:$D,2,FALSE)="DOCHÁZÍ",$V$3,VLOOKUP(C514,[1]List1!$A:$D,2,FALSE))),"OFFLINE!")</f>
        <v>AUSVERKAUFT</v>
      </c>
      <c r="AC514" s="778" t="str">
        <f ca="1">IF(AO514="NE",$V$10,IF(AB514=$V$3,IF(AP514&lt;1,$V$8,$V$2&amp;" "&amp;AP514&amp;" "&amp;$V$1),IF(AB514="SKLADEM",$V$6,IFERROR(IF(OR(AB514-TODAY()&gt;21,VLOOKUP(C514,[1]List1!$A:$E,4,FALSE)=0),AB514,DAY(AB514)&amp;"."&amp;MONTH(AB514)&amp;"."&amp;YEAR(AB514)&amp;" "&amp;$V$4&amp;VLOOKUP(C514,[1]List1!$A:$E,4,FALSE)&amp;" "&amp;$V$1),AB514))))</f>
        <v>AUSVERKAUFT</v>
      </c>
      <c r="AD514" s="778" t="str">
        <f t="shared" ref="AD514:AD517" ca="1" si="231">IFERROR(IF(AU514&lt;&gt;"",AU514,AC514),AC514)</f>
        <v>AUSVERKAUFT</v>
      </c>
      <c r="AE514" s="599"/>
      <c r="AF514" s="599"/>
      <c r="AG514" s="599"/>
      <c r="AH514" s="599"/>
      <c r="AI514" s="599"/>
      <c r="AJ514" s="599"/>
      <c r="AK514" s="599"/>
      <c r="AL514" s="599"/>
      <c r="AM514" s="599"/>
      <c r="AN514" s="566"/>
      <c r="AO514" s="567" t="str">
        <f t="shared" si="210"/>
        <v/>
      </c>
      <c r="AP514" s="568" t="str">
        <f>IF(AB514=$V$3,IF(VLOOKUP(C514,[1]List1!$A:$E,5,FALSE)=0,1,VLOOKUP(C514,[1]List1!$A:$E,5,FALSE)),"")</f>
        <v/>
      </c>
      <c r="AQ514" s="292" t="str">
        <f t="shared" si="211"/>
        <v/>
      </c>
      <c r="AR514" s="618" t="str">
        <f t="shared" si="212"/>
        <v/>
      </c>
      <c r="AS514" s="292" t="str">
        <f t="shared" si="213"/>
        <v/>
      </c>
      <c r="AT514" s="377" t="e">
        <f t="shared" si="214"/>
        <v>#N/A</v>
      </c>
      <c r="AU514" s="292" t="e">
        <f t="shared" si="215"/>
        <v>#N/A</v>
      </c>
    </row>
    <row r="515" spans="1:47" ht="15" customHeight="1">
      <c r="A515" s="601" t="str">
        <f>Kat.!B513</f>
        <v>Batterien 89 schuss, 25mm I+W+schräg Mörser-1.3G</v>
      </c>
      <c r="B515" s="601">
        <f t="shared" si="199"/>
        <v>0</v>
      </c>
      <c r="C515" s="783"/>
      <c r="D515" s="783"/>
      <c r="E515" s="764"/>
      <c r="F515" s="761"/>
      <c r="G515" s="762"/>
      <c r="H515" s="596"/>
      <c r="I515" s="763"/>
      <c r="J515" s="764"/>
      <c r="K515" s="773"/>
      <c r="L515" s="771"/>
      <c r="M515" s="764"/>
      <c r="N515" s="784"/>
      <c r="O515" s="784"/>
      <c r="P515" s="763"/>
      <c r="Q515" s="764"/>
      <c r="R515" s="764"/>
      <c r="S515" s="764"/>
      <c r="T515" s="764"/>
      <c r="U515" s="768"/>
      <c r="V515" s="768"/>
      <c r="W515" s="769" t="str">
        <f>IFERROR(VLOOKUP('General price list'!$C515,Popisy!A:P,MATCH($W$17,Popisy!$A$7:$P$7,0),FALSE),"---------------")</f>
        <v>---------------</v>
      </c>
      <c r="X515" s="769" t="str">
        <f t="shared" si="230"/>
        <v/>
      </c>
      <c r="Y515" s="770">
        <f>IF(OR(AP515&lt;AA515,AND(NOT(OR(LEFT(AB515,3)="SKL",LEFT(AB515,3)=LEFT($V$2,3))),AA515&gt;0),AND('Deutsche Markt'!$AH$1=FALSE,J515="F4",AA515&gt;0)),"",AA515)</f>
        <v>0</v>
      </c>
      <c r="Z515" s="769"/>
      <c r="AA515" s="771">
        <f>'Deutsche Markt'!AA515</f>
        <v>0</v>
      </c>
      <c r="AB515" s="772" t="str">
        <f>IFERROR(IF(VLOOKUP(C515,[1]List1!$A:$D,2,FALSE)="VYPRODÁNO",$V$9,IF(VLOOKUP(C515,[1]List1!$A:$D,2,FALSE)="DOCHÁZÍ",$V$3,VLOOKUP(C515,[1]List1!$A:$D,2,FALSE))),"OFFLINE!")</f>
        <v>OFFLINE!</v>
      </c>
      <c r="AC515" s="785" t="str">
        <f ca="1">IF(AO515="NE",$V$10,IF(AB515=$V$3,IF(AP515&lt;1,$V$8,$V$2&amp;" "&amp;AP515&amp;" "&amp;$V$1),IF(AB515="SKLADEM",$V$6,IFERROR(IF(OR(AB515-TODAY()&gt;21,VLOOKUP(C515,[1]List1!$A:$E,4,FALSE)=0),AB515,DAY(AB515)&amp;"."&amp;MONTH(AB515)&amp;"."&amp;YEAR(AB515)&amp;" "&amp;$V$4&amp;VLOOKUP(C515,[1]List1!$A:$E,4,FALSE)&amp;" "&amp;$V$1),AB515))))</f>
        <v>OFFLINE!</v>
      </c>
      <c r="AD515" s="785" t="str">
        <f t="shared" ca="1" si="231"/>
        <v>OFFLINE!</v>
      </c>
      <c r="AE515" s="605"/>
      <c r="AF515" s="605"/>
      <c r="AG515" s="615"/>
      <c r="AH515" s="616"/>
      <c r="AI515" s="615"/>
      <c r="AJ515" s="617"/>
      <c r="AK515" s="617"/>
      <c r="AL515" s="617"/>
      <c r="AM515" s="617"/>
      <c r="AO515" s="567" t="str">
        <f t="shared" si="210"/>
        <v/>
      </c>
      <c r="AP515" s="568" t="str">
        <f>IF(AB515=$V$3,IF(VLOOKUP(C515,[1]List1!$A:$E,5,FALSE)=0,1,VLOOKUP(C515,[1]List1!$A:$E,5,FALSE)),"")</f>
        <v/>
      </c>
      <c r="AQ515" s="292" t="str">
        <f t="shared" si="211"/>
        <v/>
      </c>
      <c r="AR515" s="618" t="str">
        <f t="shared" si="212"/>
        <v/>
      </c>
      <c r="AS515" s="292" t="str">
        <f t="shared" si="213"/>
        <v/>
      </c>
      <c r="AT515" s="377" t="e">
        <f t="shared" si="214"/>
        <v>#N/A</v>
      </c>
      <c r="AU515" s="292" t="e">
        <f t="shared" si="215"/>
        <v>#N/A</v>
      </c>
    </row>
    <row r="516" spans="1:47" ht="15" customHeight="1">
      <c r="A516" s="601" t="str">
        <f>Kat.!B514</f>
        <v/>
      </c>
      <c r="B516" s="601">
        <f t="shared" si="199"/>
        <v>1</v>
      </c>
      <c r="C516" s="783" t="s">
        <v>2149</v>
      </c>
      <c r="D516" s="783"/>
      <c r="E516" s="764"/>
      <c r="F516" s="761"/>
      <c r="G516" s="762"/>
      <c r="H516" s="595"/>
      <c r="I516" s="764"/>
      <c r="J516" s="764"/>
      <c r="K516" s="765"/>
      <c r="L516" s="764"/>
      <c r="M516" s="764"/>
      <c r="N516" s="764"/>
      <c r="O516" s="764"/>
      <c r="P516" s="764"/>
      <c r="Q516" s="764"/>
      <c r="R516" s="764"/>
      <c r="S516" s="764"/>
      <c r="T516" s="764"/>
      <c r="U516" s="764"/>
      <c r="V516" s="764"/>
      <c r="W516" s="764" t="str">
        <f>IFERROR(VLOOKUP('General price list'!$C516,Popisy!A:P,MATCH($W$17,Popisy!$A$7:$P$7,0),FALSE),"---------------")</f>
        <v>Produktmodell - ohne Sprengstoff</v>
      </c>
      <c r="X516" s="764" t="str">
        <f t="shared" si="230"/>
        <v/>
      </c>
      <c r="Y516" s="770">
        <f>IF(OR(AP516&lt;AA516,AND(NOT(OR(LEFT(AB516,3)="SKL",LEFT(AB516,3)=LEFT($V$2,3))),AA516&gt;0),AND('Deutsche Markt'!$AH$1=FALSE,J516="F4",AA516&gt;0)),"",AA516)</f>
        <v>0</v>
      </c>
      <c r="Z516" s="764"/>
      <c r="AA516" s="771">
        <f>'Deutsche Markt'!AA516</f>
        <v>0</v>
      </c>
      <c r="AB516" s="772" t="str">
        <f>IFERROR(IF(VLOOKUP(C516,[1]List1!$A:$D,2,FALSE)="VYPRODÁNO",$V$9,IF(VLOOKUP(C516,[1]List1!$A:$D,2,FALSE)="DOCHÁZÍ",$V$3,VLOOKUP(C516,[1]List1!$A:$D,2,FALSE))),"OFFLINE!")</f>
        <v>SKLADEM</v>
      </c>
      <c r="AC516" s="785" t="str">
        <f ca="1">IF(AO516="NE",$V$10,IF(AB516=$V$3,IF(AP516&lt;1,$V$8,$V$2&amp;" "&amp;AP516&amp;" "&amp;$V$1),IF(AB516="SKLADEM",$V$6,IFERROR(IF(OR(AB516-TODAY()&gt;21,VLOOKUP(C516,[1]List1!$A:$E,4,FALSE)=0),AB516,DAY(AB516)&amp;"."&amp;MONTH(AB516)&amp;"."&amp;YEAR(AB516)&amp;" "&amp;$V$4&amp;VLOOKUP(C516,[1]List1!$A:$E,4,FALSE)&amp;" "&amp;$V$1),AB516))))</f>
        <v>AUF LAGER</v>
      </c>
      <c r="AD516" s="785" t="str">
        <f t="shared" ca="1" si="231"/>
        <v>AUF LAGER</v>
      </c>
      <c r="AE516" s="609"/>
      <c r="AF516" s="609"/>
      <c r="AG516" s="627"/>
      <c r="AH516" s="609"/>
      <c r="AI516" s="627"/>
      <c r="AJ516" s="609"/>
      <c r="AK516" s="609"/>
      <c r="AL516" s="609"/>
      <c r="AM516" s="627"/>
      <c r="AO516" s="567" t="str">
        <f t="shared" si="210"/>
        <v/>
      </c>
      <c r="AP516" s="292" t="str">
        <f>IF(AB516=$V$3,IF(VLOOKUP(C516,[1]List1!$A:$E,5,FALSE)=0,1,VLOOKUP(C516,[1]List1!$A:$E,5,FALSE)),"")</f>
        <v/>
      </c>
      <c r="AQ516" s="292" t="str">
        <f t="shared" si="211"/>
        <v/>
      </c>
      <c r="AR516" s="618" t="str">
        <f t="shared" si="212"/>
        <v/>
      </c>
      <c r="AS516" s="292" t="str">
        <f t="shared" si="213"/>
        <v/>
      </c>
      <c r="AT516" s="377" t="e">
        <f t="shared" si="214"/>
        <v>#N/A</v>
      </c>
      <c r="AU516" s="292" t="e">
        <f t="shared" si="215"/>
        <v>#N/A</v>
      </c>
    </row>
    <row r="517" spans="1:47" ht="15" customHeight="1">
      <c r="A517" s="601" t="str">
        <f>Kat.!B515</f>
        <v>Batterien 100 schuss, 25mm Mörser-1.3G</v>
      </c>
      <c r="B517" s="601">
        <f t="shared" si="199"/>
        <v>0</v>
      </c>
      <c r="C517" s="783"/>
      <c r="D517" s="800"/>
      <c r="E517" s="760"/>
      <c r="F517" s="761"/>
      <c r="G517" s="762"/>
      <c r="H517" s="596"/>
      <c r="I517" s="763"/>
      <c r="J517" s="764"/>
      <c r="K517" s="773"/>
      <c r="L517" s="782"/>
      <c r="M517" s="764"/>
      <c r="N517" s="767"/>
      <c r="O517" s="763"/>
      <c r="P517" s="763"/>
      <c r="Q517" s="764"/>
      <c r="R517" s="764"/>
      <c r="S517" s="764"/>
      <c r="T517" s="764"/>
      <c r="U517" s="768"/>
      <c r="V517" s="768"/>
      <c r="W517" s="769" t="str">
        <f>IFERROR(VLOOKUP('General price list'!$C517,Popisy!A:P,MATCH($W$17,Popisy!$A$7:$P$7,0),FALSE),"---------------")</f>
        <v>---------------</v>
      </c>
      <c r="X517" s="769" t="str">
        <f t="shared" si="230"/>
        <v/>
      </c>
      <c r="Y517" s="770">
        <f>IF(OR(AP517&lt;AA517,AND(NOT(OR(LEFT(AB517,3)="SKL",LEFT(AB517,3)=LEFT($V$2,3))),AA517&gt;0),AND('Deutsche Markt'!$AH$1=FALSE,J517="F4",AA517&gt;0)),"",AA517)</f>
        <v>0</v>
      </c>
      <c r="Z517" s="769"/>
      <c r="AA517" s="771">
        <f>'Deutsche Markt'!AA517</f>
        <v>0</v>
      </c>
      <c r="AB517" s="772" t="str">
        <f>IFERROR(IF(VLOOKUP(C517,[1]List1!$A:$D,2,FALSE)="VYPRODÁNO",$V$9,IF(VLOOKUP(C517,[1]List1!$A:$D,2,FALSE)="DOCHÁZÍ",$V$3,VLOOKUP(C517,[1]List1!$A:$D,2,FALSE))),"OFFLINE!")</f>
        <v>OFFLINE!</v>
      </c>
      <c r="AC517" s="772" t="str">
        <f ca="1">IF(AO517="NE",$V$10,IF(AB517=$V$3,IF(AP517&lt;1,$V$8,$V$2&amp;" "&amp;AP517&amp;" "&amp;$V$1),IF(AB517="SKLADEM",$V$6,IFERROR(IF(OR(AB517-TODAY()&gt;21,VLOOKUP(C517,[1]List1!$A:$E,4,FALSE)=0),AB517,DAY(AB517)&amp;"."&amp;MONTH(AB517)&amp;"."&amp;YEAR(AB517)&amp;" "&amp;$V$4&amp;VLOOKUP(C517,[1]List1!$A:$E,4,FALSE)&amp;" "&amp;$V$1),AB517))))</f>
        <v>OFFLINE!</v>
      </c>
      <c r="AD517" s="772" t="str">
        <f t="shared" ca="1" si="231"/>
        <v>OFFLINE!</v>
      </c>
      <c r="AE517" s="605"/>
      <c r="AF517" s="605"/>
      <c r="AG517" s="615"/>
      <c r="AH517" s="616"/>
      <c r="AI517" s="615"/>
      <c r="AJ517" s="617"/>
      <c r="AK517" s="617"/>
      <c r="AL517" s="617"/>
      <c r="AM517" s="617"/>
      <c r="AO517" s="567" t="str">
        <f t="shared" si="210"/>
        <v/>
      </c>
      <c r="AP517" s="568" t="str">
        <f>IF(AB517=$V$3,IF(VLOOKUP(C517,[1]List1!$A:$E,5,FALSE)=0,1,VLOOKUP(C517,[1]List1!$A:$E,5,FALSE)),"")</f>
        <v/>
      </c>
      <c r="AQ517" s="292" t="str">
        <f t="shared" si="211"/>
        <v/>
      </c>
      <c r="AR517" s="618" t="str">
        <f t="shared" si="212"/>
        <v/>
      </c>
      <c r="AS517" s="292" t="str">
        <f t="shared" si="213"/>
        <v/>
      </c>
      <c r="AT517" s="377" t="e">
        <f t="shared" si="214"/>
        <v>#N/A</v>
      </c>
      <c r="AU517" s="292" t="e">
        <f t="shared" si="215"/>
        <v>#N/A</v>
      </c>
    </row>
    <row r="518" spans="1:47" ht="15" customHeight="1">
      <c r="A518" s="601" t="str">
        <f>Kat.!$B$1&amp;Kat.!B516</f>
        <v/>
      </c>
      <c r="B518" s="601">
        <f t="shared" si="199"/>
        <v>1</v>
      </c>
      <c r="C518" s="602" t="s">
        <v>2151</v>
      </c>
      <c r="D518" s="235"/>
      <c r="E518" s="604"/>
      <c r="F518" s="605"/>
      <c r="G518" s="606"/>
      <c r="H518" s="607"/>
      <c r="I518" s="608"/>
      <c r="J518" s="609"/>
      <c r="K518" s="708"/>
      <c r="L518" s="611"/>
      <c r="M518" s="609"/>
      <c r="N518" s="621"/>
      <c r="O518" s="608"/>
      <c r="P518" s="608"/>
      <c r="Q518" s="609"/>
      <c r="R518" s="609"/>
      <c r="S518" s="609"/>
      <c r="T518" s="609"/>
      <c r="U518" s="613"/>
      <c r="V518" s="613"/>
      <c r="W518" s="601" t="str">
        <f>IFERROR(VLOOKUP('General price list'!$C518,Popisy!A:P,MATCH($W$17,Popisy!$A$7:$P$7,0),FALSE),"---------------")</f>
        <v>Produktmodell - ohne Sprengstoff</v>
      </c>
      <c r="X518" s="601" t="str">
        <f t="shared" ref="X518:X520" si="232">IF(AA518&lt;0.0001,"",AA518)</f>
        <v/>
      </c>
      <c r="Y518" s="770">
        <f>IF(OR(AP518&lt;AA518,AND(NOT(OR(LEFT(AB518,3)="SKL",LEFT(AB518,3)=LEFT($V$2,3))),AA518&gt;0),AND('Deutsche Markt'!$AH$1=FALSE,J518="F4",AA518&gt;0)),"",AA518)</f>
        <v>0</v>
      </c>
      <c r="Z518" s="601"/>
      <c r="AA518" s="771">
        <f>'Deutsche Markt'!AA518</f>
        <v>0</v>
      </c>
      <c r="AB518" s="614" t="str">
        <f>IFERROR(IF(VLOOKUP(C518,[1]List1!$A:$D,2,FALSE)="VYPRODÁNO",$V$9,IF(VLOOKUP(C518,[1]List1!$A:$D,2,FALSE)="DOCHÁZÍ",$V$3,VLOOKUP(C518,[1]List1!$A:$D,2,FALSE))),"OFFLINE!")</f>
        <v>SKLADEM</v>
      </c>
      <c r="AC518" s="614" t="str">
        <f ca="1">IF(AO518="NE",$V$10,IF(AB518=$V$3,IF(AP518&lt;1,$V$8,$V$2&amp;" "&amp;AP518&amp;" "&amp;$V$1),IF(AB518="SKLADEM",$V$6,IFERROR(IF(OR(AB518-TODAY()&gt;21,VLOOKUP(C518,[1]List1!$A:$E,4,FALSE)=0),AB518,DAY(AB518)&amp;"."&amp;MONTH(AB518)&amp;"."&amp;YEAR(AB518)&amp;" "&amp;$V$4&amp;VLOOKUP(C518,[1]List1!$A:$E,4,FALSE)&amp;" "&amp;$V$1),AB518))))</f>
        <v>AUF LAGER</v>
      </c>
      <c r="AD518" s="614" t="str">
        <f t="shared" ref="AD518:AD520" ca="1" si="233">IFERROR(IF(AU518&lt;&gt;"",AU518,AC518),AC518)</f>
        <v>AUF LAGER</v>
      </c>
      <c r="AE518" s="605"/>
      <c r="AF518" s="605"/>
      <c r="AG518" s="615"/>
      <c r="AH518" s="616"/>
      <c r="AI518" s="615"/>
      <c r="AJ518" s="617"/>
      <c r="AK518" s="617"/>
      <c r="AL518" s="617"/>
      <c r="AM518" s="617"/>
      <c r="AO518" s="567" t="str">
        <f t="shared" si="210"/>
        <v/>
      </c>
      <c r="AP518" s="568" t="str">
        <f>IF(AB518=$V$3,IF(VLOOKUP(C518,[1]List1!$A:$E,5,FALSE)=0,1,VLOOKUP(C518,[1]List1!$A:$E,5,FALSE)),"")</f>
        <v/>
      </c>
      <c r="AQ518" s="292" t="str">
        <f t="shared" si="211"/>
        <v/>
      </c>
      <c r="AR518" s="618" t="str">
        <f t="shared" si="212"/>
        <v/>
      </c>
      <c r="AS518" s="292" t="str">
        <f t="shared" si="213"/>
        <v/>
      </c>
      <c r="AT518" s="377" t="e">
        <f t="shared" si="214"/>
        <v>#N/A</v>
      </c>
      <c r="AU518" s="292" t="e">
        <f t="shared" si="215"/>
        <v>#N/A</v>
      </c>
    </row>
    <row r="519" spans="1:47" ht="15" customHeight="1">
      <c r="A519" s="601" t="str">
        <f>Kat.!B517</f>
        <v>Verbundfeurwerk 25mm - F3 - 1.3G</v>
      </c>
      <c r="B519" s="601">
        <f t="shared" si="199"/>
        <v>0</v>
      </c>
      <c r="C519" s="758"/>
      <c r="D519" s="800"/>
      <c r="E519" s="760"/>
      <c r="F519" s="761"/>
      <c r="G519" s="762"/>
      <c r="H519" s="596"/>
      <c r="I519" s="763"/>
      <c r="J519" s="764"/>
      <c r="K519" s="781"/>
      <c r="L519" s="782"/>
      <c r="M519" s="764"/>
      <c r="N519" s="767"/>
      <c r="O519" s="763"/>
      <c r="P519" s="763"/>
      <c r="Q519" s="764"/>
      <c r="R519" s="764"/>
      <c r="S519" s="764"/>
      <c r="T519" s="764"/>
      <c r="U519" s="768"/>
      <c r="V519" s="768"/>
      <c r="W519" s="769" t="str">
        <f>IFERROR(VLOOKUP('General price list'!$C519,Popisy!A:P,MATCH($W$17,Popisy!$A$7:$P$7,0),FALSE),"---------------")</f>
        <v>---------------</v>
      </c>
      <c r="X519" s="769" t="str">
        <f t="shared" si="232"/>
        <v/>
      </c>
      <c r="Y519" s="770">
        <f>IF(OR(AP519&lt;AA519,AND(NOT(OR(LEFT(AB519,3)="SKL",LEFT(AB519,3)=LEFT($V$2,3))),AA519&gt;0),AND('Deutsche Markt'!$AH$1=FALSE,J519="F4",AA519&gt;0)),"",AA519)</f>
        <v>0</v>
      </c>
      <c r="Z519" s="769"/>
      <c r="AA519" s="771">
        <f>'Deutsche Markt'!AA519</f>
        <v>0</v>
      </c>
      <c r="AB519" s="772" t="str">
        <f>IFERROR(IF(VLOOKUP(C519,[1]List1!$A:$D,2,FALSE)="VYPRODÁNO",$V$9,IF(VLOOKUP(C519,[1]List1!$A:$D,2,FALSE)="DOCHÁZÍ",$V$3,VLOOKUP(C519,[1]List1!$A:$D,2,FALSE))),"OFFLINE!")</f>
        <v>OFFLINE!</v>
      </c>
      <c r="AC519" s="772" t="str">
        <f ca="1">IF(AO519="NE",$V$10,IF(AB519=$V$3,IF(AP519&lt;1,$V$8,$V$2&amp;" "&amp;AP519&amp;" "&amp;$V$1),IF(AB519="SKLADEM",$V$6,IFERROR(IF(OR(AB519-TODAY()&gt;21,VLOOKUP(C519,[1]List1!$A:$E,4,FALSE)=0),AB519,DAY(AB519)&amp;"."&amp;MONTH(AB519)&amp;"."&amp;YEAR(AB519)&amp;" "&amp;$V$4&amp;VLOOKUP(C519,[1]List1!$A:$E,4,FALSE)&amp;" "&amp;$V$1),AB519))))</f>
        <v>OFFLINE!</v>
      </c>
      <c r="AD519" s="772" t="str">
        <f t="shared" ca="1" si="233"/>
        <v>OFFLINE!</v>
      </c>
      <c r="AE519" s="605"/>
      <c r="AF519" s="605"/>
      <c r="AG519" s="615"/>
      <c r="AH519" s="616"/>
      <c r="AI519" s="615"/>
      <c r="AJ519" s="617"/>
      <c r="AK519" s="617"/>
      <c r="AL519" s="617"/>
      <c r="AM519" s="617"/>
      <c r="AO519" s="567" t="str">
        <f t="shared" si="210"/>
        <v/>
      </c>
      <c r="AP519" s="568" t="str">
        <f>IF(AB519=$V$3,IF(VLOOKUP(C519,[1]List1!$A:$E,5,FALSE)=0,1,VLOOKUP(C519,[1]List1!$A:$E,5,FALSE)),"")</f>
        <v/>
      </c>
      <c r="AQ519" s="292" t="str">
        <f t="shared" si="211"/>
        <v/>
      </c>
      <c r="AR519" s="618" t="str">
        <f t="shared" si="212"/>
        <v/>
      </c>
      <c r="AS519" s="292" t="str">
        <f t="shared" si="213"/>
        <v/>
      </c>
      <c r="AT519" s="377" t="e">
        <f t="shared" si="214"/>
        <v>#N/A</v>
      </c>
      <c r="AU519" s="292" t="e">
        <f t="shared" si="215"/>
        <v>#N/A</v>
      </c>
    </row>
    <row r="520" spans="1:47" ht="15" customHeight="1">
      <c r="A520" s="601" t="str">
        <f>Kat.!B518</f>
        <v/>
      </c>
      <c r="B520" s="601">
        <f t="shared" si="199"/>
        <v>1</v>
      </c>
      <c r="C520" s="758" t="s">
        <v>2153</v>
      </c>
      <c r="D520" s="776"/>
      <c r="E520" s="760"/>
      <c r="F520" s="761"/>
      <c r="G520" s="762"/>
      <c r="H520" s="596"/>
      <c r="I520" s="763"/>
      <c r="J520" s="764"/>
      <c r="K520" s="774"/>
      <c r="L520" s="766"/>
      <c r="M520" s="764"/>
      <c r="N520" s="777"/>
      <c r="O520" s="763"/>
      <c r="P520" s="763"/>
      <c r="Q520" s="764"/>
      <c r="R520" s="764"/>
      <c r="S520" s="764"/>
      <c r="T520" s="764"/>
      <c r="U520" s="768"/>
      <c r="V520" s="768"/>
      <c r="W520" s="769" t="str">
        <f>IFERROR(VLOOKUP('General price list'!$C520,Popisy!A:P,MATCH($W$17,Popisy!$A$7:$P$7,0),FALSE),"---------------")</f>
        <v>Produktmodell - ohne Sprengstoff</v>
      </c>
      <c r="X520" s="769" t="str">
        <f t="shared" si="232"/>
        <v/>
      </c>
      <c r="Y520" s="770">
        <f>IF(OR(AP520&lt;AA520,AND(NOT(OR(LEFT(AB520,3)="SKL",LEFT(AB520,3)=LEFT($V$2,3))),AA520&gt;0),AND('Deutsche Markt'!$AH$1=FALSE,J520="F4",AA520&gt;0)),"",AA520)</f>
        <v>0</v>
      </c>
      <c r="Z520" s="769"/>
      <c r="AA520" s="771">
        <f>'Deutsche Markt'!AA520</f>
        <v>0</v>
      </c>
      <c r="AB520" s="772" t="str">
        <f>IFERROR(IF(VLOOKUP(C520,[1]List1!$A:$D,2,FALSE)="VYPRODÁNO",$V$9,IF(VLOOKUP(C520,[1]List1!$A:$D,2,FALSE)="DOCHÁZÍ",$V$3,VLOOKUP(C520,[1]List1!$A:$D,2,FALSE))),"OFFLINE!")</f>
        <v>SKLADEM</v>
      </c>
      <c r="AC520" s="772" t="str">
        <f ca="1">IF(AO520="NE",$V$10,IF(AB520=$V$3,IF(AP520&lt;1,$V$8,$V$2&amp;" "&amp;AP520&amp;" "&amp;$V$1),IF(AB520="SKLADEM",$V$6,IFERROR(IF(OR(AB520-TODAY()&gt;21,VLOOKUP(C520,[1]List1!$A:$E,4,FALSE)=0),AB520,DAY(AB520)&amp;"."&amp;MONTH(AB520)&amp;"."&amp;YEAR(AB520)&amp;" "&amp;$V$4&amp;VLOOKUP(C520,[1]List1!$A:$E,4,FALSE)&amp;" "&amp;$V$1),AB520))))</f>
        <v>AUF LAGER</v>
      </c>
      <c r="AD520" s="772" t="str">
        <f t="shared" ca="1" si="233"/>
        <v>AUF LAGER</v>
      </c>
      <c r="AE520" s="605"/>
      <c r="AF520" s="605"/>
      <c r="AG520" s="615"/>
      <c r="AH520" s="616"/>
      <c r="AI520" s="615"/>
      <c r="AJ520" s="617"/>
      <c r="AK520" s="617"/>
      <c r="AL520" s="617"/>
      <c r="AM520" s="617"/>
      <c r="AN520" s="292"/>
      <c r="AO520" s="567" t="str">
        <f t="shared" si="210"/>
        <v/>
      </c>
      <c r="AP520" s="568" t="str">
        <f>IF(AB520=$V$3,IF(VLOOKUP(C520,[1]List1!$A:$E,5,FALSE)=0,1,VLOOKUP(C520,[1]List1!$A:$E,5,FALSE)),"")</f>
        <v/>
      </c>
      <c r="AQ520" s="292" t="str">
        <f t="shared" si="211"/>
        <v/>
      </c>
      <c r="AR520" s="618" t="str">
        <f t="shared" si="212"/>
        <v/>
      </c>
      <c r="AS520" s="292" t="str">
        <f t="shared" si="213"/>
        <v/>
      </c>
      <c r="AT520" s="377" t="e">
        <f t="shared" si="214"/>
        <v>#N/A</v>
      </c>
      <c r="AU520" s="292" t="e">
        <f t="shared" si="215"/>
        <v>#N/A</v>
      </c>
    </row>
    <row r="521" spans="1:47" ht="15" customHeight="1">
      <c r="A521" s="599" t="str">
        <f>Kat.!$B$1&amp;Kat.!B519</f>
        <v>Batterien 49 schuss, 30mm Mörser-1.3G</v>
      </c>
      <c r="B521" s="601">
        <f t="shared" si="199"/>
        <v>1</v>
      </c>
      <c r="C521" s="599" t="s">
        <v>12224</v>
      </c>
      <c r="D521" s="599"/>
      <c r="E521" s="599"/>
      <c r="F521" s="600"/>
      <c r="G521" s="599"/>
      <c r="H521" s="599"/>
      <c r="I521" s="599"/>
      <c r="J521" s="599"/>
      <c r="K521" s="708"/>
      <c r="L521" s="599"/>
      <c r="M521" s="599"/>
      <c r="N521" s="599"/>
      <c r="O521" s="599"/>
      <c r="P521" s="599"/>
      <c r="Q521" s="599"/>
      <c r="R521" s="599"/>
      <c r="S521" s="599"/>
      <c r="T521" s="599"/>
      <c r="U521" s="599"/>
      <c r="V521" s="599"/>
      <c r="W521" s="599"/>
      <c r="X521" s="599"/>
      <c r="Y521" s="770">
        <f>IF(OR(AP521&lt;AA521,AND(NOT(OR(LEFT(AB521,3)="SKL",LEFT(AB521,3)=LEFT($V$2,3))),AA521&gt;0),AND('Deutsche Markt'!$AH$1=FALSE,J521="F4",AA521&gt;0)),"",AA521)</f>
        <v>0</v>
      </c>
      <c r="Z521" s="599"/>
      <c r="AA521" s="771">
        <f>'Deutsche Markt'!AA521</f>
        <v>0</v>
      </c>
      <c r="AB521" s="599"/>
      <c r="AC521" s="599">
        <f ca="1">IF(AO521="NE",$V$10,IF(AB521=$V$3,IF(AP521&lt;1,$V$8,$V$2&amp;" "&amp;AP521&amp;" "&amp;$V$1),IF(AB521="SKLADEM",$V$6,IFERROR(IF(OR(AB521-TODAY()&gt;21,VLOOKUP(C521,[1]List1!$A:$E,4,FALSE)=0),AB521,DAY(AB521)&amp;"."&amp;MONTH(AB521)&amp;"."&amp;YEAR(AB521)&amp;" "&amp;$V$4&amp;VLOOKUP(C521,[1]List1!$A:$E,4,FALSE)&amp;" "&amp;$V$1),AB521))))</f>
        <v>0</v>
      </c>
      <c r="AD521" s="599"/>
      <c r="AE521" s="599"/>
      <c r="AF521" s="599"/>
      <c r="AG521" s="599"/>
      <c r="AH521" s="599"/>
      <c r="AI521" s="599"/>
      <c r="AJ521" s="599"/>
      <c r="AK521" s="599"/>
      <c r="AL521" s="599"/>
      <c r="AM521" s="599"/>
      <c r="AN521" s="566"/>
      <c r="AO521" s="567" t="str">
        <f t="shared" si="210"/>
        <v/>
      </c>
      <c r="AP521" s="568" t="str">
        <f>IF(AB521=$V$3,IF(VLOOKUP(C521,[1]List1!$A:$E,5,FALSE)=0,1,VLOOKUP(C521,[1]List1!$A:$E,5,FALSE)),"")</f>
        <v/>
      </c>
      <c r="AQ521" s="292" t="str">
        <f t="shared" si="211"/>
        <v/>
      </c>
      <c r="AR521" s="618" t="str">
        <f t="shared" si="212"/>
        <v/>
      </c>
      <c r="AS521" s="292" t="str">
        <f t="shared" si="213"/>
        <v/>
      </c>
      <c r="AT521" s="377" t="e">
        <f t="shared" si="214"/>
        <v>#N/A</v>
      </c>
      <c r="AU521" s="292" t="e">
        <f t="shared" si="215"/>
        <v>#N/A</v>
      </c>
    </row>
    <row r="522" spans="1:47" ht="15" customHeight="1">
      <c r="A522" s="601" t="str">
        <f>Kat.!B520</f>
        <v/>
      </c>
      <c r="B522" s="601">
        <f t="shared" si="199"/>
        <v>0</v>
      </c>
      <c r="C522" s="758"/>
      <c r="D522" s="776"/>
      <c r="E522" s="760"/>
      <c r="F522" s="761"/>
      <c r="G522" s="762"/>
      <c r="H522" s="596"/>
      <c r="I522" s="763"/>
      <c r="J522" s="764"/>
      <c r="K522" s="765"/>
      <c r="L522" s="766"/>
      <c r="M522" s="764"/>
      <c r="N522" s="777"/>
      <c r="O522" s="763"/>
      <c r="P522" s="763"/>
      <c r="Q522" s="764"/>
      <c r="R522" s="764"/>
      <c r="S522" s="764"/>
      <c r="T522" s="764"/>
      <c r="U522" s="768"/>
      <c r="V522" s="768"/>
      <c r="W522" s="769" t="str">
        <f>IFERROR(VLOOKUP('General price list'!$C522,Popisy!A:P,MATCH($W$17,Popisy!$A$7:$P$7,0),FALSE),"---------------")</f>
        <v>---------------</v>
      </c>
      <c r="X522" s="769" t="str">
        <f t="shared" ref="X522:X524" si="234">IF(AA522&lt;0.0001,"",AA522)</f>
        <v/>
      </c>
      <c r="Y522" s="770">
        <f>IF(OR(AP522&lt;AA522,AND(NOT(OR(LEFT(AB522,3)="SKL",LEFT(AB522,3)=LEFT($V$2,3))),AA522&gt;0),AND('Deutsche Markt'!$AH$1=FALSE,J522="F4",AA522&gt;0)),"",AA522)</f>
        <v>0</v>
      </c>
      <c r="Z522" s="769"/>
      <c r="AA522" s="771">
        <f>'Deutsche Markt'!AA522</f>
        <v>0</v>
      </c>
      <c r="AB522" s="772" t="str">
        <f>IFERROR(IF(VLOOKUP(C522,[1]List1!$A:$D,2,FALSE)="VYPRODÁNO",$V$9,IF(VLOOKUP(C522,[1]List1!$A:$D,2,FALSE)="DOCHÁZÍ",$V$3,VLOOKUP(C522,[1]List1!$A:$D,2,FALSE))),"OFFLINE!")</f>
        <v>OFFLINE!</v>
      </c>
      <c r="AC522" s="772" t="str">
        <f ca="1">IF(AO522="NE",$V$10,IF(AB522=$V$3,IF(AP522&lt;1,$V$8,$V$2&amp;" "&amp;AP522&amp;" "&amp;$V$1),IF(AB522="SKLADEM",$V$6,IFERROR(IF(OR(AB522-TODAY()&gt;21,VLOOKUP(C522,[1]List1!$A:$E,4,FALSE)=0),AB522,DAY(AB522)&amp;"."&amp;MONTH(AB522)&amp;"."&amp;YEAR(AB522)&amp;" "&amp;$V$4&amp;VLOOKUP(C522,[1]List1!$A:$E,4,FALSE)&amp;" "&amp;$V$1),AB522))))</f>
        <v>OFFLINE!</v>
      </c>
      <c r="AD522" s="772" t="str">
        <f t="shared" ref="AD522:AD524" ca="1" si="235">IFERROR(IF(AU522&lt;&gt;"",AU522,AC522),AC522)</f>
        <v>OFFLINE!</v>
      </c>
      <c r="AE522" s="605"/>
      <c r="AF522" s="605"/>
      <c r="AG522" s="615"/>
      <c r="AH522" s="616"/>
      <c r="AI522" s="615"/>
      <c r="AJ522" s="617"/>
      <c r="AK522" s="617"/>
      <c r="AL522" s="617"/>
      <c r="AM522" s="617"/>
      <c r="AN522" s="292"/>
      <c r="AO522" s="567" t="str">
        <f t="shared" si="210"/>
        <v/>
      </c>
      <c r="AP522" s="568" t="str">
        <f>IF(AB522=$V$3,IF(VLOOKUP(C522,[1]List1!$A:$E,5,FALSE)=0,1,VLOOKUP(C522,[1]List1!$A:$E,5,FALSE)),"")</f>
        <v/>
      </c>
      <c r="AQ522" s="292" t="str">
        <f t="shared" si="211"/>
        <v/>
      </c>
      <c r="AR522" s="618" t="str">
        <f t="shared" si="212"/>
        <v/>
      </c>
      <c r="AS522" s="292" t="str">
        <f t="shared" si="213"/>
        <v/>
      </c>
      <c r="AT522" s="377" t="e">
        <f t="shared" si="214"/>
        <v>#N/A</v>
      </c>
      <c r="AU522" s="292" t="e">
        <f t="shared" si="215"/>
        <v>#N/A</v>
      </c>
    </row>
    <row r="523" spans="1:47" ht="15" customHeight="1">
      <c r="A523" s="601" t="str">
        <f>Kat.!B521</f>
        <v/>
      </c>
      <c r="B523" s="601">
        <f t="shared" si="199"/>
        <v>1</v>
      </c>
      <c r="C523" s="783" t="s">
        <v>2155</v>
      </c>
      <c r="D523" s="783"/>
      <c r="E523" s="764"/>
      <c r="F523" s="761"/>
      <c r="G523" s="762"/>
      <c r="H523" s="596"/>
      <c r="I523" s="787"/>
      <c r="J523" s="764"/>
      <c r="K523" s="773"/>
      <c r="L523" s="787"/>
      <c r="M523" s="764"/>
      <c r="N523" s="767"/>
      <c r="O523" s="763"/>
      <c r="P523" s="763"/>
      <c r="Q523" s="764"/>
      <c r="R523" s="764"/>
      <c r="S523" s="764"/>
      <c r="T523" s="764"/>
      <c r="U523" s="768"/>
      <c r="V523" s="768"/>
      <c r="W523" s="769" t="str">
        <f>IFERROR(VLOOKUP('General price list'!$C523,Popisy!A:P,MATCH($W$17,Popisy!$A$7:$P$7,0),FALSE),"---------------")</f>
        <v>Produktmodell - ohne Sprengstoff</v>
      </c>
      <c r="X523" s="769" t="str">
        <f t="shared" si="234"/>
        <v/>
      </c>
      <c r="Y523" s="770">
        <f>IF(OR(AP523&lt;AA523,AND(NOT(OR(LEFT(AB523,3)="SKL",LEFT(AB523,3)=LEFT($V$2,3))),AA523&gt;0),AND('Deutsche Markt'!$AH$1=FALSE,J523="F4",AA523&gt;0)),"",AA523)</f>
        <v>0</v>
      </c>
      <c r="Z523" s="769"/>
      <c r="AA523" s="771">
        <f>'Deutsche Markt'!AA523</f>
        <v>0</v>
      </c>
      <c r="AB523" s="772" t="str">
        <f>IFERROR(IF(VLOOKUP(C523,[1]List1!$A:$D,2,FALSE)="VYPRODÁNO",$V$9,IF(VLOOKUP(C523,[1]List1!$A:$D,2,FALSE)="DOCHÁZÍ",$V$3,VLOOKUP(C523,[1]List1!$A:$D,2,FALSE))),"OFFLINE!")</f>
        <v>SKLADEM</v>
      </c>
      <c r="AC523" s="772" t="str">
        <f ca="1">IF(AO523="NE",$V$10,IF(AB523=$V$3,IF(AP523&lt;1,$V$8,$V$2&amp;" "&amp;AP523&amp;" "&amp;$V$1),IF(AB523="SKLADEM",$V$6,IFERROR(IF(OR(AB523-TODAY()&gt;21,VLOOKUP(C523,[1]List1!$A:$E,4,FALSE)=0),AB523,DAY(AB523)&amp;"."&amp;MONTH(AB523)&amp;"."&amp;YEAR(AB523)&amp;" "&amp;$V$4&amp;VLOOKUP(C523,[1]List1!$A:$E,4,FALSE)&amp;" "&amp;$V$1),AB523))))</f>
        <v>AUF LAGER</v>
      </c>
      <c r="AD523" s="772" t="str">
        <f t="shared" ca="1" si="235"/>
        <v>AUF LAGER</v>
      </c>
      <c r="AE523" s="605"/>
      <c r="AF523" s="605"/>
      <c r="AG523" s="615"/>
      <c r="AH523" s="616"/>
      <c r="AI523" s="615"/>
      <c r="AJ523" s="617"/>
      <c r="AK523" s="617"/>
      <c r="AL523" s="617"/>
      <c r="AM523" s="617"/>
      <c r="AN523" s="292"/>
      <c r="AO523" s="567" t="str">
        <f t="shared" si="210"/>
        <v/>
      </c>
      <c r="AP523" s="568" t="str">
        <f>IF(AB523=$V$3,IF(VLOOKUP(C523,[1]List1!$A:$E,5,FALSE)=0,1,VLOOKUP(C523,[1]List1!$A:$E,5,FALSE)),"")</f>
        <v/>
      </c>
      <c r="AQ523" s="292" t="str">
        <f t="shared" si="211"/>
        <v/>
      </c>
      <c r="AR523" s="618" t="str">
        <f t="shared" si="212"/>
        <v/>
      </c>
      <c r="AS523" s="292" t="str">
        <f t="shared" si="213"/>
        <v/>
      </c>
      <c r="AT523" s="377" t="e">
        <f t="shared" si="214"/>
        <v>#N/A</v>
      </c>
      <c r="AU523" s="292" t="e">
        <f t="shared" si="215"/>
        <v>#N/A</v>
      </c>
    </row>
    <row r="524" spans="1:47" ht="15" customHeight="1">
      <c r="A524" s="601" t="str">
        <f>Kat.!B522</f>
        <v>Batterien 49 schuss, 30mm schräg Mörser-1.3G</v>
      </c>
      <c r="B524" s="601">
        <f t="shared" si="199"/>
        <v>0</v>
      </c>
      <c r="C524" s="783"/>
      <c r="D524" s="776"/>
      <c r="E524" s="760"/>
      <c r="F524" s="761"/>
      <c r="G524" s="762"/>
      <c r="H524" s="596"/>
      <c r="I524" s="797"/>
      <c r="J524" s="764"/>
      <c r="K524" s="765"/>
      <c r="L524" s="766"/>
      <c r="M524" s="764"/>
      <c r="N524" s="767"/>
      <c r="O524" s="763"/>
      <c r="P524" s="763"/>
      <c r="Q524" s="764"/>
      <c r="R524" s="764"/>
      <c r="S524" s="764"/>
      <c r="T524" s="764"/>
      <c r="U524" s="768"/>
      <c r="V524" s="768"/>
      <c r="W524" s="769" t="str">
        <f>IFERROR(VLOOKUP('General price list'!$C524,Popisy!A:P,MATCH($W$17,Popisy!$A$7:$P$7,0),FALSE),"---------------")</f>
        <v>---------------</v>
      </c>
      <c r="X524" s="769" t="str">
        <f t="shared" si="234"/>
        <v/>
      </c>
      <c r="Y524" s="770">
        <f>IF(OR(AP524&lt;AA524,AND(NOT(OR(LEFT(AB524,3)="SKL",LEFT(AB524,3)=LEFT($V$2,3))),AA524&gt;0),AND('Deutsche Markt'!$AH$1=FALSE,J524="F4",AA524&gt;0)),"",AA524)</f>
        <v>0</v>
      </c>
      <c r="Z524" s="769"/>
      <c r="AA524" s="771">
        <f>'Deutsche Markt'!AA524</f>
        <v>0</v>
      </c>
      <c r="AB524" s="772" t="str">
        <f>IFERROR(IF(VLOOKUP(C524,[1]List1!$A:$D,2,FALSE)="VYPRODÁNO",$V$9,IF(VLOOKUP(C524,[1]List1!$A:$D,2,FALSE)="DOCHÁZÍ",$V$3,VLOOKUP(C524,[1]List1!$A:$D,2,FALSE))),"OFFLINE!")</f>
        <v>OFFLINE!</v>
      </c>
      <c r="AC524" s="772" t="str">
        <f ca="1">IF(AO524="NE",$V$10,IF(AB524=$V$3,IF(AP524&lt;1,$V$8,$V$2&amp;" "&amp;AP524&amp;" "&amp;$V$1),IF(AB524="SKLADEM",$V$6,IFERROR(IF(OR(AB524-TODAY()&gt;21,VLOOKUP(C524,[1]List1!$A:$E,4,FALSE)=0),AB524,DAY(AB524)&amp;"."&amp;MONTH(AB524)&amp;"."&amp;YEAR(AB524)&amp;" "&amp;$V$4&amp;VLOOKUP(C524,[1]List1!$A:$E,4,FALSE)&amp;" "&amp;$V$1),AB524))))</f>
        <v>OFFLINE!</v>
      </c>
      <c r="AD524" s="772" t="str">
        <f t="shared" ca="1" si="235"/>
        <v>OFFLINE!</v>
      </c>
      <c r="AE524" s="605"/>
      <c r="AF524" s="605"/>
      <c r="AG524" s="615"/>
      <c r="AH524" s="616"/>
      <c r="AI524" s="615"/>
      <c r="AJ524" s="617"/>
      <c r="AK524" s="617"/>
      <c r="AL524" s="617"/>
      <c r="AM524" s="617"/>
      <c r="AN524" s="292"/>
      <c r="AO524" s="567" t="str">
        <f t="shared" si="210"/>
        <v/>
      </c>
      <c r="AP524" s="568" t="str">
        <f>IF(AB524=$V$3,IF(VLOOKUP(C524,[1]List1!$A:$E,5,FALSE)=0,1,VLOOKUP(C524,[1]List1!$A:$E,5,FALSE)),"")</f>
        <v/>
      </c>
      <c r="AQ524" s="292" t="str">
        <f t="shared" si="211"/>
        <v/>
      </c>
      <c r="AR524" s="618" t="str">
        <f t="shared" si="212"/>
        <v/>
      </c>
      <c r="AS524" s="292" t="str">
        <f t="shared" si="213"/>
        <v/>
      </c>
      <c r="AT524" s="377" t="e">
        <f t="shared" si="214"/>
        <v>#N/A</v>
      </c>
      <c r="AU524" s="292" t="e">
        <f t="shared" si="215"/>
        <v>#N/A</v>
      </c>
    </row>
    <row r="525" spans="1:47" ht="15" customHeight="1">
      <c r="A525" s="624" t="str">
        <f>Kat.!$B$1&amp;Kat.!B523</f>
        <v/>
      </c>
      <c r="B525" s="601">
        <f t="shared" si="199"/>
        <v>1</v>
      </c>
      <c r="C525" s="163" t="s">
        <v>2159</v>
      </c>
      <c r="D525" s="163"/>
      <c r="E525" s="609"/>
      <c r="F525" s="605"/>
      <c r="G525" s="606"/>
      <c r="H525" s="625"/>
      <c r="I525" s="609"/>
      <c r="J525" s="609"/>
      <c r="K525" s="708"/>
      <c r="L525" s="609"/>
      <c r="M525" s="609"/>
      <c r="N525" s="609"/>
      <c r="O525" s="609"/>
      <c r="P525" s="609"/>
      <c r="Q525" s="609"/>
      <c r="R525" s="609"/>
      <c r="S525" s="609"/>
      <c r="T525" s="609"/>
      <c r="U525" s="609"/>
      <c r="V525" s="609"/>
      <c r="W525" s="609" t="str">
        <f>IFERROR(VLOOKUP('General price list'!$C525,Popisy!A:P,MATCH($W$17,Popisy!$A$7:$P$7,0),FALSE),"---------------")</f>
        <v>Produktmodell - ohne Sprengstoff</v>
      </c>
      <c r="X525" s="609" t="str">
        <f>IF(AA525&lt;0.0001,"",AA525)</f>
        <v/>
      </c>
      <c r="Y525" s="770">
        <f>IF(OR(AP525&lt;AA525,AND(NOT(OR(LEFT(AB525,3)="SKL",LEFT(AB525,3)=LEFT($V$2,3))),AA525&gt;0),AND('Deutsche Markt'!$AH$1=FALSE,J525="F4",AA525&gt;0)),"",AA525)</f>
        <v>0</v>
      </c>
      <c r="Z525" s="609"/>
      <c r="AA525" s="771">
        <f>'Deutsche Markt'!AA525</f>
        <v>0</v>
      </c>
      <c r="AB525" s="614" t="str">
        <f>IFERROR(IF(VLOOKUP(C525,[1]List1!$A:$D,2,FALSE)="VYPRODÁNO",$V$9,IF(VLOOKUP(C525,[1]List1!$A:$D,2,FALSE)="DOCHÁZÍ",$V$3,VLOOKUP(C525,[1]List1!$A:$D,2,FALSE))),"OFFLINE!")</f>
        <v>SKLADEM</v>
      </c>
      <c r="AC525" s="626" t="str">
        <f ca="1">IF(AO525="NE",$V$10,IF(AB525=$V$3,IF(AP525&lt;1,$V$8,$V$2&amp;" "&amp;AP525&amp;" "&amp;$V$1),IF(AB525="SKLADEM",$V$6,IFERROR(IF(OR(AB525-TODAY()&gt;21,VLOOKUP(C525,[1]List1!$A:$E,4,FALSE)=0),AB525,DAY(AB525)&amp;"."&amp;MONTH(AB525)&amp;"."&amp;YEAR(AB525)&amp;" "&amp;$V$4&amp;VLOOKUP(C525,[1]List1!$A:$E,4,FALSE)&amp;" "&amp;$V$1),AB525))))</f>
        <v>AUF LAGER</v>
      </c>
      <c r="AD525" s="626" t="str">
        <f ca="1">IFERROR(IF(AU525&lt;&gt;"",AU525,AC525),AC525)</f>
        <v>AUF LAGER</v>
      </c>
      <c r="AE525" s="609"/>
      <c r="AF525" s="609"/>
      <c r="AG525" s="627"/>
      <c r="AH525" s="609"/>
      <c r="AI525" s="627"/>
      <c r="AJ525" s="609"/>
      <c r="AK525" s="609"/>
      <c r="AL525" s="609"/>
      <c r="AM525" s="627"/>
      <c r="AO525" s="567" t="str">
        <f t="shared" si="210"/>
        <v/>
      </c>
      <c r="AP525" s="568" t="str">
        <f>IF(AB525=$V$3,IF(VLOOKUP(C525,[1]List1!$A:$E,5,FALSE)=0,1,VLOOKUP(C525,[1]List1!$A:$E,5,FALSE)),"")</f>
        <v/>
      </c>
      <c r="AQ525" s="292" t="str">
        <f t="shared" si="211"/>
        <v/>
      </c>
      <c r="AR525" s="618" t="str">
        <f t="shared" si="212"/>
        <v/>
      </c>
      <c r="AS525" s="292" t="str">
        <f t="shared" si="213"/>
        <v/>
      </c>
      <c r="AT525" s="377" t="e">
        <f t="shared" si="214"/>
        <v>#N/A</v>
      </c>
      <c r="AU525" s="292" t="e">
        <f t="shared" si="215"/>
        <v>#N/A</v>
      </c>
    </row>
    <row r="526" spans="1:47" ht="15" customHeight="1">
      <c r="A526" s="601" t="str">
        <f>Kat.!B524</f>
        <v>Batterien 64 schuss, 30mm schräg Mörser-1.3G</v>
      </c>
      <c r="B526" s="601">
        <f t="shared" si="199"/>
        <v>0</v>
      </c>
      <c r="C526" s="778"/>
      <c r="D526" s="778"/>
      <c r="E526" s="778"/>
      <c r="F526" s="779"/>
      <c r="G526" s="778"/>
      <c r="H526" s="778"/>
      <c r="I526" s="778"/>
      <c r="J526" s="778"/>
      <c r="K526" s="765"/>
      <c r="L526" s="778"/>
      <c r="M526" s="778"/>
      <c r="N526" s="778"/>
      <c r="O526" s="778"/>
      <c r="P526" s="778"/>
      <c r="Q526" s="778"/>
      <c r="R526" s="778"/>
      <c r="S526" s="778"/>
      <c r="T526" s="778"/>
      <c r="U526" s="778"/>
      <c r="V526" s="778"/>
      <c r="W526" s="778" t="str">
        <f>IFERROR(VLOOKUP('General price list'!$C526,Popisy!A:P,MATCH($W$17,Popisy!$A$7:$P$7,0),FALSE),"---------------")</f>
        <v>---------------</v>
      </c>
      <c r="X526" s="778" t="str">
        <f t="shared" ref="X526:X527" si="236">IF(AA526&lt;0.0001,"",AA526)</f>
        <v/>
      </c>
      <c r="Y526" s="770">
        <f>IF(OR(AP526&lt;AA526,AND(NOT(OR(LEFT(AB526,3)="SKL",LEFT(AB526,3)=LEFT($V$2,3))),AA526&gt;0),AND('Deutsche Markt'!$AH$1=FALSE,J526="F4",AA526&gt;0)),"",AA526)</f>
        <v>0</v>
      </c>
      <c r="Z526" s="778"/>
      <c r="AA526" s="771">
        <f>'Deutsche Markt'!AA526</f>
        <v>0</v>
      </c>
      <c r="AB526" s="778" t="str">
        <f>IFERROR(IF(VLOOKUP(C526,[1]List1!$A:$D,2,FALSE)="VYPRODÁNO",$V$9,IF(VLOOKUP(C526,[1]List1!$A:$D,2,FALSE)="DOCHÁZÍ",$V$3,VLOOKUP(C526,[1]List1!$A:$D,2,FALSE))),"OFFLINE!")</f>
        <v>OFFLINE!</v>
      </c>
      <c r="AC526" s="778" t="str">
        <f ca="1">IF(AO526="NE",$V$10,IF(AB526=$V$3,IF(AP526&lt;1,$V$8,$V$2&amp;" "&amp;AP526&amp;" "&amp;$V$1),IF(AB526="SKLADEM",$V$6,IFERROR(IF(OR(AB526-TODAY()&gt;21,VLOOKUP(C526,[1]List1!$A:$E,4,FALSE)=0),AB526,DAY(AB526)&amp;"."&amp;MONTH(AB526)&amp;"."&amp;YEAR(AB526)&amp;" "&amp;$V$4&amp;VLOOKUP(C526,[1]List1!$A:$E,4,FALSE)&amp;" "&amp;$V$1),AB526))))</f>
        <v>OFFLINE!</v>
      </c>
      <c r="AD526" s="778" t="str">
        <f t="shared" ref="AD526:AD527" ca="1" si="237">IFERROR(IF(AU526&lt;&gt;"",AU526,AC526),AC526)</f>
        <v>OFFLINE!</v>
      </c>
      <c r="AE526" s="599"/>
      <c r="AF526" s="599"/>
      <c r="AG526" s="599"/>
      <c r="AH526" s="599"/>
      <c r="AI526" s="599"/>
      <c r="AJ526" s="599"/>
      <c r="AK526" s="599"/>
      <c r="AL526" s="599"/>
      <c r="AM526" s="599"/>
      <c r="AN526" s="566"/>
      <c r="AO526" s="567" t="str">
        <f t="shared" si="210"/>
        <v/>
      </c>
      <c r="AP526" s="568" t="str">
        <f>IF(AB526=$V$3,IF(VLOOKUP(C526,[1]List1!$A:$E,5,FALSE)=0,1,VLOOKUP(C526,[1]List1!$A:$E,5,FALSE)),"")</f>
        <v/>
      </c>
      <c r="AQ526" s="292" t="str">
        <f t="shared" si="211"/>
        <v/>
      </c>
      <c r="AR526" s="618" t="str">
        <f t="shared" si="212"/>
        <v/>
      </c>
      <c r="AS526" s="292" t="str">
        <f t="shared" si="213"/>
        <v/>
      </c>
      <c r="AT526" s="377" t="e">
        <f t="shared" si="214"/>
        <v>#N/A</v>
      </c>
      <c r="AU526" s="292" t="e">
        <f t="shared" si="215"/>
        <v>#N/A</v>
      </c>
    </row>
    <row r="527" spans="1:47" ht="15" customHeight="1">
      <c r="A527" s="601" t="str">
        <f>Kat.!B525</f>
        <v/>
      </c>
      <c r="B527" s="601">
        <f t="shared" si="199"/>
        <v>1</v>
      </c>
      <c r="C527" s="783" t="s">
        <v>2161</v>
      </c>
      <c r="D527" s="783"/>
      <c r="E527" s="764"/>
      <c r="F527" s="761"/>
      <c r="G527" s="762"/>
      <c r="H527" s="596"/>
      <c r="I527" s="797"/>
      <c r="J527" s="764"/>
      <c r="K527" s="773"/>
      <c r="L527" s="769"/>
      <c r="M527" s="764"/>
      <c r="N527" s="784"/>
      <c r="O527" s="784"/>
      <c r="P527" s="763"/>
      <c r="Q527" s="764"/>
      <c r="R527" s="764"/>
      <c r="S527" s="764"/>
      <c r="T527" s="764"/>
      <c r="U527" s="768"/>
      <c r="V527" s="768"/>
      <c r="W527" s="769" t="str">
        <f>IFERROR(VLOOKUP('General price list'!$C527,Popisy!A:P,MATCH($W$17,Popisy!$A$7:$P$7,0),FALSE),"---------------")</f>
        <v>Produktmodell - ohne Sprengstoff</v>
      </c>
      <c r="X527" s="769" t="str">
        <f t="shared" si="236"/>
        <v/>
      </c>
      <c r="Y527" s="770">
        <f>IF(OR(AP527&lt;AA527,AND(NOT(OR(LEFT(AB527,3)="SKL",LEFT(AB527,3)=LEFT($V$2,3))),AA527&gt;0),AND('Deutsche Markt'!$AH$1=FALSE,J527="F4",AA527&gt;0)),"",AA527)</f>
        <v>0</v>
      </c>
      <c r="Z527" s="769"/>
      <c r="AA527" s="771">
        <f>'Deutsche Markt'!AA527</f>
        <v>0</v>
      </c>
      <c r="AB527" s="772" t="str">
        <f>IFERROR(IF(VLOOKUP(C527,[1]List1!$A:$D,2,FALSE)="VYPRODÁNO",$V$9,IF(VLOOKUP(C527,[1]List1!$A:$D,2,FALSE)="DOCHÁZÍ",$V$3,VLOOKUP(C527,[1]List1!$A:$D,2,FALSE))),"OFFLINE!")</f>
        <v>SKLADEM</v>
      </c>
      <c r="AC527" s="785" t="str">
        <f ca="1">IF(AO527="NE",$V$10,IF(AB527=$V$3,IF(AP527&lt;1,$V$8,$V$2&amp;" "&amp;AP527&amp;" "&amp;$V$1),IF(AB527="SKLADEM",$V$6,IFERROR(IF(OR(AB527-TODAY()&gt;21,VLOOKUP(C527,[1]List1!$A:$E,4,FALSE)=0),AB527,DAY(AB527)&amp;"."&amp;MONTH(AB527)&amp;"."&amp;YEAR(AB527)&amp;" "&amp;$V$4&amp;VLOOKUP(C527,[1]List1!$A:$E,4,FALSE)&amp;" "&amp;$V$1),AB527))))</f>
        <v>AUF LAGER</v>
      </c>
      <c r="AD527" s="785" t="str">
        <f t="shared" ca="1" si="237"/>
        <v>AUF LAGER</v>
      </c>
      <c r="AE527" s="605"/>
      <c r="AF527" s="605"/>
      <c r="AG527" s="615"/>
      <c r="AH527" s="616"/>
      <c r="AI527" s="615"/>
      <c r="AJ527" s="617"/>
      <c r="AK527" s="617"/>
      <c r="AL527" s="617"/>
      <c r="AM527" s="617"/>
      <c r="AN527" s="292"/>
      <c r="AO527" s="567" t="str">
        <f t="shared" si="210"/>
        <v/>
      </c>
      <c r="AP527" s="568" t="str">
        <f>IF(AB527=$V$3,IF(VLOOKUP(C527,[1]List1!$A:$E,5,FALSE)=0,1,VLOOKUP(C527,[1]List1!$A:$E,5,FALSE)),"")</f>
        <v/>
      </c>
      <c r="AQ527" s="292" t="str">
        <f t="shared" si="211"/>
        <v/>
      </c>
      <c r="AR527" s="618" t="str">
        <f t="shared" si="212"/>
        <v/>
      </c>
      <c r="AS527" s="292" t="str">
        <f t="shared" si="213"/>
        <v/>
      </c>
      <c r="AT527" s="377" t="e">
        <f t="shared" si="214"/>
        <v>#N/A</v>
      </c>
      <c r="AU527" s="292" t="e">
        <f t="shared" si="215"/>
        <v>#N/A</v>
      </c>
    </row>
    <row r="528" spans="1:47" ht="15" customHeight="1">
      <c r="A528" s="601" t="str">
        <f>Kat.!$B$1&amp;Kat.!B526</f>
        <v>Batterien 64 schuss, 30mm gerader+schräg Mörser-1.3G</v>
      </c>
      <c r="B528" s="601">
        <f t="shared" si="199"/>
        <v>0</v>
      </c>
      <c r="C528" s="163"/>
      <c r="D528" s="235"/>
      <c r="E528" s="604"/>
      <c r="F528" s="605"/>
      <c r="G528" s="606"/>
      <c r="H528" s="607"/>
      <c r="I528" s="636"/>
      <c r="J528" s="609"/>
      <c r="K528" s="708"/>
      <c r="L528" s="611"/>
      <c r="M528" s="609"/>
      <c r="N528" s="612"/>
      <c r="O528" s="608"/>
      <c r="P528" s="608"/>
      <c r="Q528" s="609"/>
      <c r="R528" s="609"/>
      <c r="S528" s="609"/>
      <c r="T528" s="609"/>
      <c r="U528" s="613"/>
      <c r="V528" s="613"/>
      <c r="W528" s="601" t="str">
        <f>IFERROR(VLOOKUP('General price list'!$C528,Popisy!A:P,MATCH($W$17,Popisy!$A$7:$P$7,0),FALSE),"---------------")</f>
        <v>---------------</v>
      </c>
      <c r="X528" s="601" t="str">
        <f>IF(AA528&lt;0.0001,"",AA528)</f>
        <v/>
      </c>
      <c r="Y528" s="770">
        <f>IF(OR(AP528&lt;AA528,AND(NOT(OR(LEFT(AB528,3)="SKL",LEFT(AB528,3)=LEFT($V$2,3))),AA528&gt;0),AND('Deutsche Markt'!$AH$1=FALSE,J528="F4",AA528&gt;0)),"",AA528)</f>
        <v>0</v>
      </c>
      <c r="Z528" s="601"/>
      <c r="AA528" s="771">
        <f>'Deutsche Markt'!AA528</f>
        <v>0</v>
      </c>
      <c r="AB528" s="614" t="str">
        <f>IFERROR(IF(VLOOKUP(C528,[1]List1!$A:$D,2,FALSE)="VYPRODÁNO",$V$9,IF(VLOOKUP(C528,[1]List1!$A:$D,2,FALSE)="DOCHÁZÍ",$V$3,VLOOKUP(C528,[1]List1!$A:$D,2,FALSE))),"OFFLINE!")</f>
        <v>OFFLINE!</v>
      </c>
      <c r="AC528" s="614" t="str">
        <f ca="1">IF(AO528="NE",$V$10,IF(AB528=$V$3,IF(AP528&lt;1,$V$8,$V$2&amp;" "&amp;AP528&amp;" "&amp;$V$1),IF(AB528="SKLADEM",$V$6,IFERROR(IF(OR(AB528-TODAY()&gt;21,VLOOKUP(C528,[1]List1!$A:$E,4,FALSE)=0),AB528,DAY(AB528)&amp;"."&amp;MONTH(AB528)&amp;"."&amp;YEAR(AB528)&amp;" "&amp;$V$4&amp;VLOOKUP(C528,[1]List1!$A:$E,4,FALSE)&amp;" "&amp;$V$1),AB528))))</f>
        <v>OFFLINE!</v>
      </c>
      <c r="AD528" s="614" t="str">
        <f ca="1">IFERROR(IF(AU528&lt;&gt;"",AU528,AC528),AC528)</f>
        <v>OFFLINE!</v>
      </c>
      <c r="AE528" s="605"/>
      <c r="AF528" s="605"/>
      <c r="AG528" s="615"/>
      <c r="AH528" s="616"/>
      <c r="AI528" s="615"/>
      <c r="AJ528" s="617"/>
      <c r="AK528" s="617"/>
      <c r="AL528" s="617"/>
      <c r="AM528" s="617"/>
      <c r="AN528" s="292"/>
      <c r="AO528" s="567" t="str">
        <f t="shared" si="210"/>
        <v/>
      </c>
      <c r="AP528" s="568" t="str">
        <f>IF(AB528=$V$3,IF(VLOOKUP(C528,[1]List1!$A:$E,5,FALSE)=0,1,VLOOKUP(C528,[1]List1!$A:$E,5,FALSE)),"")</f>
        <v/>
      </c>
      <c r="AQ528" s="292" t="str">
        <f t="shared" si="211"/>
        <v/>
      </c>
      <c r="AR528" s="618" t="str">
        <f t="shared" si="212"/>
        <v/>
      </c>
      <c r="AS528" s="292" t="str">
        <f t="shared" si="213"/>
        <v/>
      </c>
      <c r="AT528" s="377" t="e">
        <f t="shared" si="214"/>
        <v>#N/A</v>
      </c>
      <c r="AU528" s="292" t="e">
        <f t="shared" si="215"/>
        <v>#N/A</v>
      </c>
    </row>
    <row r="529" spans="1:47" ht="15" customHeight="1">
      <c r="A529" s="601" t="str">
        <f>Kat.!B527</f>
        <v/>
      </c>
      <c r="B529" s="601">
        <f t="shared" si="199"/>
        <v>1</v>
      </c>
      <c r="C529" s="775" t="s">
        <v>2163</v>
      </c>
      <c r="D529" s="776"/>
      <c r="E529" s="760"/>
      <c r="F529" s="761"/>
      <c r="G529" s="762"/>
      <c r="H529" s="596"/>
      <c r="I529" s="797"/>
      <c r="J529" s="764"/>
      <c r="K529" s="781"/>
      <c r="L529" s="766"/>
      <c r="M529" s="764"/>
      <c r="N529" s="767"/>
      <c r="O529" s="763"/>
      <c r="P529" s="763"/>
      <c r="Q529" s="764"/>
      <c r="R529" s="764"/>
      <c r="S529" s="764"/>
      <c r="T529" s="764"/>
      <c r="U529" s="768"/>
      <c r="V529" s="768"/>
      <c r="W529" s="769" t="str">
        <f>IFERROR(VLOOKUP('General price list'!$C529,Popisy!A:P,MATCH($W$17,Popisy!$A$7:$P$7,0),FALSE),"---------------")</f>
        <v>Produktmodell - ohne Sprengstoff</v>
      </c>
      <c r="X529" s="769" t="str">
        <f t="shared" ref="X529:X532" si="238">IF(AA529&lt;0.0001,"",AA529)</f>
        <v/>
      </c>
      <c r="Y529" s="770">
        <f>IF(OR(AP529&lt;AA529,AND(NOT(OR(LEFT(AB529,3)="SKL",LEFT(AB529,3)=LEFT($V$2,3))),AA529&gt;0),AND('Deutsche Markt'!$AH$1=FALSE,J529="F4",AA529&gt;0)),"",AA529)</f>
        <v>0</v>
      </c>
      <c r="Z529" s="769"/>
      <c r="AA529" s="771">
        <f>'Deutsche Markt'!AA529</f>
        <v>0</v>
      </c>
      <c r="AB529" s="772" t="str">
        <f>IFERROR(IF(VLOOKUP(C529,[1]List1!$A:$D,2,FALSE)="VYPRODÁNO",$V$9,IF(VLOOKUP(C529,[1]List1!$A:$D,2,FALSE)="DOCHÁZÍ",$V$3,VLOOKUP(C529,[1]List1!$A:$D,2,FALSE))),"OFFLINE!")</f>
        <v>SKLADEM</v>
      </c>
      <c r="AC529" s="772" t="str">
        <f ca="1">IF(AO529="NE",$V$10,IF(AB529=$V$3,IF(AP529&lt;1,$V$8,$V$2&amp;" "&amp;AP529&amp;" "&amp;$V$1),IF(AB529="SKLADEM",$V$6,IFERROR(IF(OR(AB529-TODAY()&gt;21,VLOOKUP(C529,[1]List1!$A:$E,4,FALSE)=0),AB529,DAY(AB529)&amp;"."&amp;MONTH(AB529)&amp;"."&amp;YEAR(AB529)&amp;" "&amp;$V$4&amp;VLOOKUP(C529,[1]List1!$A:$E,4,FALSE)&amp;" "&amp;$V$1),AB529))))</f>
        <v>AUF LAGER</v>
      </c>
      <c r="AD529" s="772" t="str">
        <f t="shared" ref="AD529:AD532" ca="1" si="239">IFERROR(IF(AU529&lt;&gt;"",AU529,AC529),AC529)</f>
        <v>AUF LAGER</v>
      </c>
      <c r="AE529" s="605"/>
      <c r="AF529" s="605"/>
      <c r="AG529" s="615"/>
      <c r="AH529" s="616"/>
      <c r="AI529" s="615"/>
      <c r="AJ529" s="617"/>
      <c r="AK529" s="617"/>
      <c r="AL529" s="617"/>
      <c r="AM529" s="617"/>
      <c r="AN529" s="292"/>
      <c r="AO529" s="567" t="str">
        <f t="shared" si="210"/>
        <v/>
      </c>
      <c r="AP529" s="568" t="str">
        <f>IF(AB529=$V$3,IF(VLOOKUP(C529,[1]List1!$A:$E,5,FALSE)=0,1,VLOOKUP(C529,[1]List1!$A:$E,5,FALSE)),"")</f>
        <v/>
      </c>
      <c r="AQ529" s="292" t="str">
        <f t="shared" si="211"/>
        <v/>
      </c>
      <c r="AR529" s="618" t="str">
        <f t="shared" si="212"/>
        <v/>
      </c>
      <c r="AS529" s="292" t="str">
        <f t="shared" si="213"/>
        <v/>
      </c>
      <c r="AT529" s="377" t="e">
        <f t="shared" si="214"/>
        <v>#N/A</v>
      </c>
      <c r="AU529" s="292" t="e">
        <f t="shared" si="215"/>
        <v>#N/A</v>
      </c>
    </row>
    <row r="530" spans="1:47" ht="15" customHeight="1">
      <c r="A530" s="601" t="str">
        <f>Kat.!B528</f>
        <v>Batterien 16 schuss, 50mm Mörser-1.3G</v>
      </c>
      <c r="B530" s="601">
        <f t="shared" si="199"/>
        <v>0</v>
      </c>
      <c r="C530" s="778"/>
      <c r="D530" s="778"/>
      <c r="E530" s="778"/>
      <c r="F530" s="779"/>
      <c r="G530" s="778"/>
      <c r="H530" s="778"/>
      <c r="I530" s="778"/>
      <c r="J530" s="778"/>
      <c r="K530" s="774"/>
      <c r="L530" s="778"/>
      <c r="M530" s="778"/>
      <c r="N530" s="778"/>
      <c r="O530" s="778"/>
      <c r="P530" s="778"/>
      <c r="Q530" s="778"/>
      <c r="R530" s="778"/>
      <c r="S530" s="778"/>
      <c r="T530" s="778"/>
      <c r="U530" s="778"/>
      <c r="V530" s="778"/>
      <c r="W530" s="778" t="str">
        <f>IFERROR(VLOOKUP('General price list'!$C530,Popisy!A:P,MATCH($W$17,Popisy!$A$7:$P$7,0),FALSE),"---------------")</f>
        <v>---------------</v>
      </c>
      <c r="X530" s="778" t="str">
        <f t="shared" si="238"/>
        <v/>
      </c>
      <c r="Y530" s="770">
        <f>IF(OR(AP530&lt;AA530,AND(NOT(OR(LEFT(AB530,3)="SKL",LEFT(AB530,3)=LEFT($V$2,3))),AA530&gt;0),AND('Deutsche Markt'!$AH$1=FALSE,J530="F4",AA530&gt;0)),"",AA530)</f>
        <v>0</v>
      </c>
      <c r="Z530" s="778"/>
      <c r="AA530" s="771">
        <f>'Deutsche Markt'!AA530</f>
        <v>0</v>
      </c>
      <c r="AB530" s="778" t="str">
        <f>IFERROR(IF(VLOOKUP(C530,[1]List1!$A:$D,2,FALSE)="VYPRODÁNO",$V$9,IF(VLOOKUP(C530,[1]List1!$A:$D,2,FALSE)="DOCHÁZÍ",$V$3,VLOOKUP(C530,[1]List1!$A:$D,2,FALSE))),"OFFLINE!")</f>
        <v>OFFLINE!</v>
      </c>
      <c r="AC530" s="778" t="str">
        <f ca="1">IF(AO530="NE",$V$10,IF(AB530=$V$3,IF(AP530&lt;1,$V$8,$V$2&amp;" "&amp;AP530&amp;" "&amp;$V$1),IF(AB530="SKLADEM",$V$6,IFERROR(IF(OR(AB530-TODAY()&gt;21,VLOOKUP(C530,[1]List1!$A:$E,4,FALSE)=0),AB530,DAY(AB530)&amp;"."&amp;MONTH(AB530)&amp;"."&amp;YEAR(AB530)&amp;" "&amp;$V$4&amp;VLOOKUP(C530,[1]List1!$A:$E,4,FALSE)&amp;" "&amp;$V$1),AB530))))</f>
        <v>OFFLINE!</v>
      </c>
      <c r="AD530" s="778" t="str">
        <f t="shared" ca="1" si="239"/>
        <v>OFFLINE!</v>
      </c>
      <c r="AE530" s="599"/>
      <c r="AF530" s="599"/>
      <c r="AG530" s="599"/>
      <c r="AH530" s="599"/>
      <c r="AI530" s="599"/>
      <c r="AJ530" s="599"/>
      <c r="AK530" s="599"/>
      <c r="AL530" s="599"/>
      <c r="AM530" s="599"/>
      <c r="AN530" s="566"/>
      <c r="AO530" s="567" t="str">
        <f t="shared" si="210"/>
        <v/>
      </c>
      <c r="AP530" s="568" t="str">
        <f>IF(AB530=$V$3,IF(VLOOKUP(C530,[1]List1!$A:$E,5,FALSE)=0,1,VLOOKUP(C530,[1]List1!$A:$E,5,FALSE)),"")</f>
        <v/>
      </c>
      <c r="AQ530" s="292" t="str">
        <f t="shared" si="211"/>
        <v/>
      </c>
      <c r="AR530" s="618" t="str">
        <f t="shared" si="212"/>
        <v/>
      </c>
      <c r="AS530" s="292" t="str">
        <f t="shared" si="213"/>
        <v/>
      </c>
      <c r="AT530" s="377" t="e">
        <f t="shared" si="214"/>
        <v>#N/A</v>
      </c>
      <c r="AU530" s="292" t="e">
        <f t="shared" si="215"/>
        <v>#N/A</v>
      </c>
    </row>
    <row r="531" spans="1:47" ht="15" customHeight="1">
      <c r="A531" s="601" t="str">
        <f>Kat.!B529</f>
        <v/>
      </c>
      <c r="B531" s="601">
        <f t="shared" si="199"/>
        <v>1</v>
      </c>
      <c r="C531" s="783" t="s">
        <v>2166</v>
      </c>
      <c r="D531" s="783"/>
      <c r="E531" s="764"/>
      <c r="F531" s="761"/>
      <c r="G531" s="762"/>
      <c r="H531" s="595"/>
      <c r="I531" s="764"/>
      <c r="J531" s="764"/>
      <c r="K531" s="781"/>
      <c r="L531" s="764"/>
      <c r="M531" s="764"/>
      <c r="N531" s="764"/>
      <c r="O531" s="764"/>
      <c r="P531" s="764"/>
      <c r="Q531" s="764"/>
      <c r="R531" s="764"/>
      <c r="S531" s="764"/>
      <c r="T531" s="764"/>
      <c r="U531" s="764"/>
      <c r="V531" s="764"/>
      <c r="W531" s="764" t="str">
        <f>IFERROR(VLOOKUP('General price list'!$C531,Popisy!A:P,MATCH($W$17,Popisy!$A$7:$P$7,0),FALSE),"---------------")</f>
        <v>Produktmodell - ohne Sprengstoff</v>
      </c>
      <c r="X531" s="764" t="str">
        <f t="shared" si="238"/>
        <v/>
      </c>
      <c r="Y531" s="770">
        <f>IF(OR(AP531&lt;AA531,AND(NOT(OR(LEFT(AB531,3)="SKL",LEFT(AB531,3)=LEFT($V$2,3))),AA531&gt;0),AND('Deutsche Markt'!$AH$1=FALSE,J531="F4",AA531&gt;0)),"",AA531)</f>
        <v>0</v>
      </c>
      <c r="Z531" s="764"/>
      <c r="AA531" s="771">
        <f>'Deutsche Markt'!AA531</f>
        <v>0</v>
      </c>
      <c r="AB531" s="772" t="str">
        <f>IFERROR(IF(VLOOKUP(C531,[1]List1!$A:$D,2,FALSE)="VYPRODÁNO",$V$9,IF(VLOOKUP(C531,[1]List1!$A:$D,2,FALSE)="DOCHÁZÍ",$V$3,VLOOKUP(C531,[1]List1!$A:$D,2,FALSE))),"OFFLINE!")</f>
        <v>SKLADEM</v>
      </c>
      <c r="AC531" s="785" t="str">
        <f ca="1">IF(AO531="NE",$V$10,IF(AB531=$V$3,IF(AP531&lt;1,$V$8,$V$2&amp;" "&amp;AP531&amp;" "&amp;$V$1),IF(AB531="SKLADEM",$V$6,IFERROR(IF(OR(AB531-TODAY()&gt;21,VLOOKUP(C531,[1]List1!$A:$E,4,FALSE)=0),AB531,DAY(AB531)&amp;"."&amp;MONTH(AB531)&amp;"."&amp;YEAR(AB531)&amp;" "&amp;$V$4&amp;VLOOKUP(C531,[1]List1!$A:$E,4,FALSE)&amp;" "&amp;$V$1),AB531))))</f>
        <v>AUF LAGER</v>
      </c>
      <c r="AD531" s="785" t="str">
        <f t="shared" ca="1" si="239"/>
        <v>AUF LAGER</v>
      </c>
      <c r="AE531" s="609"/>
      <c r="AF531" s="609"/>
      <c r="AG531" s="627"/>
      <c r="AH531" s="609"/>
      <c r="AI531" s="627"/>
      <c r="AJ531" s="609"/>
      <c r="AK531" s="609"/>
      <c r="AL531" s="609"/>
      <c r="AM531" s="627"/>
      <c r="AO531" s="567" t="str">
        <f t="shared" si="210"/>
        <v/>
      </c>
      <c r="AP531" s="568" t="str">
        <f>IF(AB531=$V$3,IF(VLOOKUP(C531,[1]List1!$A:$E,5,FALSE)=0,1,VLOOKUP(C531,[1]List1!$A:$E,5,FALSE)),"")</f>
        <v/>
      </c>
      <c r="AQ531" s="292" t="str">
        <f t="shared" si="211"/>
        <v/>
      </c>
      <c r="AR531" s="618" t="str">
        <f t="shared" si="212"/>
        <v/>
      </c>
      <c r="AS531" s="292" t="str">
        <f t="shared" si="213"/>
        <v/>
      </c>
      <c r="AT531" s="377" t="e">
        <f t="shared" si="214"/>
        <v>#N/A</v>
      </c>
      <c r="AU531" s="292" t="e">
        <f t="shared" si="215"/>
        <v>#N/A</v>
      </c>
    </row>
    <row r="532" spans="1:47" ht="15" customHeight="1">
      <c r="A532" s="599" t="str">
        <f>Kat.!$B$1&amp;Kat.!B530</f>
        <v>Batterien 36 schuss, 36+50mm Mörser-1.3G</v>
      </c>
      <c r="B532" s="601">
        <f t="shared" si="199"/>
        <v>0</v>
      </c>
      <c r="C532" s="599"/>
      <c r="D532" s="599"/>
      <c r="E532" s="599"/>
      <c r="F532" s="600"/>
      <c r="G532" s="599"/>
      <c r="H532" s="599"/>
      <c r="I532" s="599"/>
      <c r="J532" s="599"/>
      <c r="K532" s="708"/>
      <c r="L532" s="599"/>
      <c r="M532" s="599"/>
      <c r="N532" s="599"/>
      <c r="O532" s="599"/>
      <c r="P532" s="599"/>
      <c r="Q532" s="599"/>
      <c r="R532" s="599"/>
      <c r="S532" s="599"/>
      <c r="T532" s="599"/>
      <c r="U532" s="599"/>
      <c r="V532" s="599"/>
      <c r="W532" s="599" t="str">
        <f>IFERROR(VLOOKUP('General price list'!$C532,Popisy!A:P,MATCH($W$17,Popisy!$A$7:$P$7,0),FALSE),"---------------")</f>
        <v>---------------</v>
      </c>
      <c r="X532" s="599" t="str">
        <f t="shared" si="238"/>
        <v/>
      </c>
      <c r="Y532" s="770">
        <f>IF(OR(AP532&lt;AA532,AND(NOT(OR(LEFT(AB532,3)="SKL",LEFT(AB532,3)=LEFT($V$2,3))),AA532&gt;0),AND('Deutsche Markt'!$AH$1=FALSE,J532="F4",AA532&gt;0)),"",AA532)</f>
        <v>0</v>
      </c>
      <c r="Z532" s="599"/>
      <c r="AA532" s="771">
        <f>'Deutsche Markt'!AA532</f>
        <v>0</v>
      </c>
      <c r="AB532" s="599" t="str">
        <f>IFERROR(IF(VLOOKUP(C532,[1]List1!$A:$D,2,FALSE)="VYPRODÁNO",$V$9,IF(VLOOKUP(C532,[1]List1!$A:$D,2,FALSE)="DOCHÁZÍ",$V$3,VLOOKUP(C532,[1]List1!$A:$D,2,FALSE))),"OFFLINE!")</f>
        <v>OFFLINE!</v>
      </c>
      <c r="AC532" s="599" t="str">
        <f ca="1">IF(AO532="NE",$V$10,IF(AB532=$V$3,IF(AP532&lt;1,$V$8,$V$2&amp;" "&amp;AP532&amp;" "&amp;$V$1),IF(AB532="SKLADEM",$V$6,IFERROR(IF(OR(AB532-TODAY()&gt;21,VLOOKUP(C532,[1]List1!$A:$E,4,FALSE)=0),AB532,DAY(AB532)&amp;"."&amp;MONTH(AB532)&amp;"."&amp;YEAR(AB532)&amp;" "&amp;$V$4&amp;VLOOKUP(C532,[1]List1!$A:$E,4,FALSE)&amp;" "&amp;$V$1),AB532))))</f>
        <v>OFFLINE!</v>
      </c>
      <c r="AD532" s="599" t="str">
        <f t="shared" ca="1" si="239"/>
        <v>OFFLINE!</v>
      </c>
      <c r="AE532" s="599"/>
      <c r="AF532" s="599"/>
      <c r="AG532" s="599"/>
      <c r="AH532" s="599"/>
      <c r="AI532" s="599"/>
      <c r="AJ532" s="599"/>
      <c r="AK532" s="599"/>
      <c r="AL532" s="599"/>
      <c r="AM532" s="599"/>
      <c r="AN532" s="566"/>
      <c r="AO532" s="567" t="str">
        <f t="shared" si="210"/>
        <v/>
      </c>
      <c r="AP532" s="568" t="str">
        <f>IF(AB532=$V$3,IF(VLOOKUP(C532,[1]List1!$A:$E,5,FALSE)=0,1,VLOOKUP(C532,[1]List1!$A:$E,5,FALSE)),"")</f>
        <v/>
      </c>
      <c r="AQ532" s="292" t="str">
        <f t="shared" si="211"/>
        <v/>
      </c>
      <c r="AR532" s="618" t="str">
        <f t="shared" si="212"/>
        <v/>
      </c>
      <c r="AS532" s="292" t="str">
        <f t="shared" si="213"/>
        <v/>
      </c>
      <c r="AT532" s="377" t="e">
        <f t="shared" si="214"/>
        <v>#N/A</v>
      </c>
      <c r="AU532" s="292" t="e">
        <f t="shared" si="215"/>
        <v>#N/A</v>
      </c>
    </row>
    <row r="533" spans="1:47" ht="15" customHeight="1">
      <c r="A533" s="601" t="str">
        <f>Kat.!B531</f>
        <v/>
      </c>
      <c r="B533" s="601">
        <f t="shared" si="199"/>
        <v>1</v>
      </c>
      <c r="C533" s="783" t="s">
        <v>2168</v>
      </c>
      <c r="D533" s="783"/>
      <c r="E533" s="764"/>
      <c r="F533" s="761"/>
      <c r="G533" s="762"/>
      <c r="H533" s="596"/>
      <c r="I533" s="797"/>
      <c r="J533" s="764"/>
      <c r="K533" s="781"/>
      <c r="L533" s="771"/>
      <c r="M533" s="764"/>
      <c r="N533" s="784"/>
      <c r="O533" s="784"/>
      <c r="P533" s="763"/>
      <c r="Q533" s="764"/>
      <c r="R533" s="764"/>
      <c r="S533" s="764"/>
      <c r="T533" s="764"/>
      <c r="U533" s="768"/>
      <c r="V533" s="768"/>
      <c r="W533" s="769"/>
      <c r="X533" s="769"/>
      <c r="Y533" s="770">
        <f>IF(OR(AP533&lt;AA533,AND(NOT(OR(LEFT(AB533,3)="SKL",LEFT(AB533,3)=LEFT($V$2,3))),AA533&gt;0),AND('Deutsche Markt'!$AH$1=FALSE,J533="F4",AA533&gt;0)),"",AA533)</f>
        <v>0</v>
      </c>
      <c r="Z533" s="769"/>
      <c r="AA533" s="771">
        <f>'Deutsche Markt'!AA533</f>
        <v>0</v>
      </c>
      <c r="AB533" s="772"/>
      <c r="AC533" s="785"/>
      <c r="AD533" s="785"/>
      <c r="AE533" s="605"/>
      <c r="AF533" s="605"/>
      <c r="AG533" s="615"/>
      <c r="AH533" s="616"/>
      <c r="AI533" s="615"/>
      <c r="AJ533" s="617"/>
      <c r="AK533" s="617"/>
      <c r="AL533" s="617"/>
      <c r="AM533" s="617"/>
      <c r="AO533" s="567" t="str">
        <f t="shared" si="210"/>
        <v/>
      </c>
      <c r="AP533" s="568" t="str">
        <f>IF(AB533=$V$3,IF(VLOOKUP(C533,[1]List1!$A:$E,5,FALSE)=0,1,VLOOKUP(C533,[1]List1!$A:$E,5,FALSE)),"")</f>
        <v/>
      </c>
      <c r="AQ533" s="292" t="str">
        <f t="shared" si="211"/>
        <v/>
      </c>
      <c r="AR533" s="618" t="str">
        <f t="shared" si="212"/>
        <v/>
      </c>
      <c r="AS533" s="292" t="str">
        <f t="shared" si="213"/>
        <v/>
      </c>
      <c r="AT533" s="377" t="e">
        <f t="shared" si="214"/>
        <v>#N/A</v>
      </c>
      <c r="AU533" s="292" t="e">
        <f t="shared" si="215"/>
        <v>#N/A</v>
      </c>
    </row>
    <row r="534" spans="1:47" ht="15" customHeight="1">
      <c r="A534" s="601" t="str">
        <f>Kat.!B532</f>
        <v>Batterien 47 schuss, 30+50mm gerader+schräg Mörser-1.3G</v>
      </c>
      <c r="B534" s="601">
        <f t="shared" si="199"/>
        <v>0</v>
      </c>
      <c r="C534" s="778"/>
      <c r="D534" s="778"/>
      <c r="E534" s="778"/>
      <c r="F534" s="779"/>
      <c r="G534" s="778"/>
      <c r="H534" s="778"/>
      <c r="I534" s="778"/>
      <c r="J534" s="778"/>
      <c r="K534" s="774"/>
      <c r="L534" s="778"/>
      <c r="M534" s="778"/>
      <c r="N534" s="778"/>
      <c r="O534" s="778"/>
      <c r="P534" s="778"/>
      <c r="Q534" s="778"/>
      <c r="R534" s="778"/>
      <c r="S534" s="778"/>
      <c r="T534" s="778"/>
      <c r="U534" s="778"/>
      <c r="V534" s="778"/>
      <c r="W534" s="778" t="str">
        <f>IFERROR(VLOOKUP('General price list'!$C534,Popisy!A:P,MATCH($W$17,Popisy!$A$7:$P$7,0),FALSE),"---------------")</f>
        <v>---------------</v>
      </c>
      <c r="X534" s="778" t="str">
        <f t="shared" ref="X534:X536" si="240">IF(AA534&lt;0.0001,"",AA534)</f>
        <v/>
      </c>
      <c r="Y534" s="770">
        <f>IF(OR(AP534&lt;AA534,AND(NOT(OR(LEFT(AB534,3)="SKL",LEFT(AB534,3)=LEFT($V$2,3))),AA534&gt;0),AND('Deutsche Markt'!$AH$1=FALSE,J534="F4",AA534&gt;0)),"",AA534)</f>
        <v>0</v>
      </c>
      <c r="Z534" s="778"/>
      <c r="AA534" s="771">
        <f>'Deutsche Markt'!AA534</f>
        <v>0</v>
      </c>
      <c r="AB534" s="778" t="str">
        <f>IFERROR(IF(VLOOKUP(C534,[1]List1!$A:$D,2,FALSE)="VYPRODÁNO",$V$9,IF(VLOOKUP(C534,[1]List1!$A:$D,2,FALSE)="DOCHÁZÍ",$V$3,VLOOKUP(C534,[1]List1!$A:$D,2,FALSE))),"OFFLINE!")</f>
        <v>OFFLINE!</v>
      </c>
      <c r="AC534" s="778" t="str">
        <f ca="1">IF(AO534="NE",$V$10,IF(AB534=$V$3,IF(AP534&lt;1,$V$8,$V$2&amp;" "&amp;AP534&amp;" "&amp;$V$1),IF(AB534="SKLADEM",$V$6,IFERROR(IF(OR(AB534-TODAY()&gt;21,VLOOKUP(C534,[1]List1!$A:$E,4,FALSE)=0),AB534,DAY(AB534)&amp;"."&amp;MONTH(AB534)&amp;"."&amp;YEAR(AB534)&amp;" "&amp;$V$4&amp;VLOOKUP(C534,[1]List1!$A:$E,4,FALSE)&amp;" "&amp;$V$1),AB534))))</f>
        <v>OFFLINE!</v>
      </c>
      <c r="AD534" s="778" t="str">
        <f t="shared" ref="AD534:AD536" ca="1" si="241">IFERROR(IF(AU534&lt;&gt;"",AU534,AC534),AC534)</f>
        <v>OFFLINE!</v>
      </c>
      <c r="AE534" s="599"/>
      <c r="AF534" s="599"/>
      <c r="AG534" s="599"/>
      <c r="AH534" s="599"/>
      <c r="AI534" s="599"/>
      <c r="AJ534" s="599"/>
      <c r="AK534" s="599"/>
      <c r="AL534" s="599"/>
      <c r="AM534" s="599"/>
      <c r="AN534" s="566"/>
      <c r="AO534" s="567" t="str">
        <f t="shared" si="210"/>
        <v/>
      </c>
      <c r="AP534" s="292" t="str">
        <f>IF(AB534=$V$3,IF(VLOOKUP(C534,[1]List1!$A:$E,5,FALSE)=0,1,VLOOKUP(C534,[1]List1!$A:$E,5,FALSE)),"")</f>
        <v/>
      </c>
      <c r="AQ534" s="292" t="str">
        <f t="shared" si="211"/>
        <v/>
      </c>
      <c r="AR534" s="618" t="str">
        <f t="shared" si="212"/>
        <v/>
      </c>
      <c r="AS534" s="292" t="str">
        <f t="shared" si="213"/>
        <v/>
      </c>
      <c r="AT534" s="377" t="e">
        <f t="shared" si="214"/>
        <v>#N/A</v>
      </c>
      <c r="AU534" s="292" t="e">
        <f t="shared" si="215"/>
        <v>#N/A</v>
      </c>
    </row>
    <row r="535" spans="1:47" ht="15" customHeight="1">
      <c r="A535" s="601" t="str">
        <f>Kat.!B533</f>
        <v/>
      </c>
      <c r="B535" s="601">
        <f t="shared" si="199"/>
        <v>1</v>
      </c>
      <c r="C535" s="783" t="s">
        <v>2170</v>
      </c>
      <c r="D535" s="783"/>
      <c r="E535" s="764"/>
      <c r="F535" s="761"/>
      <c r="G535" s="762"/>
      <c r="H535" s="596"/>
      <c r="I535" s="797"/>
      <c r="J535" s="764"/>
      <c r="K535" s="781"/>
      <c r="L535" s="769"/>
      <c r="M535" s="764"/>
      <c r="N535" s="767"/>
      <c r="O535" s="763"/>
      <c r="P535" s="763"/>
      <c r="Q535" s="764"/>
      <c r="R535" s="764"/>
      <c r="S535" s="764"/>
      <c r="T535" s="764"/>
      <c r="U535" s="768"/>
      <c r="V535" s="768"/>
      <c r="W535" s="769" t="str">
        <f>IFERROR(VLOOKUP('General price list'!$C535,Popisy!A:P,MATCH($W$17,Popisy!$A$7:$P$7,0),FALSE),"---------------")</f>
        <v>Produktmodell - ohne Sprengstoff</v>
      </c>
      <c r="X535" s="769" t="str">
        <f t="shared" si="240"/>
        <v/>
      </c>
      <c r="Y535" s="770">
        <f>IF(OR(AP535&lt;AA535,AND(NOT(OR(LEFT(AB535,3)="SKL",LEFT(AB535,3)=LEFT($V$2,3))),AA535&gt;0),AND('Deutsche Markt'!$AH$1=FALSE,J535="F4",AA535&gt;0)),"",AA535)</f>
        <v>0</v>
      </c>
      <c r="Z535" s="769"/>
      <c r="AA535" s="771">
        <f>'Deutsche Markt'!AA535</f>
        <v>0</v>
      </c>
      <c r="AB535" s="772" t="str">
        <f>IFERROR(IF(VLOOKUP(C535,[1]List1!$A:$D,2,FALSE)="VYPRODÁNO",$V$9,IF(VLOOKUP(C535,[1]List1!$A:$D,2,FALSE)="DOCHÁZÍ",$V$3,VLOOKUP(C535,[1]List1!$A:$D,2,FALSE))),"OFFLINE!")</f>
        <v>SKLADEM</v>
      </c>
      <c r="AC535" s="772" t="str">
        <f ca="1">IF(AO535="NE",$V$10,IF(AB535=$V$3,IF(AP535&lt;1,$V$8,$V$2&amp;" "&amp;AP535&amp;" "&amp;$V$1),IF(AB535="SKLADEM",$V$6,IFERROR(IF(OR(AB535-TODAY()&gt;21,VLOOKUP(C535,[1]List1!$A:$E,4,FALSE)=0),AB535,DAY(AB535)&amp;"."&amp;MONTH(AB535)&amp;"."&amp;YEAR(AB535)&amp;" "&amp;$V$4&amp;VLOOKUP(C535,[1]List1!$A:$E,4,FALSE)&amp;" "&amp;$V$1),AB535))))</f>
        <v>AUF LAGER</v>
      </c>
      <c r="AD535" s="772" t="str">
        <f t="shared" ca="1" si="241"/>
        <v>AUF LAGER</v>
      </c>
      <c r="AE535" s="605"/>
      <c r="AF535" s="605"/>
      <c r="AG535" s="615"/>
      <c r="AH535" s="616"/>
      <c r="AI535" s="615"/>
      <c r="AJ535" s="617"/>
      <c r="AK535" s="617"/>
      <c r="AL535" s="617"/>
      <c r="AM535" s="617"/>
      <c r="AN535" s="292"/>
      <c r="AO535" s="567" t="str">
        <f t="shared" si="210"/>
        <v/>
      </c>
      <c r="AP535" s="568" t="str">
        <f>IF(AB535=$V$3,IF(VLOOKUP(C535,[1]List1!$A:$E,5,FALSE)=0,1,VLOOKUP(C535,[1]List1!$A:$E,5,FALSE)),"")</f>
        <v/>
      </c>
      <c r="AQ535" s="292" t="str">
        <f t="shared" si="211"/>
        <v/>
      </c>
      <c r="AR535" s="618" t="str">
        <f t="shared" si="212"/>
        <v/>
      </c>
      <c r="AS535" s="292" t="str">
        <f t="shared" si="213"/>
        <v/>
      </c>
      <c r="AT535" s="377" t="e">
        <f t="shared" si="214"/>
        <v>#N/A</v>
      </c>
      <c r="AU535" s="292" t="e">
        <f t="shared" si="215"/>
        <v>#N/A</v>
      </c>
    </row>
    <row r="536" spans="1:47" ht="15" customHeight="1">
      <c r="A536" s="601" t="str">
        <f>Kat.!B534</f>
        <v>Batterien 62 schuss, 20+25+30+48mm gerader+schräg+S Mörser-1.3G</v>
      </c>
      <c r="B536" s="601">
        <f t="shared" si="199"/>
        <v>0</v>
      </c>
      <c r="C536" s="783"/>
      <c r="D536" s="776"/>
      <c r="E536" s="760"/>
      <c r="F536" s="761"/>
      <c r="G536" s="762"/>
      <c r="H536" s="596"/>
      <c r="I536" s="797"/>
      <c r="J536" s="764"/>
      <c r="K536" s="774"/>
      <c r="L536" s="766"/>
      <c r="M536" s="764"/>
      <c r="N536" s="767"/>
      <c r="O536" s="763"/>
      <c r="P536" s="763"/>
      <c r="Q536" s="764"/>
      <c r="R536" s="764"/>
      <c r="S536" s="764"/>
      <c r="T536" s="764"/>
      <c r="U536" s="768"/>
      <c r="V536" s="768"/>
      <c r="W536" s="769" t="str">
        <f>IFERROR(VLOOKUP('General price list'!$C536,Popisy!A:P,MATCH($W$17,Popisy!$A$7:$P$7,0),FALSE),"---------------")</f>
        <v>---------------</v>
      </c>
      <c r="X536" s="769" t="str">
        <f t="shared" si="240"/>
        <v/>
      </c>
      <c r="Y536" s="770">
        <f>IF(OR(AP536&lt;AA536,AND(NOT(OR(LEFT(AB536,3)="SKL",LEFT(AB536,3)=LEFT($V$2,3))),AA536&gt;0),AND('Deutsche Markt'!$AH$1=FALSE,J536="F4",AA536&gt;0)),"",AA536)</f>
        <v>0</v>
      </c>
      <c r="Z536" s="769"/>
      <c r="AA536" s="771">
        <f>'Deutsche Markt'!AA536</f>
        <v>0</v>
      </c>
      <c r="AB536" s="772" t="str">
        <f>IFERROR(IF(VLOOKUP(C536,[1]List1!$A:$D,2,FALSE)="VYPRODÁNO",$V$9,IF(VLOOKUP(C536,[1]List1!$A:$D,2,FALSE)="DOCHÁZÍ",$V$3,VLOOKUP(C536,[1]List1!$A:$D,2,FALSE))),"OFFLINE!")</f>
        <v>OFFLINE!</v>
      </c>
      <c r="AC536" s="772" t="str">
        <f ca="1">IF(AO536="NE",$V$10,IF(AB536=$V$3,IF(AP536&lt;1,$V$8,$V$2&amp;" "&amp;AP536&amp;" "&amp;$V$1),IF(AB536="SKLADEM",$V$6,IFERROR(IF(OR(AB536-TODAY()&gt;21,VLOOKUP(C536,[1]List1!$A:$E,4,FALSE)=0),AB536,DAY(AB536)&amp;"."&amp;MONTH(AB536)&amp;"."&amp;YEAR(AB536)&amp;" "&amp;$V$4&amp;VLOOKUP(C536,[1]List1!$A:$E,4,FALSE)&amp;" "&amp;$V$1),AB536))))</f>
        <v>OFFLINE!</v>
      </c>
      <c r="AD536" s="772" t="str">
        <f t="shared" ca="1" si="241"/>
        <v>OFFLINE!</v>
      </c>
      <c r="AE536" s="605"/>
      <c r="AF536" s="605"/>
      <c r="AG536" s="615"/>
      <c r="AH536" s="616"/>
      <c r="AI536" s="615"/>
      <c r="AJ536" s="617"/>
      <c r="AK536" s="617"/>
      <c r="AL536" s="617"/>
      <c r="AM536" s="617"/>
      <c r="AN536" s="292"/>
      <c r="AO536" s="567" t="str">
        <f t="shared" si="210"/>
        <v/>
      </c>
      <c r="AP536" s="568" t="str">
        <f>IF(AB536=$V$3,IF(VLOOKUP(C536,[1]List1!$A:$E,5,FALSE)=0,1,VLOOKUP(C536,[1]List1!$A:$E,5,FALSE)),"")</f>
        <v/>
      </c>
      <c r="AQ536" s="292" t="str">
        <f t="shared" si="211"/>
        <v/>
      </c>
      <c r="AR536" s="618" t="str">
        <f t="shared" si="212"/>
        <v/>
      </c>
      <c r="AS536" s="292" t="str">
        <f t="shared" si="213"/>
        <v/>
      </c>
      <c r="AT536" s="377" t="e">
        <f t="shared" si="214"/>
        <v>#N/A</v>
      </c>
      <c r="AU536" s="292" t="e">
        <f t="shared" si="215"/>
        <v>#N/A</v>
      </c>
    </row>
    <row r="537" spans="1:47" ht="15" customHeight="1">
      <c r="A537" s="601" t="str">
        <f>Kat.!$B$1&amp;Kat.!B535</f>
        <v/>
      </c>
      <c r="B537" s="601">
        <f t="shared" ref="B537:B600" si="242">IF(OR(L537="ZUGEWIESEN",AND(C537&lt;&gt;"",M537="")),1,IF(AB537=$V$3,1,0))</f>
        <v>1</v>
      </c>
      <c r="C537" s="163" t="s">
        <v>2172</v>
      </c>
      <c r="D537" s="163"/>
      <c r="E537" s="609"/>
      <c r="F537" s="605"/>
      <c r="G537" s="606"/>
      <c r="H537" s="607"/>
      <c r="I537" s="636"/>
      <c r="J537" s="609"/>
      <c r="K537" s="708"/>
      <c r="L537" s="601"/>
      <c r="M537" s="609"/>
      <c r="N537" s="612"/>
      <c r="O537" s="608"/>
      <c r="P537" s="608"/>
      <c r="Q537" s="609"/>
      <c r="R537" s="609"/>
      <c r="S537" s="609"/>
      <c r="T537" s="609"/>
      <c r="U537" s="613"/>
      <c r="V537" s="613"/>
      <c r="W537" s="601" t="str">
        <f>IFERROR(VLOOKUP('General price list'!$C537,Popisy!A:P,MATCH($W$17,Popisy!$A$7:$P$7,0),FALSE),"---------------")</f>
        <v>Produktmodell - ohne Sprengstoff</v>
      </c>
      <c r="X537" s="601" t="str">
        <f>IF(AA537&lt;0.0001,"",AA537)</f>
        <v/>
      </c>
      <c r="Y537" s="770">
        <f>IF(OR(AP537&lt;AA537,AND(NOT(OR(LEFT(AB537,3)="SKL",LEFT(AB537,3)=LEFT($V$2,3))),AA537&gt;0),AND('Deutsche Markt'!$AH$1=FALSE,J537="F4",AA537&gt;0)),"",AA537)</f>
        <v>0</v>
      </c>
      <c r="Z537" s="601"/>
      <c r="AA537" s="771">
        <f>'Deutsche Markt'!AA537</f>
        <v>0</v>
      </c>
      <c r="AB537" s="614" t="str">
        <f>IFERROR(IF(VLOOKUP(C537,[1]List1!$A:$D,2,FALSE)="VYPRODÁNO",$V$9,IF(VLOOKUP(C537,[1]List1!$A:$D,2,FALSE)="DOCHÁZÍ",$V$3,VLOOKUP(C537,[1]List1!$A:$D,2,FALSE))),"OFFLINE!")</f>
        <v>SKLADEM</v>
      </c>
      <c r="AC537" s="614" t="str">
        <f ca="1">IF(AO537="NE",$V$10,IF(AB537=$V$3,IF(AP537&lt;1,$V$8,$V$2&amp;" "&amp;AP537&amp;" "&amp;$V$1),IF(AB537="SKLADEM",$V$6,IFERROR(IF(OR(AB537-TODAY()&gt;21,VLOOKUP(C537,[1]List1!$A:$E,4,FALSE)=0),AB537,DAY(AB537)&amp;"."&amp;MONTH(AB537)&amp;"."&amp;YEAR(AB537)&amp;" "&amp;$V$4&amp;VLOOKUP(C537,[1]List1!$A:$E,4,FALSE)&amp;" "&amp;$V$1),AB537))))</f>
        <v>AUF LAGER</v>
      </c>
      <c r="AD537" s="614" t="str">
        <f ca="1">IFERROR(IF(AU537&lt;&gt;"",AU537,AC537),AC537)</f>
        <v>AUF LAGER</v>
      </c>
      <c r="AE537" s="605"/>
      <c r="AF537" s="605"/>
      <c r="AG537" s="615"/>
      <c r="AH537" s="616"/>
      <c r="AI537" s="615"/>
      <c r="AJ537" s="617"/>
      <c r="AK537" s="617"/>
      <c r="AL537" s="617"/>
      <c r="AM537" s="617"/>
      <c r="AO537" s="567" t="str">
        <f t="shared" si="210"/>
        <v/>
      </c>
      <c r="AP537" s="568" t="str">
        <f>IF(AB537=$V$3,IF(VLOOKUP(C537,[1]List1!$A:$E,5,FALSE)=0,1,VLOOKUP(C537,[1]List1!$A:$E,5,FALSE)),"")</f>
        <v/>
      </c>
      <c r="AQ537" s="292" t="str">
        <f t="shared" si="211"/>
        <v/>
      </c>
      <c r="AR537" s="618" t="str">
        <f t="shared" si="212"/>
        <v/>
      </c>
      <c r="AS537" s="292" t="str">
        <f t="shared" si="213"/>
        <v/>
      </c>
      <c r="AT537" s="377" t="e">
        <f t="shared" si="214"/>
        <v>#N/A</v>
      </c>
      <c r="AU537" s="292" t="e">
        <f t="shared" si="215"/>
        <v>#N/A</v>
      </c>
    </row>
    <row r="538" spans="1:47" ht="15" customHeight="1">
      <c r="A538" s="601" t="str">
        <f>Kat.!B536</f>
        <v>Batterien 63 schuss, 25+45mm gerader+schräg Mörser-1.3G</v>
      </c>
      <c r="B538" s="601">
        <f t="shared" si="242"/>
        <v>0</v>
      </c>
      <c r="C538" s="783"/>
      <c r="D538" s="776"/>
      <c r="E538" s="760"/>
      <c r="F538" s="761"/>
      <c r="G538" s="762"/>
      <c r="H538" s="596"/>
      <c r="I538" s="797"/>
      <c r="J538" s="764"/>
      <c r="K538" s="765"/>
      <c r="L538" s="766"/>
      <c r="M538" s="764"/>
      <c r="N538" s="767"/>
      <c r="O538" s="763"/>
      <c r="P538" s="763"/>
      <c r="Q538" s="764"/>
      <c r="R538" s="764"/>
      <c r="S538" s="764"/>
      <c r="T538" s="764"/>
      <c r="U538" s="768"/>
      <c r="V538" s="768"/>
      <c r="W538" s="769" t="str">
        <f>IFERROR(VLOOKUP('General price list'!$C538,Popisy!A:P,MATCH($W$17,Popisy!$A$7:$P$7,0),FALSE),"---------------")</f>
        <v>---------------</v>
      </c>
      <c r="X538" s="769" t="str">
        <f t="shared" ref="X538:X547" si="243">IF(AA538&lt;0.0001,"",AA538)</f>
        <v/>
      </c>
      <c r="Y538" s="770">
        <f>IF(OR(AP538&lt;AA538,AND(NOT(OR(LEFT(AB538,3)="SKL",LEFT(AB538,3)=LEFT($V$2,3))),AA538&gt;0),AND('Deutsche Markt'!$AH$1=FALSE,J538="F4",AA538&gt;0)),"",AA538)</f>
        <v>0</v>
      </c>
      <c r="Z538" s="769"/>
      <c r="AA538" s="771">
        <f>'Deutsche Markt'!AA538</f>
        <v>0</v>
      </c>
      <c r="AB538" s="772" t="str">
        <f>IFERROR(IF(VLOOKUP(C538,[1]List1!$A:$D,2,FALSE)="VYPRODÁNO",$V$9,IF(VLOOKUP(C538,[1]List1!$A:$D,2,FALSE)="DOCHÁZÍ",$V$3,VLOOKUP(C538,[1]List1!$A:$D,2,FALSE))),"OFFLINE!")</f>
        <v>OFFLINE!</v>
      </c>
      <c r="AC538" s="772" t="str">
        <f ca="1">IF(AO538="NE",$V$10,IF(AB538=$V$3,IF(AP538&lt;1,$V$8,$V$2&amp;" "&amp;AP538&amp;" "&amp;$V$1),IF(AB538="SKLADEM",$V$6,IFERROR(IF(OR(AB538-TODAY()&gt;21,VLOOKUP(C538,[1]List1!$A:$E,4,FALSE)=0),AB538,DAY(AB538)&amp;"."&amp;MONTH(AB538)&amp;"."&amp;YEAR(AB538)&amp;" "&amp;$V$4&amp;VLOOKUP(C538,[1]List1!$A:$E,4,FALSE)&amp;" "&amp;$V$1),AB538))))</f>
        <v>OFFLINE!</v>
      </c>
      <c r="AD538" s="772" t="str">
        <f t="shared" ref="AD538:AD547" ca="1" si="244">IFERROR(IF(AU538&lt;&gt;"",AU538,AC538),AC538)</f>
        <v>OFFLINE!</v>
      </c>
      <c r="AE538" s="605"/>
      <c r="AF538" s="605"/>
      <c r="AG538" s="615"/>
      <c r="AH538" s="616"/>
      <c r="AI538" s="615"/>
      <c r="AJ538" s="617"/>
      <c r="AK538" s="617"/>
      <c r="AL538" s="617"/>
      <c r="AM538" s="617"/>
      <c r="AN538" s="292"/>
      <c r="AO538" s="567" t="str">
        <f t="shared" si="210"/>
        <v/>
      </c>
      <c r="AP538" s="568" t="str">
        <f>IF(AB538=$V$3,IF(VLOOKUP(C538,[1]List1!$A:$E,5,FALSE)=0,1,VLOOKUP(C538,[1]List1!$A:$E,5,FALSE)),"")</f>
        <v/>
      </c>
      <c r="AQ538" s="292" t="str">
        <f t="shared" si="211"/>
        <v/>
      </c>
      <c r="AR538" s="618" t="str">
        <f t="shared" si="212"/>
        <v/>
      </c>
      <c r="AS538" s="292" t="str">
        <f t="shared" si="213"/>
        <v/>
      </c>
      <c r="AT538" s="377" t="e">
        <f t="shared" si="214"/>
        <v>#N/A</v>
      </c>
      <c r="AU538" s="292" t="e">
        <f t="shared" si="215"/>
        <v>#N/A</v>
      </c>
    </row>
    <row r="539" spans="1:47" ht="15" customHeight="1">
      <c r="A539" s="601" t="str">
        <f>Kat.!B537</f>
        <v/>
      </c>
      <c r="B539" s="601">
        <f t="shared" si="242"/>
        <v>1</v>
      </c>
      <c r="C539" s="778" t="s">
        <v>2174</v>
      </c>
      <c r="D539" s="778"/>
      <c r="E539" s="778"/>
      <c r="F539" s="779"/>
      <c r="G539" s="778"/>
      <c r="H539" s="778"/>
      <c r="I539" s="778"/>
      <c r="J539" s="778"/>
      <c r="K539" s="773"/>
      <c r="L539" s="778"/>
      <c r="M539" s="778"/>
      <c r="N539" s="778"/>
      <c r="O539" s="778"/>
      <c r="P539" s="778"/>
      <c r="Q539" s="778"/>
      <c r="R539" s="778"/>
      <c r="S539" s="778"/>
      <c r="T539" s="778"/>
      <c r="U539" s="778"/>
      <c r="V539" s="778"/>
      <c r="W539" s="778" t="str">
        <f>IFERROR(VLOOKUP('General price list'!$C539,Popisy!A:P,MATCH($W$17,Popisy!$A$7:$P$7,0),FALSE),"---------------")</f>
        <v>Produktmodell - ohne Sprengstoff</v>
      </c>
      <c r="X539" s="778" t="str">
        <f t="shared" si="243"/>
        <v/>
      </c>
      <c r="Y539" s="770">
        <f>IF(OR(AP539&lt;AA539,AND(NOT(OR(LEFT(AB539,3)="SKL",LEFT(AB539,3)=LEFT($V$2,3))),AA539&gt;0),AND('Deutsche Markt'!$AH$1=FALSE,J539="F4",AA539&gt;0)),"",AA539)</f>
        <v>0</v>
      </c>
      <c r="Z539" s="778"/>
      <c r="AA539" s="771">
        <f>'Deutsche Markt'!AA539</f>
        <v>0</v>
      </c>
      <c r="AB539" s="778" t="str">
        <f>IFERROR(IF(VLOOKUP(C539,[1]List1!$A:$D,2,FALSE)="VYPRODÁNO",$V$9,IF(VLOOKUP(C539,[1]List1!$A:$D,2,FALSE)="DOCHÁZÍ",$V$3,VLOOKUP(C539,[1]List1!$A:$D,2,FALSE))),"OFFLINE!")</f>
        <v>AUSVERKAUFT</v>
      </c>
      <c r="AC539" s="778" t="str">
        <f ca="1">IF(AO539="NE",$V$10,IF(AB539=$V$3,IF(AP539&lt;1,$V$8,$V$2&amp;" "&amp;AP539&amp;" "&amp;$V$1),IF(AB539="SKLADEM",$V$6,IFERROR(IF(OR(AB539-TODAY()&gt;21,VLOOKUP(C539,[1]List1!$A:$E,4,FALSE)=0),AB539,DAY(AB539)&amp;"."&amp;MONTH(AB539)&amp;"."&amp;YEAR(AB539)&amp;" "&amp;$V$4&amp;VLOOKUP(C539,[1]List1!$A:$E,4,FALSE)&amp;" "&amp;$V$1),AB539))))</f>
        <v>AUSVERKAUFT</v>
      </c>
      <c r="AD539" s="778" t="str">
        <f t="shared" ca="1" si="244"/>
        <v>AUSVERKAUFT</v>
      </c>
      <c r="AE539" s="599"/>
      <c r="AF539" s="599"/>
      <c r="AG539" s="599"/>
      <c r="AH539" s="599"/>
      <c r="AI539" s="599"/>
      <c r="AJ539" s="599"/>
      <c r="AK539" s="599"/>
      <c r="AL539" s="599"/>
      <c r="AM539" s="599"/>
      <c r="AN539" s="566"/>
      <c r="AO539" s="567" t="str">
        <f t="shared" si="210"/>
        <v/>
      </c>
      <c r="AP539" s="568" t="str">
        <f>IF(AB539=$V$3,IF(VLOOKUP(C539,[1]List1!$A:$E,5,FALSE)=0,1,VLOOKUP(C539,[1]List1!$A:$E,5,FALSE)),"")</f>
        <v/>
      </c>
      <c r="AQ539" s="292" t="str">
        <f t="shared" si="211"/>
        <v/>
      </c>
      <c r="AR539" s="618" t="str">
        <f t="shared" si="212"/>
        <v/>
      </c>
      <c r="AS539" s="292" t="str">
        <f t="shared" si="213"/>
        <v/>
      </c>
      <c r="AT539" s="377" t="e">
        <f t="shared" si="214"/>
        <v>#N/A</v>
      </c>
      <c r="AU539" s="292" t="e">
        <f t="shared" si="215"/>
        <v>#N/A</v>
      </c>
    </row>
    <row r="540" spans="1:47" ht="15" customHeight="1">
      <c r="A540" s="601" t="str">
        <f>Kat.!B538</f>
        <v>Batterien 106 schuss, 20+25+30mm gerader+schräg+S Mörser-1.3G</v>
      </c>
      <c r="B540" s="601">
        <f t="shared" si="242"/>
        <v>1</v>
      </c>
      <c r="C540" s="783" t="s">
        <v>2176</v>
      </c>
      <c r="D540" s="783"/>
      <c r="E540" s="760"/>
      <c r="F540" s="761"/>
      <c r="G540" s="762"/>
      <c r="H540" s="596"/>
      <c r="I540" s="797"/>
      <c r="J540" s="764"/>
      <c r="K540" s="765"/>
      <c r="L540" s="782"/>
      <c r="M540" s="764"/>
      <c r="N540" s="767"/>
      <c r="O540" s="763"/>
      <c r="P540" s="763"/>
      <c r="Q540" s="764"/>
      <c r="R540" s="764"/>
      <c r="S540" s="764"/>
      <c r="T540" s="764"/>
      <c r="U540" s="768"/>
      <c r="V540" s="768"/>
      <c r="W540" s="769" t="str">
        <f>IFERROR(VLOOKUP('General price list'!$C540,Popisy!A:P,MATCH($W$17,Popisy!$A$7:$P$7,0),FALSE),"---------------")</f>
        <v>Produktmodell - ohne Sprengstoff</v>
      </c>
      <c r="X540" s="769" t="str">
        <f t="shared" si="243"/>
        <v/>
      </c>
      <c r="Y540" s="770">
        <f>IF(OR(AP540&lt;AA540,AND(NOT(OR(LEFT(AB540,3)="SKL",LEFT(AB540,3)=LEFT($V$2,3))),AA540&gt;0),AND('Deutsche Markt'!$AH$1=FALSE,J540="F4",AA540&gt;0)),"",AA540)</f>
        <v>0</v>
      </c>
      <c r="Z540" s="769"/>
      <c r="AA540" s="771">
        <f>'Deutsche Markt'!AA540</f>
        <v>0</v>
      </c>
      <c r="AB540" s="772" t="str">
        <f>IFERROR(IF(VLOOKUP(C540,[1]List1!$A:$D,2,FALSE)="VYPRODÁNO",$V$9,IF(VLOOKUP(C540,[1]List1!$A:$D,2,FALSE)="DOCHÁZÍ",$V$3,VLOOKUP(C540,[1]List1!$A:$D,2,FALSE))),"OFFLINE!")</f>
        <v>AUSVERKAUFT</v>
      </c>
      <c r="AC540" s="772" t="str">
        <f ca="1">IF(AO540="NE",$V$10,IF(AB540=$V$3,IF(AP540&lt;1,$V$8,$V$2&amp;" "&amp;AP540&amp;" "&amp;$V$1),IF(AB540="SKLADEM",$V$6,IFERROR(IF(OR(AB540-TODAY()&gt;21,VLOOKUP(C540,[1]List1!$A:$E,4,FALSE)=0),AB540,DAY(AB540)&amp;"."&amp;MONTH(AB540)&amp;"."&amp;YEAR(AB540)&amp;" "&amp;$V$4&amp;VLOOKUP(C540,[1]List1!$A:$E,4,FALSE)&amp;" "&amp;$V$1),AB540))))</f>
        <v>AUSVERKAUFT</v>
      </c>
      <c r="AD540" s="772" t="str">
        <f t="shared" ca="1" si="244"/>
        <v>AUSVERKAUFT</v>
      </c>
      <c r="AE540" s="605"/>
      <c r="AF540" s="605"/>
      <c r="AG540" s="615"/>
      <c r="AH540" s="616"/>
      <c r="AI540" s="615"/>
      <c r="AJ540" s="617"/>
      <c r="AK540" s="617"/>
      <c r="AL540" s="617"/>
      <c r="AM540" s="617"/>
      <c r="AN540" s="292"/>
      <c r="AO540" s="567" t="str">
        <f t="shared" si="210"/>
        <v/>
      </c>
      <c r="AP540" s="568" t="str">
        <f>IF(AB540=$V$3,IF(VLOOKUP(C540,[1]List1!$A:$E,5,FALSE)=0,1,VLOOKUP(C540,[1]List1!$A:$E,5,FALSE)),"")</f>
        <v/>
      </c>
      <c r="AQ540" s="292" t="str">
        <f t="shared" si="211"/>
        <v/>
      </c>
      <c r="AR540" s="618" t="str">
        <f t="shared" si="212"/>
        <v/>
      </c>
      <c r="AS540" s="292" t="str">
        <f t="shared" si="213"/>
        <v/>
      </c>
      <c r="AT540" s="377" t="e">
        <f t="shared" si="214"/>
        <v>#N/A</v>
      </c>
      <c r="AU540" s="292" t="e">
        <f t="shared" si="215"/>
        <v>#N/A</v>
      </c>
    </row>
    <row r="541" spans="1:47" ht="15" customHeight="1">
      <c r="A541" s="601" t="str">
        <f>Kat.!B539</f>
        <v/>
      </c>
      <c r="B541" s="601">
        <f t="shared" si="242"/>
        <v>0</v>
      </c>
      <c r="C541" s="783"/>
      <c r="D541" s="783"/>
      <c r="E541" s="764"/>
      <c r="F541" s="761"/>
      <c r="G541" s="762"/>
      <c r="H541" s="596"/>
      <c r="I541" s="787"/>
      <c r="J541" s="764"/>
      <c r="K541" s="773"/>
      <c r="L541" s="787"/>
      <c r="M541" s="764"/>
      <c r="N541" s="767"/>
      <c r="O541" s="763"/>
      <c r="P541" s="763"/>
      <c r="Q541" s="764"/>
      <c r="R541" s="764"/>
      <c r="S541" s="764"/>
      <c r="T541" s="764"/>
      <c r="U541" s="768"/>
      <c r="V541" s="768"/>
      <c r="W541" s="769" t="str">
        <f>IFERROR(VLOOKUP('General price list'!$C541,Popisy!A:P,MATCH($W$17,Popisy!$A$7:$P$7,0),FALSE),"---------------")</f>
        <v>---------------</v>
      </c>
      <c r="X541" s="769" t="str">
        <f t="shared" si="243"/>
        <v/>
      </c>
      <c r="Y541" s="770">
        <f>IF(OR(AP541&lt;AA541,AND(NOT(OR(LEFT(AB541,3)="SKL",LEFT(AB541,3)=LEFT($V$2,3))),AA541&gt;0),AND('Deutsche Markt'!$AH$1=FALSE,J541="F4",AA541&gt;0)),"",AA541)</f>
        <v>0</v>
      </c>
      <c r="Z541" s="769"/>
      <c r="AA541" s="771">
        <f>'Deutsche Markt'!AA541</f>
        <v>0</v>
      </c>
      <c r="AB541" s="772" t="str">
        <f>IFERROR(IF(VLOOKUP(C541,[1]List1!$A:$D,2,FALSE)="VYPRODÁNO",$V$9,IF(VLOOKUP(C541,[1]List1!$A:$D,2,FALSE)="DOCHÁZÍ",$V$3,VLOOKUP(C541,[1]List1!$A:$D,2,FALSE))),"OFFLINE!")</f>
        <v>OFFLINE!</v>
      </c>
      <c r="AC541" s="772" t="str">
        <f ca="1">IF(AO541="NE",$V$10,IF(AB541=$V$3,IF(AP541&lt;1,$V$8,$V$2&amp;" "&amp;AP541&amp;" "&amp;$V$1),IF(AB541="SKLADEM",$V$6,IFERROR(IF(OR(AB541-TODAY()&gt;21,VLOOKUP(C541,[1]List1!$A:$E,4,FALSE)=0),AB541,DAY(AB541)&amp;"."&amp;MONTH(AB541)&amp;"."&amp;YEAR(AB541)&amp;" "&amp;$V$4&amp;VLOOKUP(C541,[1]List1!$A:$E,4,FALSE)&amp;" "&amp;$V$1),AB541))))</f>
        <v>OFFLINE!</v>
      </c>
      <c r="AD541" s="772" t="str">
        <f t="shared" ca="1" si="244"/>
        <v>OFFLINE!</v>
      </c>
      <c r="AE541" s="605"/>
      <c r="AF541" s="605"/>
      <c r="AG541" s="615"/>
      <c r="AH541" s="616"/>
      <c r="AI541" s="615"/>
      <c r="AJ541" s="617"/>
      <c r="AK541" s="617"/>
      <c r="AL541" s="617"/>
      <c r="AM541" s="617"/>
      <c r="AN541" s="292"/>
      <c r="AO541" s="567" t="str">
        <f t="shared" si="210"/>
        <v/>
      </c>
      <c r="AP541" s="568" t="str">
        <f>IF(AB541=$V$3,IF(VLOOKUP(C541,[1]List1!$A:$E,5,FALSE)=0,1,VLOOKUP(C541,[1]List1!$A:$E,5,FALSE)),"")</f>
        <v/>
      </c>
      <c r="AQ541" s="292" t="str">
        <f t="shared" si="211"/>
        <v/>
      </c>
      <c r="AR541" s="618" t="str">
        <f t="shared" si="212"/>
        <v/>
      </c>
      <c r="AS541" s="292" t="str">
        <f t="shared" si="213"/>
        <v/>
      </c>
      <c r="AT541" s="377" t="e">
        <f t="shared" si="214"/>
        <v>#N/A</v>
      </c>
      <c r="AU541" s="292" t="e">
        <f t="shared" si="215"/>
        <v>#N/A</v>
      </c>
    </row>
    <row r="542" spans="1:47" ht="15" customHeight="1">
      <c r="A542" s="599" t="str">
        <f>Kat.!$B$1&amp;Kat.!B540</f>
        <v/>
      </c>
      <c r="B542" s="601">
        <f t="shared" si="242"/>
        <v>1</v>
      </c>
      <c r="C542" s="599" t="s">
        <v>2178</v>
      </c>
      <c r="D542" s="599"/>
      <c r="E542" s="599"/>
      <c r="F542" s="600"/>
      <c r="G542" s="599"/>
      <c r="H542" s="599"/>
      <c r="I542" s="599"/>
      <c r="J542" s="599"/>
      <c r="K542" s="708"/>
      <c r="L542" s="599"/>
      <c r="M542" s="599"/>
      <c r="N542" s="599"/>
      <c r="O542" s="599"/>
      <c r="P542" s="599"/>
      <c r="Q542" s="599"/>
      <c r="R542" s="599"/>
      <c r="S542" s="599"/>
      <c r="T542" s="599"/>
      <c r="U542" s="599"/>
      <c r="V542" s="599"/>
      <c r="W542" s="599" t="str">
        <f>IFERROR(VLOOKUP('General price list'!$C542,Popisy!A:P,MATCH($W$17,Popisy!$A$7:$P$7,0),FALSE),"---------------")</f>
        <v>Produktmodell - ohne Sprengstoff</v>
      </c>
      <c r="X542" s="599" t="str">
        <f t="shared" si="243"/>
        <v/>
      </c>
      <c r="Y542" s="770">
        <f>IF(OR(AP542&lt;AA542,AND(NOT(OR(LEFT(AB542,3)="SKL",LEFT(AB542,3)=LEFT($V$2,3))),AA542&gt;0),AND('Deutsche Markt'!$AH$1=FALSE,J542="F4",AA542&gt;0)),"",AA542)</f>
        <v>0</v>
      </c>
      <c r="Z542" s="599"/>
      <c r="AA542" s="771">
        <f>'Deutsche Markt'!AA542</f>
        <v>0</v>
      </c>
      <c r="AB542" s="599" t="str">
        <f>IFERROR(IF(VLOOKUP(C542,[1]List1!$A:$D,2,FALSE)="VYPRODÁNO",$V$9,IF(VLOOKUP(C542,[1]List1!$A:$D,2,FALSE)="DOCHÁZÍ",$V$3,VLOOKUP(C542,[1]List1!$A:$D,2,FALSE))),"OFFLINE!")</f>
        <v>SKLADEM</v>
      </c>
      <c r="AC542" s="599" t="str">
        <f ca="1">IF(AO542="NE",$V$10,IF(AB542=$V$3,IF(AP542&lt;1,$V$8,$V$2&amp;" "&amp;AP542&amp;" "&amp;$V$1),IF(AB542="SKLADEM",$V$6,IFERROR(IF(OR(AB542-TODAY()&gt;21,VLOOKUP(C542,[1]List1!$A:$E,4,FALSE)=0),AB542,DAY(AB542)&amp;"."&amp;MONTH(AB542)&amp;"."&amp;YEAR(AB542)&amp;" "&amp;$V$4&amp;VLOOKUP(C542,[1]List1!$A:$E,4,FALSE)&amp;" "&amp;$V$1),AB542))))</f>
        <v>AUF LAGER</v>
      </c>
      <c r="AD542" s="599" t="str">
        <f t="shared" ca="1" si="244"/>
        <v>AUF LAGER</v>
      </c>
      <c r="AE542" s="599"/>
      <c r="AF542" s="599"/>
      <c r="AG542" s="599"/>
      <c r="AH542" s="599"/>
      <c r="AI542" s="599"/>
      <c r="AJ542" s="599"/>
      <c r="AK542" s="599"/>
      <c r="AL542" s="599"/>
      <c r="AM542" s="599"/>
      <c r="AN542" s="566"/>
      <c r="AO542" s="567" t="str">
        <f t="shared" si="210"/>
        <v/>
      </c>
      <c r="AP542" s="568" t="str">
        <f>IF(AB542=$V$3,IF(VLOOKUP(C542,[1]List1!$A:$E,5,FALSE)=0,1,VLOOKUP(C542,[1]List1!$A:$E,5,FALSE)),"")</f>
        <v/>
      </c>
      <c r="AQ542" s="292" t="str">
        <f t="shared" si="211"/>
        <v/>
      </c>
      <c r="AR542" s="618" t="str">
        <f t="shared" si="212"/>
        <v/>
      </c>
      <c r="AS542" s="292" t="str">
        <f t="shared" si="213"/>
        <v/>
      </c>
      <c r="AT542" s="377" t="e">
        <f t="shared" si="214"/>
        <v>#N/A</v>
      </c>
      <c r="AU542" s="292" t="e">
        <f t="shared" si="215"/>
        <v>#N/A</v>
      </c>
    </row>
    <row r="543" spans="1:47" ht="15" customHeight="1">
      <c r="A543" s="601" t="str">
        <f>Kat.!B541</f>
        <v>Verbundfeurwerk, multikaliber(20-30mm) F3 - 1.3G</v>
      </c>
      <c r="B543" s="601">
        <f t="shared" si="242"/>
        <v>0</v>
      </c>
      <c r="C543" s="783"/>
      <c r="D543" s="783"/>
      <c r="E543" s="764"/>
      <c r="F543" s="761"/>
      <c r="G543" s="762"/>
      <c r="H543" s="595"/>
      <c r="I543" s="764"/>
      <c r="J543" s="764"/>
      <c r="K543" s="781"/>
      <c r="L543" s="764"/>
      <c r="M543" s="764"/>
      <c r="N543" s="764"/>
      <c r="O543" s="764"/>
      <c r="P543" s="764"/>
      <c r="Q543" s="764"/>
      <c r="R543" s="764"/>
      <c r="S543" s="764"/>
      <c r="T543" s="764"/>
      <c r="U543" s="764"/>
      <c r="V543" s="764"/>
      <c r="W543" s="764" t="str">
        <f>IFERROR(VLOOKUP('General price list'!$C543,Popisy!A:P,MATCH($W$17,Popisy!$A$7:$P$7,0),FALSE),"---------------")</f>
        <v>---------------</v>
      </c>
      <c r="X543" s="764" t="str">
        <f t="shared" si="243"/>
        <v/>
      </c>
      <c r="Y543" s="770">
        <f>IF(OR(AP543&lt;AA543,AND(NOT(OR(LEFT(AB543,3)="SKL",LEFT(AB543,3)=LEFT($V$2,3))),AA543&gt;0),AND('Deutsche Markt'!$AH$1=FALSE,J543="F4",AA543&gt;0)),"",AA543)</f>
        <v>0</v>
      </c>
      <c r="Z543" s="764"/>
      <c r="AA543" s="771">
        <f>'Deutsche Markt'!AA543</f>
        <v>0</v>
      </c>
      <c r="AB543" s="772" t="str">
        <f>IFERROR(IF(VLOOKUP(C543,[1]List1!$A:$D,2,FALSE)="VYPRODÁNO",$V$9,IF(VLOOKUP(C543,[1]List1!$A:$D,2,FALSE)="DOCHÁZÍ",$V$3,VLOOKUP(C543,[1]List1!$A:$D,2,FALSE))),"OFFLINE!")</f>
        <v>OFFLINE!</v>
      </c>
      <c r="AC543" s="785" t="str">
        <f ca="1">IF(AO543="NE",$V$10,IF(AB543=$V$3,IF(AP543&lt;1,$V$8,$V$2&amp;" "&amp;AP543&amp;" "&amp;$V$1),IF(AB543="SKLADEM",$V$6,IFERROR(IF(OR(AB543-TODAY()&gt;21,VLOOKUP(C543,[1]List1!$A:$E,4,FALSE)=0),AB543,DAY(AB543)&amp;"."&amp;MONTH(AB543)&amp;"."&amp;YEAR(AB543)&amp;" "&amp;$V$4&amp;VLOOKUP(C543,[1]List1!$A:$E,4,FALSE)&amp;" "&amp;$V$1),AB543))))</f>
        <v>OFFLINE!</v>
      </c>
      <c r="AD543" s="785" t="str">
        <f t="shared" ca="1" si="244"/>
        <v>OFFLINE!</v>
      </c>
      <c r="AE543" s="609"/>
      <c r="AF543" s="609"/>
      <c r="AG543" s="627"/>
      <c r="AH543" s="609"/>
      <c r="AI543" s="627"/>
      <c r="AJ543" s="609"/>
      <c r="AK543" s="609"/>
      <c r="AL543" s="609"/>
      <c r="AM543" s="627"/>
      <c r="AO543" s="567" t="str">
        <f t="shared" si="210"/>
        <v/>
      </c>
      <c r="AP543" s="568" t="str">
        <f>IF(AB543=$V$3,IF(VLOOKUP(C543,[1]List1!$A:$E,5,FALSE)=0,1,VLOOKUP(C543,[1]List1!$A:$E,5,FALSE)),"")</f>
        <v/>
      </c>
      <c r="AQ543" s="292" t="str">
        <f t="shared" si="211"/>
        <v/>
      </c>
      <c r="AR543" s="618" t="str">
        <f t="shared" si="212"/>
        <v/>
      </c>
      <c r="AS543" s="292" t="str">
        <f t="shared" si="213"/>
        <v/>
      </c>
      <c r="AT543" s="377" t="e">
        <f t="shared" si="214"/>
        <v>#N/A</v>
      </c>
      <c r="AU543" s="292" t="e">
        <f t="shared" si="215"/>
        <v>#N/A</v>
      </c>
    </row>
    <row r="544" spans="1:47" ht="15" customHeight="1">
      <c r="A544" s="601" t="str">
        <f>Kat.!B542</f>
        <v/>
      </c>
      <c r="B544" s="601">
        <f t="shared" si="242"/>
        <v>1</v>
      </c>
      <c r="C544" s="783" t="s">
        <v>11785</v>
      </c>
      <c r="D544" s="776"/>
      <c r="E544" s="760"/>
      <c r="F544" s="761"/>
      <c r="G544" s="762"/>
      <c r="H544" s="596"/>
      <c r="I544" s="763"/>
      <c r="J544" s="764"/>
      <c r="K544" s="774"/>
      <c r="L544" s="766"/>
      <c r="M544" s="764"/>
      <c r="N544" s="777"/>
      <c r="O544" s="763"/>
      <c r="P544" s="763"/>
      <c r="Q544" s="764"/>
      <c r="R544" s="764"/>
      <c r="S544" s="764"/>
      <c r="T544" s="764"/>
      <c r="U544" s="768"/>
      <c r="V544" s="768"/>
      <c r="W544" s="769" t="str">
        <f>IFERROR(VLOOKUP('General price list'!$C544,Popisy!A:P,MATCH($W$17,Popisy!$A$7:$P$7,0),FALSE),"---------------")</f>
        <v>Karton mit Produktdesign</v>
      </c>
      <c r="X544" s="769" t="str">
        <f t="shared" si="243"/>
        <v/>
      </c>
      <c r="Y544" s="770">
        <f>IF(OR(AP544&lt;AA544,AND(NOT(OR(LEFT(AB544,3)="SKL",LEFT(AB544,3)=LEFT($V$2,3))),AA544&gt;0),AND('Deutsche Markt'!$AH$1=FALSE,J544="F4",AA544&gt;0)),"",AA544)</f>
        <v>0</v>
      </c>
      <c r="Z544" s="769"/>
      <c r="AA544" s="771">
        <f>'Deutsche Markt'!AA544</f>
        <v>0</v>
      </c>
      <c r="AB544" s="772" t="str">
        <f>IFERROR(IF(VLOOKUP(C544,[1]List1!$A:$D,2,FALSE)="VYPRODÁNO",$V$9,IF(VLOOKUP(C544,[1]List1!$A:$D,2,FALSE)="DOCHÁZÍ",$V$3,VLOOKUP(C544,[1]List1!$A:$D,2,FALSE))),"OFFLINE!")</f>
        <v>SKLADEM</v>
      </c>
      <c r="AC544" s="772" t="str">
        <f ca="1">IF(AO544="NE",$V$10,IF(AB544=$V$3,IF(AP544&lt;1,$V$8,$V$2&amp;" "&amp;AP544&amp;" "&amp;$V$1),IF(AB544="SKLADEM",$V$6,IFERROR(IF(OR(AB544-TODAY()&gt;21,VLOOKUP(C544,[1]List1!$A:$E,4,FALSE)=0),AB544,DAY(AB544)&amp;"."&amp;MONTH(AB544)&amp;"."&amp;YEAR(AB544)&amp;" "&amp;$V$4&amp;VLOOKUP(C544,[1]List1!$A:$E,4,FALSE)&amp;" "&amp;$V$1),AB544))))</f>
        <v>AUF LAGER</v>
      </c>
      <c r="AD544" s="772" t="str">
        <f t="shared" ca="1" si="244"/>
        <v>AUF LAGER</v>
      </c>
      <c r="AE544" s="605"/>
      <c r="AF544" s="605"/>
      <c r="AG544" s="615"/>
      <c r="AH544" s="616"/>
      <c r="AI544" s="615"/>
      <c r="AJ544" s="617"/>
      <c r="AK544" s="617"/>
      <c r="AL544" s="617"/>
      <c r="AM544" s="617"/>
      <c r="AN544" s="292"/>
      <c r="AO544" s="567" t="str">
        <f t="shared" si="210"/>
        <v/>
      </c>
      <c r="AP544" s="568" t="str">
        <f>IF(AB544=$V$3,IF(VLOOKUP(C544,[1]List1!$A:$E,5,FALSE)=0,1,VLOOKUP(C544,[1]List1!$A:$E,5,FALSE)),"")</f>
        <v/>
      </c>
      <c r="AQ544" s="292" t="str">
        <f t="shared" si="211"/>
        <v/>
      </c>
      <c r="AR544" s="618" t="str">
        <f t="shared" si="212"/>
        <v/>
      </c>
      <c r="AS544" s="292" t="str">
        <f t="shared" si="213"/>
        <v/>
      </c>
      <c r="AT544" s="377" t="e">
        <f t="shared" si="214"/>
        <v>#N/A</v>
      </c>
      <c r="AU544" s="292" t="e">
        <f t="shared" si="215"/>
        <v>#N/A</v>
      </c>
    </row>
    <row r="545" spans="1:47" ht="15" customHeight="1">
      <c r="A545" s="609" t="str">
        <f>Kat.!$B$1&amp;Kat.!B543</f>
        <v>Kartons gestalten</v>
      </c>
      <c r="B545" s="601">
        <f t="shared" si="242"/>
        <v>1</v>
      </c>
      <c r="C545" s="163" t="s">
        <v>11786</v>
      </c>
      <c r="D545" s="163"/>
      <c r="E545" s="609"/>
      <c r="F545" s="605"/>
      <c r="G545" s="606"/>
      <c r="H545" s="607"/>
      <c r="I545" s="636"/>
      <c r="J545" s="609"/>
      <c r="K545" s="708"/>
      <c r="L545" s="601"/>
      <c r="M545" s="609"/>
      <c r="N545" s="624"/>
      <c r="O545" s="624"/>
      <c r="P545" s="608"/>
      <c r="Q545" s="609"/>
      <c r="R545" s="609"/>
      <c r="S545" s="609"/>
      <c r="T545" s="609"/>
      <c r="U545" s="613"/>
      <c r="V545" s="613"/>
      <c r="W545" s="601" t="str">
        <f>IFERROR(VLOOKUP('General price list'!$C545,Popisy!A:P,MATCH($W$17,Popisy!$A$7:$P$7,0),FALSE),"---------------")</f>
        <v>Karton mit Produktdesign</v>
      </c>
      <c r="X545" s="601" t="str">
        <f t="shared" si="243"/>
        <v/>
      </c>
      <c r="Y545" s="770">
        <f>IF(OR(AP545&lt;AA545,AND(NOT(OR(LEFT(AB545,3)="SKL",LEFT(AB545,3)=LEFT($V$2,3))),AA545&gt;0),AND('Deutsche Markt'!$AH$1=FALSE,J545="F4",AA545&gt;0)),"",AA545)</f>
        <v>0</v>
      </c>
      <c r="Z545" s="601"/>
      <c r="AA545" s="771">
        <f>'Deutsche Markt'!AA545</f>
        <v>0</v>
      </c>
      <c r="AB545" s="614" t="str">
        <f>IFERROR(IF(VLOOKUP(C545,[1]List1!$A:$D,2,FALSE)="VYPRODÁNO",$V$9,IF(VLOOKUP(C545,[1]List1!$A:$D,2,FALSE)="DOCHÁZÍ",$V$3,VLOOKUP(C545,[1]List1!$A:$D,2,FALSE))),"OFFLINE!")</f>
        <v>SKLADEM</v>
      </c>
      <c r="AC545" s="626" t="str">
        <f ca="1">IF(AO545="NE",$V$10,IF(AB545=$V$3,IF(AP545&lt;1,$V$8,$V$2&amp;" "&amp;AP545&amp;" "&amp;$V$1),IF(AB545="SKLADEM",$V$6,IFERROR(IF(OR(AB545-TODAY()&gt;21,VLOOKUP(C545,[1]List1!$A:$E,4,FALSE)=0),AB545,DAY(AB545)&amp;"."&amp;MONTH(AB545)&amp;"."&amp;YEAR(AB545)&amp;" "&amp;$V$4&amp;VLOOKUP(C545,[1]List1!$A:$E,4,FALSE)&amp;" "&amp;$V$1),AB545))))</f>
        <v>AUF LAGER</v>
      </c>
      <c r="AD545" s="626" t="str">
        <f t="shared" ca="1" si="244"/>
        <v>AUF LAGER</v>
      </c>
      <c r="AE545" s="605"/>
      <c r="AF545" s="605"/>
      <c r="AG545" s="615"/>
      <c r="AH545" s="616"/>
      <c r="AI545" s="615"/>
      <c r="AJ545" s="617"/>
      <c r="AK545" s="617"/>
      <c r="AL545" s="617"/>
      <c r="AM545" s="617"/>
      <c r="AN545" s="292"/>
      <c r="AO545" s="567" t="str">
        <f t="shared" si="210"/>
        <v/>
      </c>
      <c r="AP545" s="568" t="str">
        <f>IF(AB545=$V$3,IF(VLOOKUP(C545,[1]List1!$A:$E,5,FALSE)=0,1,VLOOKUP(C545,[1]List1!$A:$E,5,FALSE)),"")</f>
        <v/>
      </c>
      <c r="AQ545" s="292" t="str">
        <f t="shared" si="211"/>
        <v/>
      </c>
      <c r="AR545" s="618" t="str">
        <f t="shared" si="212"/>
        <v/>
      </c>
      <c r="AS545" s="292" t="str">
        <f t="shared" si="213"/>
        <v/>
      </c>
      <c r="AT545" s="377" t="e">
        <f t="shared" si="214"/>
        <v>#N/A</v>
      </c>
      <c r="AU545" s="292" t="e">
        <f t="shared" si="215"/>
        <v>#N/A</v>
      </c>
    </row>
    <row r="546" spans="1:47" ht="15" customHeight="1">
      <c r="A546" s="601" t="str">
        <f>Kat.!B544</f>
        <v/>
      </c>
      <c r="B546" s="601">
        <f t="shared" si="242"/>
        <v>1</v>
      </c>
      <c r="C546" s="778" t="s">
        <v>11787</v>
      </c>
      <c r="D546" s="778"/>
      <c r="E546" s="778"/>
      <c r="F546" s="779"/>
      <c r="G546" s="778"/>
      <c r="H546" s="778"/>
      <c r="I546" s="778"/>
      <c r="J546" s="778"/>
      <c r="K546" s="765"/>
      <c r="L546" s="778"/>
      <c r="M546" s="778"/>
      <c r="N546" s="778"/>
      <c r="O546" s="778"/>
      <c r="P546" s="778"/>
      <c r="Q546" s="778"/>
      <c r="R546" s="778"/>
      <c r="S546" s="778"/>
      <c r="T546" s="778"/>
      <c r="U546" s="778"/>
      <c r="V546" s="778"/>
      <c r="W546" s="778" t="str">
        <f>IFERROR(VLOOKUP('General price list'!$C546,Popisy!A:P,MATCH($W$17,Popisy!$A$7:$P$7,0),FALSE),"---------------")</f>
        <v>Karton mit Produktdesign</v>
      </c>
      <c r="X546" s="778" t="str">
        <f t="shared" si="243"/>
        <v/>
      </c>
      <c r="Y546" s="770">
        <f>IF(OR(AP546&lt;AA546,AND(NOT(OR(LEFT(AB546,3)="SKL",LEFT(AB546,3)=LEFT($V$2,3))),AA546&gt;0),AND('Deutsche Markt'!$AH$1=FALSE,J546="F4",AA546&gt;0)),"",AA546)</f>
        <v>0</v>
      </c>
      <c r="Z546" s="778"/>
      <c r="AA546" s="771">
        <f>'Deutsche Markt'!AA546</f>
        <v>0</v>
      </c>
      <c r="AB546" s="778" t="str">
        <f>IFERROR(IF(VLOOKUP(C546,[1]List1!$A:$D,2,FALSE)="VYPRODÁNO",$V$9,IF(VLOOKUP(C546,[1]List1!$A:$D,2,FALSE)="DOCHÁZÍ",$V$3,VLOOKUP(C546,[1]List1!$A:$D,2,FALSE))),"OFFLINE!")</f>
        <v>SKLADEM</v>
      </c>
      <c r="AC546" s="778" t="str">
        <f ca="1">IF(AO546="NE",$V$10,IF(AB546=$V$3,IF(AP546&lt;1,$V$8,$V$2&amp;" "&amp;AP546&amp;" "&amp;$V$1),IF(AB546="SKLADEM",$V$6,IFERROR(IF(OR(AB546-TODAY()&gt;21,VLOOKUP(C546,[1]List1!$A:$E,4,FALSE)=0),AB546,DAY(AB546)&amp;"."&amp;MONTH(AB546)&amp;"."&amp;YEAR(AB546)&amp;" "&amp;$V$4&amp;VLOOKUP(C546,[1]List1!$A:$E,4,FALSE)&amp;" "&amp;$V$1),AB546))))</f>
        <v>AUF LAGER</v>
      </c>
      <c r="AD546" s="778" t="str">
        <f t="shared" ca="1" si="244"/>
        <v>AUF LAGER</v>
      </c>
      <c r="AE546" s="599"/>
      <c r="AF546" s="599"/>
      <c r="AG546" s="599"/>
      <c r="AH546" s="599"/>
      <c r="AI546" s="599"/>
      <c r="AJ546" s="599"/>
      <c r="AK546" s="599"/>
      <c r="AL546" s="599"/>
      <c r="AM546" s="599"/>
      <c r="AN546" s="566"/>
      <c r="AO546" s="567" t="str">
        <f t="shared" si="210"/>
        <v/>
      </c>
      <c r="AP546" s="568" t="str">
        <f>IF(AB546=$V$3,IF(VLOOKUP(C546,[1]List1!$A:$E,5,FALSE)=0,1,VLOOKUP(C546,[1]List1!$A:$E,5,FALSE)),"")</f>
        <v/>
      </c>
      <c r="AQ546" s="292" t="str">
        <f t="shared" si="211"/>
        <v/>
      </c>
      <c r="AR546" s="618" t="str">
        <f t="shared" si="212"/>
        <v/>
      </c>
      <c r="AS546" s="292" t="str">
        <f t="shared" si="213"/>
        <v/>
      </c>
      <c r="AT546" s="377" t="e">
        <f t="shared" si="214"/>
        <v>#N/A</v>
      </c>
      <c r="AU546" s="292" t="e">
        <f t="shared" si="215"/>
        <v>#N/A</v>
      </c>
    </row>
    <row r="547" spans="1:47" ht="15" customHeight="1">
      <c r="A547" s="601" t="e">
        <f>Kat.!#REF!</f>
        <v>#REF!</v>
      </c>
      <c r="B547" s="601">
        <f t="shared" si="242"/>
        <v>1</v>
      </c>
      <c r="C547" s="775" t="s">
        <v>11789</v>
      </c>
      <c r="D547" s="776"/>
      <c r="E547" s="760"/>
      <c r="F547" s="761"/>
      <c r="G547" s="762"/>
      <c r="H547" s="596"/>
      <c r="I547" s="797"/>
      <c r="J547" s="764"/>
      <c r="K547" s="773"/>
      <c r="L547" s="766"/>
      <c r="M547" s="764"/>
      <c r="N547" s="767"/>
      <c r="O547" s="763"/>
      <c r="P547" s="763"/>
      <c r="Q547" s="764"/>
      <c r="R547" s="764"/>
      <c r="S547" s="764"/>
      <c r="T547" s="764"/>
      <c r="U547" s="768"/>
      <c r="V547" s="768"/>
      <c r="W547" s="769" t="str">
        <f>IFERROR(VLOOKUP('General price list'!$C547,Popisy!A:P,MATCH($W$17,Popisy!$A$7:$P$7,0),FALSE),"---------------")</f>
        <v>Karton mit Produktdesign</v>
      </c>
      <c r="X547" s="769" t="str">
        <f t="shared" si="243"/>
        <v/>
      </c>
      <c r="Y547" s="770">
        <f>IF(OR(AP547&lt;AA547,AND(NOT(OR(LEFT(AB547,3)="SKL",LEFT(AB547,3)=LEFT($V$2,3))),AA547&gt;0),AND('Deutsche Markt'!$AH$1=FALSE,J547="F4",AA547&gt;0)),"",AA547)</f>
        <v>0</v>
      </c>
      <c r="Z547" s="769"/>
      <c r="AA547" s="771">
        <f>'Deutsche Markt'!AA547</f>
        <v>0</v>
      </c>
      <c r="AB547" s="772" t="str">
        <f>IFERROR(IF(VLOOKUP(C547,[1]List1!$A:$D,2,FALSE)="VYPRODÁNO",$V$9,IF(VLOOKUP(C547,[1]List1!$A:$D,2,FALSE)="DOCHÁZÍ",$V$3,VLOOKUP(C547,[1]List1!$A:$D,2,FALSE))),"OFFLINE!")</f>
        <v>SKLADEM</v>
      </c>
      <c r="AC547" s="772" t="str">
        <f ca="1">IF(AO547="NE",$V$10,IF(AB547=$V$3,IF(AP547&lt;1,$V$8,$V$2&amp;" "&amp;AP547&amp;" "&amp;$V$1),IF(AB547="SKLADEM",$V$6,IFERROR(IF(OR(AB547-TODAY()&gt;21,VLOOKUP(C547,[1]List1!$A:$E,4,FALSE)=0),AB547,DAY(AB547)&amp;"."&amp;MONTH(AB547)&amp;"."&amp;YEAR(AB547)&amp;" "&amp;$V$4&amp;VLOOKUP(C547,[1]List1!$A:$E,4,FALSE)&amp;" "&amp;$V$1),AB547))))</f>
        <v>AUF LAGER</v>
      </c>
      <c r="AD547" s="772" t="str">
        <f t="shared" ca="1" si="244"/>
        <v>AUF LAGER</v>
      </c>
      <c r="AE547" s="605"/>
      <c r="AF547" s="605"/>
      <c r="AG547" s="615"/>
      <c r="AH547" s="616"/>
      <c r="AI547" s="615"/>
      <c r="AJ547" s="617"/>
      <c r="AK547" s="617"/>
      <c r="AL547" s="617"/>
      <c r="AM547" s="617"/>
      <c r="AN547" s="292"/>
      <c r="AO547" s="567" t="str">
        <f t="shared" ref="AO547" si="245">IF($AK$3=1,IF(Y547=AA547,"","NE"),IF(AQ547=$V$10,"NE",""))</f>
        <v/>
      </c>
      <c r="AP547" s="568" t="str">
        <f>IF(AB547=$V$3,IF(VLOOKUP(C547,[1]List1!$A:$E,5,FALSE)=0,1,VLOOKUP(C547,[1]List1!$A:$E,5,FALSE)),"")</f>
        <v/>
      </c>
      <c r="AQ547" s="292" t="str">
        <f t="shared" ref="AQ547" si="246">IF($AK$3=1,"",IF(OR(AA547&lt;&gt;"",AA547&lt;&gt;0),IF(OR(AB547=$V$6,AB547=$V$3,AB547=$V$9),$V$10,""),""))</f>
        <v/>
      </c>
      <c r="AR547" s="618" t="str">
        <f t="shared" ref="AR547" si="247">IF(AS547&lt;&gt;"","X","")</f>
        <v/>
      </c>
      <c r="AS547" s="292" t="str">
        <f t="shared" ref="AS547" si="248">IF(AND($AK$3=2,AQ547="",AA547&lt;&gt;""),AC547,"")</f>
        <v/>
      </c>
      <c r="AT547" s="377" t="e">
        <f t="shared" ref="AT547" si="249">IF(AS547=$AR$21,AA547,"")</f>
        <v>#N/A</v>
      </c>
      <c r="AU547" s="292" t="e">
        <f t="shared" ref="AU547" si="250">IF(OR(AA547="",AND(AS547&lt;&gt;"",AT547&lt;&gt;"")),"",$V$10)</f>
        <v>#N/A</v>
      </c>
    </row>
    <row r="548" spans="1:47" ht="15" customHeight="1">
      <c r="A548" s="601" t="e">
        <f>Kat.!#REF!</f>
        <v>#REF!</v>
      </c>
      <c r="B548" s="601">
        <f t="shared" si="242"/>
        <v>1</v>
      </c>
      <c r="C548" s="783" t="s">
        <v>11790</v>
      </c>
      <c r="D548" s="776"/>
      <c r="E548" s="760"/>
      <c r="F548" s="761"/>
      <c r="G548" s="762"/>
      <c r="H548" s="596"/>
      <c r="I548" s="763"/>
      <c r="J548" s="764"/>
      <c r="K548" s="765"/>
      <c r="L548" s="766"/>
      <c r="M548" s="764"/>
      <c r="N548" s="777"/>
      <c r="O548" s="763"/>
      <c r="P548" s="763"/>
      <c r="Q548" s="764"/>
      <c r="R548" s="764"/>
      <c r="S548" s="764"/>
      <c r="T548" s="764"/>
      <c r="U548" s="768"/>
      <c r="V548" s="768"/>
      <c r="W548" s="769"/>
      <c r="X548" s="769"/>
      <c r="Y548" s="770">
        <f>IF(OR(AP548&lt;AA548,AND(NOT(OR(LEFT(AB548,3)="SKL",LEFT(AB548,3)=LEFT($V$2,3))),AA548&gt;0),AND('Deutsche Markt'!$AH$1=FALSE,J548="F4",AA548&gt;0)),"",AA548)</f>
        <v>0</v>
      </c>
      <c r="Z548" s="769"/>
      <c r="AA548" s="771">
        <f>'Deutsche Markt'!AA548</f>
        <v>0</v>
      </c>
      <c r="AB548" s="772"/>
      <c r="AC548" s="772"/>
      <c r="AD548" s="772"/>
      <c r="AE548" s="605"/>
      <c r="AF548" s="605"/>
      <c r="AG548" s="615"/>
      <c r="AH548" s="616"/>
      <c r="AI548" s="615"/>
      <c r="AJ548" s="617"/>
      <c r="AK548" s="617"/>
      <c r="AL548" s="617"/>
      <c r="AM548" s="617"/>
      <c r="AN548" s="292"/>
      <c r="AO548" s="567" t="str">
        <f t="shared" ref="AO548:AO604" si="251">IF($AK$3=1,IF(Y548=AA548,"","NE"),IF(AQ548=$V$10,"NE",""))</f>
        <v/>
      </c>
      <c r="AP548" s="568" t="str">
        <f>IF(AB548=$V$3,IF(VLOOKUP(C548,[1]List1!$A:$E,5,FALSE)=0,1,VLOOKUP(C548,[1]List1!$A:$E,5,FALSE)),"")</f>
        <v/>
      </c>
      <c r="AQ548" s="292" t="str">
        <f t="shared" ref="AQ548:AQ604" si="252">IF($AK$3=1,"",IF(OR(AA548&lt;&gt;"",AA548&lt;&gt;0),IF(OR(AB548=$V$6,AB548=$V$3,AB548=$V$9),$V$10,""),""))</f>
        <v/>
      </c>
      <c r="AR548" s="618" t="str">
        <f t="shared" ref="AR548:AR604" si="253">IF(AS548&lt;&gt;"","X","")</f>
        <v/>
      </c>
      <c r="AS548" s="292" t="str">
        <f t="shared" ref="AS548:AS604" si="254">IF(AND($AK$3=2,AQ548="",AA548&lt;&gt;""),AC548,"")</f>
        <v/>
      </c>
      <c r="AT548" s="377" t="e">
        <f t="shared" ref="AT548:AT604" si="255">IF(AS548=$AR$21,AA548,"")</f>
        <v>#N/A</v>
      </c>
      <c r="AU548" s="292" t="e">
        <f t="shared" ref="AU548:AU604" si="256">IF(OR(AA548="",AND(AS548&lt;&gt;"",AT548&lt;&gt;"")),"",$V$10)</f>
        <v>#N/A</v>
      </c>
    </row>
    <row r="549" spans="1:47" ht="15" customHeight="1">
      <c r="A549" s="624" t="e">
        <f>Kat.!$B$1&amp;Kat.!#REF!</f>
        <v>#REF!</v>
      </c>
      <c r="B549" s="601">
        <f t="shared" si="242"/>
        <v>1</v>
      </c>
      <c r="C549" s="163" t="s">
        <v>11792</v>
      </c>
      <c r="D549" s="163"/>
      <c r="E549" s="609"/>
      <c r="F549" s="605"/>
      <c r="G549" s="606"/>
      <c r="H549" s="625"/>
      <c r="I549" s="609"/>
      <c r="J549" s="609"/>
      <c r="K549" s="708"/>
      <c r="L549" s="609"/>
      <c r="M549" s="609"/>
      <c r="N549" s="609"/>
      <c r="O549" s="609"/>
      <c r="P549" s="609"/>
      <c r="Q549" s="609"/>
      <c r="R549" s="609"/>
      <c r="S549" s="609"/>
      <c r="T549" s="609"/>
      <c r="U549" s="609"/>
      <c r="V549" s="609"/>
      <c r="W549" s="609" t="str">
        <f>IFERROR(VLOOKUP('General price list'!$C549,Popisy!A:P,MATCH($W$17,Popisy!$A$7:$P$7,0),FALSE),"---------------")</f>
        <v>Karton mit Produktdesign</v>
      </c>
      <c r="X549" s="609" t="str">
        <f t="shared" ref="X549:X558" si="257">IF(AA549&lt;0.0001,"",AA549)</f>
        <v/>
      </c>
      <c r="Y549" s="770">
        <f>IF(OR(AP549&lt;AA549,AND(NOT(OR(LEFT(AB549,3)="SKL",LEFT(AB549,3)=LEFT($V$2,3))),AA549&gt;0),AND('Deutsche Markt'!$AH$1=FALSE,J549="F4",AA549&gt;0)),"",AA549)</f>
        <v>0</v>
      </c>
      <c r="Z549" s="609"/>
      <c r="AA549" s="771">
        <f>'Deutsche Markt'!AA549</f>
        <v>0</v>
      </c>
      <c r="AB549" s="614" t="str">
        <f>IFERROR(IF(VLOOKUP(C549,[1]List1!$A:$D,2,FALSE)="VYPRODÁNO",$V$9,IF(VLOOKUP(C549,[1]List1!$A:$D,2,FALSE)="DOCHÁZÍ",$V$3,VLOOKUP(C549,[1]List1!$A:$D,2,FALSE))),"OFFLINE!")</f>
        <v>SKLADEM</v>
      </c>
      <c r="AC549" s="626" t="str">
        <f ca="1">IF(AO549="NE",$V$10,IF(AB549=$V$3,IF(AP549&lt;1,$V$8,$V$2&amp;" "&amp;AP549&amp;" "&amp;$V$1),IF(AB549="SKLADEM",$V$6,IFERROR(IF(OR(AB549-TODAY()&gt;21,VLOOKUP(C549,[1]List1!$A:$E,4,FALSE)=0),AB549,DAY(AB549)&amp;"."&amp;MONTH(AB549)&amp;"."&amp;YEAR(AB549)&amp;" "&amp;$V$4&amp;VLOOKUP(C549,[1]List1!$A:$E,4,FALSE)&amp;" "&amp;$V$1),AB549))))</f>
        <v>AUF LAGER</v>
      </c>
      <c r="AD549" s="626" t="str">
        <f t="shared" ref="AD549:AD558" ca="1" si="258">IFERROR(IF(AU549&lt;&gt;"",AU549,AC549),AC549)</f>
        <v>AUF LAGER</v>
      </c>
      <c r="AE549" s="609"/>
      <c r="AF549" s="609"/>
      <c r="AG549" s="627"/>
      <c r="AH549" s="609"/>
      <c r="AI549" s="627"/>
      <c r="AJ549" s="609"/>
      <c r="AK549" s="609"/>
      <c r="AL549" s="609"/>
      <c r="AM549" s="627"/>
      <c r="AO549" s="567" t="str">
        <f t="shared" si="251"/>
        <v/>
      </c>
      <c r="AP549" s="568" t="str">
        <f>IF(AB549=$V$3,IF(VLOOKUP(C549,[1]List1!$A:$E,5,FALSE)=0,1,VLOOKUP(C549,[1]List1!$A:$E,5,FALSE)),"")</f>
        <v/>
      </c>
      <c r="AQ549" s="292" t="str">
        <f t="shared" si="252"/>
        <v/>
      </c>
      <c r="AR549" s="618" t="str">
        <f t="shared" si="253"/>
        <v/>
      </c>
      <c r="AS549" s="292" t="str">
        <f t="shared" si="254"/>
        <v/>
      </c>
      <c r="AT549" s="377" t="e">
        <f t="shared" si="255"/>
        <v>#N/A</v>
      </c>
      <c r="AU549" s="292" t="e">
        <f t="shared" si="256"/>
        <v>#N/A</v>
      </c>
    </row>
    <row r="550" spans="1:47" ht="15" customHeight="1">
      <c r="A550" s="601" t="e">
        <f>Kat.!#REF!</f>
        <v>#REF!</v>
      </c>
      <c r="B550" s="601">
        <f t="shared" si="242"/>
        <v>1</v>
      </c>
      <c r="C550" s="778" t="s">
        <v>11793</v>
      </c>
      <c r="D550" s="778"/>
      <c r="E550" s="778"/>
      <c r="F550" s="779"/>
      <c r="G550" s="778"/>
      <c r="H550" s="778"/>
      <c r="I550" s="778"/>
      <c r="J550" s="778"/>
      <c r="K550" s="765"/>
      <c r="L550" s="778"/>
      <c r="M550" s="778"/>
      <c r="N550" s="778"/>
      <c r="O550" s="778"/>
      <c r="P550" s="778"/>
      <c r="Q550" s="778"/>
      <c r="R550" s="778"/>
      <c r="S550" s="778"/>
      <c r="T550" s="778"/>
      <c r="U550" s="778"/>
      <c r="V550" s="778"/>
      <c r="W550" s="778" t="str">
        <f>IFERROR(VLOOKUP('General price list'!$C550,Popisy!A:P,MATCH($W$17,Popisy!$A$7:$P$7,0),FALSE),"---------------")</f>
        <v>Karton mit Produktdesign</v>
      </c>
      <c r="X550" s="778" t="str">
        <f t="shared" si="257"/>
        <v/>
      </c>
      <c r="Y550" s="770">
        <f>IF(OR(AP550&lt;AA550,AND(NOT(OR(LEFT(AB550,3)="SKL",LEFT(AB550,3)=LEFT($V$2,3))),AA550&gt;0),AND('Deutsche Markt'!$AH$1=FALSE,J550="F4",AA550&gt;0)),"",AA550)</f>
        <v>0</v>
      </c>
      <c r="Z550" s="778"/>
      <c r="AA550" s="771">
        <f>'Deutsche Markt'!AA550</f>
        <v>0</v>
      </c>
      <c r="AB550" s="778" t="str">
        <f>IFERROR(IF(VLOOKUP(C550,[1]List1!$A:$D,2,FALSE)="VYPRODÁNO",$V$9,IF(VLOOKUP(C550,[1]List1!$A:$D,2,FALSE)="DOCHÁZÍ",$V$3,VLOOKUP(C550,[1]List1!$A:$D,2,FALSE))),"OFFLINE!")</f>
        <v>SKLADEM</v>
      </c>
      <c r="AC550" s="778" t="str">
        <f ca="1">IF(AO550="NE",$V$10,IF(AB550=$V$3,IF(AP550&lt;1,$V$8,$V$2&amp;" "&amp;AP550&amp;" "&amp;$V$1),IF(AB550="SKLADEM",$V$6,IFERROR(IF(OR(AB550-TODAY()&gt;21,VLOOKUP(C550,[1]List1!$A:$E,4,FALSE)=0),AB550,DAY(AB550)&amp;"."&amp;MONTH(AB550)&amp;"."&amp;YEAR(AB550)&amp;" "&amp;$V$4&amp;VLOOKUP(C550,[1]List1!$A:$E,4,FALSE)&amp;" "&amp;$V$1),AB550))))</f>
        <v>AUF LAGER</v>
      </c>
      <c r="AD550" s="778" t="str">
        <f t="shared" ca="1" si="258"/>
        <v>AUF LAGER</v>
      </c>
      <c r="AE550" s="599"/>
      <c r="AF550" s="599"/>
      <c r="AG550" s="599"/>
      <c r="AH550" s="599"/>
      <c r="AI550" s="599"/>
      <c r="AJ550" s="599"/>
      <c r="AK550" s="599"/>
      <c r="AL550" s="599"/>
      <c r="AM550" s="599"/>
      <c r="AN550" s="566"/>
      <c r="AO550" s="567" t="str">
        <f t="shared" si="251"/>
        <v/>
      </c>
      <c r="AP550" s="568" t="str">
        <f>IF(AB550=$V$3,IF(VLOOKUP(C550,[1]List1!$A:$E,5,FALSE)=0,1,VLOOKUP(C550,[1]List1!$A:$E,5,FALSE)),"")</f>
        <v/>
      </c>
      <c r="AQ550" s="292" t="str">
        <f t="shared" si="252"/>
        <v/>
      </c>
      <c r="AR550" s="618" t="str">
        <f t="shared" si="253"/>
        <v/>
      </c>
      <c r="AS550" s="292" t="str">
        <f t="shared" si="254"/>
        <v/>
      </c>
      <c r="AT550" s="377" t="e">
        <f t="shared" si="255"/>
        <v>#N/A</v>
      </c>
      <c r="AU550" s="292" t="e">
        <f t="shared" si="256"/>
        <v>#N/A</v>
      </c>
    </row>
    <row r="551" spans="1:47" ht="15" customHeight="1">
      <c r="A551" s="601" t="e">
        <f>Kat.!#REF!</f>
        <v>#REF!</v>
      </c>
      <c r="B551" s="601">
        <f t="shared" si="242"/>
        <v>1</v>
      </c>
      <c r="C551" s="783" t="s">
        <v>11795</v>
      </c>
      <c r="D551" s="783"/>
      <c r="E551" s="764"/>
      <c r="F551" s="761"/>
      <c r="G551" s="762"/>
      <c r="H551" s="596"/>
      <c r="I551" s="787"/>
      <c r="J551" s="764"/>
      <c r="K551" s="773"/>
      <c r="L551" s="787"/>
      <c r="M551" s="764"/>
      <c r="N551" s="784"/>
      <c r="O551" s="784"/>
      <c r="P551" s="763"/>
      <c r="Q551" s="764"/>
      <c r="R551" s="764"/>
      <c r="S551" s="764"/>
      <c r="T551" s="764"/>
      <c r="U551" s="768"/>
      <c r="V551" s="768"/>
      <c r="W551" s="769" t="str">
        <f>IFERROR(VLOOKUP('General price list'!$C551,Popisy!A:P,MATCH($W$17,Popisy!$A$7:$P$7,0),FALSE),"---------------")</f>
        <v>Karton mit Produktdesign</v>
      </c>
      <c r="X551" s="769" t="str">
        <f t="shared" si="257"/>
        <v/>
      </c>
      <c r="Y551" s="770">
        <f>IF(OR(AP551&lt;AA551,AND(NOT(OR(LEFT(AB551,3)="SKL",LEFT(AB551,3)=LEFT($V$2,3))),AA551&gt;0),AND('Deutsche Markt'!$AH$1=FALSE,J551="F4",AA551&gt;0)),"",AA551)</f>
        <v>0</v>
      </c>
      <c r="Z551" s="769"/>
      <c r="AA551" s="771">
        <f>'Deutsche Markt'!AA551</f>
        <v>0</v>
      </c>
      <c r="AB551" s="772" t="str">
        <f>IFERROR(IF(VLOOKUP(C551,[1]List1!$A:$D,2,FALSE)="VYPRODÁNO",$V$9,IF(VLOOKUP(C551,[1]List1!$A:$D,2,FALSE)="DOCHÁZÍ",$V$3,VLOOKUP(C551,[1]List1!$A:$D,2,FALSE))),"OFFLINE!")</f>
        <v>SKLADEM</v>
      </c>
      <c r="AC551" s="772" t="str">
        <f ca="1">IF(AO551="NE",$V$10,IF(AB551=$V$3,IF(AP551&lt;1,$V$8,$V$2&amp;" "&amp;AP551&amp;" "&amp;$V$1),IF(AB551="SKLADEM",$V$6,IFERROR(IF(OR(AB551-TODAY()&gt;21,VLOOKUP(C551,[1]List1!$A:$E,4,FALSE)=0),AB551,DAY(AB551)&amp;"."&amp;MONTH(AB551)&amp;"."&amp;YEAR(AB551)&amp;" "&amp;$V$4&amp;VLOOKUP(C551,[1]List1!$A:$E,4,FALSE)&amp;" "&amp;$V$1),AB551))))</f>
        <v>AUF LAGER</v>
      </c>
      <c r="AD551" s="772" t="str">
        <f t="shared" ca="1" si="258"/>
        <v>AUF LAGER</v>
      </c>
      <c r="AE551" s="605"/>
      <c r="AF551" s="605"/>
      <c r="AG551" s="615"/>
      <c r="AH551" s="616"/>
      <c r="AI551" s="615"/>
      <c r="AJ551" s="617"/>
      <c r="AK551" s="617"/>
      <c r="AL551" s="617"/>
      <c r="AM551" s="617"/>
      <c r="AN551" s="292"/>
      <c r="AO551" s="567" t="str">
        <f t="shared" si="251"/>
        <v/>
      </c>
      <c r="AP551" s="568" t="str">
        <f>IF(AB551=$V$3,IF(VLOOKUP(C551,[1]List1!$A:$E,5,FALSE)=0,1,VLOOKUP(C551,[1]List1!$A:$E,5,FALSE)),"")</f>
        <v/>
      </c>
      <c r="AQ551" s="292" t="str">
        <f t="shared" si="252"/>
        <v/>
      </c>
      <c r="AR551" s="618" t="str">
        <f t="shared" si="253"/>
        <v/>
      </c>
      <c r="AS551" s="292" t="str">
        <f t="shared" si="254"/>
        <v/>
      </c>
      <c r="AT551" s="377" t="e">
        <f t="shared" si="255"/>
        <v>#N/A</v>
      </c>
      <c r="AU551" s="292" t="e">
        <f t="shared" si="256"/>
        <v>#N/A</v>
      </c>
    </row>
    <row r="552" spans="1:47" ht="15" customHeight="1">
      <c r="A552" s="601" t="e">
        <f>Kat.!$B$1&amp;Kat.!#REF!</f>
        <v>#REF!</v>
      </c>
      <c r="B552" s="601">
        <f t="shared" si="242"/>
        <v>1</v>
      </c>
      <c r="C552" s="163" t="s">
        <v>11796</v>
      </c>
      <c r="D552" s="638"/>
      <c r="E552" s="604"/>
      <c r="F552" s="605"/>
      <c r="G552" s="606"/>
      <c r="H552" s="607"/>
      <c r="I552" s="636"/>
      <c r="J552" s="609"/>
      <c r="K552" s="708"/>
      <c r="L552" s="611"/>
      <c r="M552" s="609"/>
      <c r="N552" s="612"/>
      <c r="O552" s="608"/>
      <c r="P552" s="608"/>
      <c r="Q552" s="609"/>
      <c r="R552" s="609"/>
      <c r="S552" s="609"/>
      <c r="T552" s="609"/>
      <c r="U552" s="613"/>
      <c r="V552" s="613"/>
      <c r="W552" s="601" t="str">
        <f>IFERROR(VLOOKUP('General price list'!$C552,Popisy!A:P,MATCH($W$17,Popisy!$A$7:$P$7,0),FALSE),"---------------")</f>
        <v>Karton mit Produktdesign</v>
      </c>
      <c r="X552" s="601" t="str">
        <f t="shared" si="257"/>
        <v/>
      </c>
      <c r="Y552" s="770">
        <f>IF(OR(AP552&lt;AA552,AND(NOT(OR(LEFT(AB552,3)="SKL",LEFT(AB552,3)=LEFT($V$2,3))),AA552&gt;0),AND('Deutsche Markt'!$AH$1=FALSE,J552="F4",AA552&gt;0)),"",AA552)</f>
        <v>0</v>
      </c>
      <c r="Z552" s="601"/>
      <c r="AA552" s="771">
        <f>'Deutsche Markt'!AA552</f>
        <v>0</v>
      </c>
      <c r="AB552" s="614" t="str">
        <f>IFERROR(IF(VLOOKUP(C552,[1]List1!$A:$D,2,FALSE)="VYPRODÁNO",$V$9,IF(VLOOKUP(C552,[1]List1!$A:$D,2,FALSE)="DOCHÁZÍ",$V$3,VLOOKUP(C552,[1]List1!$A:$D,2,FALSE))),"OFFLINE!")</f>
        <v>SKLADEM</v>
      </c>
      <c r="AC552" s="614" t="str">
        <f ca="1">IF(AO552="NE",$V$10,IF(AB552=$V$3,IF(AP552&lt;1,$V$8,$V$2&amp;" "&amp;AP552&amp;" "&amp;$V$1),IF(AB552="SKLADEM",$V$6,IFERROR(IF(OR(AB552-TODAY()&gt;21,VLOOKUP(C552,[1]List1!$A:$E,4,FALSE)=0),AB552,DAY(AB552)&amp;"."&amp;MONTH(AB552)&amp;"."&amp;YEAR(AB552)&amp;" "&amp;$V$4&amp;VLOOKUP(C552,[1]List1!$A:$E,4,FALSE)&amp;" "&amp;$V$1),AB552))))</f>
        <v>AUF LAGER</v>
      </c>
      <c r="AD552" s="614" t="str">
        <f t="shared" ca="1" si="258"/>
        <v>AUF LAGER</v>
      </c>
      <c r="AE552" s="605"/>
      <c r="AF552" s="605"/>
      <c r="AG552" s="615"/>
      <c r="AH552" s="616"/>
      <c r="AI552" s="615"/>
      <c r="AJ552" s="617"/>
      <c r="AK552" s="617"/>
      <c r="AL552" s="617"/>
      <c r="AM552" s="617"/>
      <c r="AN552" s="292"/>
      <c r="AO552" s="567" t="str">
        <f t="shared" si="251"/>
        <v/>
      </c>
      <c r="AP552" s="568" t="str">
        <f>IF(AB552=$V$3,IF(VLOOKUP(C552,[1]List1!$A:$E,5,FALSE)=0,1,VLOOKUP(C552,[1]List1!$A:$E,5,FALSE)),"")</f>
        <v/>
      </c>
      <c r="AQ552" s="292" t="str">
        <f t="shared" si="252"/>
        <v/>
      </c>
      <c r="AR552" s="618" t="str">
        <f t="shared" si="253"/>
        <v/>
      </c>
      <c r="AS552" s="292" t="str">
        <f t="shared" si="254"/>
        <v/>
      </c>
      <c r="AT552" s="377" t="e">
        <f t="shared" si="255"/>
        <v>#N/A</v>
      </c>
      <c r="AU552" s="292" t="e">
        <f t="shared" si="256"/>
        <v>#N/A</v>
      </c>
    </row>
    <row r="553" spans="1:47" ht="15" customHeight="1">
      <c r="A553" s="601" t="e">
        <f>Kat.!#REF!</f>
        <v>#REF!</v>
      </c>
      <c r="B553" s="601">
        <f t="shared" si="242"/>
        <v>1</v>
      </c>
      <c r="C553" s="783" t="s">
        <v>11797</v>
      </c>
      <c r="D553" s="800"/>
      <c r="E553" s="760"/>
      <c r="F553" s="761"/>
      <c r="G553" s="762"/>
      <c r="H553" s="596"/>
      <c r="I553" s="797"/>
      <c r="J553" s="764"/>
      <c r="K553" s="781"/>
      <c r="L553" s="766"/>
      <c r="M553" s="764"/>
      <c r="N553" s="767"/>
      <c r="O553" s="763"/>
      <c r="P553" s="763"/>
      <c r="Q553" s="764"/>
      <c r="R553" s="764"/>
      <c r="S553" s="764"/>
      <c r="T553" s="764"/>
      <c r="U553" s="768"/>
      <c r="V553" s="768"/>
      <c r="W553" s="769" t="str">
        <f>IFERROR(VLOOKUP('General price list'!$C553,Popisy!A:P,MATCH($W$17,Popisy!$A$7:$P$7,0),FALSE),"---------------")</f>
        <v>Karton mit Produktdesign</v>
      </c>
      <c r="X553" s="769" t="str">
        <f t="shared" si="257"/>
        <v/>
      </c>
      <c r="Y553" s="770">
        <f>IF(OR(AP553&lt;AA553,AND(NOT(OR(LEFT(AB553,3)="SKL",LEFT(AB553,3)=LEFT($V$2,3))),AA553&gt;0),AND('Deutsche Markt'!$AH$1=FALSE,J553="F4",AA553&gt;0)),"",AA553)</f>
        <v>0</v>
      </c>
      <c r="Z553" s="769"/>
      <c r="AA553" s="771">
        <f>'Deutsche Markt'!AA553</f>
        <v>0</v>
      </c>
      <c r="AB553" s="772" t="str">
        <f>IFERROR(IF(VLOOKUP(C553,[1]List1!$A:$D,2,FALSE)="VYPRODÁNO",$V$9,IF(VLOOKUP(C553,[1]List1!$A:$D,2,FALSE)="DOCHÁZÍ",$V$3,VLOOKUP(C553,[1]List1!$A:$D,2,FALSE))),"OFFLINE!")</f>
        <v>SKLADEM</v>
      </c>
      <c r="AC553" s="772" t="str">
        <f ca="1">IF(AO553="NE",$V$10,IF(AB553=$V$3,IF(AP553&lt;1,$V$8,$V$2&amp;" "&amp;AP553&amp;" "&amp;$V$1),IF(AB553="SKLADEM",$V$6,IFERROR(IF(OR(AB553-TODAY()&gt;21,VLOOKUP(C553,[1]List1!$A:$E,4,FALSE)=0),AB553,DAY(AB553)&amp;"."&amp;MONTH(AB553)&amp;"."&amp;YEAR(AB553)&amp;" "&amp;$V$4&amp;VLOOKUP(C553,[1]List1!$A:$E,4,FALSE)&amp;" "&amp;$V$1),AB553))))</f>
        <v>AUF LAGER</v>
      </c>
      <c r="AD553" s="772" t="str">
        <f t="shared" ca="1" si="258"/>
        <v>AUF LAGER</v>
      </c>
      <c r="AE553" s="605"/>
      <c r="AF553" s="605"/>
      <c r="AG553" s="615"/>
      <c r="AH553" s="616"/>
      <c r="AI553" s="615"/>
      <c r="AJ553" s="617"/>
      <c r="AK553" s="617"/>
      <c r="AL553" s="617"/>
      <c r="AM553" s="617"/>
      <c r="AN553" s="292"/>
      <c r="AO553" s="567" t="str">
        <f t="shared" si="251"/>
        <v/>
      </c>
      <c r="AP553" s="568" t="str">
        <f>IF(AB553=$V$3,IF(VLOOKUP(C553,[1]List1!$A:$E,5,FALSE)=0,1,VLOOKUP(C553,[1]List1!$A:$E,5,FALSE)),"")</f>
        <v/>
      </c>
      <c r="AQ553" s="292" t="str">
        <f t="shared" si="252"/>
        <v/>
      </c>
      <c r="AR553" s="618" t="str">
        <f t="shared" si="253"/>
        <v/>
      </c>
      <c r="AS553" s="292" t="str">
        <f t="shared" si="254"/>
        <v/>
      </c>
      <c r="AT553" s="377" t="e">
        <f t="shared" si="255"/>
        <v>#N/A</v>
      </c>
      <c r="AU553" s="292" t="e">
        <f t="shared" si="256"/>
        <v>#N/A</v>
      </c>
    </row>
    <row r="554" spans="1:47" ht="15" customHeight="1">
      <c r="A554" s="601" t="e">
        <f>Kat.!#REF!</f>
        <v>#REF!</v>
      </c>
      <c r="B554" s="601">
        <f t="shared" si="242"/>
        <v>1</v>
      </c>
      <c r="C554" s="778" t="s">
        <v>11798</v>
      </c>
      <c r="D554" s="778"/>
      <c r="E554" s="778"/>
      <c r="F554" s="779"/>
      <c r="G554" s="778"/>
      <c r="H554" s="778"/>
      <c r="I554" s="778"/>
      <c r="J554" s="778"/>
      <c r="K554" s="774"/>
      <c r="L554" s="778"/>
      <c r="M554" s="778"/>
      <c r="N554" s="778"/>
      <c r="O554" s="778"/>
      <c r="P554" s="778"/>
      <c r="Q554" s="778"/>
      <c r="R554" s="778"/>
      <c r="S554" s="778"/>
      <c r="T554" s="778"/>
      <c r="U554" s="778"/>
      <c r="V554" s="778"/>
      <c r="W554" s="778" t="str">
        <f>IFERROR(VLOOKUP('General price list'!$C554,Popisy!A:P,MATCH($W$17,Popisy!$A$7:$P$7,0),FALSE),"---------------")</f>
        <v>Karton mit Produktdesign</v>
      </c>
      <c r="X554" s="778" t="str">
        <f t="shared" si="257"/>
        <v/>
      </c>
      <c r="Y554" s="770">
        <f>IF(OR(AP554&lt;AA554,AND(NOT(OR(LEFT(AB554,3)="SKL",LEFT(AB554,3)=LEFT($V$2,3))),AA554&gt;0),AND('Deutsche Markt'!$AH$1=FALSE,J554="F4",AA554&gt;0)),"",AA554)</f>
        <v>0</v>
      </c>
      <c r="Z554" s="778"/>
      <c r="AA554" s="771">
        <f>'Deutsche Markt'!AA554</f>
        <v>0</v>
      </c>
      <c r="AB554" s="778" t="str">
        <f>IFERROR(IF(VLOOKUP(C554,[1]List1!$A:$D,2,FALSE)="VYPRODÁNO",$V$9,IF(VLOOKUP(C554,[1]List1!$A:$D,2,FALSE)="DOCHÁZÍ",$V$3,VLOOKUP(C554,[1]List1!$A:$D,2,FALSE))),"OFFLINE!")</f>
        <v>SKLADEM</v>
      </c>
      <c r="AC554" s="778" t="str">
        <f ca="1">IF(AO554="NE",$V$10,IF(AB554=$V$3,IF(AP554&lt;1,$V$8,$V$2&amp;" "&amp;AP554&amp;" "&amp;$V$1),IF(AB554="SKLADEM",$V$6,IFERROR(IF(OR(AB554-TODAY()&gt;21,VLOOKUP(C554,[1]List1!$A:$E,4,FALSE)=0),AB554,DAY(AB554)&amp;"."&amp;MONTH(AB554)&amp;"."&amp;YEAR(AB554)&amp;" "&amp;$V$4&amp;VLOOKUP(C554,[1]List1!$A:$E,4,FALSE)&amp;" "&amp;$V$1),AB554))))</f>
        <v>AUF LAGER</v>
      </c>
      <c r="AD554" s="778" t="str">
        <f t="shared" ca="1" si="258"/>
        <v>AUF LAGER</v>
      </c>
      <c r="AE554" s="599"/>
      <c r="AF554" s="599"/>
      <c r="AG554" s="599"/>
      <c r="AH554" s="599"/>
      <c r="AI554" s="599"/>
      <c r="AJ554" s="599"/>
      <c r="AK554" s="599"/>
      <c r="AL554" s="599"/>
      <c r="AM554" s="599"/>
      <c r="AN554" s="566"/>
      <c r="AO554" s="567" t="str">
        <f t="shared" si="251"/>
        <v/>
      </c>
      <c r="AP554" s="568" t="str">
        <f>IF(AB554=$V$3,IF(VLOOKUP(C554,[1]List1!$A:$E,5,FALSE)=0,1,VLOOKUP(C554,[1]List1!$A:$E,5,FALSE)),"")</f>
        <v/>
      </c>
      <c r="AQ554" s="292" t="str">
        <f t="shared" si="252"/>
        <v/>
      </c>
      <c r="AR554" s="618" t="str">
        <f t="shared" si="253"/>
        <v/>
      </c>
      <c r="AS554" s="292" t="str">
        <f t="shared" si="254"/>
        <v/>
      </c>
      <c r="AT554" s="377" t="e">
        <f t="shared" si="255"/>
        <v>#N/A</v>
      </c>
      <c r="AU554" s="292" t="e">
        <f t="shared" si="256"/>
        <v>#N/A</v>
      </c>
    </row>
    <row r="555" spans="1:47" ht="15" customHeight="1">
      <c r="A555" s="601" t="e">
        <f>Kat.!#REF!</f>
        <v>#REF!</v>
      </c>
      <c r="B555" s="601">
        <f t="shared" si="242"/>
        <v>1</v>
      </c>
      <c r="C555" s="783" t="s">
        <v>11799</v>
      </c>
      <c r="D555" s="783"/>
      <c r="E555" s="764"/>
      <c r="F555" s="761"/>
      <c r="G555" s="762"/>
      <c r="H555" s="595"/>
      <c r="I555" s="764"/>
      <c r="J555" s="764"/>
      <c r="K555" s="781"/>
      <c r="L555" s="764"/>
      <c r="M555" s="764"/>
      <c r="N555" s="764"/>
      <c r="O555" s="764"/>
      <c r="P555" s="764"/>
      <c r="Q555" s="764"/>
      <c r="R555" s="764"/>
      <c r="S555" s="764"/>
      <c r="T555" s="764"/>
      <c r="U555" s="764"/>
      <c r="V555" s="764"/>
      <c r="W555" s="764" t="str">
        <f>IFERROR(VLOOKUP('General price list'!$C555,Popisy!A:P,MATCH($W$17,Popisy!$A$7:$P$7,0),FALSE),"---------------")</f>
        <v>Karton mit Produktdesign</v>
      </c>
      <c r="X555" s="764" t="str">
        <f t="shared" si="257"/>
        <v/>
      </c>
      <c r="Y555" s="770">
        <f>IF(OR(AP555&lt;AA555,AND(NOT(OR(LEFT(AB555,3)="SKL",LEFT(AB555,3)=LEFT($V$2,3))),AA555&gt;0),AND('Deutsche Markt'!$AH$1=FALSE,J555="F4",AA555&gt;0)),"",AA555)</f>
        <v>0</v>
      </c>
      <c r="Z555" s="764"/>
      <c r="AA555" s="771">
        <f>'Deutsche Markt'!AA555</f>
        <v>0</v>
      </c>
      <c r="AB555" s="772" t="str">
        <f>IFERROR(IF(VLOOKUP(C555,[1]List1!$A:$D,2,FALSE)="VYPRODÁNO",$V$9,IF(VLOOKUP(C555,[1]List1!$A:$D,2,FALSE)="DOCHÁZÍ",$V$3,VLOOKUP(C555,[1]List1!$A:$D,2,FALSE))),"OFFLINE!")</f>
        <v>SKLADEM</v>
      </c>
      <c r="AC555" s="785" t="str">
        <f ca="1">IF(AO555="NE",$V$10,IF(AB555=$V$3,IF(AP555&lt;1,$V$8,$V$2&amp;" "&amp;AP555&amp;" "&amp;$V$1),IF(AB555="SKLADEM",$V$6,IFERROR(IF(OR(AB555-TODAY()&gt;21,VLOOKUP(C555,[1]List1!$A:$E,4,FALSE)=0),AB555,DAY(AB555)&amp;"."&amp;MONTH(AB555)&amp;"."&amp;YEAR(AB555)&amp;" "&amp;$V$4&amp;VLOOKUP(C555,[1]List1!$A:$E,4,FALSE)&amp;" "&amp;$V$1),AB555))))</f>
        <v>AUF LAGER</v>
      </c>
      <c r="AD555" s="785" t="str">
        <f t="shared" ca="1" si="258"/>
        <v>AUF LAGER</v>
      </c>
      <c r="AE555" s="609"/>
      <c r="AF555" s="609"/>
      <c r="AG555" s="627"/>
      <c r="AH555" s="609"/>
      <c r="AI555" s="627"/>
      <c r="AJ555" s="609"/>
      <c r="AK555" s="609"/>
      <c r="AL555" s="609"/>
      <c r="AM555" s="627"/>
      <c r="AO555" s="567" t="str">
        <f t="shared" si="251"/>
        <v/>
      </c>
      <c r="AP555" s="568" t="str">
        <f>IF(AB555=$V$3,IF(VLOOKUP(C555,[1]List1!$A:$E,5,FALSE)=0,1,VLOOKUP(C555,[1]List1!$A:$E,5,FALSE)),"")</f>
        <v/>
      </c>
      <c r="AQ555" s="292" t="str">
        <f t="shared" si="252"/>
        <v/>
      </c>
      <c r="AR555" s="618" t="str">
        <f t="shared" si="253"/>
        <v/>
      </c>
      <c r="AS555" s="292" t="str">
        <f t="shared" si="254"/>
        <v/>
      </c>
      <c r="AT555" s="377" t="e">
        <f t="shared" si="255"/>
        <v>#N/A</v>
      </c>
      <c r="AU555" s="292" t="e">
        <f t="shared" si="256"/>
        <v>#N/A</v>
      </c>
    </row>
    <row r="556" spans="1:47" ht="15" customHeight="1">
      <c r="A556" s="601" t="e">
        <f>Kat.!#REF!</f>
        <v>#REF!</v>
      </c>
      <c r="B556" s="601">
        <f t="shared" si="242"/>
        <v>1</v>
      </c>
      <c r="C556" s="758" t="s">
        <v>11800</v>
      </c>
      <c r="D556" s="776"/>
      <c r="E556" s="760"/>
      <c r="F556" s="761"/>
      <c r="G556" s="762"/>
      <c r="H556" s="596"/>
      <c r="I556" s="763"/>
      <c r="J556" s="764"/>
      <c r="K556" s="774"/>
      <c r="L556" s="766"/>
      <c r="M556" s="764"/>
      <c r="N556" s="777"/>
      <c r="O556" s="763"/>
      <c r="P556" s="763"/>
      <c r="Q556" s="764"/>
      <c r="R556" s="764"/>
      <c r="S556" s="764"/>
      <c r="T556" s="764"/>
      <c r="U556" s="768"/>
      <c r="V556" s="768"/>
      <c r="W556" s="769" t="str">
        <f>IFERROR(VLOOKUP('General price list'!$C556,Popisy!A:P,MATCH($W$17,Popisy!$A$7:$P$7,0),FALSE),"---------------")</f>
        <v>Karton mit Produktdesign</v>
      </c>
      <c r="X556" s="769" t="str">
        <f t="shared" si="257"/>
        <v/>
      </c>
      <c r="Y556" s="770">
        <f>IF(OR(AP556&lt;AA556,AND(NOT(OR(LEFT(AB556,3)="SKL",LEFT(AB556,3)=LEFT($V$2,3))),AA556&gt;0),AND('Deutsche Markt'!$AH$1=FALSE,J556="F4",AA556&gt;0)),"",AA556)</f>
        <v>0</v>
      </c>
      <c r="Z556" s="769"/>
      <c r="AA556" s="771">
        <f>'Deutsche Markt'!AA556</f>
        <v>0</v>
      </c>
      <c r="AB556" s="772" t="str">
        <f>IFERROR(IF(VLOOKUP(C556,[1]List1!$A:$D,2,FALSE)="VYPRODÁNO",$V$9,IF(VLOOKUP(C556,[1]List1!$A:$D,2,FALSE)="DOCHÁZÍ",$V$3,VLOOKUP(C556,[1]List1!$A:$D,2,FALSE))),"OFFLINE!")</f>
        <v>SKLADEM</v>
      </c>
      <c r="AC556" s="772" t="str">
        <f ca="1">IF(AO556="NE",$V$10,IF(AB556=$V$3,IF(AP556&lt;1,$V$8,$V$2&amp;" "&amp;AP556&amp;" "&amp;$V$1),IF(AB556="SKLADEM",$V$6,IFERROR(IF(OR(AB556-TODAY()&gt;21,VLOOKUP(C556,[1]List1!$A:$E,4,FALSE)=0),AB556,DAY(AB556)&amp;"."&amp;MONTH(AB556)&amp;"."&amp;YEAR(AB556)&amp;" "&amp;$V$4&amp;VLOOKUP(C556,[1]List1!$A:$E,4,FALSE)&amp;" "&amp;$V$1),AB556))))</f>
        <v>AUF LAGER</v>
      </c>
      <c r="AD556" s="772" t="str">
        <f t="shared" ca="1" si="258"/>
        <v>AUF LAGER</v>
      </c>
      <c r="AE556" s="605"/>
      <c r="AF556" s="605"/>
      <c r="AG556" s="615"/>
      <c r="AH556" s="616"/>
      <c r="AI556" s="615"/>
      <c r="AJ556" s="617"/>
      <c r="AK556" s="617"/>
      <c r="AL556" s="617"/>
      <c r="AM556" s="617"/>
      <c r="AN556" s="292"/>
      <c r="AO556" s="567" t="str">
        <f t="shared" si="251"/>
        <v/>
      </c>
      <c r="AP556" s="568" t="str">
        <f>IF(AB556=$V$3,IF(VLOOKUP(C556,[1]List1!$A:$E,5,FALSE)=0,1,VLOOKUP(C556,[1]List1!$A:$E,5,FALSE)),"")</f>
        <v/>
      </c>
      <c r="AQ556" s="292" t="str">
        <f t="shared" si="252"/>
        <v/>
      </c>
      <c r="AR556" s="618" t="str">
        <f t="shared" si="253"/>
        <v/>
      </c>
      <c r="AS556" s="292" t="str">
        <f t="shared" si="254"/>
        <v/>
      </c>
      <c r="AT556" s="377" t="e">
        <f t="shared" si="255"/>
        <v>#N/A</v>
      </c>
      <c r="AU556" s="292" t="e">
        <f t="shared" si="256"/>
        <v>#N/A</v>
      </c>
    </row>
    <row r="557" spans="1:47" ht="15" customHeight="1">
      <c r="A557" s="601" t="e">
        <f>Kat.!$B$1&amp;Kat.!#REF!</f>
        <v>#REF!</v>
      </c>
      <c r="B557" s="601">
        <f t="shared" si="242"/>
        <v>1</v>
      </c>
      <c r="C557" s="620" t="s">
        <v>11801</v>
      </c>
      <c r="D557" s="235"/>
      <c r="E557" s="604"/>
      <c r="F557" s="605"/>
      <c r="G557" s="606"/>
      <c r="H557" s="607"/>
      <c r="I557" s="636"/>
      <c r="J557" s="609"/>
      <c r="K557" s="708"/>
      <c r="L557" s="611"/>
      <c r="M557" s="609"/>
      <c r="N557" s="612"/>
      <c r="O557" s="608"/>
      <c r="P557" s="608"/>
      <c r="Q557" s="609"/>
      <c r="R557" s="609"/>
      <c r="S557" s="609"/>
      <c r="T557" s="609"/>
      <c r="U557" s="613"/>
      <c r="V557" s="613"/>
      <c r="W557" s="601" t="str">
        <f>IFERROR(VLOOKUP('General price list'!$C557,Popisy!A:P,MATCH($W$17,Popisy!$A$7:$P$7,0),FALSE),"---------------")</f>
        <v>Karton mit Produktdesign</v>
      </c>
      <c r="X557" s="601" t="str">
        <f t="shared" si="257"/>
        <v/>
      </c>
      <c r="Y557" s="770">
        <f>IF(OR(AP557&lt;AA557,AND(NOT(OR(LEFT(AB557,3)="SKL",LEFT(AB557,3)=LEFT($V$2,3))),AA557&gt;0),AND('Deutsche Markt'!$AH$1=FALSE,J557="F4",AA557&gt;0)),"",AA557)</f>
        <v>0</v>
      </c>
      <c r="Z557" s="601"/>
      <c r="AA557" s="771">
        <f>'Deutsche Markt'!AA557</f>
        <v>0</v>
      </c>
      <c r="AB557" s="614" t="str">
        <f>IFERROR(IF(VLOOKUP(C557,[1]List1!$A:$D,2,FALSE)="VYPRODÁNO",$V$9,IF(VLOOKUP(C557,[1]List1!$A:$D,2,FALSE)="DOCHÁZÍ",$V$3,VLOOKUP(C557,[1]List1!$A:$D,2,FALSE))),"OFFLINE!")</f>
        <v>SKLADEM</v>
      </c>
      <c r="AC557" s="614" t="str">
        <f ca="1">IF(AO557="NE",$V$10,IF(AB557=$V$3,IF(AP557&lt;1,$V$8,$V$2&amp;" "&amp;AP557&amp;" "&amp;$V$1),IF(AB557="SKLADEM",$V$6,IFERROR(IF(OR(AB557-TODAY()&gt;21,VLOOKUP(C557,[1]List1!$A:$E,4,FALSE)=0),AB557,DAY(AB557)&amp;"."&amp;MONTH(AB557)&amp;"."&amp;YEAR(AB557)&amp;" "&amp;$V$4&amp;VLOOKUP(C557,[1]List1!$A:$E,4,FALSE)&amp;" "&amp;$V$1),AB557))))</f>
        <v>AUF LAGER</v>
      </c>
      <c r="AD557" s="614" t="str">
        <f t="shared" ca="1" si="258"/>
        <v>AUF LAGER</v>
      </c>
      <c r="AE557" s="605"/>
      <c r="AF557" s="605"/>
      <c r="AG557" s="615"/>
      <c r="AH557" s="616"/>
      <c r="AI557" s="615"/>
      <c r="AJ557" s="617"/>
      <c r="AK557" s="617"/>
      <c r="AL557" s="617"/>
      <c r="AM557" s="617"/>
      <c r="AN557" s="292"/>
      <c r="AO557" s="567" t="str">
        <f t="shared" si="251"/>
        <v/>
      </c>
      <c r="AP557" s="568" t="str">
        <f>IF(AB557=$V$3,IF(VLOOKUP(C557,[1]List1!$A:$E,5,FALSE)=0,1,VLOOKUP(C557,[1]List1!$A:$E,5,FALSE)),"")</f>
        <v/>
      </c>
      <c r="AQ557" s="292" t="str">
        <f t="shared" si="252"/>
        <v/>
      </c>
      <c r="AR557" s="618" t="str">
        <f t="shared" si="253"/>
        <v/>
      </c>
      <c r="AS557" s="292" t="str">
        <f t="shared" si="254"/>
        <v/>
      </c>
      <c r="AT557" s="377" t="e">
        <f t="shared" si="255"/>
        <v>#N/A</v>
      </c>
      <c r="AU557" s="292" t="e">
        <f t="shared" si="256"/>
        <v>#N/A</v>
      </c>
    </row>
    <row r="558" spans="1:47" ht="15" customHeight="1">
      <c r="A558" s="601" t="e">
        <f>Kat.!#REF!</f>
        <v>#REF!</v>
      </c>
      <c r="B558" s="601">
        <f t="shared" si="242"/>
        <v>1</v>
      </c>
      <c r="C558" s="783" t="s">
        <v>11802</v>
      </c>
      <c r="D558" s="783"/>
      <c r="E558" s="764"/>
      <c r="F558" s="761"/>
      <c r="G558" s="762"/>
      <c r="H558" s="595"/>
      <c r="I558" s="764"/>
      <c r="J558" s="764"/>
      <c r="K558" s="765"/>
      <c r="L558" s="764"/>
      <c r="M558" s="764"/>
      <c r="N558" s="764"/>
      <c r="O558" s="764"/>
      <c r="P558" s="764"/>
      <c r="Q558" s="764"/>
      <c r="R558" s="764"/>
      <c r="S558" s="764"/>
      <c r="T558" s="764"/>
      <c r="U558" s="764"/>
      <c r="V558" s="764"/>
      <c r="W558" s="764" t="str">
        <f>IFERROR(VLOOKUP('General price list'!$C558,Popisy!A:P,MATCH($W$17,Popisy!$A$7:$P$7,0),FALSE),"---------------")</f>
        <v>Karton mit Produktdesign</v>
      </c>
      <c r="X558" s="764" t="str">
        <f t="shared" si="257"/>
        <v/>
      </c>
      <c r="Y558" s="770">
        <f>IF(OR(AP558&lt;AA558,AND(NOT(OR(LEFT(AB558,3)="SKL",LEFT(AB558,3)=LEFT($V$2,3))),AA558&gt;0),AND('Deutsche Markt'!$AH$1=FALSE,J558="F4",AA558&gt;0)),"",AA558)</f>
        <v>0</v>
      </c>
      <c r="Z558" s="764"/>
      <c r="AA558" s="771">
        <f>'Deutsche Markt'!AA558</f>
        <v>0</v>
      </c>
      <c r="AB558" s="772" t="str">
        <f>IFERROR(IF(VLOOKUP(C558,[1]List1!$A:$D,2,FALSE)="VYPRODÁNO",$V$9,IF(VLOOKUP(C558,[1]List1!$A:$D,2,FALSE)="DOCHÁZÍ",$V$3,VLOOKUP(C558,[1]List1!$A:$D,2,FALSE))),"OFFLINE!")</f>
        <v>SKLADEM</v>
      </c>
      <c r="AC558" s="785" t="str">
        <f ca="1">IF(AO558="NE",$V$10,IF(AB558=$V$3,IF(AP558&lt;1,$V$8,$V$2&amp;" "&amp;AP558&amp;" "&amp;$V$1),IF(AB558="SKLADEM",$V$6,IFERROR(IF(OR(AB558-TODAY()&gt;21,VLOOKUP(C558,[1]List1!$A:$E,4,FALSE)=0),AB558,DAY(AB558)&amp;"."&amp;MONTH(AB558)&amp;"."&amp;YEAR(AB558)&amp;" "&amp;$V$4&amp;VLOOKUP(C558,[1]List1!$A:$E,4,FALSE)&amp;" "&amp;$V$1),AB558))))</f>
        <v>AUF LAGER</v>
      </c>
      <c r="AD558" s="785" t="str">
        <f t="shared" ca="1" si="258"/>
        <v>AUF LAGER</v>
      </c>
      <c r="AE558" s="609"/>
      <c r="AF558" s="609"/>
      <c r="AG558" s="627"/>
      <c r="AH558" s="609"/>
      <c r="AI558" s="627"/>
      <c r="AJ558" s="609"/>
      <c r="AK558" s="609"/>
      <c r="AL558" s="609"/>
      <c r="AM558" s="627"/>
      <c r="AO558" s="567" t="str">
        <f t="shared" si="251"/>
        <v/>
      </c>
      <c r="AP558" s="292" t="str">
        <f>IF(AB558=$V$3,IF(VLOOKUP(C558,[1]List1!$A:$E,5,FALSE)=0,1,VLOOKUP(C558,[1]List1!$A:$E,5,FALSE)),"")</f>
        <v/>
      </c>
      <c r="AQ558" s="292" t="str">
        <f t="shared" si="252"/>
        <v/>
      </c>
      <c r="AR558" s="618" t="str">
        <f t="shared" si="253"/>
        <v/>
      </c>
      <c r="AS558" s="292" t="str">
        <f t="shared" si="254"/>
        <v/>
      </c>
      <c r="AT558" s="377" t="e">
        <f t="shared" si="255"/>
        <v>#N/A</v>
      </c>
      <c r="AU558" s="292" t="e">
        <f t="shared" si="256"/>
        <v>#N/A</v>
      </c>
    </row>
    <row r="559" spans="1:47" ht="15" customHeight="1">
      <c r="A559" s="601" t="e">
        <f>Kat.!#REF!</f>
        <v>#REF!</v>
      </c>
      <c r="B559" s="601">
        <f t="shared" si="242"/>
        <v>1</v>
      </c>
      <c r="C559" s="778" t="s">
        <v>11803</v>
      </c>
      <c r="D559" s="778"/>
      <c r="E559" s="778"/>
      <c r="F559" s="779"/>
      <c r="G559" s="778"/>
      <c r="H559" s="778"/>
      <c r="I559" s="778"/>
      <c r="J559" s="778"/>
      <c r="K559" s="773"/>
      <c r="L559" s="778"/>
      <c r="M559" s="778"/>
      <c r="N559" s="778"/>
      <c r="O559" s="778"/>
      <c r="P559" s="778"/>
      <c r="Q559" s="778"/>
      <c r="R559" s="778"/>
      <c r="S559" s="778"/>
      <c r="T559" s="778"/>
      <c r="U559" s="778"/>
      <c r="V559" s="778"/>
      <c r="W559" s="778"/>
      <c r="X559" s="778"/>
      <c r="Y559" s="770">
        <f>IF(OR(AP559&lt;AA559,AND(NOT(OR(LEFT(AB559,3)="SKL",LEFT(AB559,3)=LEFT($V$2,3))),AA559&gt;0),AND('Deutsche Markt'!$AH$1=FALSE,J559="F4",AA559&gt;0)),"",AA559)</f>
        <v>0</v>
      </c>
      <c r="Z559" s="778"/>
      <c r="AA559" s="771">
        <f>'Deutsche Markt'!AA559</f>
        <v>0</v>
      </c>
      <c r="AB559" s="778"/>
      <c r="AC559" s="778"/>
      <c r="AD559" s="778"/>
      <c r="AE559" s="599"/>
      <c r="AF559" s="599"/>
      <c r="AG559" s="599"/>
      <c r="AH559" s="599"/>
      <c r="AI559" s="599"/>
      <c r="AJ559" s="599"/>
      <c r="AK559" s="599"/>
      <c r="AL559" s="599"/>
      <c r="AM559" s="599"/>
      <c r="AN559" s="566"/>
      <c r="AO559" s="567" t="str">
        <f t="shared" si="251"/>
        <v/>
      </c>
      <c r="AP559" s="568" t="str">
        <f>IF(AB559=$V$3,IF(VLOOKUP(C559,[1]List1!$A:$E,5,FALSE)=0,1,VLOOKUP(C559,[1]List1!$A:$E,5,FALSE)),"")</f>
        <v/>
      </c>
      <c r="AQ559" s="292" t="str">
        <f t="shared" si="252"/>
        <v/>
      </c>
      <c r="AR559" s="618" t="str">
        <f t="shared" si="253"/>
        <v/>
      </c>
      <c r="AS559" s="292" t="str">
        <f t="shared" si="254"/>
        <v/>
      </c>
      <c r="AT559" s="377" t="e">
        <f t="shared" si="255"/>
        <v>#N/A</v>
      </c>
      <c r="AU559" s="292" t="e">
        <f t="shared" si="256"/>
        <v>#N/A</v>
      </c>
    </row>
    <row r="560" spans="1:47" ht="15" customHeight="1">
      <c r="A560" s="601" t="e">
        <f>Kat.!#REF!</f>
        <v>#REF!</v>
      </c>
      <c r="B560" s="601">
        <f t="shared" si="242"/>
        <v>1</v>
      </c>
      <c r="C560" s="783" t="s">
        <v>11804</v>
      </c>
      <c r="D560" s="800"/>
      <c r="E560" s="760"/>
      <c r="F560" s="761"/>
      <c r="G560" s="762"/>
      <c r="H560" s="596"/>
      <c r="I560" s="797"/>
      <c r="J560" s="764"/>
      <c r="K560" s="765"/>
      <c r="L560" s="766"/>
      <c r="M560" s="764"/>
      <c r="N560" s="767"/>
      <c r="O560" s="763"/>
      <c r="P560" s="763"/>
      <c r="Q560" s="764"/>
      <c r="R560" s="764"/>
      <c r="S560" s="764"/>
      <c r="T560" s="764"/>
      <c r="U560" s="768"/>
      <c r="V560" s="768"/>
      <c r="W560" s="769" t="str">
        <f>IFERROR(VLOOKUP('General price list'!$C560,Popisy!A:P,MATCH($W$17,Popisy!$A$7:$P$7,0),FALSE),"---------------")</f>
        <v>Karton mit Produktdesign</v>
      </c>
      <c r="X560" s="769" t="str">
        <f t="shared" ref="X560:X568" si="259">IF(AA560&lt;0.0001,"",AA560)</f>
        <v/>
      </c>
      <c r="Y560" s="770">
        <f>IF(OR(AP560&lt;AA560,AND(NOT(OR(LEFT(AB560,3)="SKL",LEFT(AB560,3)=LEFT($V$2,3))),AA560&gt;0),AND('Deutsche Markt'!$AH$1=FALSE,J560="F4",AA560&gt;0)),"",AA560)</f>
        <v>0</v>
      </c>
      <c r="Z560" s="769"/>
      <c r="AA560" s="771">
        <f>'Deutsche Markt'!AA560</f>
        <v>0</v>
      </c>
      <c r="AB560" s="772" t="str">
        <f>IFERROR(IF(VLOOKUP(C560,[1]List1!$A:$D,2,FALSE)="VYPRODÁNO",$V$9,IF(VLOOKUP(C560,[1]List1!$A:$D,2,FALSE)="DOCHÁZÍ",$V$3,VLOOKUP(C560,[1]List1!$A:$D,2,FALSE))),"OFFLINE!")</f>
        <v>SKLADEM</v>
      </c>
      <c r="AC560" s="772" t="str">
        <f ca="1">IF(AO560="NE",$V$10,IF(AB560=$V$3,IF(AP560&lt;1,$V$8,$V$2&amp;" "&amp;AP560&amp;" "&amp;$V$1),IF(AB560="SKLADEM",$V$6,IFERROR(IF(OR(AB560-TODAY()&gt;21,VLOOKUP(C560,[1]List1!$A:$E,4,FALSE)=0),AB560,DAY(AB560)&amp;"."&amp;MONTH(AB560)&amp;"."&amp;YEAR(AB560)&amp;" "&amp;$V$4&amp;VLOOKUP(C560,[1]List1!$A:$E,4,FALSE)&amp;" "&amp;$V$1),AB560))))</f>
        <v>AUF LAGER</v>
      </c>
      <c r="AD560" s="772" t="str">
        <f t="shared" ref="AD560:AD568" ca="1" si="260">IFERROR(IF(AU560&lt;&gt;"",AU560,AC560),AC560)</f>
        <v>AUF LAGER</v>
      </c>
      <c r="AE560" s="605"/>
      <c r="AF560" s="605"/>
      <c r="AG560" s="615"/>
      <c r="AH560" s="616"/>
      <c r="AI560" s="615"/>
      <c r="AJ560" s="617"/>
      <c r="AK560" s="617"/>
      <c r="AL560" s="617"/>
      <c r="AM560" s="617"/>
      <c r="AN560" s="292"/>
      <c r="AO560" s="567" t="str">
        <f t="shared" si="251"/>
        <v/>
      </c>
      <c r="AP560" s="568" t="str">
        <f>IF(AB560=$V$3,IF(VLOOKUP(C560,[1]List1!$A:$E,5,FALSE)=0,1,VLOOKUP(C560,[1]List1!$A:$E,5,FALSE)),"")</f>
        <v/>
      </c>
      <c r="AQ560" s="292" t="str">
        <f t="shared" si="252"/>
        <v/>
      </c>
      <c r="AR560" s="618" t="str">
        <f t="shared" si="253"/>
        <v/>
      </c>
      <c r="AS560" s="292" t="str">
        <f t="shared" si="254"/>
        <v/>
      </c>
      <c r="AT560" s="377" t="e">
        <f t="shared" si="255"/>
        <v>#N/A</v>
      </c>
      <c r="AU560" s="292" t="e">
        <f t="shared" si="256"/>
        <v>#N/A</v>
      </c>
    </row>
    <row r="561" spans="1:47" ht="15" customHeight="1">
      <c r="A561" s="601" t="e">
        <f>Kat.!$B$1&amp;Kat.!#REF!</f>
        <v>#REF!</v>
      </c>
      <c r="B561" s="601">
        <f t="shared" si="242"/>
        <v>1</v>
      </c>
      <c r="C561" s="163" t="s">
        <v>11805</v>
      </c>
      <c r="D561" s="163"/>
      <c r="E561" s="609"/>
      <c r="F561" s="605"/>
      <c r="G561" s="606"/>
      <c r="H561" s="607"/>
      <c r="I561" s="636"/>
      <c r="J561" s="609"/>
      <c r="K561" s="708"/>
      <c r="L561" s="610"/>
      <c r="M561" s="609"/>
      <c r="N561" s="612"/>
      <c r="O561" s="608"/>
      <c r="P561" s="608"/>
      <c r="Q561" s="609"/>
      <c r="R561" s="609"/>
      <c r="S561" s="609"/>
      <c r="T561" s="609"/>
      <c r="U561" s="613"/>
      <c r="V561" s="613"/>
      <c r="W561" s="601" t="str">
        <f>IFERROR(VLOOKUP('General price list'!$C561,Popisy!A:P,MATCH($W$17,Popisy!$A$7:$P$7,0),FALSE),"---------------")</f>
        <v>Karton mit Produktdesign</v>
      </c>
      <c r="X561" s="601" t="str">
        <f t="shared" si="259"/>
        <v/>
      </c>
      <c r="Y561" s="770">
        <f>IF(OR(AP561&lt;AA561,AND(NOT(OR(LEFT(AB561,3)="SKL",LEFT(AB561,3)=LEFT($V$2,3))),AA561&gt;0),AND('Deutsche Markt'!$AH$1=FALSE,J561="F4",AA561&gt;0)),"",AA561)</f>
        <v>0</v>
      </c>
      <c r="Z561" s="601"/>
      <c r="AA561" s="771">
        <f>'Deutsche Markt'!AA561</f>
        <v>0</v>
      </c>
      <c r="AB561" s="614" t="str">
        <f>IFERROR(IF(VLOOKUP(C561,[1]List1!$A:$D,2,FALSE)="VYPRODÁNO",$V$9,IF(VLOOKUP(C561,[1]List1!$A:$D,2,FALSE)="DOCHÁZÍ",$V$3,VLOOKUP(C561,[1]List1!$A:$D,2,FALSE))),"OFFLINE!")</f>
        <v>SKLADEM</v>
      </c>
      <c r="AC561" s="614" t="str">
        <f ca="1">IF(AO561="NE",$V$10,IF(AB561=$V$3,IF(AP561&lt;1,$V$8,$V$2&amp;" "&amp;AP561&amp;" "&amp;$V$1),IF(AB561="SKLADEM",$V$6,IFERROR(IF(OR(AB561-TODAY()&gt;21,VLOOKUP(C561,[1]List1!$A:$E,4,FALSE)=0),AB561,DAY(AB561)&amp;"."&amp;MONTH(AB561)&amp;"."&amp;YEAR(AB561)&amp;" "&amp;$V$4&amp;VLOOKUP(C561,[1]List1!$A:$E,4,FALSE)&amp;" "&amp;$V$1),AB561))))</f>
        <v>AUF LAGER</v>
      </c>
      <c r="AD561" s="614" t="str">
        <f t="shared" ca="1" si="260"/>
        <v>AUF LAGER</v>
      </c>
      <c r="AE561" s="605"/>
      <c r="AF561" s="605"/>
      <c r="AG561" s="615"/>
      <c r="AH561" s="616"/>
      <c r="AI561" s="615"/>
      <c r="AJ561" s="617"/>
      <c r="AK561" s="617"/>
      <c r="AL561" s="617"/>
      <c r="AM561" s="617"/>
      <c r="AN561" s="292"/>
      <c r="AO561" s="567" t="str">
        <f t="shared" si="251"/>
        <v/>
      </c>
      <c r="AP561" s="568" t="str">
        <f>IF(AB561=$V$3,IF(VLOOKUP(C561,[1]List1!$A:$E,5,FALSE)=0,1,VLOOKUP(C561,[1]List1!$A:$E,5,FALSE)),"")</f>
        <v/>
      </c>
      <c r="AQ561" s="292" t="str">
        <f t="shared" si="252"/>
        <v/>
      </c>
      <c r="AR561" s="618" t="str">
        <f t="shared" si="253"/>
        <v/>
      </c>
      <c r="AS561" s="292" t="str">
        <f t="shared" si="254"/>
        <v/>
      </c>
      <c r="AT561" s="377" t="e">
        <f t="shared" si="255"/>
        <v>#N/A</v>
      </c>
      <c r="AU561" s="292" t="e">
        <f t="shared" si="256"/>
        <v>#N/A</v>
      </c>
    </row>
    <row r="562" spans="1:47" ht="15" customHeight="1">
      <c r="A562" s="601" t="e">
        <f>Kat.!#REF!</f>
        <v>#REF!</v>
      </c>
      <c r="B562" s="601">
        <f t="shared" si="242"/>
        <v>1</v>
      </c>
      <c r="C562" s="775" t="s">
        <v>11807</v>
      </c>
      <c r="D562" s="776"/>
      <c r="E562" s="760"/>
      <c r="F562" s="761"/>
      <c r="G562" s="762"/>
      <c r="H562" s="596"/>
      <c r="I562" s="797"/>
      <c r="J562" s="764"/>
      <c r="K562" s="774"/>
      <c r="L562" s="782"/>
      <c r="M562" s="764"/>
      <c r="N562" s="767"/>
      <c r="O562" s="763"/>
      <c r="P562" s="763"/>
      <c r="Q562" s="764"/>
      <c r="R562" s="764"/>
      <c r="S562" s="764"/>
      <c r="T562" s="764"/>
      <c r="U562" s="768"/>
      <c r="V562" s="768"/>
      <c r="W562" s="769" t="str">
        <f>IFERROR(VLOOKUP('General price list'!$C562,Popisy!A:P,MATCH($W$17,Popisy!$A$7:$P$7,0),FALSE),"---------------")</f>
        <v>Karton mit Produktdesign</v>
      </c>
      <c r="X562" s="769" t="str">
        <f t="shared" si="259"/>
        <v/>
      </c>
      <c r="Y562" s="770">
        <f>IF(OR(AP562&lt;AA562,AND(NOT(OR(LEFT(AB562,3)="SKL",LEFT(AB562,3)=LEFT($V$2,3))),AA562&gt;0),AND('Deutsche Markt'!$AH$1=FALSE,J562="F4",AA562&gt;0)),"",AA562)</f>
        <v>0</v>
      </c>
      <c r="Z562" s="769"/>
      <c r="AA562" s="771">
        <f>'Deutsche Markt'!AA562</f>
        <v>0</v>
      </c>
      <c r="AB562" s="772" t="str">
        <f>IFERROR(IF(VLOOKUP(C562,[1]List1!$A:$D,2,FALSE)="VYPRODÁNO",$V$9,IF(VLOOKUP(C562,[1]List1!$A:$D,2,FALSE)="DOCHÁZÍ",$V$3,VLOOKUP(C562,[1]List1!$A:$D,2,FALSE))),"OFFLINE!")</f>
        <v>SKLADEM</v>
      </c>
      <c r="AC562" s="772" t="str">
        <f ca="1">IF(AO562="NE",$V$10,IF(AB562=$V$3,IF(AP562&lt;1,$V$8,$V$2&amp;" "&amp;AP562&amp;" "&amp;$V$1),IF(AB562="SKLADEM",$V$6,IFERROR(IF(OR(AB562-TODAY()&gt;21,VLOOKUP(C562,[1]List1!$A:$E,4,FALSE)=0),AB562,DAY(AB562)&amp;"."&amp;MONTH(AB562)&amp;"."&amp;YEAR(AB562)&amp;" "&amp;$V$4&amp;VLOOKUP(C562,[1]List1!$A:$E,4,FALSE)&amp;" "&amp;$V$1),AB562))))</f>
        <v>AUF LAGER</v>
      </c>
      <c r="AD562" s="772" t="str">
        <f t="shared" ca="1" si="260"/>
        <v>AUF LAGER</v>
      </c>
      <c r="AE562" s="605"/>
      <c r="AF562" s="605"/>
      <c r="AG562" s="615"/>
      <c r="AH562" s="616"/>
      <c r="AI562" s="615"/>
      <c r="AJ562" s="617"/>
      <c r="AK562" s="617"/>
      <c r="AL562" s="617"/>
      <c r="AM562" s="617"/>
      <c r="AN562" s="292"/>
      <c r="AO562" s="567" t="str">
        <f t="shared" si="251"/>
        <v/>
      </c>
      <c r="AP562" s="568" t="str">
        <f>IF(AB562=$V$3,IF(VLOOKUP(C562,[1]List1!$A:$E,5,FALSE)=0,1,VLOOKUP(C562,[1]List1!$A:$E,5,FALSE)),"")</f>
        <v/>
      </c>
      <c r="AQ562" s="292" t="str">
        <f t="shared" si="252"/>
        <v/>
      </c>
      <c r="AR562" s="618" t="str">
        <f t="shared" si="253"/>
        <v/>
      </c>
      <c r="AS562" s="292" t="str">
        <f t="shared" si="254"/>
        <v/>
      </c>
      <c r="AT562" s="377" t="e">
        <f t="shared" si="255"/>
        <v>#N/A</v>
      </c>
      <c r="AU562" s="292" t="e">
        <f t="shared" si="256"/>
        <v>#N/A</v>
      </c>
    </row>
    <row r="563" spans="1:47" ht="15" customHeight="1">
      <c r="A563" s="601" t="e">
        <f>Kat.!#REF!</f>
        <v>#REF!</v>
      </c>
      <c r="B563" s="601">
        <f t="shared" si="242"/>
        <v>1</v>
      </c>
      <c r="C563" s="783" t="s">
        <v>12100</v>
      </c>
      <c r="D563" s="776"/>
      <c r="E563" s="760"/>
      <c r="F563" s="761"/>
      <c r="G563" s="762"/>
      <c r="H563" s="596"/>
      <c r="I563" s="797"/>
      <c r="J563" s="764"/>
      <c r="K563" s="781"/>
      <c r="L563" s="782"/>
      <c r="M563" s="764"/>
      <c r="N563" s="767"/>
      <c r="O563" s="763"/>
      <c r="P563" s="763"/>
      <c r="Q563" s="764"/>
      <c r="R563" s="764"/>
      <c r="S563" s="764"/>
      <c r="T563" s="764"/>
      <c r="U563" s="768"/>
      <c r="V563" s="768"/>
      <c r="W563" s="769" t="str">
        <f>IFERROR(VLOOKUP('General price list'!$C563,Popisy!A:P,MATCH($W$17,Popisy!$A$7:$P$7,0),FALSE),"---------------")</f>
        <v>Karton mit Produktdesign</v>
      </c>
      <c r="X563" s="769" t="str">
        <f t="shared" si="259"/>
        <v/>
      </c>
      <c r="Y563" s="770">
        <f>IF(OR(AP563&lt;AA563,AND(NOT(OR(LEFT(AB563,3)="SKL",LEFT(AB563,3)=LEFT($V$2,3))),AA563&gt;0),AND('Deutsche Markt'!$AH$1=FALSE,J563="F4",AA563&gt;0)),"",AA563)</f>
        <v>0</v>
      </c>
      <c r="Z563" s="769"/>
      <c r="AA563" s="771">
        <f>'Deutsche Markt'!AA563</f>
        <v>0</v>
      </c>
      <c r="AB563" s="772" t="str">
        <f>IFERROR(IF(VLOOKUP(C563,[1]List1!$A:$D,2,FALSE)="VYPRODÁNO",$V$9,IF(VLOOKUP(C563,[1]List1!$A:$D,2,FALSE)="DOCHÁZÍ",$V$3,VLOOKUP(C563,[1]List1!$A:$D,2,FALSE))),"OFFLINE!")</f>
        <v>SKLADEM</v>
      </c>
      <c r="AC563" s="772" t="str">
        <f ca="1">IF(AO563="NE",$V$10,IF(AB563=$V$3,IF(AP563&lt;1,$V$8,$V$2&amp;" "&amp;AP563&amp;" "&amp;$V$1),IF(AB563="SKLADEM",$V$6,IFERROR(IF(OR(AB563-TODAY()&gt;21,VLOOKUP(C563,[1]List1!$A:$E,4,FALSE)=0),AB563,DAY(AB563)&amp;"."&amp;MONTH(AB563)&amp;"."&amp;YEAR(AB563)&amp;" "&amp;$V$4&amp;VLOOKUP(C563,[1]List1!$A:$E,4,FALSE)&amp;" "&amp;$V$1),AB563))))</f>
        <v>AUF LAGER</v>
      </c>
      <c r="AD563" s="772" t="str">
        <f t="shared" ca="1" si="260"/>
        <v>AUF LAGER</v>
      </c>
      <c r="AE563" s="605"/>
      <c r="AF563" s="605"/>
      <c r="AG563" s="615"/>
      <c r="AH563" s="616"/>
      <c r="AI563" s="615"/>
      <c r="AJ563" s="617"/>
      <c r="AK563" s="617"/>
      <c r="AL563" s="617"/>
      <c r="AM563" s="617"/>
      <c r="AN563" s="292"/>
      <c r="AO563" s="567" t="str">
        <f t="shared" si="251"/>
        <v/>
      </c>
      <c r="AP563" s="568" t="str">
        <f>IF(AB563=$V$3,IF(VLOOKUP(C563,[1]List1!$A:$E,5,FALSE)=0,1,VLOOKUP(C563,[1]List1!$A:$E,5,FALSE)),"")</f>
        <v/>
      </c>
      <c r="AQ563" s="292" t="str">
        <f t="shared" si="252"/>
        <v/>
      </c>
      <c r="AR563" s="618" t="str">
        <f t="shared" si="253"/>
        <v/>
      </c>
      <c r="AS563" s="292" t="str">
        <f t="shared" si="254"/>
        <v/>
      </c>
      <c r="AT563" s="377" t="e">
        <f t="shared" si="255"/>
        <v>#N/A</v>
      </c>
      <c r="AU563" s="292" t="e">
        <f t="shared" si="256"/>
        <v>#N/A</v>
      </c>
    </row>
    <row r="564" spans="1:47" ht="15" customHeight="1">
      <c r="A564" s="601" t="e">
        <f>Kat.!#REF!</f>
        <v>#REF!</v>
      </c>
      <c r="B564" s="601">
        <f t="shared" si="242"/>
        <v>1</v>
      </c>
      <c r="C564" s="778" t="s">
        <v>11808</v>
      </c>
      <c r="D564" s="778"/>
      <c r="E564" s="778"/>
      <c r="F564" s="779"/>
      <c r="G564" s="778"/>
      <c r="H564" s="778"/>
      <c r="I564" s="778"/>
      <c r="J564" s="778"/>
      <c r="K564" s="774"/>
      <c r="L564" s="778"/>
      <c r="M564" s="778"/>
      <c r="N564" s="778"/>
      <c r="O564" s="778"/>
      <c r="P564" s="778"/>
      <c r="Q564" s="778"/>
      <c r="R564" s="778"/>
      <c r="S564" s="778"/>
      <c r="T564" s="778"/>
      <c r="U564" s="778"/>
      <c r="V564" s="778"/>
      <c r="W564" s="778" t="str">
        <f>IFERROR(VLOOKUP('General price list'!$C564,Popisy!A:P,MATCH($W$17,Popisy!$A$7:$P$7,0),FALSE),"---------------")</f>
        <v>Karton mit Produktdesign</v>
      </c>
      <c r="X564" s="778" t="str">
        <f t="shared" si="259"/>
        <v/>
      </c>
      <c r="Y564" s="770">
        <f>IF(OR(AP564&lt;AA564,AND(NOT(OR(LEFT(AB564,3)="SKL",LEFT(AB564,3)=LEFT($V$2,3))),AA564&gt;0),AND('Deutsche Markt'!$AH$1=FALSE,J564="F4",AA564&gt;0)),"",AA564)</f>
        <v>0</v>
      </c>
      <c r="Z564" s="778"/>
      <c r="AA564" s="771">
        <f>'Deutsche Markt'!AA564</f>
        <v>0</v>
      </c>
      <c r="AB564" s="778" t="str">
        <f>IFERROR(IF(VLOOKUP(C564,[1]List1!$A:$D,2,FALSE)="VYPRODÁNO",$V$9,IF(VLOOKUP(C564,[1]List1!$A:$D,2,FALSE)="DOCHÁZÍ",$V$3,VLOOKUP(C564,[1]List1!$A:$D,2,FALSE))),"OFFLINE!")</f>
        <v>SKLADEM</v>
      </c>
      <c r="AC564" s="778" t="str">
        <f ca="1">IF(AO564="NE",$V$10,IF(AB564=$V$3,IF(AP564&lt;1,$V$8,$V$2&amp;" "&amp;AP564&amp;" "&amp;$V$1),IF(AB564="SKLADEM",$V$6,IFERROR(IF(OR(AB564-TODAY()&gt;21,VLOOKUP(C564,[1]List1!$A:$E,4,FALSE)=0),AB564,DAY(AB564)&amp;"."&amp;MONTH(AB564)&amp;"."&amp;YEAR(AB564)&amp;" "&amp;$V$4&amp;VLOOKUP(C564,[1]List1!$A:$E,4,FALSE)&amp;" "&amp;$V$1),AB564))))</f>
        <v>AUF LAGER</v>
      </c>
      <c r="AD564" s="778" t="str">
        <f t="shared" ca="1" si="260"/>
        <v>AUF LAGER</v>
      </c>
      <c r="AE564" s="599"/>
      <c r="AF564" s="599"/>
      <c r="AG564" s="599"/>
      <c r="AH564" s="599"/>
      <c r="AI564" s="599"/>
      <c r="AJ564" s="599"/>
      <c r="AK564" s="599"/>
      <c r="AL564" s="599"/>
      <c r="AM564" s="599"/>
      <c r="AN564" s="566"/>
      <c r="AO564" s="567" t="str">
        <f t="shared" si="251"/>
        <v/>
      </c>
      <c r="AP564" s="568" t="str">
        <f>IF(AB564=$V$3,IF(VLOOKUP(C564,[1]List1!$A:$E,5,FALSE)=0,1,VLOOKUP(C564,[1]List1!$A:$E,5,FALSE)),"")</f>
        <v/>
      </c>
      <c r="AQ564" s="292" t="str">
        <f t="shared" si="252"/>
        <v/>
      </c>
      <c r="AR564" s="618" t="str">
        <f t="shared" si="253"/>
        <v/>
      </c>
      <c r="AS564" s="292" t="str">
        <f t="shared" si="254"/>
        <v/>
      </c>
      <c r="AT564" s="377" t="e">
        <f t="shared" si="255"/>
        <v>#N/A</v>
      </c>
      <c r="AU564" s="292" t="e">
        <f t="shared" si="256"/>
        <v>#N/A</v>
      </c>
    </row>
    <row r="565" spans="1:47" ht="15" customHeight="1">
      <c r="A565" s="601" t="e">
        <f>Kat.!#REF!</f>
        <v>#REF!</v>
      </c>
      <c r="B565" s="601">
        <f t="shared" si="242"/>
        <v>1</v>
      </c>
      <c r="C565" s="783" t="s">
        <v>11809</v>
      </c>
      <c r="D565" s="783"/>
      <c r="E565" s="764"/>
      <c r="F565" s="761"/>
      <c r="G565" s="762"/>
      <c r="H565" s="595"/>
      <c r="I565" s="764"/>
      <c r="J565" s="764"/>
      <c r="K565" s="781"/>
      <c r="L565" s="764"/>
      <c r="M565" s="764"/>
      <c r="N565" s="764"/>
      <c r="O565" s="764"/>
      <c r="P565" s="764"/>
      <c r="Q565" s="764"/>
      <c r="R565" s="764"/>
      <c r="S565" s="764"/>
      <c r="T565" s="764"/>
      <c r="U565" s="764"/>
      <c r="V565" s="764"/>
      <c r="W565" s="764" t="str">
        <f>IFERROR(VLOOKUP('General price list'!$C565,Popisy!A:P,MATCH($W$17,Popisy!$A$7:$P$7,0),FALSE),"---------------")</f>
        <v>Karton mit Produktdesign</v>
      </c>
      <c r="X565" s="764" t="str">
        <f t="shared" si="259"/>
        <v/>
      </c>
      <c r="Y565" s="770">
        <f>IF(OR(AP565&lt;AA565,AND(NOT(OR(LEFT(AB565,3)="SKL",LEFT(AB565,3)=LEFT($V$2,3))),AA565&gt;0),AND('Deutsche Markt'!$AH$1=FALSE,J565="F4",AA565&gt;0)),"",AA565)</f>
        <v>0</v>
      </c>
      <c r="Z565" s="764"/>
      <c r="AA565" s="771">
        <f>'Deutsche Markt'!AA565</f>
        <v>0</v>
      </c>
      <c r="AB565" s="772" t="str">
        <f>IFERROR(IF(VLOOKUP(C565,[1]List1!$A:$D,2,FALSE)="VYPRODÁNO",$V$9,IF(VLOOKUP(C565,[1]List1!$A:$D,2,FALSE)="DOCHÁZÍ",$V$3,VLOOKUP(C565,[1]List1!$A:$D,2,FALSE))),"OFFLINE!")</f>
        <v>SKLADEM</v>
      </c>
      <c r="AC565" s="785" t="str">
        <f ca="1">IF(AO565="NE",$V$10,IF(AB565=$V$3,IF(AP565&lt;1,$V$8,$V$2&amp;" "&amp;AP565&amp;" "&amp;$V$1),IF(AB565="SKLADEM",$V$6,IFERROR(IF(OR(AB565-TODAY()&gt;21,VLOOKUP(C565,[1]List1!$A:$E,4,FALSE)=0),AB565,DAY(AB565)&amp;"."&amp;MONTH(AB565)&amp;"."&amp;YEAR(AB565)&amp;" "&amp;$V$4&amp;VLOOKUP(C565,[1]List1!$A:$E,4,FALSE)&amp;" "&amp;$V$1),AB565))))</f>
        <v>AUF LAGER</v>
      </c>
      <c r="AD565" s="785" t="str">
        <f t="shared" ca="1" si="260"/>
        <v>AUF LAGER</v>
      </c>
      <c r="AE565" s="609"/>
      <c r="AF565" s="609"/>
      <c r="AG565" s="627"/>
      <c r="AH565" s="609"/>
      <c r="AI565" s="627"/>
      <c r="AJ565" s="609"/>
      <c r="AK565" s="609"/>
      <c r="AL565" s="609"/>
      <c r="AM565" s="627"/>
      <c r="AO565" s="567" t="str">
        <f t="shared" si="251"/>
        <v/>
      </c>
      <c r="AP565" s="568" t="str">
        <f>IF(AB565=$V$3,IF(VLOOKUP(C565,[1]List1!$A:$E,5,FALSE)=0,1,VLOOKUP(C565,[1]List1!$A:$E,5,FALSE)),"")</f>
        <v/>
      </c>
      <c r="AQ565" s="292" t="str">
        <f t="shared" si="252"/>
        <v/>
      </c>
      <c r="AR565" s="618" t="str">
        <f t="shared" si="253"/>
        <v/>
      </c>
      <c r="AS565" s="292" t="str">
        <f t="shared" si="254"/>
        <v/>
      </c>
      <c r="AT565" s="377" t="e">
        <f t="shared" si="255"/>
        <v>#N/A</v>
      </c>
      <c r="AU565" s="292" t="e">
        <f t="shared" si="256"/>
        <v>#N/A</v>
      </c>
    </row>
    <row r="566" spans="1:47" ht="15" customHeight="1">
      <c r="A566" s="601" t="e">
        <f>Kat.!#REF!</f>
        <v>#REF!</v>
      </c>
      <c r="B566" s="601">
        <f t="shared" si="242"/>
        <v>1</v>
      </c>
      <c r="C566" s="775" t="s">
        <v>12101</v>
      </c>
      <c r="D566" s="776"/>
      <c r="E566" s="760"/>
      <c r="F566" s="761"/>
      <c r="G566" s="762"/>
      <c r="H566" s="596"/>
      <c r="I566" s="797"/>
      <c r="J566" s="764"/>
      <c r="K566" s="774"/>
      <c r="L566" s="782"/>
      <c r="M566" s="764"/>
      <c r="N566" s="767"/>
      <c r="O566" s="763"/>
      <c r="P566" s="763"/>
      <c r="Q566" s="764"/>
      <c r="R566" s="764"/>
      <c r="S566" s="764"/>
      <c r="T566" s="764"/>
      <c r="U566" s="768"/>
      <c r="V566" s="768"/>
      <c r="W566" s="769" t="str">
        <f>IFERROR(VLOOKUP('General price list'!$C566,Popisy!A:P,MATCH($W$17,Popisy!$A$7:$P$7,0),FALSE),"---------------")</f>
        <v>Karton mit Produktdesign</v>
      </c>
      <c r="X566" s="769" t="str">
        <f t="shared" si="259"/>
        <v/>
      </c>
      <c r="Y566" s="770">
        <f>IF(OR(AP566&lt;AA566,AND(NOT(OR(LEFT(AB566,3)="SKL",LEFT(AB566,3)=LEFT($V$2,3))),AA566&gt;0),AND('Deutsche Markt'!$AH$1=FALSE,J566="F4",AA566&gt;0)),"",AA566)</f>
        <v>0</v>
      </c>
      <c r="Z566" s="769"/>
      <c r="AA566" s="771">
        <f>'Deutsche Markt'!AA566</f>
        <v>0</v>
      </c>
      <c r="AB566" s="772" t="str">
        <f>IFERROR(IF(VLOOKUP(C566,[1]List1!$A:$D,2,FALSE)="VYPRODÁNO",$V$9,IF(VLOOKUP(C566,[1]List1!$A:$D,2,FALSE)="DOCHÁZÍ",$V$3,VLOOKUP(C566,[1]List1!$A:$D,2,FALSE))),"OFFLINE!")</f>
        <v>SKLADEM</v>
      </c>
      <c r="AC566" s="772" t="str">
        <f ca="1">IF(AO566="NE",$V$10,IF(AB566=$V$3,IF(AP566&lt;1,$V$8,$V$2&amp;" "&amp;AP566&amp;" "&amp;$V$1),IF(AB566="SKLADEM",$V$6,IFERROR(IF(OR(AB566-TODAY()&gt;21,VLOOKUP(C566,[1]List1!$A:$E,4,FALSE)=0),AB566,DAY(AB566)&amp;"."&amp;MONTH(AB566)&amp;"."&amp;YEAR(AB566)&amp;" "&amp;$V$4&amp;VLOOKUP(C566,[1]List1!$A:$E,4,FALSE)&amp;" "&amp;$V$1),AB566))))</f>
        <v>AUF LAGER</v>
      </c>
      <c r="AD566" s="772" t="str">
        <f t="shared" ca="1" si="260"/>
        <v>AUF LAGER</v>
      </c>
      <c r="AE566" s="605"/>
      <c r="AF566" s="605"/>
      <c r="AG566" s="615"/>
      <c r="AH566" s="616"/>
      <c r="AI566" s="615"/>
      <c r="AJ566" s="617"/>
      <c r="AK566" s="617"/>
      <c r="AL566" s="617"/>
      <c r="AM566" s="617"/>
      <c r="AN566" s="292"/>
      <c r="AO566" s="567" t="str">
        <f t="shared" si="251"/>
        <v/>
      </c>
      <c r="AP566" s="568" t="str">
        <f>IF(AB566=$V$3,IF(VLOOKUP(C566,[1]List1!$A:$E,5,FALSE)=0,1,VLOOKUP(C566,[1]List1!$A:$E,5,FALSE)),"")</f>
        <v/>
      </c>
      <c r="AQ566" s="292" t="str">
        <f t="shared" si="252"/>
        <v/>
      </c>
      <c r="AR566" s="618" t="str">
        <f t="shared" si="253"/>
        <v/>
      </c>
      <c r="AS566" s="292" t="str">
        <f t="shared" si="254"/>
        <v/>
      </c>
      <c r="AT566" s="377" t="e">
        <f t="shared" si="255"/>
        <v>#N/A</v>
      </c>
      <c r="AU566" s="292" t="e">
        <f t="shared" si="256"/>
        <v>#N/A</v>
      </c>
    </row>
    <row r="567" spans="1:47" ht="15" customHeight="1">
      <c r="A567" s="601" t="e">
        <f>Kat.!#REF!</f>
        <v>#REF!</v>
      </c>
      <c r="B567" s="601">
        <f t="shared" si="242"/>
        <v>1</v>
      </c>
      <c r="C567" s="778" t="s">
        <v>11811</v>
      </c>
      <c r="D567" s="778"/>
      <c r="E567" s="778"/>
      <c r="F567" s="779"/>
      <c r="G567" s="778"/>
      <c r="H567" s="778"/>
      <c r="I567" s="778"/>
      <c r="J567" s="778"/>
      <c r="K567" s="781"/>
      <c r="L567" s="778"/>
      <c r="M567" s="778"/>
      <c r="N567" s="778"/>
      <c r="O567" s="778"/>
      <c r="P567" s="778"/>
      <c r="Q567" s="778"/>
      <c r="R567" s="778"/>
      <c r="S567" s="778"/>
      <c r="T567" s="778"/>
      <c r="U567" s="778"/>
      <c r="V567" s="778"/>
      <c r="W567" s="778" t="str">
        <f>IFERROR(VLOOKUP('General price list'!$C567,Popisy!A:P,MATCH($W$17,Popisy!$A$7:$P$7,0),FALSE),"---------------")</f>
        <v>Karton mit Produktdesign</v>
      </c>
      <c r="X567" s="778" t="str">
        <f t="shared" si="259"/>
        <v/>
      </c>
      <c r="Y567" s="770">
        <f>IF(OR(AP567&lt;AA567,AND(NOT(OR(LEFT(AB567,3)="SKL",LEFT(AB567,3)=LEFT($V$2,3))),AA567&gt;0),AND('Deutsche Markt'!$AH$1=FALSE,J567="F4",AA567&gt;0)),"",AA567)</f>
        <v>0</v>
      </c>
      <c r="Z567" s="778"/>
      <c r="AA567" s="771">
        <f>'Deutsche Markt'!AA567</f>
        <v>0</v>
      </c>
      <c r="AB567" s="778" t="str">
        <f>IFERROR(IF(VLOOKUP(C567,[1]List1!$A:$D,2,FALSE)="VYPRODÁNO",$V$9,IF(VLOOKUP(C567,[1]List1!$A:$D,2,FALSE)="DOCHÁZÍ",$V$3,VLOOKUP(C567,[1]List1!$A:$D,2,FALSE))),"OFFLINE!")</f>
        <v>SKLADEM</v>
      </c>
      <c r="AC567" s="778" t="str">
        <f ca="1">IF(AO567="NE",$V$10,IF(AB567=$V$3,IF(AP567&lt;1,$V$8,$V$2&amp;" "&amp;AP567&amp;" "&amp;$V$1),IF(AB567="SKLADEM",$V$6,IFERROR(IF(OR(AB567-TODAY()&gt;21,VLOOKUP(C567,[1]List1!$A:$E,4,FALSE)=0),AB567,DAY(AB567)&amp;"."&amp;MONTH(AB567)&amp;"."&amp;YEAR(AB567)&amp;" "&amp;$V$4&amp;VLOOKUP(C567,[1]List1!$A:$E,4,FALSE)&amp;" "&amp;$V$1),AB567))))</f>
        <v>AUF LAGER</v>
      </c>
      <c r="AD567" s="778" t="str">
        <f t="shared" ca="1" si="260"/>
        <v>AUF LAGER</v>
      </c>
      <c r="AE567" s="599"/>
      <c r="AF567" s="599"/>
      <c r="AG567" s="599"/>
      <c r="AH567" s="599"/>
      <c r="AI567" s="599"/>
      <c r="AJ567" s="599"/>
      <c r="AK567" s="599"/>
      <c r="AL567" s="599"/>
      <c r="AM567" s="599"/>
      <c r="AN567" s="566"/>
      <c r="AO567" s="567" t="str">
        <f t="shared" si="251"/>
        <v/>
      </c>
      <c r="AP567" s="568" t="str">
        <f>IF(AB567=$V$3,IF(VLOOKUP(C567,[1]List1!$A:$E,5,FALSE)=0,1,VLOOKUP(C567,[1]List1!$A:$E,5,FALSE)),"")</f>
        <v/>
      </c>
      <c r="AQ567" s="292" t="str">
        <f t="shared" si="252"/>
        <v/>
      </c>
      <c r="AR567" s="618" t="str">
        <f t="shared" si="253"/>
        <v/>
      </c>
      <c r="AS567" s="292" t="str">
        <f t="shared" si="254"/>
        <v/>
      </c>
      <c r="AT567" s="377" t="e">
        <f t="shared" si="255"/>
        <v>#N/A</v>
      </c>
      <c r="AU567" s="292" t="e">
        <f t="shared" si="256"/>
        <v>#N/A</v>
      </c>
    </row>
    <row r="568" spans="1:47" ht="15" customHeight="1">
      <c r="A568" s="601" t="e">
        <f>Kat.!#REF!</f>
        <v>#REF!</v>
      </c>
      <c r="B568" s="601">
        <f t="shared" si="242"/>
        <v>1</v>
      </c>
      <c r="C568" s="775" t="s">
        <v>11814</v>
      </c>
      <c r="D568" s="776"/>
      <c r="E568" s="760"/>
      <c r="F568" s="761"/>
      <c r="G568" s="762"/>
      <c r="H568" s="596"/>
      <c r="I568" s="797"/>
      <c r="J568" s="764"/>
      <c r="K568" s="774"/>
      <c r="L568" s="782"/>
      <c r="M568" s="764"/>
      <c r="N568" s="767"/>
      <c r="O568" s="763"/>
      <c r="P568" s="763"/>
      <c r="Q568" s="764"/>
      <c r="R568" s="764"/>
      <c r="S568" s="764"/>
      <c r="T568" s="764"/>
      <c r="U568" s="768"/>
      <c r="V568" s="768"/>
      <c r="W568" s="769" t="str">
        <f>IFERROR(VLOOKUP('General price list'!$C568,Popisy!A:P,MATCH($W$17,Popisy!$A$7:$P$7,0),FALSE),"---------------")</f>
        <v>Karton mit Produktdesign</v>
      </c>
      <c r="X568" s="769" t="str">
        <f t="shared" si="259"/>
        <v/>
      </c>
      <c r="Y568" s="770">
        <f>IF(OR(AP568&lt;AA568,AND(NOT(OR(LEFT(AB568,3)="SKL",LEFT(AB568,3)=LEFT($V$2,3))),AA568&gt;0),AND('Deutsche Markt'!$AH$1=FALSE,J568="F4",AA568&gt;0)),"",AA568)</f>
        <v>0</v>
      </c>
      <c r="Z568" s="769"/>
      <c r="AA568" s="771">
        <f>'Deutsche Markt'!AA568</f>
        <v>0</v>
      </c>
      <c r="AB568" s="772" t="str">
        <f>IFERROR(IF(VLOOKUP(C568,[1]List1!$A:$D,2,FALSE)="VYPRODÁNO",$V$9,IF(VLOOKUP(C568,[1]List1!$A:$D,2,FALSE)="DOCHÁZÍ",$V$3,VLOOKUP(C568,[1]List1!$A:$D,2,FALSE))),"OFFLINE!")</f>
        <v>SKLADEM</v>
      </c>
      <c r="AC568" s="772" t="str">
        <f ca="1">IF(AO568="NE",$V$10,IF(AB568=$V$3,IF(AP568&lt;1,$V$8,$V$2&amp;" "&amp;AP568&amp;" "&amp;$V$1),IF(AB568="SKLADEM",$V$6,IFERROR(IF(OR(AB568-TODAY()&gt;21,VLOOKUP(C568,[1]List1!$A:$E,4,FALSE)=0),AB568,DAY(AB568)&amp;"."&amp;MONTH(AB568)&amp;"."&amp;YEAR(AB568)&amp;" "&amp;$V$4&amp;VLOOKUP(C568,[1]List1!$A:$E,4,FALSE)&amp;" "&amp;$V$1),AB568))))</f>
        <v>AUF LAGER</v>
      </c>
      <c r="AD568" s="772" t="str">
        <f t="shared" ca="1" si="260"/>
        <v>AUF LAGER</v>
      </c>
      <c r="AE568" s="605"/>
      <c r="AF568" s="605"/>
      <c r="AG568" s="615"/>
      <c r="AH568" s="616"/>
      <c r="AI568" s="615"/>
      <c r="AJ568" s="617"/>
      <c r="AK568" s="617"/>
      <c r="AL568" s="617"/>
      <c r="AM568" s="617"/>
      <c r="AN568" s="292"/>
      <c r="AO568" s="567" t="str">
        <f t="shared" si="251"/>
        <v/>
      </c>
      <c r="AP568" s="568" t="str">
        <f>IF(AB568=$V$3,IF(VLOOKUP(C568,[1]List1!$A:$E,5,FALSE)=0,1,VLOOKUP(C568,[1]List1!$A:$E,5,FALSE)),"")</f>
        <v/>
      </c>
      <c r="AQ568" s="292" t="str">
        <f t="shared" si="252"/>
        <v/>
      </c>
      <c r="AR568" s="618" t="str">
        <f t="shared" si="253"/>
        <v/>
      </c>
      <c r="AS568" s="292" t="str">
        <f t="shared" si="254"/>
        <v/>
      </c>
      <c r="AT568" s="377" t="e">
        <f t="shared" si="255"/>
        <v>#N/A</v>
      </c>
      <c r="AU568" s="292" t="e">
        <f t="shared" si="256"/>
        <v>#N/A</v>
      </c>
    </row>
    <row r="569" spans="1:47" ht="15" customHeight="1">
      <c r="A569" s="601" t="e">
        <f>Kat.!#REF!</f>
        <v>#REF!</v>
      </c>
      <c r="B569" s="601">
        <f t="shared" si="242"/>
        <v>1</v>
      </c>
      <c r="C569" s="783" t="s">
        <v>11815</v>
      </c>
      <c r="D569" s="783"/>
      <c r="E569" s="764"/>
      <c r="F569" s="761"/>
      <c r="G569" s="762"/>
      <c r="H569" s="596"/>
      <c r="I569" s="787"/>
      <c r="J569" s="764"/>
      <c r="K569" s="781"/>
      <c r="L569" s="787"/>
      <c r="M569" s="764"/>
      <c r="N569" s="784"/>
      <c r="O569" s="784"/>
      <c r="P569" s="763"/>
      <c r="Q569" s="764"/>
      <c r="R569" s="764"/>
      <c r="S569" s="764"/>
      <c r="T569" s="764"/>
      <c r="U569" s="768"/>
      <c r="V569" s="768"/>
      <c r="W569" s="769"/>
      <c r="X569" s="769"/>
      <c r="Y569" s="770">
        <f>IF(OR(AP569&lt;AA569,AND(NOT(OR(LEFT(AB569,3)="SKL",LEFT(AB569,3)=LEFT($V$2,3))),AA569&gt;0),AND('Deutsche Markt'!$AH$1=FALSE,J569="F4",AA569&gt;0)),"",AA569)</f>
        <v>0</v>
      </c>
      <c r="Z569" s="769"/>
      <c r="AA569" s="771">
        <f>'Deutsche Markt'!AA569</f>
        <v>0</v>
      </c>
      <c r="AB569" s="772"/>
      <c r="AC569" s="772"/>
      <c r="AD569" s="772"/>
      <c r="AE569" s="605"/>
      <c r="AF569" s="605"/>
      <c r="AG569" s="615"/>
      <c r="AH569" s="616"/>
      <c r="AI569" s="615"/>
      <c r="AJ569" s="617"/>
      <c r="AK569" s="617"/>
      <c r="AL569" s="617"/>
      <c r="AM569" s="617"/>
      <c r="AN569" s="292"/>
      <c r="AO569" s="567" t="str">
        <f t="shared" si="251"/>
        <v/>
      </c>
      <c r="AP569" s="568" t="str">
        <f>IF(AB569=$V$3,IF(VLOOKUP(C569,[1]List1!$A:$E,5,FALSE)=0,1,VLOOKUP(C569,[1]List1!$A:$E,5,FALSE)),"")</f>
        <v/>
      </c>
      <c r="AQ569" s="292" t="str">
        <f t="shared" si="252"/>
        <v/>
      </c>
      <c r="AR569" s="618" t="str">
        <f t="shared" si="253"/>
        <v/>
      </c>
      <c r="AS569" s="292" t="str">
        <f t="shared" si="254"/>
        <v/>
      </c>
      <c r="AT569" s="377" t="e">
        <f t="shared" si="255"/>
        <v>#N/A</v>
      </c>
      <c r="AU569" s="292" t="e">
        <f t="shared" si="256"/>
        <v>#N/A</v>
      </c>
    </row>
    <row r="570" spans="1:47" ht="15" customHeight="1">
      <c r="A570" s="601" t="e">
        <f>Kat.!#REF!</f>
        <v>#REF!</v>
      </c>
      <c r="B570" s="601">
        <f t="shared" si="242"/>
        <v>1</v>
      </c>
      <c r="C570" s="783" t="s">
        <v>12103</v>
      </c>
      <c r="D570" s="800"/>
      <c r="E570" s="760"/>
      <c r="F570" s="761"/>
      <c r="G570" s="762"/>
      <c r="H570" s="596"/>
      <c r="I570" s="797"/>
      <c r="J570" s="764"/>
      <c r="K570" s="774"/>
      <c r="L570" s="766"/>
      <c r="M570" s="764"/>
      <c r="N570" s="767"/>
      <c r="O570" s="763"/>
      <c r="P570" s="763"/>
      <c r="Q570" s="764"/>
      <c r="R570" s="764"/>
      <c r="S570" s="764"/>
      <c r="T570" s="764"/>
      <c r="U570" s="768"/>
      <c r="V570" s="768"/>
      <c r="W570" s="769" t="str">
        <f>IFERROR(VLOOKUP('General price list'!$C570,Popisy!A:P,MATCH($W$17,Popisy!$A$7:$P$7,0),FALSE),"---------------")</f>
        <v>Karton mit Produktdesign</v>
      </c>
      <c r="X570" s="769" t="str">
        <f t="shared" ref="X570:X577" si="261">IF(AA570&lt;0.0001,"",AA570)</f>
        <v/>
      </c>
      <c r="Y570" s="770">
        <f>IF(OR(AP570&lt;AA570,AND(NOT(OR(LEFT(AB570,3)="SKL",LEFT(AB570,3)=LEFT($V$2,3))),AA570&gt;0),AND('Deutsche Markt'!$AH$1=FALSE,J570="F4",AA570&gt;0)),"",AA570)</f>
        <v>0</v>
      </c>
      <c r="Z570" s="769"/>
      <c r="AA570" s="771">
        <f>'Deutsche Markt'!AA570</f>
        <v>0</v>
      </c>
      <c r="AB570" s="772" t="str">
        <f>IFERROR(IF(VLOOKUP(C570,[1]List1!$A:$D,2,FALSE)="VYPRODÁNO",$V$9,IF(VLOOKUP(C570,[1]List1!$A:$D,2,FALSE)="DOCHÁZÍ",$V$3,VLOOKUP(C570,[1]List1!$A:$D,2,FALSE))),"OFFLINE!")</f>
        <v>SKLADEM</v>
      </c>
      <c r="AC570" s="772" t="str">
        <f ca="1">IF(AO570="NE",$V$10,IF(AB570=$V$3,IF(AP570&lt;1,$V$8,$V$2&amp;" "&amp;AP570&amp;" "&amp;$V$1),IF(AB570="SKLADEM",$V$6,IFERROR(IF(OR(AB570-TODAY()&gt;21,VLOOKUP(C570,[1]List1!$A:$E,4,FALSE)=0),AB570,DAY(AB570)&amp;"."&amp;MONTH(AB570)&amp;"."&amp;YEAR(AB570)&amp;" "&amp;$V$4&amp;VLOOKUP(C570,[1]List1!$A:$E,4,FALSE)&amp;" "&amp;$V$1),AB570))))</f>
        <v>AUF LAGER</v>
      </c>
      <c r="AD570" s="772" t="str">
        <f t="shared" ref="AD570:AD577" ca="1" si="262">IFERROR(IF(AU570&lt;&gt;"",AU570,AC570),AC570)</f>
        <v>AUF LAGER</v>
      </c>
      <c r="AE570" s="605"/>
      <c r="AF570" s="605"/>
      <c r="AG570" s="615"/>
      <c r="AH570" s="616"/>
      <c r="AI570" s="615"/>
      <c r="AJ570" s="617"/>
      <c r="AK570" s="617"/>
      <c r="AL570" s="617"/>
      <c r="AM570" s="617"/>
      <c r="AN570" s="292"/>
      <c r="AO570" s="567" t="str">
        <f t="shared" si="251"/>
        <v/>
      </c>
      <c r="AP570" s="568" t="str">
        <f>IF(AB570=$V$3,IF(VLOOKUP(C570,[1]List1!$A:$E,5,FALSE)=0,1,VLOOKUP(C570,[1]List1!$A:$E,5,FALSE)),"")</f>
        <v/>
      </c>
      <c r="AQ570" s="292" t="str">
        <f t="shared" si="252"/>
        <v/>
      </c>
      <c r="AR570" s="618" t="str">
        <f t="shared" si="253"/>
        <v/>
      </c>
      <c r="AS570" s="292" t="str">
        <f t="shared" si="254"/>
        <v/>
      </c>
      <c r="AT570" s="377" t="e">
        <f t="shared" si="255"/>
        <v>#N/A</v>
      </c>
      <c r="AU570" s="292" t="e">
        <f t="shared" si="256"/>
        <v>#N/A</v>
      </c>
    </row>
    <row r="571" spans="1:47" ht="15" customHeight="1">
      <c r="A571" s="601" t="e">
        <f>Kat.!#REF!</f>
        <v>#REF!</v>
      </c>
      <c r="B571" s="601">
        <f t="shared" si="242"/>
        <v>1</v>
      </c>
      <c r="C571" s="778" t="s">
        <v>11817</v>
      </c>
      <c r="D571" s="778"/>
      <c r="E571" s="778"/>
      <c r="F571" s="779"/>
      <c r="G571" s="778"/>
      <c r="H571" s="778"/>
      <c r="I571" s="778"/>
      <c r="J571" s="778"/>
      <c r="K571" s="781"/>
      <c r="L571" s="778"/>
      <c r="M571" s="778"/>
      <c r="N571" s="778"/>
      <c r="O571" s="778"/>
      <c r="P571" s="778"/>
      <c r="Q571" s="778"/>
      <c r="R571" s="778"/>
      <c r="S571" s="778"/>
      <c r="T571" s="778"/>
      <c r="U571" s="778"/>
      <c r="V571" s="778"/>
      <c r="W571" s="778" t="str">
        <f>IFERROR(VLOOKUP('General price list'!$C571,Popisy!A:P,MATCH($W$17,Popisy!$A$7:$P$7,0),FALSE),"---------------")</f>
        <v>Karton mit Produktdesign</v>
      </c>
      <c r="X571" s="778" t="str">
        <f t="shared" si="261"/>
        <v/>
      </c>
      <c r="Y571" s="770">
        <f>IF(OR(AP571&lt;AA571,AND(NOT(OR(LEFT(AB571,3)="SKL",LEFT(AB571,3)=LEFT($V$2,3))),AA571&gt;0),AND('Deutsche Markt'!$AH$1=FALSE,J571="F4",AA571&gt;0)),"",AA571)</f>
        <v>0</v>
      </c>
      <c r="Z571" s="778"/>
      <c r="AA571" s="771">
        <f>'Deutsche Markt'!AA571</f>
        <v>0</v>
      </c>
      <c r="AB571" s="778" t="str">
        <f>IFERROR(IF(VLOOKUP(C571,[1]List1!$A:$D,2,FALSE)="VYPRODÁNO",$V$9,IF(VLOOKUP(C571,[1]List1!$A:$D,2,FALSE)="DOCHÁZÍ",$V$3,VLOOKUP(C571,[1]List1!$A:$D,2,FALSE))),"OFFLINE!")</f>
        <v>SKLADEM</v>
      </c>
      <c r="AC571" s="778" t="str">
        <f ca="1">IF(AO571="NE",$V$10,IF(AB571=$V$3,IF(AP571&lt;1,$V$8,$V$2&amp;" "&amp;AP571&amp;" "&amp;$V$1),IF(AB571="SKLADEM",$V$6,IFERROR(IF(OR(AB571-TODAY()&gt;21,VLOOKUP(C571,[1]List1!$A:$E,4,FALSE)=0),AB571,DAY(AB571)&amp;"."&amp;MONTH(AB571)&amp;"."&amp;YEAR(AB571)&amp;" "&amp;$V$4&amp;VLOOKUP(C571,[1]List1!$A:$E,4,FALSE)&amp;" "&amp;$V$1),AB571))))</f>
        <v>AUF LAGER</v>
      </c>
      <c r="AD571" s="778" t="str">
        <f t="shared" ca="1" si="262"/>
        <v>AUF LAGER</v>
      </c>
      <c r="AE571" s="599"/>
      <c r="AF571" s="599"/>
      <c r="AG571" s="599"/>
      <c r="AH571" s="599"/>
      <c r="AI571" s="599"/>
      <c r="AJ571" s="599"/>
      <c r="AK571" s="599"/>
      <c r="AL571" s="599"/>
      <c r="AM571" s="599"/>
      <c r="AN571" s="566"/>
      <c r="AO571" s="567" t="str">
        <f t="shared" si="251"/>
        <v/>
      </c>
      <c r="AP571" s="568" t="str">
        <f>IF(AB571=$V$3,IF(VLOOKUP(C571,[1]List1!$A:$E,5,FALSE)=0,1,VLOOKUP(C571,[1]List1!$A:$E,5,FALSE)),"")</f>
        <v/>
      </c>
      <c r="AQ571" s="292" t="str">
        <f t="shared" si="252"/>
        <v/>
      </c>
      <c r="AR571" s="618" t="str">
        <f t="shared" si="253"/>
        <v/>
      </c>
      <c r="AS571" s="292" t="str">
        <f t="shared" si="254"/>
        <v/>
      </c>
      <c r="AT571" s="377" t="e">
        <f t="shared" si="255"/>
        <v>#N/A</v>
      </c>
      <c r="AU571" s="292" t="e">
        <f t="shared" si="256"/>
        <v>#N/A</v>
      </c>
    </row>
    <row r="572" spans="1:47" ht="15" customHeight="1">
      <c r="A572" s="601" t="e">
        <f>Kat.!$B$1&amp;Kat.!#REF!</f>
        <v>#REF!</v>
      </c>
      <c r="B572" s="601">
        <f t="shared" si="242"/>
        <v>1</v>
      </c>
      <c r="C572" s="620" t="s">
        <v>11818</v>
      </c>
      <c r="D572" s="235"/>
      <c r="E572" s="604"/>
      <c r="F572" s="605"/>
      <c r="G572" s="606"/>
      <c r="H572" s="607"/>
      <c r="I572" s="636"/>
      <c r="J572" s="609"/>
      <c r="K572" s="708"/>
      <c r="L572" s="623"/>
      <c r="M572" s="609"/>
      <c r="N572" s="612"/>
      <c r="O572" s="608"/>
      <c r="P572" s="608"/>
      <c r="Q572" s="609"/>
      <c r="R572" s="609"/>
      <c r="S572" s="609"/>
      <c r="T572" s="609"/>
      <c r="U572" s="613"/>
      <c r="V572" s="613"/>
      <c r="W572" s="601" t="str">
        <f>IFERROR(VLOOKUP('General price list'!$C572,Popisy!A:P,MATCH($W$17,Popisy!$A$7:$P$7,0),FALSE),"---------------")</f>
        <v>Karton mit Produktdesign</v>
      </c>
      <c r="X572" s="601" t="str">
        <f t="shared" si="261"/>
        <v/>
      </c>
      <c r="Y572" s="770">
        <f>IF(OR(AP572&lt;AA572,AND(NOT(OR(LEFT(AB572,3)="SKL",LEFT(AB572,3)=LEFT($V$2,3))),AA572&gt;0),AND('Deutsche Markt'!$AH$1=FALSE,J572="F4",AA572&gt;0)),"",AA572)</f>
        <v>0</v>
      </c>
      <c r="Z572" s="601"/>
      <c r="AA572" s="771">
        <f>'Deutsche Markt'!AA572</f>
        <v>0</v>
      </c>
      <c r="AB572" s="614" t="str">
        <f>IFERROR(IF(VLOOKUP(C572,[1]List1!$A:$D,2,FALSE)="VYPRODÁNO",$V$9,IF(VLOOKUP(C572,[1]List1!$A:$D,2,FALSE)="DOCHÁZÍ",$V$3,VLOOKUP(C572,[1]List1!$A:$D,2,FALSE))),"OFFLINE!")</f>
        <v>SKLADEM</v>
      </c>
      <c r="AC572" s="614" t="str">
        <f ca="1">IF(AO572="NE",$V$10,IF(AB572=$V$3,IF(AP572&lt;1,$V$8,$V$2&amp;" "&amp;AP572&amp;" "&amp;$V$1),IF(AB572="SKLADEM",$V$6,IFERROR(IF(OR(AB572-TODAY()&gt;21,VLOOKUP(C572,[1]List1!$A:$E,4,FALSE)=0),AB572,DAY(AB572)&amp;"."&amp;MONTH(AB572)&amp;"."&amp;YEAR(AB572)&amp;" "&amp;$V$4&amp;VLOOKUP(C572,[1]List1!$A:$E,4,FALSE)&amp;" "&amp;$V$1),AB572))))</f>
        <v>AUF LAGER</v>
      </c>
      <c r="AD572" s="614" t="str">
        <f t="shared" ca="1" si="262"/>
        <v>AUF LAGER</v>
      </c>
      <c r="AE572" s="605"/>
      <c r="AF572" s="605"/>
      <c r="AG572" s="615"/>
      <c r="AH572" s="616"/>
      <c r="AI572" s="615"/>
      <c r="AJ572" s="617"/>
      <c r="AK572" s="617"/>
      <c r="AL572" s="617"/>
      <c r="AM572" s="617"/>
      <c r="AN572" s="292"/>
      <c r="AO572" s="567" t="str">
        <f t="shared" si="251"/>
        <v/>
      </c>
      <c r="AP572" s="568" t="str">
        <f>IF(AB572=$V$3,IF(VLOOKUP(C572,[1]List1!$A:$E,5,FALSE)=0,1,VLOOKUP(C572,[1]List1!$A:$E,5,FALSE)),"")</f>
        <v/>
      </c>
      <c r="AQ572" s="292" t="str">
        <f t="shared" si="252"/>
        <v/>
      </c>
      <c r="AR572" s="618" t="str">
        <f t="shared" si="253"/>
        <v/>
      </c>
      <c r="AS572" s="292" t="str">
        <f t="shared" si="254"/>
        <v/>
      </c>
      <c r="AT572" s="377" t="e">
        <f t="shared" si="255"/>
        <v>#N/A</v>
      </c>
      <c r="AU572" s="292" t="e">
        <f t="shared" si="256"/>
        <v>#N/A</v>
      </c>
    </row>
    <row r="573" spans="1:47" ht="15" customHeight="1">
      <c r="A573" s="601" t="e">
        <f>Kat.!#REF!</f>
        <v>#REF!</v>
      </c>
      <c r="B573" s="601">
        <f t="shared" si="242"/>
        <v>1</v>
      </c>
      <c r="C573" s="783" t="s">
        <v>11819</v>
      </c>
      <c r="D573" s="783"/>
      <c r="E573" s="764"/>
      <c r="F573" s="761"/>
      <c r="G573" s="762"/>
      <c r="H573" s="596"/>
      <c r="I573" s="797"/>
      <c r="J573" s="764"/>
      <c r="K573" s="781"/>
      <c r="L573" s="771"/>
      <c r="M573" s="764"/>
      <c r="N573" s="784"/>
      <c r="O573" s="784"/>
      <c r="P573" s="763"/>
      <c r="Q573" s="764"/>
      <c r="R573" s="764"/>
      <c r="S573" s="764"/>
      <c r="T573" s="764"/>
      <c r="U573" s="768"/>
      <c r="V573" s="768"/>
      <c r="W573" s="769" t="str">
        <f>IFERROR(VLOOKUP('General price list'!$C573,Popisy!A:P,MATCH($W$17,Popisy!$A$7:$P$7,0),FALSE),"---------------")</f>
        <v>Karton mit Produktdesign</v>
      </c>
      <c r="X573" s="769" t="str">
        <f t="shared" si="261"/>
        <v/>
      </c>
      <c r="Y573" s="770">
        <f>IF(OR(AP573&lt;AA573,AND(NOT(OR(LEFT(AB573,3)="SKL",LEFT(AB573,3)=LEFT($V$2,3))),AA573&gt;0),AND('Deutsche Markt'!$AH$1=FALSE,J573="F4",AA573&gt;0)),"",AA573)</f>
        <v>0</v>
      </c>
      <c r="Z573" s="769"/>
      <c r="AA573" s="771">
        <f>'Deutsche Markt'!AA573</f>
        <v>0</v>
      </c>
      <c r="AB573" s="772" t="str">
        <f>IFERROR(IF(VLOOKUP(C573,[1]List1!$A:$D,2,FALSE)="VYPRODÁNO",$V$9,IF(VLOOKUP(C573,[1]List1!$A:$D,2,FALSE)="DOCHÁZÍ",$V$3,VLOOKUP(C573,[1]List1!$A:$D,2,FALSE))),"OFFLINE!")</f>
        <v>SKLADEM</v>
      </c>
      <c r="AC573" s="785" t="str">
        <f ca="1">IF(AO573="NE",$V$10,IF(AB573=$V$3,IF(AP573&lt;1,$V$8,$V$2&amp;" "&amp;AP573&amp;" "&amp;$V$1),IF(AB573="SKLADEM",$V$6,IFERROR(IF(OR(AB573-TODAY()&gt;21,VLOOKUP(C573,[1]List1!$A:$E,4,FALSE)=0),AB573,DAY(AB573)&amp;"."&amp;MONTH(AB573)&amp;"."&amp;YEAR(AB573)&amp;" "&amp;$V$4&amp;VLOOKUP(C573,[1]List1!$A:$E,4,FALSE)&amp;" "&amp;$V$1),AB573))))</f>
        <v>AUF LAGER</v>
      </c>
      <c r="AD573" s="785" t="str">
        <f t="shared" ca="1" si="262"/>
        <v>AUF LAGER</v>
      </c>
      <c r="AE573" s="605"/>
      <c r="AF573" s="605"/>
      <c r="AG573" s="615"/>
      <c r="AH573" s="616"/>
      <c r="AI573" s="615"/>
      <c r="AJ573" s="617"/>
      <c r="AK573" s="617"/>
      <c r="AL573" s="617"/>
      <c r="AM573" s="617"/>
      <c r="AN573" s="292"/>
      <c r="AO573" s="567" t="str">
        <f t="shared" si="251"/>
        <v/>
      </c>
      <c r="AP573" s="568" t="str">
        <f>IF(AB573=$V$3,IF(VLOOKUP(C573,[1]List1!$A:$E,5,FALSE)=0,1,VLOOKUP(C573,[1]List1!$A:$E,5,FALSE)),"")</f>
        <v/>
      </c>
      <c r="AQ573" s="292" t="str">
        <f t="shared" si="252"/>
        <v/>
      </c>
      <c r="AR573" s="618" t="str">
        <f t="shared" si="253"/>
        <v/>
      </c>
      <c r="AS573" s="292" t="str">
        <f t="shared" si="254"/>
        <v/>
      </c>
      <c r="AT573" s="377" t="e">
        <f t="shared" si="255"/>
        <v>#N/A</v>
      </c>
      <c r="AU573" s="292" t="e">
        <f t="shared" si="256"/>
        <v>#N/A</v>
      </c>
    </row>
    <row r="574" spans="1:47" ht="15" customHeight="1">
      <c r="A574" s="601" t="e">
        <f>Kat.!#REF!</f>
        <v>#REF!</v>
      </c>
      <c r="B574" s="601">
        <f t="shared" si="242"/>
        <v>1</v>
      </c>
      <c r="C574" s="778" t="s">
        <v>11820</v>
      </c>
      <c r="D574" s="778"/>
      <c r="E574" s="778"/>
      <c r="F574" s="779"/>
      <c r="G574" s="778"/>
      <c r="H574" s="778"/>
      <c r="I574" s="778"/>
      <c r="J574" s="778"/>
      <c r="K574" s="774"/>
      <c r="L574" s="778"/>
      <c r="M574" s="778"/>
      <c r="N574" s="778"/>
      <c r="O574" s="778"/>
      <c r="P574" s="778"/>
      <c r="Q574" s="778"/>
      <c r="R574" s="778"/>
      <c r="S574" s="778"/>
      <c r="T574" s="778"/>
      <c r="U574" s="778"/>
      <c r="V574" s="778"/>
      <c r="W574" s="778" t="str">
        <f>IFERROR(VLOOKUP('General price list'!$C574,Popisy!A:P,MATCH($W$17,Popisy!$A$7:$P$7,0),FALSE),"---------------")</f>
        <v>Karton mit Produktdesign</v>
      </c>
      <c r="X574" s="778" t="str">
        <f t="shared" si="261"/>
        <v/>
      </c>
      <c r="Y574" s="770">
        <f>IF(OR(AP574&lt;AA574,AND(NOT(OR(LEFT(AB574,3)="SKL",LEFT(AB574,3)=LEFT($V$2,3))),AA574&gt;0),AND('Deutsche Markt'!$AH$1=FALSE,J574="F4",AA574&gt;0)),"",AA574)</f>
        <v>0</v>
      </c>
      <c r="Z574" s="778"/>
      <c r="AA574" s="771">
        <f>'Deutsche Markt'!AA574</f>
        <v>0</v>
      </c>
      <c r="AB574" s="778" t="str">
        <f>IFERROR(IF(VLOOKUP(C574,[1]List1!$A:$D,2,FALSE)="VYPRODÁNO",$V$9,IF(VLOOKUP(C574,[1]List1!$A:$D,2,FALSE)="DOCHÁZÍ",$V$3,VLOOKUP(C574,[1]List1!$A:$D,2,FALSE))),"OFFLINE!")</f>
        <v>SKLADEM</v>
      </c>
      <c r="AC574" s="778" t="str">
        <f ca="1">IF(AO574="NE",$V$10,IF(AB574=$V$3,IF(AP574&lt;1,$V$8,$V$2&amp;" "&amp;AP574&amp;" "&amp;$V$1),IF(AB574="SKLADEM",$V$6,IFERROR(IF(OR(AB574-TODAY()&gt;21,VLOOKUP(C574,[1]List1!$A:$E,4,FALSE)=0),AB574,DAY(AB574)&amp;"."&amp;MONTH(AB574)&amp;"."&amp;YEAR(AB574)&amp;" "&amp;$V$4&amp;VLOOKUP(C574,[1]List1!$A:$E,4,FALSE)&amp;" "&amp;$V$1),AB574))))</f>
        <v>AUF LAGER</v>
      </c>
      <c r="AD574" s="778" t="str">
        <f t="shared" ca="1" si="262"/>
        <v>AUF LAGER</v>
      </c>
      <c r="AE574" s="599"/>
      <c r="AF574" s="599"/>
      <c r="AG574" s="599"/>
      <c r="AH574" s="599"/>
      <c r="AI574" s="599"/>
      <c r="AJ574" s="599"/>
      <c r="AK574" s="599"/>
      <c r="AL574" s="599"/>
      <c r="AM574" s="599"/>
      <c r="AN574" s="566"/>
      <c r="AO574" s="567" t="str">
        <f t="shared" si="251"/>
        <v/>
      </c>
      <c r="AP574" s="568" t="str">
        <f>IF(AB574=$V$3,IF(VLOOKUP(C574,[1]List1!$A:$E,5,FALSE)=0,1,VLOOKUP(C574,[1]List1!$A:$E,5,FALSE)),"")</f>
        <v/>
      </c>
      <c r="AQ574" s="292" t="str">
        <f t="shared" si="252"/>
        <v/>
      </c>
      <c r="AR574" s="618" t="str">
        <f t="shared" si="253"/>
        <v/>
      </c>
      <c r="AS574" s="292" t="str">
        <f t="shared" si="254"/>
        <v/>
      </c>
      <c r="AT574" s="377" t="e">
        <f t="shared" si="255"/>
        <v>#N/A</v>
      </c>
      <c r="AU574" s="292" t="e">
        <f t="shared" si="256"/>
        <v>#N/A</v>
      </c>
    </row>
    <row r="575" spans="1:47" ht="15" customHeight="1">
      <c r="A575" s="601" t="e">
        <f>Kat.!#REF!</f>
        <v>#REF!</v>
      </c>
      <c r="B575" s="601">
        <f t="shared" si="242"/>
        <v>1</v>
      </c>
      <c r="C575" s="783" t="s">
        <v>11821</v>
      </c>
      <c r="D575" s="783"/>
      <c r="E575" s="764"/>
      <c r="F575" s="761"/>
      <c r="G575" s="762"/>
      <c r="H575" s="595"/>
      <c r="I575" s="764"/>
      <c r="J575" s="764"/>
      <c r="K575" s="781"/>
      <c r="L575" s="764"/>
      <c r="M575" s="764"/>
      <c r="N575" s="764"/>
      <c r="O575" s="764"/>
      <c r="P575" s="764"/>
      <c r="Q575" s="764"/>
      <c r="R575" s="764"/>
      <c r="S575" s="764"/>
      <c r="T575" s="764"/>
      <c r="U575" s="764"/>
      <c r="V575" s="764"/>
      <c r="W575" s="764" t="str">
        <f>IFERROR(VLOOKUP('General price list'!$C575,Popisy!A:P,MATCH($W$17,Popisy!$A$7:$P$7,0),FALSE),"---------------")</f>
        <v>Karton mit Produktdesign</v>
      </c>
      <c r="X575" s="764" t="str">
        <f t="shared" si="261"/>
        <v/>
      </c>
      <c r="Y575" s="770">
        <f>IF(OR(AP575&lt;AA575,AND(NOT(OR(LEFT(AB575,3)="SKL",LEFT(AB575,3)=LEFT($V$2,3))),AA575&gt;0),AND('Deutsche Markt'!$AH$1=FALSE,J575="F4",AA575&gt;0)),"",AA575)</f>
        <v>0</v>
      </c>
      <c r="Z575" s="764"/>
      <c r="AA575" s="771">
        <f>'Deutsche Markt'!AA575</f>
        <v>0</v>
      </c>
      <c r="AB575" s="772" t="str">
        <f>IFERROR(IF(VLOOKUP(C575,[1]List1!$A:$D,2,FALSE)="VYPRODÁNO",$V$9,IF(VLOOKUP(C575,[1]List1!$A:$D,2,FALSE)="DOCHÁZÍ",$V$3,VLOOKUP(C575,[1]List1!$A:$D,2,FALSE))),"OFFLINE!")</f>
        <v>SKLADEM</v>
      </c>
      <c r="AC575" s="785" t="str">
        <f ca="1">IF(AO575="NE",$V$10,IF(AB575=$V$3,IF(AP575&lt;1,$V$8,$V$2&amp;" "&amp;AP575&amp;" "&amp;$V$1),IF(AB575="SKLADEM",$V$6,IFERROR(IF(OR(AB575-TODAY()&gt;21,VLOOKUP(C575,[1]List1!$A:$E,4,FALSE)=0),AB575,DAY(AB575)&amp;"."&amp;MONTH(AB575)&amp;"."&amp;YEAR(AB575)&amp;" "&amp;$V$4&amp;VLOOKUP(C575,[1]List1!$A:$E,4,FALSE)&amp;" "&amp;$V$1),AB575))))</f>
        <v>AUF LAGER</v>
      </c>
      <c r="AD575" s="785" t="str">
        <f t="shared" ca="1" si="262"/>
        <v>AUF LAGER</v>
      </c>
      <c r="AE575" s="609"/>
      <c r="AF575" s="609"/>
      <c r="AG575" s="627"/>
      <c r="AH575" s="609"/>
      <c r="AI575" s="627"/>
      <c r="AJ575" s="609"/>
      <c r="AK575" s="609"/>
      <c r="AL575" s="609"/>
      <c r="AM575" s="627"/>
      <c r="AO575" s="567" t="str">
        <f t="shared" si="251"/>
        <v/>
      </c>
      <c r="AP575" s="568" t="str">
        <f>IF(AB575=$V$3,IF(VLOOKUP(C575,[1]List1!$A:$E,5,FALSE)=0,1,VLOOKUP(C575,[1]List1!$A:$E,5,FALSE)),"")</f>
        <v/>
      </c>
      <c r="AQ575" s="292" t="str">
        <f t="shared" si="252"/>
        <v/>
      </c>
      <c r="AR575" s="618" t="str">
        <f t="shared" si="253"/>
        <v/>
      </c>
      <c r="AS575" s="292" t="str">
        <f t="shared" si="254"/>
        <v/>
      </c>
      <c r="AT575" s="377" t="e">
        <f t="shared" si="255"/>
        <v>#N/A</v>
      </c>
      <c r="AU575" s="292" t="e">
        <f t="shared" si="256"/>
        <v>#N/A</v>
      </c>
    </row>
    <row r="576" spans="1:47" ht="15" customHeight="1">
      <c r="A576" s="601" t="e">
        <f>Kat.!#REF!</f>
        <v>#REF!</v>
      </c>
      <c r="B576" s="601">
        <f t="shared" si="242"/>
        <v>1</v>
      </c>
      <c r="C576" s="775" t="s">
        <v>11822</v>
      </c>
      <c r="D576" s="776"/>
      <c r="E576" s="760"/>
      <c r="F576" s="761"/>
      <c r="G576" s="762"/>
      <c r="H576" s="596"/>
      <c r="I576" s="797"/>
      <c r="J576" s="764"/>
      <c r="K576" s="774"/>
      <c r="L576" s="782"/>
      <c r="M576" s="764"/>
      <c r="N576" s="767"/>
      <c r="O576" s="763"/>
      <c r="P576" s="763"/>
      <c r="Q576" s="764"/>
      <c r="R576" s="764"/>
      <c r="S576" s="764"/>
      <c r="T576" s="764"/>
      <c r="U576" s="768"/>
      <c r="V576" s="768"/>
      <c r="W576" s="769" t="str">
        <f>IFERROR(VLOOKUP('General price list'!$C576,Popisy!A:P,MATCH($W$17,Popisy!$A$7:$P$7,0),FALSE),"---------------")</f>
        <v>Karton mit Produktdesign</v>
      </c>
      <c r="X576" s="769" t="str">
        <f t="shared" si="261"/>
        <v/>
      </c>
      <c r="Y576" s="770">
        <f>IF(OR(AP576&lt;AA576,AND(NOT(OR(LEFT(AB576,3)="SKL",LEFT(AB576,3)=LEFT($V$2,3))),AA576&gt;0),AND('Deutsche Markt'!$AH$1=FALSE,J576="F4",AA576&gt;0)),"",AA576)</f>
        <v>0</v>
      </c>
      <c r="Z576" s="769"/>
      <c r="AA576" s="771">
        <f>'Deutsche Markt'!AA576</f>
        <v>0</v>
      </c>
      <c r="AB576" s="772" t="str">
        <f>IFERROR(IF(VLOOKUP(C576,[1]List1!$A:$D,2,FALSE)="VYPRODÁNO",$V$9,IF(VLOOKUP(C576,[1]List1!$A:$D,2,FALSE)="DOCHÁZÍ",$V$3,VLOOKUP(C576,[1]List1!$A:$D,2,FALSE))),"OFFLINE!")</f>
        <v>SKLADEM</v>
      </c>
      <c r="AC576" s="772" t="str">
        <f ca="1">IF(AO576="NE",$V$10,IF(AB576=$V$3,IF(AP576&lt;1,$V$8,$V$2&amp;" "&amp;AP576&amp;" "&amp;$V$1),IF(AB576="SKLADEM",$V$6,IFERROR(IF(OR(AB576-TODAY()&gt;21,VLOOKUP(C576,[1]List1!$A:$E,4,FALSE)=0),AB576,DAY(AB576)&amp;"."&amp;MONTH(AB576)&amp;"."&amp;YEAR(AB576)&amp;" "&amp;$V$4&amp;VLOOKUP(C576,[1]List1!$A:$E,4,FALSE)&amp;" "&amp;$V$1),AB576))))</f>
        <v>AUF LAGER</v>
      </c>
      <c r="AD576" s="772" t="str">
        <f t="shared" ca="1" si="262"/>
        <v>AUF LAGER</v>
      </c>
      <c r="AE576" s="605"/>
      <c r="AF576" s="605"/>
      <c r="AG576" s="615"/>
      <c r="AH576" s="616"/>
      <c r="AI576" s="615"/>
      <c r="AJ576" s="617"/>
      <c r="AK576" s="617"/>
      <c r="AL576" s="617"/>
      <c r="AM576" s="617"/>
      <c r="AN576" s="292"/>
      <c r="AO576" s="567" t="str">
        <f t="shared" si="251"/>
        <v/>
      </c>
      <c r="AP576" s="568" t="str">
        <f>IF(AB576=$V$3,IF(VLOOKUP(C576,[1]List1!$A:$E,5,FALSE)=0,1,VLOOKUP(C576,[1]List1!$A:$E,5,FALSE)),"")</f>
        <v/>
      </c>
      <c r="AQ576" s="292" t="str">
        <f t="shared" si="252"/>
        <v/>
      </c>
      <c r="AR576" s="618" t="str">
        <f t="shared" si="253"/>
        <v/>
      </c>
      <c r="AS576" s="292" t="str">
        <f t="shared" si="254"/>
        <v/>
      </c>
      <c r="AT576" s="377" t="e">
        <f t="shared" si="255"/>
        <v>#N/A</v>
      </c>
      <c r="AU576" s="292" t="e">
        <f t="shared" si="256"/>
        <v>#N/A</v>
      </c>
    </row>
    <row r="577" spans="1:47" ht="15" customHeight="1">
      <c r="A577" s="601" t="e">
        <f>Kat.!#REF!</f>
        <v>#REF!</v>
      </c>
      <c r="B577" s="601">
        <f t="shared" si="242"/>
        <v>1</v>
      </c>
      <c r="C577" s="783" t="s">
        <v>11824</v>
      </c>
      <c r="D577" s="783"/>
      <c r="E577" s="764"/>
      <c r="F577" s="761"/>
      <c r="G577" s="762"/>
      <c r="H577" s="596"/>
      <c r="I577" s="797"/>
      <c r="J577" s="764"/>
      <c r="K577" s="781"/>
      <c r="L577" s="771"/>
      <c r="M577" s="764"/>
      <c r="N577" s="784"/>
      <c r="O577" s="784"/>
      <c r="P577" s="763"/>
      <c r="Q577" s="764"/>
      <c r="R577" s="764"/>
      <c r="S577" s="764"/>
      <c r="T577" s="764"/>
      <c r="U577" s="768"/>
      <c r="V577" s="768"/>
      <c r="W577" s="769" t="str">
        <f>IFERROR(VLOOKUP('General price list'!$C577,Popisy!A:P,MATCH($W$17,Popisy!$A$7:$P$7,0),FALSE),"---------------")</f>
        <v>Karton mit Produktdesign</v>
      </c>
      <c r="X577" s="769" t="str">
        <f t="shared" si="261"/>
        <v/>
      </c>
      <c r="Y577" s="770">
        <f>IF(OR(AP577&lt;AA577,AND(NOT(OR(LEFT(AB577,3)="SKL",LEFT(AB577,3)=LEFT($V$2,3))),AA577&gt;0),AND('Deutsche Markt'!$AH$1=FALSE,J577="F4",AA577&gt;0)),"",AA577)</f>
        <v>0</v>
      </c>
      <c r="Z577" s="769"/>
      <c r="AA577" s="771">
        <f>'Deutsche Markt'!AA577</f>
        <v>0</v>
      </c>
      <c r="AB577" s="772" t="str">
        <f>IFERROR(IF(VLOOKUP(C577,[1]List1!$A:$D,2,FALSE)="VYPRODÁNO",$V$9,IF(VLOOKUP(C577,[1]List1!$A:$D,2,FALSE)="DOCHÁZÍ",$V$3,VLOOKUP(C577,[1]List1!$A:$D,2,FALSE))),"OFFLINE!")</f>
        <v>SKLADEM</v>
      </c>
      <c r="AC577" s="785" t="str">
        <f ca="1">IF(AO577="NE",$V$10,IF(AB577=$V$3,IF(AP577&lt;1,$V$8,$V$2&amp;" "&amp;AP577&amp;" "&amp;$V$1),IF(AB577="SKLADEM",$V$6,IFERROR(IF(OR(AB577-TODAY()&gt;21,VLOOKUP(C577,[1]List1!$A:$E,4,FALSE)=0),AB577,DAY(AB577)&amp;"."&amp;MONTH(AB577)&amp;"."&amp;YEAR(AB577)&amp;" "&amp;$V$4&amp;VLOOKUP(C577,[1]List1!$A:$E,4,FALSE)&amp;" "&amp;$V$1),AB577))))</f>
        <v>AUF LAGER</v>
      </c>
      <c r="AD577" s="785" t="str">
        <f t="shared" ca="1" si="262"/>
        <v>AUF LAGER</v>
      </c>
      <c r="AE577" s="605"/>
      <c r="AF577" s="605"/>
      <c r="AG577" s="615"/>
      <c r="AH577" s="616"/>
      <c r="AI577" s="615"/>
      <c r="AJ577" s="617"/>
      <c r="AK577" s="617"/>
      <c r="AL577" s="617"/>
      <c r="AM577" s="617"/>
      <c r="AN577" s="292"/>
      <c r="AO577" s="567" t="str">
        <f t="shared" si="251"/>
        <v/>
      </c>
      <c r="AP577" s="568" t="str">
        <f>IF(AB577=$V$3,IF(VLOOKUP(C577,[1]List1!$A:$E,5,FALSE)=0,1,VLOOKUP(C577,[1]List1!$A:$E,5,FALSE)),"")</f>
        <v/>
      </c>
      <c r="AQ577" s="292" t="str">
        <f t="shared" si="252"/>
        <v/>
      </c>
      <c r="AR577" s="618" t="str">
        <f t="shared" si="253"/>
        <v/>
      </c>
      <c r="AS577" s="292" t="str">
        <f t="shared" si="254"/>
        <v/>
      </c>
      <c r="AT577" s="377" t="e">
        <f t="shared" si="255"/>
        <v>#N/A</v>
      </c>
      <c r="AU577" s="292" t="e">
        <f t="shared" si="256"/>
        <v>#N/A</v>
      </c>
    </row>
    <row r="578" spans="1:47" ht="15" customHeight="1">
      <c r="A578" s="601" t="e">
        <f>Kat.!#REF!</f>
        <v>#REF!</v>
      </c>
      <c r="B578" s="601">
        <f t="shared" si="242"/>
        <v>1</v>
      </c>
      <c r="C578" s="783" t="s">
        <v>11825</v>
      </c>
      <c r="D578" s="783"/>
      <c r="E578" s="764"/>
      <c r="F578" s="761"/>
      <c r="G578" s="762"/>
      <c r="H578" s="595"/>
      <c r="I578" s="764"/>
      <c r="J578" s="764"/>
      <c r="K578" s="774"/>
      <c r="L578" s="764"/>
      <c r="M578" s="764"/>
      <c r="N578" s="764"/>
      <c r="O578" s="764"/>
      <c r="P578" s="764"/>
      <c r="Q578" s="764"/>
      <c r="R578" s="764"/>
      <c r="S578" s="764"/>
      <c r="T578" s="764"/>
      <c r="U578" s="764"/>
      <c r="V578" s="764"/>
      <c r="W578" s="764"/>
      <c r="X578" s="764"/>
      <c r="Y578" s="770">
        <f>IF(OR(AP578&lt;AA578,AND(NOT(OR(LEFT(AB578,3)="SKL",LEFT(AB578,3)=LEFT($V$2,3))),AA578&gt;0),AND('Deutsche Markt'!$AH$1=FALSE,J578="F4",AA578&gt;0)),"",AA578)</f>
        <v>0</v>
      </c>
      <c r="Z578" s="764"/>
      <c r="AA578" s="771">
        <f>'Deutsche Markt'!AA578</f>
        <v>0</v>
      </c>
      <c r="AB578" s="772"/>
      <c r="AC578" s="785"/>
      <c r="AD578" s="785"/>
      <c r="AE578" s="609"/>
      <c r="AF578" s="609"/>
      <c r="AG578" s="627"/>
      <c r="AH578" s="609"/>
      <c r="AI578" s="627"/>
      <c r="AJ578" s="609"/>
      <c r="AK578" s="609"/>
      <c r="AL578" s="609"/>
      <c r="AM578" s="627"/>
      <c r="AO578" s="567" t="str">
        <f t="shared" si="251"/>
        <v/>
      </c>
      <c r="AP578" s="568" t="str">
        <f>IF(AB578=$V$3,IF(VLOOKUP(C578,[1]List1!$A:$E,5,FALSE)=0,1,VLOOKUP(C578,[1]List1!$A:$E,5,FALSE)),"")</f>
        <v/>
      </c>
      <c r="AQ578" s="292" t="str">
        <f t="shared" si="252"/>
        <v/>
      </c>
      <c r="AR578" s="618" t="str">
        <f t="shared" si="253"/>
        <v/>
      </c>
      <c r="AS578" s="292" t="str">
        <f t="shared" si="254"/>
        <v/>
      </c>
      <c r="AT578" s="377" t="e">
        <f t="shared" si="255"/>
        <v>#N/A</v>
      </c>
      <c r="AU578" s="292" t="e">
        <f t="shared" si="256"/>
        <v>#N/A</v>
      </c>
    </row>
    <row r="579" spans="1:47" ht="15" customHeight="1">
      <c r="A579" s="601" t="e">
        <f>Kat.!#REF!</f>
        <v>#REF!</v>
      </c>
      <c r="B579" s="601">
        <f t="shared" si="242"/>
        <v>1</v>
      </c>
      <c r="C579" s="778" t="s">
        <v>11826</v>
      </c>
      <c r="D579" s="778"/>
      <c r="E579" s="778"/>
      <c r="F579" s="779"/>
      <c r="G579" s="778"/>
      <c r="H579" s="778"/>
      <c r="I579" s="778"/>
      <c r="J579" s="778"/>
      <c r="K579" s="781"/>
      <c r="L579" s="778"/>
      <c r="M579" s="778"/>
      <c r="N579" s="778"/>
      <c r="O579" s="778"/>
      <c r="P579" s="778"/>
      <c r="Q579" s="778"/>
      <c r="R579" s="778"/>
      <c r="S579" s="778"/>
      <c r="T579" s="778"/>
      <c r="U579" s="778"/>
      <c r="V579" s="778"/>
      <c r="W579" s="778" t="str">
        <f>IFERROR(VLOOKUP('General price list'!$C579,Popisy!A:P,MATCH($W$17,Popisy!$A$7:$P$7,0),FALSE),"---------------")</f>
        <v>Karton mit Produktdesign</v>
      </c>
      <c r="X579" s="778" t="str">
        <f t="shared" ref="X579:X586" si="263">IF(AA579&lt;0.0001,"",AA579)</f>
        <v/>
      </c>
      <c r="Y579" s="770">
        <f>IF(OR(AP579&lt;AA579,AND(NOT(OR(LEFT(AB579,3)="SKL",LEFT(AB579,3)=LEFT($V$2,3))),AA579&gt;0),AND('Deutsche Markt'!$AH$1=FALSE,J579="F4",AA579&gt;0)),"",AA579)</f>
        <v>0</v>
      </c>
      <c r="Z579" s="778"/>
      <c r="AA579" s="771">
        <f>'Deutsche Markt'!AA579</f>
        <v>0</v>
      </c>
      <c r="AB579" s="778" t="str">
        <f>IFERROR(IF(VLOOKUP(C579,[1]List1!$A:$D,2,FALSE)="VYPRODÁNO",$V$9,IF(VLOOKUP(C579,[1]List1!$A:$D,2,FALSE)="DOCHÁZÍ",$V$3,VLOOKUP(C579,[1]List1!$A:$D,2,FALSE))),"OFFLINE!")</f>
        <v>SKLADEM</v>
      </c>
      <c r="AC579" s="778" t="str">
        <f ca="1">IF(AO579="NE",$V$10,IF(AB579=$V$3,IF(AP579&lt;1,$V$8,$V$2&amp;" "&amp;AP579&amp;" "&amp;$V$1),IF(AB579="SKLADEM",$V$6,IFERROR(IF(OR(AB579-TODAY()&gt;21,VLOOKUP(C579,[1]List1!$A:$E,4,FALSE)=0),AB579,DAY(AB579)&amp;"."&amp;MONTH(AB579)&amp;"."&amp;YEAR(AB579)&amp;" "&amp;$V$4&amp;VLOOKUP(C579,[1]List1!$A:$E,4,FALSE)&amp;" "&amp;$V$1),AB579))))</f>
        <v>AUF LAGER</v>
      </c>
      <c r="AD579" s="778" t="str">
        <f t="shared" ref="AD579:AD586" ca="1" si="264">IFERROR(IF(AU579&lt;&gt;"",AU579,AC579),AC579)</f>
        <v>AUF LAGER</v>
      </c>
      <c r="AE579" s="599"/>
      <c r="AF579" s="599"/>
      <c r="AG579" s="599"/>
      <c r="AH579" s="599"/>
      <c r="AI579" s="599"/>
      <c r="AJ579" s="599"/>
      <c r="AK579" s="599"/>
      <c r="AL579" s="599"/>
      <c r="AM579" s="599"/>
      <c r="AN579" s="566"/>
      <c r="AO579" s="567" t="str">
        <f t="shared" si="251"/>
        <v/>
      </c>
      <c r="AP579" s="568" t="str">
        <f>IF(AB579=$V$3,IF(VLOOKUP(C579,[1]List1!$A:$E,5,FALSE)=0,1,VLOOKUP(C579,[1]List1!$A:$E,5,FALSE)),"")</f>
        <v/>
      </c>
      <c r="AQ579" s="292" t="str">
        <f t="shared" si="252"/>
        <v/>
      </c>
      <c r="AR579" s="618" t="str">
        <f t="shared" si="253"/>
        <v/>
      </c>
      <c r="AS579" s="292" t="str">
        <f t="shared" si="254"/>
        <v/>
      </c>
      <c r="AT579" s="377" t="e">
        <f t="shared" si="255"/>
        <v>#N/A</v>
      </c>
      <c r="AU579" s="292" t="e">
        <f t="shared" si="256"/>
        <v>#N/A</v>
      </c>
    </row>
    <row r="580" spans="1:47" ht="15" customHeight="1">
      <c r="A580" s="601" t="e">
        <f>Kat.!#REF!</f>
        <v>#REF!</v>
      </c>
      <c r="B580" s="601">
        <f t="shared" si="242"/>
        <v>1</v>
      </c>
      <c r="C580" s="783" t="s">
        <v>11827</v>
      </c>
      <c r="D580" s="783"/>
      <c r="E580" s="764"/>
      <c r="F580" s="761"/>
      <c r="G580" s="762"/>
      <c r="H580" s="596"/>
      <c r="I580" s="787"/>
      <c r="J580" s="764"/>
      <c r="K580" s="774"/>
      <c r="L580" s="787"/>
      <c r="M580" s="764"/>
      <c r="N580" s="784"/>
      <c r="O580" s="784"/>
      <c r="P580" s="763"/>
      <c r="Q580" s="764"/>
      <c r="R580" s="764"/>
      <c r="S580" s="764"/>
      <c r="T580" s="764"/>
      <c r="U580" s="768"/>
      <c r="V580" s="768"/>
      <c r="W580" s="769" t="str">
        <f>IFERROR(VLOOKUP('General price list'!$C580,Popisy!A:P,MATCH($W$17,Popisy!$A$7:$P$7,0),FALSE),"---------------")</f>
        <v>Karton mit Produktdesign</v>
      </c>
      <c r="X580" s="769" t="str">
        <f t="shared" si="263"/>
        <v/>
      </c>
      <c r="Y580" s="770">
        <f>IF(OR(AP580&lt;AA580,AND(NOT(OR(LEFT(AB580,3)="SKL",LEFT(AB580,3)=LEFT($V$2,3))),AA580&gt;0),AND('Deutsche Markt'!$AH$1=FALSE,J580="F4",AA580&gt;0)),"",AA580)</f>
        <v>0</v>
      </c>
      <c r="Z580" s="769"/>
      <c r="AA580" s="771">
        <f>'Deutsche Markt'!AA580</f>
        <v>0</v>
      </c>
      <c r="AB580" s="772" t="str">
        <f>IFERROR(IF(VLOOKUP(C580,[1]List1!$A:$D,2,FALSE)="VYPRODÁNO",$V$9,IF(VLOOKUP(C580,[1]List1!$A:$D,2,FALSE)="DOCHÁZÍ",$V$3,VLOOKUP(C580,[1]List1!$A:$D,2,FALSE))),"OFFLINE!")</f>
        <v>SKLADEM</v>
      </c>
      <c r="AC580" s="772" t="str">
        <f ca="1">IF(AO580="NE",$V$10,IF(AB580=$V$3,IF(AP580&lt;1,$V$8,$V$2&amp;" "&amp;AP580&amp;" "&amp;$V$1),IF(AB580="SKLADEM",$V$6,IFERROR(IF(OR(AB580-TODAY()&gt;21,VLOOKUP(C580,[1]List1!$A:$E,4,FALSE)=0),AB580,DAY(AB580)&amp;"."&amp;MONTH(AB580)&amp;"."&amp;YEAR(AB580)&amp;" "&amp;$V$4&amp;VLOOKUP(C580,[1]List1!$A:$E,4,FALSE)&amp;" "&amp;$V$1),AB580))))</f>
        <v>AUF LAGER</v>
      </c>
      <c r="AD580" s="772" t="str">
        <f t="shared" ca="1" si="264"/>
        <v>AUF LAGER</v>
      </c>
      <c r="AE580" s="605"/>
      <c r="AF580" s="605"/>
      <c r="AG580" s="615"/>
      <c r="AH580" s="616"/>
      <c r="AI580" s="615"/>
      <c r="AJ580" s="617"/>
      <c r="AK580" s="617"/>
      <c r="AL580" s="617"/>
      <c r="AM580" s="617"/>
      <c r="AN580" s="292"/>
      <c r="AO580" s="567" t="str">
        <f t="shared" si="251"/>
        <v/>
      </c>
      <c r="AP580" s="568" t="str">
        <f>IF(AB580=$V$3,IF(VLOOKUP(C580,[1]List1!$A:$E,5,FALSE)=0,1,VLOOKUP(C580,[1]List1!$A:$E,5,FALSE)),"")</f>
        <v/>
      </c>
      <c r="AQ580" s="292" t="str">
        <f t="shared" si="252"/>
        <v/>
      </c>
      <c r="AR580" s="618" t="str">
        <f t="shared" si="253"/>
        <v/>
      </c>
      <c r="AS580" s="292" t="str">
        <f t="shared" si="254"/>
        <v/>
      </c>
      <c r="AT580" s="377" t="e">
        <f t="shared" si="255"/>
        <v>#N/A</v>
      </c>
      <c r="AU580" s="292" t="e">
        <f t="shared" si="256"/>
        <v>#N/A</v>
      </c>
    </row>
    <row r="581" spans="1:47" ht="15" customHeight="1">
      <c r="A581" s="601" t="e">
        <f>Kat.!#REF!</f>
        <v>#REF!</v>
      </c>
      <c r="B581" s="601">
        <f t="shared" si="242"/>
        <v>1</v>
      </c>
      <c r="C581" s="783" t="s">
        <v>12104</v>
      </c>
      <c r="D581" s="783"/>
      <c r="E581" s="764"/>
      <c r="F581" s="761"/>
      <c r="G581" s="762"/>
      <c r="H581" s="595"/>
      <c r="I581" s="764"/>
      <c r="J581" s="764"/>
      <c r="K581" s="781"/>
      <c r="L581" s="764"/>
      <c r="M581" s="764"/>
      <c r="N581" s="764"/>
      <c r="O581" s="764"/>
      <c r="P581" s="764"/>
      <c r="Q581" s="764"/>
      <c r="R581" s="764"/>
      <c r="S581" s="764"/>
      <c r="T581" s="764"/>
      <c r="U581" s="764"/>
      <c r="V581" s="764"/>
      <c r="W581" s="764" t="str">
        <f>IFERROR(VLOOKUP('General price list'!$C581,Popisy!A:P,MATCH($W$17,Popisy!$A$7:$P$7,0),FALSE),"---------------")</f>
        <v>Karton mit Produktdesign</v>
      </c>
      <c r="X581" s="764" t="str">
        <f t="shared" si="263"/>
        <v/>
      </c>
      <c r="Y581" s="770">
        <f>IF(OR(AP581&lt;AA581,AND(NOT(OR(LEFT(AB581,3)="SKL",LEFT(AB581,3)=LEFT($V$2,3))),AA581&gt;0),AND('Deutsche Markt'!$AH$1=FALSE,J581="F4",AA581&gt;0)),"",AA581)</f>
        <v>0</v>
      </c>
      <c r="Z581" s="764"/>
      <c r="AA581" s="771">
        <f>'Deutsche Markt'!AA581</f>
        <v>0</v>
      </c>
      <c r="AB581" s="772" t="str">
        <f>IFERROR(IF(VLOOKUP(C581,[1]List1!$A:$D,2,FALSE)="VYPRODÁNO",$V$9,IF(VLOOKUP(C581,[1]List1!$A:$D,2,FALSE)="DOCHÁZÍ",$V$3,VLOOKUP(C581,[1]List1!$A:$D,2,FALSE))),"OFFLINE!")</f>
        <v>SKLADEM</v>
      </c>
      <c r="AC581" s="785" t="str">
        <f ca="1">IF(AO581="NE",$V$10,IF(AB581=$V$3,IF(AP581&lt;1,$V$8,$V$2&amp;" "&amp;AP581&amp;" "&amp;$V$1),IF(AB581="SKLADEM",$V$6,IFERROR(IF(OR(AB581-TODAY()&gt;21,VLOOKUP(C581,[1]List1!$A:$E,4,FALSE)=0),AB581,DAY(AB581)&amp;"."&amp;MONTH(AB581)&amp;"."&amp;YEAR(AB581)&amp;" "&amp;$V$4&amp;VLOOKUP(C581,[1]List1!$A:$E,4,FALSE)&amp;" "&amp;$V$1),AB581))))</f>
        <v>AUF LAGER</v>
      </c>
      <c r="AD581" s="785" t="str">
        <f t="shared" ca="1" si="264"/>
        <v>AUF LAGER</v>
      </c>
      <c r="AE581" s="609"/>
      <c r="AF581" s="609"/>
      <c r="AG581" s="627"/>
      <c r="AH581" s="609"/>
      <c r="AI581" s="627"/>
      <c r="AJ581" s="609"/>
      <c r="AK581" s="609"/>
      <c r="AL581" s="609"/>
      <c r="AM581" s="627"/>
      <c r="AO581" s="567" t="str">
        <f t="shared" si="251"/>
        <v/>
      </c>
      <c r="AP581" s="568" t="str">
        <f>IF(AB581=$V$3,IF(VLOOKUP(C581,[1]List1!$A:$E,5,FALSE)=0,1,VLOOKUP(C581,[1]List1!$A:$E,5,FALSE)),"")</f>
        <v/>
      </c>
      <c r="AQ581" s="292" t="str">
        <f t="shared" si="252"/>
        <v/>
      </c>
      <c r="AR581" s="618" t="str">
        <f t="shared" si="253"/>
        <v/>
      </c>
      <c r="AS581" s="292" t="str">
        <f t="shared" si="254"/>
        <v/>
      </c>
      <c r="AT581" s="377" t="e">
        <f t="shared" si="255"/>
        <v>#N/A</v>
      </c>
      <c r="AU581" s="292" t="e">
        <f t="shared" si="256"/>
        <v>#N/A</v>
      </c>
    </row>
    <row r="582" spans="1:47" ht="15" customHeight="1">
      <c r="A582" s="601" t="e">
        <f>Kat.!#REF!</f>
        <v>#REF!</v>
      </c>
      <c r="B582" s="601">
        <f t="shared" si="242"/>
        <v>1</v>
      </c>
      <c r="C582" s="783" t="s">
        <v>11828</v>
      </c>
      <c r="D582" s="783"/>
      <c r="E582" s="764"/>
      <c r="F582" s="761"/>
      <c r="G582" s="762"/>
      <c r="H582" s="596"/>
      <c r="I582" s="787"/>
      <c r="J582" s="764"/>
      <c r="K582" s="774"/>
      <c r="L582" s="787"/>
      <c r="M582" s="764"/>
      <c r="N582" s="784"/>
      <c r="O582" s="784"/>
      <c r="P582" s="763"/>
      <c r="Q582" s="764"/>
      <c r="R582" s="764"/>
      <c r="S582" s="764"/>
      <c r="T582" s="764"/>
      <c r="U582" s="768"/>
      <c r="V582" s="768"/>
      <c r="W582" s="769" t="str">
        <f>IFERROR(VLOOKUP('General price list'!$C582,Popisy!A:P,MATCH($W$17,Popisy!$A$7:$P$7,0),FALSE),"---------------")</f>
        <v>Karton mit Produktdesign</v>
      </c>
      <c r="X582" s="769" t="str">
        <f t="shared" si="263"/>
        <v/>
      </c>
      <c r="Y582" s="770">
        <f>IF(OR(AP582&lt;AA582,AND(NOT(OR(LEFT(AB582,3)="SKL",LEFT(AB582,3)=LEFT($V$2,3))),AA582&gt;0),AND('Deutsche Markt'!$AH$1=FALSE,J582="F4",AA582&gt;0)),"",AA582)</f>
        <v>0</v>
      </c>
      <c r="Z582" s="769"/>
      <c r="AA582" s="771">
        <f>'Deutsche Markt'!AA582</f>
        <v>0</v>
      </c>
      <c r="AB582" s="772" t="str">
        <f>IFERROR(IF(VLOOKUP(C582,[1]List1!$A:$D,2,FALSE)="VYPRODÁNO",$V$9,IF(VLOOKUP(C582,[1]List1!$A:$D,2,FALSE)="DOCHÁZÍ",$V$3,VLOOKUP(C582,[1]List1!$A:$D,2,FALSE))),"OFFLINE!")</f>
        <v>SKLADEM</v>
      </c>
      <c r="AC582" s="772" t="str">
        <f ca="1">IF(AO582="NE",$V$10,IF(AB582=$V$3,IF(AP582&lt;1,$V$8,$V$2&amp;" "&amp;AP582&amp;" "&amp;$V$1),IF(AB582="SKLADEM",$V$6,IFERROR(IF(OR(AB582-TODAY()&gt;21,VLOOKUP(C582,[1]List1!$A:$E,4,FALSE)=0),AB582,DAY(AB582)&amp;"."&amp;MONTH(AB582)&amp;"."&amp;YEAR(AB582)&amp;" "&amp;$V$4&amp;VLOOKUP(C582,[1]List1!$A:$E,4,FALSE)&amp;" "&amp;$V$1),AB582))))</f>
        <v>AUF LAGER</v>
      </c>
      <c r="AD582" s="772" t="str">
        <f t="shared" ca="1" si="264"/>
        <v>AUF LAGER</v>
      </c>
      <c r="AE582" s="605"/>
      <c r="AF582" s="605"/>
      <c r="AG582" s="615"/>
      <c r="AH582" s="616"/>
      <c r="AI582" s="615"/>
      <c r="AJ582" s="617"/>
      <c r="AK582" s="617"/>
      <c r="AL582" s="617"/>
      <c r="AM582" s="617"/>
      <c r="AO582" s="567" t="str">
        <f t="shared" si="251"/>
        <v/>
      </c>
      <c r="AP582" s="568" t="str">
        <f>IF(AB582=$V$3,IF(VLOOKUP(C582,[1]List1!$A:$E,5,FALSE)=0,1,VLOOKUP(C582,[1]List1!$A:$E,5,FALSE)),"")</f>
        <v/>
      </c>
      <c r="AQ582" s="292" t="str">
        <f t="shared" si="252"/>
        <v/>
      </c>
      <c r="AR582" s="618" t="str">
        <f t="shared" si="253"/>
        <v/>
      </c>
      <c r="AS582" s="292" t="str">
        <f t="shared" si="254"/>
        <v/>
      </c>
      <c r="AT582" s="377" t="e">
        <f t="shared" si="255"/>
        <v>#N/A</v>
      </c>
      <c r="AU582" s="292" t="e">
        <f t="shared" si="256"/>
        <v>#N/A</v>
      </c>
    </row>
    <row r="583" spans="1:47" ht="15" customHeight="1">
      <c r="A583" s="599" t="e">
        <f>Kat.!$B$1&amp;Kat.!#REF!</f>
        <v>#REF!</v>
      </c>
      <c r="B583" s="601">
        <f t="shared" si="242"/>
        <v>1</v>
      </c>
      <c r="C583" s="599" t="s">
        <v>12105</v>
      </c>
      <c r="D583" s="599"/>
      <c r="E583" s="599"/>
      <c r="F583" s="600"/>
      <c r="G583" s="599"/>
      <c r="H583" s="599"/>
      <c r="I583" s="599"/>
      <c r="J583" s="599"/>
      <c r="K583" s="708"/>
      <c r="L583" s="599"/>
      <c r="M583" s="599"/>
      <c r="N583" s="599"/>
      <c r="O583" s="599"/>
      <c r="P583" s="599"/>
      <c r="Q583" s="599"/>
      <c r="R583" s="599"/>
      <c r="S583" s="599"/>
      <c r="T583" s="599"/>
      <c r="U583" s="599"/>
      <c r="V583" s="599"/>
      <c r="W583" s="599" t="str">
        <f>IFERROR(VLOOKUP('General price list'!$C583,Popisy!A:P,MATCH($W$17,Popisy!$A$7:$P$7,0),FALSE),"---------------")</f>
        <v>Karton mit Produktdesign</v>
      </c>
      <c r="X583" s="599" t="str">
        <f t="shared" si="263"/>
        <v/>
      </c>
      <c r="Y583" s="770">
        <f>IF(OR(AP583&lt;AA583,AND(NOT(OR(LEFT(AB583,3)="SKL",LEFT(AB583,3)=LEFT($V$2,3))),AA583&gt;0),AND('Deutsche Markt'!$AH$1=FALSE,J583="F4",AA583&gt;0)),"",AA583)</f>
        <v>0</v>
      </c>
      <c r="Z583" s="599"/>
      <c r="AA583" s="771">
        <f>'Deutsche Markt'!AA583</f>
        <v>0</v>
      </c>
      <c r="AB583" s="599" t="str">
        <f>IFERROR(IF(VLOOKUP(C583,[1]List1!$A:$D,2,FALSE)="VYPRODÁNO",$V$9,IF(VLOOKUP(C583,[1]List1!$A:$D,2,FALSE)="DOCHÁZÍ",$V$3,VLOOKUP(C583,[1]List1!$A:$D,2,FALSE))),"OFFLINE!")</f>
        <v>SKLADEM</v>
      </c>
      <c r="AC583" s="599" t="str">
        <f ca="1">IF(AO583="NE",$V$10,IF(AB583=$V$3,IF(AP583&lt;1,$V$8,$V$2&amp;" "&amp;AP583&amp;" "&amp;$V$1),IF(AB583="SKLADEM",$V$6,IFERROR(IF(OR(AB583-TODAY()&gt;21,VLOOKUP(C583,[1]List1!$A:$E,4,FALSE)=0),AB583,DAY(AB583)&amp;"."&amp;MONTH(AB583)&amp;"."&amp;YEAR(AB583)&amp;" "&amp;$V$4&amp;VLOOKUP(C583,[1]List1!$A:$E,4,FALSE)&amp;" "&amp;$V$1),AB583))))</f>
        <v>AUF LAGER</v>
      </c>
      <c r="AD583" s="599" t="str">
        <f t="shared" ca="1" si="264"/>
        <v>AUF LAGER</v>
      </c>
      <c r="AE583" s="599"/>
      <c r="AF583" s="599"/>
      <c r="AG583" s="599"/>
      <c r="AH583" s="599"/>
      <c r="AI583" s="599"/>
      <c r="AJ583" s="599"/>
      <c r="AK583" s="599"/>
      <c r="AL583" s="599"/>
      <c r="AM583" s="599"/>
      <c r="AN583" s="566"/>
      <c r="AO583" s="567" t="str">
        <f t="shared" si="251"/>
        <v/>
      </c>
      <c r="AP583" s="568" t="str">
        <f>IF(AB583=$V$3,IF(VLOOKUP(C583,[1]List1!$A:$E,5,FALSE)=0,1,VLOOKUP(C583,[1]List1!$A:$E,5,FALSE)),"")</f>
        <v/>
      </c>
      <c r="AQ583" s="292" t="str">
        <f t="shared" si="252"/>
        <v/>
      </c>
      <c r="AR583" s="618" t="str">
        <f t="shared" si="253"/>
        <v/>
      </c>
      <c r="AS583" s="292" t="str">
        <f t="shared" si="254"/>
        <v/>
      </c>
      <c r="AT583" s="377" t="e">
        <f t="shared" si="255"/>
        <v>#N/A</v>
      </c>
      <c r="AU583" s="292" t="e">
        <f t="shared" si="256"/>
        <v>#N/A</v>
      </c>
    </row>
    <row r="584" spans="1:47" ht="15" customHeight="1">
      <c r="A584" s="601" t="e">
        <f>Kat.!#REF!</f>
        <v>#REF!</v>
      </c>
      <c r="B584" s="601">
        <f t="shared" si="242"/>
        <v>1</v>
      </c>
      <c r="C584" s="775" t="s">
        <v>11830</v>
      </c>
      <c r="D584" s="776"/>
      <c r="E584" s="760"/>
      <c r="F584" s="761"/>
      <c r="G584" s="762"/>
      <c r="H584" s="596"/>
      <c r="I584" s="797"/>
      <c r="J584" s="764"/>
      <c r="K584" s="765"/>
      <c r="L584" s="782"/>
      <c r="M584" s="764"/>
      <c r="N584" s="767"/>
      <c r="O584" s="763"/>
      <c r="P584" s="763"/>
      <c r="Q584" s="764"/>
      <c r="R584" s="764"/>
      <c r="S584" s="764"/>
      <c r="T584" s="764"/>
      <c r="U584" s="768"/>
      <c r="V584" s="768"/>
      <c r="W584" s="769" t="str">
        <f>IFERROR(VLOOKUP('General price list'!$C584,Popisy!A:P,MATCH($W$17,Popisy!$A$7:$P$7,0),FALSE),"---------------")</f>
        <v>Karton mit Produktdesign</v>
      </c>
      <c r="X584" s="769" t="str">
        <f t="shared" si="263"/>
        <v/>
      </c>
      <c r="Y584" s="770">
        <f>IF(OR(AP584&lt;AA584,AND(NOT(OR(LEFT(AB584,3)="SKL",LEFT(AB584,3)=LEFT($V$2,3))),AA584&gt;0),AND('Deutsche Markt'!$AH$1=FALSE,J584="F4",AA584&gt;0)),"",AA584)</f>
        <v>0</v>
      </c>
      <c r="Z584" s="769"/>
      <c r="AA584" s="771">
        <f>'Deutsche Markt'!AA584</f>
        <v>0</v>
      </c>
      <c r="AB584" s="772" t="str">
        <f>IFERROR(IF(VLOOKUP(C584,[1]List1!$A:$D,2,FALSE)="VYPRODÁNO",$V$9,IF(VLOOKUP(C584,[1]List1!$A:$D,2,FALSE)="DOCHÁZÍ",$V$3,VLOOKUP(C584,[1]List1!$A:$D,2,FALSE))),"OFFLINE!")</f>
        <v>SKLADEM</v>
      </c>
      <c r="AC584" s="772" t="str">
        <f ca="1">IF(AO584="NE",$V$10,IF(AB584=$V$3,IF(AP584&lt;1,$V$8,$V$2&amp;" "&amp;AP584&amp;" "&amp;$V$1),IF(AB584="SKLADEM",$V$6,IFERROR(IF(OR(AB584-TODAY()&gt;21,VLOOKUP(C584,[1]List1!$A:$E,4,FALSE)=0),AB584,DAY(AB584)&amp;"."&amp;MONTH(AB584)&amp;"."&amp;YEAR(AB584)&amp;" "&amp;$V$4&amp;VLOOKUP(C584,[1]List1!$A:$E,4,FALSE)&amp;" "&amp;$V$1),AB584))))</f>
        <v>AUF LAGER</v>
      </c>
      <c r="AD584" s="772" t="str">
        <f t="shared" ca="1" si="264"/>
        <v>AUF LAGER</v>
      </c>
      <c r="AE584" s="605"/>
      <c r="AF584" s="605"/>
      <c r="AG584" s="615"/>
      <c r="AH584" s="616"/>
      <c r="AI584" s="615"/>
      <c r="AJ584" s="617"/>
      <c r="AK584" s="617"/>
      <c r="AL584" s="617"/>
      <c r="AM584" s="617"/>
      <c r="AN584" s="292"/>
      <c r="AO584" s="567" t="str">
        <f t="shared" si="251"/>
        <v/>
      </c>
      <c r="AP584" s="568" t="str">
        <f>IF(AB584=$V$3,IF(VLOOKUP(C584,[1]List1!$A:$E,5,FALSE)=0,1,VLOOKUP(C584,[1]List1!$A:$E,5,FALSE)),"")</f>
        <v/>
      </c>
      <c r="AQ584" s="292" t="str">
        <f t="shared" si="252"/>
        <v/>
      </c>
      <c r="AR584" s="618" t="str">
        <f t="shared" si="253"/>
        <v/>
      </c>
      <c r="AS584" s="292" t="str">
        <f t="shared" si="254"/>
        <v/>
      </c>
      <c r="AT584" s="377" t="e">
        <f t="shared" si="255"/>
        <v>#N/A</v>
      </c>
      <c r="AU584" s="292" t="e">
        <f t="shared" si="256"/>
        <v>#N/A</v>
      </c>
    </row>
    <row r="585" spans="1:47" ht="15" customHeight="1">
      <c r="A585" s="601" t="e">
        <f>Kat.!#REF!</f>
        <v>#REF!</v>
      </c>
      <c r="B585" s="601">
        <f t="shared" si="242"/>
        <v>1</v>
      </c>
      <c r="C585" s="783" t="s">
        <v>11831</v>
      </c>
      <c r="D585" s="783"/>
      <c r="E585" s="764"/>
      <c r="F585" s="761"/>
      <c r="G585" s="762"/>
      <c r="H585" s="596"/>
      <c r="I585" s="763"/>
      <c r="J585" s="764"/>
      <c r="K585" s="773"/>
      <c r="L585" s="771"/>
      <c r="M585" s="764"/>
      <c r="N585" s="784"/>
      <c r="O585" s="784"/>
      <c r="P585" s="763"/>
      <c r="Q585" s="764"/>
      <c r="R585" s="764"/>
      <c r="S585" s="764"/>
      <c r="T585" s="764"/>
      <c r="U585" s="768"/>
      <c r="V585" s="768"/>
      <c r="W585" s="769" t="str">
        <f>IFERROR(VLOOKUP('General price list'!$C585,Popisy!A:P,MATCH($W$17,Popisy!$A$7:$P$7,0),FALSE),"---------------")</f>
        <v>Karton mit Produktdesign</v>
      </c>
      <c r="X585" s="769" t="str">
        <f t="shared" si="263"/>
        <v/>
      </c>
      <c r="Y585" s="770">
        <f>IF(OR(AP585&lt;AA585,AND(NOT(OR(LEFT(AB585,3)="SKL",LEFT(AB585,3)=LEFT($V$2,3))),AA585&gt;0),AND('Deutsche Markt'!$AH$1=FALSE,J585="F4",AA585&gt;0)),"",AA585)</f>
        <v>0</v>
      </c>
      <c r="Z585" s="769"/>
      <c r="AA585" s="771">
        <f>'Deutsche Markt'!AA585</f>
        <v>0</v>
      </c>
      <c r="AB585" s="772" t="str">
        <f>IFERROR(IF(VLOOKUP(C585,[1]List1!$A:$D,2,FALSE)="VYPRODÁNO",$V$9,IF(VLOOKUP(C585,[1]List1!$A:$D,2,FALSE)="DOCHÁZÍ",$V$3,VLOOKUP(C585,[1]List1!$A:$D,2,FALSE))),"OFFLINE!")</f>
        <v>SKLADEM</v>
      </c>
      <c r="AC585" s="785" t="str">
        <f ca="1">IF(AO585="NE",$V$10,IF(AB585=$V$3,IF(AP585&lt;1,$V$8,$V$2&amp;" "&amp;AP585&amp;" "&amp;$V$1),IF(AB585="SKLADEM",$V$6,IFERROR(IF(OR(AB585-TODAY()&gt;21,VLOOKUP(C585,[1]List1!$A:$E,4,FALSE)=0),AB585,DAY(AB585)&amp;"."&amp;MONTH(AB585)&amp;"."&amp;YEAR(AB585)&amp;" "&amp;$V$4&amp;VLOOKUP(C585,[1]List1!$A:$E,4,FALSE)&amp;" "&amp;$V$1),AB585))))</f>
        <v>AUF LAGER</v>
      </c>
      <c r="AD585" s="785" t="str">
        <f t="shared" ca="1" si="264"/>
        <v>AUF LAGER</v>
      </c>
      <c r="AE585" s="605"/>
      <c r="AF585" s="605"/>
      <c r="AG585" s="615"/>
      <c r="AH585" s="616"/>
      <c r="AI585" s="615"/>
      <c r="AJ585" s="617"/>
      <c r="AK585" s="617"/>
      <c r="AL585" s="617"/>
      <c r="AM585" s="617"/>
      <c r="AN585" s="292"/>
      <c r="AO585" s="567" t="str">
        <f t="shared" si="251"/>
        <v/>
      </c>
      <c r="AP585" s="568" t="str">
        <f>IF(AB585=$V$3,IF(VLOOKUP(C585,[1]List1!$A:$E,5,FALSE)=0,1,VLOOKUP(C585,[1]List1!$A:$E,5,FALSE)),"")</f>
        <v/>
      </c>
      <c r="AQ585" s="292" t="str">
        <f t="shared" si="252"/>
        <v/>
      </c>
      <c r="AR585" s="618" t="str">
        <f t="shared" si="253"/>
        <v/>
      </c>
      <c r="AS585" s="292" t="str">
        <f t="shared" si="254"/>
        <v/>
      </c>
      <c r="AT585" s="377" t="e">
        <f t="shared" si="255"/>
        <v>#N/A</v>
      </c>
      <c r="AU585" s="292" t="e">
        <f t="shared" si="256"/>
        <v>#N/A</v>
      </c>
    </row>
    <row r="586" spans="1:47" ht="15" customHeight="1">
      <c r="A586" s="601" t="e">
        <f>Kat.!#REF!</f>
        <v>#REF!</v>
      </c>
      <c r="B586" s="601">
        <f t="shared" si="242"/>
        <v>1</v>
      </c>
      <c r="C586" s="775" t="s">
        <v>11832</v>
      </c>
      <c r="D586" s="783"/>
      <c r="E586" s="760"/>
      <c r="F586" s="761"/>
      <c r="G586" s="762"/>
      <c r="H586" s="596"/>
      <c r="I586" s="763"/>
      <c r="J586" s="764"/>
      <c r="K586" s="765"/>
      <c r="L586" s="780"/>
      <c r="M586" s="764"/>
      <c r="N586" s="767"/>
      <c r="O586" s="763"/>
      <c r="P586" s="763"/>
      <c r="Q586" s="764"/>
      <c r="R586" s="764"/>
      <c r="S586" s="764"/>
      <c r="T586" s="764"/>
      <c r="U586" s="768"/>
      <c r="V586" s="768"/>
      <c r="W586" s="769" t="str">
        <f>IFERROR(VLOOKUP('General price list'!$C586,Popisy!A:P,MATCH($W$17,Popisy!$A$7:$P$7,0),FALSE),"---------------")</f>
        <v>Karton mit Produktdesign</v>
      </c>
      <c r="X586" s="769" t="str">
        <f t="shared" si="263"/>
        <v/>
      </c>
      <c r="Y586" s="770">
        <f>IF(OR(AP586&lt;AA586,AND(NOT(OR(LEFT(AB586,3)="SKL",LEFT(AB586,3)=LEFT($V$2,3))),AA586&gt;0),AND('Deutsche Markt'!$AH$1=FALSE,J586="F4",AA586&gt;0)),"",AA586)</f>
        <v>0</v>
      </c>
      <c r="Z586" s="769"/>
      <c r="AA586" s="771">
        <f>'Deutsche Markt'!AA586</f>
        <v>0</v>
      </c>
      <c r="AB586" s="772" t="str">
        <f>IFERROR(IF(VLOOKUP(C586,[1]List1!$A:$D,2,FALSE)="VYPRODÁNO",$V$9,IF(VLOOKUP(C586,[1]List1!$A:$D,2,FALSE)="DOCHÁZÍ",$V$3,VLOOKUP(C586,[1]List1!$A:$D,2,FALSE))),"OFFLINE!")</f>
        <v>SKLADEM</v>
      </c>
      <c r="AC586" s="772" t="str">
        <f ca="1">IF(AO586="NE",$V$10,IF(AB586=$V$3,IF(AP586&lt;1,$V$8,$V$2&amp;" "&amp;AP586&amp;" "&amp;$V$1),IF(AB586="SKLADEM",$V$6,IFERROR(IF(OR(AB586-TODAY()&gt;21,VLOOKUP(C586,[1]List1!$A:$E,4,FALSE)=0),AB586,DAY(AB586)&amp;"."&amp;MONTH(AB586)&amp;"."&amp;YEAR(AB586)&amp;" "&amp;$V$4&amp;VLOOKUP(C586,[1]List1!$A:$E,4,FALSE)&amp;" "&amp;$V$1),AB586))))</f>
        <v>AUF LAGER</v>
      </c>
      <c r="AD586" s="772" t="str">
        <f t="shared" ca="1" si="264"/>
        <v>AUF LAGER</v>
      </c>
      <c r="AE586" s="605"/>
      <c r="AF586" s="605"/>
      <c r="AG586" s="615"/>
      <c r="AH586" s="616"/>
      <c r="AI586" s="615"/>
      <c r="AJ586" s="617"/>
      <c r="AK586" s="617"/>
      <c r="AL586" s="617"/>
      <c r="AM586" s="617"/>
      <c r="AN586" s="292"/>
      <c r="AO586" s="567" t="str">
        <f t="shared" si="251"/>
        <v/>
      </c>
      <c r="AP586" s="568" t="str">
        <f>IF(AB586=$V$3,IF(VLOOKUP(C586,[1]List1!$A:$E,5,FALSE)=0,1,VLOOKUP(C586,[1]List1!$A:$E,5,FALSE)),"")</f>
        <v/>
      </c>
      <c r="AQ586" s="292" t="str">
        <f t="shared" si="252"/>
        <v/>
      </c>
      <c r="AR586" s="618" t="str">
        <f t="shared" si="253"/>
        <v/>
      </c>
      <c r="AS586" s="292" t="str">
        <f t="shared" si="254"/>
        <v/>
      </c>
      <c r="AT586" s="377" t="e">
        <f t="shared" si="255"/>
        <v>#N/A</v>
      </c>
      <c r="AU586" s="292" t="e">
        <f t="shared" si="256"/>
        <v>#N/A</v>
      </c>
    </row>
    <row r="587" spans="1:47" ht="15" customHeight="1">
      <c r="A587" s="601" t="e">
        <f>Kat.!#REF!</f>
        <v>#REF!</v>
      </c>
      <c r="B587" s="601">
        <f t="shared" si="242"/>
        <v>1</v>
      </c>
      <c r="C587" s="775" t="s">
        <v>11833</v>
      </c>
      <c r="D587" s="776"/>
      <c r="E587" s="760"/>
      <c r="F587" s="761"/>
      <c r="G587" s="762"/>
      <c r="H587" s="596"/>
      <c r="I587" s="797"/>
      <c r="J587" s="764"/>
      <c r="K587" s="773"/>
      <c r="L587" s="766"/>
      <c r="M587" s="764"/>
      <c r="N587" s="767"/>
      <c r="O587" s="763"/>
      <c r="P587" s="763"/>
      <c r="Q587" s="764"/>
      <c r="R587" s="764"/>
      <c r="S587" s="764"/>
      <c r="T587" s="764"/>
      <c r="U587" s="768"/>
      <c r="V587" s="768"/>
      <c r="W587" s="769"/>
      <c r="X587" s="769"/>
      <c r="Y587" s="770">
        <f>IF(OR(AP587&lt;AA587,AND(NOT(OR(LEFT(AB587,3)="SKL",LEFT(AB587,3)=LEFT($V$2,3))),AA587&gt;0),AND('Deutsche Markt'!$AH$1=FALSE,J587="F4",AA587&gt;0)),"",AA587)</f>
        <v>0</v>
      </c>
      <c r="Z587" s="769"/>
      <c r="AA587" s="771">
        <f>'Deutsche Markt'!AA587</f>
        <v>0</v>
      </c>
      <c r="AB587" s="772"/>
      <c r="AC587" s="772"/>
      <c r="AD587" s="772"/>
      <c r="AE587" s="605"/>
      <c r="AF587" s="605"/>
      <c r="AG587" s="615"/>
      <c r="AH587" s="616"/>
      <c r="AI587" s="615"/>
      <c r="AJ587" s="617"/>
      <c r="AK587" s="617"/>
      <c r="AL587" s="617"/>
      <c r="AM587" s="617"/>
      <c r="AN587" s="292"/>
      <c r="AO587" s="567" t="str">
        <f t="shared" si="251"/>
        <v/>
      </c>
      <c r="AP587" s="568" t="str">
        <f>IF(AB587=$V$3,IF(VLOOKUP(C587,[1]List1!$A:$E,5,FALSE)=0,1,VLOOKUP(C587,[1]List1!$A:$E,5,FALSE)),"")</f>
        <v/>
      </c>
      <c r="AQ587" s="292" t="str">
        <f t="shared" si="252"/>
        <v/>
      </c>
      <c r="AR587" s="618" t="str">
        <f t="shared" si="253"/>
        <v/>
      </c>
      <c r="AS587" s="292" t="str">
        <f t="shared" si="254"/>
        <v/>
      </c>
      <c r="AT587" s="377" t="e">
        <f t="shared" si="255"/>
        <v>#N/A</v>
      </c>
      <c r="AU587" s="292" t="e">
        <f t="shared" si="256"/>
        <v>#N/A</v>
      </c>
    </row>
    <row r="588" spans="1:47" ht="15" customHeight="1">
      <c r="A588" s="601" t="e">
        <f>Kat.!#REF!</f>
        <v>#REF!</v>
      </c>
      <c r="B588" s="601">
        <f t="shared" si="242"/>
        <v>1</v>
      </c>
      <c r="C588" s="783" t="s">
        <v>13238</v>
      </c>
      <c r="D588" s="783"/>
      <c r="E588" s="764"/>
      <c r="F588" s="761"/>
      <c r="G588" s="762"/>
      <c r="H588" s="595"/>
      <c r="I588" s="764"/>
      <c r="J588" s="764"/>
      <c r="K588" s="765"/>
      <c r="L588" s="764"/>
      <c r="M588" s="764"/>
      <c r="N588" s="764"/>
      <c r="O588" s="764"/>
      <c r="P588" s="764"/>
      <c r="Q588" s="764"/>
      <c r="R588" s="764"/>
      <c r="S588" s="764"/>
      <c r="T588" s="764"/>
      <c r="U588" s="764"/>
      <c r="V588" s="764"/>
      <c r="W588" s="764" t="str">
        <f>IFERROR(VLOOKUP('General price list'!$C588,Popisy!A:P,MATCH($W$17,Popisy!$A$7:$P$7,0),FALSE),"---------------")</f>
        <v>Karton mit Produktdesign</v>
      </c>
      <c r="X588" s="764" t="str">
        <f t="shared" ref="X588:X594" si="265">IF(AA588&lt;0.0001,"",AA588)</f>
        <v/>
      </c>
      <c r="Y588" s="770">
        <f>IF(OR(AP588&lt;AA588,AND(NOT(OR(LEFT(AB588,3)="SKL",LEFT(AB588,3)=LEFT($V$2,3))),AA588&gt;0),AND('Deutsche Markt'!$AH$1=FALSE,J588="F4",AA588&gt;0)),"",AA588)</f>
        <v>0</v>
      </c>
      <c r="Z588" s="764"/>
      <c r="AA588" s="771">
        <f>'Deutsche Markt'!AA588</f>
        <v>0</v>
      </c>
      <c r="AB588" s="772" t="str">
        <f>IFERROR(IF(VLOOKUP(C588,[1]List1!$A:$D,2,FALSE)="VYPRODÁNO",$V$9,IF(VLOOKUP(C588,[1]List1!$A:$D,2,FALSE)="DOCHÁZÍ",$V$3,VLOOKUP(C588,[1]List1!$A:$D,2,FALSE))),"OFFLINE!")</f>
        <v>AUSVERKAUFT</v>
      </c>
      <c r="AC588" s="785" t="str">
        <f ca="1">IF(AO588="NE",$V$10,IF(AB588=$V$3,IF(AP588&lt;1,$V$8,$V$2&amp;" "&amp;AP588&amp;" "&amp;$V$1),IF(AB588="SKLADEM",$V$6,IFERROR(IF(OR(AB588-TODAY()&gt;21,VLOOKUP(C588,[1]List1!$A:$E,4,FALSE)=0),AB588,DAY(AB588)&amp;"."&amp;MONTH(AB588)&amp;"."&amp;YEAR(AB588)&amp;" "&amp;$V$4&amp;VLOOKUP(C588,[1]List1!$A:$E,4,FALSE)&amp;" "&amp;$V$1),AB588))))</f>
        <v>AUSVERKAUFT</v>
      </c>
      <c r="AD588" s="785" t="str">
        <f t="shared" ref="AD588:AD594" ca="1" si="266">IFERROR(IF(AU588&lt;&gt;"",AU588,AC588),AC588)</f>
        <v>AUSVERKAUFT</v>
      </c>
      <c r="AE588" s="609"/>
      <c r="AF588" s="609"/>
      <c r="AG588" s="627"/>
      <c r="AH588" s="609"/>
      <c r="AI588" s="627"/>
      <c r="AJ588" s="609"/>
      <c r="AK588" s="609"/>
      <c r="AL588" s="609"/>
      <c r="AM588" s="627"/>
      <c r="AO588" s="567" t="str">
        <f t="shared" si="251"/>
        <v/>
      </c>
      <c r="AP588" s="568" t="str">
        <f>IF(AB588=$V$3,IF(VLOOKUP(C588,[1]List1!$A:$E,5,FALSE)=0,1,VLOOKUP(C588,[1]List1!$A:$E,5,FALSE)),"")</f>
        <v/>
      </c>
      <c r="AQ588" s="292" t="str">
        <f t="shared" si="252"/>
        <v/>
      </c>
      <c r="AR588" s="618" t="str">
        <f t="shared" si="253"/>
        <v/>
      </c>
      <c r="AS588" s="292" t="str">
        <f t="shared" si="254"/>
        <v/>
      </c>
      <c r="AT588" s="377" t="e">
        <f t="shared" si="255"/>
        <v>#N/A</v>
      </c>
      <c r="AU588" s="292" t="e">
        <f t="shared" si="256"/>
        <v>#N/A</v>
      </c>
    </row>
    <row r="589" spans="1:47" ht="15" customHeight="1">
      <c r="A589" s="601" t="e">
        <f>Kat.!#REF!</f>
        <v>#REF!</v>
      </c>
      <c r="B589" s="601">
        <f t="shared" si="242"/>
        <v>1</v>
      </c>
      <c r="C589" s="775" t="s">
        <v>11835</v>
      </c>
      <c r="D589" s="776"/>
      <c r="E589" s="760"/>
      <c r="F589" s="761"/>
      <c r="G589" s="762"/>
      <c r="H589" s="596"/>
      <c r="I589" s="797"/>
      <c r="J589" s="764"/>
      <c r="K589" s="773"/>
      <c r="L589" s="782"/>
      <c r="M589" s="764"/>
      <c r="N589" s="767"/>
      <c r="O589" s="763"/>
      <c r="P589" s="763"/>
      <c r="Q589" s="764"/>
      <c r="R589" s="764"/>
      <c r="S589" s="764"/>
      <c r="T589" s="764"/>
      <c r="U589" s="768"/>
      <c r="V589" s="768"/>
      <c r="W589" s="769" t="str">
        <f>IFERROR(VLOOKUP('General price list'!$C589,Popisy!A:P,MATCH($W$17,Popisy!$A$7:$P$7,0),FALSE),"---------------")</f>
        <v>Karton mit Produktdesign</v>
      </c>
      <c r="X589" s="769" t="str">
        <f t="shared" si="265"/>
        <v/>
      </c>
      <c r="Y589" s="770">
        <f>IF(OR(AP589&lt;AA589,AND(NOT(OR(LEFT(AB589,3)="SKL",LEFT(AB589,3)=LEFT($V$2,3))),AA589&gt;0),AND('Deutsche Markt'!$AH$1=FALSE,J589="F4",AA589&gt;0)),"",AA589)</f>
        <v>0</v>
      </c>
      <c r="Z589" s="769"/>
      <c r="AA589" s="771">
        <f>'Deutsche Markt'!AA589</f>
        <v>0</v>
      </c>
      <c r="AB589" s="772" t="str">
        <f>IFERROR(IF(VLOOKUP(C589,[1]List1!$A:$D,2,FALSE)="VYPRODÁNO",$V$9,IF(VLOOKUP(C589,[1]List1!$A:$D,2,FALSE)="DOCHÁZÍ",$V$3,VLOOKUP(C589,[1]List1!$A:$D,2,FALSE))),"OFFLINE!")</f>
        <v>SKLADEM</v>
      </c>
      <c r="AC589" s="772" t="str">
        <f ca="1">IF(AO589="NE",$V$10,IF(AB589=$V$3,IF(AP589&lt;1,$V$8,$V$2&amp;" "&amp;AP589&amp;" "&amp;$V$1),IF(AB589="SKLADEM",$V$6,IFERROR(IF(OR(AB589-TODAY()&gt;21,VLOOKUP(C589,[1]List1!$A:$E,4,FALSE)=0),AB589,DAY(AB589)&amp;"."&amp;MONTH(AB589)&amp;"."&amp;YEAR(AB589)&amp;" "&amp;$V$4&amp;VLOOKUP(C589,[1]List1!$A:$E,4,FALSE)&amp;" "&amp;$V$1),AB589))))</f>
        <v>AUF LAGER</v>
      </c>
      <c r="AD589" s="772" t="str">
        <f t="shared" ca="1" si="266"/>
        <v>AUF LAGER</v>
      </c>
      <c r="AE589" s="605"/>
      <c r="AF589" s="605"/>
      <c r="AG589" s="615"/>
      <c r="AH589" s="616"/>
      <c r="AI589" s="615"/>
      <c r="AJ589" s="617"/>
      <c r="AK589" s="617"/>
      <c r="AL589" s="617"/>
      <c r="AM589" s="617"/>
      <c r="AN589" s="292"/>
      <c r="AO589" s="567" t="str">
        <f t="shared" si="251"/>
        <v/>
      </c>
      <c r="AP589" s="568" t="str">
        <f>IF(AB589=$V$3,IF(VLOOKUP(C589,[1]List1!$A:$E,5,FALSE)=0,1,VLOOKUP(C589,[1]List1!$A:$E,5,FALSE)),"")</f>
        <v/>
      </c>
      <c r="AQ589" s="292" t="str">
        <f t="shared" si="252"/>
        <v/>
      </c>
      <c r="AR589" s="618" t="str">
        <f t="shared" si="253"/>
        <v/>
      </c>
      <c r="AS589" s="292" t="str">
        <f t="shared" si="254"/>
        <v/>
      </c>
      <c r="AT589" s="377" t="e">
        <f t="shared" si="255"/>
        <v>#N/A</v>
      </c>
      <c r="AU589" s="292" t="e">
        <f t="shared" si="256"/>
        <v>#N/A</v>
      </c>
    </row>
    <row r="590" spans="1:47" ht="15" customHeight="1">
      <c r="A590" s="601" t="e">
        <f>Kat.!#REF!</f>
        <v>#REF!</v>
      </c>
      <c r="B590" s="601">
        <f t="shared" si="242"/>
        <v>1</v>
      </c>
      <c r="C590" s="783" t="s">
        <v>12106</v>
      </c>
      <c r="D590" s="783"/>
      <c r="E590" s="764"/>
      <c r="F590" s="761"/>
      <c r="G590" s="762"/>
      <c r="H590" s="596"/>
      <c r="I590" s="763"/>
      <c r="J590" s="764"/>
      <c r="K590" s="765"/>
      <c r="L590" s="771"/>
      <c r="M590" s="764"/>
      <c r="N590" s="784"/>
      <c r="O590" s="784"/>
      <c r="P590" s="763"/>
      <c r="Q590" s="764"/>
      <c r="R590" s="764"/>
      <c r="S590" s="764"/>
      <c r="T590" s="764"/>
      <c r="U590" s="768"/>
      <c r="V590" s="768"/>
      <c r="W590" s="769" t="str">
        <f>IFERROR(VLOOKUP('General price list'!$C590,Popisy!A:P,MATCH($W$17,Popisy!$A$7:$P$7,0),FALSE),"---------------")</f>
        <v>Karton mit Produktdesign</v>
      </c>
      <c r="X590" s="769" t="str">
        <f t="shared" si="265"/>
        <v/>
      </c>
      <c r="Y590" s="770">
        <f>IF(OR(AP590&lt;AA590,AND(NOT(OR(LEFT(AB590,3)="SKL",LEFT(AB590,3)=LEFT($V$2,3))),AA590&gt;0),AND('Deutsche Markt'!$AH$1=FALSE,J590="F4",AA590&gt;0)),"",AA590)</f>
        <v>0</v>
      </c>
      <c r="Z590" s="769"/>
      <c r="AA590" s="771">
        <f>'Deutsche Markt'!AA590</f>
        <v>0</v>
      </c>
      <c r="AB590" s="772" t="str">
        <f>IFERROR(IF(VLOOKUP(C590,[1]List1!$A:$D,2,FALSE)="VYPRODÁNO",$V$9,IF(VLOOKUP(C590,[1]List1!$A:$D,2,FALSE)="DOCHÁZÍ",$V$3,VLOOKUP(C590,[1]List1!$A:$D,2,FALSE))),"OFFLINE!")</f>
        <v>SKLADEM</v>
      </c>
      <c r="AC590" s="785" t="str">
        <f ca="1">IF(AO590="NE",$V$10,IF(AB590=$V$3,IF(AP590&lt;1,$V$8,$V$2&amp;" "&amp;AP590&amp;" "&amp;$V$1),IF(AB590="SKLADEM",$V$6,IFERROR(IF(OR(AB590-TODAY()&gt;21,VLOOKUP(C590,[1]List1!$A:$E,4,FALSE)=0),AB590,DAY(AB590)&amp;"."&amp;MONTH(AB590)&amp;"."&amp;YEAR(AB590)&amp;" "&amp;$V$4&amp;VLOOKUP(C590,[1]List1!$A:$E,4,FALSE)&amp;" "&amp;$V$1),AB590))))</f>
        <v>AUF LAGER</v>
      </c>
      <c r="AD590" s="785" t="str">
        <f t="shared" ca="1" si="266"/>
        <v>AUF LAGER</v>
      </c>
      <c r="AE590" s="605"/>
      <c r="AF590" s="605"/>
      <c r="AG590" s="615"/>
      <c r="AH590" s="616"/>
      <c r="AI590" s="615"/>
      <c r="AJ590" s="617"/>
      <c r="AK590" s="617"/>
      <c r="AL590" s="617"/>
      <c r="AM590" s="617"/>
      <c r="AN590" s="292"/>
      <c r="AO590" s="567" t="str">
        <f t="shared" si="251"/>
        <v/>
      </c>
      <c r="AP590" s="568" t="str">
        <f>IF(AB590=$V$3,IF(VLOOKUP(C590,[1]List1!$A:$E,5,FALSE)=0,1,VLOOKUP(C590,[1]List1!$A:$E,5,FALSE)),"")</f>
        <v/>
      </c>
      <c r="AQ590" s="292" t="str">
        <f t="shared" si="252"/>
        <v/>
      </c>
      <c r="AR590" s="618" t="str">
        <f t="shared" si="253"/>
        <v/>
      </c>
      <c r="AS590" s="292" t="str">
        <f t="shared" si="254"/>
        <v/>
      </c>
      <c r="AT590" s="377" t="e">
        <f t="shared" si="255"/>
        <v>#N/A</v>
      </c>
      <c r="AU590" s="292" t="e">
        <f t="shared" si="256"/>
        <v>#N/A</v>
      </c>
    </row>
    <row r="591" spans="1:47" ht="15" customHeight="1">
      <c r="A591" s="601" t="e">
        <f>Kat.!#REF!</f>
        <v>#REF!</v>
      </c>
      <c r="B591" s="601">
        <f t="shared" si="242"/>
        <v>1</v>
      </c>
      <c r="C591" s="783" t="s">
        <v>11836</v>
      </c>
      <c r="D591" s="783"/>
      <c r="E591" s="764"/>
      <c r="F591" s="761"/>
      <c r="G591" s="762"/>
      <c r="H591" s="595"/>
      <c r="I591" s="764"/>
      <c r="J591" s="764"/>
      <c r="K591" s="773"/>
      <c r="L591" s="764"/>
      <c r="M591" s="764"/>
      <c r="N591" s="764"/>
      <c r="O591" s="764"/>
      <c r="P591" s="764"/>
      <c r="Q591" s="764"/>
      <c r="R591" s="764"/>
      <c r="S591" s="764"/>
      <c r="T591" s="764"/>
      <c r="U591" s="764"/>
      <c r="V591" s="764"/>
      <c r="W591" s="764" t="str">
        <f>IFERROR(VLOOKUP('General price list'!$C591,Popisy!A:P,MATCH($W$17,Popisy!$A$7:$P$7,0),FALSE),"---------------")</f>
        <v>Karton mit Produktdesign</v>
      </c>
      <c r="X591" s="764" t="str">
        <f t="shared" si="265"/>
        <v/>
      </c>
      <c r="Y591" s="770">
        <f>IF(OR(AP591&lt;AA591,AND(NOT(OR(LEFT(AB591,3)="SKL",LEFT(AB591,3)=LEFT($V$2,3))),AA591&gt;0),AND('Deutsche Markt'!$AH$1=FALSE,J591="F4",AA591&gt;0)),"",AA591)</f>
        <v>0</v>
      </c>
      <c r="Z591" s="764"/>
      <c r="AA591" s="771">
        <f>'Deutsche Markt'!AA591</f>
        <v>0</v>
      </c>
      <c r="AB591" s="772" t="str">
        <f>IFERROR(IF(VLOOKUP(C591,[1]List1!$A:$D,2,FALSE)="VYPRODÁNO",$V$9,IF(VLOOKUP(C591,[1]List1!$A:$D,2,FALSE)="DOCHÁZÍ",$V$3,VLOOKUP(C591,[1]List1!$A:$D,2,FALSE))),"OFFLINE!")</f>
        <v>SKLADEM</v>
      </c>
      <c r="AC591" s="785" t="str">
        <f ca="1">IF(AO591="NE",$V$10,IF(AB591=$V$3,IF(AP591&lt;1,$V$8,$V$2&amp;" "&amp;AP591&amp;" "&amp;$V$1),IF(AB591="SKLADEM",$V$6,IFERROR(IF(OR(AB591-TODAY()&gt;21,VLOOKUP(C591,[1]List1!$A:$E,4,FALSE)=0),AB591,DAY(AB591)&amp;"."&amp;MONTH(AB591)&amp;"."&amp;YEAR(AB591)&amp;" "&amp;$V$4&amp;VLOOKUP(C591,[1]List1!$A:$E,4,FALSE)&amp;" "&amp;$V$1),AB591))))</f>
        <v>AUF LAGER</v>
      </c>
      <c r="AD591" s="785" t="str">
        <f t="shared" ca="1" si="266"/>
        <v>AUF LAGER</v>
      </c>
      <c r="AE591" s="609"/>
      <c r="AF591" s="609"/>
      <c r="AG591" s="627"/>
      <c r="AH591" s="609"/>
      <c r="AI591" s="627"/>
      <c r="AJ591" s="609"/>
      <c r="AK591" s="609"/>
      <c r="AL591" s="609"/>
      <c r="AM591" s="627"/>
      <c r="AO591" s="567" t="str">
        <f t="shared" si="251"/>
        <v/>
      </c>
      <c r="AP591" s="568" t="str">
        <f>IF(AB591=$V$3,IF(VLOOKUP(C591,[1]List1!$A:$E,5,FALSE)=0,1,VLOOKUP(C591,[1]List1!$A:$E,5,FALSE)),"")</f>
        <v/>
      </c>
      <c r="AQ591" s="292" t="str">
        <f t="shared" si="252"/>
        <v/>
      </c>
      <c r="AR591" s="618" t="str">
        <f t="shared" si="253"/>
        <v/>
      </c>
      <c r="AS591" s="292" t="str">
        <f t="shared" si="254"/>
        <v/>
      </c>
      <c r="AT591" s="377" t="e">
        <f t="shared" si="255"/>
        <v>#N/A</v>
      </c>
      <c r="AU591" s="292" t="e">
        <f t="shared" si="256"/>
        <v>#N/A</v>
      </c>
    </row>
    <row r="592" spans="1:47" ht="15" customHeight="1">
      <c r="A592" s="601" t="e">
        <f>Kat.!#REF!</f>
        <v>#REF!</v>
      </c>
      <c r="B592" s="601">
        <f t="shared" si="242"/>
        <v>1</v>
      </c>
      <c r="C592" s="783" t="s">
        <v>11838</v>
      </c>
      <c r="D592" s="783"/>
      <c r="E592" s="764"/>
      <c r="F592" s="761"/>
      <c r="G592" s="762"/>
      <c r="H592" s="596"/>
      <c r="I592" s="763"/>
      <c r="J592" s="764"/>
      <c r="K592" s="765"/>
      <c r="L592" s="771"/>
      <c r="M592" s="764"/>
      <c r="N592" s="784"/>
      <c r="O592" s="784"/>
      <c r="P592" s="763"/>
      <c r="Q592" s="764"/>
      <c r="R592" s="764"/>
      <c r="S592" s="764"/>
      <c r="T592" s="764"/>
      <c r="U592" s="768"/>
      <c r="V592" s="768"/>
      <c r="W592" s="769" t="str">
        <f>IFERROR(VLOOKUP('General price list'!$C592,Popisy!A:P,MATCH($W$17,Popisy!$A$7:$P$7,0),FALSE),"---------------")</f>
        <v>Karton mit Produktdesign</v>
      </c>
      <c r="X592" s="769" t="str">
        <f t="shared" si="265"/>
        <v/>
      </c>
      <c r="Y592" s="770">
        <f>IF(OR(AP592&lt;AA592,AND(NOT(OR(LEFT(AB592,3)="SKL",LEFT(AB592,3)=LEFT($V$2,3))),AA592&gt;0),AND('Deutsche Markt'!$AH$1=FALSE,J592="F4",AA592&gt;0)),"",AA592)</f>
        <v>0</v>
      </c>
      <c r="Z592" s="769"/>
      <c r="AA592" s="771">
        <f>'Deutsche Markt'!AA592</f>
        <v>0</v>
      </c>
      <c r="AB592" s="772" t="str">
        <f>IFERROR(IF(VLOOKUP(C592,[1]List1!$A:$D,2,FALSE)="VYPRODÁNO",$V$9,IF(VLOOKUP(C592,[1]List1!$A:$D,2,FALSE)="DOCHÁZÍ",$V$3,VLOOKUP(C592,[1]List1!$A:$D,2,FALSE))),"OFFLINE!")</f>
        <v>SKLADEM</v>
      </c>
      <c r="AC592" s="785" t="str">
        <f ca="1">IF(AO592="NE",$V$10,IF(AB592=$V$3,IF(AP592&lt;1,$V$8,$V$2&amp;" "&amp;AP592&amp;" "&amp;$V$1),IF(AB592="SKLADEM",$V$6,IFERROR(IF(OR(AB592-TODAY()&gt;21,VLOOKUP(C592,[1]List1!$A:$E,4,FALSE)=0),AB592,DAY(AB592)&amp;"."&amp;MONTH(AB592)&amp;"."&amp;YEAR(AB592)&amp;" "&amp;$V$4&amp;VLOOKUP(C592,[1]List1!$A:$E,4,FALSE)&amp;" "&amp;$V$1),AB592))))</f>
        <v>AUF LAGER</v>
      </c>
      <c r="AD592" s="785" t="str">
        <f t="shared" ca="1" si="266"/>
        <v>AUF LAGER</v>
      </c>
      <c r="AE592" s="605"/>
      <c r="AF592" s="605"/>
      <c r="AG592" s="615"/>
      <c r="AH592" s="616"/>
      <c r="AI592" s="615"/>
      <c r="AJ592" s="617"/>
      <c r="AK592" s="617"/>
      <c r="AL592" s="617"/>
      <c r="AM592" s="617"/>
      <c r="AO592" s="567" t="str">
        <f t="shared" si="251"/>
        <v/>
      </c>
      <c r="AP592" s="568" t="str">
        <f>IF(AB592=$V$3,IF(VLOOKUP(C592,[1]List1!$A:$E,5,FALSE)=0,1,VLOOKUP(C592,[1]List1!$A:$E,5,FALSE)),"")</f>
        <v/>
      </c>
      <c r="AQ592" s="292" t="str">
        <f t="shared" si="252"/>
        <v/>
      </c>
      <c r="AR592" s="618" t="str">
        <f t="shared" si="253"/>
        <v/>
      </c>
      <c r="AS592" s="292" t="str">
        <f t="shared" si="254"/>
        <v/>
      </c>
      <c r="AT592" s="377" t="e">
        <f t="shared" si="255"/>
        <v>#N/A</v>
      </c>
      <c r="AU592" s="292" t="e">
        <f t="shared" si="256"/>
        <v>#N/A</v>
      </c>
    </row>
    <row r="593" spans="1:47" ht="15" customHeight="1">
      <c r="A593" s="601" t="e">
        <f>Kat.!$B$1&amp;Kat.!#REF!</f>
        <v>#REF!</v>
      </c>
      <c r="B593" s="601">
        <f t="shared" si="242"/>
        <v>1</v>
      </c>
      <c r="C593" s="620" t="s">
        <v>11839</v>
      </c>
      <c r="D593" s="235"/>
      <c r="E593" s="604"/>
      <c r="F593" s="605"/>
      <c r="G593" s="606"/>
      <c r="H593" s="607"/>
      <c r="I593" s="636"/>
      <c r="J593" s="609"/>
      <c r="K593" s="708"/>
      <c r="L593" s="623"/>
      <c r="M593" s="609"/>
      <c r="N593" s="612"/>
      <c r="O593" s="608"/>
      <c r="P593" s="608"/>
      <c r="Q593" s="609"/>
      <c r="R593" s="609"/>
      <c r="S593" s="609"/>
      <c r="T593" s="609"/>
      <c r="U593" s="613"/>
      <c r="V593" s="613"/>
      <c r="W593" s="601" t="str">
        <f>IFERROR(VLOOKUP('General price list'!$C593,Popisy!A:P,MATCH($W$17,Popisy!$A$7:$P$7,0),FALSE),"---------------")</f>
        <v>Karton mit Produktdesign</v>
      </c>
      <c r="X593" s="601" t="str">
        <f t="shared" si="265"/>
        <v/>
      </c>
      <c r="Y593" s="770">
        <f>IF(OR(AP593&lt;AA593,AND(NOT(OR(LEFT(AB593,3)="SKL",LEFT(AB593,3)=LEFT($V$2,3))),AA593&gt;0),AND('Deutsche Markt'!$AH$1=FALSE,J593="F4",AA593&gt;0)),"",AA593)</f>
        <v>0</v>
      </c>
      <c r="Z593" s="601"/>
      <c r="AA593" s="771">
        <f>'Deutsche Markt'!AA593</f>
        <v>0</v>
      </c>
      <c r="AB593" s="614" t="str">
        <f>IFERROR(IF(VLOOKUP(C593,[1]List1!$A:$D,2,FALSE)="VYPRODÁNO",$V$9,IF(VLOOKUP(C593,[1]List1!$A:$D,2,FALSE)="DOCHÁZÍ",$V$3,VLOOKUP(C593,[1]List1!$A:$D,2,FALSE))),"OFFLINE!")</f>
        <v>SKLADEM</v>
      </c>
      <c r="AC593" s="614" t="str">
        <f ca="1">IF(AO593="NE",$V$10,IF(AB593=$V$3,IF(AP593&lt;1,$V$8,$V$2&amp;" "&amp;AP593&amp;" "&amp;$V$1),IF(AB593="SKLADEM",$V$6,IFERROR(IF(OR(AB593-TODAY()&gt;21,VLOOKUP(C593,[1]List1!$A:$E,4,FALSE)=0),AB593,DAY(AB593)&amp;"."&amp;MONTH(AB593)&amp;"."&amp;YEAR(AB593)&amp;" "&amp;$V$4&amp;VLOOKUP(C593,[1]List1!$A:$E,4,FALSE)&amp;" "&amp;$V$1),AB593))))</f>
        <v>AUF LAGER</v>
      </c>
      <c r="AD593" s="614" t="str">
        <f t="shared" ca="1" si="266"/>
        <v>AUF LAGER</v>
      </c>
      <c r="AE593" s="605"/>
      <c r="AF593" s="605"/>
      <c r="AG593" s="615"/>
      <c r="AH593" s="616"/>
      <c r="AI593" s="615"/>
      <c r="AJ593" s="617"/>
      <c r="AK593" s="617"/>
      <c r="AL593" s="617"/>
      <c r="AM593" s="617"/>
      <c r="AN593" s="292"/>
      <c r="AO593" s="567" t="str">
        <f t="shared" si="251"/>
        <v/>
      </c>
      <c r="AP593" s="568" t="str">
        <f>IF(AB593=$V$3,IF(VLOOKUP(C593,[1]List1!$A:$E,5,FALSE)=0,1,VLOOKUP(C593,[1]List1!$A:$E,5,FALSE)),"")</f>
        <v/>
      </c>
      <c r="AQ593" s="292" t="str">
        <f t="shared" si="252"/>
        <v/>
      </c>
      <c r="AR593" s="618" t="str">
        <f t="shared" si="253"/>
        <v/>
      </c>
      <c r="AS593" s="292" t="str">
        <f t="shared" si="254"/>
        <v/>
      </c>
      <c r="AT593" s="377" t="e">
        <f t="shared" si="255"/>
        <v>#N/A</v>
      </c>
      <c r="AU593" s="292" t="e">
        <f t="shared" si="256"/>
        <v>#N/A</v>
      </c>
    </row>
    <row r="594" spans="1:47" ht="15" customHeight="1">
      <c r="A594" s="601" t="e">
        <f>Kat.!#REF!</f>
        <v>#REF!</v>
      </c>
      <c r="B594" s="601">
        <f t="shared" si="242"/>
        <v>1</v>
      </c>
      <c r="C594" s="783" t="s">
        <v>11840</v>
      </c>
      <c r="D594" s="783"/>
      <c r="E594" s="764"/>
      <c r="F594" s="761"/>
      <c r="G594" s="762"/>
      <c r="H594" s="596"/>
      <c r="I594" s="787"/>
      <c r="J594" s="764"/>
      <c r="K594" s="765"/>
      <c r="L594" s="787"/>
      <c r="M594" s="764"/>
      <c r="N594" s="767"/>
      <c r="O594" s="763"/>
      <c r="P594" s="763"/>
      <c r="Q594" s="764"/>
      <c r="R594" s="764"/>
      <c r="S594" s="764"/>
      <c r="T594" s="764"/>
      <c r="U594" s="768"/>
      <c r="V594" s="768"/>
      <c r="W594" s="769" t="str">
        <f>IFERROR(VLOOKUP('General price list'!$C594,Popisy!A:P,MATCH($W$17,Popisy!$A$7:$P$7,0),FALSE),"---------------")</f>
        <v>Karton mit Produktdesign</v>
      </c>
      <c r="X594" s="769" t="str">
        <f t="shared" si="265"/>
        <v/>
      </c>
      <c r="Y594" s="770">
        <f>IF(OR(AP594&lt;AA594,AND(NOT(OR(LEFT(AB594,3)="SKL",LEFT(AB594,3)=LEFT($V$2,3))),AA594&gt;0),AND('Deutsche Markt'!$AH$1=FALSE,J594="F4",AA594&gt;0)),"",AA594)</f>
        <v>0</v>
      </c>
      <c r="Z594" s="769"/>
      <c r="AA594" s="771">
        <f>'Deutsche Markt'!AA594</f>
        <v>0</v>
      </c>
      <c r="AB594" s="772" t="str">
        <f>IFERROR(IF(VLOOKUP(C594,[1]List1!$A:$D,2,FALSE)="VYPRODÁNO",$V$9,IF(VLOOKUP(C594,[1]List1!$A:$D,2,FALSE)="DOCHÁZÍ",$V$3,VLOOKUP(C594,[1]List1!$A:$D,2,FALSE))),"OFFLINE!")</f>
        <v>SKLADEM</v>
      </c>
      <c r="AC594" s="772" t="str">
        <f ca="1">IF(AO594="NE",$V$10,IF(AB594=$V$3,IF(AP594&lt;1,$V$8,$V$2&amp;" "&amp;AP594&amp;" "&amp;$V$1),IF(AB594="SKLADEM",$V$6,IFERROR(IF(OR(AB594-TODAY()&gt;21,VLOOKUP(C594,[1]List1!$A:$E,4,FALSE)=0),AB594,DAY(AB594)&amp;"."&amp;MONTH(AB594)&amp;"."&amp;YEAR(AB594)&amp;" "&amp;$V$4&amp;VLOOKUP(C594,[1]List1!$A:$E,4,FALSE)&amp;" "&amp;$V$1),AB594))))</f>
        <v>AUF LAGER</v>
      </c>
      <c r="AD594" s="772" t="str">
        <f t="shared" ca="1" si="266"/>
        <v>AUF LAGER</v>
      </c>
      <c r="AE594" s="605"/>
      <c r="AF594" s="605"/>
      <c r="AG594" s="615"/>
      <c r="AH594" s="616"/>
      <c r="AI594" s="615"/>
      <c r="AJ594" s="617"/>
      <c r="AK594" s="617"/>
      <c r="AL594" s="617"/>
      <c r="AM594" s="617"/>
      <c r="AN594" s="292"/>
      <c r="AO594" s="567" t="str">
        <f t="shared" si="251"/>
        <v/>
      </c>
      <c r="AP594" s="568" t="str">
        <f>IF(AB594=$V$3,IF(VLOOKUP(C594,[1]List1!$A:$E,5,FALSE)=0,1,VLOOKUP(C594,[1]List1!$A:$E,5,FALSE)),"")</f>
        <v/>
      </c>
      <c r="AQ594" s="292" t="str">
        <f t="shared" si="252"/>
        <v/>
      </c>
      <c r="AR594" s="618" t="str">
        <f t="shared" si="253"/>
        <v/>
      </c>
      <c r="AS594" s="292" t="str">
        <f t="shared" si="254"/>
        <v/>
      </c>
      <c r="AT594" s="377" t="e">
        <f t="shared" si="255"/>
        <v>#N/A</v>
      </c>
      <c r="AU594" s="292" t="e">
        <f t="shared" si="256"/>
        <v>#N/A</v>
      </c>
    </row>
    <row r="595" spans="1:47" ht="15" customHeight="1">
      <c r="A595" s="601" t="e">
        <f>Kat.!#REF!</f>
        <v>#REF!</v>
      </c>
      <c r="B595" s="601">
        <f t="shared" si="242"/>
        <v>1</v>
      </c>
      <c r="C595" s="778" t="s">
        <v>11841</v>
      </c>
      <c r="D595" s="778"/>
      <c r="E595" s="778"/>
      <c r="F595" s="779"/>
      <c r="G595" s="778"/>
      <c r="H595" s="778"/>
      <c r="I595" s="778"/>
      <c r="J595" s="778"/>
      <c r="K595" s="773"/>
      <c r="L595" s="778"/>
      <c r="M595" s="778"/>
      <c r="N595" s="778"/>
      <c r="O595" s="778"/>
      <c r="P595" s="778"/>
      <c r="Q595" s="778"/>
      <c r="R595" s="778"/>
      <c r="S595" s="778"/>
      <c r="T595" s="778"/>
      <c r="U595" s="778"/>
      <c r="V595" s="778"/>
      <c r="W595" s="778"/>
      <c r="X595" s="778"/>
      <c r="Y595" s="770">
        <f>IF(OR(AP595&lt;AA595,AND(NOT(OR(LEFT(AB595,3)="SKL",LEFT(AB595,3)=LEFT($V$2,3))),AA595&gt;0),AND('Deutsche Markt'!$AH$1=FALSE,J595="F4",AA595&gt;0)),"",AA595)</f>
        <v>0</v>
      </c>
      <c r="Z595" s="778"/>
      <c r="AA595" s="771">
        <f>'Deutsche Markt'!AA595</f>
        <v>0</v>
      </c>
      <c r="AB595" s="778"/>
      <c r="AC595" s="778"/>
      <c r="AD595" s="778"/>
      <c r="AE595" s="599"/>
      <c r="AF595" s="599"/>
      <c r="AG595" s="599"/>
      <c r="AH595" s="599"/>
      <c r="AI595" s="599"/>
      <c r="AJ595" s="599"/>
      <c r="AK595" s="599"/>
      <c r="AL595" s="599"/>
      <c r="AM595" s="599"/>
      <c r="AN595" s="566"/>
      <c r="AO595" s="567" t="str">
        <f t="shared" si="251"/>
        <v/>
      </c>
      <c r="AP595" s="568" t="str">
        <f>IF(AB595=$V$3,IF(VLOOKUP(C595,[1]List1!$A:$E,5,FALSE)=0,1,VLOOKUP(C595,[1]List1!$A:$E,5,FALSE)),"")</f>
        <v/>
      </c>
      <c r="AQ595" s="292" t="str">
        <f t="shared" si="252"/>
        <v/>
      </c>
      <c r="AR595" s="618" t="str">
        <f t="shared" si="253"/>
        <v/>
      </c>
      <c r="AS595" s="292" t="str">
        <f t="shared" si="254"/>
        <v/>
      </c>
      <c r="AT595" s="377" t="e">
        <f t="shared" si="255"/>
        <v>#N/A</v>
      </c>
      <c r="AU595" s="292" t="e">
        <f t="shared" si="256"/>
        <v>#N/A</v>
      </c>
    </row>
    <row r="596" spans="1:47" ht="15" customHeight="1">
      <c r="A596" s="601" t="e">
        <f>Kat.!#REF!</f>
        <v>#REF!</v>
      </c>
      <c r="B596" s="601">
        <f t="shared" si="242"/>
        <v>1</v>
      </c>
      <c r="C596" s="783" t="s">
        <v>11842</v>
      </c>
      <c r="D596" s="783"/>
      <c r="E596" s="764"/>
      <c r="F596" s="761"/>
      <c r="G596" s="762"/>
      <c r="H596" s="596"/>
      <c r="I596" s="763"/>
      <c r="J596" s="764"/>
      <c r="K596" s="765"/>
      <c r="L596" s="771"/>
      <c r="M596" s="764"/>
      <c r="N596" s="784"/>
      <c r="O596" s="784"/>
      <c r="P596" s="763"/>
      <c r="Q596" s="764"/>
      <c r="R596" s="764"/>
      <c r="S596" s="764"/>
      <c r="T596" s="764"/>
      <c r="U596" s="768"/>
      <c r="V596" s="768"/>
      <c r="W596" s="769" t="str">
        <f>IFERROR(VLOOKUP('General price list'!$C596,Popisy!A:P,MATCH($W$17,Popisy!$A$7:$P$7,0),FALSE),"---------------")</f>
        <v>Karton mit Produktdesign</v>
      </c>
      <c r="X596" s="769" t="str">
        <f t="shared" ref="X596:X600" si="267">IF(AA596&lt;0.0001,"",AA596)</f>
        <v/>
      </c>
      <c r="Y596" s="770">
        <f>IF(OR(AP596&lt;AA596,AND(NOT(OR(LEFT(AB596,3)="SKL",LEFT(AB596,3)=LEFT($V$2,3))),AA596&gt;0),AND('Deutsche Markt'!$AH$1=FALSE,J596="F4",AA596&gt;0)),"",AA596)</f>
        <v>0</v>
      </c>
      <c r="Z596" s="769"/>
      <c r="AA596" s="771">
        <f>'Deutsche Markt'!AA596</f>
        <v>0</v>
      </c>
      <c r="AB596" s="772" t="str">
        <f>IFERROR(IF(VLOOKUP(C596,[1]List1!$A:$D,2,FALSE)="VYPRODÁNO",$V$9,IF(VLOOKUP(C596,[1]List1!$A:$D,2,FALSE)="DOCHÁZÍ",$V$3,VLOOKUP(C596,[1]List1!$A:$D,2,FALSE))),"OFFLINE!")</f>
        <v>SKLADEM</v>
      </c>
      <c r="AC596" s="785" t="str">
        <f ca="1">IF(AO596="NE",$V$10,IF(AB596=$V$3,IF(AP596&lt;1,$V$8,$V$2&amp;" "&amp;AP596&amp;" "&amp;$V$1),IF(AB596="SKLADEM",$V$6,IFERROR(IF(OR(AB596-TODAY()&gt;21,VLOOKUP(C596,[1]List1!$A:$E,4,FALSE)=0),AB596,DAY(AB596)&amp;"."&amp;MONTH(AB596)&amp;"."&amp;YEAR(AB596)&amp;" "&amp;$V$4&amp;VLOOKUP(C596,[1]List1!$A:$E,4,FALSE)&amp;" "&amp;$V$1),AB596))))</f>
        <v>AUF LAGER</v>
      </c>
      <c r="AD596" s="785" t="str">
        <f t="shared" ref="AD596:AD600" ca="1" si="268">IFERROR(IF(AU596&lt;&gt;"",AU596,AC596),AC596)</f>
        <v>AUF LAGER</v>
      </c>
      <c r="AE596" s="605"/>
      <c r="AF596" s="605"/>
      <c r="AG596" s="615"/>
      <c r="AH596" s="616"/>
      <c r="AI596" s="615"/>
      <c r="AJ596" s="617"/>
      <c r="AK596" s="617"/>
      <c r="AL596" s="617"/>
      <c r="AM596" s="617"/>
      <c r="AN596" s="292"/>
      <c r="AO596" s="567" t="str">
        <f t="shared" si="251"/>
        <v/>
      </c>
      <c r="AP596" s="568" t="str">
        <f>IF(AB596=$V$3,IF(VLOOKUP(C596,[1]List1!$A:$E,5,FALSE)=0,1,VLOOKUP(C596,[1]List1!$A:$E,5,FALSE)),"")</f>
        <v/>
      </c>
      <c r="AQ596" s="292" t="str">
        <f t="shared" si="252"/>
        <v/>
      </c>
      <c r="AR596" s="618" t="str">
        <f t="shared" si="253"/>
        <v/>
      </c>
      <c r="AS596" s="292" t="str">
        <f t="shared" si="254"/>
        <v/>
      </c>
      <c r="AT596" s="377" t="e">
        <f t="shared" si="255"/>
        <v>#N/A</v>
      </c>
      <c r="AU596" s="292" t="e">
        <f t="shared" si="256"/>
        <v>#N/A</v>
      </c>
    </row>
    <row r="597" spans="1:47" ht="15" customHeight="1">
      <c r="A597" s="601" t="e">
        <f>Kat.!#REF!</f>
        <v>#REF!</v>
      </c>
      <c r="B597" s="601">
        <f t="shared" si="242"/>
        <v>1</v>
      </c>
      <c r="C597" s="775" t="s">
        <v>12107</v>
      </c>
      <c r="D597" s="776"/>
      <c r="E597" s="760"/>
      <c r="F597" s="761"/>
      <c r="G597" s="762"/>
      <c r="H597" s="596"/>
      <c r="I597" s="797"/>
      <c r="J597" s="764"/>
      <c r="K597" s="773"/>
      <c r="L597" s="782"/>
      <c r="M597" s="764"/>
      <c r="N597" s="767"/>
      <c r="O597" s="763"/>
      <c r="P597" s="763"/>
      <c r="Q597" s="764"/>
      <c r="R597" s="764"/>
      <c r="S597" s="764"/>
      <c r="T597" s="764"/>
      <c r="U597" s="768"/>
      <c r="V597" s="768"/>
      <c r="W597" s="769" t="str">
        <f>IFERROR(VLOOKUP('General price list'!$C597,Popisy!A:P,MATCH($W$17,Popisy!$A$7:$P$7,0),FALSE),"---------------")</f>
        <v>Karton mit Produktdesign</v>
      </c>
      <c r="X597" s="769" t="str">
        <f t="shared" si="267"/>
        <v/>
      </c>
      <c r="Y597" s="770">
        <f>IF(OR(AP597&lt;AA597,AND(NOT(OR(LEFT(AB597,3)="SKL",LEFT(AB597,3)=LEFT($V$2,3))),AA597&gt;0),AND('Deutsche Markt'!$AH$1=FALSE,J597="F4",AA597&gt;0)),"",AA597)</f>
        <v>0</v>
      </c>
      <c r="Z597" s="769"/>
      <c r="AA597" s="771">
        <f>'Deutsche Markt'!AA597</f>
        <v>0</v>
      </c>
      <c r="AB597" s="772" t="str">
        <f>IFERROR(IF(VLOOKUP(C597,[1]List1!$A:$D,2,FALSE)="VYPRODÁNO",$V$9,IF(VLOOKUP(C597,[1]List1!$A:$D,2,FALSE)="DOCHÁZÍ",$V$3,VLOOKUP(C597,[1]List1!$A:$D,2,FALSE))),"OFFLINE!")</f>
        <v>SKLADEM</v>
      </c>
      <c r="AC597" s="772" t="str">
        <f ca="1">IF(AO597="NE",$V$10,IF(AB597=$V$3,IF(AP597&lt;1,$V$8,$V$2&amp;" "&amp;AP597&amp;" "&amp;$V$1),IF(AB597="SKLADEM",$V$6,IFERROR(IF(OR(AB597-TODAY()&gt;21,VLOOKUP(C597,[1]List1!$A:$E,4,FALSE)=0),AB597,DAY(AB597)&amp;"."&amp;MONTH(AB597)&amp;"."&amp;YEAR(AB597)&amp;" "&amp;$V$4&amp;VLOOKUP(C597,[1]List1!$A:$E,4,FALSE)&amp;" "&amp;$V$1),AB597))))</f>
        <v>AUF LAGER</v>
      </c>
      <c r="AD597" s="772" t="str">
        <f t="shared" ca="1" si="268"/>
        <v>AUF LAGER</v>
      </c>
      <c r="AE597" s="605"/>
      <c r="AF597" s="605"/>
      <c r="AG597" s="615"/>
      <c r="AH597" s="616"/>
      <c r="AI597" s="615"/>
      <c r="AJ597" s="617"/>
      <c r="AK597" s="617"/>
      <c r="AL597" s="617"/>
      <c r="AM597" s="617"/>
      <c r="AN597" s="292"/>
      <c r="AO597" s="567" t="str">
        <f t="shared" si="251"/>
        <v/>
      </c>
      <c r="AP597" s="568" t="str">
        <f>IF(AB597=$V$3,IF(VLOOKUP(C597,[1]List1!$A:$E,5,FALSE)=0,1,VLOOKUP(C597,[1]List1!$A:$E,5,FALSE)),"")</f>
        <v/>
      </c>
      <c r="AQ597" s="292" t="str">
        <f t="shared" si="252"/>
        <v/>
      </c>
      <c r="AR597" s="618" t="str">
        <f t="shared" si="253"/>
        <v/>
      </c>
      <c r="AS597" s="292" t="str">
        <f t="shared" si="254"/>
        <v/>
      </c>
      <c r="AT597" s="377" t="e">
        <f t="shared" si="255"/>
        <v>#N/A</v>
      </c>
      <c r="AU597" s="292" t="e">
        <f t="shared" si="256"/>
        <v>#N/A</v>
      </c>
    </row>
    <row r="598" spans="1:47" ht="15" customHeight="1">
      <c r="A598" s="601" t="e">
        <f>Kat.!#REF!</f>
        <v>#REF!</v>
      </c>
      <c r="B598" s="601">
        <f t="shared" si="242"/>
        <v>1</v>
      </c>
      <c r="C598" s="783" t="s">
        <v>13697</v>
      </c>
      <c r="D598" s="800"/>
      <c r="E598" s="760"/>
      <c r="F598" s="761"/>
      <c r="G598" s="762"/>
      <c r="H598" s="596"/>
      <c r="I598" s="763"/>
      <c r="J598" s="764"/>
      <c r="K598" s="765"/>
      <c r="L598" s="782"/>
      <c r="M598" s="764"/>
      <c r="N598" s="767"/>
      <c r="O598" s="763"/>
      <c r="P598" s="763"/>
      <c r="Q598" s="764"/>
      <c r="R598" s="764"/>
      <c r="S598" s="764"/>
      <c r="T598" s="764"/>
      <c r="U598" s="768"/>
      <c r="V598" s="768"/>
      <c r="W598" s="769" t="str">
        <f>IFERROR(VLOOKUP('General price list'!$C598,Popisy!A:P,MATCH($W$17,Popisy!$A$7:$P$7,0),FALSE),"---------------")</f>
        <v>---------------</v>
      </c>
      <c r="X598" s="769" t="str">
        <f t="shared" si="267"/>
        <v/>
      </c>
      <c r="Y598" s="770">
        <f>IF(OR(AP598&lt;AA598,AND(NOT(OR(LEFT(AB598,3)="SKL",LEFT(AB598,3)=LEFT($V$2,3))),AA598&gt;0),AND('Deutsche Markt'!$AH$1=FALSE,J598="F4",AA598&gt;0)),"",AA598)</f>
        <v>0</v>
      </c>
      <c r="Z598" s="769"/>
      <c r="AA598" s="771">
        <f>'Deutsche Markt'!AA598</f>
        <v>0</v>
      </c>
      <c r="AB598" s="772" t="str">
        <f>IFERROR(IF(VLOOKUP(C598,[1]List1!$A:$D,2,FALSE)="VYPRODÁNO",$V$9,IF(VLOOKUP(C598,[1]List1!$A:$D,2,FALSE)="DOCHÁZÍ",$V$3,VLOOKUP(C598,[1]List1!$A:$D,2,FALSE))),"OFFLINE!")</f>
        <v>SKLADEM</v>
      </c>
      <c r="AC598" s="772" t="str">
        <f ca="1">IF(AO598="NE",$V$10,IF(AB598=$V$3,IF(AP598&lt;1,$V$8,$V$2&amp;" "&amp;AP598&amp;" "&amp;$V$1),IF(AB598="SKLADEM",$V$6,IFERROR(IF(OR(AB598-TODAY()&gt;21,VLOOKUP(C598,[1]List1!$A:$E,4,FALSE)=0),AB598,DAY(AB598)&amp;"."&amp;MONTH(AB598)&amp;"."&amp;YEAR(AB598)&amp;" "&amp;$V$4&amp;VLOOKUP(C598,[1]List1!$A:$E,4,FALSE)&amp;" "&amp;$V$1),AB598))))</f>
        <v>AUF LAGER</v>
      </c>
      <c r="AD598" s="772" t="str">
        <f t="shared" ca="1" si="268"/>
        <v>AUF LAGER</v>
      </c>
      <c r="AE598" s="605"/>
      <c r="AF598" s="605"/>
      <c r="AG598" s="615"/>
      <c r="AH598" s="616"/>
      <c r="AI598" s="615"/>
      <c r="AJ598" s="617"/>
      <c r="AK598" s="617"/>
      <c r="AL598" s="617"/>
      <c r="AM598" s="617"/>
      <c r="AN598" s="292"/>
      <c r="AO598" s="567" t="str">
        <f t="shared" si="251"/>
        <v/>
      </c>
      <c r="AP598" s="568" t="str">
        <f>IF(AB598=$V$3,IF(VLOOKUP(C598,[1]List1!$A:$E,5,FALSE)=0,1,VLOOKUP(C598,[1]List1!$A:$E,5,FALSE)),"")</f>
        <v/>
      </c>
      <c r="AQ598" s="292" t="str">
        <f t="shared" si="252"/>
        <v/>
      </c>
      <c r="AR598" s="618" t="str">
        <f t="shared" si="253"/>
        <v/>
      </c>
      <c r="AS598" s="292" t="str">
        <f t="shared" si="254"/>
        <v/>
      </c>
      <c r="AT598" s="377" t="e">
        <f t="shared" si="255"/>
        <v>#N/A</v>
      </c>
      <c r="AU598" s="292" t="e">
        <f t="shared" si="256"/>
        <v>#N/A</v>
      </c>
    </row>
    <row r="599" spans="1:47" ht="15" customHeight="1">
      <c r="A599" s="601" t="e">
        <f>Kat.!#REF!</f>
        <v>#REF!</v>
      </c>
      <c r="B599" s="601">
        <f t="shared" si="242"/>
        <v>1</v>
      </c>
      <c r="C599" s="783" t="s">
        <v>11843</v>
      </c>
      <c r="D599" s="800"/>
      <c r="E599" s="760"/>
      <c r="F599" s="761"/>
      <c r="G599" s="762"/>
      <c r="H599" s="596"/>
      <c r="I599" s="763"/>
      <c r="J599" s="764"/>
      <c r="K599" s="773"/>
      <c r="L599" s="782"/>
      <c r="M599" s="764"/>
      <c r="N599" s="767"/>
      <c r="O599" s="763"/>
      <c r="P599" s="763"/>
      <c r="Q599" s="764"/>
      <c r="R599" s="764"/>
      <c r="S599" s="764"/>
      <c r="T599" s="764"/>
      <c r="U599" s="768"/>
      <c r="V599" s="768"/>
      <c r="W599" s="769" t="str">
        <f>IFERROR(VLOOKUP('General price list'!$C599,Popisy!A:P,MATCH($W$17,Popisy!$A$7:$P$7,0),FALSE),"---------------")</f>
        <v>Karton mit Produktdesign</v>
      </c>
      <c r="X599" s="769" t="str">
        <f t="shared" si="267"/>
        <v/>
      </c>
      <c r="Y599" s="770">
        <f>IF(OR(AP599&lt;AA599,AND(NOT(OR(LEFT(AB599,3)="SKL",LEFT(AB599,3)=LEFT($V$2,3))),AA599&gt;0),AND('Deutsche Markt'!$AH$1=FALSE,J599="F4",AA599&gt;0)),"",AA599)</f>
        <v>0</v>
      </c>
      <c r="Z599" s="769"/>
      <c r="AA599" s="771">
        <f>'Deutsche Markt'!AA599</f>
        <v>0</v>
      </c>
      <c r="AB599" s="772" t="str">
        <f>IFERROR(IF(VLOOKUP(C599,[1]List1!$A:$D,2,FALSE)="VYPRODÁNO",$V$9,IF(VLOOKUP(C599,[1]List1!$A:$D,2,FALSE)="DOCHÁZÍ",$V$3,VLOOKUP(C599,[1]List1!$A:$D,2,FALSE))),"OFFLINE!")</f>
        <v>SKLADEM</v>
      </c>
      <c r="AC599" s="772" t="str">
        <f ca="1">IF(AO599="NE",$V$10,IF(AB599=$V$3,IF(AP599&lt;1,$V$8,$V$2&amp;" "&amp;AP599&amp;" "&amp;$V$1),IF(AB599="SKLADEM",$V$6,IFERROR(IF(OR(AB599-TODAY()&gt;21,VLOOKUP(C599,[1]List1!$A:$E,4,FALSE)=0),AB599,DAY(AB599)&amp;"."&amp;MONTH(AB599)&amp;"."&amp;YEAR(AB599)&amp;" "&amp;$V$4&amp;VLOOKUP(C599,[1]List1!$A:$E,4,FALSE)&amp;" "&amp;$V$1),AB599))))</f>
        <v>AUF LAGER</v>
      </c>
      <c r="AD599" s="772" t="str">
        <f t="shared" ca="1" si="268"/>
        <v>AUF LAGER</v>
      </c>
      <c r="AE599" s="605"/>
      <c r="AF599" s="605"/>
      <c r="AG599" s="615"/>
      <c r="AH599" s="616"/>
      <c r="AI599" s="615"/>
      <c r="AJ599" s="617"/>
      <c r="AK599" s="617"/>
      <c r="AL599" s="617"/>
      <c r="AM599" s="617"/>
      <c r="AN599" s="292"/>
      <c r="AO599" s="567" t="str">
        <f t="shared" si="251"/>
        <v/>
      </c>
      <c r="AP599" s="568" t="str">
        <f>IF(AB599=$V$3,IF(VLOOKUP(C599,[1]List1!$A:$E,5,FALSE)=0,1,VLOOKUP(C599,[1]List1!$A:$E,5,FALSE)),"")</f>
        <v/>
      </c>
      <c r="AQ599" s="292" t="str">
        <f t="shared" si="252"/>
        <v/>
      </c>
      <c r="AR599" s="618" t="str">
        <f t="shared" si="253"/>
        <v/>
      </c>
      <c r="AS599" s="292" t="str">
        <f t="shared" si="254"/>
        <v/>
      </c>
      <c r="AT599" s="377" t="e">
        <f t="shared" si="255"/>
        <v>#N/A</v>
      </c>
      <c r="AU599" s="292" t="e">
        <f t="shared" si="256"/>
        <v>#N/A</v>
      </c>
    </row>
    <row r="600" spans="1:47" ht="15" customHeight="1">
      <c r="A600" s="601" t="e">
        <f>Kat.!#REF!</f>
        <v>#REF!</v>
      </c>
      <c r="B600" s="601">
        <f t="shared" si="242"/>
        <v>1</v>
      </c>
      <c r="C600" s="783" t="s">
        <v>11845</v>
      </c>
      <c r="D600" s="783"/>
      <c r="E600" s="764"/>
      <c r="F600" s="761"/>
      <c r="G600" s="762"/>
      <c r="H600" s="595"/>
      <c r="I600" s="764"/>
      <c r="J600" s="764"/>
      <c r="K600" s="765"/>
      <c r="L600" s="764"/>
      <c r="M600" s="764"/>
      <c r="N600" s="764"/>
      <c r="O600" s="764"/>
      <c r="P600" s="764"/>
      <c r="Q600" s="764"/>
      <c r="R600" s="764"/>
      <c r="S600" s="764"/>
      <c r="T600" s="764"/>
      <c r="U600" s="764"/>
      <c r="V600" s="764"/>
      <c r="W600" s="764" t="str">
        <f>IFERROR(VLOOKUP('General price list'!$C600,Popisy!A:P,MATCH($W$17,Popisy!$A$7:$P$7,0),FALSE),"---------------")</f>
        <v>Karton mit Produktdesign</v>
      </c>
      <c r="X600" s="764" t="str">
        <f t="shared" si="267"/>
        <v/>
      </c>
      <c r="Y600" s="770">
        <f>IF(OR(AP600&lt;AA600,AND(NOT(OR(LEFT(AB600,3)="SKL",LEFT(AB600,3)=LEFT($V$2,3))),AA600&gt;0),AND('Deutsche Markt'!$AH$1=FALSE,J600="F4",AA600&gt;0)),"",AA600)</f>
        <v>0</v>
      </c>
      <c r="Z600" s="764"/>
      <c r="AA600" s="771">
        <f>'Deutsche Markt'!AA600</f>
        <v>0</v>
      </c>
      <c r="AB600" s="772" t="str">
        <f>IFERROR(IF(VLOOKUP(C600,[1]List1!$A:$D,2,FALSE)="VYPRODÁNO",$V$9,IF(VLOOKUP(C600,[1]List1!$A:$D,2,FALSE)="DOCHÁZÍ",$V$3,VLOOKUP(C600,[1]List1!$A:$D,2,FALSE))),"OFFLINE!")</f>
        <v>SKLADEM</v>
      </c>
      <c r="AC600" s="785" t="str">
        <f ca="1">IF(AO600="NE",$V$10,IF(AB600=$V$3,IF(AP600&lt;1,$V$8,$V$2&amp;" "&amp;AP600&amp;" "&amp;$V$1),IF(AB600="SKLADEM",$V$6,IFERROR(IF(OR(AB600-TODAY()&gt;21,VLOOKUP(C600,[1]List1!$A:$E,4,FALSE)=0),AB600,DAY(AB600)&amp;"."&amp;MONTH(AB600)&amp;"."&amp;YEAR(AB600)&amp;" "&amp;$V$4&amp;VLOOKUP(C600,[1]List1!$A:$E,4,FALSE)&amp;" "&amp;$V$1),AB600))))</f>
        <v>AUF LAGER</v>
      </c>
      <c r="AD600" s="785" t="str">
        <f t="shared" ca="1" si="268"/>
        <v>AUF LAGER</v>
      </c>
      <c r="AE600" s="609"/>
      <c r="AF600" s="609"/>
      <c r="AG600" s="627"/>
      <c r="AH600" s="609"/>
      <c r="AI600" s="627"/>
      <c r="AJ600" s="609"/>
      <c r="AK600" s="609"/>
      <c r="AL600" s="609"/>
      <c r="AM600" s="627"/>
      <c r="AO600" s="567" t="str">
        <f t="shared" si="251"/>
        <v/>
      </c>
      <c r="AP600" s="568" t="str">
        <f>IF(AB600=$V$3,IF(VLOOKUP(C600,[1]List1!$A:$E,5,FALSE)=0,1,VLOOKUP(C600,[1]List1!$A:$E,5,FALSE)),"")</f>
        <v/>
      </c>
      <c r="AQ600" s="292" t="str">
        <f t="shared" si="252"/>
        <v/>
      </c>
      <c r="AR600" s="618" t="str">
        <f t="shared" si="253"/>
        <v/>
      </c>
      <c r="AS600" s="292" t="str">
        <f t="shared" si="254"/>
        <v/>
      </c>
      <c r="AT600" s="377" t="e">
        <f t="shared" si="255"/>
        <v>#N/A</v>
      </c>
      <c r="AU600" s="292" t="e">
        <f t="shared" si="256"/>
        <v>#N/A</v>
      </c>
    </row>
    <row r="601" spans="1:47" ht="15" customHeight="1">
      <c r="A601" s="601"/>
      <c r="B601" s="601">
        <f t="shared" ref="B601:B604" si="269">IF(OR(L601="ZUGEWIESEN",AND(C601&lt;&gt;"",M601="")),1,IF(AB601=$V$3,1,0))</f>
        <v>1</v>
      </c>
      <c r="C601" s="775" t="s">
        <v>11846</v>
      </c>
      <c r="D601" s="776"/>
      <c r="E601" s="760"/>
      <c r="F601" s="761"/>
      <c r="G601" s="762"/>
      <c r="H601" s="596"/>
      <c r="I601" s="797"/>
      <c r="J601" s="764"/>
      <c r="K601" s="773"/>
      <c r="L601" s="782"/>
      <c r="M601" s="764"/>
      <c r="N601" s="767"/>
      <c r="O601" s="763"/>
      <c r="P601" s="763"/>
      <c r="Q601" s="764"/>
      <c r="R601" s="764"/>
      <c r="S601" s="764"/>
      <c r="T601" s="764"/>
      <c r="U601" s="768"/>
      <c r="V601" s="768"/>
      <c r="W601" s="769"/>
      <c r="X601" s="769"/>
      <c r="Y601" s="770">
        <f>IF(OR(AP601&lt;AA601,AND(NOT(OR(LEFT(AB601,3)="SKL",LEFT(AB601,3)=LEFT($V$2,3))),AA601&gt;0),AND('Deutsche Markt'!$AH$1=FALSE,J601="F4",AA601&gt;0)),"",AA601)</f>
        <v>0</v>
      </c>
      <c r="Z601" s="769"/>
      <c r="AA601" s="771">
        <f>'Deutsche Markt'!AA601</f>
        <v>0</v>
      </c>
      <c r="AB601" s="772"/>
      <c r="AC601" s="772"/>
      <c r="AD601" s="772"/>
      <c r="AE601" s="605"/>
      <c r="AF601" s="605"/>
      <c r="AG601" s="615"/>
      <c r="AH601" s="616"/>
      <c r="AI601" s="615"/>
      <c r="AJ601" s="617"/>
      <c r="AK601" s="617"/>
      <c r="AL601" s="617"/>
      <c r="AM601" s="617"/>
      <c r="AO601" s="567" t="str">
        <f t="shared" si="251"/>
        <v/>
      </c>
      <c r="AP601" s="568" t="str">
        <f>IF(AB601=$V$3,IF(VLOOKUP(C601,[1]List1!$A:$E,5,FALSE)=0,1,VLOOKUP(C601,[1]List1!$A:$E,5,FALSE)),"")</f>
        <v/>
      </c>
      <c r="AQ601" s="292" t="str">
        <f t="shared" si="252"/>
        <v/>
      </c>
      <c r="AR601" s="618" t="str">
        <f t="shared" si="253"/>
        <v/>
      </c>
      <c r="AS601" s="292" t="str">
        <f t="shared" si="254"/>
        <v/>
      </c>
      <c r="AT601" s="377" t="e">
        <f t="shared" si="255"/>
        <v>#N/A</v>
      </c>
      <c r="AU601" s="292" t="e">
        <f t="shared" si="256"/>
        <v>#N/A</v>
      </c>
    </row>
    <row r="602" spans="1:47" ht="15" customHeight="1">
      <c r="A602" s="609" t="e">
        <f>Kat.!$B$1&amp;Kat.!#REF!</f>
        <v>#REF!</v>
      </c>
      <c r="B602" s="601">
        <f t="shared" si="269"/>
        <v>1</v>
      </c>
      <c r="C602" s="163" t="s">
        <v>11847</v>
      </c>
      <c r="D602" s="163"/>
      <c r="E602" s="609"/>
      <c r="F602" s="605"/>
      <c r="G602" s="606"/>
      <c r="H602" s="607"/>
      <c r="I602" s="608"/>
      <c r="J602" s="609"/>
      <c r="K602" s="708"/>
      <c r="L602" s="610"/>
      <c r="M602" s="609"/>
      <c r="N602" s="624"/>
      <c r="O602" s="624"/>
      <c r="P602" s="608"/>
      <c r="Q602" s="609"/>
      <c r="R602" s="609"/>
      <c r="S602" s="609"/>
      <c r="T602" s="609"/>
      <c r="U602" s="613"/>
      <c r="V602" s="613"/>
      <c r="W602" s="601" t="str">
        <f>IFERROR(VLOOKUP('General price list'!$C602,Popisy!A:P,MATCH($W$17,Popisy!$A$7:$P$7,0),FALSE),"---------------")</f>
        <v>Karton mit Produktdesign</v>
      </c>
      <c r="X602" s="601" t="str">
        <f t="shared" ref="X602:X604" si="270">IF(AA602&lt;0.0001,"",AA602)</f>
        <v/>
      </c>
      <c r="Y602" s="770">
        <f>IF(OR(AP602&lt;AA602,AND(NOT(OR(LEFT(AB602,3)="SKL",LEFT(AB602,3)=LEFT($V$2,3))),AA602&gt;0),AND('Deutsche Markt'!$AH$1=FALSE,J602="F4",AA602&gt;0)),"",AA602)</f>
        <v>0</v>
      </c>
      <c r="Z602" s="601"/>
      <c r="AA602" s="771">
        <f>'Deutsche Markt'!AA602</f>
        <v>0</v>
      </c>
      <c r="AB602" s="614" t="str">
        <f>IFERROR(IF(VLOOKUP(C602,[1]List1!$A:$D,2,FALSE)="VYPRODÁNO",$V$9,IF(VLOOKUP(C602,[1]List1!$A:$D,2,FALSE)="DOCHÁZÍ",$V$3,VLOOKUP(C602,[1]List1!$A:$D,2,FALSE))),"OFFLINE!")</f>
        <v>SKLADEM</v>
      </c>
      <c r="AC602" s="626" t="str">
        <f ca="1">IF(AO602="NE",$V$10,IF(AB602=$V$3,IF(AP602&lt;1,$V$8,$V$2&amp;" "&amp;AP602&amp;" "&amp;$V$1),IF(AB602="SKLADEM",$V$6,IFERROR(IF(OR(AB602-TODAY()&gt;21,VLOOKUP(C602,[1]List1!$A:$E,4,FALSE)=0),AB602,DAY(AB602)&amp;"."&amp;MONTH(AB602)&amp;"."&amp;YEAR(AB602)&amp;" "&amp;$V$4&amp;VLOOKUP(C602,[1]List1!$A:$E,4,FALSE)&amp;" "&amp;$V$1),AB602))))</f>
        <v>AUF LAGER</v>
      </c>
      <c r="AD602" s="626" t="str">
        <f t="shared" ref="AD602:AD604" ca="1" si="271">IFERROR(IF(AU602&lt;&gt;"",AU602,AC602),AC602)</f>
        <v>AUF LAGER</v>
      </c>
      <c r="AE602" s="605"/>
      <c r="AF602" s="605"/>
      <c r="AG602" s="615"/>
      <c r="AH602" s="616"/>
      <c r="AI602" s="615"/>
      <c r="AJ602" s="617"/>
      <c r="AK602" s="617"/>
      <c r="AL602" s="617"/>
      <c r="AM602" s="617"/>
      <c r="AN602" s="292"/>
      <c r="AO602" s="567" t="str">
        <f t="shared" si="251"/>
        <v/>
      </c>
      <c r="AP602" s="568" t="str">
        <f>IF(AB602=$V$3,IF(VLOOKUP(C602,[1]List1!$A:$E,5,FALSE)=0,1,VLOOKUP(C602,[1]List1!$A:$E,5,FALSE)),"")</f>
        <v/>
      </c>
      <c r="AQ602" s="292" t="str">
        <f t="shared" si="252"/>
        <v/>
      </c>
      <c r="AR602" s="618" t="str">
        <f t="shared" si="253"/>
        <v/>
      </c>
      <c r="AS602" s="292" t="str">
        <f t="shared" si="254"/>
        <v/>
      </c>
      <c r="AT602" s="377" t="e">
        <f t="shared" si="255"/>
        <v>#N/A</v>
      </c>
      <c r="AU602" s="292" t="e">
        <f t="shared" si="256"/>
        <v>#N/A</v>
      </c>
    </row>
    <row r="603" spans="1:47" ht="15" customHeight="1">
      <c r="A603" s="601" t="e">
        <f>Kat.!#REF!</f>
        <v>#REF!</v>
      </c>
      <c r="B603" s="601">
        <f t="shared" si="269"/>
        <v>1</v>
      </c>
      <c r="C603" s="775" t="s">
        <v>11848</v>
      </c>
      <c r="D603" s="776"/>
      <c r="E603" s="760"/>
      <c r="F603" s="761"/>
      <c r="G603" s="762"/>
      <c r="H603" s="596"/>
      <c r="I603" s="763"/>
      <c r="J603" s="801"/>
      <c r="K603" s="781"/>
      <c r="L603" s="766"/>
      <c r="M603" s="801"/>
      <c r="N603" s="802"/>
      <c r="O603" s="763"/>
      <c r="P603" s="763"/>
      <c r="Q603" s="764"/>
      <c r="R603" s="764"/>
      <c r="S603" s="764"/>
      <c r="T603" s="764"/>
      <c r="U603" s="768"/>
      <c r="V603" s="768"/>
      <c r="W603" s="769" t="str">
        <f>IFERROR(VLOOKUP('General price list'!$C603,Popisy!A:P,MATCH($W$17,Popisy!$A$7:$P$7,0),FALSE),"---------------")</f>
        <v>Karton mit Produktdesign</v>
      </c>
      <c r="X603" s="769" t="str">
        <f t="shared" si="270"/>
        <v/>
      </c>
      <c r="Y603" s="770">
        <f>IF(OR(AP603&lt;AA603,AND(NOT(OR(LEFT(AB603,3)="SKL",LEFT(AB603,3)=LEFT($V$2,3))),AA603&gt;0),AND('Deutsche Markt'!$AH$1=FALSE,J603="F4",AA603&gt;0)),"",AA603)</f>
        <v>0</v>
      </c>
      <c r="Z603" s="769"/>
      <c r="AA603" s="771">
        <f>'Deutsche Markt'!AA603</f>
        <v>0</v>
      </c>
      <c r="AB603" s="772" t="str">
        <f>IFERROR(IF(VLOOKUP(C603,[1]List1!$A:$D,2,FALSE)="VYPRODÁNO",$V$9,IF(VLOOKUP(C603,[1]List1!$A:$D,2,FALSE)="DOCHÁZÍ",$V$3,VLOOKUP(C603,[1]List1!$A:$D,2,FALSE))),"OFFLINE!")</f>
        <v>SKLADEM</v>
      </c>
      <c r="AC603" s="772" t="str">
        <f ca="1">IF(AO603="NE",$V$10,IF(AB603=$V$3,IF(AP603&lt;1,$V$8,$V$2&amp;" "&amp;AP603&amp;" "&amp;$V$1),IF(AB603="SKLADEM",$V$6,IFERROR(IF(OR(AB603-TODAY()&gt;21,VLOOKUP(C603,[1]List1!$A:$E,4,FALSE)=0),AB603,DAY(AB603)&amp;"."&amp;MONTH(AB603)&amp;"."&amp;YEAR(AB603)&amp;" "&amp;$V$4&amp;VLOOKUP(C603,[1]List1!$A:$E,4,FALSE)&amp;" "&amp;$V$1),AB603))))</f>
        <v>AUF LAGER</v>
      </c>
      <c r="AD603" s="772" t="str">
        <f t="shared" ca="1" si="271"/>
        <v>AUF LAGER</v>
      </c>
      <c r="AE603" s="605"/>
      <c r="AF603" s="605"/>
      <c r="AG603" s="615"/>
      <c r="AH603" s="616"/>
      <c r="AI603" s="615"/>
      <c r="AJ603" s="617"/>
      <c r="AK603" s="617"/>
      <c r="AL603" s="617"/>
      <c r="AM603" s="617"/>
      <c r="AN603" s="292"/>
      <c r="AO603" s="567" t="str">
        <f t="shared" si="251"/>
        <v/>
      </c>
      <c r="AP603" s="568" t="str">
        <f>IF(AB603=$V$3,IF(VLOOKUP(C603,[1]List1!$A:$E,5,FALSE)=0,1,VLOOKUP(C603,[1]List1!$A:$E,5,FALSE)),"")</f>
        <v/>
      </c>
      <c r="AQ603" s="292" t="str">
        <f t="shared" si="252"/>
        <v/>
      </c>
      <c r="AR603" s="618" t="str">
        <f t="shared" si="253"/>
        <v/>
      </c>
      <c r="AS603" s="292" t="str">
        <f t="shared" si="254"/>
        <v/>
      </c>
      <c r="AT603" s="377" t="e">
        <f t="shared" si="255"/>
        <v>#N/A</v>
      </c>
      <c r="AU603" s="292" t="e">
        <f t="shared" si="256"/>
        <v>#N/A</v>
      </c>
    </row>
    <row r="604" spans="1:47" ht="15" customHeight="1">
      <c r="A604" s="601" t="e">
        <f>Kat.!#REF!</f>
        <v>#REF!</v>
      </c>
      <c r="B604" s="601">
        <f t="shared" si="269"/>
        <v>1</v>
      </c>
      <c r="C604" s="783" t="s">
        <v>11849</v>
      </c>
      <c r="D604" s="783"/>
      <c r="E604" s="764"/>
      <c r="F604" s="761"/>
      <c r="G604" s="762"/>
      <c r="H604" s="595"/>
      <c r="I604" s="764"/>
      <c r="J604" s="764"/>
      <c r="K604" s="774"/>
      <c r="L604" s="764"/>
      <c r="M604" s="764"/>
      <c r="N604" s="764"/>
      <c r="O604" s="764"/>
      <c r="P604" s="764"/>
      <c r="Q604" s="764"/>
      <c r="R604" s="764"/>
      <c r="S604" s="764"/>
      <c r="T604" s="764"/>
      <c r="U604" s="764"/>
      <c r="V604" s="764"/>
      <c r="W604" s="764" t="str">
        <f>IFERROR(VLOOKUP('General price list'!$C604,Popisy!A:P,MATCH($W$17,Popisy!$A$7:$P$7,0),FALSE),"---------------")</f>
        <v>Karton mit Produktdesign</v>
      </c>
      <c r="X604" s="764" t="str">
        <f t="shared" si="270"/>
        <v/>
      </c>
      <c r="Y604" s="770">
        <f>IF(OR(AP604&lt;AA604,AND(NOT(OR(LEFT(AB604,3)="SKL",LEFT(AB604,3)=LEFT($V$2,3))),AA604&gt;0),AND('Deutsche Markt'!$AH$1=FALSE,J604="F4",AA604&gt;0)),"",AA604)</f>
        <v>0</v>
      </c>
      <c r="Z604" s="764"/>
      <c r="AA604" s="771">
        <f>'Deutsche Markt'!AA604</f>
        <v>0</v>
      </c>
      <c r="AB604" s="772" t="str">
        <f>IFERROR(IF(VLOOKUP(C604,[1]List1!$A:$D,2,FALSE)="VYPRODÁNO",$V$9,IF(VLOOKUP(C604,[1]List1!$A:$D,2,FALSE)="DOCHÁZÍ",$V$3,VLOOKUP(C604,[1]List1!$A:$D,2,FALSE))),"OFFLINE!")</f>
        <v>SKLADEM</v>
      </c>
      <c r="AC604" s="785" t="str">
        <f ca="1">IF(AO604="NE",$V$10,IF(AB604=$V$3,IF(AP604&lt;1,$V$8,$V$2&amp;" "&amp;AP604&amp;" "&amp;$V$1),IF(AB604="SKLADEM",$V$6,IFERROR(IF(OR(AB604-TODAY()&gt;21,VLOOKUP(C604,[1]List1!$A:$E,4,FALSE)=0),AB604,DAY(AB604)&amp;"."&amp;MONTH(AB604)&amp;"."&amp;YEAR(AB604)&amp;" "&amp;$V$4&amp;VLOOKUP(C604,[1]List1!$A:$E,4,FALSE)&amp;" "&amp;$V$1),AB604))))</f>
        <v>AUF LAGER</v>
      </c>
      <c r="AD604" s="785" t="str">
        <f t="shared" ca="1" si="271"/>
        <v>AUF LAGER</v>
      </c>
      <c r="AE604" s="609"/>
      <c r="AF604" s="609"/>
      <c r="AG604" s="627"/>
      <c r="AH604" s="609"/>
      <c r="AI604" s="627"/>
      <c r="AJ604" s="609"/>
      <c r="AK604" s="609"/>
      <c r="AL604" s="609"/>
      <c r="AM604" s="627"/>
      <c r="AO604" s="567" t="str">
        <f t="shared" si="251"/>
        <v/>
      </c>
      <c r="AP604" s="292" t="str">
        <f>IF(AB604=$V$3,IF(VLOOKUP(C604,[1]List1!$A:$E,5,FALSE)=0,1,VLOOKUP(C604,[1]List1!$A:$E,5,FALSE)),"")</f>
        <v/>
      </c>
      <c r="AQ604" s="292" t="str">
        <f t="shared" si="252"/>
        <v/>
      </c>
      <c r="AR604" s="618" t="str">
        <f t="shared" si="253"/>
        <v/>
      </c>
      <c r="AS604" s="292" t="str">
        <f t="shared" si="254"/>
        <v/>
      </c>
      <c r="AT604" s="377" t="e">
        <f t="shared" si="255"/>
        <v>#N/A</v>
      </c>
      <c r="AU604" s="292" t="e">
        <f t="shared" si="256"/>
        <v>#N/A</v>
      </c>
    </row>
    <row r="605" spans="1:47" ht="15" customHeight="1">
      <c r="A605" s="569"/>
      <c r="B605" s="565"/>
      <c r="C605" s="565"/>
      <c r="D605" s="569"/>
      <c r="E605" s="569"/>
      <c r="F605" s="569"/>
      <c r="G605" s="569"/>
      <c r="H605" s="569"/>
      <c r="I605" s="569"/>
      <c r="J605" s="570"/>
      <c r="K605" s="569"/>
      <c r="L605" s="569"/>
      <c r="M605" s="569"/>
      <c r="N605" s="569"/>
      <c r="O605" s="569"/>
      <c r="P605" s="569"/>
      <c r="Q605" s="569"/>
      <c r="R605" s="569"/>
      <c r="S605" s="569"/>
      <c r="T605" s="569"/>
      <c r="U605" s="569"/>
      <c r="V605" s="569"/>
      <c r="W605" s="569"/>
      <c r="X605" s="569"/>
      <c r="Y605" s="569"/>
      <c r="Z605" s="569"/>
      <c r="AA605" s="569"/>
      <c r="AB605" s="569"/>
      <c r="AC605" s="569"/>
      <c r="AD605" s="569"/>
      <c r="AE605" s="569"/>
      <c r="AF605" s="569"/>
      <c r="AG605" s="569"/>
      <c r="AH605" s="569"/>
      <c r="AI605" s="569"/>
      <c r="AJ605" s="569"/>
      <c r="AK605" s="569"/>
      <c r="AL605" s="569"/>
      <c r="AM605" s="569"/>
    </row>
    <row r="606" spans="1:47" ht="15" customHeight="1">
      <c r="A606" s="571"/>
      <c r="B606" s="527"/>
      <c r="C606" s="803"/>
      <c r="D606" s="572"/>
      <c r="E606" s="573"/>
      <c r="F606" s="576"/>
      <c r="G606" s="576"/>
      <c r="H606" s="804"/>
      <c r="I606" s="805"/>
      <c r="J606" s="574"/>
      <c r="K606" s="575"/>
      <c r="L606" s="378"/>
      <c r="M606" s="576"/>
      <c r="Q606" s="577"/>
      <c r="R606" s="576"/>
      <c r="S606" s="576"/>
      <c r="T606" s="576"/>
      <c r="U606" s="576"/>
      <c r="V606" s="573"/>
      <c r="W606" s="806"/>
      <c r="X606" s="806"/>
      <c r="Y606" s="807"/>
      <c r="AB606" s="808"/>
      <c r="AC606" s="808"/>
      <c r="AD606" s="809"/>
      <c r="AE606" s="639"/>
      <c r="AF606" s="639"/>
      <c r="AG606" s="640"/>
      <c r="AI606" s="377"/>
    </row>
    <row r="607" spans="1:47" ht="15" customHeight="1">
      <c r="A607" s="571"/>
      <c r="B607" s="527"/>
      <c r="C607" s="803"/>
      <c r="D607" s="810" t="str">
        <f>IF($W$17=$AE$1,"Jako plátci DPH účtujeme k uvedeným cenám 21% DPH.",IFERROR(VLOOKUP("Jako plátci DPH účtujeme k uvedeným cenám 21% DPH.",Jazyky_ceník!A:Q,MATCH(W17,Jazyky_ceník!A1:Q1,0),FALSE),"!!!"))</f>
        <v>Als Mehrwertsteuerzahler berechnen wir 21% Mehrwertsteuer auf die oben genannten Preise.</v>
      </c>
      <c r="E607" s="378"/>
      <c r="I607" s="805"/>
      <c r="J607" s="578"/>
      <c r="L607" s="575"/>
      <c r="M607" s="378"/>
      <c r="T607" s="377"/>
      <c r="V607" s="573"/>
      <c r="W607" s="1209"/>
      <c r="X607" s="811"/>
      <c r="Y607" s="807"/>
      <c r="Z607" s="812"/>
      <c r="AA607" s="813">
        <f>SUM(Y22:Y604)</f>
        <v>0</v>
      </c>
      <c r="AB607" s="814"/>
      <c r="AC607" s="814"/>
      <c r="AD607" s="1176">
        <f>SUM(AE22:AE604)</f>
        <v>0</v>
      </c>
      <c r="AE607" s="1177"/>
      <c r="AF607" s="641">
        <f>SUM(AF22:AF604)</f>
        <v>0</v>
      </c>
      <c r="AG607" s="641">
        <f>SUM(AG22:AG604)</f>
        <v>0</v>
      </c>
      <c r="AH607" s="641">
        <f>SUM(AH22:AH604)</f>
        <v>0</v>
      </c>
      <c r="AI607" s="642">
        <f>SUM(AI22:AI604)</f>
        <v>0</v>
      </c>
      <c r="AJ607" s="642">
        <f>SUM(AJ22:AJ604)</f>
        <v>0</v>
      </c>
      <c r="AK607" s="642">
        <f>SUM(AK22:AK604)</f>
        <v>0</v>
      </c>
      <c r="AL607" s="642">
        <f>SUM(AL22:AL604)</f>
        <v>0</v>
      </c>
      <c r="AM607" s="642">
        <f>SUM(AM22:AM604)</f>
        <v>0</v>
      </c>
    </row>
    <row r="608" spans="1:47" ht="15" customHeight="1">
      <c r="A608" s="571"/>
      <c r="B608" s="527"/>
      <c r="C608" s="803"/>
      <c r="D608" s="1217" t="str">
        <f>IF($W$17=$AE$1,"Touto barvou jsou označeny novinky 2022.",IFERROR(VLOOKUP("Touto barvou jsou označeny novinky 2022.",Jazyky_ceník!A:Q,MATCH(W17,Jazyky_ceník!A1:Q1,0),FALSE),"!!!"))</f>
        <v>!!!</v>
      </c>
      <c r="E608" s="1217"/>
      <c r="F608" s="1217"/>
      <c r="G608" s="1217"/>
      <c r="I608" s="567"/>
      <c r="J608" s="578"/>
      <c r="T608" s="377"/>
      <c r="V608" s="573"/>
      <c r="W608" s="1209"/>
      <c r="X608" s="811"/>
      <c r="Y608" s="807"/>
      <c r="AA608" s="1178" t="str">
        <f>IF($W$17=$AE$1,"Objednáno kartonů",IFERROR(VLOOKUP("Objednáno kartonů",Jazyky_ceník!A:Q,MATCH(W17,Jazyky_ceník!A1:Q1,0),FALSE),"---------------"))</f>
        <v>Bestellte Kartons</v>
      </c>
      <c r="AB608" s="815"/>
      <c r="AC608" s="815"/>
      <c r="AD608" s="1179" t="str">
        <f>IF($W$17=$AE$1,"celkem",IFERROR(VLOOKUP("celkem",Jazyky_ceník!A:Q,MATCH(W17,Jazyky_ceník!A1:Q1,0),FALSE),"!!!"))</f>
        <v>insgesamt</v>
      </c>
      <c r="AE608" s="1180"/>
      <c r="AF608" s="643" t="str">
        <f>IF($W$17=$AE$1,"celkem",IFERROR(VLOOKUP("celkem",Jazyky_ceník!A:Q,MATCH(W17,Jazyky_ceník!A1:Q1,0),FALSE),"!!!"))</f>
        <v>insgesamt</v>
      </c>
      <c r="AG608" s="644" t="str">
        <f>IF($W$17=$AE$1,"celkem",IFERROR(VLOOKUP("celkem",Jazyky_ceník!A:Q,MATCH(W17,Jazyky_ceník!A1:Q1,0),FALSE),"!!!"))</f>
        <v>insgesamt</v>
      </c>
      <c r="AH608" s="539" t="str">
        <f>IF($W$17=$AE$1,"celkem",IFERROR(VLOOKUP("celkem",Jazyky_ceník!A:Q,MATCH(W17,Jazyky_ceník!A1:Q1,0),FALSE),"!!!"))</f>
        <v>insgesamt</v>
      </c>
      <c r="AI608" s="539" t="str">
        <f>IF($W$17=$AE$1,"celkem",IFERROR(VLOOKUP("celkem",Jazyky_ceník!A:Q,MATCH(W17,Jazyky_ceník!A1:Q1,0),FALSE),"!!!"))</f>
        <v>insgesamt</v>
      </c>
      <c r="AJ608" s="539" t="s">
        <v>11</v>
      </c>
      <c r="AK608" s="539" t="s">
        <v>12</v>
      </c>
      <c r="AL608" s="539" t="s">
        <v>13</v>
      </c>
      <c r="AM608" s="539" t="str">
        <f>IF($W$17=$AE$1,"celkem",IFERROR(VLOOKUP("celkem",Jazyky_ceník!A:Q,MATCH(W17,Jazyky_ceník!A1:Q1,0),FALSE),"!!!"))</f>
        <v>insgesamt</v>
      </c>
    </row>
    <row r="609" spans="1:39" ht="15" customHeight="1">
      <c r="A609" s="571"/>
      <c r="B609" s="527"/>
      <c r="C609" s="803"/>
      <c r="D609" s="816" t="str">
        <f>IF($W$17=$AE$1,"Pro nákup KAT. F4 a T2 je potřebný průkaz osoby odborně způsobilé, resp. odpalovače ohňostrojů!",IFERROR(VLOOKUP("Pro nákup KAT. F4 a T2 je potřebný průkaz osoby odborně způsobilé, resp. odpalovače ohňostrojů!",Jazyky_ceník!A:Q,MATCH(W17,Jazyky_ceník!A1:Q1,0),FALSE),"!!!"))</f>
        <v>Für den Kauf von KAT F4 und T2 ist eine Lizenz einer fachkundigen Person erforderlich!</v>
      </c>
      <c r="E609" s="378"/>
      <c r="F609" s="576"/>
      <c r="H609" s="378"/>
      <c r="I609" s="579"/>
      <c r="J609" s="570"/>
      <c r="K609" s="378"/>
      <c r="L609" s="378"/>
      <c r="M609" s="378"/>
      <c r="T609" s="377"/>
      <c r="V609" s="573"/>
      <c r="W609" s="580"/>
      <c r="X609" s="580"/>
      <c r="Y609" s="807"/>
      <c r="Z609" s="535"/>
      <c r="AA609" s="1178"/>
      <c r="AB609" s="815"/>
      <c r="AC609" s="815"/>
      <c r="AD609" s="1181" t="str">
        <f>AE18&amp;AE19</f>
        <v>CZK(ohne MWSt.)</v>
      </c>
      <c r="AE609" s="1182"/>
      <c r="AF609" s="643" t="str">
        <f>"CZK"&amp;IF($W$17=$AE$1,"(vč. DPH)",IFERROR(VLOOKUP("(vč. DPH)",Jazyky_ceník!A:Q,MATCH(W17,Jazyky_ceník!A1:Q1,0),FALSE),"!!!"))</f>
        <v>CZK(mit MWSt.)</v>
      </c>
      <c r="AG609" s="644" t="str">
        <f>"EUR"&amp;IF($W$17=$AE$1,"(bez DPH)",IFERROR(VLOOKUP("(bez DPH)",Jazyky_ceník!A:Q,MATCH(W17,Jazyky_ceník!A1:Q1,0),FALSE),"!!!"))</f>
        <v>EUR(ohne MWSt.)</v>
      </c>
      <c r="AH609" s="539" t="s">
        <v>2654</v>
      </c>
      <c r="AI609" s="539" t="s">
        <v>2655</v>
      </c>
      <c r="AJ609" s="539" t="s">
        <v>2905</v>
      </c>
      <c r="AK609" s="539" t="s">
        <v>2905</v>
      </c>
      <c r="AL609" s="539" t="s">
        <v>2905</v>
      </c>
      <c r="AM609" s="539" t="s">
        <v>2905</v>
      </c>
    </row>
    <row r="610" spans="1:39" ht="23.25" customHeight="1">
      <c r="A610" s="571"/>
      <c r="B610" s="527"/>
      <c r="C610" s="803"/>
      <c r="D610" s="581" t="str">
        <f>IF($W$17=$AE$1,"Pro zákazníky, kteří mají slevu více než 50% platí minimální jednorázový odběr 10.000Kč",IFERROR(VLOOKUP("Pro zákazníky, kteří mají slevu více než 50% platí minimální jednorázový odběr 10.000Kč",Jazyky_ceník!A:Q,MATCH(W17,Jazyky_ceník!A1:Q1,0),FALSE),"!!!"))</f>
        <v>Für Kunden mit einem Rabatt von mehr als 50% beträgt der Mindesteinkauf 10.000 CZK.</v>
      </c>
      <c r="E610" s="378"/>
      <c r="I610" s="805"/>
      <c r="J610" s="578"/>
      <c r="L610" s="575"/>
      <c r="M610" s="378"/>
      <c r="T610" s="377"/>
      <c r="V610" s="573"/>
      <c r="W610" s="582"/>
      <c r="X610" s="582"/>
      <c r="Y610" s="807"/>
      <c r="Z610" s="535"/>
      <c r="AA610" s="1174" t="str">
        <f>IF($W$17=$AE$1,"Maximální výška palety = 180 cm!",IFERROR(VLOOKUP("Maximální výška palety = 180 cm!",Jazyky_ceník!A:Q,MATCH(W17,Jazyky_ceník!A1:Q1,0),FALSE),"!!!"))</f>
        <v>Maximale Palettenhöhe = 180 cm!</v>
      </c>
      <c r="AB610" s="1174"/>
      <c r="AC610" s="1174"/>
      <c r="AD610" s="1174"/>
      <c r="AE610" s="1175"/>
      <c r="AF610" s="639"/>
      <c r="AG610" s="640"/>
      <c r="AI610" s="377"/>
    </row>
    <row r="611" spans="1:39" ht="15" customHeight="1">
      <c r="A611" s="571"/>
      <c r="B611" s="527"/>
      <c r="C611" s="817"/>
      <c r="D611" s="818" t="str">
        <f>IF($W$17=$AE$1,"Všechny ceny uvedené v tomto ceníku jsou bez dopravy (EXW Incoterms 2010) tzn., že si zákazník dopravu musí uhradit sám.",IFERROR(VLOOKUP("Všechny ceny uvedené v tomto ceníku jsou bez dopravy (EXW Incoterms 2010) tzn., že si zákazník dopravu musí uhradit sám.",Jazyky_ceník!A:Q,MATCH(W17,Jazyky_ceník!A1:Q1,0),FALSE),"!!!"))</f>
        <v>Alle Preise in dieser Preisliste verstehen sich ohne Versand (EXW Incoterms 2010), dh der Kunde muss den Transport selbst bezahlen.</v>
      </c>
      <c r="E611" s="378"/>
      <c r="I611" s="805"/>
      <c r="J611" s="578"/>
      <c r="L611" s="575"/>
      <c r="M611" s="378"/>
      <c r="T611" s="377"/>
      <c r="V611" s="573"/>
      <c r="W611" s="383"/>
      <c r="X611" s="383"/>
      <c r="Y611" s="819"/>
      <c r="AA611" s="820"/>
      <c r="AB611" s="820"/>
      <c r="AC611" s="820"/>
      <c r="AD611" s="821"/>
      <c r="AF611" s="1199" t="str">
        <f>IF($W$17=$AE$1,"Výpočet bodů podle ADR:",IFERROR(VLOOKUP("Výpočet bodů podle ADR:",Jazyky_ceník!A:Q,MATCH(W17,Jazyky_ceník!A1:Q1,0),FALSE),"---------------"))</f>
        <v>Punkteberechnung nach ADR:</v>
      </c>
      <c r="AG611" s="1200"/>
      <c r="AH611" s="1200"/>
      <c r="AI611" s="1200"/>
      <c r="AJ611" s="1198">
        <f>(AJ607*50)</f>
        <v>0</v>
      </c>
      <c r="AK611" s="1198">
        <f>(AK607*50)</f>
        <v>0</v>
      </c>
      <c r="AL611" s="1198">
        <f>(AL607*3)</f>
        <v>0</v>
      </c>
      <c r="AM611" s="1197">
        <f>SUM(AJ611:AL611)</f>
        <v>0</v>
      </c>
    </row>
    <row r="612" spans="1:39" ht="15" customHeight="1">
      <c r="A612" s="571"/>
      <c r="B612" s="527"/>
      <c r="C612" s="817"/>
      <c r="D612" s="581" t="str">
        <f>IF($W$17=$AE$1,"Je možno objednávat pouze celé exportní kartony.",IFERROR(VLOOKUP("Je možno objednávat pouze celé exportní kartony.",Jazyky_ceník!A:Q,MATCH(W17,Jazyky_ceník!A1:Q1,0),FALSE),"!!!"))</f>
        <v>Es können nur ganze Exportkartons bestellt werden.</v>
      </c>
      <c r="E612" s="378"/>
      <c r="I612" s="805"/>
      <c r="J612" s="578"/>
      <c r="L612" s="575"/>
      <c r="M612" s="378"/>
      <c r="Y612" s="819"/>
      <c r="AA612" s="822"/>
      <c r="AB612" s="822"/>
      <c r="AC612" s="822"/>
      <c r="AD612" s="809"/>
      <c r="AF612" s="1200"/>
      <c r="AG612" s="1200"/>
      <c r="AH612" s="1200"/>
      <c r="AI612" s="1200"/>
      <c r="AJ612" s="1198"/>
      <c r="AK612" s="1198"/>
      <c r="AL612" s="1198"/>
      <c r="AM612" s="1197"/>
    </row>
    <row r="613" spans="1:39" ht="15" customHeight="1">
      <c r="A613" s="571"/>
      <c r="B613" s="527"/>
      <c r="C613" s="817"/>
      <c r="D613" s="581" t="str">
        <f>IF($W$17=$AE$1,"Položky označené ve sloupci A jako ANO - je možno objednávat také po baleních za příplatek 20%",IFERROR(VLOOKUP("Položky označené ve sloupci A jako ANO - je možno objednávat také po baleních za příplatek 20%",Jazyky_ceník!A:Q,MATCH(W17,Jazyky_ceník!A1:Q1,0),FALSE),"!!!"))</f>
        <v>Artikel, die in Spalte A mit JA gekennzeichnet sind, können gegen einen Aufpreis von 20% auch in Paketen bestellt werden.</v>
      </c>
      <c r="E613" s="378"/>
      <c r="I613" s="805"/>
      <c r="J613" s="578"/>
      <c r="L613" s="575"/>
      <c r="M613" s="378"/>
      <c r="Y613" s="819"/>
      <c r="AA613" s="377"/>
      <c r="AB613" s="823"/>
      <c r="AC613" s="823"/>
      <c r="AD613" s="824"/>
      <c r="AE613" s="645"/>
      <c r="AF613" s="646"/>
      <c r="AG613" s="583"/>
      <c r="AH613" s="584"/>
      <c r="AI613" s="584"/>
      <c r="AJ613" s="585"/>
      <c r="AK613" s="585"/>
      <c r="AL613" s="585"/>
      <c r="AM613" s="647"/>
    </row>
    <row r="614" spans="1:39" ht="15" customHeight="1">
      <c r="A614" s="571"/>
      <c r="B614" s="527"/>
      <c r="C614" s="817"/>
      <c r="D614" s="586" t="str">
        <f>IF($W$17=$AE$1,"Položky, které nejsou aktuálně skladem, nelze objednat. Objednací pole je podbarveno černě.",IFERROR(VLOOKUP("Položky, které nejsou aktuálně skladem, nelze objednat. Objednací pole je podbarveno černě.",Jazyky_ceník!A:Q,MATCH(W17,Jazyky_ceník!A1:Q1,0),FALSE),"!!!"))</f>
        <v>Artikel, die derzeit nicht auf Lager sind, können nicht bestellt werden. Das Bestellfeld ist schwarz hervorgehoben.</v>
      </c>
      <c r="E614" s="378"/>
      <c r="I614" s="805"/>
      <c r="J614" s="578"/>
      <c r="L614" s="575"/>
      <c r="M614" s="378"/>
      <c r="Y614" s="819"/>
      <c r="AA614" s="582"/>
      <c r="AF614" s="1189"/>
      <c r="AG614" s="1189"/>
      <c r="AH614" s="1189"/>
      <c r="AI614" s="1189"/>
      <c r="AJ614" s="648"/>
      <c r="AK614" s="649"/>
      <c r="AL614" s="649"/>
      <c r="AM614" s="649"/>
    </row>
    <row r="615" spans="1:39" ht="15" customHeight="1">
      <c r="A615" s="571"/>
      <c r="B615" s="527"/>
      <c r="C615" s="817"/>
      <c r="D615" s="825" t="str">
        <f>D9</f>
        <v>Rabatte bei ganzjährigem Kauf vom 01.09.2023 bis 31.08.2024</v>
      </c>
      <c r="F615" s="573"/>
      <c r="I615" s="805"/>
      <c r="J615" s="578"/>
      <c r="L615" s="575"/>
      <c r="M615" s="378"/>
      <c r="T615" s="826"/>
      <c r="Y615" s="819"/>
      <c r="AA615" s="1193"/>
      <c r="AB615" s="1194"/>
      <c r="AC615" s="1194"/>
      <c r="AD615" s="1190"/>
      <c r="AE615" s="1185"/>
      <c r="AF615" s="1192"/>
      <c r="AG615" s="1192"/>
      <c r="AH615" s="1188"/>
      <c r="AI615" s="1188"/>
      <c r="AJ615" s="1183"/>
      <c r="AK615" s="649"/>
      <c r="AL615" s="649"/>
      <c r="AM615" s="649"/>
    </row>
    <row r="616" spans="1:39" ht="15" customHeight="1">
      <c r="A616" s="571"/>
      <c r="B616" s="527"/>
      <c r="C616" s="817"/>
      <c r="D616" s="825" t="str">
        <f>D10</f>
        <v>Jeder Kunde erhält einen Rabatt basierend auf einem Einkauf vom 01.09.2022 bis 31.08.2023.</v>
      </c>
      <c r="F616" s="573"/>
      <c r="I616" s="805"/>
      <c r="J616" s="578"/>
      <c r="L616" s="575"/>
      <c r="M616" s="378"/>
      <c r="T616" s="826"/>
      <c r="Y616" s="819"/>
      <c r="AA616" s="1193"/>
      <c r="AB616" s="1194"/>
      <c r="AC616" s="1194"/>
      <c r="AD616" s="1190"/>
      <c r="AE616" s="1186"/>
      <c r="AF616" s="1192"/>
      <c r="AG616" s="1192"/>
      <c r="AH616" s="1188"/>
      <c r="AI616" s="1188"/>
      <c r="AJ616" s="1184"/>
      <c r="AK616" s="649"/>
      <c r="AL616" s="649"/>
      <c r="AM616" s="649"/>
    </row>
    <row r="617" spans="1:39" ht="15" customHeight="1">
      <c r="A617" s="571"/>
      <c r="B617" s="527"/>
      <c r="C617" s="817"/>
      <c r="D617" s="825" t="str">
        <f>D11</f>
        <v>Sie haben Ihren Rabatt aufgebraucht, indem Sie Ihre Einkaufslimits überschritten haben (Wareneinkäufe summieren sich),</v>
      </c>
      <c r="F617" s="573"/>
      <c r="I617" s="805"/>
      <c r="J617" s="578"/>
      <c r="L617" s="575"/>
      <c r="M617" s="378"/>
      <c r="T617" s="826"/>
      <c r="V617" s="573"/>
      <c r="Y617" s="819"/>
      <c r="AA617" s="1193"/>
      <c r="AB617" s="1194"/>
      <c r="AC617" s="1194"/>
      <c r="AD617" s="1190"/>
      <c r="AE617" s="1185"/>
      <c r="AF617" s="1192"/>
      <c r="AG617" s="1192"/>
      <c r="AH617" s="1188"/>
      <c r="AI617" s="1188"/>
      <c r="AJ617" s="1183"/>
      <c r="AK617" s="649"/>
      <c r="AL617" s="649"/>
      <c r="AM617" s="649"/>
    </row>
    <row r="618" spans="1:39" ht="15" customHeight="1">
      <c r="A618" s="571"/>
      <c r="B618" s="527"/>
      <c r="C618" s="817"/>
      <c r="D618" s="825" t="str">
        <f>D12</f>
        <v xml:space="preserve">Sie erhalten den entsprechenden Rabatt für den angegebenen Zeitraum zurück. Warenkauf bedeutet den Betrag ohne Mehrwertsteuer nach Abzug des Skontos. </v>
      </c>
      <c r="F618" s="573"/>
      <c r="I618" s="805"/>
      <c r="J618" s="578"/>
      <c r="L618" s="575"/>
      <c r="M618" s="378"/>
      <c r="T618" s="826"/>
      <c r="V618" s="573"/>
      <c r="Y618" s="819"/>
      <c r="AA618" s="1193"/>
      <c r="AB618" s="1194"/>
      <c r="AC618" s="1194"/>
      <c r="AD618" s="1190"/>
      <c r="AE618" s="1186"/>
      <c r="AF618" s="1192"/>
      <c r="AG618" s="1192"/>
      <c r="AH618" s="1188"/>
      <c r="AI618" s="1188"/>
      <c r="AJ618" s="1184"/>
      <c r="AK618" s="649"/>
      <c r="AL618" s="649"/>
      <c r="AM618" s="649"/>
    </row>
    <row r="619" spans="1:39" ht="15" customHeight="1">
      <c r="A619" s="571"/>
      <c r="B619" s="527"/>
      <c r="C619" s="817"/>
      <c r="D619" s="825" t="str">
        <f>D13</f>
        <v>Geben Sie Ihren Rabatt in die Zelle D19 ein, die Preisliste wird automatisch neu berechnet. Der Rabatt berechnet sich auch selbst nach der aktuellen Bestellung.</v>
      </c>
      <c r="F619" s="573"/>
      <c r="I619" s="805"/>
      <c r="J619" s="578"/>
      <c r="L619" s="575"/>
      <c r="M619" s="378"/>
      <c r="V619" s="573"/>
      <c r="Y619" s="819"/>
      <c r="AA619" s="1193"/>
      <c r="AB619" s="1194"/>
      <c r="AC619" s="1194"/>
      <c r="AD619" s="1191"/>
      <c r="AE619" s="1187"/>
      <c r="AF619" s="1192"/>
      <c r="AG619" s="1192"/>
      <c r="AH619" s="1188"/>
      <c r="AI619" s="1188"/>
      <c r="AJ619" s="1183"/>
      <c r="AK619" s="649"/>
      <c r="AL619" s="649"/>
      <c r="AM619" s="649"/>
    </row>
    <row r="620" spans="1:39" ht="15" customHeight="1">
      <c r="A620" s="571"/>
      <c r="B620" s="527"/>
      <c r="C620" s="817"/>
      <c r="D620" s="827" t="str">
        <f>IF($W$17=$AE$1,"Jelikož ceny dopravy a zboží jsou velice nestabilní, vyhrazujeme si právo na změnu cen i během období platnosti ceníku.",IFERROR(VLOOKUP("Jelikož ceny dopravy a zboží jsou velice nestabilní, vyhrazujeme si právo na změnu cen i během období platnosti ceníku.",Jazyky_ceník!A:Q,MATCH(W17,Jazyky_ceník!A1:Q1,0),FALSE),"---------------"))</f>
        <v xml:space="preserve">Transport- und Güterpreise sind sehr volatil. Preisänderungen (auch während der Geltungsdauer der Preisliste) behalten wir uns vor. </v>
      </c>
      <c r="F620" s="573"/>
      <c r="I620" s="805"/>
      <c r="J620" s="578"/>
      <c r="L620" s="575"/>
      <c r="M620" s="378"/>
      <c r="V620" s="573"/>
      <c r="Y620" s="819"/>
      <c r="AA620" s="1193"/>
      <c r="AB620" s="1194"/>
      <c r="AC620" s="1194"/>
      <c r="AD620" s="1190"/>
      <c r="AE620" s="1186"/>
      <c r="AF620" s="1192"/>
      <c r="AG620" s="1192"/>
      <c r="AH620" s="1188"/>
      <c r="AI620" s="1188"/>
      <c r="AJ620" s="1184"/>
      <c r="AK620" s="649"/>
      <c r="AL620" s="649"/>
      <c r="AM620" s="649"/>
    </row>
    <row r="621" spans="1:39">
      <c r="A621" s="571"/>
      <c r="B621" s="527"/>
      <c r="C621" s="817"/>
      <c r="D621" s="572"/>
      <c r="E621" s="573"/>
      <c r="F621" s="576"/>
      <c r="G621" s="576"/>
      <c r="H621" s="804"/>
      <c r="I621" s="805"/>
      <c r="J621" s="574"/>
      <c r="K621" s="575"/>
      <c r="L621" s="378"/>
      <c r="M621" s="576"/>
      <c r="Q621" s="577"/>
      <c r="R621" s="576"/>
      <c r="S621" s="576"/>
      <c r="T621" s="576"/>
      <c r="U621" s="576"/>
      <c r="V621" s="573"/>
      <c r="Y621" s="819"/>
      <c r="Z621" s="535"/>
      <c r="AA621" s="377"/>
      <c r="AB621" s="808"/>
      <c r="AC621" s="808"/>
      <c r="AD621" s="809"/>
      <c r="AE621" s="639"/>
      <c r="AF621" s="639"/>
      <c r="AG621" s="640"/>
      <c r="AI621" s="377"/>
    </row>
  </sheetData>
  <sheetProtection formatCells="0" formatColumns="0" formatRows="0" autoFilter="0"/>
  <protectedRanges>
    <protectedRange sqref="D19" name="RABAT" securityDescriptor="O:WDG:WDD:(A;;CC;;;WD)"/>
    <protectedRange sqref="AA22:AA604" name="OBJEDNÁVKA_2" securityDescriptor="O:WDG:WDD:(A;;CC;;;WD)"/>
  </protectedRanges>
  <autoFilter ref="A20:AM604" xr:uid="{00000000-0001-0000-0000-000000000000}"/>
  <sortState xmlns:xlrd2="http://schemas.microsoft.com/office/spreadsheetml/2017/richdata2" ref="AE1:AE10">
    <sortCondition ref="AE1:AE10"/>
  </sortState>
  <mergeCells count="67">
    <mergeCell ref="D3:F3"/>
    <mergeCell ref="D1:D2"/>
    <mergeCell ref="E1:G2"/>
    <mergeCell ref="K1:L1"/>
    <mergeCell ref="D608:G608"/>
    <mergeCell ref="A17:A18"/>
    <mergeCell ref="J17:J18"/>
    <mergeCell ref="Q17:R17"/>
    <mergeCell ref="AA17:AA19"/>
    <mergeCell ref="AC17:AC19"/>
    <mergeCell ref="C17:C18"/>
    <mergeCell ref="E17:E18"/>
    <mergeCell ref="W17:W18"/>
    <mergeCell ref="AM17:AM19"/>
    <mergeCell ref="AK17:AK19"/>
    <mergeCell ref="M1:O1"/>
    <mergeCell ref="W607:W608"/>
    <mergeCell ref="AJ17:AJ19"/>
    <mergeCell ref="M17:M18"/>
    <mergeCell ref="AD17:AD19"/>
    <mergeCell ref="A7:C8"/>
    <mergeCell ref="AM611:AM612"/>
    <mergeCell ref="AL611:AL612"/>
    <mergeCell ref="AK611:AK612"/>
    <mergeCell ref="AF611:AI612"/>
    <mergeCell ref="AJ611:AJ612"/>
    <mergeCell ref="D17:D18"/>
    <mergeCell ref="U17:U18"/>
    <mergeCell ref="V17:V18"/>
    <mergeCell ref="M19:Q19"/>
    <mergeCell ref="G19:J19"/>
    <mergeCell ref="R19:V19"/>
    <mergeCell ref="Z17:Z19"/>
    <mergeCell ref="AH17:AH19"/>
    <mergeCell ref="AI17:AI19"/>
    <mergeCell ref="AL17:AL19"/>
    <mergeCell ref="AA615:AA616"/>
    <mergeCell ref="AA617:AA618"/>
    <mergeCell ref="AA619:AA620"/>
    <mergeCell ref="AB615:AC615"/>
    <mergeCell ref="AB617:AC617"/>
    <mergeCell ref="AB619:AC619"/>
    <mergeCell ref="AB620:AC620"/>
    <mergeCell ref="AB618:AC618"/>
    <mergeCell ref="AB616:AC616"/>
    <mergeCell ref="AF614:AG614"/>
    <mergeCell ref="AH614:AI614"/>
    <mergeCell ref="AD615:AD616"/>
    <mergeCell ref="AD617:AD618"/>
    <mergeCell ref="AD619:AD620"/>
    <mergeCell ref="AF615:AG616"/>
    <mergeCell ref="AF617:AG618"/>
    <mergeCell ref="AF619:AG620"/>
    <mergeCell ref="AJ615:AJ616"/>
    <mergeCell ref="AJ617:AJ618"/>
    <mergeCell ref="AJ619:AJ620"/>
    <mergeCell ref="AE615:AE616"/>
    <mergeCell ref="AE617:AE618"/>
    <mergeCell ref="AE619:AE620"/>
    <mergeCell ref="AH615:AI616"/>
    <mergeCell ref="AH619:AI620"/>
    <mergeCell ref="AH617:AI618"/>
    <mergeCell ref="AA610:AE610"/>
    <mergeCell ref="AD607:AE607"/>
    <mergeCell ref="AA608:AA609"/>
    <mergeCell ref="AD608:AE608"/>
    <mergeCell ref="AD609:AE609"/>
  </mergeCells>
  <phoneticPr fontId="82" type="noConversion"/>
  <conditionalFormatting sqref="C1:C1048576">
    <cfRule type="duplicateValues" dxfId="8" priority="1"/>
  </conditionalFormatting>
  <conditionalFormatting sqref="K22:K604">
    <cfRule type="expression" dxfId="7" priority="2">
      <formula>$AD22=$V$10</formula>
    </cfRule>
  </conditionalFormatting>
  <hyperlinks>
    <hyperlink ref="E8" r:id="rId1" display="info@klasekpyrotechnics.cz" xr:uid="{A040ED6B-DDC7-408A-83D6-D37EF93D2AE8}"/>
  </hyperlinks>
  <pageMargins left="0.7" right="0.7" top="0.78740157499999996" bottom="0.78740157499999996" header="0.3" footer="0.3"/>
  <pageSetup paperSize="9" orientation="portrait" r:id="rId2"/>
  <drawing r:id="rId3"/>
  <legacyDrawing r:id="rId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4BFFBD-8B7B-4DE3-AB0D-F83E1ACD91E3}">
  <sheetPr codeName="List4">
    <tabColor theme="1"/>
  </sheetPr>
  <dimension ref="A1:P157"/>
  <sheetViews>
    <sheetView workbookViewId="0">
      <pane xSplit="1" ySplit="3" topLeftCell="B62" activePane="bottomRight" state="frozen"/>
      <selection pane="topRight" activeCell="B1" sqref="B1"/>
      <selection pane="bottomLeft" activeCell="A4" sqref="A4"/>
      <selection pane="bottomRight" activeCell="B122" sqref="B122"/>
    </sheetView>
  </sheetViews>
  <sheetFormatPr defaultColWidth="9.140625" defaultRowHeight="14.45" customHeight="1"/>
  <cols>
    <col min="1" max="1" width="9.140625" style="510"/>
    <col min="2" max="2" width="69" style="510" customWidth="1"/>
    <col min="3" max="3" width="32.42578125" style="510" customWidth="1"/>
    <col min="4" max="15" width="9.140625" style="510"/>
  </cols>
  <sheetData>
    <row r="1" spans="1:16" ht="15">
      <c r="B1" s="523">
        <v>24</v>
      </c>
      <c r="C1" s="523">
        <v>23</v>
      </c>
      <c r="D1" s="523">
        <v>22</v>
      </c>
      <c r="E1" s="523">
        <v>109</v>
      </c>
      <c r="F1" s="523">
        <v>110</v>
      </c>
      <c r="G1" s="523">
        <v>111</v>
      </c>
      <c r="H1" s="524">
        <v>112</v>
      </c>
      <c r="I1" s="523">
        <v>113</v>
      </c>
      <c r="J1" s="523">
        <v>156</v>
      </c>
      <c r="K1" s="523">
        <v>160</v>
      </c>
      <c r="L1" s="523">
        <v>114</v>
      </c>
      <c r="M1" s="523">
        <v>161</v>
      </c>
    </row>
    <row r="2" spans="1:16" ht="15">
      <c r="B2" s="523" t="s">
        <v>2861</v>
      </c>
      <c r="C2" s="523" t="s">
        <v>2862</v>
      </c>
      <c r="D2" s="523" t="s">
        <v>2863</v>
      </c>
      <c r="E2" s="523" t="s">
        <v>8332</v>
      </c>
      <c r="F2" s="523" t="s">
        <v>8329</v>
      </c>
      <c r="G2" s="523" t="s">
        <v>2864</v>
      </c>
      <c r="H2" s="523" t="s">
        <v>8740</v>
      </c>
      <c r="I2" s="523" t="s">
        <v>9604</v>
      </c>
      <c r="J2" s="523" t="s">
        <v>9605</v>
      </c>
      <c r="K2" s="523" t="s">
        <v>8685</v>
      </c>
      <c r="L2" s="523" t="s">
        <v>2865</v>
      </c>
      <c r="M2" s="523" t="s">
        <v>9603</v>
      </c>
    </row>
    <row r="3" spans="1:16" ht="15">
      <c r="B3" s="525" t="s">
        <v>9608</v>
      </c>
      <c r="C3" s="525" t="s">
        <v>9609</v>
      </c>
      <c r="D3" s="525" t="s">
        <v>9610</v>
      </c>
      <c r="E3" s="525" t="s">
        <v>9611</v>
      </c>
      <c r="F3" s="525" t="s">
        <v>9612</v>
      </c>
      <c r="G3" s="525" t="s">
        <v>8333</v>
      </c>
      <c r="H3" s="525" t="s">
        <v>9613</v>
      </c>
      <c r="I3" s="525" t="s">
        <v>8330</v>
      </c>
      <c r="J3" s="525" t="s">
        <v>9614</v>
      </c>
      <c r="K3" s="525" t="s">
        <v>9615</v>
      </c>
      <c r="L3" s="525" t="s">
        <v>8331</v>
      </c>
      <c r="M3" s="525" t="s">
        <v>9616</v>
      </c>
    </row>
    <row r="4" spans="1:16" ht="15.75">
      <c r="B4" s="523" t="s">
        <v>18</v>
      </c>
      <c r="C4" s="523" t="s">
        <v>6490</v>
      </c>
      <c r="D4" s="523" t="s">
        <v>6489</v>
      </c>
      <c r="E4" s="523" t="s">
        <v>6491</v>
      </c>
      <c r="F4" s="523" t="s">
        <v>6492</v>
      </c>
      <c r="G4" s="523" t="s">
        <v>6493</v>
      </c>
      <c r="H4" s="523" t="s">
        <v>2568</v>
      </c>
      <c r="I4" s="523" t="s">
        <v>6494</v>
      </c>
      <c r="J4" s="523" t="s">
        <v>9606</v>
      </c>
      <c r="K4" s="523" t="s">
        <v>9589</v>
      </c>
      <c r="L4" s="523" t="s">
        <v>6495</v>
      </c>
      <c r="M4" s="523" t="s">
        <v>9607</v>
      </c>
      <c r="P4" s="513"/>
    </row>
    <row r="5" spans="1:16" ht="15">
      <c r="A5" s="510">
        <v>1</v>
      </c>
      <c r="B5" s="510" t="s">
        <v>12600</v>
      </c>
      <c r="C5" s="511" t="s">
        <v>12601</v>
      </c>
      <c r="D5" s="512" t="s">
        <v>12602</v>
      </c>
      <c r="E5" s="510" t="s">
        <v>12603</v>
      </c>
      <c r="F5" s="510" t="s">
        <v>12604</v>
      </c>
      <c r="G5" s="510" t="s">
        <v>12605</v>
      </c>
      <c r="H5" s="510" t="s">
        <v>12606</v>
      </c>
      <c r="I5" s="510" t="s">
        <v>12607</v>
      </c>
      <c r="J5" s="510" t="s">
        <v>12608</v>
      </c>
      <c r="K5" s="510" t="s">
        <v>12609</v>
      </c>
      <c r="L5" s="510" t="s">
        <v>12610</v>
      </c>
      <c r="M5" s="510" t="s">
        <v>12611</v>
      </c>
    </row>
    <row r="6" spans="1:16" ht="15">
      <c r="A6" s="510">
        <v>2</v>
      </c>
      <c r="B6" s="510" t="s">
        <v>12612</v>
      </c>
      <c r="C6" s="511" t="s">
        <v>12613</v>
      </c>
      <c r="D6" s="512" t="s">
        <v>12614</v>
      </c>
      <c r="E6" s="510" t="s">
        <v>12615</v>
      </c>
      <c r="F6" s="510" t="s">
        <v>12616</v>
      </c>
      <c r="G6" s="510" t="s">
        <v>12617</v>
      </c>
      <c r="H6" s="510" t="s">
        <v>12618</v>
      </c>
      <c r="I6" s="510" t="s">
        <v>12619</v>
      </c>
      <c r="J6" s="510" t="s">
        <v>12620</v>
      </c>
      <c r="K6" s="510" t="s">
        <v>12621</v>
      </c>
      <c r="L6" s="510" t="s">
        <v>12622</v>
      </c>
      <c r="M6" s="510" t="s">
        <v>12623</v>
      </c>
    </row>
    <row r="7" spans="1:16" ht="15">
      <c r="A7" s="510">
        <v>3</v>
      </c>
      <c r="B7" s="510" t="s">
        <v>12624</v>
      </c>
      <c r="C7" s="511" t="s">
        <v>12625</v>
      </c>
      <c r="D7" s="512" t="s">
        <v>12626</v>
      </c>
      <c r="E7" s="510" t="s">
        <v>12627</v>
      </c>
      <c r="F7" s="510" t="s">
        <v>12628</v>
      </c>
      <c r="G7" s="510" t="s">
        <v>12629</v>
      </c>
      <c r="H7" s="510" t="s">
        <v>12630</v>
      </c>
      <c r="I7" s="510" t="s">
        <v>12631</v>
      </c>
      <c r="J7" s="510" t="s">
        <v>12632</v>
      </c>
      <c r="K7" s="510" t="s">
        <v>12633</v>
      </c>
      <c r="L7" s="510" t="s">
        <v>12634</v>
      </c>
      <c r="M7" s="510" t="s">
        <v>12635</v>
      </c>
    </row>
    <row r="8" spans="1:16" ht="15">
      <c r="A8" s="510">
        <v>4</v>
      </c>
      <c r="B8" s="510" t="s">
        <v>12636</v>
      </c>
      <c r="C8" s="510" t="s">
        <v>12637</v>
      </c>
      <c r="D8" s="512" t="s">
        <v>12638</v>
      </c>
      <c r="E8" s="510" t="s">
        <v>12639</v>
      </c>
      <c r="F8" s="510" t="s">
        <v>12640</v>
      </c>
      <c r="G8" s="510" t="s">
        <v>12641</v>
      </c>
      <c r="H8" s="510" t="s">
        <v>12642</v>
      </c>
      <c r="I8" s="510" t="s">
        <v>12643</v>
      </c>
      <c r="J8" s="510" t="s">
        <v>12644</v>
      </c>
      <c r="K8" s="510" t="s">
        <v>12645</v>
      </c>
      <c r="L8" s="510" t="s">
        <v>12646</v>
      </c>
      <c r="M8" s="510" t="s">
        <v>12647</v>
      </c>
    </row>
    <row r="9" spans="1:16" ht="15">
      <c r="A9" s="510">
        <v>5</v>
      </c>
      <c r="B9" s="510" t="s">
        <v>12648</v>
      </c>
      <c r="C9" s="510" t="s">
        <v>12649</v>
      </c>
      <c r="D9" s="512" t="s">
        <v>12650</v>
      </c>
      <c r="E9" s="510" t="s">
        <v>12651</v>
      </c>
      <c r="F9" s="510" t="s">
        <v>12652</v>
      </c>
      <c r="G9" s="510" t="s">
        <v>12653</v>
      </c>
      <c r="H9" s="510" t="s">
        <v>12654</v>
      </c>
      <c r="I9" s="510" t="s">
        <v>12655</v>
      </c>
      <c r="J9" s="510" t="s">
        <v>12656</v>
      </c>
      <c r="K9" s="510" t="s">
        <v>12657</v>
      </c>
      <c r="L9" s="510" t="s">
        <v>12658</v>
      </c>
      <c r="M9" s="510" t="s">
        <v>12659</v>
      </c>
    </row>
    <row r="10" spans="1:16" ht="15">
      <c r="A10" s="510">
        <v>6</v>
      </c>
      <c r="B10" s="510" t="s">
        <v>12660</v>
      </c>
      <c r="C10" s="510" t="s">
        <v>12661</v>
      </c>
      <c r="D10" s="512" t="s">
        <v>12662</v>
      </c>
      <c r="E10" s="510" t="s">
        <v>12663</v>
      </c>
      <c r="F10" s="510" t="s">
        <v>12664</v>
      </c>
      <c r="G10" s="510" t="s">
        <v>12665</v>
      </c>
      <c r="H10" s="510" t="s">
        <v>12666</v>
      </c>
      <c r="I10" s="510" t="s">
        <v>12667</v>
      </c>
      <c r="J10" s="510" t="s">
        <v>12668</v>
      </c>
      <c r="K10" s="510" t="s">
        <v>12669</v>
      </c>
      <c r="L10" s="510" t="s">
        <v>12670</v>
      </c>
      <c r="M10" s="510" t="s">
        <v>12671</v>
      </c>
    </row>
    <row r="11" spans="1:16" ht="15">
      <c r="A11" s="510">
        <v>7</v>
      </c>
      <c r="B11" s="510" t="s">
        <v>12672</v>
      </c>
      <c r="C11" s="510" t="s">
        <v>12673</v>
      </c>
      <c r="D11" s="512" t="s">
        <v>12674</v>
      </c>
      <c r="E11" s="510" t="s">
        <v>12675</v>
      </c>
      <c r="F11" s="510" t="s">
        <v>12676</v>
      </c>
      <c r="G11" s="510" t="s">
        <v>12677</v>
      </c>
      <c r="H11" s="510" t="s">
        <v>12678</v>
      </c>
      <c r="I11" s="510" t="s">
        <v>12679</v>
      </c>
      <c r="J11" s="510" t="s">
        <v>12680</v>
      </c>
      <c r="K11" s="510" t="s">
        <v>12681</v>
      </c>
      <c r="L11" s="510" t="s">
        <v>12682</v>
      </c>
      <c r="M11" s="510" t="s">
        <v>12683</v>
      </c>
    </row>
    <row r="12" spans="1:16" ht="15">
      <c r="A12" s="510">
        <v>8</v>
      </c>
      <c r="B12" s="510" t="s">
        <v>2187</v>
      </c>
      <c r="C12" s="510" t="s">
        <v>8872</v>
      </c>
      <c r="D12" s="512" t="s">
        <v>2810</v>
      </c>
      <c r="E12" s="510" t="s">
        <v>8951</v>
      </c>
      <c r="F12" s="510" t="s">
        <v>12684</v>
      </c>
      <c r="G12" s="510" t="s">
        <v>10989</v>
      </c>
      <c r="H12" s="510" t="s">
        <v>8873</v>
      </c>
      <c r="I12" s="510" t="s">
        <v>12685</v>
      </c>
      <c r="J12" s="510" t="s">
        <v>12686</v>
      </c>
      <c r="K12" s="510" t="s">
        <v>8996</v>
      </c>
      <c r="L12" s="510" t="s">
        <v>8798</v>
      </c>
      <c r="M12" s="510" t="s">
        <v>11035</v>
      </c>
      <c r="P12">
        <v>1</v>
      </c>
    </row>
    <row r="13" spans="1:16" ht="15">
      <c r="A13" s="510">
        <v>9</v>
      </c>
      <c r="B13" s="510" t="s">
        <v>12034</v>
      </c>
      <c r="C13" s="510" t="s">
        <v>12043</v>
      </c>
      <c r="D13" s="512" t="s">
        <v>12035</v>
      </c>
      <c r="E13" s="510" t="s">
        <v>12042</v>
      </c>
      <c r="F13" s="510" t="s">
        <v>12041</v>
      </c>
      <c r="G13" s="510" t="s">
        <v>12040</v>
      </c>
      <c r="H13" s="510" t="s">
        <v>12039</v>
      </c>
      <c r="I13" s="510" t="s">
        <v>12687</v>
      </c>
      <c r="J13" s="510" t="s">
        <v>12688</v>
      </c>
      <c r="K13" s="510" t="s">
        <v>12038</v>
      </c>
      <c r="L13" s="510" t="s">
        <v>12037</v>
      </c>
      <c r="M13" s="510" t="s">
        <v>12036</v>
      </c>
      <c r="P13">
        <v>2</v>
      </c>
    </row>
    <row r="14" spans="1:16" ht="15">
      <c r="A14" s="510">
        <v>10</v>
      </c>
      <c r="D14" s="512"/>
      <c r="P14">
        <v>3</v>
      </c>
    </row>
    <row r="15" spans="1:16" ht="15">
      <c r="A15" s="510">
        <v>11</v>
      </c>
      <c r="B15" s="510" t="s">
        <v>12689</v>
      </c>
      <c r="C15" s="510" t="s">
        <v>12690</v>
      </c>
      <c r="D15" s="510" t="s">
        <v>12691</v>
      </c>
      <c r="E15" s="510" t="s">
        <v>12692</v>
      </c>
      <c r="F15" s="510" t="s">
        <v>12693</v>
      </c>
      <c r="G15" s="510" t="s">
        <v>12694</v>
      </c>
      <c r="H15" s="510" t="s">
        <v>12695</v>
      </c>
      <c r="I15" s="510" t="s">
        <v>12696</v>
      </c>
      <c r="J15" s="510" t="s">
        <v>12697</v>
      </c>
      <c r="K15" s="510" t="s">
        <v>12698</v>
      </c>
      <c r="L15" s="510" t="s">
        <v>12699</v>
      </c>
      <c r="M15" s="510" t="s">
        <v>11748</v>
      </c>
      <c r="P15">
        <v>4</v>
      </c>
    </row>
    <row r="16" spans="1:16" ht="15">
      <c r="A16" s="510">
        <v>12</v>
      </c>
      <c r="B16" s="510" t="s">
        <v>8799</v>
      </c>
      <c r="C16" s="510" t="s">
        <v>12503</v>
      </c>
      <c r="D16" s="512" t="s">
        <v>10984</v>
      </c>
      <c r="E16" s="510" t="s">
        <v>8952</v>
      </c>
      <c r="F16" s="510" t="s">
        <v>12700</v>
      </c>
      <c r="G16" s="510" t="s">
        <v>10990</v>
      </c>
      <c r="H16" s="510" t="s">
        <v>8874</v>
      </c>
      <c r="I16" s="510" t="s">
        <v>12701</v>
      </c>
      <c r="J16" s="510" t="s">
        <v>12702</v>
      </c>
      <c r="K16" s="510" t="s">
        <v>8997</v>
      </c>
      <c r="L16" s="510" t="s">
        <v>8800</v>
      </c>
      <c r="M16" s="510" t="s">
        <v>11036</v>
      </c>
      <c r="P16">
        <v>5</v>
      </c>
    </row>
    <row r="17" spans="1:16" ht="15">
      <c r="A17" s="510">
        <v>13</v>
      </c>
      <c r="B17" s="510" t="s">
        <v>8801</v>
      </c>
      <c r="C17" s="511" t="s">
        <v>12504</v>
      </c>
      <c r="D17" s="512" t="s">
        <v>10985</v>
      </c>
      <c r="E17" s="510" t="s">
        <v>8953</v>
      </c>
      <c r="F17" s="510" t="s">
        <v>12703</v>
      </c>
      <c r="G17" s="510" t="s">
        <v>10991</v>
      </c>
      <c r="H17" s="510" t="s">
        <v>8875</v>
      </c>
      <c r="I17" s="510" t="s">
        <v>12704</v>
      </c>
      <c r="J17" s="510" t="s">
        <v>12705</v>
      </c>
      <c r="K17" s="510" t="s">
        <v>8998</v>
      </c>
      <c r="L17" s="510" t="s">
        <v>8802</v>
      </c>
      <c r="M17" s="510" t="s">
        <v>11037</v>
      </c>
      <c r="P17">
        <v>6</v>
      </c>
    </row>
    <row r="18" spans="1:16" ht="15">
      <c r="A18" s="510">
        <v>14</v>
      </c>
      <c r="B18" s="510" t="s">
        <v>8803</v>
      </c>
      <c r="C18" s="510" t="s">
        <v>12505</v>
      </c>
      <c r="D18" s="512" t="s">
        <v>10986</v>
      </c>
      <c r="E18" s="510" t="s">
        <v>8954</v>
      </c>
      <c r="F18" s="510" t="s">
        <v>12706</v>
      </c>
      <c r="G18" s="510" t="s">
        <v>10992</v>
      </c>
      <c r="H18" s="510" t="s">
        <v>8876</v>
      </c>
      <c r="I18" s="510" t="s">
        <v>12707</v>
      </c>
      <c r="J18" s="510" t="s">
        <v>12708</v>
      </c>
      <c r="K18" s="510" t="s">
        <v>8999</v>
      </c>
      <c r="L18" s="510" t="s">
        <v>8804</v>
      </c>
      <c r="M18" s="510" t="s">
        <v>11038</v>
      </c>
      <c r="P18">
        <v>7</v>
      </c>
    </row>
    <row r="19" spans="1:16" ht="15">
      <c r="A19" s="510">
        <v>15</v>
      </c>
      <c r="B19" s="510" t="s">
        <v>8805</v>
      </c>
      <c r="C19" s="510" t="s">
        <v>12506</v>
      </c>
      <c r="D19" s="512" t="s">
        <v>10987</v>
      </c>
      <c r="E19" s="510" t="s">
        <v>8955</v>
      </c>
      <c r="F19" s="510" t="s">
        <v>12709</v>
      </c>
      <c r="G19" s="510" t="s">
        <v>10993</v>
      </c>
      <c r="H19" s="510" t="s">
        <v>8877</v>
      </c>
      <c r="I19" s="510" t="s">
        <v>12710</v>
      </c>
      <c r="J19" s="510" t="s">
        <v>12711</v>
      </c>
      <c r="K19" s="510" t="s">
        <v>9000</v>
      </c>
      <c r="L19" s="510" t="s">
        <v>8806</v>
      </c>
      <c r="M19" s="510" t="s">
        <v>11039</v>
      </c>
      <c r="P19">
        <v>8</v>
      </c>
    </row>
    <row r="20" spans="1:16" ht="15">
      <c r="A20" s="510">
        <v>16</v>
      </c>
      <c r="B20" s="510" t="s">
        <v>8807</v>
      </c>
      <c r="C20" s="510" t="s">
        <v>12507</v>
      </c>
      <c r="D20" s="512" t="s">
        <v>10988</v>
      </c>
      <c r="E20" s="510" t="s">
        <v>8956</v>
      </c>
      <c r="F20" s="510" t="s">
        <v>12712</v>
      </c>
      <c r="G20" s="510" t="s">
        <v>10994</v>
      </c>
      <c r="H20" s="510" t="s">
        <v>8878</v>
      </c>
      <c r="I20" s="510" t="s">
        <v>12713</v>
      </c>
      <c r="J20" s="510" t="s">
        <v>12714</v>
      </c>
      <c r="K20" s="510" t="s">
        <v>9001</v>
      </c>
      <c r="L20" s="510" t="s">
        <v>8808</v>
      </c>
      <c r="M20" s="510" t="s">
        <v>11040</v>
      </c>
      <c r="P20">
        <v>9</v>
      </c>
    </row>
    <row r="21" spans="1:16" ht="15">
      <c r="A21" s="510">
        <v>17</v>
      </c>
      <c r="B21" s="510" t="s">
        <v>12191</v>
      </c>
      <c r="C21" s="510" t="s">
        <v>12192</v>
      </c>
      <c r="D21" s="512" t="s">
        <v>12193</v>
      </c>
      <c r="E21" s="510" t="s">
        <v>12194</v>
      </c>
      <c r="F21" s="510" t="s">
        <v>12715</v>
      </c>
      <c r="G21" s="510" t="s">
        <v>12195</v>
      </c>
      <c r="H21" s="510" t="s">
        <v>12196</v>
      </c>
      <c r="I21" s="510" t="s">
        <v>12716</v>
      </c>
      <c r="J21" s="510" t="s">
        <v>12717</v>
      </c>
      <c r="K21" s="510" t="s">
        <v>12197</v>
      </c>
      <c r="L21" s="510" t="s">
        <v>12198</v>
      </c>
      <c r="M21" s="510" t="s">
        <v>12199</v>
      </c>
      <c r="P21">
        <v>10</v>
      </c>
    </row>
    <row r="22" spans="1:16" ht="15">
      <c r="A22" s="510">
        <v>18</v>
      </c>
      <c r="B22" s="510" t="s">
        <v>12044</v>
      </c>
      <c r="C22" s="510" t="s">
        <v>12045</v>
      </c>
      <c r="D22" s="512" t="s">
        <v>12046</v>
      </c>
      <c r="E22" s="510" t="s">
        <v>12047</v>
      </c>
      <c r="F22" s="510" t="s">
        <v>12048</v>
      </c>
      <c r="G22" s="510" t="s">
        <v>12049</v>
      </c>
      <c r="H22" s="510" t="s">
        <v>12050</v>
      </c>
      <c r="I22" s="510" t="s">
        <v>12718</v>
      </c>
      <c r="J22" s="510" t="s">
        <v>12719</v>
      </c>
      <c r="K22" s="510" t="s">
        <v>12051</v>
      </c>
      <c r="L22" s="510" t="s">
        <v>12052</v>
      </c>
      <c r="M22" s="510" t="s">
        <v>12053</v>
      </c>
      <c r="P22">
        <v>11</v>
      </c>
    </row>
    <row r="23" spans="1:16" ht="15">
      <c r="A23" s="510">
        <v>19</v>
      </c>
      <c r="B23" s="510" t="s">
        <v>2662</v>
      </c>
      <c r="C23" s="510" t="s">
        <v>8879</v>
      </c>
      <c r="D23" s="512" t="s">
        <v>2811</v>
      </c>
      <c r="E23" s="510" t="s">
        <v>8957</v>
      </c>
      <c r="F23" s="510" t="s">
        <v>12720</v>
      </c>
      <c r="G23" s="510" t="s">
        <v>10995</v>
      </c>
      <c r="H23" s="510" t="s">
        <v>8880</v>
      </c>
      <c r="I23" s="510" t="s">
        <v>12721</v>
      </c>
      <c r="J23" s="510" t="s">
        <v>12722</v>
      </c>
      <c r="K23" s="510" t="s">
        <v>9002</v>
      </c>
      <c r="L23" s="510" t="s">
        <v>8809</v>
      </c>
      <c r="M23" s="510" t="s">
        <v>11041</v>
      </c>
      <c r="P23">
        <v>12</v>
      </c>
    </row>
    <row r="24" spans="1:16" ht="15">
      <c r="A24" s="510">
        <v>20</v>
      </c>
      <c r="B24" s="510" t="s">
        <v>12547</v>
      </c>
      <c r="C24" s="510" t="s">
        <v>12548</v>
      </c>
      <c r="D24" s="512" t="s">
        <v>12549</v>
      </c>
      <c r="E24" s="510" t="s">
        <v>12550</v>
      </c>
      <c r="F24" s="510" t="s">
        <v>12551</v>
      </c>
      <c r="G24" s="510" t="s">
        <v>12552</v>
      </c>
      <c r="H24" s="510" t="s">
        <v>12553</v>
      </c>
      <c r="I24" s="510" t="s">
        <v>12723</v>
      </c>
      <c r="J24" s="510" t="s">
        <v>12724</v>
      </c>
      <c r="K24" s="510" t="s">
        <v>12554</v>
      </c>
      <c r="L24" s="510" t="s">
        <v>12555</v>
      </c>
      <c r="M24" s="510" t="s">
        <v>12556</v>
      </c>
      <c r="P24">
        <v>13</v>
      </c>
    </row>
    <row r="25" spans="1:16" ht="15">
      <c r="A25" s="510">
        <v>21</v>
      </c>
      <c r="B25" s="510" t="s">
        <v>8810</v>
      </c>
      <c r="C25" s="510" t="s">
        <v>12502</v>
      </c>
      <c r="D25" s="512" t="s">
        <v>2812</v>
      </c>
      <c r="E25" s="510" t="s">
        <v>8958</v>
      </c>
      <c r="F25" s="510" t="s">
        <v>12725</v>
      </c>
      <c r="G25" s="510" t="s">
        <v>10996</v>
      </c>
      <c r="H25" s="510" t="s">
        <v>8881</v>
      </c>
      <c r="I25" s="510" t="s">
        <v>12726</v>
      </c>
      <c r="J25" s="510" t="s">
        <v>12727</v>
      </c>
      <c r="K25" s="510" t="s">
        <v>9003</v>
      </c>
      <c r="L25" s="510" t="s">
        <v>8811</v>
      </c>
      <c r="M25" s="510" t="s">
        <v>11042</v>
      </c>
      <c r="P25">
        <v>14</v>
      </c>
    </row>
    <row r="26" spans="1:16" ht="15">
      <c r="A26" s="510">
        <v>22</v>
      </c>
      <c r="B26" s="510" t="s">
        <v>8812</v>
      </c>
      <c r="C26" s="511" t="s">
        <v>8882</v>
      </c>
      <c r="D26" s="512" t="s">
        <v>2813</v>
      </c>
      <c r="E26" s="510" t="s">
        <v>8959</v>
      </c>
      <c r="F26" s="510" t="s">
        <v>12728</v>
      </c>
      <c r="G26" s="510" t="s">
        <v>10997</v>
      </c>
      <c r="H26" s="510" t="s">
        <v>8883</v>
      </c>
      <c r="I26" s="510" t="s">
        <v>12729</v>
      </c>
      <c r="J26" s="510" t="s">
        <v>12730</v>
      </c>
      <c r="K26" s="510" t="s">
        <v>9004</v>
      </c>
      <c r="L26" s="510" t="s">
        <v>8813</v>
      </c>
      <c r="M26" s="510" t="s">
        <v>11043</v>
      </c>
      <c r="P26">
        <v>15</v>
      </c>
    </row>
    <row r="27" spans="1:16" ht="15">
      <c r="A27" s="510">
        <v>23</v>
      </c>
      <c r="B27" s="510" t="s">
        <v>2188</v>
      </c>
      <c r="C27" s="511" t="s">
        <v>8884</v>
      </c>
      <c r="D27" s="512" t="s">
        <v>2814</v>
      </c>
      <c r="E27" s="510" t="s">
        <v>8960</v>
      </c>
      <c r="F27" s="510" t="s">
        <v>12731</v>
      </c>
      <c r="G27" s="510" t="s">
        <v>10998</v>
      </c>
      <c r="H27" s="510" t="s">
        <v>8885</v>
      </c>
      <c r="I27" s="510" t="s">
        <v>12732</v>
      </c>
      <c r="J27" s="510" t="s">
        <v>12733</v>
      </c>
      <c r="K27" s="510" t="s">
        <v>9005</v>
      </c>
      <c r="L27" s="510" t="s">
        <v>8814</v>
      </c>
      <c r="M27" s="510" t="s">
        <v>11044</v>
      </c>
      <c r="P27">
        <v>16</v>
      </c>
    </row>
    <row r="28" spans="1:16" ht="15">
      <c r="A28" s="510">
        <v>146</v>
      </c>
      <c r="B28" s="510" t="s">
        <v>13435</v>
      </c>
      <c r="C28" s="510" t="s">
        <v>13436</v>
      </c>
      <c r="D28" s="512" t="s">
        <v>13437</v>
      </c>
      <c r="E28" s="510" t="s">
        <v>13438</v>
      </c>
      <c r="F28" s="510" t="s">
        <v>13439</v>
      </c>
      <c r="G28" s="510" t="s">
        <v>13440</v>
      </c>
      <c r="H28" s="510" t="s">
        <v>13441</v>
      </c>
      <c r="I28" s="510" t="s">
        <v>13442</v>
      </c>
      <c r="J28" s="510" t="s">
        <v>13443</v>
      </c>
      <c r="K28" s="510" t="s">
        <v>13444</v>
      </c>
      <c r="L28" s="510" t="s">
        <v>13445</v>
      </c>
      <c r="M28" s="510" t="s">
        <v>13446</v>
      </c>
    </row>
    <row r="29" spans="1:16" ht="15">
      <c r="A29" s="510">
        <v>147</v>
      </c>
      <c r="B29" s="510" t="s">
        <v>13447</v>
      </c>
      <c r="C29" s="511" t="s">
        <v>13448</v>
      </c>
      <c r="D29" s="512" t="s">
        <v>13449</v>
      </c>
      <c r="E29" s="510" t="s">
        <v>13450</v>
      </c>
      <c r="F29" s="510" t="s">
        <v>13451</v>
      </c>
      <c r="G29" s="510" t="s">
        <v>13452</v>
      </c>
      <c r="H29" s="510" t="s">
        <v>13453</v>
      </c>
      <c r="I29" s="510" t="s">
        <v>13454</v>
      </c>
      <c r="J29" s="510" t="s">
        <v>13455</v>
      </c>
      <c r="K29" s="510" t="s">
        <v>13456</v>
      </c>
      <c r="L29" s="510" t="s">
        <v>13457</v>
      </c>
      <c r="M29" s="510" t="s">
        <v>13458</v>
      </c>
    </row>
    <row r="30" spans="1:16" ht="15">
      <c r="A30" s="510">
        <v>148</v>
      </c>
      <c r="B30" s="510" t="s">
        <v>13459</v>
      </c>
      <c r="C30" s="511" t="s">
        <v>13460</v>
      </c>
      <c r="D30" s="512" t="s">
        <v>13461</v>
      </c>
      <c r="E30" s="510" t="s">
        <v>13462</v>
      </c>
      <c r="F30" s="510" t="s">
        <v>13463</v>
      </c>
      <c r="G30" s="510" t="s">
        <v>13464</v>
      </c>
      <c r="H30" s="510" t="s">
        <v>13465</v>
      </c>
      <c r="I30" s="510" t="s">
        <v>13466</v>
      </c>
      <c r="J30" s="510" t="s">
        <v>13467</v>
      </c>
      <c r="K30" s="510" t="s">
        <v>13468</v>
      </c>
      <c r="L30" s="510" t="s">
        <v>13469</v>
      </c>
      <c r="M30" s="510" t="s">
        <v>13470</v>
      </c>
    </row>
    <row r="31" spans="1:16" ht="15">
      <c r="A31" s="510">
        <v>24</v>
      </c>
      <c r="B31" s="510" t="s">
        <v>669</v>
      </c>
      <c r="C31" s="510" t="s">
        <v>11747</v>
      </c>
      <c r="D31" s="512" t="s">
        <v>11747</v>
      </c>
      <c r="E31" s="510" t="s">
        <v>11747</v>
      </c>
      <c r="F31" s="510" t="s">
        <v>11747</v>
      </c>
      <c r="G31" s="510" t="s">
        <v>11747</v>
      </c>
      <c r="H31" s="510" t="s">
        <v>11747</v>
      </c>
      <c r="I31" s="510" t="s">
        <v>669</v>
      </c>
      <c r="J31" s="510" t="s">
        <v>11747</v>
      </c>
      <c r="K31" s="510" t="s">
        <v>11747</v>
      </c>
      <c r="L31" s="510" t="s">
        <v>669</v>
      </c>
      <c r="M31" s="510" t="s">
        <v>669</v>
      </c>
      <c r="P31">
        <v>17</v>
      </c>
    </row>
    <row r="32" spans="1:16" ht="15">
      <c r="A32" s="510">
        <v>25</v>
      </c>
      <c r="B32" s="510" t="s">
        <v>2201</v>
      </c>
      <c r="C32" s="510" t="s">
        <v>12734</v>
      </c>
      <c r="D32" s="512" t="s">
        <v>12735</v>
      </c>
      <c r="E32" s="510" t="s">
        <v>12736</v>
      </c>
      <c r="F32" s="510" t="s">
        <v>12737</v>
      </c>
      <c r="G32" s="510" t="s">
        <v>12738</v>
      </c>
      <c r="H32" s="510" t="s">
        <v>12739</v>
      </c>
      <c r="I32" s="510" t="s">
        <v>12740</v>
      </c>
      <c r="J32" s="510" t="s">
        <v>12741</v>
      </c>
      <c r="K32" s="510" t="s">
        <v>12742</v>
      </c>
      <c r="L32" s="510" t="s">
        <v>8815</v>
      </c>
      <c r="M32" s="510" t="s">
        <v>12743</v>
      </c>
      <c r="P32">
        <v>18</v>
      </c>
    </row>
    <row r="33" spans="1:16" ht="15">
      <c r="A33" s="510">
        <v>26</v>
      </c>
      <c r="B33" s="510" t="s">
        <v>12744</v>
      </c>
      <c r="C33" s="511" t="s">
        <v>12745</v>
      </c>
      <c r="D33" s="512" t="s">
        <v>12746</v>
      </c>
      <c r="E33" s="510" t="s">
        <v>12747</v>
      </c>
      <c r="F33" s="510" t="s">
        <v>12748</v>
      </c>
      <c r="G33" s="510" t="s">
        <v>12749</v>
      </c>
      <c r="H33" s="510" t="s">
        <v>12750</v>
      </c>
      <c r="I33" s="510" t="s">
        <v>12751</v>
      </c>
      <c r="J33" s="510" t="s">
        <v>12752</v>
      </c>
      <c r="K33" s="510" t="s">
        <v>12753</v>
      </c>
      <c r="L33" s="510" t="s">
        <v>12754</v>
      </c>
      <c r="M33" s="510" t="s">
        <v>12755</v>
      </c>
      <c r="P33">
        <v>19</v>
      </c>
    </row>
    <row r="34" spans="1:16" ht="15">
      <c r="A34" s="510">
        <v>27</v>
      </c>
      <c r="B34" s="510" t="s">
        <v>8816</v>
      </c>
      <c r="C34" s="510" t="s">
        <v>12756</v>
      </c>
      <c r="D34" s="512" t="s">
        <v>12757</v>
      </c>
      <c r="E34" s="510" t="s">
        <v>12758</v>
      </c>
      <c r="F34" s="510" t="s">
        <v>12759</v>
      </c>
      <c r="G34" s="510" t="s">
        <v>12760</v>
      </c>
      <c r="H34" s="510" t="s">
        <v>12761</v>
      </c>
      <c r="I34" s="510" t="s">
        <v>12762</v>
      </c>
      <c r="J34" s="510" t="s">
        <v>12763</v>
      </c>
      <c r="K34" s="510" t="s">
        <v>12764</v>
      </c>
      <c r="L34" s="510" t="s">
        <v>12765</v>
      </c>
      <c r="M34" s="510" t="s">
        <v>12766</v>
      </c>
      <c r="P34">
        <v>20</v>
      </c>
    </row>
    <row r="35" spans="1:16" ht="15">
      <c r="A35" s="510">
        <v>28</v>
      </c>
      <c r="B35" s="510" t="s">
        <v>8817</v>
      </c>
      <c r="C35" s="511" t="s">
        <v>12767</v>
      </c>
      <c r="D35" s="512" t="s">
        <v>12768</v>
      </c>
      <c r="E35" s="510" t="s">
        <v>12769</v>
      </c>
      <c r="F35" s="510" t="s">
        <v>12770</v>
      </c>
      <c r="G35" s="510" t="s">
        <v>12771</v>
      </c>
      <c r="H35" s="510" t="s">
        <v>12772</v>
      </c>
      <c r="I35" s="510" t="s">
        <v>12773</v>
      </c>
      <c r="J35" s="510" t="s">
        <v>12774</v>
      </c>
      <c r="K35" s="510" t="s">
        <v>12775</v>
      </c>
      <c r="L35" s="510" t="s">
        <v>12776</v>
      </c>
      <c r="M35" s="510" t="s">
        <v>12777</v>
      </c>
      <c r="P35">
        <v>21</v>
      </c>
    </row>
    <row r="36" spans="1:16" ht="15">
      <c r="A36" s="510">
        <v>29</v>
      </c>
      <c r="B36" s="510" t="s">
        <v>12778</v>
      </c>
      <c r="C36" s="511" t="s">
        <v>12779</v>
      </c>
      <c r="D36" s="512" t="s">
        <v>12780</v>
      </c>
      <c r="E36" s="510" t="s">
        <v>12781</v>
      </c>
      <c r="F36" s="510" t="s">
        <v>12782</v>
      </c>
      <c r="G36" s="510" t="s">
        <v>12783</v>
      </c>
      <c r="H36" s="510" t="s">
        <v>12784</v>
      </c>
      <c r="I36" s="510" t="s">
        <v>12785</v>
      </c>
      <c r="J36" s="510" t="s">
        <v>12786</v>
      </c>
      <c r="K36" s="510" t="s">
        <v>12787</v>
      </c>
      <c r="L36" s="510" t="s">
        <v>12788</v>
      </c>
      <c r="M36" s="510" t="s">
        <v>12789</v>
      </c>
      <c r="P36">
        <v>22</v>
      </c>
    </row>
    <row r="37" spans="1:16" ht="15">
      <c r="A37" s="510">
        <v>30</v>
      </c>
      <c r="B37" s="510" t="s">
        <v>12790</v>
      </c>
      <c r="C37" s="510" t="s">
        <v>12791</v>
      </c>
      <c r="D37" s="512" t="s">
        <v>12792</v>
      </c>
      <c r="E37" s="510" t="s">
        <v>12793</v>
      </c>
      <c r="F37" s="510" t="s">
        <v>12794</v>
      </c>
      <c r="G37" s="510" t="s">
        <v>12795</v>
      </c>
      <c r="H37" s="510" t="s">
        <v>12796</v>
      </c>
      <c r="I37" s="510" t="s">
        <v>12797</v>
      </c>
      <c r="J37" s="510" t="s">
        <v>12798</v>
      </c>
      <c r="K37" s="510" t="s">
        <v>12799</v>
      </c>
      <c r="L37" s="510" t="s">
        <v>12800</v>
      </c>
      <c r="M37" s="510" t="s">
        <v>12801</v>
      </c>
      <c r="P37">
        <v>23</v>
      </c>
    </row>
    <row r="38" spans="1:16" ht="15">
      <c r="A38" s="510">
        <v>31</v>
      </c>
      <c r="B38" s="510" t="s">
        <v>2285</v>
      </c>
      <c r="C38" s="510" t="s">
        <v>12802</v>
      </c>
      <c r="D38" s="512" t="s">
        <v>12803</v>
      </c>
      <c r="E38" s="510" t="s">
        <v>12804</v>
      </c>
      <c r="F38" s="510" t="s">
        <v>12805</v>
      </c>
      <c r="G38" s="510" t="s">
        <v>12806</v>
      </c>
      <c r="H38" s="510" t="s">
        <v>12807</v>
      </c>
      <c r="I38" s="510" t="s">
        <v>12808</v>
      </c>
      <c r="J38" s="510" t="s">
        <v>12809</v>
      </c>
      <c r="K38" s="510" t="s">
        <v>12810</v>
      </c>
      <c r="L38" s="510" t="s">
        <v>12811</v>
      </c>
      <c r="M38" s="510" t="s">
        <v>12812</v>
      </c>
      <c r="P38">
        <v>24</v>
      </c>
    </row>
    <row r="39" spans="1:16" ht="15">
      <c r="A39" s="510">
        <v>32</v>
      </c>
      <c r="B39" s="510" t="s">
        <v>2286</v>
      </c>
      <c r="C39" s="511" t="s">
        <v>12813</v>
      </c>
      <c r="D39" s="512" t="s">
        <v>12814</v>
      </c>
      <c r="E39" s="510" t="s">
        <v>12815</v>
      </c>
      <c r="F39" s="510" t="s">
        <v>12816</v>
      </c>
      <c r="G39" s="510" t="s">
        <v>12817</v>
      </c>
      <c r="H39" s="510" t="s">
        <v>12818</v>
      </c>
      <c r="I39" s="510" t="s">
        <v>12819</v>
      </c>
      <c r="J39" s="510" t="s">
        <v>12820</v>
      </c>
      <c r="K39" s="510" t="s">
        <v>12821</v>
      </c>
      <c r="L39" s="510" t="s">
        <v>12822</v>
      </c>
      <c r="M39" s="510" t="s">
        <v>12823</v>
      </c>
      <c r="P39">
        <v>25</v>
      </c>
    </row>
    <row r="40" spans="1:16" ht="15">
      <c r="A40" s="510">
        <v>33</v>
      </c>
      <c r="B40" s="510" t="s">
        <v>669</v>
      </c>
      <c r="C40" s="511"/>
      <c r="I40" s="510" t="s">
        <v>669</v>
      </c>
      <c r="P40">
        <v>26</v>
      </c>
    </row>
    <row r="41" spans="1:16" s="509" customFormat="1" ht="15">
      <c r="A41" s="510">
        <v>34</v>
      </c>
      <c r="B41" s="510" t="s">
        <v>8818</v>
      </c>
      <c r="C41" s="510" t="s">
        <v>12824</v>
      </c>
      <c r="D41" s="512" t="s">
        <v>12825</v>
      </c>
      <c r="E41" s="510" t="s">
        <v>12826</v>
      </c>
      <c r="F41" s="510" t="s">
        <v>12827</v>
      </c>
      <c r="G41" s="510" t="s">
        <v>12828</v>
      </c>
      <c r="H41" s="510" t="s">
        <v>12829</v>
      </c>
      <c r="I41" s="510" t="s">
        <v>12830</v>
      </c>
      <c r="J41" s="510" t="s">
        <v>12831</v>
      </c>
      <c r="K41" s="510" t="s">
        <v>12832</v>
      </c>
      <c r="L41" s="510" t="s">
        <v>12833</v>
      </c>
      <c r="M41" s="510" t="s">
        <v>12834</v>
      </c>
      <c r="N41" s="510"/>
      <c r="O41" s="510"/>
      <c r="P41">
        <v>27</v>
      </c>
    </row>
    <row r="42" spans="1:16" s="187" customFormat="1" ht="15">
      <c r="A42" s="510">
        <v>35</v>
      </c>
      <c r="B42" s="510" t="s">
        <v>669</v>
      </c>
      <c r="C42" s="510"/>
      <c r="D42" s="512"/>
      <c r="E42" s="510"/>
      <c r="F42" s="510"/>
      <c r="G42" s="510"/>
      <c r="H42" s="510"/>
      <c r="I42" s="510" t="s">
        <v>669</v>
      </c>
      <c r="J42" s="510"/>
      <c r="K42" s="510"/>
      <c r="L42" s="510"/>
      <c r="M42" s="510"/>
      <c r="N42" s="510"/>
      <c r="O42" s="510"/>
      <c r="P42">
        <v>28</v>
      </c>
    </row>
    <row r="43" spans="1:16" ht="15">
      <c r="A43" s="510">
        <v>36</v>
      </c>
      <c r="B43" s="510" t="s">
        <v>2198</v>
      </c>
      <c r="C43" s="511" t="s">
        <v>8886</v>
      </c>
      <c r="D43" s="512" t="s">
        <v>2815</v>
      </c>
      <c r="E43" s="510" t="s">
        <v>8961</v>
      </c>
      <c r="F43" s="510" t="s">
        <v>12835</v>
      </c>
      <c r="G43" s="510" t="s">
        <v>10999</v>
      </c>
      <c r="H43" s="510" t="s">
        <v>8887</v>
      </c>
      <c r="I43" s="510" t="s">
        <v>12836</v>
      </c>
      <c r="J43" s="510" t="s">
        <v>12837</v>
      </c>
      <c r="K43" s="510" t="s">
        <v>9006</v>
      </c>
      <c r="L43" s="510" t="s">
        <v>8819</v>
      </c>
      <c r="M43" s="510" t="s">
        <v>11045</v>
      </c>
      <c r="P43">
        <v>29</v>
      </c>
    </row>
    <row r="44" spans="1:16" ht="15">
      <c r="A44" s="510">
        <v>37</v>
      </c>
      <c r="B44" s="510" t="s">
        <v>669</v>
      </c>
      <c r="C44" s="510" t="s">
        <v>11747</v>
      </c>
      <c r="D44" s="512" t="s">
        <v>11747</v>
      </c>
      <c r="E44" s="510" t="s">
        <v>11747</v>
      </c>
      <c r="F44" s="510" t="s">
        <v>11747</v>
      </c>
      <c r="G44" s="510" t="s">
        <v>11747</v>
      </c>
      <c r="H44" s="510" t="s">
        <v>11747</v>
      </c>
      <c r="I44" s="510" t="s">
        <v>669</v>
      </c>
      <c r="J44" s="510" t="s">
        <v>669</v>
      </c>
      <c r="K44" s="510" t="s">
        <v>11747</v>
      </c>
      <c r="L44" s="510" t="s">
        <v>669</v>
      </c>
      <c r="M44" s="510" t="s">
        <v>669</v>
      </c>
      <c r="P44">
        <v>30</v>
      </c>
    </row>
    <row r="45" spans="1:16" ht="15">
      <c r="A45" s="510">
        <v>38</v>
      </c>
      <c r="B45" s="510" t="s">
        <v>8820</v>
      </c>
      <c r="C45" s="510" t="s">
        <v>8888</v>
      </c>
      <c r="D45" s="512" t="s">
        <v>2816</v>
      </c>
      <c r="E45" s="510" t="s">
        <v>8962</v>
      </c>
      <c r="F45" s="510" t="s">
        <v>12838</v>
      </c>
      <c r="G45" s="510" t="s">
        <v>11000</v>
      </c>
      <c r="H45" s="510" t="s">
        <v>8889</v>
      </c>
      <c r="I45" s="510" t="s">
        <v>12839</v>
      </c>
      <c r="J45" s="510" t="s">
        <v>12840</v>
      </c>
      <c r="K45" s="510" t="s">
        <v>9007</v>
      </c>
      <c r="L45" s="510" t="s">
        <v>8821</v>
      </c>
      <c r="M45" s="510" t="s">
        <v>11046</v>
      </c>
      <c r="P45">
        <v>31</v>
      </c>
    </row>
    <row r="46" spans="1:16" ht="15">
      <c r="A46" s="510">
        <v>39</v>
      </c>
      <c r="B46" s="510" t="s">
        <v>8822</v>
      </c>
      <c r="C46" s="510" t="s">
        <v>8890</v>
      </c>
      <c r="D46" s="512" t="s">
        <v>2817</v>
      </c>
      <c r="E46" s="510" t="s">
        <v>8963</v>
      </c>
      <c r="F46" s="510" t="s">
        <v>12841</v>
      </c>
      <c r="G46" s="510" t="s">
        <v>11001</v>
      </c>
      <c r="H46" s="510" t="s">
        <v>8891</v>
      </c>
      <c r="I46" s="510" t="s">
        <v>12842</v>
      </c>
      <c r="J46" s="510" t="s">
        <v>12843</v>
      </c>
      <c r="K46" s="510" t="s">
        <v>9008</v>
      </c>
      <c r="L46" s="510" t="s">
        <v>8823</v>
      </c>
      <c r="M46" s="510" t="s">
        <v>11047</v>
      </c>
      <c r="P46">
        <v>32</v>
      </c>
    </row>
    <row r="47" spans="1:16" ht="15">
      <c r="A47" s="510">
        <v>40</v>
      </c>
      <c r="B47" s="510" t="s">
        <v>8824</v>
      </c>
      <c r="C47" s="510" t="s">
        <v>8892</v>
      </c>
      <c r="D47" s="512" t="s">
        <v>2818</v>
      </c>
      <c r="E47" s="510" t="s">
        <v>8964</v>
      </c>
      <c r="F47" s="510" t="s">
        <v>12844</v>
      </c>
      <c r="G47" s="510" t="s">
        <v>11002</v>
      </c>
      <c r="H47" s="510" t="s">
        <v>8893</v>
      </c>
      <c r="I47" s="510" t="s">
        <v>12845</v>
      </c>
      <c r="J47" s="510" t="s">
        <v>12846</v>
      </c>
      <c r="K47" s="510" t="s">
        <v>9009</v>
      </c>
      <c r="L47" s="510" t="s">
        <v>8825</v>
      </c>
      <c r="M47" s="510" t="s">
        <v>11048</v>
      </c>
      <c r="P47">
        <v>33</v>
      </c>
    </row>
    <row r="48" spans="1:16" ht="15">
      <c r="A48" s="510">
        <v>41</v>
      </c>
      <c r="B48" s="510" t="s">
        <v>669</v>
      </c>
      <c r="C48" s="510" t="s">
        <v>11747</v>
      </c>
      <c r="D48" s="512" t="s">
        <v>11747</v>
      </c>
      <c r="E48" s="510" t="s">
        <v>11747</v>
      </c>
      <c r="F48" s="510" t="s">
        <v>11747</v>
      </c>
      <c r="G48" s="510" t="s">
        <v>11747</v>
      </c>
      <c r="H48" s="510" t="s">
        <v>11747</v>
      </c>
      <c r="I48" s="510" t="s">
        <v>669</v>
      </c>
      <c r="J48" s="510" t="s">
        <v>669</v>
      </c>
      <c r="K48" s="510" t="s">
        <v>11747</v>
      </c>
      <c r="L48" s="510" t="s">
        <v>669</v>
      </c>
      <c r="M48" s="510" t="s">
        <v>669</v>
      </c>
      <c r="P48">
        <v>34</v>
      </c>
    </row>
    <row r="49" spans="1:16" ht="15">
      <c r="A49" s="510">
        <v>42</v>
      </c>
      <c r="B49" s="510" t="s">
        <v>2199</v>
      </c>
      <c r="C49" s="510" t="s">
        <v>8894</v>
      </c>
      <c r="D49" s="512" t="s">
        <v>2819</v>
      </c>
      <c r="E49" s="510" t="s">
        <v>8965</v>
      </c>
      <c r="F49" s="510" t="s">
        <v>12847</v>
      </c>
      <c r="G49" s="510" t="s">
        <v>11003</v>
      </c>
      <c r="H49" s="510" t="s">
        <v>8895</v>
      </c>
      <c r="I49" s="510" t="s">
        <v>12848</v>
      </c>
      <c r="J49" s="510" t="s">
        <v>12849</v>
      </c>
      <c r="K49" s="510" t="s">
        <v>9010</v>
      </c>
      <c r="L49" s="510" t="s">
        <v>8826</v>
      </c>
      <c r="M49" s="510" t="s">
        <v>11049</v>
      </c>
      <c r="P49">
        <v>35</v>
      </c>
    </row>
    <row r="50" spans="1:16" ht="15">
      <c r="A50" s="510">
        <v>43</v>
      </c>
      <c r="B50" s="510" t="s">
        <v>12239</v>
      </c>
      <c r="C50" s="510" t="s">
        <v>12249</v>
      </c>
      <c r="D50" s="510" t="s">
        <v>12248</v>
      </c>
      <c r="E50" s="510" t="s">
        <v>12247</v>
      </c>
      <c r="F50" s="510" t="s">
        <v>12246</v>
      </c>
      <c r="G50" s="510" t="s">
        <v>12245</v>
      </c>
      <c r="H50" s="510" t="s">
        <v>12244</v>
      </c>
      <c r="I50" s="510" t="s">
        <v>12850</v>
      </c>
      <c r="J50" s="510" t="s">
        <v>12243</v>
      </c>
      <c r="K50" s="510" t="s">
        <v>12242</v>
      </c>
      <c r="L50" s="510" t="s">
        <v>12241</v>
      </c>
      <c r="M50" s="510" t="s">
        <v>12240</v>
      </c>
      <c r="P50">
        <v>36</v>
      </c>
    </row>
    <row r="51" spans="1:16" ht="15">
      <c r="A51" s="510">
        <v>44</v>
      </c>
      <c r="B51" s="510" t="s">
        <v>2664</v>
      </c>
      <c r="C51" s="510" t="s">
        <v>12405</v>
      </c>
      <c r="D51" s="510" t="s">
        <v>12418</v>
      </c>
      <c r="E51" s="510" t="s">
        <v>12430</v>
      </c>
      <c r="F51" s="510" t="s">
        <v>12851</v>
      </c>
      <c r="G51" s="510" t="s">
        <v>12442</v>
      </c>
      <c r="H51" s="510" t="s">
        <v>12454</v>
      </c>
      <c r="I51" s="510" t="s">
        <v>12852</v>
      </c>
      <c r="J51" s="510" t="s">
        <v>12853</v>
      </c>
      <c r="K51" s="510" t="s">
        <v>12465</v>
      </c>
      <c r="L51" s="510" t="s">
        <v>12476</v>
      </c>
      <c r="M51" s="510" t="s">
        <v>12488</v>
      </c>
      <c r="P51">
        <v>37</v>
      </c>
    </row>
    <row r="52" spans="1:16" ht="15">
      <c r="A52" s="510">
        <v>45</v>
      </c>
      <c r="B52" s="510" t="s">
        <v>12056</v>
      </c>
      <c r="C52" s="510" t="s">
        <v>12406</v>
      </c>
      <c r="D52" s="510" t="s">
        <v>12419</v>
      </c>
      <c r="E52" s="510" t="s">
        <v>12431</v>
      </c>
      <c r="F52" s="510" t="s">
        <v>12854</v>
      </c>
      <c r="G52" s="510" t="s">
        <v>12443</v>
      </c>
      <c r="H52" s="510" t="s">
        <v>12855</v>
      </c>
      <c r="I52" s="510" t="s">
        <v>12856</v>
      </c>
      <c r="J52" s="510" t="s">
        <v>12857</v>
      </c>
      <c r="K52" s="510" t="s">
        <v>12858</v>
      </c>
      <c r="L52" s="510" t="s">
        <v>12477</v>
      </c>
      <c r="M52" s="510" t="s">
        <v>12489</v>
      </c>
      <c r="P52">
        <v>38</v>
      </c>
    </row>
    <row r="53" spans="1:16" ht="15">
      <c r="A53" s="510">
        <v>46</v>
      </c>
      <c r="B53" s="510" t="s">
        <v>2663</v>
      </c>
      <c r="C53" s="510" t="s">
        <v>12407</v>
      </c>
      <c r="D53" s="510" t="s">
        <v>12420</v>
      </c>
      <c r="E53" s="510" t="s">
        <v>12432</v>
      </c>
      <c r="F53" s="510" t="s">
        <v>12859</v>
      </c>
      <c r="G53" s="510" t="s">
        <v>12444</v>
      </c>
      <c r="H53" s="510" t="s">
        <v>12455</v>
      </c>
      <c r="I53" s="510" t="s">
        <v>12860</v>
      </c>
      <c r="J53" s="510" t="s">
        <v>12861</v>
      </c>
      <c r="K53" s="510" t="s">
        <v>12466</v>
      </c>
      <c r="L53" s="510" t="s">
        <v>12478</v>
      </c>
      <c r="M53" s="510" t="s">
        <v>12490</v>
      </c>
      <c r="P53">
        <v>39</v>
      </c>
    </row>
    <row r="54" spans="1:16" ht="15">
      <c r="A54" s="510">
        <v>47</v>
      </c>
      <c r="B54" s="510" t="s">
        <v>12520</v>
      </c>
      <c r="C54" s="510" t="s">
        <v>12521</v>
      </c>
      <c r="D54" s="510" t="s">
        <v>12522</v>
      </c>
      <c r="E54" s="510" t="s">
        <v>12523</v>
      </c>
      <c r="F54" s="510" t="s">
        <v>12862</v>
      </c>
      <c r="G54" s="510" t="s">
        <v>12524</v>
      </c>
      <c r="H54" s="510" t="s">
        <v>12525</v>
      </c>
      <c r="I54" s="510" t="s">
        <v>12863</v>
      </c>
      <c r="J54" s="510" t="s">
        <v>12864</v>
      </c>
      <c r="K54" s="510" t="s">
        <v>12526</v>
      </c>
      <c r="L54" s="510" t="s">
        <v>12527</v>
      </c>
      <c r="M54" s="510" t="s">
        <v>12528</v>
      </c>
      <c r="P54">
        <v>40</v>
      </c>
    </row>
    <row r="55" spans="1:16" ht="15">
      <c r="A55" s="510">
        <v>48</v>
      </c>
      <c r="B55" s="510" t="s">
        <v>2665</v>
      </c>
      <c r="C55" s="510" t="s">
        <v>12408</v>
      </c>
      <c r="D55" s="510" t="s">
        <v>12421</v>
      </c>
      <c r="E55" s="510" t="s">
        <v>12433</v>
      </c>
      <c r="F55" s="510" t="s">
        <v>12865</v>
      </c>
      <c r="G55" s="510" t="s">
        <v>12445</v>
      </c>
      <c r="H55" s="510" t="s">
        <v>12456</v>
      </c>
      <c r="I55" s="510" t="s">
        <v>12866</v>
      </c>
      <c r="J55" s="510" t="s">
        <v>12867</v>
      </c>
      <c r="K55" s="510" t="s">
        <v>12467</v>
      </c>
      <c r="L55" s="510" t="s">
        <v>12479</v>
      </c>
      <c r="M55" s="510" t="s">
        <v>12491</v>
      </c>
      <c r="P55">
        <v>41</v>
      </c>
    </row>
    <row r="56" spans="1:16" ht="15">
      <c r="A56" s="510">
        <v>49</v>
      </c>
      <c r="B56" s="510" t="s">
        <v>2200</v>
      </c>
      <c r="C56" s="510" t="s">
        <v>8896</v>
      </c>
      <c r="D56" s="510" t="s">
        <v>2260</v>
      </c>
      <c r="E56" s="510" t="s">
        <v>8966</v>
      </c>
      <c r="F56" s="510" t="s">
        <v>12868</v>
      </c>
      <c r="G56" s="510" t="s">
        <v>11004</v>
      </c>
      <c r="H56" s="510" t="s">
        <v>8897</v>
      </c>
      <c r="I56" s="510" t="s">
        <v>12869</v>
      </c>
      <c r="J56" s="510" t="s">
        <v>12870</v>
      </c>
      <c r="K56" s="510" t="s">
        <v>9011</v>
      </c>
      <c r="L56" s="510" t="s">
        <v>8827</v>
      </c>
      <c r="M56" s="510" t="s">
        <v>12492</v>
      </c>
      <c r="P56">
        <v>42</v>
      </c>
    </row>
    <row r="57" spans="1:16" ht="15">
      <c r="A57" s="510">
        <v>50</v>
      </c>
      <c r="B57" s="510" t="s">
        <v>8828</v>
      </c>
      <c r="C57" s="510" t="s">
        <v>12409</v>
      </c>
      <c r="D57" s="510" t="s">
        <v>12422</v>
      </c>
      <c r="E57" s="510" t="s">
        <v>12434</v>
      </c>
      <c r="F57" s="510" t="s">
        <v>12871</v>
      </c>
      <c r="G57" s="510" t="s">
        <v>12446</v>
      </c>
      <c r="H57" s="510" t="s">
        <v>12457</v>
      </c>
      <c r="I57" s="510" t="s">
        <v>12872</v>
      </c>
      <c r="J57" s="510" t="s">
        <v>12873</v>
      </c>
      <c r="K57" s="510" t="s">
        <v>12468</v>
      </c>
      <c r="L57" s="510" t="s">
        <v>12480</v>
      </c>
      <c r="M57" s="510" t="s">
        <v>12493</v>
      </c>
      <c r="P57">
        <v>43</v>
      </c>
    </row>
    <row r="58" spans="1:16" ht="15">
      <c r="A58" s="510">
        <v>51</v>
      </c>
      <c r="B58" s="510" t="s">
        <v>2666</v>
      </c>
      <c r="C58" s="514" t="s">
        <v>12410</v>
      </c>
      <c r="D58" s="512" t="s">
        <v>12423</v>
      </c>
      <c r="E58" s="510" t="s">
        <v>12435</v>
      </c>
      <c r="F58" s="510" t="s">
        <v>12874</v>
      </c>
      <c r="G58" s="510" t="s">
        <v>12447</v>
      </c>
      <c r="H58" s="510" t="s">
        <v>12458</v>
      </c>
      <c r="I58" s="510" t="s">
        <v>12875</v>
      </c>
      <c r="J58" s="510" t="s">
        <v>12876</v>
      </c>
      <c r="K58" s="510" t="s">
        <v>12469</v>
      </c>
      <c r="L58" s="510" t="s">
        <v>12481</v>
      </c>
      <c r="M58" s="510" t="s">
        <v>12494</v>
      </c>
      <c r="P58">
        <v>44</v>
      </c>
    </row>
    <row r="59" spans="1:16" ht="15">
      <c r="A59" s="510">
        <v>52</v>
      </c>
      <c r="B59" s="510" t="s">
        <v>2667</v>
      </c>
      <c r="C59" s="510" t="s">
        <v>12411</v>
      </c>
      <c r="D59" s="512" t="s">
        <v>12424</v>
      </c>
      <c r="E59" s="510" t="s">
        <v>12436</v>
      </c>
      <c r="F59" s="510" t="s">
        <v>12877</v>
      </c>
      <c r="G59" s="510" t="s">
        <v>12448</v>
      </c>
      <c r="H59" s="510" t="s">
        <v>12459</v>
      </c>
      <c r="I59" s="510" t="s">
        <v>12878</v>
      </c>
      <c r="J59" s="510" t="s">
        <v>12879</v>
      </c>
      <c r="K59" s="510" t="s">
        <v>12470</v>
      </c>
      <c r="L59" s="510" t="s">
        <v>12482</v>
      </c>
      <c r="M59" s="510" t="s">
        <v>12495</v>
      </c>
      <c r="P59">
        <v>45</v>
      </c>
    </row>
    <row r="60" spans="1:16" ht="15">
      <c r="A60" s="510">
        <v>53</v>
      </c>
      <c r="B60" s="510" t="s">
        <v>12250</v>
      </c>
      <c r="C60" s="510" t="s">
        <v>12412</v>
      </c>
      <c r="D60" s="512" t="s">
        <v>12880</v>
      </c>
      <c r="E60" s="510" t="s">
        <v>12881</v>
      </c>
      <c r="F60" s="510" t="s">
        <v>12882</v>
      </c>
      <c r="G60" s="510" t="s">
        <v>12883</v>
      </c>
      <c r="H60" s="510" t="s">
        <v>12884</v>
      </c>
      <c r="I60" s="510" t="s">
        <v>12885</v>
      </c>
      <c r="J60" s="510" t="s">
        <v>12886</v>
      </c>
      <c r="K60" s="510" t="s">
        <v>12887</v>
      </c>
      <c r="L60" s="510" t="s">
        <v>12888</v>
      </c>
      <c r="M60" s="510" t="s">
        <v>12889</v>
      </c>
      <c r="P60">
        <v>46</v>
      </c>
    </row>
    <row r="61" spans="1:16" ht="15">
      <c r="A61" s="510">
        <v>54</v>
      </c>
      <c r="B61" s="510" t="s">
        <v>12251</v>
      </c>
      <c r="C61" s="510" t="s">
        <v>12257</v>
      </c>
      <c r="D61" s="510" t="s">
        <v>12258</v>
      </c>
      <c r="E61" s="510" t="s">
        <v>12259</v>
      </c>
      <c r="F61" s="510" t="s">
        <v>12260</v>
      </c>
      <c r="G61" s="510" t="s">
        <v>12261</v>
      </c>
      <c r="H61" s="510" t="s">
        <v>12262</v>
      </c>
      <c r="I61" s="510" t="s">
        <v>12890</v>
      </c>
      <c r="J61" s="510" t="s">
        <v>12263</v>
      </c>
      <c r="K61" s="510" t="s">
        <v>12264</v>
      </c>
      <c r="L61" s="510" t="s">
        <v>12265</v>
      </c>
      <c r="M61" s="510" t="s">
        <v>12266</v>
      </c>
      <c r="P61">
        <v>47</v>
      </c>
    </row>
    <row r="62" spans="1:16" ht="15">
      <c r="A62" s="510">
        <v>55</v>
      </c>
      <c r="B62" s="510" t="s">
        <v>12891</v>
      </c>
      <c r="C62" s="510" t="s">
        <v>12892</v>
      </c>
      <c r="D62" s="510" t="s">
        <v>12893</v>
      </c>
      <c r="E62" s="510" t="s">
        <v>12894</v>
      </c>
      <c r="F62" s="510" t="s">
        <v>12895</v>
      </c>
      <c r="G62" s="510" t="s">
        <v>12896</v>
      </c>
      <c r="H62" s="510" t="s">
        <v>12897</v>
      </c>
      <c r="I62" s="510" t="s">
        <v>12898</v>
      </c>
      <c r="J62" s="510" t="s">
        <v>12899</v>
      </c>
      <c r="K62" s="510" t="s">
        <v>12900</v>
      </c>
      <c r="L62" s="510" t="s">
        <v>12901</v>
      </c>
      <c r="M62" s="510" t="s">
        <v>12902</v>
      </c>
      <c r="P62">
        <v>48</v>
      </c>
    </row>
    <row r="63" spans="1:16" ht="15">
      <c r="A63" s="510">
        <v>56</v>
      </c>
      <c r="B63" s="510" t="s">
        <v>12252</v>
      </c>
      <c r="C63" s="510" t="s">
        <v>12267</v>
      </c>
      <c r="D63" s="512" t="s">
        <v>12268</v>
      </c>
      <c r="E63" s="510" t="s">
        <v>12269</v>
      </c>
      <c r="F63" s="510" t="s">
        <v>12270</v>
      </c>
      <c r="G63" s="510" t="s">
        <v>12271</v>
      </c>
      <c r="H63" s="510" t="s">
        <v>12272</v>
      </c>
      <c r="I63" s="510" t="s">
        <v>12903</v>
      </c>
      <c r="J63" s="510" t="s">
        <v>12273</v>
      </c>
      <c r="K63" s="510" t="s">
        <v>12274</v>
      </c>
      <c r="L63" s="510" t="s">
        <v>12275</v>
      </c>
      <c r="M63" s="510" t="s">
        <v>12276</v>
      </c>
      <c r="P63">
        <v>49</v>
      </c>
    </row>
    <row r="64" spans="1:16" ht="15">
      <c r="A64" s="510">
        <v>57</v>
      </c>
      <c r="B64" s="510" t="s">
        <v>12253</v>
      </c>
      <c r="C64" s="510" t="s">
        <v>12277</v>
      </c>
      <c r="D64" s="512" t="s">
        <v>12278</v>
      </c>
      <c r="E64" s="510" t="s">
        <v>12279</v>
      </c>
      <c r="F64" s="510" t="s">
        <v>12280</v>
      </c>
      <c r="G64" s="510" t="s">
        <v>12281</v>
      </c>
      <c r="H64" s="510" t="s">
        <v>12282</v>
      </c>
      <c r="I64" s="510" t="s">
        <v>12904</v>
      </c>
      <c r="J64" s="510" t="s">
        <v>12905</v>
      </c>
      <c r="K64" s="510" t="s">
        <v>12283</v>
      </c>
      <c r="L64" s="510" t="s">
        <v>12284</v>
      </c>
      <c r="M64" s="510" t="s">
        <v>12285</v>
      </c>
      <c r="P64">
        <v>50</v>
      </c>
    </row>
    <row r="65" spans="1:16" ht="15">
      <c r="A65" s="510">
        <v>58</v>
      </c>
      <c r="B65" s="510" t="s">
        <v>12254</v>
      </c>
      <c r="C65" s="510" t="s">
        <v>12286</v>
      </c>
      <c r="D65" s="512" t="s">
        <v>12287</v>
      </c>
      <c r="E65" s="510" t="s">
        <v>12288</v>
      </c>
      <c r="F65" s="510" t="s">
        <v>12289</v>
      </c>
      <c r="G65" s="510" t="s">
        <v>12290</v>
      </c>
      <c r="H65" s="510" t="s">
        <v>12291</v>
      </c>
      <c r="I65" s="510" t="s">
        <v>12906</v>
      </c>
      <c r="J65" s="510" t="s">
        <v>12907</v>
      </c>
      <c r="K65" s="510" t="s">
        <v>12292</v>
      </c>
      <c r="L65" s="510" t="s">
        <v>12293</v>
      </c>
      <c r="M65" s="510" t="s">
        <v>12294</v>
      </c>
      <c r="P65">
        <v>51</v>
      </c>
    </row>
    <row r="66" spans="1:16" ht="15">
      <c r="A66" s="510">
        <v>145</v>
      </c>
      <c r="B66" s="510" t="s">
        <v>12908</v>
      </c>
      <c r="C66" s="510" t="s">
        <v>12909</v>
      </c>
      <c r="D66" s="512" t="s">
        <v>12910</v>
      </c>
      <c r="E66" s="510" t="s">
        <v>12911</v>
      </c>
      <c r="F66" s="510" t="s">
        <v>12912</v>
      </c>
      <c r="G66" s="510" t="s">
        <v>12913</v>
      </c>
      <c r="H66" s="510" t="s">
        <v>12914</v>
      </c>
      <c r="I66" s="510" t="s">
        <v>12915</v>
      </c>
      <c r="J66" s="510" t="s">
        <v>12916</v>
      </c>
      <c r="K66" s="510" t="s">
        <v>12917</v>
      </c>
      <c r="L66" s="510" t="s">
        <v>12918</v>
      </c>
      <c r="M66" s="510" t="s">
        <v>12919</v>
      </c>
    </row>
    <row r="67" spans="1:16" ht="15">
      <c r="A67" s="510">
        <v>59</v>
      </c>
      <c r="B67" s="510" t="s">
        <v>12255</v>
      </c>
      <c r="C67" s="510" t="s">
        <v>12295</v>
      </c>
      <c r="D67" s="512" t="s">
        <v>12296</v>
      </c>
      <c r="E67" s="510" t="s">
        <v>12297</v>
      </c>
      <c r="F67" s="510" t="s">
        <v>12298</v>
      </c>
      <c r="G67" s="510" t="s">
        <v>12299</v>
      </c>
      <c r="H67" s="510" t="s">
        <v>12300</v>
      </c>
      <c r="I67" s="510" t="s">
        <v>12920</v>
      </c>
      <c r="J67" s="510" t="s">
        <v>12921</v>
      </c>
      <c r="K67" s="510" t="s">
        <v>12301</v>
      </c>
      <c r="L67" s="510" t="s">
        <v>12302</v>
      </c>
      <c r="M67" s="510" t="s">
        <v>12303</v>
      </c>
      <c r="P67">
        <v>52</v>
      </c>
    </row>
    <row r="68" spans="1:16" ht="15">
      <c r="A68" s="510">
        <v>60</v>
      </c>
      <c r="B68" s="510" t="s">
        <v>12256</v>
      </c>
      <c r="C68" s="510" t="s">
        <v>12304</v>
      </c>
      <c r="D68" s="512" t="s">
        <v>12305</v>
      </c>
      <c r="E68" s="510" t="s">
        <v>12306</v>
      </c>
      <c r="F68" s="510" t="s">
        <v>12307</v>
      </c>
      <c r="G68" s="510" t="s">
        <v>12308</v>
      </c>
      <c r="H68" s="510" t="s">
        <v>12309</v>
      </c>
      <c r="I68" s="510" t="s">
        <v>12922</v>
      </c>
      <c r="J68" s="510" t="s">
        <v>12923</v>
      </c>
      <c r="K68" s="510" t="s">
        <v>12310</v>
      </c>
      <c r="L68" s="510" t="s">
        <v>12311</v>
      </c>
      <c r="M68" s="510" t="s">
        <v>12312</v>
      </c>
      <c r="P68">
        <v>53</v>
      </c>
    </row>
    <row r="69" spans="1:16" ht="15">
      <c r="A69" s="510">
        <v>61</v>
      </c>
      <c r="B69" s="515"/>
      <c r="D69" s="512"/>
      <c r="P69">
        <v>54</v>
      </c>
    </row>
    <row r="70" spans="1:16" ht="15">
      <c r="A70" s="510">
        <v>62</v>
      </c>
      <c r="B70" s="515" t="s">
        <v>2202</v>
      </c>
      <c r="C70" s="510" t="s">
        <v>8898</v>
      </c>
      <c r="D70" s="512" t="s">
        <v>2261</v>
      </c>
      <c r="E70" s="510" t="s">
        <v>8967</v>
      </c>
      <c r="F70" s="510" t="s">
        <v>8829</v>
      </c>
      <c r="G70" s="510" t="s">
        <v>11005</v>
      </c>
      <c r="H70" s="510" t="s">
        <v>2202</v>
      </c>
      <c r="I70" s="510" t="s">
        <v>12924</v>
      </c>
      <c r="J70" s="510" t="s">
        <v>12925</v>
      </c>
      <c r="K70" s="510" t="s">
        <v>9012</v>
      </c>
      <c r="L70" s="510" t="s">
        <v>8829</v>
      </c>
      <c r="M70" s="510" t="s">
        <v>12496</v>
      </c>
      <c r="P70">
        <v>55</v>
      </c>
    </row>
    <row r="71" spans="1:16" ht="15">
      <c r="A71" s="510">
        <v>63</v>
      </c>
      <c r="B71" s="510" t="s">
        <v>12926</v>
      </c>
      <c r="C71" s="510" t="s">
        <v>12927</v>
      </c>
      <c r="D71" s="512" t="s">
        <v>12928</v>
      </c>
      <c r="E71" s="510" t="s">
        <v>12929</v>
      </c>
      <c r="F71" s="510" t="s">
        <v>12930</v>
      </c>
      <c r="G71" s="510" t="s">
        <v>12931</v>
      </c>
      <c r="H71" s="510" t="s">
        <v>12932</v>
      </c>
      <c r="I71" s="510" t="s">
        <v>12933</v>
      </c>
      <c r="J71" s="510" t="s">
        <v>12934</v>
      </c>
      <c r="K71" s="510" t="s">
        <v>12935</v>
      </c>
      <c r="L71" s="510" t="s">
        <v>12936</v>
      </c>
      <c r="M71" s="510" t="s">
        <v>12937</v>
      </c>
      <c r="P71">
        <v>56</v>
      </c>
    </row>
    <row r="72" spans="1:16" ht="15">
      <c r="A72" s="510">
        <v>64</v>
      </c>
      <c r="B72" s="510" t="s">
        <v>12313</v>
      </c>
      <c r="C72" s="510" t="s">
        <v>12413</v>
      </c>
      <c r="D72" s="512" t="s">
        <v>12425</v>
      </c>
      <c r="E72" s="510" t="s">
        <v>12437</v>
      </c>
      <c r="F72" s="510" t="s">
        <v>11882</v>
      </c>
      <c r="G72" s="510" t="s">
        <v>12449</v>
      </c>
      <c r="H72" s="510" t="s">
        <v>12460</v>
      </c>
      <c r="I72" s="510" t="s">
        <v>12938</v>
      </c>
      <c r="J72" s="510" t="s">
        <v>12939</v>
      </c>
      <c r="K72" s="510" t="s">
        <v>12471</v>
      </c>
      <c r="L72" s="510" t="s">
        <v>12483</v>
      </c>
      <c r="M72" s="510" t="s">
        <v>12497</v>
      </c>
      <c r="P72">
        <v>57</v>
      </c>
    </row>
    <row r="73" spans="1:16" ht="15">
      <c r="A73" s="510">
        <v>65</v>
      </c>
      <c r="B73" s="510" t="s">
        <v>12314</v>
      </c>
      <c r="C73" s="510" t="s">
        <v>12414</v>
      </c>
      <c r="D73" s="512" t="s">
        <v>12426</v>
      </c>
      <c r="E73" s="510" t="s">
        <v>12438</v>
      </c>
      <c r="F73" s="510" t="s">
        <v>11881</v>
      </c>
      <c r="G73" s="510" t="s">
        <v>12450</v>
      </c>
      <c r="H73" s="510" t="s">
        <v>12461</v>
      </c>
      <c r="I73" s="510" t="s">
        <v>12940</v>
      </c>
      <c r="J73" s="510" t="s">
        <v>12941</v>
      </c>
      <c r="K73" s="510" t="s">
        <v>12472</v>
      </c>
      <c r="L73" s="510" t="s">
        <v>12484</v>
      </c>
      <c r="M73" s="510" t="s">
        <v>12498</v>
      </c>
      <c r="P73">
        <v>58</v>
      </c>
    </row>
    <row r="74" spans="1:16" ht="15">
      <c r="A74" s="510">
        <v>66</v>
      </c>
      <c r="B74" s="510" t="s">
        <v>12315</v>
      </c>
      <c r="C74" s="510" t="s">
        <v>12415</v>
      </c>
      <c r="D74" s="512" t="s">
        <v>12427</v>
      </c>
      <c r="E74" s="510" t="s">
        <v>12439</v>
      </c>
      <c r="F74" s="510" t="s">
        <v>12942</v>
      </c>
      <c r="G74" s="510" t="s">
        <v>12451</v>
      </c>
      <c r="H74" s="510" t="s">
        <v>12462</v>
      </c>
      <c r="I74" s="510" t="s">
        <v>12943</v>
      </c>
      <c r="J74" s="510" t="s">
        <v>12944</v>
      </c>
      <c r="K74" s="510" t="s">
        <v>12473</v>
      </c>
      <c r="L74" s="510" t="s">
        <v>12485</v>
      </c>
      <c r="M74" s="510" t="s">
        <v>12499</v>
      </c>
      <c r="P74">
        <v>59</v>
      </c>
    </row>
    <row r="75" spans="1:16" ht="15">
      <c r="A75" s="510">
        <v>67</v>
      </c>
      <c r="B75" s="510" t="s">
        <v>12316</v>
      </c>
      <c r="C75" s="510" t="s">
        <v>12416</v>
      </c>
      <c r="D75" s="512" t="s">
        <v>12428</v>
      </c>
      <c r="E75" s="510" t="s">
        <v>12440</v>
      </c>
      <c r="F75" s="510" t="s">
        <v>12945</v>
      </c>
      <c r="G75" s="510" t="s">
        <v>12452</v>
      </c>
      <c r="H75" s="510" t="s">
        <v>12463</v>
      </c>
      <c r="I75" s="510" t="s">
        <v>12946</v>
      </c>
      <c r="J75" s="510" t="s">
        <v>12947</v>
      </c>
      <c r="K75" s="510" t="s">
        <v>12474</v>
      </c>
      <c r="L75" s="510" t="s">
        <v>12486</v>
      </c>
      <c r="M75" s="510" t="s">
        <v>12500</v>
      </c>
      <c r="P75">
        <v>60</v>
      </c>
    </row>
    <row r="76" spans="1:16" ht="15">
      <c r="A76" s="510">
        <v>68</v>
      </c>
      <c r="B76" s="510" t="s">
        <v>12317</v>
      </c>
      <c r="C76" s="510" t="s">
        <v>12417</v>
      </c>
      <c r="D76" s="510" t="s">
        <v>12429</v>
      </c>
      <c r="E76" s="510" t="s">
        <v>12441</v>
      </c>
      <c r="F76" s="510" t="s">
        <v>12948</v>
      </c>
      <c r="G76" s="510" t="s">
        <v>12453</v>
      </c>
      <c r="H76" s="510" t="s">
        <v>12464</v>
      </c>
      <c r="I76" s="510" t="s">
        <v>12949</v>
      </c>
      <c r="J76" s="510" t="s">
        <v>12950</v>
      </c>
      <c r="K76" s="510" t="s">
        <v>12475</v>
      </c>
      <c r="L76" s="510" t="s">
        <v>12487</v>
      </c>
      <c r="M76" s="510" t="s">
        <v>12501</v>
      </c>
      <c r="P76">
        <v>61</v>
      </c>
    </row>
    <row r="77" spans="1:16" ht="15.6" customHeight="1">
      <c r="A77" s="510">
        <v>69</v>
      </c>
      <c r="B77" s="510" t="s">
        <v>11747</v>
      </c>
      <c r="C77" s="510" t="s">
        <v>11747</v>
      </c>
      <c r="D77" s="512" t="s">
        <v>11747</v>
      </c>
      <c r="E77" s="510" t="s">
        <v>11747</v>
      </c>
      <c r="F77" s="510" t="s">
        <v>11747</v>
      </c>
      <c r="G77" s="510" t="s">
        <v>11747</v>
      </c>
      <c r="H77" s="510" t="s">
        <v>11747</v>
      </c>
      <c r="I77" s="510" t="s">
        <v>11747</v>
      </c>
      <c r="J77" s="510" t="s">
        <v>11747</v>
      </c>
      <c r="K77" s="510" t="s">
        <v>11747</v>
      </c>
      <c r="L77" s="510" t="s">
        <v>11747</v>
      </c>
      <c r="M77" s="510" t="s">
        <v>11747</v>
      </c>
      <c r="P77">
        <v>62</v>
      </c>
    </row>
    <row r="78" spans="1:16" ht="15.6" customHeight="1">
      <c r="A78" s="510">
        <v>70</v>
      </c>
      <c r="B78" s="510" t="s">
        <v>2210</v>
      </c>
      <c r="C78" s="510" t="s">
        <v>8899</v>
      </c>
      <c r="D78" s="512" t="s">
        <v>2841</v>
      </c>
      <c r="E78" s="510" t="s">
        <v>8968</v>
      </c>
      <c r="F78" s="510" t="s">
        <v>12951</v>
      </c>
      <c r="G78" s="510" t="s">
        <v>11006</v>
      </c>
      <c r="H78" s="510" t="s">
        <v>8900</v>
      </c>
      <c r="I78" s="510" t="s">
        <v>12952</v>
      </c>
      <c r="J78" s="510" t="s">
        <v>12953</v>
      </c>
      <c r="K78" s="510" t="s">
        <v>9013</v>
      </c>
      <c r="L78" s="510" t="s">
        <v>8830</v>
      </c>
      <c r="M78" s="510" t="s">
        <v>11050</v>
      </c>
      <c r="P78">
        <v>63</v>
      </c>
    </row>
    <row r="79" spans="1:16" ht="15.6" customHeight="1">
      <c r="A79" s="510">
        <v>71</v>
      </c>
      <c r="B79" s="510" t="s">
        <v>12954</v>
      </c>
      <c r="C79" s="510" t="s">
        <v>12955</v>
      </c>
      <c r="D79" s="512" t="s">
        <v>12956</v>
      </c>
      <c r="E79" s="510" t="s">
        <v>12957</v>
      </c>
      <c r="F79" s="510" t="s">
        <v>12958</v>
      </c>
      <c r="G79" s="510" t="s">
        <v>12959</v>
      </c>
      <c r="H79" s="510" t="s">
        <v>12960</v>
      </c>
      <c r="I79" s="510" t="s">
        <v>12961</v>
      </c>
      <c r="J79" s="510" t="s">
        <v>12962</v>
      </c>
      <c r="K79" s="510" t="s">
        <v>12963</v>
      </c>
      <c r="L79" s="516" t="s">
        <v>12964</v>
      </c>
      <c r="M79" s="510" t="s">
        <v>12965</v>
      </c>
    </row>
    <row r="80" spans="1:16" ht="15.6" customHeight="1">
      <c r="A80" s="510">
        <v>72</v>
      </c>
      <c r="B80" s="510" t="s">
        <v>12966</v>
      </c>
      <c r="C80" s="510" t="s">
        <v>12967</v>
      </c>
      <c r="D80" s="512" t="s">
        <v>12968</v>
      </c>
      <c r="E80" s="510" t="s">
        <v>12969</v>
      </c>
      <c r="F80" s="510" t="s">
        <v>12970</v>
      </c>
      <c r="G80" s="510" t="s">
        <v>12971</v>
      </c>
      <c r="H80" s="510" t="s">
        <v>12972</v>
      </c>
      <c r="I80" s="510" t="s">
        <v>12973</v>
      </c>
      <c r="J80" s="510" t="s">
        <v>12974</v>
      </c>
      <c r="K80" s="510" t="s">
        <v>12975</v>
      </c>
      <c r="L80" s="517" t="s">
        <v>12976</v>
      </c>
      <c r="M80" s="510" t="s">
        <v>12977</v>
      </c>
    </row>
    <row r="81" spans="1:16" ht="15.6" customHeight="1">
      <c r="A81" s="510">
        <v>78</v>
      </c>
      <c r="B81" s="510" t="s">
        <v>2669</v>
      </c>
      <c r="C81" s="510" t="s">
        <v>12978</v>
      </c>
      <c r="D81" s="512" t="s">
        <v>12979</v>
      </c>
      <c r="E81" s="510" t="s">
        <v>12980</v>
      </c>
      <c r="F81" s="510" t="s">
        <v>12981</v>
      </c>
      <c r="G81" s="510" t="s">
        <v>12982</v>
      </c>
      <c r="H81" s="510" t="s">
        <v>12983</v>
      </c>
      <c r="I81" s="510" t="s">
        <v>12984</v>
      </c>
      <c r="J81" s="510" t="s">
        <v>12985</v>
      </c>
      <c r="K81" s="510" t="s">
        <v>12986</v>
      </c>
      <c r="L81" s="510" t="s">
        <v>8834</v>
      </c>
      <c r="M81" s="510" t="s">
        <v>11054</v>
      </c>
      <c r="P81">
        <v>71</v>
      </c>
    </row>
    <row r="82" spans="1:16" ht="15">
      <c r="A82" s="510">
        <v>79</v>
      </c>
      <c r="B82" s="510" t="s">
        <v>2670</v>
      </c>
      <c r="C82" s="510" t="s">
        <v>11883</v>
      </c>
      <c r="D82" s="512" t="s">
        <v>11884</v>
      </c>
      <c r="E82" s="510" t="s">
        <v>11885</v>
      </c>
      <c r="F82" s="510" t="s">
        <v>11886</v>
      </c>
      <c r="G82" s="510" t="s">
        <v>11887</v>
      </c>
      <c r="H82" s="510" t="s">
        <v>11888</v>
      </c>
      <c r="I82" s="510" t="s">
        <v>12987</v>
      </c>
      <c r="J82" s="510" t="s">
        <v>12988</v>
      </c>
      <c r="K82" s="510" t="s">
        <v>11889</v>
      </c>
      <c r="L82" s="510" t="s">
        <v>8835</v>
      </c>
      <c r="M82" s="510" t="s">
        <v>11055</v>
      </c>
      <c r="P82">
        <v>72</v>
      </c>
    </row>
    <row r="83" spans="1:16" ht="15">
      <c r="A83" s="510">
        <v>80</v>
      </c>
      <c r="B83" s="510" t="s">
        <v>669</v>
      </c>
      <c r="C83" s="510" t="s">
        <v>11747</v>
      </c>
      <c r="D83" s="512" t="s">
        <v>11747</v>
      </c>
      <c r="E83" s="510" t="s">
        <v>11747</v>
      </c>
      <c r="F83" s="510" t="s">
        <v>11747</v>
      </c>
      <c r="G83" s="510" t="s">
        <v>11747</v>
      </c>
      <c r="H83" s="510" t="s">
        <v>11747</v>
      </c>
      <c r="I83" s="510" t="s">
        <v>669</v>
      </c>
      <c r="J83" s="510" t="s">
        <v>669</v>
      </c>
      <c r="K83" s="510" t="s">
        <v>11747</v>
      </c>
      <c r="L83" s="510" t="s">
        <v>669</v>
      </c>
      <c r="M83" s="510" t="s">
        <v>669</v>
      </c>
      <c r="P83">
        <v>73</v>
      </c>
    </row>
    <row r="84" spans="1:16" ht="15">
      <c r="A84" s="510">
        <v>81</v>
      </c>
      <c r="B84" s="510" t="s">
        <v>2209</v>
      </c>
      <c r="C84" s="510" t="s">
        <v>8905</v>
      </c>
      <c r="D84" s="512" t="s">
        <v>2262</v>
      </c>
      <c r="E84" s="510" t="s">
        <v>8971</v>
      </c>
      <c r="F84" s="510" t="s">
        <v>12989</v>
      </c>
      <c r="G84" s="510" t="s">
        <v>11009</v>
      </c>
      <c r="H84" s="510" t="s">
        <v>8906</v>
      </c>
      <c r="I84" s="510" t="s">
        <v>12990</v>
      </c>
      <c r="J84" s="510" t="s">
        <v>12991</v>
      </c>
      <c r="K84" s="510" t="s">
        <v>9016</v>
      </c>
      <c r="L84" s="510" t="s">
        <v>8836</v>
      </c>
      <c r="M84" s="510" t="s">
        <v>11056</v>
      </c>
      <c r="P84">
        <v>74</v>
      </c>
    </row>
    <row r="85" spans="1:16" ht="15">
      <c r="A85" s="510">
        <v>82</v>
      </c>
      <c r="B85" s="510" t="s">
        <v>2196</v>
      </c>
      <c r="C85" s="518" t="s">
        <v>8907</v>
      </c>
      <c r="D85" s="512" t="s">
        <v>2820</v>
      </c>
      <c r="E85" s="510" t="s">
        <v>8972</v>
      </c>
      <c r="F85" s="510" t="s">
        <v>12992</v>
      </c>
      <c r="G85" s="510" t="s">
        <v>11010</v>
      </c>
      <c r="H85" s="510" t="s">
        <v>8908</v>
      </c>
      <c r="I85" s="510" t="s">
        <v>12993</v>
      </c>
      <c r="J85" s="510" t="s">
        <v>12994</v>
      </c>
      <c r="K85" s="510" t="s">
        <v>9017</v>
      </c>
      <c r="L85" s="510" t="s">
        <v>8837</v>
      </c>
      <c r="M85" s="510" t="s">
        <v>11057</v>
      </c>
      <c r="P85">
        <v>75</v>
      </c>
    </row>
    <row r="86" spans="1:16" ht="15">
      <c r="A86" s="510">
        <v>83</v>
      </c>
      <c r="B86" s="510" t="s">
        <v>8838</v>
      </c>
      <c r="C86" s="510" t="s">
        <v>8909</v>
      </c>
      <c r="D86" s="512" t="s">
        <v>2821</v>
      </c>
      <c r="E86" s="510" t="s">
        <v>8973</v>
      </c>
      <c r="F86" s="510" t="s">
        <v>12995</v>
      </c>
      <c r="G86" s="510" t="s">
        <v>11011</v>
      </c>
      <c r="H86" s="510" t="s">
        <v>8910</v>
      </c>
      <c r="I86" s="510" t="s">
        <v>12996</v>
      </c>
      <c r="J86" s="510" t="s">
        <v>12997</v>
      </c>
      <c r="K86" s="510" t="s">
        <v>9018</v>
      </c>
      <c r="L86" s="510" t="s">
        <v>8839</v>
      </c>
      <c r="M86" s="510" t="s">
        <v>11058</v>
      </c>
      <c r="P86">
        <v>76</v>
      </c>
    </row>
    <row r="87" spans="1:16" ht="15">
      <c r="A87" s="510">
        <v>84</v>
      </c>
      <c r="B87" s="510" t="s">
        <v>8840</v>
      </c>
      <c r="C87" s="510" t="s">
        <v>8911</v>
      </c>
      <c r="D87" s="512" t="s">
        <v>2822</v>
      </c>
      <c r="E87" s="510" t="s">
        <v>8974</v>
      </c>
      <c r="F87" s="510" t="s">
        <v>12998</v>
      </c>
      <c r="G87" s="510" t="s">
        <v>11012</v>
      </c>
      <c r="H87" s="510" t="s">
        <v>8912</v>
      </c>
      <c r="I87" s="510" t="s">
        <v>12999</v>
      </c>
      <c r="J87" s="510" t="s">
        <v>13000</v>
      </c>
      <c r="K87" s="510" t="s">
        <v>9019</v>
      </c>
      <c r="L87" s="510" t="s">
        <v>8841</v>
      </c>
      <c r="M87" s="510" t="s">
        <v>11059</v>
      </c>
      <c r="P87">
        <v>77</v>
      </c>
    </row>
    <row r="88" spans="1:16" ht="15">
      <c r="A88" s="510">
        <v>85</v>
      </c>
      <c r="B88" s="510" t="s">
        <v>8842</v>
      </c>
      <c r="C88" s="510" t="s">
        <v>8913</v>
      </c>
      <c r="D88" s="510" t="s">
        <v>2823</v>
      </c>
      <c r="E88" s="510" t="s">
        <v>8975</v>
      </c>
      <c r="F88" s="510" t="s">
        <v>13001</v>
      </c>
      <c r="G88" s="510" t="s">
        <v>11013</v>
      </c>
      <c r="H88" s="510" t="s">
        <v>8914</v>
      </c>
      <c r="I88" s="510" t="s">
        <v>13002</v>
      </c>
      <c r="J88" s="510" t="s">
        <v>13003</v>
      </c>
      <c r="K88" s="510" t="s">
        <v>9020</v>
      </c>
      <c r="L88" s="510" t="s">
        <v>8843</v>
      </c>
      <c r="M88" s="510" t="s">
        <v>11060</v>
      </c>
      <c r="P88">
        <v>78</v>
      </c>
    </row>
    <row r="89" spans="1:16" ht="15">
      <c r="A89" s="510">
        <v>86</v>
      </c>
      <c r="B89" s="510" t="s">
        <v>2197</v>
      </c>
      <c r="C89" s="510" t="s">
        <v>8915</v>
      </c>
      <c r="D89" s="512" t="s">
        <v>2824</v>
      </c>
      <c r="E89" s="510" t="s">
        <v>8976</v>
      </c>
      <c r="F89" s="510" t="s">
        <v>13004</v>
      </c>
      <c r="G89" s="510" t="s">
        <v>11014</v>
      </c>
      <c r="H89" s="510" t="s">
        <v>8916</v>
      </c>
      <c r="I89" s="510" t="s">
        <v>13005</v>
      </c>
      <c r="J89" s="510" t="s">
        <v>13006</v>
      </c>
      <c r="K89" s="510" t="s">
        <v>9021</v>
      </c>
      <c r="L89" s="510" t="s">
        <v>8844</v>
      </c>
      <c r="M89" s="510" t="s">
        <v>11061</v>
      </c>
      <c r="P89">
        <v>79</v>
      </c>
    </row>
    <row r="90" spans="1:16" ht="15">
      <c r="A90" s="510">
        <v>87</v>
      </c>
      <c r="B90" s="510" t="s">
        <v>13471</v>
      </c>
      <c r="C90" s="510" t="s">
        <v>13472</v>
      </c>
      <c r="D90" s="512" t="s">
        <v>13473</v>
      </c>
      <c r="E90" s="510" t="s">
        <v>13474</v>
      </c>
      <c r="F90" s="510" t="s">
        <v>13475</v>
      </c>
      <c r="G90" s="510" t="s">
        <v>13476</v>
      </c>
      <c r="H90" s="510" t="s">
        <v>13477</v>
      </c>
      <c r="I90" s="510" t="s">
        <v>13478</v>
      </c>
      <c r="J90" s="510" t="s">
        <v>13479</v>
      </c>
      <c r="K90" s="510" t="s">
        <v>13480</v>
      </c>
      <c r="L90" s="510" t="s">
        <v>8845</v>
      </c>
      <c r="M90" s="510" t="s">
        <v>13481</v>
      </c>
      <c r="P90">
        <v>80</v>
      </c>
    </row>
    <row r="91" spans="1:16" ht="15">
      <c r="A91" s="510">
        <v>88</v>
      </c>
      <c r="B91" s="510" t="s">
        <v>11880</v>
      </c>
      <c r="C91" s="510" t="s">
        <v>12054</v>
      </c>
      <c r="D91" s="512" t="s">
        <v>2825</v>
      </c>
      <c r="E91" s="510" t="s">
        <v>8977</v>
      </c>
      <c r="F91" s="510" t="s">
        <v>13007</v>
      </c>
      <c r="G91" s="510" t="s">
        <v>11015</v>
      </c>
      <c r="H91" s="510" t="s">
        <v>8917</v>
      </c>
      <c r="I91" s="510" t="s">
        <v>13008</v>
      </c>
      <c r="J91" s="510" t="s">
        <v>13009</v>
      </c>
      <c r="K91" s="510" t="s">
        <v>9022</v>
      </c>
      <c r="L91" s="510" t="s">
        <v>8846</v>
      </c>
      <c r="M91" s="510" t="s">
        <v>11062</v>
      </c>
      <c r="P91">
        <v>81</v>
      </c>
    </row>
    <row r="92" spans="1:16" ht="15">
      <c r="A92" s="510">
        <v>89</v>
      </c>
      <c r="B92" s="510" t="s">
        <v>2208</v>
      </c>
      <c r="C92" s="510" t="s">
        <v>8918</v>
      </c>
      <c r="D92" s="512" t="s">
        <v>2826</v>
      </c>
      <c r="E92" s="510" t="s">
        <v>8978</v>
      </c>
      <c r="F92" s="510" t="s">
        <v>13010</v>
      </c>
      <c r="G92" s="510" t="s">
        <v>11016</v>
      </c>
      <c r="H92" s="510" t="s">
        <v>8919</v>
      </c>
      <c r="I92" s="510" t="s">
        <v>13011</v>
      </c>
      <c r="J92" s="510" t="s">
        <v>13012</v>
      </c>
      <c r="K92" s="510" t="s">
        <v>9023</v>
      </c>
      <c r="L92" s="510" t="s">
        <v>8847</v>
      </c>
      <c r="M92" s="510" t="s">
        <v>11063</v>
      </c>
      <c r="P92">
        <v>82</v>
      </c>
    </row>
    <row r="93" spans="1:16" ht="15">
      <c r="A93" s="510">
        <v>90</v>
      </c>
      <c r="B93" s="510" t="s">
        <v>8848</v>
      </c>
      <c r="C93" s="510" t="s">
        <v>8920</v>
      </c>
      <c r="D93" s="512" t="s">
        <v>2827</v>
      </c>
      <c r="E93" s="510" t="s">
        <v>8979</v>
      </c>
      <c r="F93" s="510" t="s">
        <v>13013</v>
      </c>
      <c r="G93" s="510" t="s">
        <v>11017</v>
      </c>
      <c r="H93" s="510" t="s">
        <v>8921</v>
      </c>
      <c r="I93" s="510" t="s">
        <v>13014</v>
      </c>
      <c r="J93" s="510" t="s">
        <v>13015</v>
      </c>
      <c r="K93" s="510" t="s">
        <v>9024</v>
      </c>
      <c r="L93" s="510" t="s">
        <v>8849</v>
      </c>
      <c r="M93" s="510" t="s">
        <v>11064</v>
      </c>
      <c r="P93">
        <v>83</v>
      </c>
    </row>
    <row r="94" spans="1:16" ht="15">
      <c r="A94" s="510">
        <v>91</v>
      </c>
      <c r="B94" s="510" t="s">
        <v>11877</v>
      </c>
      <c r="C94" s="519" t="s">
        <v>11890</v>
      </c>
      <c r="D94" s="512" t="s">
        <v>11891</v>
      </c>
      <c r="E94" s="510" t="s">
        <v>11899</v>
      </c>
      <c r="F94" s="510" t="s">
        <v>11898</v>
      </c>
      <c r="G94" s="510" t="s">
        <v>11897</v>
      </c>
      <c r="H94" s="510" t="s">
        <v>11894</v>
      </c>
      <c r="I94" s="510" t="s">
        <v>11895</v>
      </c>
      <c r="J94" s="510" t="s">
        <v>13016</v>
      </c>
      <c r="K94" s="510" t="s">
        <v>11896</v>
      </c>
      <c r="L94" s="510" t="s">
        <v>11893</v>
      </c>
      <c r="M94" s="510" t="s">
        <v>11892</v>
      </c>
      <c r="P94">
        <v>84</v>
      </c>
    </row>
    <row r="95" spans="1:16" ht="15">
      <c r="A95" s="510">
        <v>92</v>
      </c>
      <c r="B95" s="510" t="s">
        <v>11900</v>
      </c>
      <c r="C95" s="510" t="s">
        <v>11910</v>
      </c>
      <c r="D95" s="512" t="s">
        <v>11909</v>
      </c>
      <c r="E95" s="510" t="s">
        <v>11901</v>
      </c>
      <c r="F95" s="510" t="s">
        <v>11902</v>
      </c>
      <c r="G95" s="510" t="s">
        <v>11903</v>
      </c>
      <c r="H95" s="510" t="s">
        <v>11904</v>
      </c>
      <c r="I95" s="510" t="s">
        <v>11905</v>
      </c>
      <c r="J95" s="510" t="s">
        <v>13017</v>
      </c>
      <c r="K95" s="510" t="s">
        <v>11906</v>
      </c>
      <c r="L95" s="510" t="s">
        <v>11907</v>
      </c>
      <c r="M95" s="510" t="s">
        <v>11908</v>
      </c>
      <c r="P95">
        <v>85</v>
      </c>
    </row>
    <row r="96" spans="1:16" ht="15">
      <c r="A96" s="510">
        <v>93</v>
      </c>
      <c r="B96" s="510" t="s">
        <v>11878</v>
      </c>
      <c r="C96" s="520" t="s">
        <v>11921</v>
      </c>
      <c r="D96" s="512" t="s">
        <v>11922</v>
      </c>
      <c r="E96" s="510" t="s">
        <v>11923</v>
      </c>
      <c r="F96" s="510" t="s">
        <v>11924</v>
      </c>
      <c r="G96" s="510" t="s">
        <v>11925</v>
      </c>
      <c r="H96" s="510" t="s">
        <v>11926</v>
      </c>
      <c r="I96" s="510" t="s">
        <v>11927</v>
      </c>
      <c r="J96" s="510" t="s">
        <v>13018</v>
      </c>
      <c r="K96" s="510" t="s">
        <v>11928</v>
      </c>
      <c r="L96" s="510" t="s">
        <v>11929</v>
      </c>
      <c r="M96" s="510" t="s">
        <v>11930</v>
      </c>
      <c r="N96" s="520"/>
      <c r="O96" s="520"/>
      <c r="P96">
        <v>86</v>
      </c>
    </row>
    <row r="97" spans="1:16" ht="15">
      <c r="A97" s="510">
        <v>94</v>
      </c>
      <c r="B97" s="510" t="s">
        <v>11879</v>
      </c>
      <c r="C97" s="510" t="s">
        <v>11911</v>
      </c>
      <c r="D97" s="512" t="s">
        <v>11912</v>
      </c>
      <c r="E97" s="510" t="s">
        <v>11920</v>
      </c>
      <c r="F97" s="510" t="s">
        <v>11919</v>
      </c>
      <c r="G97" s="510" t="s">
        <v>11918</v>
      </c>
      <c r="H97" s="510" t="s">
        <v>11917</v>
      </c>
      <c r="I97" s="510" t="s">
        <v>11916</v>
      </c>
      <c r="J97" s="510" t="s">
        <v>13019</v>
      </c>
      <c r="K97" s="510" t="s">
        <v>11915</v>
      </c>
      <c r="L97" s="510" t="s">
        <v>11914</v>
      </c>
      <c r="M97" s="510" t="s">
        <v>11913</v>
      </c>
      <c r="P97">
        <v>87</v>
      </c>
    </row>
    <row r="98" spans="1:16" ht="15">
      <c r="A98" s="510">
        <v>95</v>
      </c>
      <c r="B98" s="510" t="s">
        <v>12557</v>
      </c>
      <c r="C98" s="519" t="s">
        <v>13020</v>
      </c>
      <c r="D98" s="521" t="s">
        <v>13021</v>
      </c>
      <c r="E98" s="520" t="s">
        <v>13022</v>
      </c>
      <c r="F98" s="510" t="s">
        <v>13023</v>
      </c>
      <c r="G98" s="520" t="s">
        <v>13024</v>
      </c>
      <c r="H98" s="520" t="s">
        <v>13025</v>
      </c>
      <c r="I98" s="520" t="s">
        <v>13026</v>
      </c>
      <c r="J98" s="520" t="s">
        <v>13027</v>
      </c>
      <c r="K98" s="520" t="s">
        <v>13028</v>
      </c>
      <c r="L98" s="510" t="s">
        <v>13029</v>
      </c>
      <c r="M98" s="510" t="s">
        <v>13030</v>
      </c>
      <c r="P98">
        <v>88</v>
      </c>
    </row>
    <row r="99" spans="1:16" ht="15">
      <c r="A99" s="510">
        <v>96</v>
      </c>
      <c r="B99" s="510" t="s">
        <v>669</v>
      </c>
      <c r="C99" s="510" t="s">
        <v>11747</v>
      </c>
      <c r="D99" s="512" t="s">
        <v>11747</v>
      </c>
      <c r="E99" s="510" t="s">
        <v>11747</v>
      </c>
      <c r="F99" s="510" t="s">
        <v>11747</v>
      </c>
      <c r="G99" s="510" t="s">
        <v>11747</v>
      </c>
      <c r="H99" s="510" t="s">
        <v>11747</v>
      </c>
      <c r="I99" s="510" t="s">
        <v>11747</v>
      </c>
      <c r="J99" s="510" t="s">
        <v>11747</v>
      </c>
      <c r="K99" s="510" t="s">
        <v>11747</v>
      </c>
      <c r="L99" s="510" t="s">
        <v>669</v>
      </c>
      <c r="M99" s="510" t="s">
        <v>669</v>
      </c>
      <c r="P99">
        <v>89</v>
      </c>
    </row>
    <row r="100" spans="1:16" ht="15">
      <c r="A100" s="510">
        <v>97</v>
      </c>
      <c r="B100" s="510" t="s">
        <v>2189</v>
      </c>
      <c r="C100" s="519" t="s">
        <v>8922</v>
      </c>
      <c r="D100" s="521" t="s">
        <v>2263</v>
      </c>
      <c r="E100" s="520" t="s">
        <v>8980</v>
      </c>
      <c r="F100" s="510" t="s">
        <v>13031</v>
      </c>
      <c r="G100" s="520" t="s">
        <v>11018</v>
      </c>
      <c r="H100" s="510" t="s">
        <v>8923</v>
      </c>
      <c r="I100" s="510" t="s">
        <v>13032</v>
      </c>
      <c r="J100" s="510" t="s">
        <v>13033</v>
      </c>
      <c r="K100" s="510" t="s">
        <v>9025</v>
      </c>
      <c r="L100" s="510" t="s">
        <v>8850</v>
      </c>
      <c r="M100" s="510" t="s">
        <v>11065</v>
      </c>
      <c r="P100">
        <v>90</v>
      </c>
    </row>
    <row r="101" spans="1:16" ht="15">
      <c r="A101" s="510">
        <v>98</v>
      </c>
      <c r="B101" s="510" t="s">
        <v>669</v>
      </c>
      <c r="C101" s="510" t="s">
        <v>11747</v>
      </c>
      <c r="D101" s="512" t="s">
        <v>11747</v>
      </c>
      <c r="E101" s="510" t="s">
        <v>11747</v>
      </c>
      <c r="F101" s="510" t="s">
        <v>669</v>
      </c>
      <c r="G101" s="510" t="s">
        <v>11747</v>
      </c>
      <c r="H101" s="510" t="s">
        <v>11747</v>
      </c>
      <c r="I101" s="510" t="s">
        <v>669</v>
      </c>
      <c r="J101" s="510" t="s">
        <v>669</v>
      </c>
      <c r="K101" s="510" t="s">
        <v>11747</v>
      </c>
      <c r="L101" s="510" t="s">
        <v>669</v>
      </c>
      <c r="M101" s="510" t="s">
        <v>669</v>
      </c>
      <c r="P101">
        <v>91</v>
      </c>
    </row>
    <row r="102" spans="1:16" ht="15">
      <c r="A102" s="510">
        <v>99</v>
      </c>
      <c r="B102" s="510" t="s">
        <v>8851</v>
      </c>
      <c r="C102" s="519" t="s">
        <v>8924</v>
      </c>
      <c r="D102" s="521" t="s">
        <v>2828</v>
      </c>
      <c r="E102" s="520" t="s">
        <v>8981</v>
      </c>
      <c r="F102" s="510" t="s">
        <v>13034</v>
      </c>
      <c r="G102" s="520" t="s">
        <v>11019</v>
      </c>
      <c r="H102" s="510" t="s">
        <v>8925</v>
      </c>
      <c r="I102" s="510" t="s">
        <v>13035</v>
      </c>
      <c r="J102" s="510" t="s">
        <v>13036</v>
      </c>
      <c r="K102" s="510" t="s">
        <v>9026</v>
      </c>
      <c r="L102" s="510" t="s">
        <v>8852</v>
      </c>
      <c r="M102" s="510" t="s">
        <v>11066</v>
      </c>
      <c r="P102">
        <v>92</v>
      </c>
    </row>
    <row r="103" spans="1:16" ht="15">
      <c r="A103" s="510">
        <v>100</v>
      </c>
      <c r="B103" s="510" t="s">
        <v>669</v>
      </c>
      <c r="C103" s="510" t="s">
        <v>11747</v>
      </c>
      <c r="D103" s="512" t="s">
        <v>11747</v>
      </c>
      <c r="E103" s="510" t="s">
        <v>11747</v>
      </c>
      <c r="F103" s="510" t="s">
        <v>669</v>
      </c>
      <c r="G103" s="510" t="s">
        <v>11747</v>
      </c>
      <c r="H103" s="510" t="s">
        <v>11747</v>
      </c>
      <c r="I103" s="510" t="s">
        <v>669</v>
      </c>
      <c r="J103" s="510" t="s">
        <v>669</v>
      </c>
      <c r="K103" s="510" t="s">
        <v>11747</v>
      </c>
      <c r="L103" s="510" t="s">
        <v>669</v>
      </c>
      <c r="M103" s="510" t="s">
        <v>669</v>
      </c>
      <c r="P103">
        <v>93</v>
      </c>
    </row>
    <row r="104" spans="1:16" ht="15">
      <c r="A104" s="510">
        <v>101</v>
      </c>
      <c r="B104" s="510" t="s">
        <v>2671</v>
      </c>
      <c r="C104" s="519" t="s">
        <v>8926</v>
      </c>
      <c r="D104" s="521" t="s">
        <v>2829</v>
      </c>
      <c r="E104" s="520" t="s">
        <v>8982</v>
      </c>
      <c r="F104" s="510" t="s">
        <v>13037</v>
      </c>
      <c r="G104" s="520" t="s">
        <v>11020</v>
      </c>
      <c r="H104" s="510" t="s">
        <v>8927</v>
      </c>
      <c r="I104" s="510" t="s">
        <v>13038</v>
      </c>
      <c r="J104" s="510" t="s">
        <v>13039</v>
      </c>
      <c r="K104" s="510" t="s">
        <v>9027</v>
      </c>
      <c r="L104" s="510" t="s">
        <v>8853</v>
      </c>
      <c r="M104" s="510" t="s">
        <v>11067</v>
      </c>
      <c r="P104">
        <v>94</v>
      </c>
    </row>
    <row r="105" spans="1:16" ht="15">
      <c r="A105" s="510">
        <v>102</v>
      </c>
      <c r="B105" s="510" t="s">
        <v>669</v>
      </c>
      <c r="C105" s="510" t="s">
        <v>11747</v>
      </c>
      <c r="D105" s="512" t="s">
        <v>11747</v>
      </c>
      <c r="E105" s="510" t="s">
        <v>11747</v>
      </c>
      <c r="F105" s="510" t="s">
        <v>669</v>
      </c>
      <c r="G105" s="510" t="s">
        <v>11747</v>
      </c>
      <c r="H105" s="510" t="s">
        <v>11747</v>
      </c>
      <c r="I105" s="510" t="s">
        <v>669</v>
      </c>
      <c r="J105" s="510" t="s">
        <v>669</v>
      </c>
      <c r="K105" s="510" t="s">
        <v>11747</v>
      </c>
      <c r="L105" s="510" t="s">
        <v>669</v>
      </c>
      <c r="M105" s="510" t="s">
        <v>669</v>
      </c>
      <c r="P105">
        <v>95</v>
      </c>
    </row>
    <row r="106" spans="1:16" ht="15">
      <c r="A106" s="510">
        <v>103</v>
      </c>
      <c r="B106" s="510" t="s">
        <v>13904</v>
      </c>
      <c r="C106" s="510" t="s">
        <v>13905</v>
      </c>
      <c r="D106" s="521" t="s">
        <v>13906</v>
      </c>
      <c r="E106" s="520" t="s">
        <v>13907</v>
      </c>
      <c r="F106" s="510" t="s">
        <v>13908</v>
      </c>
      <c r="G106" s="520" t="s">
        <v>13909</v>
      </c>
      <c r="H106" s="510" t="s">
        <v>13910</v>
      </c>
      <c r="I106" s="510" t="s">
        <v>13911</v>
      </c>
      <c r="J106" s="519" t="s">
        <v>13912</v>
      </c>
      <c r="K106" s="510" t="s">
        <v>13913</v>
      </c>
      <c r="L106" s="510" t="s">
        <v>13914</v>
      </c>
      <c r="M106" s="510" t="s">
        <v>13915</v>
      </c>
      <c r="P106">
        <v>96</v>
      </c>
    </row>
    <row r="107" spans="1:16" ht="15">
      <c r="A107" s="510">
        <v>104</v>
      </c>
      <c r="B107" s="510" t="s">
        <v>13040</v>
      </c>
      <c r="C107" s="519" t="s">
        <v>13041</v>
      </c>
      <c r="D107" s="512" t="s">
        <v>13042</v>
      </c>
      <c r="E107" s="510" t="s">
        <v>13043</v>
      </c>
      <c r="F107" s="510" t="s">
        <v>13044</v>
      </c>
      <c r="G107" s="510" t="s">
        <v>13045</v>
      </c>
      <c r="H107" s="510" t="s">
        <v>13046</v>
      </c>
      <c r="I107" s="510" t="s">
        <v>13047</v>
      </c>
      <c r="J107" s="510" t="s">
        <v>13048</v>
      </c>
      <c r="K107" s="510" t="s">
        <v>13049</v>
      </c>
      <c r="L107" s="510" t="s">
        <v>13050</v>
      </c>
      <c r="M107" s="510" t="s">
        <v>13051</v>
      </c>
      <c r="N107" s="519"/>
      <c r="O107" s="519"/>
      <c r="P107">
        <v>97</v>
      </c>
    </row>
    <row r="108" spans="1:16" ht="15">
      <c r="A108" s="510">
        <v>105</v>
      </c>
      <c r="B108" s="510" t="s">
        <v>13052</v>
      </c>
      <c r="C108" s="510" t="s">
        <v>13053</v>
      </c>
      <c r="D108" s="512" t="s">
        <v>13054</v>
      </c>
      <c r="E108" s="510" t="s">
        <v>13055</v>
      </c>
      <c r="F108" s="510" t="s">
        <v>13056</v>
      </c>
      <c r="G108" s="510" t="s">
        <v>13057</v>
      </c>
      <c r="H108" s="510" t="s">
        <v>13058</v>
      </c>
      <c r="I108" s="510" t="s">
        <v>13059</v>
      </c>
      <c r="J108" s="510" t="s">
        <v>13060</v>
      </c>
      <c r="K108" s="510" t="s">
        <v>13061</v>
      </c>
      <c r="L108" s="510" t="s">
        <v>13062</v>
      </c>
      <c r="M108" s="510" t="s">
        <v>13063</v>
      </c>
      <c r="P108">
        <v>98</v>
      </c>
    </row>
    <row r="109" spans="1:16" ht="15">
      <c r="A109" s="510">
        <v>106</v>
      </c>
      <c r="B109" s="510" t="s">
        <v>669</v>
      </c>
      <c r="C109" s="519" t="s">
        <v>11747</v>
      </c>
      <c r="D109" s="512" t="s">
        <v>11747</v>
      </c>
      <c r="E109" s="510" t="s">
        <v>11747</v>
      </c>
      <c r="F109" s="510" t="s">
        <v>11747</v>
      </c>
      <c r="G109" s="510" t="s">
        <v>11747</v>
      </c>
      <c r="H109" s="510" t="s">
        <v>11747</v>
      </c>
      <c r="I109" s="510" t="s">
        <v>669</v>
      </c>
      <c r="J109" s="510" t="s">
        <v>669</v>
      </c>
      <c r="K109" s="510" t="s">
        <v>11747</v>
      </c>
      <c r="L109" s="510" t="s">
        <v>669</v>
      </c>
      <c r="M109" s="510" t="s">
        <v>669</v>
      </c>
      <c r="N109" s="519"/>
      <c r="O109" s="519"/>
      <c r="P109">
        <v>99</v>
      </c>
    </row>
    <row r="110" spans="1:16" ht="15">
      <c r="A110" s="510">
        <v>107</v>
      </c>
      <c r="B110" s="510" t="s">
        <v>2809</v>
      </c>
      <c r="C110" s="516" t="s">
        <v>8928</v>
      </c>
      <c r="D110" s="512" t="s">
        <v>2830</v>
      </c>
      <c r="E110" s="510" t="s">
        <v>8983</v>
      </c>
      <c r="F110" s="510" t="s">
        <v>13064</v>
      </c>
      <c r="G110" s="510" t="s">
        <v>11021</v>
      </c>
      <c r="H110" s="510" t="s">
        <v>8929</v>
      </c>
      <c r="I110" s="510" t="s">
        <v>13065</v>
      </c>
      <c r="J110" s="510" t="s">
        <v>13066</v>
      </c>
      <c r="K110" s="510" t="s">
        <v>9028</v>
      </c>
      <c r="L110" s="510" t="s">
        <v>8854</v>
      </c>
      <c r="M110" s="510" t="s">
        <v>11068</v>
      </c>
      <c r="P110">
        <v>100</v>
      </c>
    </row>
    <row r="111" spans="1:16" ht="15">
      <c r="A111" s="510">
        <v>108</v>
      </c>
      <c r="B111" s="510" t="s">
        <v>669</v>
      </c>
      <c r="C111" s="510" t="s">
        <v>11747</v>
      </c>
      <c r="D111" s="512" t="s">
        <v>11747</v>
      </c>
      <c r="E111" s="510" t="s">
        <v>11747</v>
      </c>
      <c r="F111" s="510" t="s">
        <v>669</v>
      </c>
      <c r="G111" s="510" t="s">
        <v>11747</v>
      </c>
      <c r="H111" s="510" t="s">
        <v>11747</v>
      </c>
      <c r="I111" s="510" t="s">
        <v>669</v>
      </c>
      <c r="J111" s="510" t="s">
        <v>669</v>
      </c>
      <c r="K111" s="510" t="s">
        <v>11747</v>
      </c>
      <c r="L111" s="510" t="s">
        <v>669</v>
      </c>
      <c r="M111" s="510" t="s">
        <v>669</v>
      </c>
      <c r="P111">
        <v>101</v>
      </c>
    </row>
    <row r="112" spans="1:16" ht="15">
      <c r="A112" s="510">
        <v>109</v>
      </c>
      <c r="B112" s="510" t="s">
        <v>13920</v>
      </c>
      <c r="C112" s="519" t="s">
        <v>13921</v>
      </c>
      <c r="D112" s="512" t="s">
        <v>13922</v>
      </c>
      <c r="E112" s="510" t="s">
        <v>13923</v>
      </c>
      <c r="F112" s="978" t="s">
        <v>13916</v>
      </c>
      <c r="G112" s="978" t="s">
        <v>13917</v>
      </c>
      <c r="H112" s="510" t="s">
        <v>13924</v>
      </c>
      <c r="I112" s="978" t="s">
        <v>13925</v>
      </c>
      <c r="J112" s="978" t="s">
        <v>13926</v>
      </c>
      <c r="K112" s="510" t="s">
        <v>13927</v>
      </c>
      <c r="L112" s="510" t="s">
        <v>13928</v>
      </c>
      <c r="M112" s="978" t="s">
        <v>13929</v>
      </c>
      <c r="P112">
        <v>102</v>
      </c>
    </row>
    <row r="113" spans="1:16" ht="15">
      <c r="A113" s="510">
        <v>110</v>
      </c>
      <c r="B113" s="510" t="s">
        <v>669</v>
      </c>
      <c r="C113" s="510" t="s">
        <v>11747</v>
      </c>
      <c r="D113" s="512" t="s">
        <v>11747</v>
      </c>
      <c r="E113" s="510" t="s">
        <v>11747</v>
      </c>
      <c r="F113" s="510" t="s">
        <v>669</v>
      </c>
      <c r="G113" s="510" t="s">
        <v>11747</v>
      </c>
      <c r="H113" s="510" t="s">
        <v>11747</v>
      </c>
      <c r="I113" s="510" t="s">
        <v>669</v>
      </c>
      <c r="J113" s="510" t="s">
        <v>669</v>
      </c>
      <c r="K113" s="510" t="s">
        <v>11747</v>
      </c>
      <c r="L113" s="510" t="s">
        <v>669</v>
      </c>
      <c r="M113" s="510" t="s">
        <v>669</v>
      </c>
      <c r="P113">
        <v>103</v>
      </c>
    </row>
    <row r="114" spans="1:16" ht="15">
      <c r="A114" s="510">
        <v>111</v>
      </c>
      <c r="B114" s="510" t="s">
        <v>13930</v>
      </c>
      <c r="C114" s="517" t="s">
        <v>13931</v>
      </c>
      <c r="D114" s="512" t="s">
        <v>13932</v>
      </c>
      <c r="E114" s="510" t="s">
        <v>13933</v>
      </c>
      <c r="F114" s="510" t="s">
        <v>13918</v>
      </c>
      <c r="G114" s="510" t="s">
        <v>13919</v>
      </c>
      <c r="H114" s="510" t="s">
        <v>13934</v>
      </c>
      <c r="I114" s="510" t="s">
        <v>13935</v>
      </c>
      <c r="J114" s="510" t="s">
        <v>13936</v>
      </c>
      <c r="K114" s="510" t="s">
        <v>13937</v>
      </c>
      <c r="L114" s="510" t="s">
        <v>13938</v>
      </c>
      <c r="M114" s="510" t="s">
        <v>13939</v>
      </c>
      <c r="P114">
        <v>104</v>
      </c>
    </row>
    <row r="115" spans="1:16" ht="15">
      <c r="A115" s="510">
        <v>112</v>
      </c>
      <c r="B115" s="510" t="s">
        <v>8855</v>
      </c>
      <c r="C115" s="510" t="s">
        <v>8930</v>
      </c>
      <c r="D115" s="512" t="s">
        <v>2831</v>
      </c>
      <c r="E115" s="510" t="s">
        <v>8984</v>
      </c>
      <c r="F115" s="510" t="s">
        <v>13067</v>
      </c>
      <c r="G115" s="510" t="s">
        <v>11022</v>
      </c>
      <c r="H115" s="510" t="s">
        <v>8931</v>
      </c>
      <c r="I115" s="510" t="s">
        <v>13068</v>
      </c>
      <c r="J115" s="510" t="s">
        <v>13069</v>
      </c>
      <c r="K115" s="510" t="s">
        <v>9029</v>
      </c>
      <c r="L115" s="510" t="s">
        <v>8856</v>
      </c>
      <c r="M115" s="510" t="s">
        <v>11069</v>
      </c>
      <c r="P115">
        <v>105</v>
      </c>
    </row>
    <row r="116" spans="1:16" ht="15">
      <c r="A116" s="510">
        <v>113</v>
      </c>
      <c r="B116" s="510" t="s">
        <v>669</v>
      </c>
      <c r="C116" s="510" t="s">
        <v>11747</v>
      </c>
      <c r="D116" s="512" t="s">
        <v>11747</v>
      </c>
      <c r="E116" s="510" t="s">
        <v>11747</v>
      </c>
      <c r="F116" s="510" t="s">
        <v>669</v>
      </c>
      <c r="G116" s="510" t="s">
        <v>11747</v>
      </c>
      <c r="H116" s="510" t="s">
        <v>11747</v>
      </c>
      <c r="I116" s="510" t="s">
        <v>669</v>
      </c>
      <c r="J116" s="510" t="s">
        <v>669</v>
      </c>
      <c r="K116" s="519" t="s">
        <v>11747</v>
      </c>
      <c r="L116" s="510" t="s">
        <v>669</v>
      </c>
      <c r="M116" s="510" t="s">
        <v>669</v>
      </c>
      <c r="P116">
        <v>106</v>
      </c>
    </row>
    <row r="117" spans="1:16" ht="15">
      <c r="A117" s="510">
        <v>114</v>
      </c>
      <c r="B117" s="510" t="s">
        <v>8857</v>
      </c>
      <c r="C117" s="510" t="s">
        <v>8932</v>
      </c>
      <c r="D117" s="512" t="s">
        <v>2832</v>
      </c>
      <c r="E117" s="510" t="s">
        <v>8985</v>
      </c>
      <c r="F117" s="510" t="s">
        <v>13070</v>
      </c>
      <c r="G117" s="510" t="s">
        <v>11023</v>
      </c>
      <c r="H117" s="510" t="s">
        <v>8933</v>
      </c>
      <c r="I117" s="510" t="s">
        <v>13071</v>
      </c>
      <c r="J117" s="510" t="s">
        <v>13072</v>
      </c>
      <c r="K117" s="519" t="s">
        <v>9030</v>
      </c>
      <c r="L117" s="510" t="s">
        <v>8858</v>
      </c>
      <c r="M117" s="510" t="s">
        <v>11070</v>
      </c>
      <c r="P117">
        <v>107</v>
      </c>
    </row>
    <row r="118" spans="1:16" ht="15">
      <c r="A118" s="510">
        <v>115</v>
      </c>
      <c r="B118" s="510" t="s">
        <v>8859</v>
      </c>
      <c r="C118" s="510" t="s">
        <v>2278</v>
      </c>
      <c r="D118" s="512" t="s">
        <v>2278</v>
      </c>
      <c r="E118" s="510" t="s">
        <v>2278</v>
      </c>
      <c r="F118" s="510" t="s">
        <v>2278</v>
      </c>
      <c r="G118" s="510" t="s">
        <v>2278</v>
      </c>
      <c r="H118" s="510" t="s">
        <v>2278</v>
      </c>
      <c r="I118" s="510" t="s">
        <v>13073</v>
      </c>
      <c r="J118" s="510" t="s">
        <v>13074</v>
      </c>
      <c r="K118" s="519" t="s">
        <v>2278</v>
      </c>
      <c r="L118" s="510" t="s">
        <v>2278</v>
      </c>
      <c r="M118" s="510" t="s">
        <v>2278</v>
      </c>
      <c r="P118">
        <v>108</v>
      </c>
    </row>
    <row r="119" spans="1:16" ht="15">
      <c r="A119" s="510">
        <v>116</v>
      </c>
      <c r="B119" s="510" t="s">
        <v>669</v>
      </c>
      <c r="C119" s="510" t="s">
        <v>11747</v>
      </c>
      <c r="D119" s="512" t="s">
        <v>11747</v>
      </c>
      <c r="E119" s="510" t="s">
        <v>11747</v>
      </c>
      <c r="F119" s="510" t="s">
        <v>669</v>
      </c>
      <c r="G119" s="510" t="s">
        <v>11747</v>
      </c>
      <c r="H119" s="510" t="s">
        <v>11747</v>
      </c>
      <c r="I119" s="510" t="s">
        <v>669</v>
      </c>
      <c r="J119" s="510" t="s">
        <v>669</v>
      </c>
      <c r="K119" s="510" t="s">
        <v>11747</v>
      </c>
      <c r="L119" s="510" t="s">
        <v>669</v>
      </c>
      <c r="M119" s="510" t="s">
        <v>669</v>
      </c>
      <c r="P119">
        <v>109</v>
      </c>
    </row>
    <row r="120" spans="1:16" ht="15">
      <c r="A120" s="510">
        <v>117</v>
      </c>
      <c r="B120" s="510" t="s">
        <v>8860</v>
      </c>
      <c r="C120" s="519" t="s">
        <v>2280</v>
      </c>
      <c r="D120" s="512" t="s">
        <v>2280</v>
      </c>
      <c r="E120" s="510" t="s">
        <v>8986</v>
      </c>
      <c r="F120" s="510" t="s">
        <v>13075</v>
      </c>
      <c r="G120" s="510" t="s">
        <v>11024</v>
      </c>
      <c r="H120" s="510" t="s">
        <v>8934</v>
      </c>
      <c r="I120" s="510" t="s">
        <v>13076</v>
      </c>
      <c r="J120" s="510" t="s">
        <v>13077</v>
      </c>
      <c r="K120" s="519" t="s">
        <v>9031</v>
      </c>
      <c r="L120" s="510" t="s">
        <v>8861</v>
      </c>
      <c r="M120" s="510" t="s">
        <v>11071</v>
      </c>
      <c r="P120">
        <v>110</v>
      </c>
    </row>
    <row r="121" spans="1:16" ht="15">
      <c r="A121" s="510">
        <v>118</v>
      </c>
      <c r="B121" s="510" t="s">
        <v>669</v>
      </c>
      <c r="C121" s="519" t="s">
        <v>11747</v>
      </c>
      <c r="D121" s="512" t="s">
        <v>11747</v>
      </c>
      <c r="E121" s="510" t="s">
        <v>11747</v>
      </c>
      <c r="F121" s="510" t="s">
        <v>669</v>
      </c>
      <c r="G121" s="510" t="s">
        <v>11747</v>
      </c>
      <c r="H121" s="510" t="s">
        <v>11747</v>
      </c>
      <c r="I121" s="510" t="s">
        <v>669</v>
      </c>
      <c r="J121" s="510" t="s">
        <v>669</v>
      </c>
      <c r="K121" s="510" t="s">
        <v>11747</v>
      </c>
      <c r="L121" s="510" t="s">
        <v>669</v>
      </c>
      <c r="M121" s="510" t="s">
        <v>669</v>
      </c>
      <c r="N121" s="519"/>
      <c r="O121" s="519"/>
      <c r="P121">
        <v>111</v>
      </c>
    </row>
    <row r="122" spans="1:16" ht="15">
      <c r="A122" s="510">
        <v>119</v>
      </c>
      <c r="B122" s="510" t="s">
        <v>2672</v>
      </c>
      <c r="C122" s="510" t="s">
        <v>12055</v>
      </c>
      <c r="D122" s="512" t="s">
        <v>2281</v>
      </c>
      <c r="E122" s="510" t="s">
        <v>8987</v>
      </c>
      <c r="F122" s="510" t="s">
        <v>13078</v>
      </c>
      <c r="G122" s="510" t="s">
        <v>11025</v>
      </c>
      <c r="H122" s="510" t="s">
        <v>8935</v>
      </c>
      <c r="I122" s="510" t="s">
        <v>13079</v>
      </c>
      <c r="J122" s="510" t="s">
        <v>13080</v>
      </c>
      <c r="K122" s="519" t="s">
        <v>9032</v>
      </c>
      <c r="L122" s="510" t="s">
        <v>8862</v>
      </c>
      <c r="M122" s="510" t="s">
        <v>11072</v>
      </c>
      <c r="P122">
        <v>112</v>
      </c>
    </row>
    <row r="123" spans="1:16" ht="15">
      <c r="A123" s="510">
        <v>120</v>
      </c>
      <c r="B123" s="510" t="s">
        <v>669</v>
      </c>
      <c r="C123" s="519" t="s">
        <v>11747</v>
      </c>
      <c r="D123" s="512" t="s">
        <v>11747</v>
      </c>
      <c r="E123" s="510" t="s">
        <v>11747</v>
      </c>
      <c r="F123" s="510" t="s">
        <v>669</v>
      </c>
      <c r="G123" s="510" t="s">
        <v>11747</v>
      </c>
      <c r="H123" s="510" t="s">
        <v>11747</v>
      </c>
      <c r="I123" s="510" t="s">
        <v>669</v>
      </c>
      <c r="J123" s="510" t="s">
        <v>669</v>
      </c>
      <c r="K123" s="519" t="s">
        <v>11747</v>
      </c>
      <c r="L123" s="510" t="s">
        <v>669</v>
      </c>
      <c r="M123" s="510" t="s">
        <v>669</v>
      </c>
      <c r="P123">
        <v>113</v>
      </c>
    </row>
    <row r="124" spans="1:16" ht="15">
      <c r="A124" s="510">
        <v>121</v>
      </c>
      <c r="B124" s="510" t="s">
        <v>12318</v>
      </c>
      <c r="C124" s="519" t="s">
        <v>12319</v>
      </c>
      <c r="D124" s="512" t="s">
        <v>12319</v>
      </c>
      <c r="E124" s="510" t="s">
        <v>12320</v>
      </c>
      <c r="F124" s="510" t="s">
        <v>13081</v>
      </c>
      <c r="G124" s="510" t="s">
        <v>11026</v>
      </c>
      <c r="H124" s="510" t="s">
        <v>12321</v>
      </c>
      <c r="I124" s="510" t="s">
        <v>13082</v>
      </c>
      <c r="J124" s="510" t="s">
        <v>13083</v>
      </c>
      <c r="K124" s="519" t="s">
        <v>12322</v>
      </c>
      <c r="L124" s="510" t="s">
        <v>8863</v>
      </c>
      <c r="M124" s="510" t="s">
        <v>12323</v>
      </c>
      <c r="P124">
        <v>114</v>
      </c>
    </row>
    <row r="125" spans="1:16" ht="15">
      <c r="A125" s="510">
        <v>122</v>
      </c>
      <c r="B125" s="510" t="s">
        <v>12529</v>
      </c>
      <c r="C125" s="519" t="s">
        <v>12532</v>
      </c>
      <c r="D125" s="512" t="s">
        <v>12531</v>
      </c>
      <c r="E125" s="510" t="s">
        <v>12533</v>
      </c>
      <c r="F125" s="510" t="s">
        <v>13084</v>
      </c>
      <c r="G125" s="510" t="s">
        <v>12534</v>
      </c>
      <c r="H125" s="510" t="s">
        <v>12530</v>
      </c>
      <c r="I125" s="510" t="s">
        <v>13085</v>
      </c>
      <c r="J125" s="510" t="s">
        <v>13086</v>
      </c>
      <c r="K125" s="519" t="s">
        <v>12535</v>
      </c>
      <c r="L125" s="510" t="s">
        <v>12536</v>
      </c>
      <c r="M125" s="510" t="s">
        <v>12537</v>
      </c>
      <c r="P125">
        <v>115</v>
      </c>
    </row>
    <row r="126" spans="1:16" ht="15">
      <c r="A126" s="510">
        <v>123</v>
      </c>
      <c r="B126" s="510" t="s">
        <v>12538</v>
      </c>
      <c r="C126" s="510" t="s">
        <v>12546</v>
      </c>
      <c r="D126" s="512" t="s">
        <v>12545</v>
      </c>
      <c r="E126" s="510" t="s">
        <v>12544</v>
      </c>
      <c r="F126" s="510" t="s">
        <v>13087</v>
      </c>
      <c r="G126" s="510" t="s">
        <v>12543</v>
      </c>
      <c r="H126" s="510" t="s">
        <v>12542</v>
      </c>
      <c r="I126" s="510" t="s">
        <v>13088</v>
      </c>
      <c r="J126" s="510" t="s">
        <v>13089</v>
      </c>
      <c r="K126" s="519" t="s">
        <v>12541</v>
      </c>
      <c r="L126" s="510" t="s">
        <v>12540</v>
      </c>
      <c r="M126" s="510" t="s">
        <v>12539</v>
      </c>
      <c r="P126">
        <v>116</v>
      </c>
    </row>
    <row r="127" spans="1:16" ht="15">
      <c r="A127" s="510">
        <v>124</v>
      </c>
      <c r="B127" s="510" t="s">
        <v>669</v>
      </c>
      <c r="C127" s="519" t="s">
        <v>11747</v>
      </c>
      <c r="D127" s="512" t="s">
        <v>11747</v>
      </c>
      <c r="E127" s="510" t="s">
        <v>11747</v>
      </c>
      <c r="F127" s="510" t="s">
        <v>669</v>
      </c>
      <c r="G127" s="510" t="s">
        <v>11747</v>
      </c>
      <c r="H127" s="510" t="s">
        <v>11747</v>
      </c>
      <c r="I127" s="510" t="s">
        <v>669</v>
      </c>
      <c r="J127" s="510" t="s">
        <v>669</v>
      </c>
      <c r="K127" s="519" t="s">
        <v>11747</v>
      </c>
      <c r="L127" s="510" t="s">
        <v>669</v>
      </c>
      <c r="M127" s="510" t="s">
        <v>669</v>
      </c>
      <c r="P127">
        <v>117</v>
      </c>
    </row>
    <row r="128" spans="1:16" ht="15">
      <c r="A128" s="510">
        <v>125</v>
      </c>
      <c r="B128" s="510" t="s">
        <v>2190</v>
      </c>
      <c r="C128" s="510" t="s">
        <v>2279</v>
      </c>
      <c r="D128" s="512" t="s">
        <v>2279</v>
      </c>
      <c r="E128" s="510" t="s">
        <v>8988</v>
      </c>
      <c r="F128" s="510" t="s">
        <v>13090</v>
      </c>
      <c r="G128" s="510" t="s">
        <v>11027</v>
      </c>
      <c r="H128" s="510" t="s">
        <v>8936</v>
      </c>
      <c r="I128" s="510" t="s">
        <v>13091</v>
      </c>
      <c r="J128" s="510" t="s">
        <v>13092</v>
      </c>
      <c r="K128" s="519" t="s">
        <v>9033</v>
      </c>
      <c r="L128" s="510" t="s">
        <v>8864</v>
      </c>
      <c r="M128" s="510" t="s">
        <v>11073</v>
      </c>
      <c r="P128">
        <v>118</v>
      </c>
    </row>
    <row r="129" spans="1:16" ht="15">
      <c r="A129" s="510">
        <v>126</v>
      </c>
      <c r="B129" s="510" t="s">
        <v>669</v>
      </c>
      <c r="C129" s="510" t="s">
        <v>11747</v>
      </c>
      <c r="D129" s="512" t="s">
        <v>11747</v>
      </c>
      <c r="E129" s="510" t="s">
        <v>11747</v>
      </c>
      <c r="F129" s="510" t="s">
        <v>669</v>
      </c>
      <c r="G129" s="510" t="s">
        <v>11747</v>
      </c>
      <c r="H129" s="510" t="s">
        <v>11747</v>
      </c>
      <c r="I129" s="510" t="s">
        <v>669</v>
      </c>
      <c r="J129" s="510" t="s">
        <v>669</v>
      </c>
      <c r="K129" s="519" t="s">
        <v>11747</v>
      </c>
      <c r="L129" s="510" t="s">
        <v>669</v>
      </c>
      <c r="M129" s="510" t="s">
        <v>669</v>
      </c>
      <c r="P129">
        <v>119</v>
      </c>
    </row>
    <row r="130" spans="1:16" ht="15">
      <c r="A130" s="510">
        <v>127</v>
      </c>
      <c r="B130" s="510" t="s">
        <v>12324</v>
      </c>
      <c r="C130" s="510" t="s">
        <v>12388</v>
      </c>
      <c r="D130" s="512" t="s">
        <v>12342</v>
      </c>
      <c r="E130" s="510" t="s">
        <v>12343</v>
      </c>
      <c r="F130" s="510" t="s">
        <v>13093</v>
      </c>
      <c r="G130" s="510" t="s">
        <v>12389</v>
      </c>
      <c r="H130" s="510" t="s">
        <v>12344</v>
      </c>
      <c r="I130" s="510" t="s">
        <v>13094</v>
      </c>
      <c r="J130" s="510" t="s">
        <v>13095</v>
      </c>
      <c r="K130" s="519" t="s">
        <v>12345</v>
      </c>
      <c r="L130" s="510" t="s">
        <v>12325</v>
      </c>
      <c r="M130" s="510" t="s">
        <v>12346</v>
      </c>
      <c r="P130">
        <v>120</v>
      </c>
    </row>
    <row r="131" spans="1:16" ht="15">
      <c r="A131" s="510">
        <v>128</v>
      </c>
      <c r="B131" s="510" t="s">
        <v>12326</v>
      </c>
      <c r="C131" s="510" t="s">
        <v>12390</v>
      </c>
      <c r="D131" s="512" t="s">
        <v>12347</v>
      </c>
      <c r="E131" s="510" t="s">
        <v>12348</v>
      </c>
      <c r="F131" s="510" t="s">
        <v>13096</v>
      </c>
      <c r="G131" s="510" t="s">
        <v>12391</v>
      </c>
      <c r="H131" s="510" t="s">
        <v>12349</v>
      </c>
      <c r="I131" s="510" t="s">
        <v>13097</v>
      </c>
      <c r="J131" s="510" t="s">
        <v>13098</v>
      </c>
      <c r="K131" s="510" t="s">
        <v>12350</v>
      </c>
      <c r="L131" s="510" t="s">
        <v>12327</v>
      </c>
      <c r="M131" s="510" t="s">
        <v>12351</v>
      </c>
      <c r="P131">
        <v>121</v>
      </c>
    </row>
    <row r="132" spans="1:16" ht="15">
      <c r="A132" s="510">
        <v>129</v>
      </c>
      <c r="B132" s="510" t="s">
        <v>12328</v>
      </c>
      <c r="C132" s="510" t="s">
        <v>12392</v>
      </c>
      <c r="D132" s="512" t="s">
        <v>12352</v>
      </c>
      <c r="E132" s="510" t="s">
        <v>12353</v>
      </c>
      <c r="F132" s="510" t="s">
        <v>13099</v>
      </c>
      <c r="G132" s="510" t="s">
        <v>12354</v>
      </c>
      <c r="H132" s="510" t="s">
        <v>12355</v>
      </c>
      <c r="I132" s="510" t="s">
        <v>13100</v>
      </c>
      <c r="J132" s="510" t="s">
        <v>13101</v>
      </c>
      <c r="K132" s="519" t="s">
        <v>12356</v>
      </c>
      <c r="L132" s="510" t="s">
        <v>12329</v>
      </c>
      <c r="M132" s="510" t="s">
        <v>12357</v>
      </c>
      <c r="P132">
        <v>122</v>
      </c>
    </row>
    <row r="133" spans="1:16" ht="15">
      <c r="A133" s="510">
        <v>130</v>
      </c>
      <c r="B133" s="510" t="s">
        <v>12330</v>
      </c>
      <c r="C133" s="510" t="s">
        <v>12393</v>
      </c>
      <c r="D133" s="512" t="s">
        <v>12358</v>
      </c>
      <c r="E133" s="510" t="s">
        <v>12359</v>
      </c>
      <c r="F133" s="510" t="s">
        <v>13102</v>
      </c>
      <c r="G133" s="510" t="s">
        <v>12394</v>
      </c>
      <c r="H133" s="510" t="s">
        <v>12360</v>
      </c>
      <c r="I133" s="510" t="s">
        <v>13103</v>
      </c>
      <c r="J133" s="510" t="s">
        <v>13104</v>
      </c>
      <c r="K133" s="519" t="s">
        <v>12361</v>
      </c>
      <c r="L133" s="510" t="s">
        <v>12331</v>
      </c>
      <c r="M133" s="510" t="s">
        <v>12362</v>
      </c>
      <c r="P133">
        <v>123</v>
      </c>
    </row>
    <row r="134" spans="1:16" ht="15">
      <c r="A134" s="510">
        <v>131</v>
      </c>
      <c r="B134" s="510" t="s">
        <v>12332</v>
      </c>
      <c r="C134" s="510" t="s">
        <v>12395</v>
      </c>
      <c r="D134" s="512" t="s">
        <v>12363</v>
      </c>
      <c r="E134" s="510" t="s">
        <v>12364</v>
      </c>
      <c r="F134" s="510" t="s">
        <v>13105</v>
      </c>
      <c r="G134" s="510" t="s">
        <v>12396</v>
      </c>
      <c r="H134" s="510" t="s">
        <v>12365</v>
      </c>
      <c r="I134" s="510" t="s">
        <v>13106</v>
      </c>
      <c r="J134" s="510" t="s">
        <v>13107</v>
      </c>
      <c r="K134" s="519" t="s">
        <v>12366</v>
      </c>
      <c r="L134" s="510" t="s">
        <v>12333</v>
      </c>
      <c r="M134" s="510" t="s">
        <v>12367</v>
      </c>
      <c r="P134">
        <v>124</v>
      </c>
    </row>
    <row r="135" spans="1:16" ht="15">
      <c r="A135" s="510">
        <v>132</v>
      </c>
      <c r="B135" s="510" t="s">
        <v>12334</v>
      </c>
      <c r="C135" s="519" t="s">
        <v>12397</v>
      </c>
      <c r="D135" s="512" t="s">
        <v>12372</v>
      </c>
      <c r="E135" s="510" t="s">
        <v>12368</v>
      </c>
      <c r="F135" s="510" t="s">
        <v>13108</v>
      </c>
      <c r="G135" s="510" t="s">
        <v>12398</v>
      </c>
      <c r="H135" s="510" t="s">
        <v>12373</v>
      </c>
      <c r="I135" s="510" t="s">
        <v>13109</v>
      </c>
      <c r="J135" s="510" t="s">
        <v>13110</v>
      </c>
      <c r="K135" s="522" t="s">
        <v>12374</v>
      </c>
      <c r="L135" s="510" t="s">
        <v>12335</v>
      </c>
      <c r="M135" s="510" t="s">
        <v>12375</v>
      </c>
      <c r="P135">
        <v>125</v>
      </c>
    </row>
    <row r="136" spans="1:16" ht="15">
      <c r="A136" s="510">
        <v>133</v>
      </c>
      <c r="B136" s="510" t="s">
        <v>12336</v>
      </c>
      <c r="C136" s="519" t="s">
        <v>12399</v>
      </c>
      <c r="D136" s="512" t="s">
        <v>12376</v>
      </c>
      <c r="E136" s="510" t="s">
        <v>12369</v>
      </c>
      <c r="F136" s="510" t="s">
        <v>13111</v>
      </c>
      <c r="G136" s="510" t="s">
        <v>12400</v>
      </c>
      <c r="H136" s="510" t="s">
        <v>12377</v>
      </c>
      <c r="I136" s="510" t="s">
        <v>13112</v>
      </c>
      <c r="J136" s="510" t="s">
        <v>13113</v>
      </c>
      <c r="K136" s="522" t="s">
        <v>12378</v>
      </c>
      <c r="L136" s="510" t="s">
        <v>12337</v>
      </c>
      <c r="M136" s="510" t="s">
        <v>12379</v>
      </c>
      <c r="P136">
        <v>126</v>
      </c>
    </row>
    <row r="137" spans="1:16" ht="15">
      <c r="A137" s="510">
        <v>134</v>
      </c>
      <c r="B137" s="510" t="s">
        <v>12338</v>
      </c>
      <c r="C137" s="510" t="s">
        <v>12401</v>
      </c>
      <c r="D137" s="512" t="s">
        <v>12380</v>
      </c>
      <c r="E137" s="510" t="s">
        <v>12370</v>
      </c>
      <c r="F137" s="510" t="s">
        <v>13114</v>
      </c>
      <c r="G137" s="510" t="s">
        <v>12402</v>
      </c>
      <c r="H137" s="510" t="s">
        <v>12381</v>
      </c>
      <c r="I137" s="510" t="s">
        <v>13115</v>
      </c>
      <c r="J137" s="510" t="s">
        <v>13116</v>
      </c>
      <c r="K137" s="522" t="s">
        <v>12382</v>
      </c>
      <c r="L137" s="510" t="s">
        <v>12339</v>
      </c>
      <c r="M137" s="510" t="s">
        <v>12383</v>
      </c>
      <c r="P137">
        <v>127</v>
      </c>
    </row>
    <row r="138" spans="1:16" ht="15">
      <c r="A138" s="510">
        <v>135</v>
      </c>
      <c r="B138" s="510" t="s">
        <v>12340</v>
      </c>
      <c r="C138" s="510" t="s">
        <v>12403</v>
      </c>
      <c r="D138" s="512" t="s">
        <v>12384</v>
      </c>
      <c r="E138" s="510" t="s">
        <v>12371</v>
      </c>
      <c r="F138" s="510" t="s">
        <v>13117</v>
      </c>
      <c r="G138" s="510" t="s">
        <v>12404</v>
      </c>
      <c r="H138" s="510" t="s">
        <v>12385</v>
      </c>
      <c r="I138" s="510" t="s">
        <v>13118</v>
      </c>
      <c r="J138" s="510" t="s">
        <v>13119</v>
      </c>
      <c r="K138" s="522" t="s">
        <v>12386</v>
      </c>
      <c r="L138" s="510" t="s">
        <v>12341</v>
      </c>
      <c r="M138" s="510" t="s">
        <v>12387</v>
      </c>
      <c r="P138">
        <v>128</v>
      </c>
    </row>
    <row r="139" spans="1:16" ht="15">
      <c r="A139" s="510">
        <v>136</v>
      </c>
      <c r="B139" s="510" t="s">
        <v>669</v>
      </c>
      <c r="C139" s="510" t="s">
        <v>11747</v>
      </c>
      <c r="D139" s="512" t="s">
        <v>11747</v>
      </c>
      <c r="E139" s="510" t="s">
        <v>11747</v>
      </c>
      <c r="F139" s="510" t="s">
        <v>669</v>
      </c>
      <c r="G139" s="510" t="s">
        <v>11747</v>
      </c>
      <c r="H139" s="510" t="s">
        <v>11747</v>
      </c>
      <c r="I139" s="510" t="s">
        <v>669</v>
      </c>
      <c r="J139" s="510" t="s">
        <v>669</v>
      </c>
      <c r="K139" s="522" t="s">
        <v>11747</v>
      </c>
      <c r="L139" s="510" t="s">
        <v>669</v>
      </c>
      <c r="M139" s="510" t="s">
        <v>669</v>
      </c>
      <c r="P139">
        <v>129</v>
      </c>
    </row>
    <row r="140" spans="1:16" ht="14.45" customHeight="1">
      <c r="A140" s="510">
        <v>137</v>
      </c>
      <c r="B140" s="510" t="s">
        <v>13120</v>
      </c>
      <c r="C140" s="510" t="s">
        <v>13121</v>
      </c>
      <c r="D140" s="510" t="s">
        <v>13122</v>
      </c>
      <c r="E140" s="510" t="s">
        <v>13123</v>
      </c>
      <c r="F140" s="510" t="s">
        <v>13124</v>
      </c>
      <c r="G140" s="510" t="s">
        <v>13125</v>
      </c>
      <c r="H140" s="510" t="s">
        <v>13126</v>
      </c>
      <c r="I140" s="510" t="s">
        <v>13127</v>
      </c>
      <c r="J140" s="510" t="s">
        <v>13128</v>
      </c>
      <c r="K140" s="510" t="s">
        <v>13129</v>
      </c>
      <c r="L140" s="510" t="s">
        <v>13130</v>
      </c>
      <c r="M140" s="510" t="s">
        <v>13131</v>
      </c>
      <c r="P140">
        <v>130</v>
      </c>
    </row>
    <row r="141" spans="1:16" ht="14.45" customHeight="1">
      <c r="A141" s="510">
        <v>138</v>
      </c>
      <c r="B141" s="510" t="s">
        <v>2191</v>
      </c>
      <c r="C141" s="510" t="s">
        <v>8937</v>
      </c>
      <c r="D141" s="510" t="s">
        <v>2833</v>
      </c>
      <c r="E141" s="510" t="s">
        <v>8989</v>
      </c>
      <c r="F141" s="510" t="s">
        <v>13132</v>
      </c>
      <c r="G141" s="510" t="s">
        <v>11028</v>
      </c>
      <c r="H141" s="510" t="s">
        <v>8938</v>
      </c>
      <c r="I141" s="510" t="s">
        <v>13133</v>
      </c>
      <c r="J141" s="510" t="s">
        <v>13134</v>
      </c>
      <c r="K141" s="510" t="s">
        <v>9034</v>
      </c>
      <c r="L141" s="510" t="s">
        <v>8865</v>
      </c>
      <c r="M141" s="510" t="s">
        <v>11074</v>
      </c>
      <c r="P141">
        <v>131</v>
      </c>
    </row>
    <row r="142" spans="1:16" ht="14.45" customHeight="1">
      <c r="A142" s="510">
        <v>139</v>
      </c>
      <c r="B142" s="510" t="s">
        <v>2192</v>
      </c>
      <c r="C142" s="510" t="s">
        <v>8939</v>
      </c>
      <c r="D142" s="510" t="s">
        <v>2834</v>
      </c>
      <c r="E142" s="510" t="s">
        <v>8990</v>
      </c>
      <c r="F142" s="510" t="s">
        <v>13135</v>
      </c>
      <c r="G142" s="510" t="s">
        <v>11029</v>
      </c>
      <c r="H142" s="510" t="s">
        <v>8940</v>
      </c>
      <c r="I142" s="510" t="s">
        <v>13136</v>
      </c>
      <c r="J142" s="510" t="s">
        <v>13137</v>
      </c>
      <c r="K142" s="510" t="s">
        <v>9035</v>
      </c>
      <c r="L142" s="510" t="s">
        <v>8866</v>
      </c>
      <c r="M142" s="510" t="s">
        <v>11075</v>
      </c>
      <c r="P142">
        <v>132</v>
      </c>
    </row>
    <row r="143" spans="1:16" ht="14.45" customHeight="1">
      <c r="A143" s="510">
        <v>140</v>
      </c>
      <c r="B143" s="510" t="s">
        <v>2193</v>
      </c>
      <c r="C143" s="510" t="s">
        <v>8941</v>
      </c>
      <c r="D143" s="510" t="s">
        <v>2835</v>
      </c>
      <c r="E143" s="510" t="s">
        <v>8991</v>
      </c>
      <c r="F143" s="510" t="s">
        <v>13138</v>
      </c>
      <c r="G143" s="510" t="s">
        <v>11030</v>
      </c>
      <c r="H143" s="510" t="s">
        <v>8942</v>
      </c>
      <c r="I143" s="510" t="s">
        <v>13139</v>
      </c>
      <c r="J143" s="510" t="s">
        <v>13140</v>
      </c>
      <c r="K143" s="510" t="s">
        <v>9036</v>
      </c>
      <c r="L143" s="510" t="s">
        <v>8867</v>
      </c>
      <c r="M143" s="510" t="s">
        <v>11076</v>
      </c>
      <c r="P143">
        <v>133</v>
      </c>
    </row>
    <row r="144" spans="1:16" ht="14.45" customHeight="1">
      <c r="A144" s="510">
        <v>141</v>
      </c>
      <c r="B144" s="510" t="s">
        <v>2194</v>
      </c>
      <c r="C144" s="510" t="s">
        <v>8943</v>
      </c>
      <c r="D144" s="510" t="s">
        <v>2836</v>
      </c>
      <c r="E144" s="510" t="s">
        <v>8992</v>
      </c>
      <c r="F144" s="510" t="s">
        <v>13141</v>
      </c>
      <c r="G144" s="510" t="s">
        <v>11031</v>
      </c>
      <c r="H144" s="510" t="s">
        <v>8944</v>
      </c>
      <c r="I144" s="510" t="s">
        <v>13142</v>
      </c>
      <c r="J144" s="510" t="s">
        <v>13143</v>
      </c>
      <c r="K144" s="510" t="s">
        <v>9037</v>
      </c>
      <c r="L144" s="510" t="s">
        <v>8868</v>
      </c>
      <c r="M144" s="510" t="s">
        <v>11077</v>
      </c>
      <c r="P144">
        <v>134</v>
      </c>
    </row>
    <row r="145" spans="1:16" ht="14.45" customHeight="1">
      <c r="A145" s="510">
        <v>142</v>
      </c>
      <c r="B145" s="510" t="s">
        <v>2195</v>
      </c>
      <c r="C145" s="510" t="s">
        <v>8945</v>
      </c>
      <c r="D145" s="510" t="s">
        <v>2837</v>
      </c>
      <c r="E145" s="510" t="s">
        <v>8993</v>
      </c>
      <c r="F145" s="510" t="s">
        <v>13144</v>
      </c>
      <c r="G145" s="510" t="s">
        <v>11032</v>
      </c>
      <c r="H145" s="510" t="s">
        <v>8946</v>
      </c>
      <c r="I145" s="510" t="s">
        <v>13145</v>
      </c>
      <c r="J145" s="510" t="s">
        <v>13146</v>
      </c>
      <c r="K145" s="510" t="s">
        <v>9038</v>
      </c>
      <c r="L145" s="510" t="s">
        <v>8869</v>
      </c>
      <c r="M145" s="510" t="s">
        <v>11078</v>
      </c>
      <c r="P145">
        <v>135</v>
      </c>
    </row>
    <row r="146" spans="1:16" ht="14.45" customHeight="1">
      <c r="A146" s="510">
        <v>143</v>
      </c>
      <c r="B146" s="510" t="s">
        <v>2673</v>
      </c>
      <c r="C146" s="510" t="s">
        <v>8947</v>
      </c>
      <c r="D146" s="510" t="s">
        <v>2838</v>
      </c>
      <c r="E146" s="510" t="s">
        <v>8994</v>
      </c>
      <c r="F146" s="510" t="s">
        <v>13147</v>
      </c>
      <c r="G146" s="510" t="s">
        <v>11033</v>
      </c>
      <c r="H146" s="510" t="s">
        <v>8948</v>
      </c>
      <c r="I146" s="510" t="s">
        <v>13148</v>
      </c>
      <c r="J146" s="510" t="s">
        <v>13149</v>
      </c>
      <c r="K146" s="510" t="s">
        <v>9039</v>
      </c>
      <c r="L146" s="510" t="s">
        <v>8870</v>
      </c>
      <c r="M146" s="510" t="s">
        <v>11079</v>
      </c>
      <c r="P146">
        <v>136</v>
      </c>
    </row>
    <row r="147" spans="1:16" ht="14.45" customHeight="1">
      <c r="A147" s="510">
        <v>144</v>
      </c>
      <c r="B147" s="510" t="s">
        <v>2674</v>
      </c>
      <c r="C147" s="510" t="s">
        <v>8949</v>
      </c>
      <c r="D147" s="510" t="s">
        <v>2839</v>
      </c>
      <c r="E147" s="510" t="s">
        <v>8995</v>
      </c>
      <c r="F147" s="510" t="s">
        <v>13150</v>
      </c>
      <c r="G147" s="510" t="s">
        <v>11034</v>
      </c>
      <c r="H147" s="510" t="s">
        <v>8950</v>
      </c>
      <c r="I147" s="510" t="s">
        <v>13151</v>
      </c>
      <c r="J147" s="510" t="s">
        <v>13152</v>
      </c>
      <c r="K147" s="510" t="s">
        <v>9040</v>
      </c>
      <c r="L147" s="510" t="s">
        <v>8871</v>
      </c>
      <c r="M147" s="510" t="s">
        <v>11080</v>
      </c>
      <c r="P147">
        <v>137</v>
      </c>
    </row>
    <row r="152" spans="1:16" ht="14.45" customHeight="1">
      <c r="B152" s="510" t="s">
        <v>8831</v>
      </c>
      <c r="C152" s="510" t="s">
        <v>13153</v>
      </c>
      <c r="D152" s="510" t="s">
        <v>13154</v>
      </c>
      <c r="E152" s="510" t="s">
        <v>13155</v>
      </c>
      <c r="F152" s="510" t="s">
        <v>13156</v>
      </c>
      <c r="G152" s="510" t="s">
        <v>13157</v>
      </c>
      <c r="H152" s="510" t="s">
        <v>13158</v>
      </c>
      <c r="I152" s="510" t="s">
        <v>13159</v>
      </c>
      <c r="J152" s="510" t="s">
        <v>13160</v>
      </c>
      <c r="K152" s="510" t="s">
        <v>13161</v>
      </c>
      <c r="L152" s="510" t="s">
        <v>8832</v>
      </c>
      <c r="M152" s="510" t="s">
        <v>11051</v>
      </c>
      <c r="P152">
        <v>64</v>
      </c>
    </row>
    <row r="153" spans="1:16" ht="14.45" customHeight="1">
      <c r="B153" s="510" t="s">
        <v>11741</v>
      </c>
      <c r="C153" s="510" t="s">
        <v>8901</v>
      </c>
      <c r="D153" s="510" t="s">
        <v>2842</v>
      </c>
      <c r="E153" s="510" t="s">
        <v>8969</v>
      </c>
      <c r="F153" s="510" t="s">
        <v>13162</v>
      </c>
      <c r="G153" s="510" t="s">
        <v>11007</v>
      </c>
      <c r="H153" s="510" t="s">
        <v>8902</v>
      </c>
      <c r="I153" s="510" t="s">
        <v>13163</v>
      </c>
      <c r="J153" s="510" t="s">
        <v>13164</v>
      </c>
      <c r="K153" s="510" t="s">
        <v>9014</v>
      </c>
      <c r="L153" s="510" t="s">
        <v>11743</v>
      </c>
      <c r="M153" s="510" t="s">
        <v>11742</v>
      </c>
      <c r="P153">
        <v>65</v>
      </c>
    </row>
    <row r="154" spans="1:16" ht="14.45" customHeight="1">
      <c r="B154" s="510" t="s">
        <v>11744</v>
      </c>
      <c r="C154" s="510" t="s">
        <v>8903</v>
      </c>
      <c r="D154" s="510" t="s">
        <v>2840</v>
      </c>
      <c r="E154" s="510" t="s">
        <v>8970</v>
      </c>
      <c r="F154" s="510" t="s">
        <v>13165</v>
      </c>
      <c r="G154" s="510" t="s">
        <v>11008</v>
      </c>
      <c r="H154" s="510" t="s">
        <v>8904</v>
      </c>
      <c r="I154" s="510" t="s">
        <v>13166</v>
      </c>
      <c r="J154" s="510" t="s">
        <v>13167</v>
      </c>
      <c r="K154" s="510" t="s">
        <v>9015</v>
      </c>
      <c r="L154" s="510" t="s">
        <v>11745</v>
      </c>
      <c r="M154" s="510" t="s">
        <v>11746</v>
      </c>
      <c r="P154">
        <v>66</v>
      </c>
    </row>
    <row r="155" spans="1:16" ht="14.45" customHeight="1">
      <c r="B155" s="510" t="s">
        <v>11736</v>
      </c>
      <c r="C155" s="510" t="s">
        <v>13168</v>
      </c>
      <c r="D155" s="510" t="s">
        <v>13169</v>
      </c>
      <c r="E155" s="510" t="s">
        <v>13170</v>
      </c>
      <c r="F155" s="510" t="s">
        <v>13171</v>
      </c>
      <c r="G155" s="510" t="s">
        <v>13172</v>
      </c>
      <c r="H155" s="510" t="s">
        <v>13173</v>
      </c>
      <c r="I155" s="510" t="s">
        <v>13174</v>
      </c>
      <c r="J155" s="510" t="s">
        <v>13175</v>
      </c>
      <c r="K155" s="510" t="s">
        <v>13176</v>
      </c>
      <c r="L155" s="510" t="s">
        <v>11738</v>
      </c>
      <c r="M155" s="510" t="s">
        <v>11052</v>
      </c>
      <c r="P155">
        <v>67</v>
      </c>
    </row>
    <row r="156" spans="1:16" ht="14.45" customHeight="1">
      <c r="B156" s="510" t="s">
        <v>11737</v>
      </c>
      <c r="C156" s="510" t="s">
        <v>13177</v>
      </c>
      <c r="D156" s="510" t="s">
        <v>13178</v>
      </c>
      <c r="E156" s="510" t="s">
        <v>13179</v>
      </c>
      <c r="F156" s="510" t="s">
        <v>13180</v>
      </c>
      <c r="G156" s="510" t="s">
        <v>13181</v>
      </c>
      <c r="H156" s="510" t="s">
        <v>13182</v>
      </c>
      <c r="I156" s="510" t="s">
        <v>13183</v>
      </c>
      <c r="J156" s="510" t="s">
        <v>13184</v>
      </c>
      <c r="K156" s="510" t="s">
        <v>13185</v>
      </c>
      <c r="L156" s="510" t="s">
        <v>11739</v>
      </c>
      <c r="M156" s="510" t="s">
        <v>11740</v>
      </c>
      <c r="P156">
        <v>68</v>
      </c>
    </row>
    <row r="157" spans="1:16" ht="14.45" customHeight="1">
      <c r="B157" s="510" t="s">
        <v>2668</v>
      </c>
      <c r="C157" s="510" t="s">
        <v>13186</v>
      </c>
      <c r="D157" s="510" t="s">
        <v>13187</v>
      </c>
      <c r="E157" s="510" t="s">
        <v>13188</v>
      </c>
      <c r="F157" s="510" t="s">
        <v>13189</v>
      </c>
      <c r="G157" s="510" t="s">
        <v>13190</v>
      </c>
      <c r="H157" s="510" t="s">
        <v>13191</v>
      </c>
      <c r="I157" s="510" t="s">
        <v>13192</v>
      </c>
      <c r="J157" s="510" t="s">
        <v>13193</v>
      </c>
      <c r="K157" s="510" t="s">
        <v>13194</v>
      </c>
      <c r="L157" s="510" t="s">
        <v>8833</v>
      </c>
      <c r="M157" s="510" t="s">
        <v>11053</v>
      </c>
      <c r="P157">
        <v>69</v>
      </c>
    </row>
  </sheetData>
  <phoneticPr fontId="82" type="noConversion"/>
  <hyperlinks>
    <hyperlink ref="C110" r:id="rId1" display="https://www.kb.cz/en/exchange-rates" xr:uid="{F77C6BEC-2AA0-4CA6-BC98-91D459077664}"/>
  </hyperlinks>
  <pageMargins left="0.7" right="0.7" top="0.78740157499999996" bottom="0.78740157499999996" header="0.3" footer="0.3"/>
  <pageSetup paperSize="9" orientation="portrait"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A0D66E-032F-4C64-8519-DFE0D1F8C358}">
  <sheetPr codeName="List5"/>
  <dimension ref="A1:K548"/>
  <sheetViews>
    <sheetView workbookViewId="0">
      <selection activeCell="A552" sqref="A552"/>
    </sheetView>
  </sheetViews>
  <sheetFormatPr defaultRowHeight="15" customHeight="1"/>
  <cols>
    <col min="1" max="1" width="139.140625" style="236" customWidth="1"/>
    <col min="2" max="4" width="9.140625" style="236"/>
    <col min="5" max="5" width="18.5703125" style="236" bestFit="1" customWidth="1"/>
    <col min="6" max="11" width="9.140625" style="236"/>
  </cols>
  <sheetData>
    <row r="1" spans="1:4">
      <c r="A1" s="235"/>
      <c r="C1" s="236" t="s">
        <v>11612</v>
      </c>
      <c r="D1" s="236" t="str">
        <f>'General price list'!$W$17</f>
        <v>deutsch</v>
      </c>
    </row>
    <row r="2" spans="1:4">
      <c r="A2" s="235"/>
    </row>
    <row r="3" spans="1:4">
      <c r="A3" s="235"/>
    </row>
    <row r="4" spans="1:4">
      <c r="A4" s="235"/>
    </row>
    <row r="5" spans="1:4">
      <c r="A5" s="235"/>
    </row>
    <row r="6" spans="1:4">
      <c r="A6" s="235"/>
    </row>
    <row r="7" spans="1:4">
      <c r="A7" s="235"/>
    </row>
    <row r="8" spans="1:4">
      <c r="A8" s="235"/>
    </row>
    <row r="9" spans="1:4">
      <c r="A9" s="235"/>
    </row>
    <row r="10" spans="1:4">
      <c r="A10" s="235"/>
    </row>
    <row r="11" spans="1:4">
      <c r="A11" s="235"/>
    </row>
    <row r="12" spans="1:4">
      <c r="A12" s="235"/>
    </row>
    <row r="13" spans="1:4">
      <c r="A13" s="235"/>
    </row>
    <row r="14" spans="1:4">
      <c r="A14" s="235"/>
    </row>
    <row r="15" spans="1:4">
      <c r="A15" s="235"/>
    </row>
    <row r="16" spans="1:4" ht="15.75" thickBot="1">
      <c r="A16" s="235"/>
    </row>
    <row r="17" spans="1:10" ht="15.75" thickTop="1">
      <c r="A17" s="237"/>
    </row>
    <row r="18" spans="1:10">
      <c r="A18" s="238" t="s">
        <v>11757</v>
      </c>
    </row>
    <row r="19" spans="1:10" ht="15.75" thickBot="1">
      <c r="A19" s="239" t="s">
        <v>11758</v>
      </c>
      <c r="B19" s="232" t="s">
        <v>18</v>
      </c>
      <c r="C19" s="232"/>
      <c r="D19" s="232"/>
      <c r="E19" s="233"/>
    </row>
    <row r="20" spans="1:10" ht="15.75" thickTop="1">
      <c r="A20" s="240" t="s">
        <v>11759</v>
      </c>
      <c r="B20" s="234" t="s">
        <v>2861</v>
      </c>
      <c r="C20" s="234"/>
      <c r="D20" s="234"/>
      <c r="E20" s="234"/>
    </row>
    <row r="21" spans="1:10" ht="15.75">
      <c r="A21" s="241" t="s">
        <v>6498</v>
      </c>
      <c r="B21" s="236" t="str">
        <f>IF('General price list'!$W$17=B20,A21,IFERROR(VLOOKUP(A21,Kategorie!C:AA,MATCH('General price list'!$W$17,Kategorie!$C$2:$AA$2,0),FALSE),IF(A21="","","× Chybí překlad ×")))</f>
        <v>Kinder - Pyrotechnik</v>
      </c>
      <c r="C21" s="236" t="str">
        <f>IF(A21="x","×",$C$1&amp;B21)</f>
        <v xml:space="preserve">                                          Kinder - Pyrotechnik</v>
      </c>
      <c r="J21" s="236" t="s">
        <v>6498</v>
      </c>
    </row>
    <row r="22" spans="1:10">
      <c r="A22" s="242" t="s">
        <v>24</v>
      </c>
      <c r="B22" s="236" t="str">
        <f>IF('General price list'!$W$17=B21,A22,IFERROR(VLOOKUP(A22,Kategorie!C:AA,MATCH('General price list'!$W$17,Kategorie!$C$2:$AA$2,0),FALSE),IF(A22="","","× Chybí překlad ×")))</f>
        <v/>
      </c>
      <c r="C22" s="236" t="str">
        <f t="shared" ref="C22:C85" si="0">IF(A22="x","×",$C$1&amp;B22)</f>
        <v xml:space="preserve">                                          </v>
      </c>
    </row>
    <row r="23" spans="1:10">
      <c r="A23" s="242" t="s">
        <v>13492</v>
      </c>
      <c r="B23" s="236" t="str">
        <f>IF('General price list'!$W$17=B22,A23,IFERROR(VLOOKUP(A23,Kategorie!C:AA,MATCH('General price list'!$W$17,Kategorie!$C$2:$AA$2,0),FALSE),IF(A23="","","× Chybí překlad ×")))</f>
        <v>x</v>
      </c>
      <c r="C23" s="236" t="str">
        <f t="shared" si="0"/>
        <v>×</v>
      </c>
    </row>
    <row r="24" spans="1:10">
      <c r="A24" s="242" t="s">
        <v>24</v>
      </c>
      <c r="B24" s="236" t="str">
        <f>IF('General price list'!$W$17=B23,A24,IFERROR(VLOOKUP(A24,Kategorie!C:AA,MATCH('General price list'!$W$17,Kategorie!$C$2:$AA$2,0),FALSE),IF(A24="","","× Chybí překlad ×")))</f>
        <v/>
      </c>
      <c r="C24" s="236" t="str">
        <f t="shared" si="0"/>
        <v xml:space="preserve">                                          </v>
      </c>
    </row>
    <row r="25" spans="1:10">
      <c r="A25" s="242" t="s">
        <v>24</v>
      </c>
      <c r="B25" s="236" t="str">
        <f>IF('General price list'!$W$17=B24,A25,IFERROR(VLOOKUP(A25,Kategorie!C:AA,MATCH('General price list'!$W$17,Kategorie!$C$2:$AA$2,0),FALSE),IF(A25="","","× Chybí překlad ×")))</f>
        <v/>
      </c>
      <c r="C25" s="236" t="str">
        <f t="shared" si="0"/>
        <v xml:space="preserve">                                          </v>
      </c>
    </row>
    <row r="26" spans="1:10">
      <c r="A26" s="242" t="s">
        <v>24</v>
      </c>
      <c r="B26" s="236" t="str">
        <f>IF('General price list'!$W$17=B25,A26,IFERROR(VLOOKUP(A26,Kategorie!C:AA,MATCH('General price list'!$W$17,Kategorie!$C$2:$AA$2,0),FALSE),IF(A26="","","× Chybí překlad ×")))</f>
        <v/>
      </c>
      <c r="C26" s="236" t="str">
        <f t="shared" si="0"/>
        <v xml:space="preserve">                                          </v>
      </c>
    </row>
    <row r="27" spans="1:10">
      <c r="A27" s="242" t="s">
        <v>24</v>
      </c>
      <c r="B27" s="236" t="str">
        <f>IF('General price list'!$W$17=B26,A27,IFERROR(VLOOKUP(A27,Kategorie!C:AA,MATCH('General price list'!$W$17,Kategorie!$C$2:$AA$2,0),FALSE),IF(A27="","","× Chybí překlad ×")))</f>
        <v/>
      </c>
      <c r="C27" s="236" t="str">
        <f t="shared" si="0"/>
        <v xml:space="preserve">                                          </v>
      </c>
    </row>
    <row r="28" spans="1:10">
      <c r="A28" s="242" t="s">
        <v>24</v>
      </c>
      <c r="B28" s="236" t="str">
        <f>IF('General price list'!$W$17=B27,A28,IFERROR(VLOOKUP(A28,Kategorie!C:AA,MATCH('General price list'!$W$17,Kategorie!$C$2:$AA$2,0),FALSE),IF(A28="","","× Chybí překlad ×")))</f>
        <v/>
      </c>
      <c r="C28" s="236" t="str">
        <f t="shared" si="0"/>
        <v xml:space="preserve">                                          </v>
      </c>
    </row>
    <row r="29" spans="1:10">
      <c r="A29" s="242" t="s">
        <v>24</v>
      </c>
      <c r="B29" s="236" t="str">
        <f>IF('General price list'!$W$17=B28,A29,IFERROR(VLOOKUP(A29,Kategorie!C:AA,MATCH('General price list'!$W$17,Kategorie!$C$2:$AA$2,0),FALSE),IF(A29="","","× Chybí překlad ×")))</f>
        <v/>
      </c>
      <c r="C29" s="236" t="str">
        <f t="shared" si="0"/>
        <v xml:space="preserve">                                          </v>
      </c>
    </row>
    <row r="30" spans="1:10">
      <c r="A30" s="242" t="s">
        <v>13492</v>
      </c>
      <c r="B30" s="236" t="str">
        <f>IF('General price list'!$W$17=B29,A30,IFERROR(VLOOKUP(A30,Kategorie!C:AA,MATCH('General price list'!$W$17,Kategorie!$C$2:$AA$2,0),FALSE),IF(A30="","","× Chybí překlad ×")))</f>
        <v>x</v>
      </c>
      <c r="C30" s="236" t="str">
        <f t="shared" si="0"/>
        <v>×</v>
      </c>
    </row>
    <row r="31" spans="1:10">
      <c r="A31" s="242" t="s">
        <v>24</v>
      </c>
      <c r="B31" s="236" t="str">
        <f>IF('General price list'!$W$17=B30,A31,IFERROR(VLOOKUP(A31,Kategorie!C:AA,MATCH('General price list'!$W$17,Kategorie!$C$2:$AA$2,0),FALSE),IF(A31="","","× Chybí překlad ×")))</f>
        <v/>
      </c>
      <c r="C31" s="236" t="str">
        <f t="shared" si="0"/>
        <v xml:space="preserve">                                          </v>
      </c>
    </row>
    <row r="32" spans="1:10">
      <c r="A32" s="242" t="s">
        <v>24</v>
      </c>
      <c r="B32" s="236" t="str">
        <f>IF('General price list'!$W$17=B31,A32,IFERROR(VLOOKUP(A32,Kategorie!C:AA,MATCH('General price list'!$W$17,Kategorie!$C$2:$AA$2,0),FALSE),IF(A32="","","× Chybí překlad ×")))</f>
        <v/>
      </c>
      <c r="C32" s="236" t="str">
        <f t="shared" si="0"/>
        <v xml:space="preserve">                                          </v>
      </c>
    </row>
    <row r="33" spans="1:3">
      <c r="A33" s="242" t="s">
        <v>24</v>
      </c>
      <c r="B33" s="236" t="str">
        <f>IF('General price list'!$W$17=B32,A33,IFERROR(VLOOKUP(A33,Kategorie!C:AA,MATCH('General price list'!$W$17,Kategorie!$C$2:$AA$2,0),FALSE),IF(A33="","","× Chybí překlad ×")))</f>
        <v/>
      </c>
      <c r="C33" s="236" t="str">
        <f t="shared" si="0"/>
        <v xml:space="preserve">                                          </v>
      </c>
    </row>
    <row r="34" spans="1:3">
      <c r="A34" s="242" t="s">
        <v>24</v>
      </c>
      <c r="B34" s="236" t="str">
        <f>IF('General price list'!$W$17=B33,A34,IFERROR(VLOOKUP(A34,Kategorie!C:AA,MATCH('General price list'!$W$17,Kategorie!$C$2:$AA$2,0),FALSE),IF(A34="","","× Chybí překlad ×")))</f>
        <v/>
      </c>
      <c r="C34" s="236" t="str">
        <f t="shared" si="0"/>
        <v xml:space="preserve">                                          </v>
      </c>
    </row>
    <row r="35" spans="1:3">
      <c r="A35" s="242" t="s">
        <v>24</v>
      </c>
      <c r="B35" s="236" t="str">
        <f>IF('General price list'!$W$17=B34,A35,IFERROR(VLOOKUP(A35,Kategorie!C:AA,MATCH('General price list'!$W$17,Kategorie!$C$2:$AA$2,0),FALSE),IF(A35="","","× Chybí překlad ×")))</f>
        <v/>
      </c>
      <c r="C35" s="236" t="str">
        <f t="shared" si="0"/>
        <v xml:space="preserve">                                          </v>
      </c>
    </row>
    <row r="36" spans="1:3">
      <c r="A36" s="242" t="s">
        <v>6507</v>
      </c>
      <c r="B36" s="236" t="str">
        <f>IF('General price list'!$W$17=B35,A36,IFERROR(VLOOKUP(A36,Kategorie!C:AA,MATCH('General price list'!$W$17,Kategorie!$C$2:$AA$2,0),FALSE),IF(A36="","","× Chybí překlad ×")))</f>
        <v>Fliegen Artikel</v>
      </c>
      <c r="C36" s="236" t="str">
        <f t="shared" si="0"/>
        <v xml:space="preserve">                                          Fliegen Artikel</v>
      </c>
    </row>
    <row r="37" spans="1:3">
      <c r="A37" s="242" t="s">
        <v>24</v>
      </c>
      <c r="B37" s="236" t="str">
        <f>IF('General price list'!$W$17=B36,A37,IFERROR(VLOOKUP(A37,Kategorie!C:AA,MATCH('General price list'!$W$17,Kategorie!$C$2:$AA$2,0),FALSE),IF(A37="","","× Chybí překlad ×")))</f>
        <v/>
      </c>
      <c r="C37" s="236" t="str">
        <f t="shared" si="0"/>
        <v xml:space="preserve">                                          </v>
      </c>
    </row>
    <row r="38" spans="1:3">
      <c r="A38" s="242" t="s">
        <v>13492</v>
      </c>
      <c r="B38" s="236" t="str">
        <f>IF('General price list'!$W$17=B37,A38,IFERROR(VLOOKUP(A38,Kategorie!C:AA,MATCH('General price list'!$W$17,Kategorie!$C$2:$AA$2,0),FALSE),IF(A38="","","× Chybí překlad ×")))</f>
        <v>x</v>
      </c>
      <c r="C38" s="236" t="str">
        <f t="shared" si="0"/>
        <v>×</v>
      </c>
    </row>
    <row r="39" spans="1:3">
      <c r="A39" s="242" t="s">
        <v>24</v>
      </c>
      <c r="B39" s="236" t="str">
        <f>IF('General price list'!$W$17=B38,A39,IFERROR(VLOOKUP(A39,Kategorie!C:AA,MATCH('General price list'!$W$17,Kategorie!$C$2:$AA$2,0),FALSE),IF(A39="","","× Chybí překlad ×")))</f>
        <v/>
      </c>
      <c r="C39" s="236" t="str">
        <f t="shared" si="0"/>
        <v xml:space="preserve">                                          </v>
      </c>
    </row>
    <row r="40" spans="1:3">
      <c r="A40" s="242" t="s">
        <v>24</v>
      </c>
      <c r="B40" s="236" t="str">
        <f>IF('General price list'!$W$17=B39,A40,IFERROR(VLOOKUP(A40,Kategorie!C:AA,MATCH('General price list'!$W$17,Kategorie!$C$2:$AA$2,0),FALSE),IF(A40="","","× Chybí překlad ×")))</f>
        <v/>
      </c>
      <c r="C40" s="236" t="str">
        <f t="shared" si="0"/>
        <v xml:space="preserve">                                          </v>
      </c>
    </row>
    <row r="41" spans="1:3">
      <c r="A41" s="242" t="s">
        <v>24</v>
      </c>
      <c r="B41" s="236" t="str">
        <f>IF('General price list'!$W$17=B40,A41,IFERROR(VLOOKUP(A41,Kategorie!C:AA,MATCH('General price list'!$W$17,Kategorie!$C$2:$AA$2,0),FALSE),IF(A41="","","× Chybí překlad ×")))</f>
        <v/>
      </c>
      <c r="C41" s="236" t="str">
        <f t="shared" si="0"/>
        <v xml:space="preserve">                                          </v>
      </c>
    </row>
    <row r="42" spans="1:3">
      <c r="A42" s="242" t="s">
        <v>24</v>
      </c>
      <c r="B42" s="236" t="str">
        <f>IF('General price list'!$W$17=B41,A42,IFERROR(VLOOKUP(A42,Kategorie!C:AA,MATCH('General price list'!$W$17,Kategorie!$C$2:$AA$2,0),FALSE),IF(A42="","","× Chybí překlad ×")))</f>
        <v/>
      </c>
      <c r="C42" s="236" t="str">
        <f t="shared" si="0"/>
        <v xml:space="preserve">                                          </v>
      </c>
    </row>
    <row r="43" spans="1:3">
      <c r="A43" s="242" t="s">
        <v>24</v>
      </c>
      <c r="B43" s="236" t="str">
        <f>IF('General price list'!$W$17=B42,A43,IFERROR(VLOOKUP(A43,Kategorie!C:AA,MATCH('General price list'!$W$17,Kategorie!$C$2:$AA$2,0),FALSE),IF(A43="","","× Chybí překlad ×")))</f>
        <v/>
      </c>
      <c r="C43" s="236" t="str">
        <f t="shared" si="0"/>
        <v xml:space="preserve">                                          </v>
      </c>
    </row>
    <row r="44" spans="1:3">
      <c r="A44" s="242" t="s">
        <v>24</v>
      </c>
      <c r="B44" s="236" t="str">
        <f>IF('General price list'!$W$17=B43,A44,IFERROR(VLOOKUP(A44,Kategorie!C:AA,MATCH('General price list'!$W$17,Kategorie!$C$2:$AA$2,0),FALSE),IF(A44="","","× Chybí překlad ×")))</f>
        <v/>
      </c>
      <c r="C44" s="236" t="str">
        <f t="shared" si="0"/>
        <v xml:space="preserve">                                          </v>
      </c>
    </row>
    <row r="45" spans="1:3">
      <c r="A45" s="242" t="s">
        <v>24</v>
      </c>
      <c r="B45" s="236" t="str">
        <f>IF('General price list'!$W$17=B44,A45,IFERROR(VLOOKUP(A45,Kategorie!C:AA,MATCH('General price list'!$W$17,Kategorie!$C$2:$AA$2,0),FALSE),IF(A45="","","× Chybí překlad ×")))</f>
        <v/>
      </c>
      <c r="C45" s="236" t="str">
        <f t="shared" si="0"/>
        <v xml:space="preserve">                                          </v>
      </c>
    </row>
    <row r="46" spans="1:3">
      <c r="A46" s="242" t="s">
        <v>24</v>
      </c>
      <c r="B46" s="236" t="str">
        <f>IF('General price list'!$W$17=B45,A46,IFERROR(VLOOKUP(A46,Kategorie!C:AA,MATCH('General price list'!$W$17,Kategorie!$C$2:$AA$2,0),FALSE),IF(A46="","","× Chybí překlad ×")))</f>
        <v/>
      </c>
      <c r="C46" s="236" t="str">
        <f t="shared" si="0"/>
        <v xml:space="preserve">                                          </v>
      </c>
    </row>
    <row r="47" spans="1:3">
      <c r="A47" s="242" t="s">
        <v>6525</v>
      </c>
      <c r="B47" s="236" t="str">
        <f>IF('General price list'!$W$17=B46,A47,IFERROR(VLOOKUP(A47,Kategorie!C:AA,MATCH('General price list'!$W$17,Kategorie!$C$2:$AA$2,0),FALSE),IF(A47="","","× Chybí překlad ×")))</f>
        <v>Wunderkerzen exclusive</v>
      </c>
      <c r="C47" s="236" t="str">
        <f t="shared" si="0"/>
        <v xml:space="preserve">                                          Wunderkerzen exclusive</v>
      </c>
    </row>
    <row r="48" spans="1:3">
      <c r="A48" s="242" t="s">
        <v>24</v>
      </c>
      <c r="B48" s="236" t="str">
        <f>IF('General price list'!$W$17=B47,A48,IFERROR(VLOOKUP(A48,Kategorie!C:AA,MATCH('General price list'!$W$17,Kategorie!$C$2:$AA$2,0),FALSE),IF(A48="","","× Chybí překlad ×")))</f>
        <v/>
      </c>
      <c r="C48" s="236" t="str">
        <f t="shared" si="0"/>
        <v xml:space="preserve">                                          </v>
      </c>
    </row>
    <row r="49" spans="1:10">
      <c r="A49" s="242" t="s">
        <v>24</v>
      </c>
      <c r="B49" s="236" t="str">
        <f>IF('General price list'!$W$17=B48,A49,IFERROR(VLOOKUP(A49,Kategorie!C:AA,MATCH('General price list'!$W$17,Kategorie!$C$2:$AA$2,0),FALSE),IF(A49="","","× Chybí překlad ×")))</f>
        <v/>
      </c>
      <c r="C49" s="236" t="str">
        <f t="shared" si="0"/>
        <v xml:space="preserve">                                          </v>
      </c>
    </row>
    <row r="50" spans="1:10">
      <c r="A50" s="242" t="s">
        <v>24</v>
      </c>
      <c r="B50" s="236" t="str">
        <f>IF('General price list'!$W$17=B49,A50,IFERROR(VLOOKUP(A50,Kategorie!C:AA,MATCH('General price list'!$W$17,Kategorie!$C$2:$AA$2,0),FALSE),IF(A50="","","× Chybí překlad ×")))</f>
        <v/>
      </c>
      <c r="C50" s="236" t="str">
        <f t="shared" si="0"/>
        <v xml:space="preserve">                                          </v>
      </c>
    </row>
    <row r="51" spans="1:10" ht="15.75">
      <c r="A51" s="241" t="s">
        <v>6534</v>
      </c>
      <c r="B51" s="236" t="str">
        <f>IF('General price list'!$W$17=B50,A51,IFERROR(VLOOKUP(A51,Kategorie!C:AA,MATCH('General price list'!$W$17,Kategorie!$C$2:$AA$2,0),FALSE),IF(A51="","","× Chybí překlad ×")))</f>
        <v>Wunderkerzen</v>
      </c>
      <c r="C51" s="236" t="str">
        <f t="shared" si="0"/>
        <v xml:space="preserve">                                          Wunderkerzen</v>
      </c>
    </row>
    <row r="52" spans="1:10">
      <c r="A52" s="242" t="s">
        <v>24</v>
      </c>
      <c r="B52" s="236" t="str">
        <f>IF('General price list'!$W$17=B51,A52,IFERROR(VLOOKUP(A52,Kategorie!C:AA,MATCH('General price list'!$W$17,Kategorie!$C$2:$AA$2,0),FALSE),IF(A52="","","× Chybí překlad ×")))</f>
        <v/>
      </c>
      <c r="C52" s="236" t="str">
        <f t="shared" si="0"/>
        <v xml:space="preserve">                                          </v>
      </c>
    </row>
    <row r="53" spans="1:10">
      <c r="A53" s="242" t="s">
        <v>24</v>
      </c>
      <c r="B53" s="236" t="str">
        <f>IF('General price list'!$W$17=B52,A53,IFERROR(VLOOKUP(A53,Kategorie!C:AA,MATCH('General price list'!$W$17,Kategorie!$C$2:$AA$2,0),FALSE),IF(A53="","","× Chybí překlad ×")))</f>
        <v/>
      </c>
      <c r="C53" s="236" t="str">
        <f t="shared" si="0"/>
        <v xml:space="preserve">                                          </v>
      </c>
      <c r="J53" s="236" t="s">
        <v>6507</v>
      </c>
    </row>
    <row r="54" spans="1:10">
      <c r="A54" s="242" t="s">
        <v>24</v>
      </c>
      <c r="B54" s="236" t="str">
        <f>IF('General price list'!$W$17=B53,A54,IFERROR(VLOOKUP(A54,Kategorie!C:AA,MATCH('General price list'!$W$17,Kategorie!$C$2:$AA$2,0),FALSE),IF(A54="","","× Chybí překlad ×")))</f>
        <v/>
      </c>
      <c r="C54" s="236" t="str">
        <f t="shared" si="0"/>
        <v xml:space="preserve">                                          </v>
      </c>
    </row>
    <row r="55" spans="1:10">
      <c r="A55" s="242" t="s">
        <v>24</v>
      </c>
      <c r="B55" s="236" t="str">
        <f>IF('General price list'!$W$17=B54,A55,IFERROR(VLOOKUP(A55,Kategorie!C:AA,MATCH('General price list'!$W$17,Kategorie!$C$2:$AA$2,0),FALSE),IF(A55="","","× Chybí překlad ×")))</f>
        <v/>
      </c>
      <c r="C55" s="236" t="str">
        <f t="shared" si="0"/>
        <v xml:space="preserve">                                          </v>
      </c>
    </row>
    <row r="56" spans="1:10">
      <c r="A56" s="242" t="s">
        <v>24</v>
      </c>
      <c r="B56" s="236" t="str">
        <f>IF('General price list'!$W$17=B55,A56,IFERROR(VLOOKUP(A56,Kategorie!C:AA,MATCH('General price list'!$W$17,Kategorie!$C$2:$AA$2,0),FALSE),IF(A56="","","× Chybí překlad ×")))</f>
        <v/>
      </c>
      <c r="C56" s="236" t="str">
        <f t="shared" si="0"/>
        <v xml:space="preserve">                                          </v>
      </c>
    </row>
    <row r="57" spans="1:10">
      <c r="A57" s="242" t="s">
        <v>24</v>
      </c>
      <c r="B57" s="236" t="str">
        <f>IF('General price list'!$W$17=B56,A57,IFERROR(VLOOKUP(A57,Kategorie!C:AA,MATCH('General price list'!$W$17,Kategorie!$C$2:$AA$2,0),FALSE),IF(A57="","","× Chybí překlad ×")))</f>
        <v/>
      </c>
      <c r="C57" s="236" t="str">
        <f t="shared" si="0"/>
        <v xml:space="preserve">                                          </v>
      </c>
    </row>
    <row r="58" spans="1:10">
      <c r="A58" s="242" t="s">
        <v>24</v>
      </c>
      <c r="B58" s="236" t="str">
        <f>IF('General price list'!$W$17=B57,A58,IFERROR(VLOOKUP(A58,Kategorie!C:AA,MATCH('General price list'!$W$17,Kategorie!$C$2:$AA$2,0),FALSE),IF(A58="","","× Chybí překlad ×")))</f>
        <v/>
      </c>
      <c r="C58" s="236" t="str">
        <f t="shared" si="0"/>
        <v xml:space="preserve">                                          </v>
      </c>
    </row>
    <row r="59" spans="1:10">
      <c r="A59" s="242" t="s">
        <v>24</v>
      </c>
      <c r="B59" s="236" t="str">
        <f>IF('General price list'!$W$17=B58,A59,IFERROR(VLOOKUP(A59,Kategorie!C:AA,MATCH('General price list'!$W$17,Kategorie!$C$2:$AA$2,0),FALSE),IF(A59="","","× Chybí překlad ×")))</f>
        <v/>
      </c>
      <c r="C59" s="236" t="str">
        <f t="shared" si="0"/>
        <v xml:space="preserve">                                          </v>
      </c>
    </row>
    <row r="60" spans="1:10">
      <c r="A60" s="242" t="s">
        <v>13492</v>
      </c>
      <c r="B60" s="236" t="str">
        <f>IF('General price list'!$W$17=B59,A60,IFERROR(VLOOKUP(A60,Kategorie!C:AA,MATCH('General price list'!$W$17,Kategorie!$C$2:$AA$2,0),FALSE),IF(A60="","","× Chybí překlad ×")))</f>
        <v>x</v>
      </c>
      <c r="C60" s="236" t="str">
        <f t="shared" si="0"/>
        <v>×</v>
      </c>
    </row>
    <row r="61" spans="1:10">
      <c r="A61" s="242" t="s">
        <v>6542</v>
      </c>
      <c r="B61" s="236" t="str">
        <f>IF('General price list'!$W$17=B60,A61,IFERROR(VLOOKUP(A61,Kategorie!C:AA,MATCH('General price list'!$W$17,Kategorie!$C$2:$AA$2,0),FALSE),IF(A61="","","× Chybí překlad ×")))</f>
        <v>Wunderkerzen speziell</v>
      </c>
      <c r="C61" s="236" t="str">
        <f t="shared" si="0"/>
        <v xml:space="preserve">                                          Wunderkerzen speziell</v>
      </c>
    </row>
    <row r="62" spans="1:10" ht="15.75">
      <c r="A62" s="241" t="s">
        <v>24</v>
      </c>
      <c r="B62" s="236" t="str">
        <f>IF('General price list'!$W$17=B61,A62,IFERROR(VLOOKUP(A62,Kategorie!C:AA,MATCH('General price list'!$W$17,Kategorie!$C$2:$AA$2,0),FALSE),IF(A62="","","× Chybí překlad ×")))</f>
        <v/>
      </c>
      <c r="C62" s="236" t="str">
        <f t="shared" si="0"/>
        <v xml:space="preserve">                                          </v>
      </c>
    </row>
    <row r="63" spans="1:10">
      <c r="A63" s="242" t="s">
        <v>24</v>
      </c>
      <c r="B63" s="236" t="str">
        <f>IF('General price list'!$W$17=B62,A63,IFERROR(VLOOKUP(A63,Kategorie!C:AA,MATCH('General price list'!$W$17,Kategorie!$C$2:$AA$2,0),FALSE),IF(A63="","","× Chybí překlad ×")))</f>
        <v/>
      </c>
      <c r="C63" s="236" t="str">
        <f t="shared" si="0"/>
        <v xml:space="preserve">                                          </v>
      </c>
    </row>
    <row r="64" spans="1:10">
      <c r="A64" s="242" t="s">
        <v>13492</v>
      </c>
      <c r="B64" s="236" t="str">
        <f>IF('General price list'!$W$17=B63,A64,IFERROR(VLOOKUP(A64,Kategorie!C:AA,MATCH('General price list'!$W$17,Kategorie!$C$2:$AA$2,0),FALSE),IF(A64="","","× Chybí překlad ×")))</f>
        <v>x</v>
      </c>
      <c r="C64" s="236" t="str">
        <f t="shared" si="0"/>
        <v>×</v>
      </c>
    </row>
    <row r="65" spans="1:10">
      <c r="A65" s="242" t="s">
        <v>13492</v>
      </c>
      <c r="B65" s="236" t="str">
        <f>IF('General price list'!$W$17=B64,A65,IFERROR(VLOOKUP(A65,Kategorie!C:AA,MATCH('General price list'!$W$17,Kategorie!$C$2:$AA$2,0),FALSE),IF(A65="","","× Chybí překlad ×")))</f>
        <v>x</v>
      </c>
      <c r="C65" s="236" t="str">
        <f t="shared" si="0"/>
        <v>×</v>
      </c>
    </row>
    <row r="66" spans="1:10">
      <c r="A66" s="242" t="s">
        <v>13492</v>
      </c>
      <c r="B66" s="236" t="str">
        <f>IF('General price list'!$W$17=B65,A66,IFERROR(VLOOKUP(A66,Kategorie!C:AA,MATCH('General price list'!$W$17,Kategorie!$C$2:$AA$2,0),FALSE),IF(A66="","","× Chybí překlad ×")))</f>
        <v>x</v>
      </c>
      <c r="C66" s="236" t="str">
        <f t="shared" si="0"/>
        <v>×</v>
      </c>
    </row>
    <row r="67" spans="1:10">
      <c r="A67" s="242" t="s">
        <v>24</v>
      </c>
      <c r="B67" s="236" t="str">
        <f>IF('General price list'!$W$17=B66,A67,IFERROR(VLOOKUP(A67,Kategorie!C:AA,MATCH('General price list'!$W$17,Kategorie!$C$2:$AA$2,0),FALSE),IF(A67="","","× Chybí překlad ×")))</f>
        <v/>
      </c>
      <c r="C67" s="236" t="str">
        <f t="shared" si="0"/>
        <v xml:space="preserve">                                          </v>
      </c>
    </row>
    <row r="68" spans="1:10">
      <c r="A68" s="242" t="s">
        <v>24</v>
      </c>
      <c r="B68" s="236" t="str">
        <f>IF('General price list'!$W$17=B67,A68,IFERROR(VLOOKUP(A68,Kategorie!C:AA,MATCH('General price list'!$W$17,Kategorie!$C$2:$AA$2,0),FALSE),IF(A68="","","× Chybí překlad ×")))</f>
        <v/>
      </c>
      <c r="C68" s="236" t="str">
        <f t="shared" si="0"/>
        <v xml:space="preserve">                                          </v>
      </c>
      <c r="J68" s="236" t="s">
        <v>6516</v>
      </c>
    </row>
    <row r="69" spans="1:10">
      <c r="A69" s="242" t="s">
        <v>6551</v>
      </c>
      <c r="B69" s="236" t="str">
        <f>IF('General price list'!$W$17=B68,A69,IFERROR(VLOOKUP(A69,Kategorie!C:AA,MATCH('General price list'!$W$17,Kategorie!$C$2:$AA$2,0),FALSE),IF(A69="","","× Chybí překlad ×")))</f>
        <v>Rauchröhren</v>
      </c>
      <c r="C69" s="236" t="str">
        <f t="shared" si="0"/>
        <v xml:space="preserve">                                          Rauchröhren</v>
      </c>
    </row>
    <row r="70" spans="1:10">
      <c r="A70" s="242" t="s">
        <v>24</v>
      </c>
      <c r="B70" s="236" t="str">
        <f>IF('General price list'!$W$17=B69,A70,IFERROR(VLOOKUP(A70,Kategorie!C:AA,MATCH('General price list'!$W$17,Kategorie!$C$2:$AA$2,0),FALSE),IF(A70="","","× Chybí překlad ×")))</f>
        <v/>
      </c>
      <c r="C70" s="236" t="str">
        <f t="shared" si="0"/>
        <v xml:space="preserve">                                          </v>
      </c>
    </row>
    <row r="71" spans="1:10" ht="15.75">
      <c r="A71" s="241" t="s">
        <v>24</v>
      </c>
      <c r="B71" s="236" t="str">
        <f>IF('General price list'!$W$17=B70,A71,IFERROR(VLOOKUP(A71,Kategorie!C:AA,MATCH('General price list'!$W$17,Kategorie!$C$2:$AA$2,0),FALSE),IF(A71="","","× Chybí překlad ×")))</f>
        <v/>
      </c>
      <c r="C71" s="236" t="str">
        <f t="shared" si="0"/>
        <v xml:space="preserve">                                          </v>
      </c>
    </row>
    <row r="72" spans="1:10">
      <c r="A72" s="242" t="s">
        <v>24</v>
      </c>
      <c r="B72" s="236" t="str">
        <f>IF('General price list'!$W$17=B71,A72,IFERROR(VLOOKUP(A72,Kategorie!C:AA,MATCH('General price list'!$W$17,Kategorie!$C$2:$AA$2,0),FALSE),IF(A72="","","× Chybí překlad ×")))</f>
        <v/>
      </c>
      <c r="C72" s="236" t="str">
        <f t="shared" si="0"/>
        <v xml:space="preserve">                                          </v>
      </c>
    </row>
    <row r="73" spans="1:10">
      <c r="A73" s="242" t="s">
        <v>13492</v>
      </c>
      <c r="B73" s="236" t="str">
        <f>IF('General price list'!$W$17=B72,A73,IFERROR(VLOOKUP(A73,Kategorie!C:AA,MATCH('General price list'!$W$17,Kategorie!$C$2:$AA$2,0),FALSE),IF(A73="","","× Chybí překlad ×")))</f>
        <v>x</v>
      </c>
      <c r="C73" s="236" t="str">
        <f t="shared" si="0"/>
        <v>×</v>
      </c>
    </row>
    <row r="74" spans="1:10">
      <c r="A74" s="242" t="s">
        <v>13492</v>
      </c>
      <c r="B74" s="236" t="str">
        <f>IF('General price list'!$W$17=B73,A74,IFERROR(VLOOKUP(A74,Kategorie!C:AA,MATCH('General price list'!$W$17,Kategorie!$C$2:$AA$2,0),FALSE),IF(A74="","","× Chybí překlad ×")))</f>
        <v>x</v>
      </c>
      <c r="C74" s="236" t="str">
        <f t="shared" si="0"/>
        <v>×</v>
      </c>
    </row>
    <row r="75" spans="1:10" ht="15.75">
      <c r="A75" s="241" t="s">
        <v>24</v>
      </c>
      <c r="B75" s="236" t="str">
        <f>IF('General price list'!$W$17=B74,A75,IFERROR(VLOOKUP(A75,Kategorie!C:AA,MATCH('General price list'!$W$17,Kategorie!$C$2:$AA$2,0),FALSE),IF(A75="","","× Chybí překlad ×")))</f>
        <v/>
      </c>
      <c r="C75" s="236" t="str">
        <f t="shared" si="0"/>
        <v xml:space="preserve">                                          </v>
      </c>
    </row>
    <row r="76" spans="1:10">
      <c r="A76" s="242" t="s">
        <v>24</v>
      </c>
      <c r="B76" s="236" t="str">
        <f>IF('General price list'!$W$17=B75,A76,IFERROR(VLOOKUP(A76,Kategorie!C:AA,MATCH('General price list'!$W$17,Kategorie!$C$2:$AA$2,0),FALSE),IF(A76="","","× Chybí překlad ×")))</f>
        <v/>
      </c>
      <c r="C76" s="236" t="str">
        <f t="shared" si="0"/>
        <v xml:space="preserve">                                          </v>
      </c>
    </row>
    <row r="77" spans="1:10">
      <c r="A77" s="242" t="s">
        <v>13492</v>
      </c>
      <c r="B77" s="236" t="str">
        <f>IF('General price list'!$W$17=B76,A77,IFERROR(VLOOKUP(A77,Kategorie!C:AA,MATCH('General price list'!$W$17,Kategorie!$C$2:$AA$2,0),FALSE),IF(A77="","","× Chybí překlad ×")))</f>
        <v>x</v>
      </c>
      <c r="C77" s="236" t="str">
        <f t="shared" si="0"/>
        <v>×</v>
      </c>
    </row>
    <row r="78" spans="1:10">
      <c r="A78" s="242" t="s">
        <v>24</v>
      </c>
      <c r="B78" s="236" t="str">
        <f>IF('General price list'!$W$17=B77,A78,IFERROR(VLOOKUP(A78,Kategorie!C:AA,MATCH('General price list'!$W$17,Kategorie!$C$2:$AA$2,0),FALSE),IF(A78="","","× Chybí překlad ×")))</f>
        <v/>
      </c>
      <c r="C78" s="236" t="str">
        <f t="shared" si="0"/>
        <v xml:space="preserve">                                          </v>
      </c>
      <c r="J78" s="236" t="s">
        <v>6525</v>
      </c>
    </row>
    <row r="79" spans="1:10">
      <c r="A79" s="242" t="s">
        <v>13492</v>
      </c>
      <c r="B79" s="236" t="str">
        <f>IF('General price list'!$W$17=B78,A79,IFERROR(VLOOKUP(A79,Kategorie!C:AA,MATCH('General price list'!$W$17,Kategorie!$C$2:$AA$2,0),FALSE),IF(A79="","","× Chybí překlad ×")))</f>
        <v>x</v>
      </c>
      <c r="C79" s="236" t="str">
        <f t="shared" si="0"/>
        <v>×</v>
      </c>
    </row>
    <row r="80" spans="1:10">
      <c r="A80" s="242" t="s">
        <v>24</v>
      </c>
      <c r="B80" s="236" t="str">
        <f>IF('General price list'!$W$17=B79,A80,IFERROR(VLOOKUP(A80,Kategorie!C:AA,MATCH('General price list'!$W$17,Kategorie!$C$2:$AA$2,0),FALSE),IF(A80="","","× Chybí překlad ×")))</f>
        <v/>
      </c>
      <c r="C80" s="236" t="str">
        <f t="shared" si="0"/>
        <v xml:space="preserve">                                          </v>
      </c>
    </row>
    <row r="81" spans="1:10">
      <c r="A81" s="242" t="s">
        <v>24</v>
      </c>
      <c r="B81" s="236" t="str">
        <f>IF('General price list'!$W$17=B80,A81,IFERROR(VLOOKUP(A81,Kategorie!C:AA,MATCH('General price list'!$W$17,Kategorie!$C$2:$AA$2,0),FALSE),IF(A81="","","× Chybí překlad ×")))</f>
        <v/>
      </c>
      <c r="C81" s="236" t="str">
        <f t="shared" si="0"/>
        <v xml:space="preserve">                                          </v>
      </c>
    </row>
    <row r="82" spans="1:10">
      <c r="A82" s="242" t="s">
        <v>13492</v>
      </c>
      <c r="B82" s="236" t="str">
        <f>IF('General price list'!$W$17=B81,A82,IFERROR(VLOOKUP(A82,Kategorie!C:AA,MATCH('General price list'!$W$17,Kategorie!$C$2:$AA$2,0),FALSE),IF(A82="","","× Chybí překlad ×")))</f>
        <v>x</v>
      </c>
      <c r="C82" s="236" t="str">
        <f t="shared" si="0"/>
        <v>×</v>
      </c>
      <c r="J82" s="236" t="s">
        <v>6534</v>
      </c>
    </row>
    <row r="83" spans="1:10">
      <c r="A83" s="242" t="s">
        <v>24</v>
      </c>
      <c r="B83" s="236" t="str">
        <f>IF('General price list'!$W$17=B82,A83,IFERROR(VLOOKUP(A83,Kategorie!C:AA,MATCH('General price list'!$W$17,Kategorie!$C$2:$AA$2,0),FALSE),IF(A83="","","× Chybí překlad ×")))</f>
        <v/>
      </c>
      <c r="C83" s="236" t="str">
        <f t="shared" si="0"/>
        <v xml:space="preserve">                                          </v>
      </c>
    </row>
    <row r="84" spans="1:10">
      <c r="A84" s="242" t="s">
        <v>13492</v>
      </c>
      <c r="B84" s="236" t="str">
        <f>IF('General price list'!$W$17=B83,A84,IFERROR(VLOOKUP(A84,Kategorie!C:AA,MATCH('General price list'!$W$17,Kategorie!$C$2:$AA$2,0),FALSE),IF(A84="","","× Chybí překlad ×")))</f>
        <v>x</v>
      </c>
      <c r="C84" s="236" t="str">
        <f t="shared" si="0"/>
        <v>×</v>
      </c>
    </row>
    <row r="85" spans="1:10" ht="15.75">
      <c r="A85" s="243" t="s">
        <v>13492</v>
      </c>
      <c r="B85" s="236" t="str">
        <f>IF('General price list'!$W$17=B84,A85,IFERROR(VLOOKUP(A85,Kategorie!C:AA,MATCH('General price list'!$W$17,Kategorie!$C$2:$AA$2,0),FALSE),IF(A85="","","× Chybí překlad ×")))</f>
        <v>x</v>
      </c>
      <c r="C85" s="236" t="str">
        <f t="shared" si="0"/>
        <v>×</v>
      </c>
    </row>
    <row r="86" spans="1:10">
      <c r="A86" s="242" t="s">
        <v>13492</v>
      </c>
      <c r="B86" s="236" t="str">
        <f>IF('General price list'!$W$17=B85,A86,IFERROR(VLOOKUP(A86,Kategorie!C:AA,MATCH('General price list'!$W$17,Kategorie!$C$2:$AA$2,0),FALSE),IF(A86="","","× Chybí překlad ×")))</f>
        <v>x</v>
      </c>
      <c r="C86" s="236" t="str">
        <f t="shared" ref="C86:C149" si="1">IF(A86="x","×",$C$1&amp;B86)</f>
        <v>×</v>
      </c>
    </row>
    <row r="87" spans="1:10">
      <c r="A87" s="242" t="s">
        <v>24</v>
      </c>
      <c r="B87" s="236" t="str">
        <f>IF('General price list'!$W$17=B86,A87,IFERROR(VLOOKUP(A87,Kategorie!C:AA,MATCH('General price list'!$W$17,Kategorie!$C$2:$AA$2,0),FALSE),IF(A87="","","× Chybí překlad ×")))</f>
        <v/>
      </c>
      <c r="C87" s="236" t="str">
        <f t="shared" si="1"/>
        <v xml:space="preserve">                                          </v>
      </c>
    </row>
    <row r="88" spans="1:10">
      <c r="A88" s="242" t="s">
        <v>24</v>
      </c>
      <c r="B88" s="236" t="str">
        <f>IF('General price list'!$W$17=B87,A88,IFERROR(VLOOKUP(A88,Kategorie!C:AA,MATCH('General price list'!$W$17,Kategorie!$C$2:$AA$2,0),FALSE),IF(A88="","","× Chybí překlad ×")))</f>
        <v/>
      </c>
      <c r="C88" s="236" t="str">
        <f t="shared" si="1"/>
        <v xml:space="preserve">                                          </v>
      </c>
    </row>
    <row r="89" spans="1:10">
      <c r="A89" s="242" t="s">
        <v>24</v>
      </c>
      <c r="B89" s="236" t="str">
        <f>IF('General price list'!$W$17=B88,A89,IFERROR(VLOOKUP(A89,Kategorie!C:AA,MATCH('General price list'!$W$17,Kategorie!$C$2:$AA$2,0),FALSE),IF(A89="","","× Chybí překlad ×")))</f>
        <v/>
      </c>
      <c r="C89" s="236" t="str">
        <f t="shared" si="1"/>
        <v xml:space="preserve">                                          </v>
      </c>
    </row>
    <row r="90" spans="1:10">
      <c r="A90" s="242" t="s">
        <v>6569</v>
      </c>
      <c r="B90" s="236" t="str">
        <f>IF('General price list'!$W$17=B89,A90,IFERROR(VLOOKUP(A90,Kategorie!C:AA,MATCH('General price list'!$W$17,Kategorie!$C$2:$AA$2,0),FALSE),IF(A90="","","× Chybí překlad ×")))</f>
        <v>Rauchkörper mit Reibkopfzündung</v>
      </c>
      <c r="C90" s="236" t="str">
        <f t="shared" si="1"/>
        <v xml:space="preserve">                                          Rauchkörper mit Reibkopfzündung</v>
      </c>
    </row>
    <row r="91" spans="1:10">
      <c r="A91" s="242" t="s">
        <v>13492</v>
      </c>
      <c r="B91" s="236" t="str">
        <f>IF('General price list'!$W$17=B90,A91,IFERROR(VLOOKUP(A91,Kategorie!C:AA,MATCH('General price list'!$W$17,Kategorie!$C$2:$AA$2,0),FALSE),IF(A91="","","× Chybí překlad ×")))</f>
        <v>x</v>
      </c>
      <c r="C91" s="236" t="str">
        <f t="shared" si="1"/>
        <v>×</v>
      </c>
    </row>
    <row r="92" spans="1:10">
      <c r="A92" s="242" t="s">
        <v>13492</v>
      </c>
      <c r="B92" s="236" t="str">
        <f>IF('General price list'!$W$17=B91,A92,IFERROR(VLOOKUP(A92,Kategorie!C:AA,MATCH('General price list'!$W$17,Kategorie!$C$2:$AA$2,0),FALSE),IF(A92="","","× Chybí překlad ×")))</f>
        <v>x</v>
      </c>
      <c r="C92" s="236" t="str">
        <f t="shared" si="1"/>
        <v>×</v>
      </c>
      <c r="J92" s="236" t="s">
        <v>6542</v>
      </c>
    </row>
    <row r="93" spans="1:10">
      <c r="A93" s="242" t="s">
        <v>13492</v>
      </c>
      <c r="B93" s="236" t="str">
        <f>IF('General price list'!$W$17=B92,A93,IFERROR(VLOOKUP(A93,Kategorie!C:AA,MATCH('General price list'!$W$17,Kategorie!$C$2:$AA$2,0),FALSE),IF(A93="","","× Chybí překlad ×")))</f>
        <v>x</v>
      </c>
      <c r="C93" s="236" t="str">
        <f t="shared" si="1"/>
        <v>×</v>
      </c>
    </row>
    <row r="94" spans="1:10" ht="15.75">
      <c r="A94" s="243" t="s">
        <v>13492</v>
      </c>
      <c r="B94" s="236" t="str">
        <f>IF('General price list'!$W$17=B93,A94,IFERROR(VLOOKUP(A94,Kategorie!C:AA,MATCH('General price list'!$W$17,Kategorie!$C$2:$AA$2,0),FALSE),IF(A94="","","× Chybí překlad ×")))</f>
        <v>x</v>
      </c>
      <c r="C94" s="236" t="str">
        <f t="shared" si="1"/>
        <v>×</v>
      </c>
    </row>
    <row r="95" spans="1:10">
      <c r="A95" s="242" t="s">
        <v>13492</v>
      </c>
      <c r="B95" s="236" t="str">
        <f>IF('General price list'!$W$17=B94,A95,IFERROR(VLOOKUP(A95,Kategorie!C:AA,MATCH('General price list'!$W$17,Kategorie!$C$2:$AA$2,0),FALSE),IF(A95="","","× Chybí překlad ×")))</f>
        <v>x</v>
      </c>
      <c r="C95" s="236" t="str">
        <f t="shared" si="1"/>
        <v>×</v>
      </c>
    </row>
    <row r="96" spans="1:10">
      <c r="A96" s="242" t="s">
        <v>13492</v>
      </c>
      <c r="B96" s="236" t="str">
        <f>IF('General price list'!$W$17=B95,A96,IFERROR(VLOOKUP(A96,Kategorie!C:AA,MATCH('General price list'!$W$17,Kategorie!$C$2:$AA$2,0),FALSE),IF(A96="","","× Chybí překlad ×")))</f>
        <v>x</v>
      </c>
      <c r="C96" s="236" t="str">
        <f t="shared" si="1"/>
        <v>×</v>
      </c>
    </row>
    <row r="97" spans="1:10">
      <c r="A97" s="242" t="s">
        <v>13492</v>
      </c>
      <c r="B97" s="236" t="str">
        <f>IF('General price list'!$W$17=B96,A97,IFERROR(VLOOKUP(A97,Kategorie!C:AA,MATCH('General price list'!$W$17,Kategorie!$C$2:$AA$2,0),FALSE),IF(A97="","","× Chybí překlad ×")))</f>
        <v>x</v>
      </c>
      <c r="C97" s="236" t="str">
        <f t="shared" si="1"/>
        <v>×</v>
      </c>
    </row>
    <row r="98" spans="1:10">
      <c r="A98" s="242" t="s">
        <v>13492</v>
      </c>
      <c r="B98" s="236" t="str">
        <f>IF('General price list'!$W$17=B97,A98,IFERROR(VLOOKUP(A98,Kategorie!C:AA,MATCH('General price list'!$W$17,Kategorie!$C$2:$AA$2,0),FALSE),IF(A98="","","× Chybí překlad ×")))</f>
        <v>x</v>
      </c>
      <c r="C98" s="236" t="str">
        <f t="shared" si="1"/>
        <v>×</v>
      </c>
    </row>
    <row r="99" spans="1:10">
      <c r="A99" s="242" t="s">
        <v>6586</v>
      </c>
      <c r="B99" s="236" t="str">
        <f>IF('General price list'!$W$17=B98,A99,IFERROR(VLOOKUP(A99,Kategorie!C:AA,MATCH('General price list'!$W$17,Kategorie!$C$2:$AA$2,0),FALSE),IF(A99="","","× Chybí překlad ×")))</f>
        <v>Rauchfackeln</v>
      </c>
      <c r="C99" s="236" t="str">
        <f t="shared" si="1"/>
        <v xml:space="preserve">                                          Rauchfackeln</v>
      </c>
    </row>
    <row r="100" spans="1:10">
      <c r="A100" s="242" t="s">
        <v>24</v>
      </c>
      <c r="B100" s="236" t="str">
        <f>IF('General price list'!$W$17=B99,A100,IFERROR(VLOOKUP(A100,Kategorie!C:AA,MATCH('General price list'!$W$17,Kategorie!$C$2:$AA$2,0),FALSE),IF(A100="","","× Chybí překlad ×")))</f>
        <v/>
      </c>
      <c r="C100" s="236" t="str">
        <f t="shared" si="1"/>
        <v xml:space="preserve">                                          </v>
      </c>
    </row>
    <row r="101" spans="1:10">
      <c r="A101" s="242" t="s">
        <v>24</v>
      </c>
      <c r="B101" s="236" t="str">
        <f>IF('General price list'!$W$17=B100,A101,IFERROR(VLOOKUP(A101,Kategorie!C:AA,MATCH('General price list'!$W$17,Kategorie!$C$2:$AA$2,0),FALSE),IF(A101="","","× Chybí překlad ×")))</f>
        <v/>
      </c>
      <c r="C101" s="236" t="str">
        <f t="shared" si="1"/>
        <v xml:space="preserve">                                          </v>
      </c>
      <c r="J101" s="236" t="s">
        <v>6551</v>
      </c>
    </row>
    <row r="102" spans="1:10">
      <c r="A102" s="242" t="s">
        <v>24</v>
      </c>
      <c r="B102" s="236" t="str">
        <f>IF('General price list'!$W$17=B101,A102,IFERROR(VLOOKUP(A102,Kategorie!C:AA,MATCH('General price list'!$W$17,Kategorie!$C$2:$AA$2,0),FALSE),IF(A102="","","× Chybí překlad ×")))</f>
        <v/>
      </c>
      <c r="C102" s="236" t="str">
        <f t="shared" si="1"/>
        <v xml:space="preserve">                                          </v>
      </c>
    </row>
    <row r="103" spans="1:10">
      <c r="A103" s="242" t="s">
        <v>24</v>
      </c>
      <c r="B103" s="236" t="str">
        <f>IF('General price list'!$W$17=B102,A103,IFERROR(VLOOKUP(A103,Kategorie!C:AA,MATCH('General price list'!$W$17,Kategorie!$C$2:$AA$2,0),FALSE),IF(A103="","","× Chybí překlad ×")))</f>
        <v/>
      </c>
      <c r="C103" s="236" t="str">
        <f t="shared" si="1"/>
        <v xml:space="preserve">                                          </v>
      </c>
    </row>
    <row r="104" spans="1:10">
      <c r="A104" s="242" t="s">
        <v>24</v>
      </c>
      <c r="B104" s="236" t="str">
        <f>IF('General price list'!$W$17=B103,A104,IFERROR(VLOOKUP(A104,Kategorie!C:AA,MATCH('General price list'!$W$17,Kategorie!$C$2:$AA$2,0),FALSE),IF(A104="","","× Chybí překlad ×")))</f>
        <v/>
      </c>
      <c r="C104" s="236" t="str">
        <f t="shared" si="1"/>
        <v xml:space="preserve">                                          </v>
      </c>
    </row>
    <row r="105" spans="1:10">
      <c r="A105" s="242" t="s">
        <v>24</v>
      </c>
      <c r="B105" s="236" t="str">
        <f>IF('General price list'!$W$17=B104,A105,IFERROR(VLOOKUP(A105,Kategorie!C:AA,MATCH('General price list'!$W$17,Kategorie!$C$2:$AA$2,0),FALSE),IF(A105="","","× Chybí překlad ×")))</f>
        <v/>
      </c>
      <c r="C105" s="236" t="str">
        <f t="shared" si="1"/>
        <v xml:space="preserve">                                          </v>
      </c>
    </row>
    <row r="106" spans="1:10">
      <c r="A106" s="242" t="s">
        <v>24</v>
      </c>
      <c r="B106" s="236" t="str">
        <f>IF('General price list'!$W$17=B105,A106,IFERROR(VLOOKUP(A106,Kategorie!C:AA,MATCH('General price list'!$W$17,Kategorie!$C$2:$AA$2,0),FALSE),IF(A106="","","× Chybí překlad ×")))</f>
        <v/>
      </c>
      <c r="C106" s="236" t="str">
        <f t="shared" si="1"/>
        <v xml:space="preserve">                                          </v>
      </c>
    </row>
    <row r="107" spans="1:10">
      <c r="A107" s="242" t="s">
        <v>6595</v>
      </c>
      <c r="B107" s="236" t="str">
        <f>IF('General price list'!$W$17=B106,A107,IFERROR(VLOOKUP(A107,Kategorie!C:AA,MATCH('General price list'!$W$17,Kategorie!$C$2:$AA$2,0),FALSE),IF(A107="","","× Chybí překlad ×")))</f>
        <v>Fackeln</v>
      </c>
      <c r="C107" s="236" t="str">
        <f t="shared" si="1"/>
        <v xml:space="preserve">                                          Fackeln</v>
      </c>
    </row>
    <row r="108" spans="1:10">
      <c r="A108" s="242" t="s">
        <v>24</v>
      </c>
      <c r="B108" s="236" t="str">
        <f>IF('General price list'!$W$17=B107,A108,IFERROR(VLOOKUP(A108,Kategorie!C:AA,MATCH('General price list'!$W$17,Kategorie!$C$2:$AA$2,0),FALSE),IF(A108="","","× Chybí překlad ×")))</f>
        <v/>
      </c>
      <c r="C108" s="236" t="str">
        <f t="shared" si="1"/>
        <v xml:space="preserve">                                          </v>
      </c>
    </row>
    <row r="109" spans="1:10">
      <c r="A109" s="242" t="s">
        <v>24</v>
      </c>
      <c r="B109" s="236" t="str">
        <f>IF('General price list'!$W$17=B108,A109,IFERROR(VLOOKUP(A109,Kategorie!C:AA,MATCH('General price list'!$W$17,Kategorie!$C$2:$AA$2,0),FALSE),IF(A109="","","× Chybí překlad ×")))</f>
        <v/>
      </c>
      <c r="C109" s="236" t="str">
        <f t="shared" si="1"/>
        <v xml:space="preserve">                                          </v>
      </c>
    </row>
    <row r="110" spans="1:10">
      <c r="A110" s="242" t="s">
        <v>13492</v>
      </c>
      <c r="B110" s="236" t="str">
        <f>IF('General price list'!$W$17=B109,A110,IFERROR(VLOOKUP(A110,Kategorie!C:AA,MATCH('General price list'!$W$17,Kategorie!$C$2:$AA$2,0),FALSE),IF(A110="","","× Chybí překlad ×")))</f>
        <v>x</v>
      </c>
      <c r="C110" s="236" t="str">
        <f t="shared" si="1"/>
        <v>×</v>
      </c>
    </row>
    <row r="111" spans="1:10">
      <c r="A111" s="242" t="s">
        <v>13492</v>
      </c>
      <c r="B111" s="236" t="str">
        <f>IF('General price list'!$W$17=B110,A111,IFERROR(VLOOKUP(A111,Kategorie!C:AA,MATCH('General price list'!$W$17,Kategorie!$C$2:$AA$2,0),FALSE),IF(A111="","","× Chybí překlad ×")))</f>
        <v>x</v>
      </c>
      <c r="C111" s="236" t="str">
        <f t="shared" si="1"/>
        <v>×</v>
      </c>
    </row>
    <row r="112" spans="1:10">
      <c r="A112" s="242" t="s">
        <v>24</v>
      </c>
      <c r="B112" s="236" t="str">
        <f>IF('General price list'!$W$17=B111,A112,IFERROR(VLOOKUP(A112,Kategorie!C:AA,MATCH('General price list'!$W$17,Kategorie!$C$2:$AA$2,0),FALSE),IF(A112="","","× Chybí překlad ×")))</f>
        <v/>
      </c>
      <c r="C112" s="236" t="str">
        <f t="shared" si="1"/>
        <v xml:space="preserve">                                          </v>
      </c>
    </row>
    <row r="113" spans="1:10">
      <c r="A113" s="242" t="s">
        <v>24</v>
      </c>
      <c r="B113" s="236" t="str">
        <f>IF('General price list'!$W$17=B112,A113,IFERROR(VLOOKUP(A113,Kategorie!C:AA,MATCH('General price list'!$W$17,Kategorie!$C$2:$AA$2,0),FALSE),IF(A113="","","× Chybí překlad ×")))</f>
        <v/>
      </c>
      <c r="C113" s="236" t="str">
        <f t="shared" si="1"/>
        <v xml:space="preserve">                                          </v>
      </c>
    </row>
    <row r="114" spans="1:10">
      <c r="A114" s="242" t="s">
        <v>6604</v>
      </c>
      <c r="B114" s="236" t="str">
        <f>IF('General price list'!$W$17=B113,A114,IFERROR(VLOOKUP(A114,Kategorie!C:AA,MATCH('General price list'!$W$17,Kategorie!$C$2:$AA$2,0),FALSE),IF(A114="","","× Chybí překlad ×")))</f>
        <v>Stroboskope</v>
      </c>
      <c r="C114" s="236" t="str">
        <f t="shared" si="1"/>
        <v xml:space="preserve">                                          Stroboskope</v>
      </c>
    </row>
    <row r="115" spans="1:10" ht="15.75">
      <c r="A115" s="243" t="s">
        <v>24</v>
      </c>
      <c r="B115" s="236" t="str">
        <f>IF('General price list'!$W$17=B114,A115,IFERROR(VLOOKUP(A115,Kategorie!C:AA,MATCH('General price list'!$W$17,Kategorie!$C$2:$AA$2,0),FALSE),IF(A115="","","× Chybí překlad ×")))</f>
        <v/>
      </c>
      <c r="C115" s="236" t="str">
        <f t="shared" si="1"/>
        <v xml:space="preserve">                                          </v>
      </c>
    </row>
    <row r="116" spans="1:10">
      <c r="A116" s="242" t="s">
        <v>24</v>
      </c>
      <c r="B116" s="236" t="str">
        <f>IF('General price list'!$W$17=B115,A116,IFERROR(VLOOKUP(A116,Kategorie!C:AA,MATCH('General price list'!$W$17,Kategorie!$C$2:$AA$2,0),FALSE),IF(A116="","","× Chybí překlad ×")))</f>
        <v/>
      </c>
      <c r="C116" s="236" t="str">
        <f t="shared" si="1"/>
        <v xml:space="preserve">                                          </v>
      </c>
    </row>
    <row r="117" spans="1:10">
      <c r="A117" s="242" t="s">
        <v>6611</v>
      </c>
      <c r="B117" s="236" t="str">
        <f>IF('General price list'!$W$17=B116,A117,IFERROR(VLOOKUP(A117,Kategorie!C:AA,MATCH('General price list'!$W$17,Kategorie!$C$2:$AA$2,0),FALSE),IF(A117="","","× Chybí překlad ×")))</f>
        <v>Fontänen</v>
      </c>
      <c r="C117" s="236" t="str">
        <f t="shared" si="1"/>
        <v xml:space="preserve">                                          Fontänen</v>
      </c>
    </row>
    <row r="118" spans="1:10">
      <c r="A118" s="242" t="s">
        <v>24</v>
      </c>
      <c r="B118" s="236" t="str">
        <f>IF('General price list'!$W$17=B117,A118,IFERROR(VLOOKUP(A118,Kategorie!C:AA,MATCH('General price list'!$W$17,Kategorie!$C$2:$AA$2,0),FALSE),IF(A118="","","× Chybí překlad ×")))</f>
        <v/>
      </c>
      <c r="C118" s="236" t="str">
        <f t="shared" si="1"/>
        <v xml:space="preserve">                                          </v>
      </c>
    </row>
    <row r="119" spans="1:10">
      <c r="A119" s="242" t="s">
        <v>24</v>
      </c>
      <c r="B119" s="236" t="str">
        <f>IF('General price list'!$W$17=B118,A119,IFERROR(VLOOKUP(A119,Kategorie!C:AA,MATCH('General price list'!$W$17,Kategorie!$C$2:$AA$2,0),FALSE),IF(A119="","","× Chybí překlad ×")))</f>
        <v/>
      </c>
      <c r="C119" s="236" t="str">
        <f t="shared" si="1"/>
        <v xml:space="preserve">                                          </v>
      </c>
    </row>
    <row r="120" spans="1:10">
      <c r="A120" s="242" t="s">
        <v>24</v>
      </c>
      <c r="B120" s="236" t="str">
        <f>IF('General price list'!$W$17=B119,A120,IFERROR(VLOOKUP(A120,Kategorie!C:AA,MATCH('General price list'!$W$17,Kategorie!$C$2:$AA$2,0),FALSE),IF(A120="","","× Chybí překlad ×")))</f>
        <v/>
      </c>
      <c r="C120" s="236" t="str">
        <f t="shared" si="1"/>
        <v xml:space="preserve">                                          </v>
      </c>
    </row>
    <row r="121" spans="1:10">
      <c r="A121" s="242" t="s">
        <v>24</v>
      </c>
      <c r="B121" s="236" t="str">
        <f>IF('General price list'!$W$17=B120,A121,IFERROR(VLOOKUP(A121,Kategorie!C:AA,MATCH('General price list'!$W$17,Kategorie!$C$2:$AA$2,0),FALSE),IF(A121="","","× Chybí překlad ×")))</f>
        <v/>
      </c>
      <c r="C121" s="236" t="str">
        <f t="shared" si="1"/>
        <v xml:space="preserve">                                          </v>
      </c>
    </row>
    <row r="122" spans="1:10">
      <c r="A122" s="242" t="s">
        <v>24</v>
      </c>
      <c r="B122" s="236" t="str">
        <f>IF('General price list'!$W$17=B121,A122,IFERROR(VLOOKUP(A122,Kategorie!C:AA,MATCH('General price list'!$W$17,Kategorie!$C$2:$AA$2,0),FALSE),IF(A122="","","× Chybí překlad ×")))</f>
        <v/>
      </c>
      <c r="C122" s="236" t="str">
        <f t="shared" si="1"/>
        <v xml:space="preserve">                                          </v>
      </c>
    </row>
    <row r="123" spans="1:10">
      <c r="A123" s="242" t="s">
        <v>24</v>
      </c>
      <c r="B123" s="236" t="str">
        <f>IF('General price list'!$W$17=B122,A123,IFERROR(VLOOKUP(A123,Kategorie!C:AA,MATCH('General price list'!$W$17,Kategorie!$C$2:$AA$2,0),FALSE),IF(A123="","","× Chybí překlad ×")))</f>
        <v/>
      </c>
      <c r="C123" s="236" t="str">
        <f t="shared" si="1"/>
        <v xml:space="preserve">                                          </v>
      </c>
    </row>
    <row r="124" spans="1:10">
      <c r="A124" s="242" t="s">
        <v>24</v>
      </c>
      <c r="B124" s="236" t="str">
        <f>IF('General price list'!$W$17=B123,A124,IFERROR(VLOOKUP(A124,Kategorie!C:AA,MATCH('General price list'!$W$17,Kategorie!$C$2:$AA$2,0),FALSE),IF(A124="","","× Chybí překlad ×")))</f>
        <v/>
      </c>
      <c r="C124" s="236" t="str">
        <f t="shared" si="1"/>
        <v xml:space="preserve">                                          </v>
      </c>
      <c r="J124" s="236" t="s">
        <v>6560</v>
      </c>
    </row>
    <row r="125" spans="1:10">
      <c r="A125" s="242" t="s">
        <v>24</v>
      </c>
      <c r="B125" s="236" t="str">
        <f>IF('General price list'!$W$17=B124,A125,IFERROR(VLOOKUP(A125,Kategorie!C:AA,MATCH('General price list'!$W$17,Kategorie!$C$2:$AA$2,0),FALSE),IF(A125="","","× Chybí překlad ×")))</f>
        <v/>
      </c>
      <c r="C125" s="236" t="str">
        <f t="shared" si="1"/>
        <v xml:space="preserve">                                          </v>
      </c>
    </row>
    <row r="126" spans="1:10">
      <c r="A126" s="242" t="s">
        <v>24</v>
      </c>
      <c r="B126" s="236" t="str">
        <f>IF('General price list'!$W$17=B125,A126,IFERROR(VLOOKUP(A126,Kategorie!C:AA,MATCH('General price list'!$W$17,Kategorie!$C$2:$AA$2,0),FALSE),IF(A126="","","× Chybí překlad ×")))</f>
        <v/>
      </c>
      <c r="C126" s="236" t="str">
        <f t="shared" si="1"/>
        <v xml:space="preserve">                                          </v>
      </c>
    </row>
    <row r="127" spans="1:10">
      <c r="A127" s="242" t="s">
        <v>6619</v>
      </c>
      <c r="B127" s="236" t="str">
        <f>IF('General price list'!$W$17=B126,A127,IFERROR(VLOOKUP(A127,Kategorie!C:AA,MATCH('General price list'!$W$17,Kategorie!$C$2:$AA$2,0),FALSE),IF(A127="","","× Chybí překlad ×")))</f>
        <v>Vulkane</v>
      </c>
      <c r="C127" s="236" t="str">
        <f t="shared" si="1"/>
        <v xml:space="preserve">                                          Vulkane</v>
      </c>
    </row>
    <row r="128" spans="1:10">
      <c r="A128" s="242" t="s">
        <v>24</v>
      </c>
      <c r="B128" s="236" t="str">
        <f>IF('General price list'!$W$17=B127,A128,IFERROR(VLOOKUP(A128,Kategorie!C:AA,MATCH('General price list'!$W$17,Kategorie!$C$2:$AA$2,0),FALSE),IF(A128="","","× Chybí překlad ×")))</f>
        <v/>
      </c>
      <c r="C128" s="236" t="str">
        <f t="shared" si="1"/>
        <v xml:space="preserve">                                          </v>
      </c>
    </row>
    <row r="129" spans="1:10">
      <c r="A129" s="242" t="s">
        <v>24</v>
      </c>
      <c r="B129" s="236" t="str">
        <f>IF('General price list'!$W$17=B128,A129,IFERROR(VLOOKUP(A129,Kategorie!C:AA,MATCH('General price list'!$W$17,Kategorie!$C$2:$AA$2,0),FALSE),IF(A129="","","× Chybí překlad ×")))</f>
        <v/>
      </c>
      <c r="C129" s="236" t="str">
        <f t="shared" si="1"/>
        <v xml:space="preserve">                                          </v>
      </c>
    </row>
    <row r="130" spans="1:10">
      <c r="A130" s="242" t="s">
        <v>13492</v>
      </c>
      <c r="B130" s="236" t="str">
        <f>IF('General price list'!$W$17=B129,A130,IFERROR(VLOOKUP(A130,Kategorie!C:AA,MATCH('General price list'!$W$17,Kategorie!$C$2:$AA$2,0),FALSE),IF(A130="","","× Chybí překlad ×")))</f>
        <v>x</v>
      </c>
      <c r="C130" s="236" t="str">
        <f t="shared" si="1"/>
        <v>×</v>
      </c>
    </row>
    <row r="131" spans="1:10">
      <c r="A131" s="242" t="s">
        <v>24</v>
      </c>
      <c r="B131" s="236" t="str">
        <f>IF('General price list'!$W$17=B130,A131,IFERROR(VLOOKUP(A131,Kategorie!C:AA,MATCH('General price list'!$W$17,Kategorie!$C$2:$AA$2,0),FALSE),IF(A131="","","× Chybí překlad ×")))</f>
        <v/>
      </c>
      <c r="C131" s="236" t="str">
        <f t="shared" si="1"/>
        <v xml:space="preserve">                                          </v>
      </c>
    </row>
    <row r="132" spans="1:10">
      <c r="A132" s="242" t="s">
        <v>24</v>
      </c>
      <c r="B132" s="236" t="str">
        <f>IF('General price list'!$W$17=B131,A132,IFERROR(VLOOKUP(A132,Kategorie!C:AA,MATCH('General price list'!$W$17,Kategorie!$C$2:$AA$2,0),FALSE),IF(A132="","","× Chybí překlad ×")))</f>
        <v/>
      </c>
      <c r="C132" s="236" t="str">
        <f t="shared" si="1"/>
        <v xml:space="preserve">                                          </v>
      </c>
    </row>
    <row r="133" spans="1:10">
      <c r="A133" s="242" t="s">
        <v>24</v>
      </c>
      <c r="B133" s="236" t="str">
        <f>IF('General price list'!$W$17=B132,A133,IFERROR(VLOOKUP(A133,Kategorie!C:AA,MATCH('General price list'!$W$17,Kategorie!$C$2:$AA$2,0),FALSE),IF(A133="","","× Chybí překlad ×")))</f>
        <v/>
      </c>
      <c r="C133" s="236" t="str">
        <f t="shared" si="1"/>
        <v xml:space="preserve">                                          </v>
      </c>
    </row>
    <row r="134" spans="1:10">
      <c r="A134" s="242" t="s">
        <v>6627</v>
      </c>
      <c r="B134" s="236" t="str">
        <f>IF('General price list'!$W$17=B133,A134,IFERROR(VLOOKUP(A134,Kategorie!C:AA,MATCH('General price list'!$W$17,Kategorie!$C$2:$AA$2,0),FALSE),IF(A134="","","× Chybí překlad ×")))</f>
        <v>Interieur Fontänen</v>
      </c>
      <c r="C134" s="236" t="str">
        <f t="shared" si="1"/>
        <v xml:space="preserve">                                          Interieur Fontänen</v>
      </c>
    </row>
    <row r="135" spans="1:10">
      <c r="A135" s="242" t="s">
        <v>24</v>
      </c>
      <c r="B135" s="236" t="str">
        <f>IF('General price list'!$W$17=B134,A135,IFERROR(VLOOKUP(A135,Kategorie!C:AA,MATCH('General price list'!$W$17,Kategorie!$C$2:$AA$2,0),FALSE),IF(A135="","","× Chybí překlad ×")))</f>
        <v/>
      </c>
      <c r="C135" s="236" t="str">
        <f t="shared" si="1"/>
        <v xml:space="preserve">                                          </v>
      </c>
    </row>
    <row r="136" spans="1:10">
      <c r="A136" s="242" t="s">
        <v>24</v>
      </c>
      <c r="B136" s="236" t="str">
        <f>IF('General price list'!$W$17=B135,A136,IFERROR(VLOOKUP(A136,Kategorie!C:AA,MATCH('General price list'!$W$17,Kategorie!$C$2:$AA$2,0),FALSE),IF(A136="","","× Chybí překlad ×")))</f>
        <v/>
      </c>
      <c r="C136" s="236" t="str">
        <f t="shared" si="1"/>
        <v xml:space="preserve">                                          </v>
      </c>
    </row>
    <row r="137" spans="1:10" ht="15.75">
      <c r="A137" s="243" t="s">
        <v>24</v>
      </c>
      <c r="B137" s="236" t="str">
        <f>IF('General price list'!$W$17=B136,A137,IFERROR(VLOOKUP(A137,Kategorie!C:AA,MATCH('General price list'!$W$17,Kategorie!$C$2:$AA$2,0),FALSE),IF(A137="","","× Chybí překlad ×")))</f>
        <v/>
      </c>
      <c r="C137" s="236" t="str">
        <f t="shared" si="1"/>
        <v xml:space="preserve">                                          </v>
      </c>
    </row>
    <row r="138" spans="1:10">
      <c r="A138" s="242" t="s">
        <v>6644</v>
      </c>
      <c r="B138" s="236" t="str">
        <f>IF('General price list'!$W$17=B137,A138,IFERROR(VLOOKUP(A138,Kategorie!C:AA,MATCH('General price list'!$W$17,Kategorie!$C$2:$AA$2,0),FALSE),IF(A138="","","× Chybí překlad ×")))</f>
        <v>Römische Kerzen 7 mm</v>
      </c>
      <c r="C138" s="236" t="str">
        <f t="shared" si="1"/>
        <v xml:space="preserve">                                          Römische Kerzen 7 mm</v>
      </c>
    </row>
    <row r="139" spans="1:10">
      <c r="A139" s="242" t="s">
        <v>24</v>
      </c>
      <c r="B139" s="236" t="str">
        <f>IF('General price list'!$W$17=B138,A139,IFERROR(VLOOKUP(A139,Kategorie!C:AA,MATCH('General price list'!$W$17,Kategorie!$C$2:$AA$2,0),FALSE),IF(A139="","","× Chybí překlad ×")))</f>
        <v/>
      </c>
      <c r="C139" s="236" t="str">
        <f t="shared" si="1"/>
        <v xml:space="preserve">                                          </v>
      </c>
      <c r="J139" s="236" t="s">
        <v>6569</v>
      </c>
    </row>
    <row r="140" spans="1:10">
      <c r="A140" s="242" t="s">
        <v>24</v>
      </c>
      <c r="B140" s="236" t="str">
        <f>IF('General price list'!$W$17=B139,A140,IFERROR(VLOOKUP(A140,Kategorie!C:AA,MATCH('General price list'!$W$17,Kategorie!$C$2:$AA$2,0),FALSE),IF(A140="","","× Chybí překlad ×")))</f>
        <v/>
      </c>
      <c r="C140" s="236" t="str">
        <f t="shared" si="1"/>
        <v xml:space="preserve">                                          </v>
      </c>
    </row>
    <row r="141" spans="1:10">
      <c r="A141" s="242" t="s">
        <v>6653</v>
      </c>
      <c r="B141" s="236" t="str">
        <f>IF('General price list'!$W$17=B140,A141,IFERROR(VLOOKUP(A141,Kategorie!C:AA,MATCH('General price list'!$W$17,Kategorie!$C$2:$AA$2,0),FALSE),IF(A141="","","× Chybí překlad ×")))</f>
        <v>Römische Kerzen 10mm</v>
      </c>
      <c r="C141" s="236" t="str">
        <f t="shared" si="1"/>
        <v xml:space="preserve">                                          Römische Kerzen 10mm</v>
      </c>
    </row>
    <row r="142" spans="1:10">
      <c r="A142" s="242" t="s">
        <v>24</v>
      </c>
      <c r="B142" s="236" t="str">
        <f>IF('General price list'!$W$17=B141,A142,IFERROR(VLOOKUP(A142,Kategorie!C:AA,MATCH('General price list'!$W$17,Kategorie!$C$2:$AA$2,0),FALSE),IF(A142="","","× Chybí překlad ×")))</f>
        <v/>
      </c>
      <c r="C142" s="236" t="str">
        <f t="shared" si="1"/>
        <v xml:space="preserve">                                          </v>
      </c>
    </row>
    <row r="143" spans="1:10">
      <c r="A143" s="242" t="s">
        <v>24</v>
      </c>
      <c r="B143" s="236" t="str">
        <f>IF('General price list'!$W$17=B142,A143,IFERROR(VLOOKUP(A143,Kategorie!C:AA,MATCH('General price list'!$W$17,Kategorie!$C$2:$AA$2,0),FALSE),IF(A143="","","× Chybí překlad ×")))</f>
        <v/>
      </c>
      <c r="C143" s="236" t="str">
        <f t="shared" si="1"/>
        <v xml:space="preserve">                                          </v>
      </c>
    </row>
    <row r="144" spans="1:10">
      <c r="A144" s="242" t="s">
        <v>24</v>
      </c>
      <c r="B144" s="236" t="str">
        <f>IF('General price list'!$W$17=B143,A144,IFERROR(VLOOKUP(A144,Kategorie!C:AA,MATCH('General price list'!$W$17,Kategorie!$C$2:$AA$2,0),FALSE),IF(A144="","","× Chybí překlad ×")))</f>
        <v/>
      </c>
      <c r="C144" s="236" t="str">
        <f t="shared" si="1"/>
        <v xml:space="preserve">                                          </v>
      </c>
    </row>
    <row r="145" spans="1:10">
      <c r="A145" s="242" t="s">
        <v>24</v>
      </c>
      <c r="B145" s="236" t="str">
        <f>IF('General price list'!$W$17=B144,A145,IFERROR(VLOOKUP(A145,Kategorie!C:AA,MATCH('General price list'!$W$17,Kategorie!$C$2:$AA$2,0),FALSE),IF(A145="","","× Chybí překlad ×")))</f>
        <v/>
      </c>
      <c r="C145" s="236" t="str">
        <f t="shared" si="1"/>
        <v xml:space="preserve">                                          </v>
      </c>
    </row>
    <row r="146" spans="1:10">
      <c r="A146" s="242" t="s">
        <v>24</v>
      </c>
      <c r="B146" s="236" t="str">
        <f>IF('General price list'!$W$17=B145,A146,IFERROR(VLOOKUP(A146,Kategorie!C:AA,MATCH('General price list'!$W$17,Kategorie!$C$2:$AA$2,0),FALSE),IF(A146="","","× Chybí překlad ×")))</f>
        <v/>
      </c>
      <c r="C146" s="236" t="str">
        <f t="shared" si="1"/>
        <v xml:space="preserve">                                          </v>
      </c>
    </row>
    <row r="147" spans="1:10">
      <c r="A147" s="242" t="s">
        <v>24</v>
      </c>
      <c r="B147" s="236" t="str">
        <f>IF('General price list'!$W$17=B146,A147,IFERROR(VLOOKUP(A147,Kategorie!C:AA,MATCH('General price list'!$W$17,Kategorie!$C$2:$AA$2,0),FALSE),IF(A147="","","× Chybí překlad ×")))</f>
        <v/>
      </c>
      <c r="C147" s="236" t="str">
        <f t="shared" si="1"/>
        <v xml:space="preserve">                                          </v>
      </c>
    </row>
    <row r="148" spans="1:10">
      <c r="A148" s="242" t="s">
        <v>24</v>
      </c>
      <c r="B148" s="236" t="str">
        <f>IF('General price list'!$W$17=B147,A148,IFERROR(VLOOKUP(A148,Kategorie!C:AA,MATCH('General price list'!$W$17,Kategorie!$C$2:$AA$2,0),FALSE),IF(A148="","","× Chybí překlad ×")))</f>
        <v/>
      </c>
      <c r="C148" s="236" t="str">
        <f t="shared" si="1"/>
        <v xml:space="preserve">                                          </v>
      </c>
      <c r="J148" s="236" t="s">
        <v>6577</v>
      </c>
    </row>
    <row r="149" spans="1:10">
      <c r="A149" s="242" t="s">
        <v>6662</v>
      </c>
      <c r="B149" s="236" t="str">
        <f>IF('General price list'!$W$17=B148,A149,IFERROR(VLOOKUP(A149,Kategorie!C:AA,MATCH('General price list'!$W$17,Kategorie!$C$2:$AA$2,0),FALSE),IF(A149="","","× Chybí překlad ×")))</f>
        <v>Römische Kerzen 20mm</v>
      </c>
      <c r="C149" s="236" t="str">
        <f t="shared" si="1"/>
        <v xml:space="preserve">                                          Römische Kerzen 20mm</v>
      </c>
    </row>
    <row r="150" spans="1:10" ht="15.75">
      <c r="A150" s="243" t="s">
        <v>24</v>
      </c>
      <c r="B150" s="236" t="str">
        <f>IF('General price list'!$W$17=B149,A150,IFERROR(VLOOKUP(A150,Kategorie!C:AA,MATCH('General price list'!$W$17,Kategorie!$C$2:$AA$2,0),FALSE),IF(A150="","","× Chybí překlad ×")))</f>
        <v/>
      </c>
      <c r="C150" s="236" t="str">
        <f t="shared" ref="C150:C213" si="2">IF(A150="x","×",$C$1&amp;B150)</f>
        <v xml:space="preserve">                                          </v>
      </c>
    </row>
    <row r="151" spans="1:10">
      <c r="A151" s="242" t="s">
        <v>6680</v>
      </c>
      <c r="B151" s="236" t="str">
        <f>IF('General price list'!$W$17=B150,A151,IFERROR(VLOOKUP(A151,Kategorie!C:AA,MATCH('General price list'!$W$17,Kategorie!$C$2:$AA$2,0),FALSE),IF(A151="","","× Chybí překlad ×")))</f>
        <v>Batterien der römischen Kerzen</v>
      </c>
      <c r="C151" s="236" t="str">
        <f t="shared" si="2"/>
        <v xml:space="preserve">                                          Batterien der römischen Kerzen</v>
      </c>
    </row>
    <row r="152" spans="1:10">
      <c r="A152" s="242" t="s">
        <v>24</v>
      </c>
      <c r="B152" s="236" t="str">
        <f>IF('General price list'!$W$17=B151,A152,IFERROR(VLOOKUP(A152,Kategorie!C:AA,MATCH('General price list'!$W$17,Kategorie!$C$2:$AA$2,0),FALSE),IF(A152="","","× Chybí překlad ×")))</f>
        <v/>
      </c>
      <c r="C152" s="236" t="str">
        <f t="shared" si="2"/>
        <v xml:space="preserve">                                          </v>
      </c>
    </row>
    <row r="153" spans="1:10">
      <c r="A153" s="242" t="s">
        <v>6689</v>
      </c>
      <c r="B153" s="236" t="str">
        <f>IF('General price list'!$W$17=B152,A153,IFERROR(VLOOKUP(A153,Kategorie!C:AA,MATCH('General price list'!$W$17,Kategorie!$C$2:$AA$2,0),FALSE),IF(A153="","","× Chybí překlad ×")))</f>
        <v>Schießröhre F2</v>
      </c>
      <c r="C153" s="236" t="str">
        <f t="shared" si="2"/>
        <v xml:space="preserve">                                          Schießröhre F2</v>
      </c>
    </row>
    <row r="154" spans="1:10">
      <c r="A154" s="242" t="s">
        <v>24</v>
      </c>
      <c r="B154" s="236" t="str">
        <f>IF('General price list'!$W$17=B153,A154,IFERROR(VLOOKUP(A154,Kategorie!C:AA,MATCH('General price list'!$W$17,Kategorie!$C$2:$AA$2,0),FALSE),IF(A154="","","× Chybí překlad ×")))</f>
        <v/>
      </c>
      <c r="C154" s="236" t="str">
        <f t="shared" si="2"/>
        <v xml:space="preserve">                                          </v>
      </c>
    </row>
    <row r="155" spans="1:10">
      <c r="A155" s="242" t="s">
        <v>24</v>
      </c>
      <c r="B155" s="236" t="str">
        <f>IF('General price list'!$W$17=B154,A155,IFERROR(VLOOKUP(A155,Kategorie!C:AA,MATCH('General price list'!$W$17,Kategorie!$C$2:$AA$2,0),FALSE),IF(A155="","","× Chybí překlad ×")))</f>
        <v/>
      </c>
      <c r="C155" s="236" t="str">
        <f t="shared" si="2"/>
        <v xml:space="preserve">                                          </v>
      </c>
    </row>
    <row r="156" spans="1:10">
      <c r="A156" s="242" t="s">
        <v>24</v>
      </c>
      <c r="B156" s="236" t="str">
        <f>IF('General price list'!$W$17=B155,A156,IFERROR(VLOOKUP(A156,Kategorie!C:AA,MATCH('General price list'!$W$17,Kategorie!$C$2:$AA$2,0),FALSE),IF(A156="","","× Chybí překlad ×")))</f>
        <v/>
      </c>
      <c r="C156" s="236" t="str">
        <f t="shared" si="2"/>
        <v xml:space="preserve">                                          </v>
      </c>
    </row>
    <row r="157" spans="1:10">
      <c r="A157" s="242" t="s">
        <v>6698</v>
      </c>
      <c r="B157" s="236" t="str">
        <f>IF('General price list'!$W$17=B156,A157,IFERROR(VLOOKUP(A157,Kategorie!C:AA,MATCH('General price list'!$W$17,Kategorie!$C$2:$AA$2,0),FALSE),IF(A157="","","× Chybí překlad ×")))</f>
        <v>Schießröhre 3 schuss, 20mm Mörser</v>
      </c>
      <c r="C157" s="236" t="str">
        <f t="shared" si="2"/>
        <v xml:space="preserve">                                          Schießröhre 3 schuss, 20mm Mörser</v>
      </c>
    </row>
    <row r="158" spans="1:10">
      <c r="A158" s="242" t="s">
        <v>24</v>
      </c>
      <c r="B158" s="236" t="str">
        <f>IF('General price list'!$W$17=B157,A158,IFERROR(VLOOKUP(A158,Kategorie!C:AA,MATCH('General price list'!$W$17,Kategorie!$C$2:$AA$2,0),FALSE),IF(A158="","","× Chybí překlad ×")))</f>
        <v/>
      </c>
      <c r="C158" s="236" t="str">
        <f t="shared" si="2"/>
        <v xml:space="preserve">                                          </v>
      </c>
    </row>
    <row r="159" spans="1:10">
      <c r="A159" s="242" t="s">
        <v>6707</v>
      </c>
      <c r="B159" s="236" t="str">
        <f>IF('General price list'!$W$17=B158,A159,IFERROR(VLOOKUP(A159,Kategorie!C:AA,MATCH('General price list'!$W$17,Kategorie!$C$2:$AA$2,0),FALSE),IF(A159="","","× Chybí překlad ×")))</f>
        <v>Schießröhre 3 schuss, 30mm Mörser</v>
      </c>
      <c r="C159" s="236" t="str">
        <f t="shared" si="2"/>
        <v xml:space="preserve">                                          Schießröhre 3 schuss, 30mm Mörser</v>
      </c>
    </row>
    <row r="160" spans="1:10">
      <c r="A160" s="242" t="s">
        <v>24</v>
      </c>
      <c r="B160" s="236" t="str">
        <f>IF('General price list'!$W$17=B159,A160,IFERROR(VLOOKUP(A160,Kategorie!C:AA,MATCH('General price list'!$W$17,Kategorie!$C$2:$AA$2,0),FALSE),IF(A160="","","× Chybí překlad ×")))</f>
        <v/>
      </c>
      <c r="C160" s="236" t="str">
        <f t="shared" si="2"/>
        <v xml:space="preserve">                                          </v>
      </c>
    </row>
    <row r="161" spans="1:10">
      <c r="A161" s="242" t="s">
        <v>6752</v>
      </c>
      <c r="B161" s="236" t="str">
        <f>IF('General price list'!$W$17=B160,A161,IFERROR(VLOOKUP(A161,Kategorie!C:AA,MATCH('General price list'!$W$17,Kategorie!$C$2:$AA$2,0),FALSE),IF(A161="","","× Chybí překlad ×")))</f>
        <v>Reibkopfknaller</v>
      </c>
      <c r="C161" s="236" t="str">
        <f t="shared" si="2"/>
        <v xml:space="preserve">                                          Reibkopfknaller</v>
      </c>
      <c r="J161" s="236" t="s">
        <v>6586</v>
      </c>
    </row>
    <row r="162" spans="1:10">
      <c r="A162" s="242" t="s">
        <v>24</v>
      </c>
      <c r="B162" s="236" t="str">
        <f>IF('General price list'!$W$17=B161,A162,IFERROR(VLOOKUP(A162,Kategorie!C:AA,MATCH('General price list'!$W$17,Kategorie!$C$2:$AA$2,0),FALSE),IF(A162="","","× Chybí překlad ×")))</f>
        <v/>
      </c>
      <c r="C162" s="236" t="str">
        <f t="shared" si="2"/>
        <v xml:space="preserve">                                          </v>
      </c>
    </row>
    <row r="163" spans="1:10">
      <c r="A163" s="242" t="s">
        <v>6761</v>
      </c>
      <c r="B163" s="236" t="str">
        <f>IF('General price list'!$W$17=B162,A163,IFERROR(VLOOKUP(A163,Kategorie!C:AA,MATCH('General price list'!$W$17,Kategorie!$C$2:$AA$2,0),FALSE),IF(A163="","","× Chybí překlad ×")))</f>
        <v>Knallkörper mit der Zündschnur F2</v>
      </c>
      <c r="C163" s="236" t="str">
        <f t="shared" si="2"/>
        <v xml:space="preserve">                                          Knallkörper mit der Zündschnur F2</v>
      </c>
    </row>
    <row r="164" spans="1:10">
      <c r="A164" s="242" t="s">
        <v>24</v>
      </c>
      <c r="B164" s="236" t="str">
        <f>IF('General price list'!$W$17=B163,A164,IFERROR(VLOOKUP(A164,Kategorie!C:AA,MATCH('General price list'!$W$17,Kategorie!$C$2:$AA$2,0),FALSE),IF(A164="","","× Chybí překlad ×")))</f>
        <v/>
      </c>
      <c r="C164" s="236" t="str">
        <f t="shared" si="2"/>
        <v xml:space="preserve">                                          </v>
      </c>
    </row>
    <row r="165" spans="1:10" ht="15.75">
      <c r="A165" s="243" t="s">
        <v>6770</v>
      </c>
      <c r="B165" s="236" t="str">
        <f>IF('General price list'!$W$17=B164,A165,IFERROR(VLOOKUP(A165,Kategorie!C:AA,MATCH('General price list'!$W$17,Kategorie!$C$2:$AA$2,0),FALSE),IF(A165="","","× Chybí překlad ×")))</f>
        <v>Knallkörper mit der Zündschnur F3</v>
      </c>
      <c r="C165" s="236" t="str">
        <f t="shared" si="2"/>
        <v xml:space="preserve">                                          Knallkörper mit der Zündschnur F3</v>
      </c>
    </row>
    <row r="166" spans="1:10">
      <c r="A166" s="242" t="s">
        <v>24</v>
      </c>
      <c r="B166" s="236" t="str">
        <f>IF('General price list'!$W$17=B165,A166,IFERROR(VLOOKUP(A166,Kategorie!C:AA,MATCH('General price list'!$W$17,Kategorie!$C$2:$AA$2,0),FALSE),IF(A166="","","× Chybí překlad ×")))</f>
        <v/>
      </c>
      <c r="C166" s="236" t="str">
        <f t="shared" si="2"/>
        <v xml:space="preserve">                                          </v>
      </c>
    </row>
    <row r="167" spans="1:10">
      <c r="A167" s="242" t="s">
        <v>24</v>
      </c>
      <c r="B167" s="236" t="str">
        <f>IF('General price list'!$W$17=B166,A167,IFERROR(VLOOKUP(A167,Kategorie!C:AA,MATCH('General price list'!$W$17,Kategorie!$C$2:$AA$2,0),FALSE),IF(A167="","","× Chybí překlad ×")))</f>
        <v/>
      </c>
      <c r="C167" s="236" t="str">
        <f t="shared" si="2"/>
        <v xml:space="preserve">                                          </v>
      </c>
    </row>
    <row r="168" spans="1:10">
      <c r="A168" s="242" t="s">
        <v>24</v>
      </c>
      <c r="B168" s="236" t="str">
        <f>IF('General price list'!$W$17=B167,A168,IFERROR(VLOOKUP(A168,Kategorie!C:AA,MATCH('General price list'!$W$17,Kategorie!$C$2:$AA$2,0),FALSE),IF(A168="","","× Chybí překlad ×")))</f>
        <v/>
      </c>
      <c r="C168" s="236" t="str">
        <f t="shared" si="2"/>
        <v xml:space="preserve">                                          </v>
      </c>
    </row>
    <row r="169" spans="1:10">
      <c r="A169" s="242" t="s">
        <v>24</v>
      </c>
      <c r="B169" s="236" t="str">
        <f>IF('General price list'!$W$17=B168,A169,IFERROR(VLOOKUP(A169,Kategorie!C:AA,MATCH('General price list'!$W$17,Kategorie!$C$2:$AA$2,0),FALSE),IF(A169="","","× Chybí překlad ×")))</f>
        <v/>
      </c>
      <c r="C169" s="236" t="str">
        <f t="shared" si="2"/>
        <v xml:space="preserve">                                          </v>
      </c>
    </row>
    <row r="170" spans="1:10">
      <c r="A170" s="242" t="s">
        <v>13492</v>
      </c>
      <c r="B170" s="236" t="str">
        <f>IF('General price list'!$W$17=B169,A170,IFERROR(VLOOKUP(A170,Kategorie!C:AA,MATCH('General price list'!$W$17,Kategorie!$C$2:$AA$2,0),FALSE),IF(A170="","","× Chybí překlad ×")))</f>
        <v>x</v>
      </c>
      <c r="C170" s="236" t="str">
        <f t="shared" si="2"/>
        <v>×</v>
      </c>
    </row>
    <row r="171" spans="1:10">
      <c r="A171" s="242" t="s">
        <v>6797</v>
      </c>
      <c r="B171" s="236" t="str">
        <f>IF('General price list'!$W$17=B170,A171,IFERROR(VLOOKUP(A171,Kategorie!C:AA,MATCH('General price list'!$W$17,Kategorie!$C$2:$AA$2,0),FALSE),IF(A171="","","× Chybí překlad ×")))</f>
        <v>Batterien der Knallkörper</v>
      </c>
      <c r="C171" s="236" t="str">
        <f t="shared" si="2"/>
        <v xml:space="preserve">                                          Batterien der Knallkörper</v>
      </c>
    </row>
    <row r="172" spans="1:10">
      <c r="A172" s="242" t="s">
        <v>24</v>
      </c>
      <c r="B172" s="236" t="str">
        <f>IF('General price list'!$W$17=B171,A172,IFERROR(VLOOKUP(A172,Kategorie!C:AA,MATCH('General price list'!$W$17,Kategorie!$C$2:$AA$2,0),FALSE),IF(A172="","","× Chybí překlad ×")))</f>
        <v/>
      </c>
      <c r="C172" s="236" t="str">
        <f t="shared" si="2"/>
        <v xml:space="preserve">                                          </v>
      </c>
    </row>
    <row r="173" spans="1:10">
      <c r="A173" s="242" t="s">
        <v>13492</v>
      </c>
      <c r="B173" s="236" t="str">
        <f>IF('General price list'!$W$17=B172,A173,IFERROR(VLOOKUP(A173,Kategorie!C:AA,MATCH('General price list'!$W$17,Kategorie!$C$2:$AA$2,0),FALSE),IF(A173="","","× Chybí překlad ×")))</f>
        <v>x</v>
      </c>
      <c r="C173" s="236" t="str">
        <f t="shared" si="2"/>
        <v>×</v>
      </c>
    </row>
    <row r="174" spans="1:10">
      <c r="A174" s="242" t="s">
        <v>6806</v>
      </c>
      <c r="B174" s="236" t="str">
        <f>IF('General price list'!$W$17=B173,A174,IFERROR(VLOOKUP(A174,Kategorie!C:AA,MATCH('General price list'!$W$17,Kategorie!$C$2:$AA$2,0),FALSE),IF(A174="","","× Chybí překlad ×")))</f>
        <v>Raketensets F2-1.4G</v>
      </c>
      <c r="C174" s="236" t="str">
        <f t="shared" si="2"/>
        <v xml:space="preserve">                                          Raketensets F2-1.4G</v>
      </c>
    </row>
    <row r="175" spans="1:10">
      <c r="A175" s="242" t="s">
        <v>24</v>
      </c>
      <c r="B175" s="236" t="str">
        <f>IF('General price list'!$W$17=B174,A175,IFERROR(VLOOKUP(A175,Kategorie!C:AA,MATCH('General price list'!$W$17,Kategorie!$C$2:$AA$2,0),FALSE),IF(A175="","","× Chybí překlad ×")))</f>
        <v/>
      </c>
      <c r="C175" s="236" t="str">
        <f t="shared" si="2"/>
        <v xml:space="preserve">                                          </v>
      </c>
    </row>
    <row r="176" spans="1:10">
      <c r="A176" s="242" t="s">
        <v>24</v>
      </c>
      <c r="B176" s="236" t="str">
        <f>IF('General price list'!$W$17=B175,A176,IFERROR(VLOOKUP(A176,Kategorie!C:AA,MATCH('General price list'!$W$17,Kategorie!$C$2:$AA$2,0),FALSE),IF(A176="","","× Chybí překlad ×")))</f>
        <v/>
      </c>
      <c r="C176" s="236" t="str">
        <f t="shared" si="2"/>
        <v xml:space="preserve">                                          </v>
      </c>
      <c r="J176" s="236" t="s">
        <v>6595</v>
      </c>
    </row>
    <row r="177" spans="1:10">
      <c r="A177" s="242" t="s">
        <v>24</v>
      </c>
      <c r="B177" s="236" t="str">
        <f>IF('General price list'!$W$17=B176,A177,IFERROR(VLOOKUP(A177,Kategorie!C:AA,MATCH('General price list'!$W$17,Kategorie!$C$2:$AA$2,0),FALSE),IF(A177="","","× Chybí překlad ×")))</f>
        <v/>
      </c>
      <c r="C177" s="236" t="str">
        <f t="shared" si="2"/>
        <v xml:space="preserve">                                          </v>
      </c>
    </row>
    <row r="178" spans="1:10">
      <c r="A178" s="242" t="s">
        <v>24</v>
      </c>
      <c r="B178" s="236" t="str">
        <f>IF('General price list'!$W$17=B177,A178,IFERROR(VLOOKUP(A178,Kategorie!C:AA,MATCH('General price list'!$W$17,Kategorie!$C$2:$AA$2,0),FALSE),IF(A178="","","× Chybí překlad ×")))</f>
        <v/>
      </c>
      <c r="C178" s="236" t="str">
        <f t="shared" si="2"/>
        <v xml:space="preserve">                                          </v>
      </c>
    </row>
    <row r="179" spans="1:10">
      <c r="A179" s="242" t="s">
        <v>13492</v>
      </c>
      <c r="B179" s="236" t="str">
        <f>IF('General price list'!$W$17=B178,A179,IFERROR(VLOOKUP(A179,Kategorie!C:AA,MATCH('General price list'!$W$17,Kategorie!$C$2:$AA$2,0),FALSE),IF(A179="","","× Chybí překlad ×")))</f>
        <v>x</v>
      </c>
      <c r="C179" s="236" t="str">
        <f t="shared" si="2"/>
        <v>×</v>
      </c>
    </row>
    <row r="180" spans="1:10">
      <c r="A180" s="242" t="s">
        <v>24</v>
      </c>
      <c r="B180" s="236" t="str">
        <f>IF('General price list'!$W$17=B179,A180,IFERROR(VLOOKUP(A180,Kategorie!C:AA,MATCH('General price list'!$W$17,Kategorie!$C$2:$AA$2,0),FALSE),IF(A180="","","× Chybí překlad ×")))</f>
        <v/>
      </c>
      <c r="C180" s="236" t="str">
        <f t="shared" si="2"/>
        <v xml:space="preserve">                                          </v>
      </c>
    </row>
    <row r="181" spans="1:10">
      <c r="A181" s="242" t="s">
        <v>6824</v>
      </c>
      <c r="B181" s="236" t="str">
        <f>IF('General price list'!$W$17=B180,A181,IFERROR(VLOOKUP(A181,Kategorie!C:AA,MATCH('General price list'!$W$17,Kategorie!$C$2:$AA$2,0),FALSE),IF(A181="","","× Chybí překlad ×")))</f>
        <v>Kleidung</v>
      </c>
      <c r="C181" s="236" t="str">
        <f t="shared" si="2"/>
        <v xml:space="preserve">                                          Kleidung</v>
      </c>
    </row>
    <row r="182" spans="1:10" ht="15.75">
      <c r="A182" s="243" t="s">
        <v>13492</v>
      </c>
      <c r="B182" s="236" t="str">
        <f>IF('General price list'!$W$17=B181,A182,IFERROR(VLOOKUP(A182,Kategorie!C:AA,MATCH('General price list'!$W$17,Kategorie!$C$2:$AA$2,0),FALSE),IF(A182="","","× Chybí překlad ×")))</f>
        <v>x</v>
      </c>
      <c r="C182" s="236" t="str">
        <f t="shared" si="2"/>
        <v>×</v>
      </c>
    </row>
    <row r="183" spans="1:10">
      <c r="A183" s="242" t="s">
        <v>13492</v>
      </c>
      <c r="B183" s="236" t="str">
        <f>IF('General price list'!$W$17=B182,A183,IFERROR(VLOOKUP(A183,Kategorie!C:AA,MATCH('General price list'!$W$17,Kategorie!$C$2:$AA$2,0),FALSE),IF(A183="","","× Chybí překlad ×")))</f>
        <v>x</v>
      </c>
      <c r="C183" s="236" t="str">
        <f t="shared" si="2"/>
        <v>×</v>
      </c>
    </row>
    <row r="184" spans="1:10">
      <c r="A184" s="242" t="s">
        <v>13492</v>
      </c>
      <c r="B184" s="236" t="str">
        <f>IF('General price list'!$W$17=B183,A184,IFERROR(VLOOKUP(A184,Kategorie!C:AA,MATCH('General price list'!$W$17,Kategorie!$C$2:$AA$2,0),FALSE),IF(A184="","","× Chybí překlad ×")))</f>
        <v>x</v>
      </c>
      <c r="C184" s="236" t="str">
        <f t="shared" si="2"/>
        <v>×</v>
      </c>
    </row>
    <row r="185" spans="1:10">
      <c r="A185" s="242" t="s">
        <v>13492</v>
      </c>
      <c r="B185" s="236" t="str">
        <f>IF('General price list'!$W$17=B184,A185,IFERROR(VLOOKUP(A185,Kategorie!C:AA,MATCH('General price list'!$W$17,Kategorie!$C$2:$AA$2,0),FALSE),IF(A185="","","× Chybí překlad ×")))</f>
        <v>x</v>
      </c>
      <c r="C185" s="236" t="str">
        <f t="shared" si="2"/>
        <v>×</v>
      </c>
      <c r="J185" s="236" t="s">
        <v>6604</v>
      </c>
    </row>
    <row r="186" spans="1:10">
      <c r="A186" s="242" t="s">
        <v>13492</v>
      </c>
      <c r="B186" s="236" t="str">
        <f>IF('General price list'!$W$17=B185,A186,IFERROR(VLOOKUP(A186,Kategorie!C:AA,MATCH('General price list'!$W$17,Kategorie!$C$2:$AA$2,0),FALSE),IF(A186="","","× Chybí překlad ×")))</f>
        <v>x</v>
      </c>
      <c r="C186" s="236" t="str">
        <f t="shared" si="2"/>
        <v>×</v>
      </c>
    </row>
    <row r="187" spans="1:10">
      <c r="A187" s="242" t="s">
        <v>6833</v>
      </c>
      <c r="B187" s="236" t="str">
        <f>IF('General price list'!$W$17=B186,A187,IFERROR(VLOOKUP(A187,Kategorie!C:AA,MATCH('General price list'!$W$17,Kategorie!$C$2:$AA$2,0),FALSE),IF(A187="","","× Chybí překlad ×")))</f>
        <v>Kleidung Dumbum Limitierte Auflage</v>
      </c>
      <c r="C187" s="236" t="str">
        <f t="shared" si="2"/>
        <v xml:space="preserve">                                          Kleidung Dumbum Limitierte Auflage</v>
      </c>
    </row>
    <row r="188" spans="1:10">
      <c r="A188" s="242" t="s">
        <v>24</v>
      </c>
      <c r="B188" s="236" t="str">
        <f>IF('General price list'!$W$17=B187,A188,IFERROR(VLOOKUP(A188,Kategorie!C:AA,MATCH('General price list'!$W$17,Kategorie!$C$2:$AA$2,0),FALSE),IF(A188="","","× Chybí překlad ×")))</f>
        <v/>
      </c>
      <c r="C188" s="236" t="str">
        <f t="shared" si="2"/>
        <v xml:space="preserve">                                          </v>
      </c>
    </row>
    <row r="189" spans="1:10">
      <c r="A189" s="242" t="s">
        <v>24</v>
      </c>
      <c r="B189" s="236" t="str">
        <f>IF('General price list'!$W$17=B188,A189,IFERROR(VLOOKUP(A189,Kategorie!C:AA,MATCH('General price list'!$W$17,Kategorie!$C$2:$AA$2,0),FALSE),IF(A189="","","× Chybí překlad ×")))</f>
        <v/>
      </c>
      <c r="C189" s="236" t="str">
        <f t="shared" si="2"/>
        <v xml:space="preserve">                                          </v>
      </c>
      <c r="J189" s="236" t="s">
        <v>6611</v>
      </c>
    </row>
    <row r="190" spans="1:10">
      <c r="A190" s="242" t="s">
        <v>24</v>
      </c>
      <c r="B190" s="236" t="str">
        <f>IF('General price list'!$W$17=B189,A190,IFERROR(VLOOKUP(A190,Kategorie!C:AA,MATCH('General price list'!$W$17,Kategorie!$C$2:$AA$2,0),FALSE),IF(A190="","","× Chybí překlad ×")))</f>
        <v/>
      </c>
      <c r="C190" s="236" t="str">
        <f t="shared" si="2"/>
        <v xml:space="preserve">                                          </v>
      </c>
    </row>
    <row r="191" spans="1:10">
      <c r="A191" s="242" t="s">
        <v>24</v>
      </c>
      <c r="B191" s="236" t="str">
        <f>IF('General price list'!$W$17=B190,A191,IFERROR(VLOOKUP(A191,Kategorie!C:AA,MATCH('General price list'!$W$17,Kategorie!$C$2:$AA$2,0),FALSE),IF(A191="","","× Chybí překlad ×")))</f>
        <v/>
      </c>
      <c r="C191" s="236" t="str">
        <f t="shared" si="2"/>
        <v xml:space="preserve">                                          </v>
      </c>
    </row>
    <row r="192" spans="1:10">
      <c r="A192" s="242" t="s">
        <v>24</v>
      </c>
      <c r="B192" s="236" t="str">
        <f>IF('General price list'!$W$17=B191,A192,IFERROR(VLOOKUP(A192,Kategorie!C:AA,MATCH('General price list'!$W$17,Kategorie!$C$2:$AA$2,0),FALSE),IF(A192="","","× Chybí překlad ×")))</f>
        <v/>
      </c>
      <c r="C192" s="236" t="str">
        <f t="shared" si="2"/>
        <v xml:space="preserve">                                          </v>
      </c>
    </row>
    <row r="193" spans="1:10">
      <c r="A193" s="242" t="s">
        <v>24</v>
      </c>
      <c r="B193" s="236" t="str">
        <f>IF('General price list'!$W$17=B192,A193,IFERROR(VLOOKUP(A193,Kategorie!C:AA,MATCH('General price list'!$W$17,Kategorie!$C$2:$AA$2,0),FALSE),IF(A193="","","× Chybí překlad ×")))</f>
        <v/>
      </c>
      <c r="C193" s="236" t="str">
        <f t="shared" si="2"/>
        <v xml:space="preserve">                                          </v>
      </c>
    </row>
    <row r="194" spans="1:10">
      <c r="A194" s="242" t="s">
        <v>24</v>
      </c>
      <c r="B194" s="236" t="str">
        <f>IF('General price list'!$W$17=B193,A194,IFERROR(VLOOKUP(A194,Kategorie!C:AA,MATCH('General price list'!$W$17,Kategorie!$C$2:$AA$2,0),FALSE),IF(A194="","","× Chybí překlad ×")))</f>
        <v/>
      </c>
      <c r="C194" s="236" t="str">
        <f t="shared" si="2"/>
        <v xml:space="preserve">                                          </v>
      </c>
    </row>
    <row r="195" spans="1:10">
      <c r="A195" s="242" t="s">
        <v>24</v>
      </c>
      <c r="B195" s="236" t="str">
        <f>IF('General price list'!$W$17=B194,A195,IFERROR(VLOOKUP(A195,Kategorie!C:AA,MATCH('General price list'!$W$17,Kategorie!$C$2:$AA$2,0),FALSE),IF(A195="","","× Chybí překlad ×")))</f>
        <v/>
      </c>
      <c r="C195" s="236" t="str">
        <f t="shared" si="2"/>
        <v xml:space="preserve">                                          </v>
      </c>
    </row>
    <row r="196" spans="1:10">
      <c r="A196" s="242" t="s">
        <v>24</v>
      </c>
      <c r="B196" s="236" t="str">
        <f>IF('General price list'!$W$17=B195,A196,IFERROR(VLOOKUP(A196,Kategorie!C:AA,MATCH('General price list'!$W$17,Kategorie!$C$2:$AA$2,0),FALSE),IF(A196="","","× Chybí překlad ×")))</f>
        <v/>
      </c>
      <c r="C196" s="236" t="str">
        <f t="shared" si="2"/>
        <v xml:space="preserve">                                          </v>
      </c>
    </row>
    <row r="197" spans="1:10">
      <c r="A197" s="242" t="s">
        <v>24</v>
      </c>
      <c r="B197" s="236" t="str">
        <f>IF('General price list'!$W$17=B196,A197,IFERROR(VLOOKUP(A197,Kategorie!C:AA,MATCH('General price list'!$W$17,Kategorie!$C$2:$AA$2,0),FALSE),IF(A197="","","× Chybí překlad ×")))</f>
        <v/>
      </c>
      <c r="C197" s="236" t="str">
        <f t="shared" si="2"/>
        <v xml:space="preserve">                                          </v>
      </c>
    </row>
    <row r="198" spans="1:10">
      <c r="A198" s="242" t="s">
        <v>24</v>
      </c>
      <c r="B198" s="236" t="str">
        <f>IF('General price list'!$W$17=B197,A198,IFERROR(VLOOKUP(A198,Kategorie!C:AA,MATCH('General price list'!$W$17,Kategorie!$C$2:$AA$2,0),FALSE),IF(A198="","","× Chybí překlad ×")))</f>
        <v/>
      </c>
      <c r="C198" s="236" t="str">
        <f t="shared" si="2"/>
        <v xml:space="preserve">                                          </v>
      </c>
    </row>
    <row r="199" spans="1:10">
      <c r="A199" s="242" t="s">
        <v>24</v>
      </c>
      <c r="B199" s="236" t="str">
        <f>IF('General price list'!$W$17=B198,A199,IFERROR(VLOOKUP(A199,Kategorie!C:AA,MATCH('General price list'!$W$17,Kategorie!$C$2:$AA$2,0),FALSE),IF(A199="","","× Chybí překlad ×")))</f>
        <v/>
      </c>
      <c r="C199" s="236" t="str">
        <f t="shared" si="2"/>
        <v xml:space="preserve">                                          </v>
      </c>
    </row>
    <row r="200" spans="1:10">
      <c r="A200" s="242" t="s">
        <v>24</v>
      </c>
      <c r="B200" s="236" t="str">
        <f>IF('General price list'!$W$17=B199,A200,IFERROR(VLOOKUP(A200,Kategorie!C:AA,MATCH('General price list'!$W$17,Kategorie!$C$2:$AA$2,0),FALSE),IF(A200="","","× Chybí překlad ×")))</f>
        <v/>
      </c>
      <c r="C200" s="236" t="str">
        <f t="shared" si="2"/>
        <v xml:space="preserve">                                          </v>
      </c>
    </row>
    <row r="201" spans="1:10" ht="15.75">
      <c r="A201" s="243" t="s">
        <v>24</v>
      </c>
      <c r="B201" s="236" t="str">
        <f>IF('General price list'!$W$17=B200,A201,IFERROR(VLOOKUP(A201,Kategorie!C:AA,MATCH('General price list'!$W$17,Kategorie!$C$2:$AA$2,0),FALSE),IF(A201="","","× Chybí překlad ×")))</f>
        <v/>
      </c>
      <c r="C201" s="236" t="str">
        <f t="shared" si="2"/>
        <v xml:space="preserve">                                          </v>
      </c>
    </row>
    <row r="202" spans="1:10">
      <c r="A202" s="242" t="s">
        <v>24</v>
      </c>
      <c r="B202" s="236" t="str">
        <f>IF('General price list'!$W$17=B201,A202,IFERROR(VLOOKUP(A202,Kategorie!C:AA,MATCH('General price list'!$W$17,Kategorie!$C$2:$AA$2,0),FALSE),IF(A202="","","× Chybí překlad ×")))</f>
        <v/>
      </c>
      <c r="C202" s="236" t="str">
        <f t="shared" si="2"/>
        <v xml:space="preserve">                                          </v>
      </c>
    </row>
    <row r="203" spans="1:10">
      <c r="A203" s="242" t="s">
        <v>24</v>
      </c>
      <c r="B203" s="236" t="str">
        <f>IF('General price list'!$W$17=B202,A203,IFERROR(VLOOKUP(A203,Kategorie!C:AA,MATCH('General price list'!$W$17,Kategorie!$C$2:$AA$2,0),FALSE),IF(A203="","","× Chybí překlad ×")))</f>
        <v/>
      </c>
      <c r="C203" s="236" t="str">
        <f t="shared" si="2"/>
        <v xml:space="preserve">                                          </v>
      </c>
    </row>
    <row r="204" spans="1:10">
      <c r="A204" s="242" t="s">
        <v>24</v>
      </c>
      <c r="B204" s="236" t="str">
        <f>IF('General price list'!$W$17=B203,A204,IFERROR(VLOOKUP(A204,Kategorie!C:AA,MATCH('General price list'!$W$17,Kategorie!$C$2:$AA$2,0),FALSE),IF(A204="","","× Chybí překlad ×")))</f>
        <v/>
      </c>
      <c r="C204" s="236" t="str">
        <f t="shared" si="2"/>
        <v xml:space="preserve">                                          </v>
      </c>
    </row>
    <row r="205" spans="1:10">
      <c r="A205" s="242" t="s">
        <v>24</v>
      </c>
      <c r="B205" s="236" t="str">
        <f>IF('General price list'!$W$17=B204,A205,IFERROR(VLOOKUP(A205,Kategorie!C:AA,MATCH('General price list'!$W$17,Kategorie!$C$2:$AA$2,0),FALSE),IF(A205="","","× Chybí překlad ×")))</f>
        <v/>
      </c>
      <c r="C205" s="236" t="str">
        <f t="shared" si="2"/>
        <v xml:space="preserve">                                          </v>
      </c>
    </row>
    <row r="206" spans="1:10">
      <c r="A206" s="242" t="s">
        <v>24</v>
      </c>
      <c r="B206" s="236" t="str">
        <f>IF('General price list'!$W$17=B205,A206,IFERROR(VLOOKUP(A206,Kategorie!C:AA,MATCH('General price list'!$W$17,Kategorie!$C$2:$AA$2,0),FALSE),IF(A206="","","× Chybí překlad ×")))</f>
        <v/>
      </c>
      <c r="C206" s="236" t="str">
        <f t="shared" si="2"/>
        <v xml:space="preserve">                                          </v>
      </c>
    </row>
    <row r="207" spans="1:10">
      <c r="A207" s="242" t="s">
        <v>24</v>
      </c>
      <c r="B207" s="236" t="str">
        <f>IF('General price list'!$W$17=B206,A207,IFERROR(VLOOKUP(A207,Kategorie!C:AA,MATCH('General price list'!$W$17,Kategorie!$C$2:$AA$2,0),FALSE),IF(A207="","","× Chybí překlad ×")))</f>
        <v/>
      </c>
      <c r="C207" s="236" t="str">
        <f t="shared" si="2"/>
        <v xml:space="preserve">                                          </v>
      </c>
      <c r="J207" s="236" t="s">
        <v>6619</v>
      </c>
    </row>
    <row r="208" spans="1:10">
      <c r="A208" s="242" t="s">
        <v>24</v>
      </c>
      <c r="B208" s="236" t="str">
        <f>IF('General price list'!$W$17=B207,A208,IFERROR(VLOOKUP(A208,Kategorie!C:AA,MATCH('General price list'!$W$17,Kategorie!$C$2:$AA$2,0),FALSE),IF(A208="","","× Chybí překlad ×")))</f>
        <v/>
      </c>
      <c r="C208" s="236" t="str">
        <f t="shared" si="2"/>
        <v xml:space="preserve">                                          </v>
      </c>
    </row>
    <row r="209" spans="1:10" ht="15.75">
      <c r="A209" s="243" t="s">
        <v>24</v>
      </c>
      <c r="B209" s="236" t="str">
        <f>IF('General price list'!$W$17=B208,A209,IFERROR(VLOOKUP(A209,Kategorie!C:AA,MATCH('General price list'!$W$17,Kategorie!$C$2:$AA$2,0),FALSE),IF(A209="","","× Chybí překlad ×")))</f>
        <v/>
      </c>
      <c r="C209" s="236" t="str">
        <f t="shared" si="2"/>
        <v xml:space="preserve">                                          </v>
      </c>
    </row>
    <row r="210" spans="1:10">
      <c r="A210" s="242" t="s">
        <v>24</v>
      </c>
      <c r="B210" s="236" t="str">
        <f>IF('General price list'!$W$17=B209,A210,IFERROR(VLOOKUP(A210,Kategorie!C:AA,MATCH('General price list'!$W$17,Kategorie!$C$2:$AA$2,0),FALSE),IF(A210="","","× Chybí překlad ×")))</f>
        <v/>
      </c>
      <c r="C210" s="236" t="str">
        <f t="shared" si="2"/>
        <v xml:space="preserve">                                          </v>
      </c>
    </row>
    <row r="211" spans="1:10">
      <c r="A211" s="242" t="s">
        <v>24</v>
      </c>
      <c r="B211" s="236" t="str">
        <f>IF('General price list'!$W$17=B210,A211,IFERROR(VLOOKUP(A211,Kategorie!C:AA,MATCH('General price list'!$W$17,Kategorie!$C$2:$AA$2,0),FALSE),IF(A211="","","× Chybí překlad ×")))</f>
        <v/>
      </c>
      <c r="C211" s="236" t="str">
        <f t="shared" si="2"/>
        <v xml:space="preserve">                                          </v>
      </c>
    </row>
    <row r="212" spans="1:10" ht="15.75">
      <c r="A212" s="243" t="s">
        <v>24</v>
      </c>
      <c r="B212" s="236" t="str">
        <f>IF('General price list'!$W$17=B211,A212,IFERROR(VLOOKUP(A212,Kategorie!C:AA,MATCH('General price list'!$W$17,Kategorie!$C$2:$AA$2,0),FALSE),IF(A212="","","× Chybí překlad ×")))</f>
        <v/>
      </c>
      <c r="C212" s="236" t="str">
        <f t="shared" si="2"/>
        <v xml:space="preserve">                                          </v>
      </c>
    </row>
    <row r="213" spans="1:10">
      <c r="A213" s="242" t="s">
        <v>24</v>
      </c>
      <c r="B213" s="236" t="str">
        <f>IF('General price list'!$W$17=B212,A213,IFERROR(VLOOKUP(A213,Kategorie!C:AA,MATCH('General price list'!$W$17,Kategorie!$C$2:$AA$2,0),FALSE),IF(A213="","","× Chybí překlad ×")))</f>
        <v/>
      </c>
      <c r="C213" s="236" t="str">
        <f t="shared" si="2"/>
        <v xml:space="preserve">                                          </v>
      </c>
    </row>
    <row r="214" spans="1:10">
      <c r="A214" s="242" t="s">
        <v>6842</v>
      </c>
      <c r="B214" s="236" t="str">
        <f>IF('General price list'!$W$17=B213,A214,IFERROR(VLOOKUP(A214,Kategorie!C:AA,MATCH('General price list'!$W$17,Kategorie!$C$2:$AA$2,0),FALSE),IF(A214="","","× Chybí překlad ×")))</f>
        <v>Werbeartikel</v>
      </c>
      <c r="C214" s="236" t="str">
        <f t="shared" ref="C214:C277" si="3">IF(A214="x","×",$C$1&amp;B214)</f>
        <v xml:space="preserve">                                          Werbeartikel</v>
      </c>
    </row>
    <row r="215" spans="1:10">
      <c r="A215" s="242" t="s">
        <v>24</v>
      </c>
      <c r="B215" s="236" t="str">
        <f>IF('General price list'!$W$17=B214,A215,IFERROR(VLOOKUP(A215,Kategorie!C:AA,MATCH('General price list'!$W$17,Kategorie!$C$2:$AA$2,0),FALSE),IF(A215="","","× Chybí překlad ×")))</f>
        <v/>
      </c>
      <c r="C215" s="236" t="str">
        <f t="shared" si="3"/>
        <v xml:space="preserve">                                          </v>
      </c>
    </row>
    <row r="216" spans="1:10">
      <c r="A216" s="242" t="s">
        <v>13492</v>
      </c>
      <c r="B216" s="236" t="str">
        <f>IF('General price list'!$W$17=B215,A216,IFERROR(VLOOKUP(A216,Kategorie!C:AA,MATCH('General price list'!$W$17,Kategorie!$C$2:$AA$2,0),FALSE),IF(A216="","","× Chybí překlad ×")))</f>
        <v>x</v>
      </c>
      <c r="C216" s="236" t="str">
        <f t="shared" si="3"/>
        <v>×</v>
      </c>
    </row>
    <row r="217" spans="1:10">
      <c r="A217" s="242" t="s">
        <v>24</v>
      </c>
      <c r="B217" s="236" t="str">
        <f>IF('General price list'!$W$17=B216,A217,IFERROR(VLOOKUP(A217,Kategorie!C:AA,MATCH('General price list'!$W$17,Kategorie!$C$2:$AA$2,0),FALSE),IF(A217="","","× Chybí překlad ×")))</f>
        <v/>
      </c>
      <c r="C217" s="236" t="str">
        <f t="shared" si="3"/>
        <v xml:space="preserve">                                          </v>
      </c>
    </row>
    <row r="218" spans="1:10">
      <c r="A218" s="242" t="s">
        <v>24</v>
      </c>
      <c r="B218" s="236" t="str">
        <f>IF('General price list'!$W$17=B217,A218,IFERROR(VLOOKUP(A218,Kategorie!C:AA,MATCH('General price list'!$W$17,Kategorie!$C$2:$AA$2,0),FALSE),IF(A218="","","× Chybí překlad ×")))</f>
        <v/>
      </c>
      <c r="C218" s="236" t="str">
        <f t="shared" si="3"/>
        <v xml:space="preserve">                                          </v>
      </c>
    </row>
    <row r="219" spans="1:10">
      <c r="A219" s="242" t="s">
        <v>24</v>
      </c>
      <c r="B219" s="236" t="str">
        <f>IF('General price list'!$W$17=B218,A219,IFERROR(VLOOKUP(A219,Kategorie!C:AA,MATCH('General price list'!$W$17,Kategorie!$C$2:$AA$2,0),FALSE),IF(A219="","","× Chybí překlad ×")))</f>
        <v/>
      </c>
      <c r="C219" s="236" t="str">
        <f t="shared" si="3"/>
        <v xml:space="preserve">                                          </v>
      </c>
    </row>
    <row r="220" spans="1:10">
      <c r="A220" s="242" t="s">
        <v>24</v>
      </c>
      <c r="B220" s="236" t="str">
        <f>IF('General price list'!$W$17=B219,A220,IFERROR(VLOOKUP(A220,Kategorie!C:AA,MATCH('General price list'!$W$17,Kategorie!$C$2:$AA$2,0),FALSE),IF(A220="","","× Chybí překlad ×")))</f>
        <v/>
      </c>
      <c r="C220" s="236" t="str">
        <f t="shared" si="3"/>
        <v xml:space="preserve">                                          </v>
      </c>
    </row>
    <row r="221" spans="1:10">
      <c r="A221" s="242" t="s">
        <v>24</v>
      </c>
      <c r="B221" s="236" t="str">
        <f>IF('General price list'!$W$17=B220,A221,IFERROR(VLOOKUP(A221,Kategorie!C:AA,MATCH('General price list'!$W$17,Kategorie!$C$2:$AA$2,0),FALSE),IF(A221="","","× Chybí překlad ×")))</f>
        <v/>
      </c>
      <c r="C221" s="236" t="str">
        <f t="shared" si="3"/>
        <v xml:space="preserve">                                          </v>
      </c>
    </row>
    <row r="222" spans="1:10">
      <c r="A222" s="242" t="s">
        <v>13492</v>
      </c>
      <c r="B222" s="236" t="str">
        <f>IF('General price list'!$W$17=B221,A222,IFERROR(VLOOKUP(A222,Kategorie!C:AA,MATCH('General price list'!$W$17,Kategorie!$C$2:$AA$2,0),FALSE),IF(A222="","","× Chybí překlad ×")))</f>
        <v>x</v>
      </c>
      <c r="C222" s="236" t="str">
        <f t="shared" si="3"/>
        <v>×</v>
      </c>
    </row>
    <row r="223" spans="1:10">
      <c r="A223" s="242" t="s">
        <v>24</v>
      </c>
      <c r="B223" s="236" t="str">
        <f>IF('General price list'!$W$17=B222,A223,IFERROR(VLOOKUP(A223,Kategorie!C:AA,MATCH('General price list'!$W$17,Kategorie!$C$2:$AA$2,0),FALSE),IF(A223="","","× Chybí překlad ×")))</f>
        <v/>
      </c>
      <c r="C223" s="236" t="str">
        <f t="shared" si="3"/>
        <v xml:space="preserve">                                          </v>
      </c>
      <c r="J223" s="236" t="s">
        <v>6627</v>
      </c>
    </row>
    <row r="224" spans="1:10" ht="15.75">
      <c r="A224" s="243" t="s">
        <v>24</v>
      </c>
      <c r="B224" s="236" t="str">
        <f>IF('General price list'!$W$17=B223,A224,IFERROR(VLOOKUP(A224,Kategorie!C:AA,MATCH('General price list'!$W$17,Kategorie!$C$2:$AA$2,0),FALSE),IF(A224="","","× Chybí překlad ×")))</f>
        <v/>
      </c>
      <c r="C224" s="236" t="str">
        <f t="shared" si="3"/>
        <v xml:space="preserve">                                          </v>
      </c>
    </row>
    <row r="225" spans="1:3">
      <c r="A225" s="242" t="s">
        <v>24</v>
      </c>
      <c r="B225" s="236" t="str">
        <f>IF('General price list'!$W$17=B224,A225,IFERROR(VLOOKUP(A225,Kategorie!C:AA,MATCH('General price list'!$W$17,Kategorie!$C$2:$AA$2,0),FALSE),IF(A225="","","× Chybí překlad ×")))</f>
        <v/>
      </c>
      <c r="C225" s="236" t="str">
        <f t="shared" si="3"/>
        <v xml:space="preserve">                                          </v>
      </c>
    </row>
    <row r="226" spans="1:3">
      <c r="A226" s="242" t="s">
        <v>24</v>
      </c>
      <c r="B226" s="236" t="str">
        <f>IF('General price list'!$W$17=B225,A226,IFERROR(VLOOKUP(A226,Kategorie!C:AA,MATCH('General price list'!$W$17,Kategorie!$C$2:$AA$2,0),FALSE),IF(A226="","","× Chybí překlad ×")))</f>
        <v/>
      </c>
      <c r="C226" s="236" t="str">
        <f t="shared" si="3"/>
        <v xml:space="preserve">                                          </v>
      </c>
    </row>
    <row r="227" spans="1:3">
      <c r="A227" s="242" t="s">
        <v>13492</v>
      </c>
      <c r="B227" s="236" t="str">
        <f>IF('General price list'!$W$17=B226,A227,IFERROR(VLOOKUP(A227,Kategorie!C:AA,MATCH('General price list'!$W$17,Kategorie!$C$2:$AA$2,0),FALSE),IF(A227="","","× Chybí překlad ×")))</f>
        <v>x</v>
      </c>
      <c r="C227" s="236" t="str">
        <f t="shared" si="3"/>
        <v>×</v>
      </c>
    </row>
    <row r="228" spans="1:3">
      <c r="A228" s="242" t="s">
        <v>24</v>
      </c>
      <c r="B228" s="236" t="str">
        <f>IF('General price list'!$W$17=B227,A228,IFERROR(VLOOKUP(A228,Kategorie!C:AA,MATCH('General price list'!$W$17,Kategorie!$C$2:$AA$2,0),FALSE),IF(A228="","","× Chybí překlad ×")))</f>
        <v/>
      </c>
      <c r="C228" s="236" t="str">
        <f t="shared" si="3"/>
        <v xml:space="preserve">                                          </v>
      </c>
    </row>
    <row r="229" spans="1:3">
      <c r="A229" s="242" t="s">
        <v>6858</v>
      </c>
      <c r="B229" s="236" t="str">
        <f>IF('General price list'!$W$17=B228,A229,IFERROR(VLOOKUP(A229,Kategorie!C:AA,MATCH('General price list'!$W$17,Kategorie!$C$2:$AA$2,0),FALSE),IF(A229="","","× Chybí překlad ×")))</f>
        <v>Sonstiges</v>
      </c>
      <c r="C229" s="236" t="str">
        <f t="shared" si="3"/>
        <v xml:space="preserve">                                          Sonstiges</v>
      </c>
    </row>
    <row r="230" spans="1:3" ht="15.75">
      <c r="A230" s="243" t="s">
        <v>24</v>
      </c>
      <c r="B230" s="236" t="str">
        <f>IF('General price list'!$W$17=B229,A230,IFERROR(VLOOKUP(A230,Kategorie!C:AA,MATCH('General price list'!$W$17,Kategorie!$C$2:$AA$2,0),FALSE),IF(A230="","","× Chybí překlad ×")))</f>
        <v/>
      </c>
      <c r="C230" s="236" t="str">
        <f t="shared" si="3"/>
        <v xml:space="preserve">                                          </v>
      </c>
    </row>
    <row r="231" spans="1:3">
      <c r="A231" s="242" t="s">
        <v>13240</v>
      </c>
      <c r="B231" s="236" t="str">
        <f>IF('General price list'!$W$17=B230,A231,IFERROR(VLOOKUP(A231,Kategorie!C:AA,MATCH('General price list'!$W$17,Kategorie!$C$2:$AA$2,0),FALSE),IF(A231="","","× Chybí překlad ×")))</f>
        <v>Batterien der raketen 25-1000 schuss, 8mm Mörser-1.4G</v>
      </c>
      <c r="C231" s="236" t="str">
        <f t="shared" si="3"/>
        <v xml:space="preserve">                                          Batterien der raketen 25-1000 schuss, 8mm Mörser-1.4G</v>
      </c>
    </row>
    <row r="232" spans="1:3">
      <c r="A232" s="242" t="s">
        <v>24</v>
      </c>
      <c r="B232" s="236" t="str">
        <f>IF('General price list'!$W$17=B231,A232,IFERROR(VLOOKUP(A232,Kategorie!C:AA,MATCH('General price list'!$W$17,Kategorie!$C$2:$AA$2,0),FALSE),IF(A232="","","× Chybí překlad ×")))</f>
        <v/>
      </c>
      <c r="C232" s="236" t="str">
        <f t="shared" si="3"/>
        <v xml:space="preserve">                                          </v>
      </c>
    </row>
    <row r="233" spans="1:3">
      <c r="A233" s="242" t="s">
        <v>24</v>
      </c>
      <c r="B233" s="236" t="str">
        <f>IF('General price list'!$W$17=B232,A233,IFERROR(VLOOKUP(A233,Kategorie!C:AA,MATCH('General price list'!$W$17,Kategorie!$C$2:$AA$2,0),FALSE),IF(A233="","","× Chybí překlad ×")))</f>
        <v/>
      </c>
      <c r="C233" s="236" t="str">
        <f t="shared" si="3"/>
        <v xml:space="preserve">                                          </v>
      </c>
    </row>
    <row r="234" spans="1:3" ht="15.75">
      <c r="A234" s="243" t="s">
        <v>24</v>
      </c>
      <c r="B234" s="236" t="str">
        <f>IF('General price list'!$W$17=B233,A234,IFERROR(VLOOKUP(A234,Kategorie!C:AA,MATCH('General price list'!$W$17,Kategorie!$C$2:$AA$2,0),FALSE),IF(A234="","","× Chybí překlad ×")))</f>
        <v/>
      </c>
      <c r="C234" s="236" t="str">
        <f t="shared" si="3"/>
        <v xml:space="preserve">                                          </v>
      </c>
    </row>
    <row r="235" spans="1:3">
      <c r="A235" s="242" t="s">
        <v>24</v>
      </c>
      <c r="B235" s="236" t="str">
        <f>IF('General price list'!$W$17=B234,A235,IFERROR(VLOOKUP(A235,Kategorie!C:AA,MATCH('General price list'!$W$17,Kategorie!$C$2:$AA$2,0),FALSE),IF(A235="","","× Chybí překlad ×")))</f>
        <v/>
      </c>
      <c r="C235" s="236" t="str">
        <f t="shared" si="3"/>
        <v xml:space="preserve">                                          </v>
      </c>
    </row>
    <row r="236" spans="1:3" ht="15.75">
      <c r="A236" s="243" t="s">
        <v>6894</v>
      </c>
      <c r="B236" s="236" t="str">
        <f>IF('General price list'!$W$17=B235,A236,IFERROR(VLOOKUP(A236,Kategorie!C:AA,MATCH('General price list'!$W$17,Kategorie!$C$2:$AA$2,0),FALSE),IF(A236="","","× Chybí překlad ×")))</f>
        <v>Batterien 100 schuss, 8mm Mörser-1.4G</v>
      </c>
      <c r="C236" s="236" t="str">
        <f t="shared" si="3"/>
        <v xml:space="preserve">                                          Batterien 100 schuss, 8mm Mörser-1.4G</v>
      </c>
    </row>
    <row r="237" spans="1:3">
      <c r="A237" s="242" t="s">
        <v>24</v>
      </c>
      <c r="B237" s="236" t="str">
        <f>IF('General price list'!$W$17=B236,A237,IFERROR(VLOOKUP(A237,Kategorie!C:AA,MATCH('General price list'!$W$17,Kategorie!$C$2:$AA$2,0),FALSE),IF(A237="","","× Chybí překlad ×")))</f>
        <v/>
      </c>
      <c r="C237" s="236" t="str">
        <f t="shared" si="3"/>
        <v xml:space="preserve">                                          </v>
      </c>
    </row>
    <row r="238" spans="1:3">
      <c r="A238" s="242" t="s">
        <v>6902</v>
      </c>
      <c r="B238" s="236" t="str">
        <f>IF('General price list'!$W$17=B237,A238,IFERROR(VLOOKUP(A238,Kategorie!C:AA,MATCH('General price list'!$W$17,Kategorie!$C$2:$AA$2,0),FALSE),IF(A238="","","× Chybí překlad ×")))</f>
        <v>Batterien 16 schuss, 14mm Mörser-1.4G</v>
      </c>
      <c r="C238" s="236" t="str">
        <f t="shared" si="3"/>
        <v xml:space="preserve">                                          Batterien 16 schuss, 14mm Mörser-1.4G</v>
      </c>
    </row>
    <row r="239" spans="1:3">
      <c r="A239" s="242" t="s">
        <v>24</v>
      </c>
      <c r="B239" s="236" t="str">
        <f>IF('General price list'!$W$17=B238,A239,IFERROR(VLOOKUP(A239,Kategorie!C:AA,MATCH('General price list'!$W$17,Kategorie!$C$2:$AA$2,0),FALSE),IF(A239="","","× Chybí překlad ×")))</f>
        <v/>
      </c>
      <c r="C239" s="236" t="str">
        <f t="shared" si="3"/>
        <v xml:space="preserve">                                          </v>
      </c>
    </row>
    <row r="240" spans="1:3">
      <c r="A240" s="242" t="s">
        <v>6920</v>
      </c>
      <c r="B240" s="236" t="str">
        <f>IF('General price list'!$W$17=B239,A240,IFERROR(VLOOKUP(A240,Kategorie!C:AA,MATCH('General price list'!$W$17,Kategorie!$C$2:$AA$2,0),FALSE),IF(A240="","","× Chybí překlad ×")))</f>
        <v>Batterien 208 schuss, 14mm normal+ schräg Mörser-1.4G</v>
      </c>
      <c r="C240" s="236" t="str">
        <f t="shared" si="3"/>
        <v xml:space="preserve">                                          Batterien 208 schuss, 14mm normal+ schräg Mörser-1.4G</v>
      </c>
    </row>
    <row r="241" spans="1:10">
      <c r="A241" s="242" t="s">
        <v>24</v>
      </c>
      <c r="B241" s="236" t="str">
        <f>IF('General price list'!$W$17=B240,A241,IFERROR(VLOOKUP(A241,Kategorie!C:AA,MATCH('General price list'!$W$17,Kategorie!$C$2:$AA$2,0),FALSE),IF(A241="","","× Chybí překlad ×")))</f>
        <v/>
      </c>
      <c r="C241" s="236" t="str">
        <f t="shared" si="3"/>
        <v xml:space="preserve">                                          </v>
      </c>
    </row>
    <row r="242" spans="1:10">
      <c r="A242" s="242" t="s">
        <v>6928</v>
      </c>
      <c r="B242" s="236" t="str">
        <f>IF('General price list'!$W$17=B241,A242,IFERROR(VLOOKUP(A242,Kategorie!C:AA,MATCH('General price list'!$W$17,Kategorie!$C$2:$AA$2,0),FALSE),IF(A242="","","× Chybí překlad ×")))</f>
        <v>Batterien 9 schuss, 20mm Mörser-1.3G</v>
      </c>
      <c r="C242" s="236" t="str">
        <f t="shared" si="3"/>
        <v xml:space="preserve">                                          Batterien 9 schuss, 20mm Mörser-1.3G</v>
      </c>
      <c r="J242" s="236" t="s">
        <v>6636</v>
      </c>
    </row>
    <row r="243" spans="1:10" ht="15.75">
      <c r="A243" s="243" t="s">
        <v>24</v>
      </c>
      <c r="B243" s="236" t="str">
        <f>IF('General price list'!$W$17=B242,A243,IFERROR(VLOOKUP(A243,Kategorie!C:AA,MATCH('General price list'!$W$17,Kategorie!$C$2:$AA$2,0),FALSE),IF(A243="","","× Chybí překlad ×")))</f>
        <v/>
      </c>
      <c r="C243" s="236" t="str">
        <f t="shared" si="3"/>
        <v xml:space="preserve">                                          </v>
      </c>
    </row>
    <row r="244" spans="1:10">
      <c r="A244" s="242" t="s">
        <v>24</v>
      </c>
      <c r="B244" s="236" t="str">
        <f>IF('General price list'!$W$17=B243,A244,IFERROR(VLOOKUP(A244,Kategorie!C:AA,MATCH('General price list'!$W$17,Kategorie!$C$2:$AA$2,0),FALSE),IF(A244="","","× Chybí překlad ×")))</f>
        <v/>
      </c>
      <c r="C244" s="236" t="str">
        <f t="shared" si="3"/>
        <v xml:space="preserve">                                          </v>
      </c>
    </row>
    <row r="245" spans="1:10">
      <c r="A245" s="242" t="s">
        <v>6946</v>
      </c>
      <c r="B245" s="236" t="str">
        <f>IF('General price list'!$W$17=B244,A245,IFERROR(VLOOKUP(A245,Kategorie!C:AA,MATCH('General price list'!$W$17,Kategorie!$C$2:$AA$2,0),FALSE),IF(A245="","","× Chybí překlad ×")))</f>
        <v>Batterien 16 schuss, 20mm Mörser-1.3G</v>
      </c>
      <c r="C245" s="236" t="str">
        <f t="shared" si="3"/>
        <v xml:space="preserve">                                          Batterien 16 schuss, 20mm Mörser-1.3G</v>
      </c>
    </row>
    <row r="246" spans="1:10" ht="15.75">
      <c r="A246" s="243" t="s">
        <v>24</v>
      </c>
      <c r="B246" s="236" t="str">
        <f>IF('General price list'!$W$17=B245,A246,IFERROR(VLOOKUP(A246,Kategorie!C:AA,MATCH('General price list'!$W$17,Kategorie!$C$2:$AA$2,0),FALSE),IF(A246="","","× Chybí překlad ×")))</f>
        <v/>
      </c>
      <c r="C246" s="236" t="str">
        <f t="shared" si="3"/>
        <v xml:space="preserve">                                          </v>
      </c>
    </row>
    <row r="247" spans="1:10">
      <c r="A247" s="242" t="s">
        <v>24</v>
      </c>
      <c r="B247" s="236" t="str">
        <f>IF('General price list'!$W$17=B246,A247,IFERROR(VLOOKUP(A247,Kategorie!C:AA,MATCH('General price list'!$W$17,Kategorie!$C$2:$AA$2,0),FALSE),IF(A247="","","× Chybí překlad ×")))</f>
        <v/>
      </c>
      <c r="C247" s="236" t="str">
        <f t="shared" si="3"/>
        <v xml:space="preserve">                                          </v>
      </c>
    </row>
    <row r="248" spans="1:10">
      <c r="A248" s="242" t="s">
        <v>24</v>
      </c>
      <c r="B248" s="236" t="str">
        <f>IF('General price list'!$W$17=B247,A248,IFERROR(VLOOKUP(A248,Kategorie!C:AA,MATCH('General price list'!$W$17,Kategorie!$C$2:$AA$2,0),FALSE),IF(A248="","","× Chybí překlad ×")))</f>
        <v/>
      </c>
      <c r="C248" s="236" t="str">
        <f t="shared" si="3"/>
        <v xml:space="preserve">                                          </v>
      </c>
    </row>
    <row r="249" spans="1:10" ht="15.75">
      <c r="A249" s="243" t="s">
        <v>24</v>
      </c>
      <c r="B249" s="236" t="str">
        <f>IF('General price list'!$W$17=B248,A249,IFERROR(VLOOKUP(A249,Kategorie!C:AA,MATCH('General price list'!$W$17,Kategorie!$C$2:$AA$2,0),FALSE),IF(A249="","","× Chybí překlad ×")))</f>
        <v/>
      </c>
      <c r="C249" s="236" t="str">
        <f t="shared" si="3"/>
        <v xml:space="preserve">                                          </v>
      </c>
      <c r="J249" s="236" t="s">
        <v>6644</v>
      </c>
    </row>
    <row r="250" spans="1:10">
      <c r="A250" s="242" t="s">
        <v>24</v>
      </c>
      <c r="B250" s="236" t="str">
        <f>IF('General price list'!$W$17=B249,A250,IFERROR(VLOOKUP(A250,Kategorie!C:AA,MATCH('General price list'!$W$17,Kategorie!$C$2:$AA$2,0),FALSE),IF(A250="","","× Chybí překlad ×")))</f>
        <v/>
      </c>
      <c r="C250" s="236" t="str">
        <f t="shared" si="3"/>
        <v xml:space="preserve">                                          </v>
      </c>
    </row>
    <row r="251" spans="1:10">
      <c r="A251" s="242" t="s">
        <v>24</v>
      </c>
      <c r="B251" s="236" t="str">
        <f>IF('General price list'!$W$17=B250,A251,IFERROR(VLOOKUP(A251,Kategorie!C:AA,MATCH('General price list'!$W$17,Kategorie!$C$2:$AA$2,0),FALSE),IF(A251="","","× Chybí překlad ×")))</f>
        <v/>
      </c>
      <c r="C251" s="236" t="str">
        <f t="shared" si="3"/>
        <v xml:space="preserve">                                          </v>
      </c>
    </row>
    <row r="252" spans="1:10">
      <c r="A252" s="242" t="s">
        <v>24</v>
      </c>
      <c r="B252" s="236" t="str">
        <f>IF('General price list'!$W$17=B251,A252,IFERROR(VLOOKUP(A252,Kategorie!C:AA,MATCH('General price list'!$W$17,Kategorie!$C$2:$AA$2,0),FALSE),IF(A252="","","× Chybí překlad ×")))</f>
        <v/>
      </c>
      <c r="C252" s="236" t="str">
        <f t="shared" si="3"/>
        <v xml:space="preserve">                                          </v>
      </c>
      <c r="J252" s="236" t="s">
        <v>6653</v>
      </c>
    </row>
    <row r="253" spans="1:10">
      <c r="A253" s="242" t="s">
        <v>24</v>
      </c>
      <c r="B253" s="236" t="str">
        <f>IF('General price list'!$W$17=B252,A253,IFERROR(VLOOKUP(A253,Kategorie!C:AA,MATCH('General price list'!$W$17,Kategorie!$C$2:$AA$2,0),FALSE),IF(A253="","","× Chybí překlad ×")))</f>
        <v/>
      </c>
      <c r="C253" s="236" t="str">
        <f t="shared" si="3"/>
        <v xml:space="preserve">                                          </v>
      </c>
    </row>
    <row r="254" spans="1:10" ht="15.75">
      <c r="A254" s="243" t="s">
        <v>6955</v>
      </c>
      <c r="B254" s="236" t="str">
        <f>IF('General price list'!$W$17=B253,A254,IFERROR(VLOOKUP(A254,Kategorie!C:AA,MATCH('General price list'!$W$17,Kategorie!$C$2:$AA$2,0),FALSE),IF(A254="","","× Chybí překlad ×")))</f>
        <v>Batterien 16 schuss, 20mm Mörser-1.4G</v>
      </c>
      <c r="C254" s="236" t="str">
        <f t="shared" si="3"/>
        <v xml:space="preserve">                                          Batterien 16 schuss, 20mm Mörser-1.4G</v>
      </c>
    </row>
    <row r="255" spans="1:10">
      <c r="A255" s="242" t="s">
        <v>24</v>
      </c>
      <c r="B255" s="236" t="str">
        <f>IF('General price list'!$W$17=B254,A255,IFERROR(VLOOKUP(A255,Kategorie!C:AA,MATCH('General price list'!$W$17,Kategorie!$C$2:$AA$2,0),FALSE),IF(A255="","","× Chybí překlad ×")))</f>
        <v/>
      </c>
      <c r="C255" s="236" t="str">
        <f t="shared" si="3"/>
        <v xml:space="preserve">                                          </v>
      </c>
    </row>
    <row r="256" spans="1:10" ht="15.75">
      <c r="A256" s="243" t="s">
        <v>24</v>
      </c>
      <c r="B256" s="236" t="str">
        <f>IF('General price list'!$W$17=B255,A256,IFERROR(VLOOKUP(A256,Kategorie!C:AA,MATCH('General price list'!$W$17,Kategorie!$C$2:$AA$2,0),FALSE),IF(A256="","","× Chybí překlad ×")))</f>
        <v/>
      </c>
      <c r="C256" s="236" t="str">
        <f t="shared" si="3"/>
        <v xml:space="preserve">                                          </v>
      </c>
    </row>
    <row r="257" spans="1:10">
      <c r="A257" s="242" t="s">
        <v>24</v>
      </c>
      <c r="B257" s="236" t="str">
        <f>IF('General price list'!$W$17=B256,A257,IFERROR(VLOOKUP(A257,Kategorie!C:AA,MATCH('General price list'!$W$17,Kategorie!$C$2:$AA$2,0),FALSE),IF(A257="","","× Chybí překlad ×")))</f>
        <v/>
      </c>
      <c r="C257" s="236" t="str">
        <f t="shared" si="3"/>
        <v xml:space="preserve">                                          </v>
      </c>
    </row>
    <row r="258" spans="1:10">
      <c r="A258" s="242" t="s">
        <v>24</v>
      </c>
      <c r="B258" s="236" t="str">
        <f>IF('General price list'!$W$17=B257,A258,IFERROR(VLOOKUP(A258,Kategorie!C:AA,MATCH('General price list'!$W$17,Kategorie!$C$2:$AA$2,0),FALSE),IF(A258="","","× Chybí překlad ×")))</f>
        <v/>
      </c>
      <c r="C258" s="236" t="str">
        <f t="shared" si="3"/>
        <v xml:space="preserve">                                          </v>
      </c>
    </row>
    <row r="259" spans="1:10" ht="15.75">
      <c r="A259" s="243" t="s">
        <v>6973</v>
      </c>
      <c r="B259" s="236" t="str">
        <f>IF('General price list'!$W$17=B258,A259,IFERROR(VLOOKUP(A259,Kategorie!C:AA,MATCH('General price list'!$W$17,Kategorie!$C$2:$AA$2,0),FALSE),IF(A259="","","× Chybí překlad ×")))</f>
        <v>Batterien 25 schuss, 20mm Mörser-1.3G</v>
      </c>
      <c r="C259" s="236" t="str">
        <f t="shared" si="3"/>
        <v xml:space="preserve">                                          Batterien 25 schuss, 20mm Mörser-1.3G</v>
      </c>
    </row>
    <row r="260" spans="1:10">
      <c r="A260" s="242" t="s">
        <v>24</v>
      </c>
      <c r="B260" s="236" t="str">
        <f>IF('General price list'!$W$17=B259,A260,IFERROR(VLOOKUP(A260,Kategorie!C:AA,MATCH('General price list'!$W$17,Kategorie!$C$2:$AA$2,0),FALSE),IF(A260="","","× Chybí překlad ×")))</f>
        <v/>
      </c>
      <c r="C260" s="236" t="str">
        <f t="shared" si="3"/>
        <v xml:space="preserve">                                          </v>
      </c>
    </row>
    <row r="261" spans="1:10" ht="15.75">
      <c r="A261" s="243" t="s">
        <v>24</v>
      </c>
      <c r="B261" s="236" t="str">
        <f>IF('General price list'!$W$17=B260,A261,IFERROR(VLOOKUP(A261,Kategorie!C:AA,MATCH('General price list'!$W$17,Kategorie!$C$2:$AA$2,0),FALSE),IF(A261="","","× Chybí překlad ×")))</f>
        <v/>
      </c>
      <c r="C261" s="236" t="str">
        <f t="shared" si="3"/>
        <v xml:space="preserve">                                          </v>
      </c>
    </row>
    <row r="262" spans="1:10">
      <c r="A262" s="242" t="s">
        <v>24</v>
      </c>
      <c r="B262" s="236" t="str">
        <f>IF('General price list'!$W$17=B261,A262,IFERROR(VLOOKUP(A262,Kategorie!C:AA,MATCH('General price list'!$W$17,Kategorie!$C$2:$AA$2,0),FALSE),IF(A262="","","× Chybí překlad ×")))</f>
        <v/>
      </c>
      <c r="C262" s="236" t="str">
        <f t="shared" si="3"/>
        <v xml:space="preserve">                                          </v>
      </c>
    </row>
    <row r="263" spans="1:10">
      <c r="A263" s="242" t="s">
        <v>24</v>
      </c>
      <c r="B263" s="236" t="str">
        <f>IF('General price list'!$W$17=B262,A263,IFERROR(VLOOKUP(A263,Kategorie!C:AA,MATCH('General price list'!$W$17,Kategorie!$C$2:$AA$2,0),FALSE),IF(A263="","","× Chybí překlad ×")))</f>
        <v/>
      </c>
      <c r="C263" s="236" t="str">
        <f t="shared" si="3"/>
        <v xml:space="preserve">                                          </v>
      </c>
      <c r="J263" s="236" t="s">
        <v>6662</v>
      </c>
    </row>
    <row r="264" spans="1:10">
      <c r="A264" s="242" t="s">
        <v>24</v>
      </c>
      <c r="B264" s="236" t="str">
        <f>IF('General price list'!$W$17=B263,A264,IFERROR(VLOOKUP(A264,Kategorie!C:AA,MATCH('General price list'!$W$17,Kategorie!$C$2:$AA$2,0),FALSE),IF(A264="","","× Chybí překlad ×")))</f>
        <v/>
      </c>
      <c r="C264" s="236" t="str">
        <f t="shared" si="3"/>
        <v xml:space="preserve">                                          </v>
      </c>
    </row>
    <row r="265" spans="1:10">
      <c r="A265" s="242" t="s">
        <v>24</v>
      </c>
      <c r="B265" s="236" t="str">
        <f>IF('General price list'!$W$17=B264,A265,IFERROR(VLOOKUP(A265,Kategorie!C:AA,MATCH('General price list'!$W$17,Kategorie!$C$2:$AA$2,0),FALSE),IF(A265="","","× Chybí překlad ×")))</f>
        <v/>
      </c>
      <c r="C265" s="236" t="str">
        <f t="shared" si="3"/>
        <v xml:space="preserve">                                          </v>
      </c>
    </row>
    <row r="266" spans="1:10">
      <c r="A266" s="242" t="s">
        <v>24</v>
      </c>
      <c r="B266" s="236" t="str">
        <f>IF('General price list'!$W$17=B265,A266,IFERROR(VLOOKUP(A266,Kategorie!C:AA,MATCH('General price list'!$W$17,Kategorie!$C$2:$AA$2,0),FALSE),IF(A266="","","× Chybí překlad ×")))</f>
        <v/>
      </c>
      <c r="C266" s="236" t="str">
        <f t="shared" si="3"/>
        <v xml:space="preserve">                                          </v>
      </c>
    </row>
    <row r="267" spans="1:10">
      <c r="A267" s="242" t="s">
        <v>24</v>
      </c>
      <c r="B267" s="236" t="str">
        <f>IF('General price list'!$W$17=B266,A267,IFERROR(VLOOKUP(A267,Kategorie!C:AA,MATCH('General price list'!$W$17,Kategorie!$C$2:$AA$2,0),FALSE),IF(A267="","","× Chybí překlad ×")))</f>
        <v/>
      </c>
      <c r="C267" s="236" t="str">
        <f t="shared" si="3"/>
        <v xml:space="preserve">                                          </v>
      </c>
    </row>
    <row r="268" spans="1:10">
      <c r="A268" s="242" t="s">
        <v>6982</v>
      </c>
      <c r="B268" s="236" t="str">
        <f>IF('General price list'!$W$17=B267,A268,IFERROR(VLOOKUP(A268,Kategorie!C:AA,MATCH('General price list'!$W$17,Kategorie!$C$2:$AA$2,0),FALSE),IF(A268="","","× Chybí překlad ×")))</f>
        <v>Batterien 25 schuss, 20mm Mörser-1.4G</v>
      </c>
      <c r="C268" s="236" t="str">
        <f t="shared" si="3"/>
        <v xml:space="preserve">                                          Batterien 25 schuss, 20mm Mörser-1.4G</v>
      </c>
    </row>
    <row r="269" spans="1:10">
      <c r="A269" s="242" t="s">
        <v>24</v>
      </c>
      <c r="B269" s="236" t="str">
        <f>IF('General price list'!$W$17=B268,A269,IFERROR(VLOOKUP(A269,Kategorie!C:AA,MATCH('General price list'!$W$17,Kategorie!$C$2:$AA$2,0),FALSE),IF(A269="","","× Chybí překlad ×")))</f>
        <v/>
      </c>
      <c r="C269" s="236" t="str">
        <f t="shared" si="3"/>
        <v xml:space="preserve">                                          </v>
      </c>
    </row>
    <row r="270" spans="1:10">
      <c r="A270" s="242" t="s">
        <v>24</v>
      </c>
      <c r="B270" s="236" t="str">
        <f>IF('General price list'!$W$17=B269,A270,IFERROR(VLOOKUP(A270,Kategorie!C:AA,MATCH('General price list'!$W$17,Kategorie!$C$2:$AA$2,0),FALSE),IF(A270="","","× Chybí překlad ×")))</f>
        <v/>
      </c>
      <c r="C270" s="236" t="str">
        <f t="shared" si="3"/>
        <v xml:space="preserve">                                          </v>
      </c>
      <c r="J270" s="236" t="s">
        <v>6671</v>
      </c>
    </row>
    <row r="271" spans="1:10" ht="15.75">
      <c r="A271" s="243" t="s">
        <v>24</v>
      </c>
      <c r="B271" s="236" t="str">
        <f>IF('General price list'!$W$17=B270,A271,IFERROR(VLOOKUP(A271,Kategorie!C:AA,MATCH('General price list'!$W$17,Kategorie!$C$2:$AA$2,0),FALSE),IF(A271="","","× Chybí překlad ×")))</f>
        <v/>
      </c>
      <c r="C271" s="236" t="str">
        <f t="shared" si="3"/>
        <v xml:space="preserve">                                          </v>
      </c>
    </row>
    <row r="272" spans="1:10">
      <c r="A272" s="242" t="s">
        <v>6991</v>
      </c>
      <c r="B272" s="236" t="str">
        <f>IF('General price list'!$W$17=B271,A272,IFERROR(VLOOKUP(A272,Kategorie!C:AA,MATCH('General price list'!$W$17,Kategorie!$C$2:$AA$2,0),FALSE),IF(A272="","","× Chybí překlad ×")))</f>
        <v>Batterien 49 schuss, 20mm Mörser-1.3G</v>
      </c>
      <c r="C272" s="236" t="str">
        <f t="shared" si="3"/>
        <v xml:space="preserve">                                          Batterien 49 schuss, 20mm Mörser-1.3G</v>
      </c>
    </row>
    <row r="273" spans="1:10">
      <c r="A273" s="242" t="s">
        <v>24</v>
      </c>
      <c r="B273" s="236" t="str">
        <f>IF('General price list'!$W$17=B272,A273,IFERROR(VLOOKUP(A273,Kategorie!C:AA,MATCH('General price list'!$W$17,Kategorie!$C$2:$AA$2,0),FALSE),IF(A273="","","× Chybí překlad ×")))</f>
        <v/>
      </c>
      <c r="C273" s="236" t="str">
        <f t="shared" si="3"/>
        <v xml:space="preserve">                                          </v>
      </c>
    </row>
    <row r="274" spans="1:10">
      <c r="A274" s="242" t="s">
        <v>24</v>
      </c>
      <c r="B274" s="236" t="str">
        <f>IF('General price list'!$W$17=B273,A274,IFERROR(VLOOKUP(A274,Kategorie!C:AA,MATCH('General price list'!$W$17,Kategorie!$C$2:$AA$2,0),FALSE),IF(A274="","","× Chybí překlad ×")))</f>
        <v/>
      </c>
      <c r="C274" s="236" t="str">
        <f t="shared" si="3"/>
        <v xml:space="preserve">                                          </v>
      </c>
      <c r="J274" s="236" t="s">
        <v>6680</v>
      </c>
    </row>
    <row r="275" spans="1:10">
      <c r="A275" s="242" t="s">
        <v>24</v>
      </c>
      <c r="B275" s="236" t="str">
        <f>IF('General price list'!$W$17=B274,A275,IFERROR(VLOOKUP(A275,Kategorie!C:AA,MATCH('General price list'!$W$17,Kategorie!$C$2:$AA$2,0),FALSE),IF(A275="","","× Chybí překlad ×")))</f>
        <v/>
      </c>
      <c r="C275" s="236" t="str">
        <f t="shared" si="3"/>
        <v xml:space="preserve">                                          </v>
      </c>
    </row>
    <row r="276" spans="1:10">
      <c r="A276" s="242" t="s">
        <v>7000</v>
      </c>
      <c r="B276" s="236" t="str">
        <f>IF('General price list'!$W$17=B275,A276,IFERROR(VLOOKUP(A276,Kategorie!C:AA,MATCH('General price list'!$W$17,Kategorie!$C$2:$AA$2,0),FALSE),IF(A276="","","× Chybí překlad ×")))</f>
        <v>Batterien 49 schuss, 20mm Mörser-1.4G</v>
      </c>
      <c r="C276" s="236" t="str">
        <f t="shared" si="3"/>
        <v xml:space="preserve">                                          Batterien 49 schuss, 20mm Mörser-1.4G</v>
      </c>
      <c r="J276" s="236" t="s">
        <v>6689</v>
      </c>
    </row>
    <row r="277" spans="1:10">
      <c r="A277" s="242" t="s">
        <v>24</v>
      </c>
      <c r="B277" s="236" t="str">
        <f>IF('General price list'!$W$17=B276,A277,IFERROR(VLOOKUP(A277,Kategorie!C:AA,MATCH('General price list'!$W$17,Kategorie!$C$2:$AA$2,0),FALSE),IF(A277="","","× Chybí překlad ×")))</f>
        <v/>
      </c>
      <c r="C277" s="236" t="str">
        <f t="shared" si="3"/>
        <v xml:space="preserve">                                          </v>
      </c>
    </row>
    <row r="278" spans="1:10">
      <c r="A278" s="242" t="s">
        <v>24</v>
      </c>
      <c r="B278" s="236" t="str">
        <f>IF('General price list'!$W$17=B277,A278,IFERROR(VLOOKUP(A278,Kategorie!C:AA,MATCH('General price list'!$W$17,Kategorie!$C$2:$AA$2,0),FALSE),IF(A278="","","× Chybí překlad ×")))</f>
        <v/>
      </c>
      <c r="C278" s="236" t="str">
        <f t="shared" ref="C278:C341" si="4">IF(A278="x","×",$C$1&amp;B278)</f>
        <v xml:space="preserve">                                          </v>
      </c>
    </row>
    <row r="279" spans="1:10" ht="15.75">
      <c r="A279" s="243" t="s">
        <v>24</v>
      </c>
      <c r="B279" s="236" t="str">
        <f>IF('General price list'!$W$17=B278,A279,IFERROR(VLOOKUP(A279,Kategorie!C:AA,MATCH('General price list'!$W$17,Kategorie!$C$2:$AA$2,0),FALSE),IF(A279="","","× Chybí překlad ×")))</f>
        <v/>
      </c>
      <c r="C279" s="236" t="str">
        <f t="shared" si="4"/>
        <v xml:space="preserve">                                          </v>
      </c>
    </row>
    <row r="280" spans="1:10">
      <c r="A280" s="242" t="s">
        <v>7009</v>
      </c>
      <c r="B280" s="236" t="str">
        <f>IF('General price list'!$W$17=B279,A280,IFERROR(VLOOKUP(A280,Kategorie!C:AA,MATCH('General price list'!$W$17,Kategorie!$C$2:$AA$2,0),FALSE),IF(A280="","","× Chybí překlad ×")))</f>
        <v>Batterien 49 schuss, 20mm schräg Mörser-1.3G</v>
      </c>
      <c r="C280" s="236" t="str">
        <f t="shared" si="4"/>
        <v xml:space="preserve">                                          Batterien 49 schuss, 20mm schräg Mörser-1.3G</v>
      </c>
    </row>
    <row r="281" spans="1:10">
      <c r="A281" s="242" t="s">
        <v>24</v>
      </c>
      <c r="B281" s="236" t="str">
        <f>IF('General price list'!$W$17=B280,A281,IFERROR(VLOOKUP(A281,Kategorie!C:AA,MATCH('General price list'!$W$17,Kategorie!$C$2:$AA$2,0),FALSE),IF(A281="","","× Chybí překlad ×")))</f>
        <v/>
      </c>
      <c r="C281" s="236" t="str">
        <f t="shared" si="4"/>
        <v xml:space="preserve">                                          </v>
      </c>
    </row>
    <row r="282" spans="1:10">
      <c r="A282" s="242" t="s">
        <v>24</v>
      </c>
      <c r="B282" s="236" t="str">
        <f>IF('General price list'!$W$17=B281,A282,IFERROR(VLOOKUP(A282,Kategorie!C:AA,MATCH('General price list'!$W$17,Kategorie!$C$2:$AA$2,0),FALSE),IF(A282="","","× Chybí překlad ×")))</f>
        <v/>
      </c>
      <c r="C282" s="236" t="str">
        <f t="shared" si="4"/>
        <v xml:space="preserve">                                          </v>
      </c>
    </row>
    <row r="283" spans="1:10">
      <c r="A283" s="242" t="s">
        <v>13492</v>
      </c>
      <c r="B283" s="236" t="str">
        <f>IF('General price list'!$W$17=B282,A283,IFERROR(VLOOKUP(A283,Kategorie!C:AA,MATCH('General price list'!$W$17,Kategorie!$C$2:$AA$2,0),FALSE),IF(A283="","","× Chybí překlad ×")))</f>
        <v>x</v>
      </c>
      <c r="C283" s="236" t="str">
        <f t="shared" si="4"/>
        <v>×</v>
      </c>
      <c r="J283" s="236" t="s">
        <v>6698</v>
      </c>
    </row>
    <row r="284" spans="1:10">
      <c r="A284" s="242" t="s">
        <v>24</v>
      </c>
      <c r="B284" s="236" t="str">
        <f>IF('General price list'!$W$17=B283,A284,IFERROR(VLOOKUP(A284,Kategorie!C:AA,MATCH('General price list'!$W$17,Kategorie!$C$2:$AA$2,0),FALSE),IF(A284="","","× Chybí překlad ×")))</f>
        <v/>
      </c>
      <c r="C284" s="236" t="str">
        <f t="shared" si="4"/>
        <v xml:space="preserve">                                          </v>
      </c>
    </row>
    <row r="285" spans="1:10">
      <c r="A285" s="242" t="s">
        <v>7018</v>
      </c>
      <c r="B285" s="236" t="str">
        <f>IF('General price list'!$W$17=B284,A285,IFERROR(VLOOKUP(A285,Kategorie!C:AA,MATCH('General price list'!$W$17,Kategorie!$C$2:$AA$2,0),FALSE),IF(A285="","","× Chybí překlad ×")))</f>
        <v>Batterien 49 schuss, 20mm schräg Mörser-1.4G</v>
      </c>
      <c r="C285" s="236" t="str">
        <f t="shared" si="4"/>
        <v xml:space="preserve">                                          Batterien 49 schuss, 20mm schräg Mörser-1.4G</v>
      </c>
    </row>
    <row r="286" spans="1:10">
      <c r="A286" s="242" t="s">
        <v>24</v>
      </c>
      <c r="B286" s="236" t="str">
        <f>IF('General price list'!$W$17=B285,A286,IFERROR(VLOOKUP(A286,Kategorie!C:AA,MATCH('General price list'!$W$17,Kategorie!$C$2:$AA$2,0),FALSE),IF(A286="","","× Chybí překlad ×")))</f>
        <v/>
      </c>
      <c r="C286" s="236" t="str">
        <f t="shared" si="4"/>
        <v xml:space="preserve">                                          </v>
      </c>
      <c r="J286" s="236" t="s">
        <v>6707</v>
      </c>
    </row>
    <row r="287" spans="1:10">
      <c r="A287" s="242" t="s">
        <v>7027</v>
      </c>
      <c r="B287" s="236" t="str">
        <f>IF('General price list'!$W$17=B286,A287,IFERROR(VLOOKUP(A287,Kategorie!C:AA,MATCH('General price list'!$W$17,Kategorie!$C$2:$AA$2,0),FALSE),IF(A287="","","× Chybí překlad ×")))</f>
        <v>Batterien 64 schuss, 20mm Mörser-1.3G</v>
      </c>
      <c r="C287" s="236" t="str">
        <f t="shared" si="4"/>
        <v xml:space="preserve">                                          Batterien 64 schuss, 20mm Mörser-1.3G</v>
      </c>
    </row>
    <row r="288" spans="1:10">
      <c r="A288" s="242" t="s">
        <v>24</v>
      </c>
      <c r="B288" s="236" t="str">
        <f>IF('General price list'!$W$17=B287,A288,IFERROR(VLOOKUP(A288,Kategorie!C:AA,MATCH('General price list'!$W$17,Kategorie!$C$2:$AA$2,0),FALSE),IF(A288="","","× Chybí překlad ×")))</f>
        <v/>
      </c>
      <c r="C288" s="236" t="str">
        <f t="shared" si="4"/>
        <v xml:space="preserve">                                          </v>
      </c>
    </row>
    <row r="289" spans="1:10" ht="15.75">
      <c r="A289" s="243" t="s">
        <v>24</v>
      </c>
      <c r="B289" s="236" t="str">
        <f>IF('General price list'!$W$17=B288,A289,IFERROR(VLOOKUP(A289,Kategorie!C:AA,MATCH('General price list'!$W$17,Kategorie!$C$2:$AA$2,0),FALSE),IF(A289="","","× Chybí překlad ×")))</f>
        <v/>
      </c>
      <c r="C289" s="236" t="str">
        <f t="shared" si="4"/>
        <v xml:space="preserve">                                          </v>
      </c>
      <c r="J289" s="236" t="s">
        <v>6716</v>
      </c>
    </row>
    <row r="290" spans="1:10">
      <c r="A290" s="242" t="s">
        <v>24</v>
      </c>
      <c r="B290" s="236" t="str">
        <f>IF('General price list'!$W$17=B289,A290,IFERROR(VLOOKUP(A290,Kategorie!C:AA,MATCH('General price list'!$W$17,Kategorie!$C$2:$AA$2,0),FALSE),IF(A290="","","× Chybí překlad ×")))</f>
        <v/>
      </c>
      <c r="C290" s="236" t="str">
        <f t="shared" si="4"/>
        <v xml:space="preserve">                                          </v>
      </c>
    </row>
    <row r="291" spans="1:10">
      <c r="A291" s="242" t="s">
        <v>7036</v>
      </c>
      <c r="B291" s="236" t="str">
        <f>IF('General price list'!$W$17=B290,A291,IFERROR(VLOOKUP(A291,Kategorie!C:AA,MATCH('General price list'!$W$17,Kategorie!$C$2:$AA$2,0),FALSE),IF(A291="","","× Chybí překlad ×")))</f>
        <v>Batterien 64 schuss, 20mm Mörser-1.4G</v>
      </c>
      <c r="C291" s="236" t="str">
        <f t="shared" si="4"/>
        <v xml:space="preserve">                                          Batterien 64 schuss, 20mm Mörser-1.4G</v>
      </c>
    </row>
    <row r="292" spans="1:10">
      <c r="A292" s="242" t="s">
        <v>24</v>
      </c>
      <c r="B292" s="236" t="str">
        <f>IF('General price list'!$W$17=B291,A292,IFERROR(VLOOKUP(A292,Kategorie!C:AA,MATCH('General price list'!$W$17,Kategorie!$C$2:$AA$2,0),FALSE),IF(A292="","","× Chybí překlad ×")))</f>
        <v/>
      </c>
      <c r="C292" s="236" t="str">
        <f t="shared" si="4"/>
        <v xml:space="preserve">                                          </v>
      </c>
    </row>
    <row r="293" spans="1:10">
      <c r="A293" s="242" t="s">
        <v>24</v>
      </c>
      <c r="B293" s="236" t="str">
        <f>IF('General price list'!$W$17=B292,A293,IFERROR(VLOOKUP(A293,Kategorie!C:AA,MATCH('General price list'!$W$17,Kategorie!$C$2:$AA$2,0),FALSE),IF(A293="","","× Chybí překlad ×")))</f>
        <v/>
      </c>
      <c r="C293" s="236" t="str">
        <f t="shared" si="4"/>
        <v xml:space="preserve">                                          </v>
      </c>
    </row>
    <row r="294" spans="1:10" ht="15.75">
      <c r="A294" s="243" t="s">
        <v>7054</v>
      </c>
      <c r="B294" s="236" t="str">
        <f>IF('General price list'!$W$17=B293,A294,IFERROR(VLOOKUP(A294,Kategorie!C:AA,MATCH('General price list'!$W$17,Kategorie!$C$2:$AA$2,0),FALSE),IF(A294="","","× Chybí překlad ×")))</f>
        <v>Batterien 66 schuss, 20mm I+V+W+schräg Mörser-1.4G</v>
      </c>
      <c r="C294" s="236" t="str">
        <f t="shared" si="4"/>
        <v xml:space="preserve">                                          Batterien 66 schuss, 20mm I+V+W+schräg Mörser-1.4G</v>
      </c>
      <c r="J294" s="236" t="s">
        <v>6725</v>
      </c>
    </row>
    <row r="295" spans="1:10">
      <c r="A295" s="242" t="s">
        <v>24</v>
      </c>
      <c r="B295" s="236" t="str">
        <f>IF('General price list'!$W$17=B294,A295,IFERROR(VLOOKUP(A295,Kategorie!C:AA,MATCH('General price list'!$W$17,Kategorie!$C$2:$AA$2,0),FALSE),IF(A295="","","× Chybí překlad ×")))</f>
        <v/>
      </c>
      <c r="C295" s="236" t="str">
        <f t="shared" si="4"/>
        <v xml:space="preserve">                                          </v>
      </c>
    </row>
    <row r="296" spans="1:10">
      <c r="A296" s="242" t="s">
        <v>24</v>
      </c>
      <c r="B296" s="236" t="str">
        <f>IF('General price list'!$W$17=B295,A296,IFERROR(VLOOKUP(A296,Kategorie!C:AA,MATCH('General price list'!$W$17,Kategorie!$C$2:$AA$2,0),FALSE),IF(A296="","","× Chybí překlad ×")))</f>
        <v/>
      </c>
      <c r="C296" s="236" t="str">
        <f t="shared" si="4"/>
        <v xml:space="preserve">                                          </v>
      </c>
      <c r="J296" s="236" t="s">
        <v>6734</v>
      </c>
    </row>
    <row r="297" spans="1:10">
      <c r="A297" s="242" t="s">
        <v>7062</v>
      </c>
      <c r="B297" s="236" t="str">
        <f>IF('General price list'!$W$17=B296,A297,IFERROR(VLOOKUP(A297,Kategorie!C:AA,MATCH('General price list'!$W$17,Kategorie!$C$2:$AA$2,0),FALSE),IF(A297="","","× Chybí překlad ×")))</f>
        <v>Batterien 90 schuss, 20mm Mörser-1.3G</v>
      </c>
      <c r="C297" s="236" t="str">
        <f t="shared" si="4"/>
        <v xml:space="preserve">                                          Batterien 90 schuss, 20mm Mörser-1.3G</v>
      </c>
    </row>
    <row r="298" spans="1:10">
      <c r="A298" s="242" t="s">
        <v>24</v>
      </c>
      <c r="B298" s="236" t="str">
        <f>IF('General price list'!$W$17=B297,A298,IFERROR(VLOOKUP(A298,Kategorie!C:AA,MATCH('General price list'!$W$17,Kategorie!$C$2:$AA$2,0),FALSE),IF(A298="","","× Chybí překlad ×")))</f>
        <v/>
      </c>
      <c r="C298" s="236" t="str">
        <f t="shared" si="4"/>
        <v xml:space="preserve">                                          </v>
      </c>
    </row>
    <row r="299" spans="1:10">
      <c r="A299" s="242" t="s">
        <v>24</v>
      </c>
      <c r="B299" s="236" t="str">
        <f>IF('General price list'!$W$17=B298,A299,IFERROR(VLOOKUP(A299,Kategorie!C:AA,MATCH('General price list'!$W$17,Kategorie!$C$2:$AA$2,0),FALSE),IF(A299="","","× Chybí překlad ×")))</f>
        <v/>
      </c>
      <c r="C299" s="236" t="str">
        <f t="shared" si="4"/>
        <v xml:space="preserve">                                          </v>
      </c>
      <c r="J299" s="236" t="s">
        <v>6743</v>
      </c>
    </row>
    <row r="300" spans="1:10">
      <c r="A300" s="242" t="s">
        <v>7071</v>
      </c>
      <c r="B300" s="236" t="str">
        <f>IF('General price list'!$W$17=B299,A300,IFERROR(VLOOKUP(A300,Kategorie!C:AA,MATCH('General price list'!$W$17,Kategorie!$C$2:$AA$2,0),FALSE),IF(A300="","","× Chybí překlad ×")))</f>
        <v>Batterien 100 schuss, 20mm Mörser-1.4G</v>
      </c>
      <c r="C300" s="236" t="str">
        <f t="shared" si="4"/>
        <v xml:space="preserve">                                          Batterien 100 schuss, 20mm Mörser-1.4G</v>
      </c>
    </row>
    <row r="301" spans="1:10">
      <c r="A301" s="242" t="s">
        <v>24</v>
      </c>
      <c r="B301" s="236" t="str">
        <f>IF('General price list'!$W$17=B300,A301,IFERROR(VLOOKUP(A301,Kategorie!C:AA,MATCH('General price list'!$W$17,Kategorie!$C$2:$AA$2,0),FALSE),IF(A301="","","× Chybí překlad ×")))</f>
        <v/>
      </c>
      <c r="C301" s="236" t="str">
        <f t="shared" si="4"/>
        <v xml:space="preserve">                                          </v>
      </c>
    </row>
    <row r="302" spans="1:10" ht="15.75">
      <c r="A302" s="243" t="s">
        <v>24</v>
      </c>
      <c r="B302" s="236" t="str">
        <f>IF('General price list'!$W$17=B301,A302,IFERROR(VLOOKUP(A302,Kategorie!C:AA,MATCH('General price list'!$W$17,Kategorie!$C$2:$AA$2,0),FALSE),IF(A302="","","× Chybí překlad ×")))</f>
        <v/>
      </c>
      <c r="C302" s="236" t="str">
        <f t="shared" si="4"/>
        <v xml:space="preserve">                                          </v>
      </c>
    </row>
    <row r="303" spans="1:10">
      <c r="A303" s="242" t="s">
        <v>24</v>
      </c>
      <c r="B303" s="236" t="str">
        <f>IF('General price list'!$W$17=B302,A303,IFERROR(VLOOKUP(A303,Kategorie!C:AA,MATCH('General price list'!$W$17,Kategorie!$C$2:$AA$2,0),FALSE),IF(A303="","","× Chybí překlad ×")))</f>
        <v/>
      </c>
      <c r="C303" s="236" t="str">
        <f t="shared" si="4"/>
        <v xml:space="preserve">                                          </v>
      </c>
    </row>
    <row r="304" spans="1:10">
      <c r="A304" s="242" t="s">
        <v>24</v>
      </c>
      <c r="B304" s="236" t="str">
        <f>IF('General price list'!$W$17=B303,A304,IFERROR(VLOOKUP(A304,Kategorie!C:AA,MATCH('General price list'!$W$17,Kategorie!$C$2:$AA$2,0),FALSE),IF(A304="","","× Chybí překlad ×")))</f>
        <v/>
      </c>
      <c r="C304" s="236" t="str">
        <f t="shared" si="4"/>
        <v xml:space="preserve">                                          </v>
      </c>
    </row>
    <row r="305" spans="1:10">
      <c r="A305" s="242" t="s">
        <v>7080</v>
      </c>
      <c r="B305" s="236" t="str">
        <f>IF('General price list'!$W$17=B304,A305,IFERROR(VLOOKUP(A305,Kategorie!C:AA,MATCH('General price list'!$W$17,Kategorie!$C$2:$AA$2,0),FALSE),IF(A305="","","× Chybí překlad ×")))</f>
        <v>Batterien 100 schuss, 20mm Mörser(alle Richtungen)-1.4G</v>
      </c>
      <c r="C305" s="236" t="str">
        <f t="shared" si="4"/>
        <v xml:space="preserve">                                          Batterien 100 schuss, 20mm Mörser(alle Richtungen)-1.4G</v>
      </c>
    </row>
    <row r="306" spans="1:10">
      <c r="A306" s="242" t="s">
        <v>13492</v>
      </c>
      <c r="B306" s="236" t="str">
        <f>IF('General price list'!$W$17=B305,A306,IFERROR(VLOOKUP(A306,Kategorie!C:AA,MATCH('General price list'!$W$17,Kategorie!$C$2:$AA$2,0),FALSE),IF(A306="","","× Chybí překlad ×")))</f>
        <v>x</v>
      </c>
      <c r="C306" s="236" t="str">
        <f t="shared" si="4"/>
        <v>×</v>
      </c>
      <c r="J306" s="236" t="s">
        <v>6752</v>
      </c>
    </row>
    <row r="307" spans="1:10">
      <c r="A307" s="242" t="s">
        <v>24</v>
      </c>
      <c r="B307" s="236" t="str">
        <f>IF('General price list'!$W$17=B306,A307,IFERROR(VLOOKUP(A307,Kategorie!C:AA,MATCH('General price list'!$W$17,Kategorie!$C$2:$AA$2,0),FALSE),IF(A307="","","× Chybí překlad ×")))</f>
        <v/>
      </c>
      <c r="C307" s="236" t="str">
        <f t="shared" si="4"/>
        <v xml:space="preserve">                                          </v>
      </c>
    </row>
    <row r="308" spans="1:10">
      <c r="A308" s="242" t="s">
        <v>24</v>
      </c>
      <c r="B308" s="236" t="str">
        <f>IF('General price list'!$W$17=B307,A308,IFERROR(VLOOKUP(A308,Kategorie!C:AA,MATCH('General price list'!$W$17,Kategorie!$C$2:$AA$2,0),FALSE),IF(A308="","","× Chybí překlad ×")))</f>
        <v/>
      </c>
      <c r="C308" s="236" t="str">
        <f t="shared" si="4"/>
        <v xml:space="preserve">                                          </v>
      </c>
    </row>
    <row r="309" spans="1:10">
      <c r="A309" s="242" t="s">
        <v>24</v>
      </c>
      <c r="B309" s="236" t="str">
        <f>IF('General price list'!$W$17=B308,A309,IFERROR(VLOOKUP(A309,Kategorie!C:AA,MATCH('General price list'!$W$17,Kategorie!$C$2:$AA$2,0),FALSE),IF(A309="","","× Chybí překlad ×")))</f>
        <v/>
      </c>
      <c r="C309" s="236" t="str">
        <f t="shared" si="4"/>
        <v xml:space="preserve">                                          </v>
      </c>
    </row>
    <row r="310" spans="1:10">
      <c r="A310" s="242" t="s">
        <v>7098</v>
      </c>
      <c r="B310" s="236" t="str">
        <f>IF('General price list'!$W$17=B309,A310,IFERROR(VLOOKUP(A310,Kategorie!C:AA,MATCH('General price list'!$W$17,Kategorie!$C$2:$AA$2,0),FALSE),IF(A310="","","× Chybí překlad ×")))</f>
        <v>Batterien 130 schuss, 20mm Mörser-1.3G</v>
      </c>
      <c r="C310" s="236" t="str">
        <f t="shared" si="4"/>
        <v xml:space="preserve">                                          Batterien 130 schuss, 20mm Mörser-1.3G</v>
      </c>
    </row>
    <row r="311" spans="1:10">
      <c r="A311" s="242" t="s">
        <v>24</v>
      </c>
      <c r="B311" s="236" t="str">
        <f>IF('General price list'!$W$17=B310,A311,IFERROR(VLOOKUP(A311,Kategorie!C:AA,MATCH('General price list'!$W$17,Kategorie!$C$2:$AA$2,0),FALSE),IF(A311="","","× Chybí překlad ×")))</f>
        <v/>
      </c>
      <c r="C311" s="236" t="str">
        <f t="shared" si="4"/>
        <v xml:space="preserve">                                          </v>
      </c>
    </row>
    <row r="312" spans="1:10">
      <c r="A312" s="242" t="s">
        <v>24</v>
      </c>
      <c r="B312" s="236" t="str">
        <f>IF('General price list'!$W$17=B311,A312,IFERROR(VLOOKUP(A312,Kategorie!C:AA,MATCH('General price list'!$W$17,Kategorie!$C$2:$AA$2,0),FALSE),IF(A312="","","× Chybí překlad ×")))</f>
        <v/>
      </c>
      <c r="C312" s="236" t="str">
        <f t="shared" si="4"/>
        <v xml:space="preserve">                                          </v>
      </c>
    </row>
    <row r="313" spans="1:10">
      <c r="A313" s="242" t="s">
        <v>7143</v>
      </c>
      <c r="B313" s="236" t="str">
        <f>IF('General price list'!$W$17=B312,A313,IFERROR(VLOOKUP(A313,Kategorie!C:AA,MATCH('General price list'!$W$17,Kategorie!$C$2:$AA$2,0),FALSE),IF(A313="","","× Chybí překlad ×")))</f>
        <v>Verbundfeurwerk 20mm - F2 - 1.4G</v>
      </c>
      <c r="C313" s="236" t="str">
        <f t="shared" si="4"/>
        <v xml:space="preserve">                                          Verbundfeurwerk 20mm - F2 - 1.4G</v>
      </c>
    </row>
    <row r="314" spans="1:10" ht="15.75">
      <c r="A314" s="243" t="s">
        <v>24</v>
      </c>
      <c r="B314" s="236" t="str">
        <f>IF('General price list'!$W$17=B313,A314,IFERROR(VLOOKUP(A314,Kategorie!C:AA,MATCH('General price list'!$W$17,Kategorie!$C$2:$AA$2,0),FALSE),IF(A314="","","× Chybí překlad ×")))</f>
        <v/>
      </c>
      <c r="C314" s="236" t="str">
        <f t="shared" si="4"/>
        <v xml:space="preserve">                                          </v>
      </c>
    </row>
    <row r="315" spans="1:10">
      <c r="A315" s="242" t="s">
        <v>24</v>
      </c>
      <c r="B315" s="236" t="str">
        <f>IF('General price list'!$W$17=B314,A315,IFERROR(VLOOKUP(A315,Kategorie!C:AA,MATCH('General price list'!$W$17,Kategorie!$C$2:$AA$2,0),FALSE),IF(A315="","","× Chybí překlad ×")))</f>
        <v/>
      </c>
      <c r="C315" s="236" t="str">
        <f t="shared" si="4"/>
        <v xml:space="preserve">                                          </v>
      </c>
    </row>
    <row r="316" spans="1:10">
      <c r="A316" s="242" t="s">
        <v>24</v>
      </c>
      <c r="B316" s="236" t="str">
        <f>IF('General price list'!$W$17=B315,A316,IFERROR(VLOOKUP(A316,Kategorie!C:AA,MATCH('General price list'!$W$17,Kategorie!$C$2:$AA$2,0),FALSE),IF(A316="","","× Chybí překlad ×")))</f>
        <v/>
      </c>
      <c r="C316" s="236" t="str">
        <f t="shared" si="4"/>
        <v xml:space="preserve">                                          </v>
      </c>
    </row>
    <row r="317" spans="1:10">
      <c r="A317" s="242" t="s">
        <v>24</v>
      </c>
      <c r="B317" s="236" t="str">
        <f>IF('General price list'!$W$17=B316,A317,IFERROR(VLOOKUP(A317,Kategorie!C:AA,MATCH('General price list'!$W$17,Kategorie!$C$2:$AA$2,0),FALSE),IF(A317="","","× Chybí překlad ×")))</f>
        <v/>
      </c>
      <c r="C317" s="236" t="str">
        <f t="shared" si="4"/>
        <v xml:space="preserve">                                          </v>
      </c>
    </row>
    <row r="318" spans="1:10">
      <c r="A318" s="242" t="s">
        <v>24</v>
      </c>
      <c r="B318" s="236" t="str">
        <f>IF('General price list'!$W$17=B317,A318,IFERROR(VLOOKUP(A318,Kategorie!C:AA,MATCH('General price list'!$W$17,Kategorie!$C$2:$AA$2,0),FALSE),IF(A318="","","× Chybí překlad ×")))</f>
        <v/>
      </c>
      <c r="C318" s="236" t="str">
        <f t="shared" si="4"/>
        <v xml:space="preserve">                                          </v>
      </c>
    </row>
    <row r="319" spans="1:10">
      <c r="A319" s="242" t="s">
        <v>24</v>
      </c>
      <c r="B319" s="236" t="str">
        <f>IF('General price list'!$W$17=B318,A319,IFERROR(VLOOKUP(A319,Kategorie!C:AA,MATCH('General price list'!$W$17,Kategorie!$C$2:$AA$2,0),FALSE),IF(A319="","","× Chybí překlad ×")))</f>
        <v/>
      </c>
      <c r="C319" s="236" t="str">
        <f t="shared" si="4"/>
        <v xml:space="preserve">                                          </v>
      </c>
      <c r="J319" s="236" t="s">
        <v>6761</v>
      </c>
    </row>
    <row r="320" spans="1:10">
      <c r="A320" s="242" t="s">
        <v>24</v>
      </c>
      <c r="B320" s="236" t="str">
        <f>IF('General price list'!$W$17=B319,A320,IFERROR(VLOOKUP(A320,Kategorie!C:AA,MATCH('General price list'!$W$17,Kategorie!$C$2:$AA$2,0),FALSE),IF(A320="","","× Chybí překlad ×")))</f>
        <v/>
      </c>
      <c r="C320" s="236" t="str">
        <f t="shared" si="4"/>
        <v xml:space="preserve">                                          </v>
      </c>
    </row>
    <row r="321" spans="1:10">
      <c r="A321" s="242" t="s">
        <v>24</v>
      </c>
      <c r="B321" s="236" t="str">
        <f>IF('General price list'!$W$17=B320,A321,IFERROR(VLOOKUP(A321,Kategorie!C:AA,MATCH('General price list'!$W$17,Kategorie!$C$2:$AA$2,0),FALSE),IF(A321="","","× Chybí překlad ×")))</f>
        <v/>
      </c>
      <c r="C321" s="236" t="str">
        <f t="shared" si="4"/>
        <v xml:space="preserve">                                          </v>
      </c>
    </row>
    <row r="322" spans="1:10">
      <c r="A322" s="242" t="s">
        <v>24</v>
      </c>
      <c r="B322" s="236" t="str">
        <f>IF('General price list'!$W$17=B321,A322,IFERROR(VLOOKUP(A322,Kategorie!C:AA,MATCH('General price list'!$W$17,Kategorie!$C$2:$AA$2,0),FALSE),IF(A322="","","× Chybí překlad ×")))</f>
        <v/>
      </c>
      <c r="C322" s="236" t="str">
        <f t="shared" si="4"/>
        <v xml:space="preserve">                                          </v>
      </c>
    </row>
    <row r="323" spans="1:10">
      <c r="A323" s="242" t="s">
        <v>7197</v>
      </c>
      <c r="B323" s="236" t="str">
        <f>IF('General price list'!$W$17=B322,A323,IFERROR(VLOOKUP(A323,Kategorie!C:AA,MATCH('General price list'!$W$17,Kategorie!$C$2:$AA$2,0),FALSE),IF(A323="","","× Chybí překlad ×")))</f>
        <v>Batterien 16 schuss, 25mm Mörser-1.3G</v>
      </c>
      <c r="C323" s="236" t="str">
        <f t="shared" si="4"/>
        <v xml:space="preserve">                                          Batterien 16 schuss, 25mm Mörser-1.3G</v>
      </c>
    </row>
    <row r="324" spans="1:10">
      <c r="A324" s="242" t="s">
        <v>24</v>
      </c>
      <c r="B324" s="236" t="str">
        <f>IF('General price list'!$W$17=B323,A324,IFERROR(VLOOKUP(A324,Kategorie!C:AA,MATCH('General price list'!$W$17,Kategorie!$C$2:$AA$2,0),FALSE),IF(A324="","","× Chybí překlad ×")))</f>
        <v/>
      </c>
      <c r="C324" s="236" t="str">
        <f t="shared" si="4"/>
        <v xml:space="preserve">                                          </v>
      </c>
    </row>
    <row r="325" spans="1:10">
      <c r="A325" s="242" t="s">
        <v>24</v>
      </c>
      <c r="B325" s="236" t="str">
        <f>IF('General price list'!$W$17=B324,A325,IFERROR(VLOOKUP(A325,Kategorie!C:AA,MATCH('General price list'!$W$17,Kategorie!$C$2:$AA$2,0),FALSE),IF(A325="","","× Chybí překlad ×")))</f>
        <v/>
      </c>
      <c r="C325" s="236" t="str">
        <f t="shared" si="4"/>
        <v xml:space="preserve">                                          </v>
      </c>
    </row>
    <row r="326" spans="1:10">
      <c r="A326" s="242" t="s">
        <v>24</v>
      </c>
      <c r="B326" s="236" t="str">
        <f>IF('General price list'!$W$17=B325,A326,IFERROR(VLOOKUP(A326,Kategorie!C:AA,MATCH('General price list'!$W$17,Kategorie!$C$2:$AA$2,0),FALSE),IF(A326="","","× Chybí překlad ×")))</f>
        <v/>
      </c>
      <c r="C326" s="236" t="str">
        <f t="shared" si="4"/>
        <v xml:space="preserve">                                          </v>
      </c>
    </row>
    <row r="327" spans="1:10">
      <c r="A327" s="242" t="s">
        <v>24</v>
      </c>
      <c r="B327" s="236" t="str">
        <f>IF('General price list'!$W$17=B326,A327,IFERROR(VLOOKUP(A327,Kategorie!C:AA,MATCH('General price list'!$W$17,Kategorie!$C$2:$AA$2,0),FALSE),IF(A327="","","× Chybí překlad ×")))</f>
        <v/>
      </c>
      <c r="C327" s="236" t="str">
        <f t="shared" si="4"/>
        <v xml:space="preserve">                                          </v>
      </c>
    </row>
    <row r="328" spans="1:10">
      <c r="A328" s="242" t="s">
        <v>7206</v>
      </c>
      <c r="B328" s="236" t="str">
        <f>IF('General price list'!$W$17=B327,A328,IFERROR(VLOOKUP(A328,Kategorie!C:AA,MATCH('General price list'!$W$17,Kategorie!$C$2:$AA$2,0),FALSE),IF(A328="","","× Chybí překlad ×")))</f>
        <v>Batterien 16 schuss, 25mm Mörser-1.4G</v>
      </c>
      <c r="C328" s="236" t="str">
        <f t="shared" si="4"/>
        <v xml:space="preserve">                                          Batterien 16 schuss, 25mm Mörser-1.4G</v>
      </c>
    </row>
    <row r="329" spans="1:10">
      <c r="A329" s="242" t="s">
        <v>24</v>
      </c>
      <c r="B329" s="236" t="str">
        <f>IF('General price list'!$W$17=B328,A329,IFERROR(VLOOKUP(A329,Kategorie!C:AA,MATCH('General price list'!$W$17,Kategorie!$C$2:$AA$2,0),FALSE),IF(A329="","","× Chybí překlad ×")))</f>
        <v/>
      </c>
      <c r="C329" s="236" t="str">
        <f t="shared" si="4"/>
        <v xml:space="preserve">                                          </v>
      </c>
      <c r="J329" s="236" t="s">
        <v>6770</v>
      </c>
    </row>
    <row r="330" spans="1:10">
      <c r="A330" s="242" t="s">
        <v>24</v>
      </c>
      <c r="B330" s="236" t="str">
        <f>IF('General price list'!$W$17=B329,A330,IFERROR(VLOOKUP(A330,Kategorie!C:AA,MATCH('General price list'!$W$17,Kategorie!$C$2:$AA$2,0),FALSE),IF(A330="","","× Chybí překlad ×")))</f>
        <v/>
      </c>
      <c r="C330" s="236" t="str">
        <f t="shared" si="4"/>
        <v xml:space="preserve">                                          </v>
      </c>
    </row>
    <row r="331" spans="1:10">
      <c r="A331" s="242" t="s">
        <v>24</v>
      </c>
      <c r="B331" s="236" t="str">
        <f>IF('General price list'!$W$17=B330,A331,IFERROR(VLOOKUP(A331,Kategorie!C:AA,MATCH('General price list'!$W$17,Kategorie!$C$2:$AA$2,0),FALSE),IF(A331="","","× Chybí překlad ×")))</f>
        <v/>
      </c>
      <c r="C331" s="236" t="str">
        <f t="shared" si="4"/>
        <v xml:space="preserve">                                          </v>
      </c>
    </row>
    <row r="332" spans="1:10" ht="15.75">
      <c r="A332" s="243" t="s">
        <v>7215</v>
      </c>
      <c r="B332" s="236" t="str">
        <f>IF('General price list'!$W$17=B331,A332,IFERROR(VLOOKUP(A332,Kategorie!C:AA,MATCH('General price list'!$W$17,Kategorie!$C$2:$AA$2,0),FALSE),IF(A332="","","× Chybí překlad ×")))</f>
        <v>Batterien 25 schuss, 25mm Mörser-1.3G</v>
      </c>
      <c r="C332" s="236" t="str">
        <f t="shared" si="4"/>
        <v xml:space="preserve">                                          Batterien 25 schuss, 25mm Mörser-1.3G</v>
      </c>
    </row>
    <row r="333" spans="1:10">
      <c r="A333" s="242" t="s">
        <v>24</v>
      </c>
      <c r="B333" s="236" t="str">
        <f>IF('General price list'!$W$17=B332,A333,IFERROR(VLOOKUP(A333,Kategorie!C:AA,MATCH('General price list'!$W$17,Kategorie!$C$2:$AA$2,0),FALSE),IF(A333="","","× Chybí překlad ×")))</f>
        <v/>
      </c>
      <c r="C333" s="236" t="str">
        <f t="shared" si="4"/>
        <v xml:space="preserve">                                          </v>
      </c>
    </row>
    <row r="334" spans="1:10">
      <c r="A334" s="242" t="s">
        <v>24</v>
      </c>
      <c r="B334" s="236" t="str">
        <f>IF('General price list'!$W$17=B333,A334,IFERROR(VLOOKUP(A334,Kategorie!C:AA,MATCH('General price list'!$W$17,Kategorie!$C$2:$AA$2,0),FALSE),IF(A334="","","× Chybí překlad ×")))</f>
        <v/>
      </c>
      <c r="C334" s="236" t="str">
        <f t="shared" si="4"/>
        <v xml:space="preserve">                                          </v>
      </c>
    </row>
    <row r="335" spans="1:10">
      <c r="A335" s="242" t="s">
        <v>7232</v>
      </c>
      <c r="B335" s="236" t="str">
        <f>IF('General price list'!$W$17=B334,A335,IFERROR(VLOOKUP(A335,Kategorie!C:AA,MATCH('General price list'!$W$17,Kategorie!$C$2:$AA$2,0),FALSE),IF(A335="","","× Chybí překlad ×")))</f>
        <v>Batterien 25 schuss, 25mm schräg Mörser-1.3G</v>
      </c>
      <c r="C335" s="236" t="str">
        <f t="shared" si="4"/>
        <v xml:space="preserve">                                          Batterien 25 schuss, 25mm schräg Mörser-1.3G</v>
      </c>
    </row>
    <row r="336" spans="1:10">
      <c r="A336" s="242" t="s">
        <v>24</v>
      </c>
      <c r="B336" s="236" t="str">
        <f>IF('General price list'!$W$17=B335,A336,IFERROR(VLOOKUP(A336,Kategorie!C:AA,MATCH('General price list'!$W$17,Kategorie!$C$2:$AA$2,0),FALSE),IF(A336="","","× Chybí překlad ×")))</f>
        <v/>
      </c>
      <c r="C336" s="236" t="str">
        <f t="shared" si="4"/>
        <v xml:space="preserve">                                          </v>
      </c>
    </row>
    <row r="337" spans="1:10">
      <c r="A337" s="242" t="s">
        <v>24</v>
      </c>
      <c r="B337" s="236" t="str">
        <f>IF('General price list'!$W$17=B336,A337,IFERROR(VLOOKUP(A337,Kategorie!C:AA,MATCH('General price list'!$W$17,Kategorie!$C$2:$AA$2,0),FALSE),IF(A337="","","× Chybí překlad ×")))</f>
        <v/>
      </c>
      <c r="C337" s="236" t="str">
        <f t="shared" si="4"/>
        <v xml:space="preserve">                                          </v>
      </c>
    </row>
    <row r="338" spans="1:10">
      <c r="A338" s="242" t="s">
        <v>24</v>
      </c>
      <c r="B338" s="236" t="str">
        <f>IF('General price list'!$W$17=B337,A338,IFERROR(VLOOKUP(A338,Kategorie!C:AA,MATCH('General price list'!$W$17,Kategorie!$C$2:$AA$2,0),FALSE),IF(A338="","","× Chybí překlad ×")))</f>
        <v/>
      </c>
      <c r="C338" s="236" t="str">
        <f t="shared" si="4"/>
        <v xml:space="preserve">                                          </v>
      </c>
    </row>
    <row r="339" spans="1:10">
      <c r="A339" s="242" t="s">
        <v>7241</v>
      </c>
      <c r="B339" s="236" t="str">
        <f>IF('General price list'!$W$17=B338,A339,IFERROR(VLOOKUP(A339,Kategorie!C:AA,MATCH('General price list'!$W$17,Kategorie!$C$2:$AA$2,0),FALSE),IF(A339="","","× Chybí překlad ×")))</f>
        <v>Batterien 48 schuss, 25mm gerader+schräg Mörser-1.3G</v>
      </c>
      <c r="C339" s="236" t="str">
        <f t="shared" si="4"/>
        <v xml:space="preserve">                                          Batterien 48 schuss, 25mm gerader+schräg Mörser-1.3G</v>
      </c>
    </row>
    <row r="340" spans="1:10">
      <c r="A340" s="242" t="s">
        <v>13492</v>
      </c>
      <c r="B340" s="236" t="str">
        <f>IF('General price list'!$W$17=B339,A340,IFERROR(VLOOKUP(A340,Kategorie!C:AA,MATCH('General price list'!$W$17,Kategorie!$C$2:$AA$2,0),FALSE),IF(A340="","","× Chybí překlad ×")))</f>
        <v>x</v>
      </c>
      <c r="C340" s="236" t="str">
        <f t="shared" si="4"/>
        <v>×</v>
      </c>
    </row>
    <row r="341" spans="1:10">
      <c r="A341" s="242" t="s">
        <v>7250</v>
      </c>
      <c r="B341" s="236" t="str">
        <f>IF('General price list'!$W$17=B340,A341,IFERROR(VLOOKUP(A341,Kategorie!C:AA,MATCH('General price list'!$W$17,Kategorie!$C$2:$AA$2,0),FALSE),IF(A341="","","× Chybí překlad ×")))</f>
        <v>Batterien 49 schuss, 25mm Mörser-F2-1.3G</v>
      </c>
      <c r="C341" s="236" t="str">
        <f t="shared" si="4"/>
        <v xml:space="preserve">                                          Batterien 49 schuss, 25mm Mörser-F2-1.3G</v>
      </c>
    </row>
    <row r="342" spans="1:10">
      <c r="A342" s="242" t="s">
        <v>24</v>
      </c>
      <c r="B342" s="236" t="str">
        <f>IF('General price list'!$W$17=B341,A342,IFERROR(VLOOKUP(A342,Kategorie!C:AA,MATCH('General price list'!$W$17,Kategorie!$C$2:$AA$2,0),FALSE),IF(A342="","","× Chybí překlad ×")))</f>
        <v/>
      </c>
      <c r="C342" s="236" t="str">
        <f t="shared" ref="C342:C405" si="5">IF(A342="x","×",$C$1&amp;B342)</f>
        <v xml:space="preserve">                                          </v>
      </c>
    </row>
    <row r="343" spans="1:10">
      <c r="A343" s="242" t="s">
        <v>24</v>
      </c>
      <c r="B343" s="236" t="str">
        <f>IF('General price list'!$W$17=B342,A343,IFERROR(VLOOKUP(A343,Kategorie!C:AA,MATCH('General price list'!$W$17,Kategorie!$C$2:$AA$2,0),FALSE),IF(A343="","","× Chybí překlad ×")))</f>
        <v/>
      </c>
      <c r="C343" s="236" t="str">
        <f t="shared" si="5"/>
        <v xml:space="preserve">                                          </v>
      </c>
    </row>
    <row r="344" spans="1:10">
      <c r="A344" s="242" t="s">
        <v>24</v>
      </c>
      <c r="B344" s="236" t="str">
        <f>IF('General price list'!$W$17=B343,A344,IFERROR(VLOOKUP(A344,Kategorie!C:AA,MATCH('General price list'!$W$17,Kategorie!$C$2:$AA$2,0),FALSE),IF(A344="","","× Chybí překlad ×")))</f>
        <v/>
      </c>
      <c r="C344" s="236" t="str">
        <f t="shared" si="5"/>
        <v xml:space="preserve">                                          </v>
      </c>
    </row>
    <row r="345" spans="1:10">
      <c r="A345" s="242" t="s">
        <v>7259</v>
      </c>
      <c r="B345" s="236" t="str">
        <f>IF('General price list'!$W$17=B344,A345,IFERROR(VLOOKUP(A345,Kategorie!C:AA,MATCH('General price list'!$W$17,Kategorie!$C$2:$AA$2,0),FALSE),IF(A345="","","× Chybí překlad ×")))</f>
        <v>Batterien 49 schuss, 25mm Mörser-F2-1.4G</v>
      </c>
      <c r="C345" s="236" t="str">
        <f t="shared" si="5"/>
        <v xml:space="preserve">                                          Batterien 49 schuss, 25mm Mörser-F2-1.4G</v>
      </c>
    </row>
    <row r="346" spans="1:10">
      <c r="A346" s="242" t="s">
        <v>24</v>
      </c>
      <c r="B346" s="236" t="str">
        <f>IF('General price list'!$W$17=B345,A346,IFERROR(VLOOKUP(A346,Kategorie!C:AA,MATCH('General price list'!$W$17,Kategorie!$C$2:$AA$2,0),FALSE),IF(A346="","","× Chybí překlad ×")))</f>
        <v/>
      </c>
      <c r="C346" s="236" t="str">
        <f t="shared" si="5"/>
        <v xml:space="preserve">                                          </v>
      </c>
      <c r="J346" s="236" t="s">
        <v>6779</v>
      </c>
    </row>
    <row r="347" spans="1:10">
      <c r="A347" s="242" t="s">
        <v>24</v>
      </c>
      <c r="B347" s="236" t="str">
        <f>IF('General price list'!$W$17=B346,A347,IFERROR(VLOOKUP(A347,Kategorie!C:AA,MATCH('General price list'!$W$17,Kategorie!$C$2:$AA$2,0),FALSE),IF(A347="","","× Chybí překlad ×")))</f>
        <v/>
      </c>
      <c r="C347" s="236" t="str">
        <f t="shared" si="5"/>
        <v xml:space="preserve">                                          </v>
      </c>
    </row>
    <row r="348" spans="1:10">
      <c r="A348" s="242" t="s">
        <v>24</v>
      </c>
      <c r="B348" s="236" t="str">
        <f>IF('General price list'!$W$17=B347,A348,IFERROR(VLOOKUP(A348,Kategorie!C:AA,MATCH('General price list'!$W$17,Kategorie!$C$2:$AA$2,0),FALSE),IF(A348="","","× Chybí překlad ×")))</f>
        <v/>
      </c>
      <c r="C348" s="236" t="str">
        <f t="shared" si="5"/>
        <v xml:space="preserve">                                          </v>
      </c>
    </row>
    <row r="349" spans="1:10">
      <c r="A349" s="242" t="s">
        <v>7295</v>
      </c>
      <c r="B349" s="236" t="str">
        <f>IF('General price list'!$W$17=B348,A349,IFERROR(VLOOKUP(A349,Kategorie!C:AA,MATCH('General price list'!$W$17,Kategorie!$C$2:$AA$2,0),FALSE),IF(A349="","","× Chybí překlad ×")))</f>
        <v>Batterien 88 schuss, 25mm Mörser-1.3G</v>
      </c>
      <c r="C349" s="236" t="str">
        <f t="shared" si="5"/>
        <v xml:space="preserve">                                          Batterien 88 schuss, 25mm Mörser-1.3G</v>
      </c>
    </row>
    <row r="350" spans="1:10" ht="15.75">
      <c r="A350" s="243" t="s">
        <v>24</v>
      </c>
      <c r="B350" s="236" t="str">
        <f>IF('General price list'!$W$17=B349,A350,IFERROR(VLOOKUP(A350,Kategorie!C:AA,MATCH('General price list'!$W$17,Kategorie!$C$2:$AA$2,0),FALSE),IF(A350="","","× Chybí překlad ×")))</f>
        <v/>
      </c>
      <c r="C350" s="236" t="str">
        <f t="shared" si="5"/>
        <v xml:space="preserve">                                          </v>
      </c>
    </row>
    <row r="351" spans="1:10">
      <c r="A351" s="242" t="s">
        <v>7322</v>
      </c>
      <c r="B351" s="236" t="str">
        <f>IF('General price list'!$W$17=B350,A351,IFERROR(VLOOKUP(A351,Kategorie!C:AA,MATCH('General price list'!$W$17,Kategorie!$C$2:$AA$2,0),FALSE),IF(A351="","","× Chybí překlad ×")))</f>
        <v>Verbundfeurwerk 25mm - F2 - 1.4G</v>
      </c>
      <c r="C351" s="236" t="str">
        <f t="shared" si="5"/>
        <v xml:space="preserve">                                          Verbundfeurwerk 25mm - F2 - 1.4G</v>
      </c>
    </row>
    <row r="352" spans="1:10">
      <c r="A352" s="242" t="s">
        <v>13492</v>
      </c>
      <c r="B352" s="236" t="str">
        <f>IF('General price list'!$W$17=B351,A352,IFERROR(VLOOKUP(A352,Kategorie!C:AA,MATCH('General price list'!$W$17,Kategorie!$C$2:$AA$2,0),FALSE),IF(A352="","","× Chybí překlad ×")))</f>
        <v>x</v>
      </c>
      <c r="C352" s="236" t="str">
        <f t="shared" si="5"/>
        <v>×</v>
      </c>
    </row>
    <row r="353" spans="1:10">
      <c r="A353" s="242" t="s">
        <v>24</v>
      </c>
      <c r="B353" s="236" t="str">
        <f>IF('General price list'!$W$17=B352,A353,IFERROR(VLOOKUP(A353,Kategorie!C:AA,MATCH('General price list'!$W$17,Kategorie!$C$2:$AA$2,0),FALSE),IF(A353="","","× Chybí překlad ×")))</f>
        <v/>
      </c>
      <c r="C353" s="236" t="str">
        <f t="shared" si="5"/>
        <v xml:space="preserve">                                          </v>
      </c>
      <c r="J353" s="236" t="s">
        <v>6788</v>
      </c>
    </row>
    <row r="354" spans="1:10">
      <c r="A354" s="242" t="s">
        <v>24</v>
      </c>
      <c r="B354" s="236" t="str">
        <f>IF('General price list'!$W$17=B353,A354,IFERROR(VLOOKUP(A354,Kategorie!C:AA,MATCH('General price list'!$W$17,Kategorie!$C$2:$AA$2,0),FALSE),IF(A354="","","× Chybí překlad ×")))</f>
        <v/>
      </c>
      <c r="C354" s="236" t="str">
        <f t="shared" si="5"/>
        <v xml:space="preserve">                                          </v>
      </c>
    </row>
    <row r="355" spans="1:10">
      <c r="A355" s="242" t="s">
        <v>24</v>
      </c>
      <c r="B355" s="236" t="str">
        <f>IF('General price list'!$W$17=B354,A355,IFERROR(VLOOKUP(A355,Kategorie!C:AA,MATCH('General price list'!$W$17,Kategorie!$C$2:$AA$2,0),FALSE),IF(A355="","","× Chybí překlad ×")))</f>
        <v/>
      </c>
      <c r="C355" s="236" t="str">
        <f t="shared" si="5"/>
        <v xml:space="preserve">                                          </v>
      </c>
    </row>
    <row r="356" spans="1:10">
      <c r="A356" s="242" t="s">
        <v>24</v>
      </c>
      <c r="B356" s="236" t="str">
        <f>IF('General price list'!$W$17=B355,A356,IFERROR(VLOOKUP(A356,Kategorie!C:AA,MATCH('General price list'!$W$17,Kategorie!$C$2:$AA$2,0),FALSE),IF(A356="","","× Chybí překlad ×")))</f>
        <v/>
      </c>
      <c r="C356" s="236" t="str">
        <f t="shared" si="5"/>
        <v xml:space="preserve">                                          </v>
      </c>
    </row>
    <row r="357" spans="1:10">
      <c r="A357" s="242" t="s">
        <v>24</v>
      </c>
      <c r="B357" s="236" t="str">
        <f>IF('General price list'!$W$17=B356,A357,IFERROR(VLOOKUP(A357,Kategorie!C:AA,MATCH('General price list'!$W$17,Kategorie!$C$2:$AA$2,0),FALSE),IF(A357="","","× Chybí překlad ×")))</f>
        <v/>
      </c>
      <c r="C357" s="236" t="str">
        <f t="shared" si="5"/>
        <v xml:space="preserve">                                          </v>
      </c>
    </row>
    <row r="358" spans="1:10">
      <c r="A358" s="242" t="s">
        <v>24</v>
      </c>
      <c r="B358" s="236" t="str">
        <f>IF('General price list'!$W$17=B357,A358,IFERROR(VLOOKUP(A358,Kategorie!C:AA,MATCH('General price list'!$W$17,Kategorie!$C$2:$AA$2,0),FALSE),IF(A358="","","× Chybí překlad ×")))</f>
        <v/>
      </c>
      <c r="C358" s="236" t="str">
        <f t="shared" si="5"/>
        <v xml:space="preserve">                                          </v>
      </c>
    </row>
    <row r="359" spans="1:10">
      <c r="A359" s="242" t="s">
        <v>7384</v>
      </c>
      <c r="B359" s="236" t="str">
        <f>IF('General price list'!$W$17=B358,A359,IFERROR(VLOOKUP(A359,Kategorie!C:AA,MATCH('General price list'!$W$17,Kategorie!$C$2:$AA$2,0),FALSE),IF(A359="","","× Chybí překlad ×")))</f>
        <v>Batterien 16 schuss, 30mm Mörser-1.3G</v>
      </c>
      <c r="C359" s="236" t="str">
        <f t="shared" si="5"/>
        <v xml:space="preserve">                                          Batterien 16 schuss, 30mm Mörser-1.3G</v>
      </c>
      <c r="J359" s="236" t="s">
        <v>6797</v>
      </c>
    </row>
    <row r="360" spans="1:10">
      <c r="A360" s="242" t="s">
        <v>24</v>
      </c>
      <c r="B360" s="236" t="str">
        <f>IF('General price list'!$W$17=B359,A360,IFERROR(VLOOKUP(A360,Kategorie!C:AA,MATCH('General price list'!$W$17,Kategorie!$C$2:$AA$2,0),FALSE),IF(A360="","","× Chybí překlad ×")))</f>
        <v/>
      </c>
      <c r="C360" s="236" t="str">
        <f t="shared" si="5"/>
        <v xml:space="preserve">                                          </v>
      </c>
    </row>
    <row r="361" spans="1:10" ht="15.75">
      <c r="A361" s="243" t="s">
        <v>24</v>
      </c>
      <c r="B361" s="236" t="str">
        <f>IF('General price list'!$W$17=B360,A361,IFERROR(VLOOKUP(A361,Kategorie!C:AA,MATCH('General price list'!$W$17,Kategorie!$C$2:$AA$2,0),FALSE),IF(A361="","","× Chybí překlad ×")))</f>
        <v/>
      </c>
      <c r="C361" s="236" t="str">
        <f t="shared" si="5"/>
        <v xml:space="preserve">                                          </v>
      </c>
    </row>
    <row r="362" spans="1:10">
      <c r="A362" s="242" t="s">
        <v>24</v>
      </c>
      <c r="B362" s="236" t="str">
        <f>IF('General price list'!$W$17=B361,A362,IFERROR(VLOOKUP(A362,Kategorie!C:AA,MATCH('General price list'!$W$17,Kategorie!$C$2:$AA$2,0),FALSE),IF(A362="","","× Chybí překlad ×")))</f>
        <v/>
      </c>
      <c r="C362" s="236" t="str">
        <f t="shared" si="5"/>
        <v xml:space="preserve">                                          </v>
      </c>
    </row>
    <row r="363" spans="1:10">
      <c r="A363" s="242" t="s">
        <v>24</v>
      </c>
      <c r="B363" s="236" t="str">
        <f>IF('General price list'!$W$17=B362,A363,IFERROR(VLOOKUP(A363,Kategorie!C:AA,MATCH('General price list'!$W$17,Kategorie!$C$2:$AA$2,0),FALSE),IF(A363="","","× Chybí překlad ×")))</f>
        <v/>
      </c>
      <c r="C363" s="236" t="str">
        <f t="shared" si="5"/>
        <v xml:space="preserve">                                          </v>
      </c>
    </row>
    <row r="364" spans="1:10">
      <c r="A364" s="242" t="s">
        <v>24</v>
      </c>
      <c r="B364" s="236" t="str">
        <f>IF('General price list'!$W$17=B363,A364,IFERROR(VLOOKUP(A364,Kategorie!C:AA,MATCH('General price list'!$W$17,Kategorie!$C$2:$AA$2,0),FALSE),IF(A364="","","× Chybí překlad ×")))</f>
        <v/>
      </c>
      <c r="C364" s="236" t="str">
        <f t="shared" si="5"/>
        <v xml:space="preserve">                                          </v>
      </c>
    </row>
    <row r="365" spans="1:10">
      <c r="A365" s="242" t="s">
        <v>24</v>
      </c>
      <c r="B365" s="236" t="str">
        <f>IF('General price list'!$W$17=B364,A365,IFERROR(VLOOKUP(A365,Kategorie!C:AA,MATCH('General price list'!$W$17,Kategorie!$C$2:$AA$2,0),FALSE),IF(A365="","","× Chybí překlad ×")))</f>
        <v/>
      </c>
      <c r="C365" s="236" t="str">
        <f t="shared" si="5"/>
        <v xml:space="preserve">                                          </v>
      </c>
    </row>
    <row r="366" spans="1:10">
      <c r="A366" s="242" t="s">
        <v>24</v>
      </c>
      <c r="B366" s="236" t="str">
        <f>IF('General price list'!$W$17=B365,A366,IFERROR(VLOOKUP(A366,Kategorie!C:AA,MATCH('General price list'!$W$17,Kategorie!$C$2:$AA$2,0),FALSE),IF(A366="","","× Chybí překlad ×")))</f>
        <v/>
      </c>
      <c r="C366" s="236" t="str">
        <f t="shared" si="5"/>
        <v xml:space="preserve">                                          </v>
      </c>
    </row>
    <row r="367" spans="1:10">
      <c r="A367" s="242" t="s">
        <v>7393</v>
      </c>
      <c r="B367" s="236" t="str">
        <f>IF('General price list'!$W$17=B366,A367,IFERROR(VLOOKUP(A367,Kategorie!C:AA,MATCH('General price list'!$W$17,Kategorie!$C$2:$AA$2,0),FALSE),IF(A367="","","× Chybí překlad ×")))</f>
        <v>Batterien 16 schuss, 30mm Mörser-1.4G</v>
      </c>
      <c r="C367" s="236" t="str">
        <f t="shared" si="5"/>
        <v xml:space="preserve">                                          Batterien 16 schuss, 30mm Mörser-1.4G</v>
      </c>
    </row>
    <row r="368" spans="1:10">
      <c r="A368" s="242" t="s">
        <v>24</v>
      </c>
      <c r="B368" s="236" t="str">
        <f>IF('General price list'!$W$17=B367,A368,IFERROR(VLOOKUP(A368,Kategorie!C:AA,MATCH('General price list'!$W$17,Kategorie!$C$2:$AA$2,0),FALSE),IF(A368="","","× Chybí překlad ×")))</f>
        <v/>
      </c>
      <c r="C368" s="236" t="str">
        <f t="shared" si="5"/>
        <v xml:space="preserve">                                          </v>
      </c>
    </row>
    <row r="369" spans="1:10">
      <c r="A369" s="242" t="s">
        <v>7402</v>
      </c>
      <c r="B369" s="236" t="str">
        <f>IF('General price list'!$W$17=B368,A369,IFERROR(VLOOKUP(A369,Kategorie!C:AA,MATCH('General price list'!$W$17,Kategorie!$C$2:$AA$2,0),FALSE),IF(A369="","","× Chybí překlad ×")))</f>
        <v>Batterien 19 schuss, 30mm Mörser-1.3G</v>
      </c>
      <c r="C369" s="236" t="str">
        <f t="shared" si="5"/>
        <v xml:space="preserve">                                          Batterien 19 schuss, 30mm Mörser-1.3G</v>
      </c>
    </row>
    <row r="370" spans="1:10">
      <c r="A370" s="242" t="s">
        <v>13492</v>
      </c>
      <c r="B370" s="236" t="str">
        <f>IF('General price list'!$W$17=B369,A370,IFERROR(VLOOKUP(A370,Kategorie!C:AA,MATCH('General price list'!$W$17,Kategorie!$C$2:$AA$2,0),FALSE),IF(A370="","","× Chybí překlad ×")))</f>
        <v>x</v>
      </c>
      <c r="C370" s="236" t="str">
        <f t="shared" si="5"/>
        <v>×</v>
      </c>
    </row>
    <row r="371" spans="1:10">
      <c r="A371" s="242" t="s">
        <v>24</v>
      </c>
      <c r="B371" s="236" t="str">
        <f>IF('General price list'!$W$17=B370,A371,IFERROR(VLOOKUP(A371,Kategorie!C:AA,MATCH('General price list'!$W$17,Kategorie!$C$2:$AA$2,0),FALSE),IF(A371="","","× Chybí překlad ×")))</f>
        <v/>
      </c>
      <c r="C371" s="236" t="str">
        <f t="shared" si="5"/>
        <v xml:space="preserve">                                          </v>
      </c>
    </row>
    <row r="372" spans="1:10">
      <c r="A372" s="242" t="s">
        <v>24</v>
      </c>
      <c r="B372" s="236" t="str">
        <f>IF('General price list'!$W$17=B371,A372,IFERROR(VLOOKUP(A372,Kategorie!C:AA,MATCH('General price list'!$W$17,Kategorie!$C$2:$AA$2,0),FALSE),IF(A372="","","× Chybí překlad ×")))</f>
        <v/>
      </c>
      <c r="C372" s="236" t="str">
        <f t="shared" si="5"/>
        <v xml:space="preserve">                                          </v>
      </c>
      <c r="J372" s="236" t="s">
        <v>6806</v>
      </c>
    </row>
    <row r="373" spans="1:10">
      <c r="A373" s="242" t="s">
        <v>24</v>
      </c>
      <c r="B373" s="236" t="str">
        <f>IF('General price list'!$W$17=B372,A373,IFERROR(VLOOKUP(A373,Kategorie!C:AA,MATCH('General price list'!$W$17,Kategorie!$C$2:$AA$2,0),FALSE),IF(A373="","","× Chybí překlad ×")))</f>
        <v/>
      </c>
      <c r="C373" s="236" t="str">
        <f t="shared" si="5"/>
        <v xml:space="preserve">                                          </v>
      </c>
    </row>
    <row r="374" spans="1:10">
      <c r="A374" s="242" t="s">
        <v>24</v>
      </c>
      <c r="B374" s="236" t="str">
        <f>IF('General price list'!$W$17=B373,A374,IFERROR(VLOOKUP(A374,Kategorie!C:AA,MATCH('General price list'!$W$17,Kategorie!$C$2:$AA$2,0),FALSE),IF(A374="","","× Chybí překlad ×")))</f>
        <v/>
      </c>
      <c r="C374" s="236" t="str">
        <f t="shared" si="5"/>
        <v xml:space="preserve">                                          </v>
      </c>
    </row>
    <row r="375" spans="1:10">
      <c r="A375" s="242" t="s">
        <v>24</v>
      </c>
      <c r="B375" s="236" t="str">
        <f>IF('General price list'!$W$17=B374,A375,IFERROR(VLOOKUP(A375,Kategorie!C:AA,MATCH('General price list'!$W$17,Kategorie!$C$2:$AA$2,0),FALSE),IF(A375="","","× Chybí překlad ×")))</f>
        <v/>
      </c>
      <c r="C375" s="236" t="str">
        <f t="shared" si="5"/>
        <v xml:space="preserve">                                          </v>
      </c>
    </row>
    <row r="376" spans="1:10">
      <c r="A376" s="242" t="s">
        <v>7420</v>
      </c>
      <c r="B376" s="236" t="str">
        <f>IF('General price list'!$W$17=B375,A376,IFERROR(VLOOKUP(A376,Kategorie!C:AA,MATCH('General price list'!$W$17,Kategorie!$C$2:$AA$2,0),FALSE),IF(A376="","","× Chybí překlad ×")))</f>
        <v>Batterien 25 schuss, 30mm Mörser F3 - 1.3G</v>
      </c>
      <c r="C376" s="236" t="str">
        <f t="shared" si="5"/>
        <v xml:space="preserve">                                          Batterien 25 schuss, 30mm Mörser F3 - 1.3G</v>
      </c>
    </row>
    <row r="377" spans="1:10">
      <c r="A377" s="242" t="s">
        <v>24</v>
      </c>
      <c r="B377" s="236" t="str">
        <f>IF('General price list'!$W$17=B376,A377,IFERROR(VLOOKUP(A377,Kategorie!C:AA,MATCH('General price list'!$W$17,Kategorie!$C$2:$AA$2,0),FALSE),IF(A377="","","× Chybí překlad ×")))</f>
        <v/>
      </c>
      <c r="C377" s="236" t="str">
        <f t="shared" si="5"/>
        <v xml:space="preserve">                                          </v>
      </c>
    </row>
    <row r="378" spans="1:10">
      <c r="A378" s="242" t="s">
        <v>24</v>
      </c>
      <c r="B378" s="236" t="str">
        <f>IF('General price list'!$W$17=B377,A378,IFERROR(VLOOKUP(A378,Kategorie!C:AA,MATCH('General price list'!$W$17,Kategorie!$C$2:$AA$2,0),FALSE),IF(A378="","","× Chybí překlad ×")))</f>
        <v/>
      </c>
      <c r="C378" s="236" t="str">
        <f t="shared" si="5"/>
        <v xml:space="preserve">                                          </v>
      </c>
    </row>
    <row r="379" spans="1:10">
      <c r="A379" s="242" t="s">
        <v>24</v>
      </c>
      <c r="B379" s="236" t="str">
        <f>IF('General price list'!$W$17=B378,A379,IFERROR(VLOOKUP(A379,Kategorie!C:AA,MATCH('General price list'!$W$17,Kategorie!$C$2:$AA$2,0),FALSE),IF(A379="","","× Chybí překlad ×")))</f>
        <v/>
      </c>
      <c r="C379" s="236" t="str">
        <f t="shared" si="5"/>
        <v xml:space="preserve">                                          </v>
      </c>
    </row>
    <row r="380" spans="1:10">
      <c r="A380" s="242" t="s">
        <v>24</v>
      </c>
      <c r="B380" s="236" t="str">
        <f>IF('General price list'!$W$17=B379,A380,IFERROR(VLOOKUP(A380,Kategorie!C:AA,MATCH('General price list'!$W$17,Kategorie!$C$2:$AA$2,0),FALSE),IF(A380="","","× Chybí překlad ×")))</f>
        <v/>
      </c>
      <c r="C380" s="236" t="str">
        <f t="shared" si="5"/>
        <v xml:space="preserve">                                          </v>
      </c>
    </row>
    <row r="381" spans="1:10">
      <c r="A381" s="242" t="s">
        <v>24</v>
      </c>
      <c r="B381" s="236" t="str">
        <f>IF('General price list'!$W$17=B380,A381,IFERROR(VLOOKUP(A381,Kategorie!C:AA,MATCH('General price list'!$W$17,Kategorie!$C$2:$AA$2,0),FALSE),IF(A381="","","× Chybí překlad ×")))</f>
        <v/>
      </c>
      <c r="C381" s="236" t="str">
        <f t="shared" si="5"/>
        <v xml:space="preserve">                                          </v>
      </c>
    </row>
    <row r="382" spans="1:10" ht="15.75">
      <c r="A382" s="243" t="s">
        <v>7429</v>
      </c>
      <c r="B382" s="236" t="str">
        <f>IF('General price list'!$W$17=B381,A382,IFERROR(VLOOKUP(A382,Kategorie!C:AA,MATCH('General price list'!$W$17,Kategorie!$C$2:$AA$2,0),FALSE),IF(A382="","","× Chybí překlad ×")))</f>
        <v>Batterien 25 schuss, 30mm Mörser F2 -1.4G</v>
      </c>
      <c r="C382" s="236" t="str">
        <f t="shared" si="5"/>
        <v xml:space="preserve">                                          Batterien 25 schuss, 30mm Mörser F2 -1.4G</v>
      </c>
    </row>
    <row r="383" spans="1:10">
      <c r="A383" s="242" t="s">
        <v>24</v>
      </c>
      <c r="B383" s="236" t="str">
        <f>IF('General price list'!$W$17=B382,A383,IFERROR(VLOOKUP(A383,Kategorie!C:AA,MATCH('General price list'!$W$17,Kategorie!$C$2:$AA$2,0),FALSE),IF(A383="","","× Chybí překlad ×")))</f>
        <v/>
      </c>
      <c r="C383" s="236" t="str">
        <f t="shared" si="5"/>
        <v xml:space="preserve">                                          </v>
      </c>
    </row>
    <row r="384" spans="1:10">
      <c r="A384" s="242" t="s">
        <v>24</v>
      </c>
      <c r="B384" s="236" t="str">
        <f>IF('General price list'!$W$17=B383,A384,IFERROR(VLOOKUP(A384,Kategorie!C:AA,MATCH('General price list'!$W$17,Kategorie!$C$2:$AA$2,0),FALSE),IF(A384="","","× Chybí překlad ×")))</f>
        <v/>
      </c>
      <c r="C384" s="236" t="str">
        <f t="shared" si="5"/>
        <v xml:space="preserve">                                          </v>
      </c>
    </row>
    <row r="385" spans="1:10">
      <c r="A385" s="242" t="s">
        <v>24</v>
      </c>
      <c r="B385" s="236" t="str">
        <f>IF('General price list'!$W$17=B384,A385,IFERROR(VLOOKUP(A385,Kategorie!C:AA,MATCH('General price list'!$W$17,Kategorie!$C$2:$AA$2,0),FALSE),IF(A385="","","× Chybí překlad ×")))</f>
        <v/>
      </c>
      <c r="C385" s="236" t="str">
        <f t="shared" si="5"/>
        <v xml:space="preserve">                                          </v>
      </c>
    </row>
    <row r="386" spans="1:10">
      <c r="A386" s="242" t="s">
        <v>24</v>
      </c>
      <c r="B386" s="236" t="str">
        <f>IF('General price list'!$W$17=B385,A386,IFERROR(VLOOKUP(A386,Kategorie!C:AA,MATCH('General price list'!$W$17,Kategorie!$C$2:$AA$2,0),FALSE),IF(A386="","","× Chybí překlad ×")))</f>
        <v/>
      </c>
      <c r="C386" s="236" t="str">
        <f t="shared" si="5"/>
        <v xml:space="preserve">                                          </v>
      </c>
    </row>
    <row r="387" spans="1:10">
      <c r="A387" s="242" t="s">
        <v>24</v>
      </c>
      <c r="B387" s="236" t="str">
        <f>IF('General price list'!$W$17=B386,A387,IFERROR(VLOOKUP(A387,Kategorie!C:AA,MATCH('General price list'!$W$17,Kategorie!$C$2:$AA$2,0),FALSE),IF(A387="","","× Chybí překlad ×")))</f>
        <v/>
      </c>
      <c r="C387" s="236" t="str">
        <f t="shared" si="5"/>
        <v xml:space="preserve">                                          </v>
      </c>
    </row>
    <row r="388" spans="1:10">
      <c r="A388" s="242" t="s">
        <v>24</v>
      </c>
      <c r="B388" s="236" t="str">
        <f>IF('General price list'!$W$17=B387,A388,IFERROR(VLOOKUP(A388,Kategorie!C:AA,MATCH('General price list'!$W$17,Kategorie!$C$2:$AA$2,0),FALSE),IF(A388="","","× Chybí překlad ×")))</f>
        <v/>
      </c>
      <c r="C388" s="236" t="str">
        <f t="shared" si="5"/>
        <v xml:space="preserve">                                          </v>
      </c>
    </row>
    <row r="389" spans="1:10">
      <c r="A389" s="242" t="s">
        <v>7447</v>
      </c>
      <c r="B389" s="236" t="str">
        <f>IF('General price list'!$W$17=B388,A389,IFERROR(VLOOKUP(A389,Kategorie!C:AA,MATCH('General price list'!$W$17,Kategorie!$C$2:$AA$2,0),FALSE),IF(A389="","","× Chybí překlad ×")))</f>
        <v>Batterien 25 schuss, 30mm Mörser-1.4G</v>
      </c>
      <c r="C389" s="236" t="str">
        <f t="shared" si="5"/>
        <v xml:space="preserve">                                          Batterien 25 schuss, 30mm Mörser-1.4G</v>
      </c>
    </row>
    <row r="390" spans="1:10">
      <c r="A390" s="242" t="s">
        <v>24</v>
      </c>
      <c r="B390" s="236" t="str">
        <f>IF('General price list'!$W$17=B389,A390,IFERROR(VLOOKUP(A390,Kategorie!C:AA,MATCH('General price list'!$W$17,Kategorie!$C$2:$AA$2,0),FALSE),IF(A390="","","× Chybí překlad ×")))</f>
        <v/>
      </c>
      <c r="C390" s="236" t="str">
        <f t="shared" si="5"/>
        <v xml:space="preserve">                                          </v>
      </c>
      <c r="J390" s="236" t="s">
        <v>6815</v>
      </c>
    </row>
    <row r="391" spans="1:10">
      <c r="A391" s="242" t="s">
        <v>7456</v>
      </c>
      <c r="B391" s="236" t="str">
        <f>IF('General price list'!$W$17=B390,A391,IFERROR(VLOOKUP(A391,Kategorie!C:AA,MATCH('General price list'!$W$17,Kategorie!$C$2:$AA$2,0),FALSE),IF(A391="","","× Chybí překlad ×")))</f>
        <v>Batterien 25 schuss, 30mm schräg Mörser-1.4G</v>
      </c>
      <c r="C391" s="236" t="str">
        <f t="shared" si="5"/>
        <v xml:space="preserve">                                          Batterien 25 schuss, 30mm schräg Mörser-1.4G</v>
      </c>
    </row>
    <row r="392" spans="1:10">
      <c r="A392" s="242" t="s">
        <v>24</v>
      </c>
      <c r="B392" s="236" t="str">
        <f>IF('General price list'!$W$17=B391,A392,IFERROR(VLOOKUP(A392,Kategorie!C:AA,MATCH('General price list'!$W$17,Kategorie!$C$2:$AA$2,0),FALSE),IF(A392="","","× Chybí překlad ×")))</f>
        <v/>
      </c>
      <c r="C392" s="236" t="str">
        <f t="shared" si="5"/>
        <v xml:space="preserve">                                          </v>
      </c>
    </row>
    <row r="393" spans="1:10">
      <c r="A393" s="242" t="s">
        <v>24</v>
      </c>
      <c r="B393" s="236" t="str">
        <f>IF('General price list'!$W$17=B392,A393,IFERROR(VLOOKUP(A393,Kategorie!C:AA,MATCH('General price list'!$W$17,Kategorie!$C$2:$AA$2,0),FALSE),IF(A393="","","× Chybí překlad ×")))</f>
        <v/>
      </c>
      <c r="C393" s="236" t="str">
        <f t="shared" si="5"/>
        <v xml:space="preserve">                                          </v>
      </c>
    </row>
    <row r="394" spans="1:10">
      <c r="A394" s="242" t="s">
        <v>24</v>
      </c>
      <c r="B394" s="236" t="str">
        <f>IF('General price list'!$W$17=B393,A394,IFERROR(VLOOKUP(A394,Kategorie!C:AA,MATCH('General price list'!$W$17,Kategorie!$C$2:$AA$2,0),FALSE),IF(A394="","","× Chybí překlad ×")))</f>
        <v/>
      </c>
      <c r="C394" s="236" t="str">
        <f t="shared" si="5"/>
        <v xml:space="preserve">                                          </v>
      </c>
    </row>
    <row r="395" spans="1:10">
      <c r="A395" s="242" t="s">
        <v>7480</v>
      </c>
      <c r="B395" s="236" t="str">
        <f>IF('General price list'!$W$17=B394,A395,IFERROR(VLOOKUP(A395,Kategorie!C:AA,MATCH('General price list'!$W$17,Kategorie!$C$2:$AA$2,0),FALSE),IF(A395="","","× Chybí překlad ×")))</f>
        <v>Batterien 36 schuss, 30mm Mörser-1.3G</v>
      </c>
      <c r="C395" s="236" t="str">
        <f t="shared" si="5"/>
        <v xml:space="preserve">                                          Batterien 36 schuss, 30mm Mörser-1.3G</v>
      </c>
    </row>
    <row r="396" spans="1:10">
      <c r="A396" s="242" t="s">
        <v>24</v>
      </c>
      <c r="B396" s="236" t="str">
        <f>IF('General price list'!$W$17=B395,A396,IFERROR(VLOOKUP(A396,Kategorie!C:AA,MATCH('General price list'!$W$17,Kategorie!$C$2:$AA$2,0),FALSE),IF(A396="","","× Chybí překlad ×")))</f>
        <v/>
      </c>
      <c r="C396" s="236" t="str">
        <f t="shared" si="5"/>
        <v xml:space="preserve">                                          </v>
      </c>
    </row>
    <row r="397" spans="1:10">
      <c r="A397" s="242" t="s">
        <v>7516</v>
      </c>
      <c r="B397" s="236" t="str">
        <f>IF('General price list'!$W$17=B396,A397,IFERROR(VLOOKUP(A397,Kategorie!C:AA,MATCH('General price list'!$W$17,Kategorie!$C$2:$AA$2,0),FALSE),IF(A397="","","× Chybí překlad ×")))</f>
        <v>Batterien 50 schuss, 30mm Mörser-1.3G</v>
      </c>
      <c r="C397" s="236" t="str">
        <f t="shared" si="5"/>
        <v xml:space="preserve">                                          Batterien 50 schuss, 30mm Mörser-1.3G</v>
      </c>
    </row>
    <row r="398" spans="1:10">
      <c r="A398" s="242" t="s">
        <v>24</v>
      </c>
      <c r="B398" s="236" t="str">
        <f>IF('General price list'!$W$17=B397,A398,IFERROR(VLOOKUP(A398,Kategorie!C:AA,MATCH('General price list'!$W$17,Kategorie!$C$2:$AA$2,0),FALSE),IF(A398="","","× Chybí překlad ×")))</f>
        <v/>
      </c>
      <c r="C398" s="236" t="str">
        <f t="shared" si="5"/>
        <v xml:space="preserve">                                          </v>
      </c>
    </row>
    <row r="399" spans="1:10">
      <c r="A399" s="242" t="s">
        <v>24</v>
      </c>
      <c r="B399" s="236" t="str">
        <f>IF('General price list'!$W$17=B398,A399,IFERROR(VLOOKUP(A399,Kategorie!C:AA,MATCH('General price list'!$W$17,Kategorie!$C$2:$AA$2,0),FALSE),IF(A399="","","× Chybí překlad ×")))</f>
        <v/>
      </c>
      <c r="C399" s="236" t="str">
        <f t="shared" si="5"/>
        <v xml:space="preserve">                                          </v>
      </c>
    </row>
    <row r="400" spans="1:10">
      <c r="A400" s="242" t="s">
        <v>13492</v>
      </c>
      <c r="B400" s="236" t="str">
        <f>IF('General price list'!$W$17=B399,A400,IFERROR(VLOOKUP(A400,Kategorie!C:AA,MATCH('General price list'!$W$17,Kategorie!$C$2:$AA$2,0),FALSE),IF(A400="","","× Chybí překlad ×")))</f>
        <v>x</v>
      </c>
      <c r="C400" s="236" t="str">
        <f t="shared" si="5"/>
        <v>×</v>
      </c>
    </row>
    <row r="401" spans="1:10">
      <c r="A401" s="242" t="s">
        <v>7525</v>
      </c>
      <c r="B401" s="236" t="str">
        <f>IF('General price list'!$W$17=B400,A401,IFERROR(VLOOKUP(A401,Kategorie!C:AA,MATCH('General price list'!$W$17,Kategorie!$C$2:$AA$2,0),FALSE),IF(A401="","","× Chybí překlad ×")))</f>
        <v>Batterien 64 schuss, 30mm Mörser-1.3G</v>
      </c>
      <c r="C401" s="236" t="str">
        <f t="shared" si="5"/>
        <v xml:space="preserve">                                          Batterien 64 schuss, 30mm Mörser-1.3G</v>
      </c>
    </row>
    <row r="402" spans="1:10">
      <c r="A402" s="242" t="s">
        <v>24</v>
      </c>
      <c r="B402" s="236" t="str">
        <f>IF('General price list'!$W$17=B401,A402,IFERROR(VLOOKUP(A402,Kategorie!C:AA,MATCH('General price list'!$W$17,Kategorie!$C$2:$AA$2,0),FALSE),IF(A402="","","× Chybí překlad ×")))</f>
        <v/>
      </c>
      <c r="C402" s="236" t="str">
        <f t="shared" si="5"/>
        <v xml:space="preserve">                                          </v>
      </c>
    </row>
    <row r="403" spans="1:10">
      <c r="A403" s="242" t="s">
        <v>24</v>
      </c>
      <c r="B403" s="236" t="str">
        <f>IF('General price list'!$W$17=B402,A403,IFERROR(VLOOKUP(A403,Kategorie!C:AA,MATCH('General price list'!$W$17,Kategorie!$C$2:$AA$2,0),FALSE),IF(A403="","","× Chybí překlad ×")))</f>
        <v/>
      </c>
      <c r="C403" s="236" t="str">
        <f t="shared" si="5"/>
        <v xml:space="preserve">                                          </v>
      </c>
    </row>
    <row r="404" spans="1:10">
      <c r="A404" s="242" t="s">
        <v>24</v>
      </c>
      <c r="B404" s="236" t="str">
        <f>IF('General price list'!$W$17=B403,A404,IFERROR(VLOOKUP(A404,Kategorie!C:AA,MATCH('General price list'!$W$17,Kategorie!$C$2:$AA$2,0),FALSE),IF(A404="","","× Chybí překlad ×")))</f>
        <v/>
      </c>
      <c r="C404" s="236" t="str">
        <f t="shared" si="5"/>
        <v xml:space="preserve">                                          </v>
      </c>
    </row>
    <row r="405" spans="1:10" ht="15.75">
      <c r="A405" s="243" t="s">
        <v>7560</v>
      </c>
      <c r="B405" s="236" t="str">
        <f>IF('General price list'!$W$17=B404,A405,IFERROR(VLOOKUP(A405,Kategorie!C:AA,MATCH('General price list'!$W$17,Kategorie!$C$2:$AA$2,0),FALSE),IF(A405="","","× Chybí překlad ×")))</f>
        <v>Verbundfeurwerk 30mm - F2 - 1.4G</v>
      </c>
      <c r="C405" s="236" t="str">
        <f t="shared" si="5"/>
        <v xml:space="preserve">                                          Verbundfeurwerk 30mm - F2 - 1.4G</v>
      </c>
    </row>
    <row r="406" spans="1:10">
      <c r="A406" s="242" t="s">
        <v>24</v>
      </c>
      <c r="B406" s="236" t="str">
        <f>IF('General price list'!$W$17=B405,A406,IFERROR(VLOOKUP(A406,Kategorie!C:AA,MATCH('General price list'!$W$17,Kategorie!$C$2:$AA$2,0),FALSE),IF(A406="","","× Chybí překlad ×")))</f>
        <v/>
      </c>
      <c r="C406" s="236" t="str">
        <f t="shared" ref="C406:C469" si="6">IF(A406="x","×",$C$1&amp;B406)</f>
        <v xml:space="preserve">                                          </v>
      </c>
    </row>
    <row r="407" spans="1:10">
      <c r="A407" s="242" t="s">
        <v>24</v>
      </c>
      <c r="B407" s="236" t="str">
        <f>IF('General price list'!$W$17=B406,A407,IFERROR(VLOOKUP(A407,Kategorie!C:AA,MATCH('General price list'!$W$17,Kategorie!$C$2:$AA$2,0),FALSE),IF(A407="","","× Chybí překlad ×")))</f>
        <v/>
      </c>
      <c r="C407" s="236" t="str">
        <f t="shared" si="6"/>
        <v xml:space="preserve">                                          </v>
      </c>
      <c r="J407" s="236" t="s">
        <v>6824</v>
      </c>
    </row>
    <row r="408" spans="1:10">
      <c r="A408" s="242" t="s">
        <v>24</v>
      </c>
      <c r="B408" s="236" t="str">
        <f>IF('General price list'!$W$17=B407,A408,IFERROR(VLOOKUP(A408,Kategorie!C:AA,MATCH('General price list'!$W$17,Kategorie!$C$2:$AA$2,0),FALSE),IF(A408="","","× Chybí překlad ×")))</f>
        <v/>
      </c>
      <c r="C408" s="236" t="str">
        <f t="shared" si="6"/>
        <v xml:space="preserve">                                          </v>
      </c>
    </row>
    <row r="409" spans="1:10">
      <c r="A409" s="242" t="s">
        <v>24</v>
      </c>
      <c r="B409" s="236" t="str">
        <f>IF('General price list'!$W$17=B408,A409,IFERROR(VLOOKUP(A409,Kategorie!C:AA,MATCH('General price list'!$W$17,Kategorie!$C$2:$AA$2,0),FALSE),IF(A409="","","× Chybí překlad ×")))</f>
        <v/>
      </c>
      <c r="C409" s="236" t="str">
        <f t="shared" si="6"/>
        <v xml:space="preserve">                                          </v>
      </c>
    </row>
    <row r="410" spans="1:10">
      <c r="A410" s="242" t="s">
        <v>13492</v>
      </c>
      <c r="B410" s="236" t="str">
        <f>IF('General price list'!$W$17=B409,A410,IFERROR(VLOOKUP(A410,Kategorie!C:AA,MATCH('General price list'!$W$17,Kategorie!$C$2:$AA$2,0),FALSE),IF(A410="","","× Chybí překlad ×")))</f>
        <v>x</v>
      </c>
      <c r="C410" s="236" t="str">
        <f t="shared" si="6"/>
        <v>×</v>
      </c>
    </row>
    <row r="411" spans="1:10">
      <c r="A411" s="242" t="s">
        <v>24</v>
      </c>
      <c r="B411" s="236" t="str">
        <f>IF('General price list'!$W$17=B410,A411,IFERROR(VLOOKUP(A411,Kategorie!C:AA,MATCH('General price list'!$W$17,Kategorie!$C$2:$AA$2,0),FALSE),IF(A411="","","× Chybí překlad ×")))</f>
        <v/>
      </c>
      <c r="C411" s="236" t="str">
        <f t="shared" si="6"/>
        <v xml:space="preserve">                                          </v>
      </c>
    </row>
    <row r="412" spans="1:10">
      <c r="A412" s="242" t="s">
        <v>24</v>
      </c>
      <c r="B412" s="236" t="str">
        <f>IF('General price list'!$W$17=B411,A412,IFERROR(VLOOKUP(A412,Kategorie!C:AA,MATCH('General price list'!$W$17,Kategorie!$C$2:$AA$2,0),FALSE),IF(A412="","","× Chybí překlad ×")))</f>
        <v/>
      </c>
      <c r="C412" s="236" t="str">
        <f t="shared" si="6"/>
        <v xml:space="preserve">                                          </v>
      </c>
    </row>
    <row r="413" spans="1:10">
      <c r="A413" s="242" t="s">
        <v>24</v>
      </c>
      <c r="B413" s="236" t="str">
        <f>IF('General price list'!$W$17=B412,A413,IFERROR(VLOOKUP(A413,Kategorie!C:AA,MATCH('General price list'!$W$17,Kategorie!$C$2:$AA$2,0),FALSE),IF(A413="","","× Chybí překlad ×")))</f>
        <v/>
      </c>
      <c r="C413" s="236" t="str">
        <f t="shared" si="6"/>
        <v xml:space="preserve">                                          </v>
      </c>
    </row>
    <row r="414" spans="1:10">
      <c r="A414" s="242" t="s">
        <v>24</v>
      </c>
      <c r="B414" s="236" t="str">
        <f>IF('General price list'!$W$17=B413,A414,IFERROR(VLOOKUP(A414,Kategorie!C:AA,MATCH('General price list'!$W$17,Kategorie!$C$2:$AA$2,0),FALSE),IF(A414="","","× Chybí překlad ×")))</f>
        <v/>
      </c>
      <c r="C414" s="236" t="str">
        <f t="shared" si="6"/>
        <v xml:space="preserve">                                          </v>
      </c>
    </row>
    <row r="415" spans="1:10">
      <c r="A415" s="242" t="s">
        <v>24</v>
      </c>
      <c r="B415" s="236" t="str">
        <f>IF('General price list'!$W$17=B414,A415,IFERROR(VLOOKUP(A415,Kategorie!C:AA,MATCH('General price list'!$W$17,Kategorie!$C$2:$AA$2,0),FALSE),IF(A415="","","× Chybí překlad ×")))</f>
        <v/>
      </c>
      <c r="C415" s="236" t="str">
        <f t="shared" si="6"/>
        <v xml:space="preserve">                                          </v>
      </c>
    </row>
    <row r="416" spans="1:10">
      <c r="A416" s="242" t="s">
        <v>24</v>
      </c>
      <c r="B416" s="236" t="str">
        <f>IF('General price list'!$W$17=B415,A416,IFERROR(VLOOKUP(A416,Kategorie!C:AA,MATCH('General price list'!$W$17,Kategorie!$C$2:$AA$2,0),FALSE),IF(A416="","","× Chybí překlad ×")))</f>
        <v/>
      </c>
      <c r="C416" s="236" t="str">
        <f t="shared" si="6"/>
        <v xml:space="preserve">                                          </v>
      </c>
    </row>
    <row r="417" spans="1:10">
      <c r="A417" s="242" t="s">
        <v>7748</v>
      </c>
      <c r="B417" s="236" t="str">
        <f>IF('General price list'!$W$17=B416,A417,IFERROR(VLOOKUP(A417,Kategorie!C:AA,MATCH('General price list'!$W$17,Kategorie!$C$2:$AA$2,0),FALSE),IF(A417="","","× Chybí překlad ×")))</f>
        <v>Batterien 39 schuss, 20+25+30mm schräg+V+W Mörser-1.4G</v>
      </c>
      <c r="C417" s="236" t="str">
        <f t="shared" si="6"/>
        <v xml:space="preserve">                                          Batterien 39 schuss, 20+25+30mm schräg+V+W Mörser-1.4G</v>
      </c>
    </row>
    <row r="418" spans="1:10">
      <c r="A418" s="242" t="s">
        <v>13492</v>
      </c>
      <c r="B418" s="236" t="str">
        <f>IF('General price list'!$W$17=B417,A418,IFERROR(VLOOKUP(A418,Kategorie!C:AA,MATCH('General price list'!$W$17,Kategorie!$C$2:$AA$2,0),FALSE),IF(A418="","","× Chybí překlad ×")))</f>
        <v>x</v>
      </c>
      <c r="C418" s="236" t="str">
        <f t="shared" si="6"/>
        <v>×</v>
      </c>
    </row>
    <row r="419" spans="1:10">
      <c r="A419" s="242" t="s">
        <v>7793</v>
      </c>
      <c r="B419" s="236" t="str">
        <f>IF('General price list'!$W$17=B418,A419,IFERROR(VLOOKUP(A419,Kategorie!C:AA,MATCH('General price list'!$W$17,Kategorie!$C$2:$AA$2,0),FALSE),IF(A419="","","× Chybí překlad ×")))</f>
        <v>Batterien 50 schuss, 20+25+30mm gerader+schräg+S Mörser-1.4G</v>
      </c>
      <c r="C419" s="236" t="str">
        <f t="shared" si="6"/>
        <v xml:space="preserve">                                          Batterien 50 schuss, 20+25+30mm gerader+schräg+S Mörser-1.4G</v>
      </c>
    </row>
    <row r="420" spans="1:10">
      <c r="A420" s="242" t="s">
        <v>13492</v>
      </c>
      <c r="B420" s="236" t="str">
        <f>IF('General price list'!$W$17=B419,A420,IFERROR(VLOOKUP(A420,Kategorie!C:AA,MATCH('General price list'!$W$17,Kategorie!$C$2:$AA$2,0),FALSE),IF(A420="","","× Chybí překlad ×")))</f>
        <v>x</v>
      </c>
      <c r="C420" s="236" t="str">
        <f t="shared" si="6"/>
        <v>×</v>
      </c>
    </row>
    <row r="421" spans="1:10">
      <c r="A421" s="242" t="s">
        <v>7829</v>
      </c>
      <c r="B421" s="236" t="str">
        <f>IF('General price list'!$W$17=B420,A421,IFERROR(VLOOKUP(A421,Kategorie!C:AA,MATCH('General price list'!$W$17,Kategorie!$C$2:$AA$2,0),FALSE),IF(A421="","","× Chybí překlad ×")))</f>
        <v>Batterien 64 schuss, 20+25mm Mörser-1.4G</v>
      </c>
      <c r="C421" s="236" t="str">
        <f t="shared" si="6"/>
        <v xml:space="preserve">                                          Batterien 64 schuss, 20+25mm Mörser-1.4G</v>
      </c>
    </row>
    <row r="422" spans="1:10">
      <c r="A422" s="242" t="s">
        <v>13492</v>
      </c>
      <c r="B422" s="236" t="str">
        <f>IF('General price list'!$W$17=B421,A422,IFERROR(VLOOKUP(A422,Kategorie!C:AA,MATCH('General price list'!$W$17,Kategorie!$C$2:$AA$2,0),FALSE),IF(A422="","","× Chybí překlad ×")))</f>
        <v>x</v>
      </c>
      <c r="C422" s="236" t="str">
        <f t="shared" si="6"/>
        <v>×</v>
      </c>
    </row>
    <row r="423" spans="1:10">
      <c r="A423" s="242" t="s">
        <v>7856</v>
      </c>
      <c r="B423" s="236" t="str">
        <f>IF('General price list'!$W$17=B422,A423,IFERROR(VLOOKUP(A423,Kategorie!C:AA,MATCH('General price list'!$W$17,Kategorie!$C$2:$AA$2,0),FALSE),IF(A423="","","× Chybí překlad ×")))</f>
        <v>Batterien 68 schuss, 20+25+30mm Mörser(alle Richtungen)-1.4G</v>
      </c>
      <c r="C423" s="236" t="str">
        <f t="shared" si="6"/>
        <v xml:space="preserve">                                          Batterien 68 schuss, 20+25+30mm Mörser(alle Richtungen)-1.4G</v>
      </c>
    </row>
    <row r="424" spans="1:10">
      <c r="A424" s="242" t="s">
        <v>24</v>
      </c>
      <c r="B424" s="236" t="str">
        <f>IF('General price list'!$W$17=B423,A424,IFERROR(VLOOKUP(A424,Kategorie!C:AA,MATCH('General price list'!$W$17,Kategorie!$C$2:$AA$2,0),FALSE),IF(A424="","","× Chybí překlad ×")))</f>
        <v/>
      </c>
      <c r="C424" s="236" t="str">
        <f t="shared" si="6"/>
        <v xml:space="preserve">                                          </v>
      </c>
      <c r="J424" s="236" t="s">
        <v>6833</v>
      </c>
    </row>
    <row r="425" spans="1:10" ht="15.75">
      <c r="A425" s="243" t="s">
        <v>13492</v>
      </c>
      <c r="B425" s="236" t="str">
        <f>IF('General price list'!$W$17=B424,A425,IFERROR(VLOOKUP(A425,Kategorie!C:AA,MATCH('General price list'!$W$17,Kategorie!$C$2:$AA$2,0),FALSE),IF(A425="","","× Chybí překlad ×")))</f>
        <v>x</v>
      </c>
      <c r="C425" s="236" t="str">
        <f t="shared" si="6"/>
        <v>×</v>
      </c>
    </row>
    <row r="426" spans="1:10">
      <c r="A426" s="242" t="s">
        <v>7892</v>
      </c>
      <c r="B426" s="236" t="str">
        <f>IF('General price list'!$W$17=B425,A426,IFERROR(VLOOKUP(A426,Kategorie!C:AA,MATCH('General price list'!$W$17,Kategorie!$C$2:$AA$2,0),FALSE),IF(A426="","","× Chybí překlad ×")))</f>
        <v>Verbundfeurwerk, multikaliber F2 - 1.4G</v>
      </c>
      <c r="C426" s="236" t="str">
        <f t="shared" si="6"/>
        <v xml:space="preserve">                                          Verbundfeurwerk, multikaliber F2 - 1.4G</v>
      </c>
    </row>
    <row r="427" spans="1:10">
      <c r="A427" s="242" t="s">
        <v>24</v>
      </c>
      <c r="B427" s="236" t="str">
        <f>IF('General price list'!$W$17=B426,A427,IFERROR(VLOOKUP(A427,Kategorie!C:AA,MATCH('General price list'!$W$17,Kategorie!$C$2:$AA$2,0),FALSE),IF(A427="","","× Chybí překlad ×")))</f>
        <v/>
      </c>
      <c r="C427" s="236" t="str">
        <f t="shared" si="6"/>
        <v xml:space="preserve">                                          </v>
      </c>
    </row>
    <row r="428" spans="1:10">
      <c r="A428" s="242" t="s">
        <v>24</v>
      </c>
      <c r="B428" s="236" t="str">
        <f>IF('General price list'!$W$17=B427,A428,IFERROR(VLOOKUP(A428,Kategorie!C:AA,MATCH('General price list'!$W$17,Kategorie!$C$2:$AA$2,0),FALSE),IF(A428="","","× Chybí překlad ×")))</f>
        <v/>
      </c>
      <c r="C428" s="236" t="str">
        <f t="shared" si="6"/>
        <v xml:space="preserve">                                          </v>
      </c>
    </row>
    <row r="429" spans="1:10">
      <c r="A429" s="242" t="s">
        <v>24</v>
      </c>
      <c r="B429" s="236" t="str">
        <f>IF('General price list'!$W$17=B428,A429,IFERROR(VLOOKUP(A429,Kategorie!C:AA,MATCH('General price list'!$W$17,Kategorie!$C$2:$AA$2,0),FALSE),IF(A429="","","× Chybí překlad ×")))</f>
        <v/>
      </c>
      <c r="C429" s="236" t="str">
        <f t="shared" si="6"/>
        <v xml:space="preserve">                                          </v>
      </c>
    </row>
    <row r="430" spans="1:10">
      <c r="A430" s="242" t="s">
        <v>24</v>
      </c>
      <c r="B430" s="236" t="str">
        <f>IF('General price list'!$W$17=B429,A430,IFERROR(VLOOKUP(A430,Kategorie!C:AA,MATCH('General price list'!$W$17,Kategorie!$C$2:$AA$2,0),FALSE),IF(A430="","","× Chybí překlad ×")))</f>
        <v/>
      </c>
      <c r="C430" s="236" t="str">
        <f t="shared" si="6"/>
        <v xml:space="preserve">                                          </v>
      </c>
    </row>
    <row r="431" spans="1:10">
      <c r="A431" s="242" t="s">
        <v>24</v>
      </c>
      <c r="B431" s="236" t="str">
        <f>IF('General price list'!$W$17=B430,A431,IFERROR(VLOOKUP(A431,Kategorie!C:AA,MATCH('General price list'!$W$17,Kategorie!$C$2:$AA$2,0),FALSE),IF(A431="","","× Chybí překlad ×")))</f>
        <v/>
      </c>
      <c r="C431" s="236" t="str">
        <f t="shared" si="6"/>
        <v xml:space="preserve">                                          </v>
      </c>
    </row>
    <row r="432" spans="1:10">
      <c r="A432" s="242" t="s">
        <v>24</v>
      </c>
      <c r="B432" s="236" t="str">
        <f>IF('General price list'!$W$17=B431,A432,IFERROR(VLOOKUP(A432,Kategorie!C:AA,MATCH('General price list'!$W$17,Kategorie!$C$2:$AA$2,0),FALSE),IF(A432="","","× Chybí překlad ×")))</f>
        <v/>
      </c>
      <c r="C432" s="236" t="str">
        <f t="shared" si="6"/>
        <v xml:space="preserve">                                          </v>
      </c>
    </row>
    <row r="433" spans="1:3">
      <c r="A433" s="242" t="s">
        <v>24</v>
      </c>
      <c r="B433" s="236" t="str">
        <f>IF('General price list'!$W$17=B432,A433,IFERROR(VLOOKUP(A433,Kategorie!C:AA,MATCH('General price list'!$W$17,Kategorie!$C$2:$AA$2,0),FALSE),IF(A433="","","× Chybí překlad ×")))</f>
        <v/>
      </c>
      <c r="C433" s="236" t="str">
        <f t="shared" si="6"/>
        <v xml:space="preserve">                                          </v>
      </c>
    </row>
    <row r="434" spans="1:3">
      <c r="A434" s="242" t="s">
        <v>24</v>
      </c>
      <c r="B434" s="236" t="str">
        <f>IF('General price list'!$W$17=B433,A434,IFERROR(VLOOKUP(A434,Kategorie!C:AA,MATCH('General price list'!$W$17,Kategorie!$C$2:$AA$2,0),FALSE),IF(A434="","","× Chybí překlad ×")))</f>
        <v/>
      </c>
      <c r="C434" s="236" t="str">
        <f t="shared" si="6"/>
        <v xml:space="preserve">                                          </v>
      </c>
    </row>
    <row r="435" spans="1:3">
      <c r="A435" s="242" t="s">
        <v>24</v>
      </c>
      <c r="B435" s="236" t="str">
        <f>IF('General price list'!$W$17=B434,A435,IFERROR(VLOOKUP(A435,Kategorie!C:AA,MATCH('General price list'!$W$17,Kategorie!$C$2:$AA$2,0),FALSE),IF(A435="","","× Chybí překlad ×")))</f>
        <v/>
      </c>
      <c r="C435" s="236" t="str">
        <f t="shared" si="6"/>
        <v xml:space="preserve">                                          </v>
      </c>
    </row>
    <row r="436" spans="1:3">
      <c r="A436" s="242" t="s">
        <v>24</v>
      </c>
      <c r="B436" s="236" t="str">
        <f>IF('General price list'!$W$17=B435,A436,IFERROR(VLOOKUP(A436,Kategorie!C:AA,MATCH('General price list'!$W$17,Kategorie!$C$2:$AA$2,0),FALSE),IF(A436="","","× Chybí překlad ×")))</f>
        <v/>
      </c>
      <c r="C436" s="236" t="str">
        <f t="shared" si="6"/>
        <v xml:space="preserve">                                          </v>
      </c>
    </row>
    <row r="437" spans="1:3">
      <c r="A437" s="242" t="s">
        <v>8198</v>
      </c>
      <c r="B437" s="236" t="str">
        <f>IF('General price list'!$W$17=B436,A437,IFERROR(VLOOKUP(A437,Kategorie!C:AA,MATCH('General price list'!$W$17,Kategorie!$C$2:$AA$2,0),FALSE),IF(A437="","","× Chybí překlad ×")))</f>
        <v>Kugelbomben 50mm</v>
      </c>
      <c r="C437" s="236" t="str">
        <f t="shared" si="6"/>
        <v xml:space="preserve">                                          Kugelbomben 50mm</v>
      </c>
    </row>
    <row r="438" spans="1:3">
      <c r="A438" s="242" t="s">
        <v>24</v>
      </c>
      <c r="B438" s="236" t="str">
        <f>IF('General price list'!$W$17=B437,A438,IFERROR(VLOOKUP(A438,Kategorie!C:AA,MATCH('General price list'!$W$17,Kategorie!$C$2:$AA$2,0),FALSE),IF(A438="","","× Chybí překlad ×")))</f>
        <v/>
      </c>
      <c r="C438" s="236" t="str">
        <f t="shared" si="6"/>
        <v xml:space="preserve">                                          </v>
      </c>
    </row>
    <row r="439" spans="1:3" ht="15.75">
      <c r="A439" s="243" t="s">
        <v>8214</v>
      </c>
      <c r="B439" s="236" t="str">
        <f>IF('General price list'!$W$17=B438,A439,IFERROR(VLOOKUP(A439,Kategorie!C:AA,MATCH('General price list'!$W$17,Kategorie!$C$2:$AA$2,0),FALSE),IF(A439="","","× Chybí překlad ×")))</f>
        <v>Kugelbomben 75 mm, Prämienqualität</v>
      </c>
      <c r="C439" s="236" t="str">
        <f t="shared" si="6"/>
        <v xml:space="preserve">                                          Kugelbomben 75 mm, Prämienqualität</v>
      </c>
    </row>
    <row r="440" spans="1:3">
      <c r="A440" s="242" t="s">
        <v>24</v>
      </c>
      <c r="B440" s="236" t="str">
        <f>IF('General price list'!$W$17=B439,A440,IFERROR(VLOOKUP(A440,Kategorie!C:AA,MATCH('General price list'!$W$17,Kategorie!$C$2:$AA$2,0),FALSE),IF(A440="","","× Chybí překlad ×")))</f>
        <v/>
      </c>
      <c r="C440" s="236" t="str">
        <f t="shared" si="6"/>
        <v xml:space="preserve">                                          </v>
      </c>
    </row>
    <row r="441" spans="1:3">
      <c r="A441" s="242" t="s">
        <v>24</v>
      </c>
      <c r="B441" s="236" t="str">
        <f>IF('General price list'!$W$17=B440,A441,IFERROR(VLOOKUP(A441,Kategorie!C:AA,MATCH('General price list'!$W$17,Kategorie!$C$2:$AA$2,0),FALSE),IF(A441="","","× Chybí překlad ×")))</f>
        <v/>
      </c>
      <c r="C441" s="236" t="str">
        <f t="shared" si="6"/>
        <v xml:space="preserve">                                          </v>
      </c>
    </row>
    <row r="442" spans="1:3">
      <c r="A442" s="242" t="s">
        <v>24</v>
      </c>
      <c r="B442" s="236" t="str">
        <f>IF('General price list'!$W$17=B441,A442,IFERROR(VLOOKUP(A442,Kategorie!C:AA,MATCH('General price list'!$W$17,Kategorie!$C$2:$AA$2,0),FALSE),IF(A442="","","× Chybí překlad ×")))</f>
        <v/>
      </c>
      <c r="C442" s="236" t="str">
        <f t="shared" si="6"/>
        <v xml:space="preserve">                                          </v>
      </c>
    </row>
    <row r="443" spans="1:3">
      <c r="A443" s="242" t="s">
        <v>24</v>
      </c>
      <c r="B443" s="236" t="str">
        <f>IF('General price list'!$W$17=B442,A443,IFERROR(VLOOKUP(A443,Kategorie!C:AA,MATCH('General price list'!$W$17,Kategorie!$C$2:$AA$2,0),FALSE),IF(A443="","","× Chybí překlad ×")))</f>
        <v/>
      </c>
      <c r="C443" s="236" t="str">
        <f t="shared" si="6"/>
        <v xml:space="preserve">                                          </v>
      </c>
    </row>
    <row r="444" spans="1:3" ht="15.75">
      <c r="A444" s="243" t="s">
        <v>24</v>
      </c>
      <c r="B444" s="236" t="str">
        <f>IF('General price list'!$W$17=B443,A444,IFERROR(VLOOKUP(A444,Kategorie!C:AA,MATCH('General price list'!$W$17,Kategorie!$C$2:$AA$2,0),FALSE),IF(A444="","","× Chybí překlad ×")))</f>
        <v/>
      </c>
      <c r="C444" s="236" t="str">
        <f t="shared" si="6"/>
        <v xml:space="preserve">                                          </v>
      </c>
    </row>
    <row r="445" spans="1:3">
      <c r="A445" s="242" t="s">
        <v>8222</v>
      </c>
      <c r="B445" s="236" t="str">
        <f>IF('General price list'!$W$17=B444,A445,IFERROR(VLOOKUP(A445,Kategorie!C:AA,MATCH('General price list'!$W$17,Kategorie!$C$2:$AA$2,0),FALSE),IF(A445="","","× Chybí překlad ×")))</f>
        <v>Kugelbomben 100mm</v>
      </c>
      <c r="C445" s="236" t="str">
        <f t="shared" si="6"/>
        <v xml:space="preserve">                                          Kugelbomben 100mm</v>
      </c>
    </row>
    <row r="446" spans="1:3" ht="15.75">
      <c r="A446" s="243" t="s">
        <v>24</v>
      </c>
      <c r="B446" s="236" t="str">
        <f>IF('General price list'!$W$17=B445,A446,IFERROR(VLOOKUP(A446,Kategorie!C:AA,MATCH('General price list'!$W$17,Kategorie!$C$2:$AA$2,0),FALSE),IF(A446="","","× Chybí překlad ×")))</f>
        <v/>
      </c>
      <c r="C446" s="236" t="str">
        <f t="shared" si="6"/>
        <v xml:space="preserve">                                          </v>
      </c>
    </row>
    <row r="447" spans="1:3">
      <c r="A447" s="242" t="s">
        <v>8230</v>
      </c>
      <c r="B447" s="236" t="str">
        <f>IF('General price list'!$W$17=B446,A447,IFERROR(VLOOKUP(A447,Kategorie!C:AA,MATCH('General price list'!$W$17,Kategorie!$C$2:$AA$2,0),FALSE),IF(A447="","","× Chybí překlad ×")))</f>
        <v>Kugelbomben 100mm, Prämienqualität</v>
      </c>
      <c r="C447" s="236" t="str">
        <f t="shared" si="6"/>
        <v xml:space="preserve">                                          Kugelbomben 100mm, Prämienqualität</v>
      </c>
    </row>
    <row r="448" spans="1:3" ht="15.75">
      <c r="A448" s="243" t="s">
        <v>24</v>
      </c>
      <c r="B448" s="236" t="str">
        <f>IF('General price list'!$W$17=B447,A448,IFERROR(VLOOKUP(A448,Kategorie!C:AA,MATCH('General price list'!$W$17,Kategorie!$C$2:$AA$2,0),FALSE),IF(A448="","","× Chybí překlad ×")))</f>
        <v/>
      </c>
      <c r="C448" s="236" t="str">
        <f t="shared" si="6"/>
        <v xml:space="preserve">                                          </v>
      </c>
    </row>
    <row r="449" spans="1:10">
      <c r="A449" s="242" t="s">
        <v>24</v>
      </c>
      <c r="B449" s="236" t="str">
        <f>IF('General price list'!$W$17=B448,A449,IFERROR(VLOOKUP(A449,Kategorie!C:AA,MATCH('General price list'!$W$17,Kategorie!$C$2:$AA$2,0),FALSE),IF(A449="","","× Chybí překlad ×")))</f>
        <v/>
      </c>
      <c r="C449" s="236" t="str">
        <f t="shared" si="6"/>
        <v xml:space="preserve">                                          </v>
      </c>
    </row>
    <row r="450" spans="1:10" ht="15.75">
      <c r="A450" s="243" t="s">
        <v>24</v>
      </c>
      <c r="B450" s="236" t="str">
        <f>IF('General price list'!$W$17=B449,A450,IFERROR(VLOOKUP(A450,Kategorie!C:AA,MATCH('General price list'!$W$17,Kategorie!$C$2:$AA$2,0),FALSE),IF(A450="","","× Chybí překlad ×")))</f>
        <v/>
      </c>
      <c r="C450" s="236" t="str">
        <f t="shared" si="6"/>
        <v xml:space="preserve">                                          </v>
      </c>
    </row>
    <row r="451" spans="1:10">
      <c r="A451" s="242" t="s">
        <v>24</v>
      </c>
      <c r="B451" s="236" t="str">
        <f>IF('General price list'!$W$17=B450,A451,IFERROR(VLOOKUP(A451,Kategorie!C:AA,MATCH('General price list'!$W$17,Kategorie!$C$2:$AA$2,0),FALSE),IF(A451="","","× Chybí překlad ×")))</f>
        <v/>
      </c>
      <c r="C451" s="236" t="str">
        <f t="shared" si="6"/>
        <v xml:space="preserve">                                          </v>
      </c>
      <c r="J451" s="236" t="s">
        <v>6842</v>
      </c>
    </row>
    <row r="452" spans="1:10" ht="15.75">
      <c r="A452" s="243" t="s">
        <v>24</v>
      </c>
      <c r="B452" s="236" t="str">
        <f>IF('General price list'!$W$17=B451,A452,IFERROR(VLOOKUP(A452,Kategorie!C:AA,MATCH('General price list'!$W$17,Kategorie!$C$2:$AA$2,0),FALSE),IF(A452="","","× Chybí překlad ×")))</f>
        <v/>
      </c>
      <c r="C452" s="236" t="str">
        <f t="shared" si="6"/>
        <v xml:space="preserve">                                          </v>
      </c>
    </row>
    <row r="453" spans="1:10">
      <c r="A453" s="242" t="s">
        <v>24</v>
      </c>
      <c r="B453" s="236" t="str">
        <f>IF('General price list'!$W$17=B452,A453,IFERROR(VLOOKUP(A453,Kategorie!C:AA,MATCH('General price list'!$W$17,Kategorie!$C$2:$AA$2,0),FALSE),IF(A453="","","× Chybí překlad ×")))</f>
        <v/>
      </c>
      <c r="C453" s="236" t="str">
        <f t="shared" si="6"/>
        <v xml:space="preserve">                                          </v>
      </c>
    </row>
    <row r="454" spans="1:10" ht="15.75">
      <c r="A454" s="243" t="s">
        <v>24</v>
      </c>
      <c r="B454" s="236" t="str">
        <f>IF('General price list'!$W$17=B453,A454,IFERROR(VLOOKUP(A454,Kategorie!C:AA,MATCH('General price list'!$W$17,Kategorie!$C$2:$AA$2,0),FALSE),IF(A454="","","× Chybí překlad ×")))</f>
        <v/>
      </c>
      <c r="C454" s="236" t="str">
        <f t="shared" si="6"/>
        <v xml:space="preserve">                                          </v>
      </c>
    </row>
    <row r="455" spans="1:10">
      <c r="A455" s="242" t="s">
        <v>24</v>
      </c>
      <c r="B455" s="236" t="str">
        <f>IF('General price list'!$W$17=B454,A455,IFERROR(VLOOKUP(A455,Kategorie!C:AA,MATCH('General price list'!$W$17,Kategorie!$C$2:$AA$2,0),FALSE),IF(A455="","","× Chybí překlad ×")))</f>
        <v/>
      </c>
      <c r="C455" s="236" t="str">
        <f t="shared" si="6"/>
        <v xml:space="preserve">                                          </v>
      </c>
    </row>
    <row r="456" spans="1:10">
      <c r="A456" s="242" t="s">
        <v>24</v>
      </c>
      <c r="B456" s="236" t="str">
        <f>IF('General price list'!$W$17=B455,A456,IFERROR(VLOOKUP(A456,Kategorie!C:AA,MATCH('General price list'!$W$17,Kategorie!$C$2:$AA$2,0),FALSE),IF(A456="","","× Chybí překlad ×")))</f>
        <v/>
      </c>
      <c r="C456" s="236" t="str">
        <f t="shared" si="6"/>
        <v xml:space="preserve">                                          </v>
      </c>
    </row>
    <row r="457" spans="1:10" ht="15.75">
      <c r="A457" s="243" t="s">
        <v>24</v>
      </c>
      <c r="B457" s="236" t="str">
        <f>IF('General price list'!$W$17=B456,A457,IFERROR(VLOOKUP(A457,Kategorie!C:AA,MATCH('General price list'!$W$17,Kategorie!$C$2:$AA$2,0),FALSE),IF(A457="","","× Chybí překlad ×")))</f>
        <v/>
      </c>
      <c r="C457" s="236" t="str">
        <f t="shared" si="6"/>
        <v xml:space="preserve">                                          </v>
      </c>
    </row>
    <row r="458" spans="1:10">
      <c r="A458" s="242" t="s">
        <v>24</v>
      </c>
      <c r="B458" s="236" t="str">
        <f>IF('General price list'!$W$17=B457,A458,IFERROR(VLOOKUP(A458,Kategorie!C:AA,MATCH('General price list'!$W$17,Kategorie!$C$2:$AA$2,0),FALSE),IF(A458="","","× Chybí překlad ×")))</f>
        <v/>
      </c>
      <c r="C458" s="236" t="str">
        <f t="shared" si="6"/>
        <v xml:space="preserve">                                          </v>
      </c>
    </row>
    <row r="459" spans="1:10" ht="15.75">
      <c r="A459" s="243" t="s">
        <v>24</v>
      </c>
      <c r="B459" s="236" t="str">
        <f>IF('General price list'!$W$17=B458,A459,IFERROR(VLOOKUP(A459,Kategorie!C:AA,MATCH('General price list'!$W$17,Kategorie!$C$2:$AA$2,0),FALSE),IF(A459="","","× Chybí překlad ×")))</f>
        <v/>
      </c>
      <c r="C459" s="236" t="str">
        <f t="shared" si="6"/>
        <v xml:space="preserve">                                          </v>
      </c>
    </row>
    <row r="460" spans="1:10">
      <c r="A460" s="242" t="s">
        <v>24</v>
      </c>
      <c r="B460" s="236" t="str">
        <f>IF('General price list'!$W$17=B459,A460,IFERROR(VLOOKUP(A460,Kategorie!C:AA,MATCH('General price list'!$W$17,Kategorie!$C$2:$AA$2,0),FALSE),IF(A460="","","× Chybí překlad ×")))</f>
        <v/>
      </c>
      <c r="C460" s="236" t="str">
        <f t="shared" si="6"/>
        <v xml:space="preserve">                                          </v>
      </c>
    </row>
    <row r="461" spans="1:10">
      <c r="A461" s="242" t="s">
        <v>24</v>
      </c>
      <c r="B461" s="236" t="str">
        <f>IF('General price list'!$W$17=B460,A461,IFERROR(VLOOKUP(A461,Kategorie!C:AA,MATCH('General price list'!$W$17,Kategorie!$C$2:$AA$2,0),FALSE),IF(A461="","","× Chybí překlad ×")))</f>
        <v/>
      </c>
      <c r="C461" s="236" t="str">
        <f t="shared" si="6"/>
        <v xml:space="preserve">                                          </v>
      </c>
    </row>
    <row r="462" spans="1:10" ht="15.75">
      <c r="A462" s="243" t="s">
        <v>8238</v>
      </c>
      <c r="B462" s="236" t="str">
        <f>IF('General price list'!$W$17=B461,A462,IFERROR(VLOOKUP(A462,Kategorie!C:AA,MATCH('General price list'!$W$17,Kategorie!$C$2:$AA$2,0),FALSE),IF(A462="","","× Chybí překlad ×")))</f>
        <v>Kugelbomben 125mm, Prämienqualität</v>
      </c>
      <c r="C462" s="236" t="str">
        <f t="shared" si="6"/>
        <v xml:space="preserve">                                          Kugelbomben 125mm, Prämienqualität</v>
      </c>
    </row>
    <row r="463" spans="1:10">
      <c r="A463" s="242" t="s">
        <v>24</v>
      </c>
      <c r="B463" s="236" t="str">
        <f>IF('General price list'!$W$17=B462,A463,IFERROR(VLOOKUP(A463,Kategorie!C:AA,MATCH('General price list'!$W$17,Kategorie!$C$2:$AA$2,0),FALSE),IF(A463="","","× Chybí překlad ×")))</f>
        <v/>
      </c>
      <c r="C463" s="236" t="str">
        <f t="shared" si="6"/>
        <v xml:space="preserve">                                          </v>
      </c>
    </row>
    <row r="464" spans="1:10">
      <c r="A464" s="242" t="s">
        <v>24</v>
      </c>
      <c r="B464" s="236" t="str">
        <f>IF('General price list'!$W$17=B463,A464,IFERROR(VLOOKUP(A464,Kategorie!C:AA,MATCH('General price list'!$W$17,Kategorie!$C$2:$AA$2,0),FALSE),IF(A464="","","× Chybí překlad ×")))</f>
        <v/>
      </c>
      <c r="C464" s="236" t="str">
        <f t="shared" si="6"/>
        <v xml:space="preserve">                                          </v>
      </c>
    </row>
    <row r="465" spans="1:10">
      <c r="A465" s="242" t="s">
        <v>24</v>
      </c>
      <c r="B465" s="236" t="str">
        <f>IF('General price list'!$W$17=B464,A465,IFERROR(VLOOKUP(A465,Kategorie!C:AA,MATCH('General price list'!$W$17,Kategorie!$C$2:$AA$2,0),FALSE),IF(A465="","","× Chybí překlad ×")))</f>
        <v/>
      </c>
      <c r="C465" s="236" t="str">
        <f t="shared" si="6"/>
        <v xml:space="preserve">                                          </v>
      </c>
    </row>
    <row r="466" spans="1:10" ht="15.75">
      <c r="A466" s="243" t="s">
        <v>24</v>
      </c>
      <c r="B466" s="236" t="str">
        <f>IF('General price list'!$W$17=B465,A466,IFERROR(VLOOKUP(A466,Kategorie!C:AA,MATCH('General price list'!$W$17,Kategorie!$C$2:$AA$2,0),FALSE),IF(A466="","","× Chybí překlad ×")))</f>
        <v/>
      </c>
      <c r="C466" s="236" t="str">
        <f t="shared" si="6"/>
        <v xml:space="preserve">                                          </v>
      </c>
    </row>
    <row r="467" spans="1:10">
      <c r="A467" s="242" t="s">
        <v>8246</v>
      </c>
      <c r="B467" s="236" t="str">
        <f>IF('General price list'!$W$17=B466,A467,IFERROR(VLOOKUP(A467,Kategorie!C:AA,MATCH('General price list'!$W$17,Kategorie!$C$2:$AA$2,0),FALSE),IF(A467="","","× Chybí překlad ×")))</f>
        <v>Kugelbomben 150mm</v>
      </c>
      <c r="C467" s="236" t="str">
        <f t="shared" si="6"/>
        <v xml:space="preserve">                                          Kugelbomben 150mm</v>
      </c>
    </row>
    <row r="468" spans="1:10">
      <c r="A468" s="242" t="s">
        <v>24</v>
      </c>
      <c r="B468" s="236" t="str">
        <f>IF('General price list'!$W$17=B467,A468,IFERROR(VLOOKUP(A468,Kategorie!C:AA,MATCH('General price list'!$W$17,Kategorie!$C$2:$AA$2,0),FALSE),IF(A468="","","× Chybí překlad ×")))</f>
        <v/>
      </c>
      <c r="C468" s="236" t="str">
        <f t="shared" si="6"/>
        <v xml:space="preserve">                                          </v>
      </c>
    </row>
    <row r="469" spans="1:10">
      <c r="A469" s="242" t="s">
        <v>8254</v>
      </c>
      <c r="B469" s="236" t="str">
        <f>IF('General price list'!$W$17=B468,A469,IFERROR(VLOOKUP(A469,Kategorie!C:AA,MATCH('General price list'!$W$17,Kategorie!$C$2:$AA$2,0),FALSE),IF(A469="","","× Chybí překlad ×")))</f>
        <v>Kugelbomben 150mm, Prämienqualität</v>
      </c>
      <c r="C469" s="236" t="str">
        <f t="shared" si="6"/>
        <v xml:space="preserve">                                          Kugelbomben 150mm, Prämienqualität</v>
      </c>
    </row>
    <row r="470" spans="1:10">
      <c r="A470" s="242" t="s">
        <v>24</v>
      </c>
      <c r="B470" s="236" t="str">
        <f>IF('General price list'!$W$17=B469,A470,IFERROR(VLOOKUP(A470,Kategorie!C:AA,MATCH('General price list'!$W$17,Kategorie!$C$2:$AA$2,0),FALSE),IF(A470="","","× Chybí překlad ×")))</f>
        <v/>
      </c>
      <c r="C470" s="236" t="str">
        <f t="shared" ref="C470:C533" si="7">IF(A470="x","×",$C$1&amp;B470)</f>
        <v xml:space="preserve">                                          </v>
      </c>
    </row>
    <row r="471" spans="1:10">
      <c r="A471" s="242" t="s">
        <v>24</v>
      </c>
      <c r="B471" s="236" t="str">
        <f>IF('General price list'!$W$17=B470,A471,IFERROR(VLOOKUP(A471,Kategorie!C:AA,MATCH('General price list'!$W$17,Kategorie!$C$2:$AA$2,0),FALSE),IF(A471="","","× Chybí překlad ×")))</f>
        <v/>
      </c>
      <c r="C471" s="236" t="str">
        <f t="shared" si="7"/>
        <v xml:space="preserve">                                          </v>
      </c>
    </row>
    <row r="472" spans="1:10">
      <c r="A472" s="242" t="s">
        <v>24</v>
      </c>
      <c r="B472" s="236" t="str">
        <f>IF('General price list'!$W$17=B471,A472,IFERROR(VLOOKUP(A472,Kategorie!C:AA,MATCH('General price list'!$W$17,Kategorie!$C$2:$AA$2,0),FALSE),IF(A472="","","× Chybí překlad ×")))</f>
        <v/>
      </c>
      <c r="C472" s="236" t="str">
        <f t="shared" si="7"/>
        <v xml:space="preserve">                                          </v>
      </c>
    </row>
    <row r="473" spans="1:10" ht="15.75">
      <c r="A473" s="243" t="s">
        <v>8262</v>
      </c>
      <c r="B473" s="236" t="str">
        <f>IF('General price list'!$W$17=B472,A473,IFERROR(VLOOKUP(A473,Kategorie!C:AA,MATCH('General price list'!$W$17,Kategorie!$C$2:$AA$2,0),FALSE),IF(A473="","","× Chybí překlad ×")))</f>
        <v>Unvernichtbare Mörser</v>
      </c>
      <c r="C473" s="236" t="str">
        <f t="shared" si="7"/>
        <v xml:space="preserve">                                          Unvernichtbare Mörser</v>
      </c>
    </row>
    <row r="474" spans="1:10">
      <c r="A474" s="242" t="s">
        <v>24</v>
      </c>
      <c r="B474" s="236" t="str">
        <f>IF('General price list'!$W$17=B473,A474,IFERROR(VLOOKUP(A474,Kategorie!C:AA,MATCH('General price list'!$W$17,Kategorie!$C$2:$AA$2,0),FALSE),IF(A474="","","× Chybí překlad ×")))</f>
        <v/>
      </c>
      <c r="C474" s="236" t="str">
        <f t="shared" si="7"/>
        <v xml:space="preserve">                                          </v>
      </c>
    </row>
    <row r="475" spans="1:10">
      <c r="A475" s="242" t="s">
        <v>24</v>
      </c>
      <c r="B475" s="236" t="str">
        <f>IF('General price list'!$W$17=B474,A475,IFERROR(VLOOKUP(A475,Kategorie!C:AA,MATCH('General price list'!$W$17,Kategorie!$C$2:$AA$2,0),FALSE),IF(A475="","","× Chybí překlad ×")))</f>
        <v/>
      </c>
      <c r="C475" s="236" t="str">
        <f t="shared" si="7"/>
        <v xml:space="preserve">                                          </v>
      </c>
      <c r="J475" s="236" t="s">
        <v>6849</v>
      </c>
    </row>
    <row r="476" spans="1:10">
      <c r="A476" s="242" t="s">
        <v>24</v>
      </c>
      <c r="B476" s="236" t="str">
        <f>IF('General price list'!$W$17=B475,A476,IFERROR(VLOOKUP(A476,Kategorie!C:AA,MATCH('General price list'!$W$17,Kategorie!$C$2:$AA$2,0),FALSE),IF(A476="","","× Chybí překlad ×")))</f>
        <v/>
      </c>
      <c r="C476" s="236" t="str">
        <f t="shared" si="7"/>
        <v xml:space="preserve">                                          </v>
      </c>
    </row>
    <row r="477" spans="1:10">
      <c r="A477" s="242" t="s">
        <v>24</v>
      </c>
      <c r="B477" s="236" t="str">
        <f>IF('General price list'!$W$17=B476,A477,IFERROR(VLOOKUP(A477,Kategorie!C:AA,MATCH('General price list'!$W$17,Kategorie!$C$2:$AA$2,0),FALSE),IF(A477="","","× Chybí překlad ×")))</f>
        <v/>
      </c>
      <c r="C477" s="236" t="str">
        <f t="shared" si="7"/>
        <v xml:space="preserve">                                          </v>
      </c>
    </row>
    <row r="478" spans="1:10">
      <c r="A478" s="242" t="s">
        <v>24</v>
      </c>
      <c r="B478" s="236" t="str">
        <f>IF('General price list'!$W$17=B477,A478,IFERROR(VLOOKUP(A478,Kategorie!C:AA,MATCH('General price list'!$W$17,Kategorie!$C$2:$AA$2,0),FALSE),IF(A478="","","× Chybí překlad ×")))</f>
        <v/>
      </c>
      <c r="C478" s="236" t="str">
        <f t="shared" si="7"/>
        <v xml:space="preserve">                                          </v>
      </c>
    </row>
    <row r="479" spans="1:10" ht="15.75">
      <c r="A479" s="243" t="s">
        <v>8270</v>
      </c>
      <c r="B479" s="236" t="str">
        <f>IF('General price list'!$W$17=B478,A479,IFERROR(VLOOKUP(A479,Kategorie!C:AA,MATCH('General price list'!$W$17,Kategorie!$C$2:$AA$2,0),FALSE),IF(A479="","","× Chybí překlad ×")))</f>
        <v>Interiur-Fontänen, Spritzer, Wasserfälle</v>
      </c>
      <c r="C479" s="236" t="str">
        <f t="shared" si="7"/>
        <v xml:space="preserve">                                          Interiur-Fontänen, Spritzer, Wasserfälle</v>
      </c>
    </row>
    <row r="480" spans="1:10">
      <c r="A480" s="242" t="s">
        <v>24</v>
      </c>
      <c r="B480" s="236" t="str">
        <f>IF('General price list'!$W$17=B479,A480,IFERROR(VLOOKUP(A480,Kategorie!C:AA,MATCH('General price list'!$W$17,Kategorie!$C$2:$AA$2,0),FALSE),IF(A480="","","× Chybí překlad ×")))</f>
        <v/>
      </c>
      <c r="C480" s="236" t="str">
        <f t="shared" si="7"/>
        <v xml:space="preserve">                                          </v>
      </c>
    </row>
    <row r="481" spans="1:10">
      <c r="A481" s="242" t="s">
        <v>24</v>
      </c>
      <c r="B481" s="236" t="str">
        <f>IF('General price list'!$W$17=B480,A481,IFERROR(VLOOKUP(A481,Kategorie!C:AA,MATCH('General price list'!$W$17,Kategorie!$C$2:$AA$2,0),FALSE),IF(A481="","","× Chybí překlad ×")))</f>
        <v/>
      </c>
      <c r="C481" s="236" t="str">
        <f t="shared" si="7"/>
        <v xml:space="preserve">                                          </v>
      </c>
    </row>
    <row r="482" spans="1:10" ht="15.75">
      <c r="A482" s="243" t="s">
        <v>24</v>
      </c>
      <c r="B482" s="236" t="str">
        <f>IF('General price list'!$W$17=B481,A482,IFERROR(VLOOKUP(A482,Kategorie!C:AA,MATCH('General price list'!$W$17,Kategorie!$C$2:$AA$2,0),FALSE),IF(A482="","","× Chybí překlad ×")))</f>
        <v/>
      </c>
      <c r="C482" s="236" t="str">
        <f t="shared" si="7"/>
        <v xml:space="preserve">                                          </v>
      </c>
    </row>
    <row r="483" spans="1:10">
      <c r="A483" s="242" t="s">
        <v>24</v>
      </c>
      <c r="B483" s="236" t="str">
        <f>IF('General price list'!$W$17=B482,A483,IFERROR(VLOOKUP(A483,Kategorie!C:AA,MATCH('General price list'!$W$17,Kategorie!$C$2:$AA$2,0),FALSE),IF(A483="","","× Chybí překlad ×")))</f>
        <v/>
      </c>
      <c r="C483" s="236" t="str">
        <f t="shared" si="7"/>
        <v xml:space="preserve">                                          </v>
      </c>
    </row>
    <row r="484" spans="1:10">
      <c r="A484" s="242" t="s">
        <v>6858</v>
      </c>
      <c r="B484" s="236" t="str">
        <f>IF('General price list'!$W$17=B483,A484,IFERROR(VLOOKUP(A484,Kategorie!C:AA,MATCH('General price list'!$W$17,Kategorie!$C$2:$AA$2,0),FALSE),IF(A484="","","× Chybí překlad ×")))</f>
        <v>Sonstiges</v>
      </c>
      <c r="C484" s="236" t="str">
        <f t="shared" si="7"/>
        <v xml:space="preserve">                                          Sonstiges</v>
      </c>
    </row>
    <row r="485" spans="1:10">
      <c r="A485" s="242" t="s">
        <v>24</v>
      </c>
      <c r="B485" s="236" t="str">
        <f>IF('General price list'!$W$17=B484,A485,IFERROR(VLOOKUP(A485,Kategorie!C:AA,MATCH('General price list'!$W$17,Kategorie!$C$2:$AA$2,0),FALSE),IF(A485="","","× Chybí překlad ×")))</f>
        <v/>
      </c>
      <c r="C485" s="236" t="str">
        <f t="shared" si="7"/>
        <v xml:space="preserve">                                          </v>
      </c>
    </row>
    <row r="486" spans="1:10">
      <c r="A486" s="242" t="s">
        <v>24</v>
      </c>
      <c r="B486" s="236" t="str">
        <f>IF('General price list'!$W$17=B485,A486,IFERROR(VLOOKUP(A486,Kategorie!C:AA,MATCH('General price list'!$W$17,Kategorie!$C$2:$AA$2,0),FALSE),IF(A486="","","× Chybí překlad ×")))</f>
        <v/>
      </c>
      <c r="C486" s="236" t="str">
        <f t="shared" si="7"/>
        <v xml:space="preserve">                                          </v>
      </c>
    </row>
    <row r="487" spans="1:10">
      <c r="A487" s="242" t="s">
        <v>24</v>
      </c>
      <c r="B487" s="236" t="str">
        <f>IF('General price list'!$W$17=B486,A487,IFERROR(VLOOKUP(A487,Kategorie!C:AA,MATCH('General price list'!$W$17,Kategorie!$C$2:$AA$2,0),FALSE),IF(A487="","","× Chybí překlad ×")))</f>
        <v/>
      </c>
      <c r="C487" s="236" t="str">
        <f t="shared" si="7"/>
        <v xml:space="preserve">                                          </v>
      </c>
    </row>
    <row r="488" spans="1:10">
      <c r="A488" s="242" t="s">
        <v>24</v>
      </c>
      <c r="B488" s="236" t="str">
        <f>IF('General price list'!$W$17=B487,A488,IFERROR(VLOOKUP(A488,Kategorie!C:AA,MATCH('General price list'!$W$17,Kategorie!$C$2:$AA$2,0),FALSE),IF(A488="","","× Chybí překlad ×")))</f>
        <v/>
      </c>
      <c r="C488" s="236" t="str">
        <f t="shared" si="7"/>
        <v xml:space="preserve">                                          </v>
      </c>
    </row>
    <row r="489" spans="1:10">
      <c r="A489" s="242" t="s">
        <v>24</v>
      </c>
      <c r="B489" s="236" t="str">
        <f>IF('General price list'!$W$17=B488,A489,IFERROR(VLOOKUP(A489,Kategorie!C:AA,MATCH('General price list'!$W$17,Kategorie!$C$2:$AA$2,0),FALSE),IF(A489="","","× Chybí překlad ×")))</f>
        <v/>
      </c>
      <c r="C489" s="236" t="str">
        <f t="shared" si="7"/>
        <v xml:space="preserve">                                          </v>
      </c>
    </row>
    <row r="490" spans="1:10">
      <c r="A490" s="242" t="s">
        <v>6627</v>
      </c>
      <c r="B490" s="236" t="str">
        <f>IF('General price list'!$W$17=B489,A490,IFERROR(VLOOKUP(A490,Kategorie!C:AA,MATCH('General price list'!$W$17,Kategorie!$C$2:$AA$2,0),FALSE),IF(A490="","","× Chybí překlad ×")))</f>
        <v>Interieur Fontänen</v>
      </c>
      <c r="C490" s="236" t="str">
        <f t="shared" si="7"/>
        <v xml:space="preserve">                                          Interieur Fontänen</v>
      </c>
      <c r="J490" s="236" t="s">
        <v>6858</v>
      </c>
    </row>
    <row r="491" spans="1:10" ht="15.75">
      <c r="A491" s="243" t="s">
        <v>24</v>
      </c>
      <c r="B491" s="236" t="str">
        <f>IF('General price list'!$W$17=B490,A491,IFERROR(VLOOKUP(A491,Kategorie!C:AA,MATCH('General price list'!$W$17,Kategorie!$C$2:$AA$2,0),FALSE),IF(A491="","","× Chybí překlad ×")))</f>
        <v/>
      </c>
      <c r="C491" s="236" t="str">
        <f t="shared" si="7"/>
        <v xml:space="preserve">                                          </v>
      </c>
    </row>
    <row r="492" spans="1:10">
      <c r="A492" s="242" t="s">
        <v>8286</v>
      </c>
      <c r="B492" s="236" t="str">
        <f>IF('General price list'!$W$17=B491,A492,IFERROR(VLOOKUP(A492,Kategorie!C:AA,MATCH('General price list'!$W$17,Kategorie!$C$2:$AA$2,0),FALSE),IF(A492="","","× Chybí překlad ×")))</f>
        <v>Raketensets 1.3G</v>
      </c>
      <c r="C492" s="236" t="str">
        <f t="shared" si="7"/>
        <v xml:space="preserve">                                          Raketensets 1.3G</v>
      </c>
    </row>
    <row r="493" spans="1:10">
      <c r="A493" s="242" t="s">
        <v>24</v>
      </c>
      <c r="B493" s="236" t="str">
        <f>IF('General price list'!$W$17=B492,A493,IFERROR(VLOOKUP(A493,Kategorie!C:AA,MATCH('General price list'!$W$17,Kategorie!$C$2:$AA$2,0),FALSE),IF(A493="","","× Chybí překlad ×")))</f>
        <v/>
      </c>
      <c r="C493" s="236" t="str">
        <f t="shared" si="7"/>
        <v xml:space="preserve">                                          </v>
      </c>
    </row>
    <row r="494" spans="1:10">
      <c r="A494" s="242" t="s">
        <v>6973</v>
      </c>
      <c r="B494" s="236" t="str">
        <f>IF('General price list'!$W$17=B493,A494,IFERROR(VLOOKUP(A494,Kategorie!C:AA,MATCH('General price list'!$W$17,Kategorie!$C$2:$AA$2,0),FALSE),IF(A494="","","× Chybí překlad ×")))</f>
        <v>Batterien 25 schuss, 20mm Mörser-1.3G</v>
      </c>
      <c r="C494" s="236" t="str">
        <f t="shared" si="7"/>
        <v xml:space="preserve">                                          Batterien 25 schuss, 20mm Mörser-1.3G</v>
      </c>
    </row>
    <row r="495" spans="1:10">
      <c r="A495" s="242" t="s">
        <v>24</v>
      </c>
      <c r="B495" s="236" t="str">
        <f>IF('General price list'!$W$17=B494,A495,IFERROR(VLOOKUP(A495,Kategorie!C:AA,MATCH('General price list'!$W$17,Kategorie!$C$2:$AA$2,0),FALSE),IF(A495="","","× Chybí překlad ×")))</f>
        <v/>
      </c>
      <c r="C495" s="236" t="str">
        <f t="shared" si="7"/>
        <v xml:space="preserve">                                          </v>
      </c>
      <c r="J495" s="236" t="s">
        <v>6864</v>
      </c>
    </row>
    <row r="496" spans="1:10">
      <c r="A496" s="242" t="s">
        <v>24</v>
      </c>
      <c r="B496" s="236" t="str">
        <f>IF('General price list'!$W$17=B495,A496,IFERROR(VLOOKUP(A496,Kategorie!C:AA,MATCH('General price list'!$W$17,Kategorie!$C$2:$AA$2,0),FALSE),IF(A496="","","× Chybí překlad ×")))</f>
        <v/>
      </c>
      <c r="C496" s="236" t="str">
        <f t="shared" si="7"/>
        <v xml:space="preserve">                                          </v>
      </c>
    </row>
    <row r="497" spans="1:10">
      <c r="A497" s="242" t="s">
        <v>7062</v>
      </c>
      <c r="B497" s="236" t="str">
        <f>IF('General price list'!$W$17=B496,A497,IFERROR(VLOOKUP(A497,Kategorie!C:AA,MATCH('General price list'!$W$17,Kategorie!$C$2:$AA$2,0),FALSE),IF(A497="","","× Chybí překlad ×")))</f>
        <v>Batterien 90 schuss, 20mm Mörser-1.3G</v>
      </c>
      <c r="C497" s="236" t="str">
        <f t="shared" si="7"/>
        <v xml:space="preserve">                                          Batterien 90 schuss, 20mm Mörser-1.3G</v>
      </c>
      <c r="J497" s="236" t="s">
        <v>6867</v>
      </c>
    </row>
    <row r="498" spans="1:10">
      <c r="A498" s="242" t="s">
        <v>24</v>
      </c>
      <c r="B498" s="236" t="str">
        <f>IF('General price list'!$W$17=B497,A498,IFERROR(VLOOKUP(A498,Kategorie!C:AA,MATCH('General price list'!$W$17,Kategorie!$C$2:$AA$2,0),FALSE),IF(A498="","","× Chybí překlad ×")))</f>
        <v/>
      </c>
      <c r="C498" s="236" t="str">
        <f t="shared" si="7"/>
        <v xml:space="preserve">                                          </v>
      </c>
    </row>
    <row r="499" spans="1:10" ht="15.75">
      <c r="A499" s="243" t="s">
        <v>7071</v>
      </c>
      <c r="B499" s="236" t="str">
        <f>IF('General price list'!$W$17=B498,A499,IFERROR(VLOOKUP(A499,Kategorie!C:AA,MATCH('General price list'!$W$17,Kategorie!$C$2:$AA$2,0),FALSE),IF(A499="","","× Chybí překlad ×")))</f>
        <v>Batterien 100 schuss, 20mm Mörser-1.4G</v>
      </c>
      <c r="C499" s="236" t="str">
        <f t="shared" si="7"/>
        <v xml:space="preserve">                                          Batterien 100 schuss, 20mm Mörser-1.4G</v>
      </c>
      <c r="J499" s="236" t="s">
        <v>6876</v>
      </c>
    </row>
    <row r="500" spans="1:10">
      <c r="A500" s="242" t="s">
        <v>24</v>
      </c>
      <c r="B500" s="236" t="str">
        <f>IF('General price list'!$W$17=B499,A500,IFERROR(VLOOKUP(A500,Kategorie!C:AA,MATCH('General price list'!$W$17,Kategorie!$C$2:$AA$2,0),FALSE),IF(A500="","","× Chybí překlad ×")))</f>
        <v/>
      </c>
      <c r="C500" s="236" t="str">
        <f t="shared" si="7"/>
        <v xml:space="preserve">                                          </v>
      </c>
    </row>
    <row r="501" spans="1:10">
      <c r="A501" s="242" t="s">
        <v>7089</v>
      </c>
      <c r="B501" s="236" t="str">
        <f>IF('General price list'!$W$17=B500,A501,IFERROR(VLOOKUP(A501,Kategorie!C:AA,MATCH('General price list'!$W$17,Kategorie!$C$2:$AA$2,0),FALSE),IF(A501="","","× Chybí překlad ×")))</f>
        <v>Batterien 100 schuss, 20mm schräg Mörser-1.3G</v>
      </c>
      <c r="C501" s="236" t="str">
        <f t="shared" si="7"/>
        <v xml:space="preserve">                                          Batterien 100 schuss, 20mm schräg Mörser-1.3G</v>
      </c>
      <c r="J501" s="236" t="s">
        <v>6885</v>
      </c>
    </row>
    <row r="502" spans="1:10">
      <c r="A502" s="242" t="s">
        <v>24</v>
      </c>
      <c r="B502" s="236" t="str">
        <f>IF('General price list'!$W$17=B501,A502,IFERROR(VLOOKUP(A502,Kategorie!C:AA,MATCH('General price list'!$W$17,Kategorie!$C$2:$AA$2,0),FALSE),IF(A502="","","× Chybí překlad ×")))</f>
        <v/>
      </c>
      <c r="C502" s="236" t="str">
        <f t="shared" si="7"/>
        <v xml:space="preserve">                                          </v>
      </c>
    </row>
    <row r="503" spans="1:10">
      <c r="A503" s="242" t="s">
        <v>7098</v>
      </c>
      <c r="B503" s="236" t="str">
        <f>IF('General price list'!$W$17=B502,A503,IFERROR(VLOOKUP(A503,Kategorie!C:AA,MATCH('General price list'!$W$17,Kategorie!$C$2:$AA$2,0),FALSE),IF(A503="","","× Chybí překlad ×")))</f>
        <v>Batterien 130 schuss, 20mm Mörser-1.3G</v>
      </c>
      <c r="C503" s="236" t="str">
        <f t="shared" si="7"/>
        <v xml:space="preserve">                                          Batterien 130 schuss, 20mm Mörser-1.3G</v>
      </c>
      <c r="J503" s="236" t="s">
        <v>6894</v>
      </c>
    </row>
    <row r="504" spans="1:10">
      <c r="A504" s="242" t="s">
        <v>24</v>
      </c>
      <c r="B504" s="236" t="str">
        <f>IF('General price list'!$W$17=B503,A504,IFERROR(VLOOKUP(A504,Kategorie!C:AA,MATCH('General price list'!$W$17,Kategorie!$C$2:$AA$2,0),FALSE),IF(A504="","","× Chybí překlad ×")))</f>
        <v/>
      </c>
      <c r="C504" s="236" t="str">
        <f t="shared" si="7"/>
        <v xml:space="preserve">                                          </v>
      </c>
    </row>
    <row r="505" spans="1:10" ht="15.75">
      <c r="A505" s="243" t="s">
        <v>7107</v>
      </c>
      <c r="B505" s="236" t="str">
        <f>IF('General price list'!$W$17=B504,A505,IFERROR(VLOOKUP(A505,Kategorie!C:AA,MATCH('General price list'!$W$17,Kategorie!$C$2:$AA$2,0),FALSE),IF(A505="","","× Chybí překlad ×")))</f>
        <v>Batterien 134 schuss, 20mm I+V+W+schräg Mörser-1.3G</v>
      </c>
      <c r="C505" s="236" t="str">
        <f t="shared" si="7"/>
        <v xml:space="preserve">                                          Batterien 134 schuss, 20mm I+V+W+schräg Mörser-1.3G</v>
      </c>
      <c r="J505" s="236" t="s">
        <v>6902</v>
      </c>
    </row>
    <row r="506" spans="1:10">
      <c r="A506" s="242" t="s">
        <v>24</v>
      </c>
      <c r="B506" s="236" t="str">
        <f>IF('General price list'!$W$17=B505,A506,IFERROR(VLOOKUP(A506,Kategorie!C:AA,MATCH('General price list'!$W$17,Kategorie!$C$2:$AA$2,0),FALSE),IF(A506="","","× Chybí překlad ×")))</f>
        <v/>
      </c>
      <c r="C506" s="236" t="str">
        <f t="shared" si="7"/>
        <v xml:space="preserve">                                          </v>
      </c>
    </row>
    <row r="507" spans="1:10">
      <c r="A507" s="242" t="s">
        <v>24</v>
      </c>
      <c r="B507" s="236" t="str">
        <f>IF('General price list'!$W$17=B506,A507,IFERROR(VLOOKUP(A507,Kategorie!C:AA,MATCH('General price list'!$W$17,Kategorie!$C$2:$AA$2,0),FALSE),IF(A507="","","× Chybí překlad ×")))</f>
        <v/>
      </c>
      <c r="C507" s="236" t="str">
        <f t="shared" si="7"/>
        <v xml:space="preserve">                                          </v>
      </c>
      <c r="J507" s="236" t="s">
        <v>6911</v>
      </c>
    </row>
    <row r="508" spans="1:10">
      <c r="A508" s="242" t="s">
        <v>7179</v>
      </c>
      <c r="B508" s="236" t="str">
        <f>IF('General price list'!$W$17=B507,A508,IFERROR(VLOOKUP(A508,Kategorie!C:AA,MATCH('General price list'!$W$17,Kategorie!$C$2:$AA$2,0),FALSE),IF(A508="","","× Chybí překlad ×")))</f>
        <v>Verbundfeurwerk F3 - 1.3G</v>
      </c>
      <c r="C508" s="236" t="str">
        <f t="shared" si="7"/>
        <v xml:space="preserve">                                          Verbundfeurwerk F3 - 1.3G</v>
      </c>
    </row>
    <row r="509" spans="1:10">
      <c r="A509" s="242" t="s">
        <v>24</v>
      </c>
      <c r="B509" s="236" t="str">
        <f>IF('General price list'!$W$17=B508,A509,IFERROR(VLOOKUP(A509,Kategorie!C:AA,MATCH('General price list'!$W$17,Kategorie!$C$2:$AA$2,0),FALSE),IF(A509="","","× Chybí překlad ×")))</f>
        <v/>
      </c>
      <c r="C509" s="236" t="str">
        <f t="shared" si="7"/>
        <v xml:space="preserve">                                          </v>
      </c>
    </row>
    <row r="510" spans="1:10" ht="15.75">
      <c r="A510" s="243" t="s">
        <v>7295</v>
      </c>
      <c r="B510" s="236" t="str">
        <f>IF('General price list'!$W$17=B509,A510,IFERROR(VLOOKUP(A510,Kategorie!C:AA,MATCH('General price list'!$W$17,Kategorie!$C$2:$AA$2,0),FALSE),IF(A510="","","× Chybí překlad ×")))</f>
        <v>Batterien 88 schuss, 25mm Mörser-1.3G</v>
      </c>
      <c r="C510" s="236" t="str">
        <f t="shared" si="7"/>
        <v xml:space="preserve">                                          Batterien 88 schuss, 25mm Mörser-1.3G</v>
      </c>
    </row>
    <row r="511" spans="1:10">
      <c r="A511" s="242" t="s">
        <v>24</v>
      </c>
      <c r="B511" s="236" t="str">
        <f>IF('General price list'!$W$17=B510,A511,IFERROR(VLOOKUP(A511,Kategorie!C:AA,MATCH('General price list'!$W$17,Kategorie!$C$2:$AA$2,0),FALSE),IF(A511="","","× Chybí překlad ×")))</f>
        <v/>
      </c>
      <c r="C511" s="236" t="str">
        <f t="shared" si="7"/>
        <v xml:space="preserve">                                          </v>
      </c>
      <c r="J511" s="236" t="s">
        <v>6920</v>
      </c>
    </row>
    <row r="512" spans="1:10">
      <c r="A512" s="242" t="s">
        <v>24</v>
      </c>
      <c r="B512" s="236" t="str">
        <f>IF('General price list'!$W$17=B511,A512,IFERROR(VLOOKUP(A512,Kategorie!C:AA,MATCH('General price list'!$W$17,Kategorie!$C$2:$AA$2,0),FALSE),IF(A512="","","× Chybí překlad ×")))</f>
        <v/>
      </c>
      <c r="C512" s="236" t="str">
        <f t="shared" si="7"/>
        <v xml:space="preserve">                                          </v>
      </c>
    </row>
    <row r="513" spans="1:10">
      <c r="A513" s="242" t="s">
        <v>7304</v>
      </c>
      <c r="B513" s="236" t="str">
        <f>IF('General price list'!$W$17=B512,A513,IFERROR(VLOOKUP(A513,Kategorie!C:AA,MATCH('General price list'!$W$17,Kategorie!$C$2:$AA$2,0),FALSE),IF(A513="","","× Chybí překlad ×")))</f>
        <v>Batterien 89 schuss, 25mm I+W+schräg Mörser-1.3G</v>
      </c>
      <c r="C513" s="236" t="str">
        <f t="shared" si="7"/>
        <v xml:space="preserve">                                          Batterien 89 schuss, 25mm I+W+schräg Mörser-1.3G</v>
      </c>
      <c r="J513" s="236" t="s">
        <v>6928</v>
      </c>
    </row>
    <row r="514" spans="1:10">
      <c r="A514" s="242" t="s">
        <v>24</v>
      </c>
      <c r="B514" s="236" t="str">
        <f>IF('General price list'!$W$17=B513,A514,IFERROR(VLOOKUP(A514,Kategorie!C:AA,MATCH('General price list'!$W$17,Kategorie!$C$2:$AA$2,0),FALSE),IF(A514="","","× Chybí překlad ×")))</f>
        <v/>
      </c>
      <c r="C514" s="236" t="str">
        <f t="shared" si="7"/>
        <v xml:space="preserve">                                          </v>
      </c>
    </row>
    <row r="515" spans="1:10">
      <c r="A515" s="242" t="s">
        <v>7313</v>
      </c>
      <c r="B515" s="236" t="str">
        <f>IF('General price list'!$W$17=B514,A515,IFERROR(VLOOKUP(A515,Kategorie!C:AA,MATCH('General price list'!$W$17,Kategorie!$C$2:$AA$2,0),FALSE),IF(A515="","","× Chybí překlad ×")))</f>
        <v>Batterien 100 schuss, 25mm Mörser-1.3G</v>
      </c>
      <c r="C515" s="236" t="str">
        <f t="shared" si="7"/>
        <v xml:space="preserve">                                          Batterien 100 schuss, 25mm Mörser-1.3G</v>
      </c>
    </row>
    <row r="516" spans="1:10">
      <c r="A516" s="242" t="s">
        <v>24</v>
      </c>
      <c r="B516" s="236" t="str">
        <f>IF('General price list'!$W$17=B515,A516,IFERROR(VLOOKUP(A516,Kategorie!C:AA,MATCH('General price list'!$W$17,Kategorie!$C$2:$AA$2,0),FALSE),IF(A516="","","× Chybí překlad ×")))</f>
        <v/>
      </c>
      <c r="C516" s="236" t="str">
        <f t="shared" si="7"/>
        <v xml:space="preserve">                                          </v>
      </c>
      <c r="J516" s="236" t="s">
        <v>6937</v>
      </c>
    </row>
    <row r="517" spans="1:10" ht="15.75">
      <c r="A517" s="243" t="s">
        <v>7358</v>
      </c>
      <c r="B517" s="236" t="str">
        <f>IF('General price list'!$W$17=B516,A517,IFERROR(VLOOKUP(A517,Kategorie!C:AA,MATCH('General price list'!$W$17,Kategorie!$C$2:$AA$2,0),FALSE),IF(A517="","","× Chybí překlad ×")))</f>
        <v>Verbundfeurwerk 25mm - F3 - 1.3G</v>
      </c>
      <c r="C517" s="236" t="str">
        <f t="shared" si="7"/>
        <v xml:space="preserve">                                          Verbundfeurwerk 25mm - F3 - 1.3G</v>
      </c>
    </row>
    <row r="518" spans="1:10">
      <c r="A518" s="242" t="s">
        <v>24</v>
      </c>
      <c r="B518" s="236" t="str">
        <f>IF('General price list'!$W$17=B517,A518,IFERROR(VLOOKUP(A518,Kategorie!C:AA,MATCH('General price list'!$W$17,Kategorie!$C$2:$AA$2,0),FALSE),IF(A518="","","× Chybí překlad ×")))</f>
        <v/>
      </c>
      <c r="C518" s="236" t="str">
        <f t="shared" si="7"/>
        <v xml:space="preserve">                                          </v>
      </c>
    </row>
    <row r="519" spans="1:10">
      <c r="A519" s="242" t="s">
        <v>7498</v>
      </c>
      <c r="B519" s="236" t="str">
        <f>IF('General price list'!$W$17=B518,A519,IFERROR(VLOOKUP(A519,Kategorie!C:AA,MATCH('General price list'!$W$17,Kategorie!$C$2:$AA$2,0),FALSE),IF(A519="","","× Chybí překlad ×")))</f>
        <v>Batterien 49 schuss, 30mm Mörser-1.3G</v>
      </c>
      <c r="C519" s="236" t="str">
        <f t="shared" si="7"/>
        <v xml:space="preserve">                                          Batterien 49 schuss, 30mm Mörser-1.3G</v>
      </c>
      <c r="J519" s="236" t="s">
        <v>6946</v>
      </c>
    </row>
    <row r="520" spans="1:10">
      <c r="A520" s="242" t="s">
        <v>24</v>
      </c>
      <c r="B520" s="236" t="str">
        <f>IF('General price list'!$W$17=B519,A520,IFERROR(VLOOKUP(A520,Kategorie!C:AA,MATCH('General price list'!$W$17,Kategorie!$C$2:$AA$2,0),FALSE),IF(A520="","","× Chybí překlad ×")))</f>
        <v/>
      </c>
      <c r="C520" s="236" t="str">
        <f t="shared" si="7"/>
        <v xml:space="preserve">                                          </v>
      </c>
    </row>
    <row r="521" spans="1:10">
      <c r="A521" s="242" t="s">
        <v>24</v>
      </c>
      <c r="B521" s="236" t="str">
        <f>IF('General price list'!$W$17=B520,A521,IFERROR(VLOOKUP(A521,Kategorie!C:AA,MATCH('General price list'!$W$17,Kategorie!$C$2:$AA$2,0),FALSE),IF(A521="","","× Chybí překlad ×")))</f>
        <v/>
      </c>
      <c r="C521" s="236" t="str">
        <f t="shared" si="7"/>
        <v xml:space="preserve">                                          </v>
      </c>
    </row>
    <row r="522" spans="1:10">
      <c r="A522" s="242" t="s">
        <v>7507</v>
      </c>
      <c r="B522" s="236" t="str">
        <f>IF('General price list'!$W$17=B521,A522,IFERROR(VLOOKUP(A522,Kategorie!C:AA,MATCH('General price list'!$W$17,Kategorie!$C$2:$AA$2,0),FALSE),IF(A522="","","× Chybí překlad ×")))</f>
        <v>Batterien 49 schuss, 30mm schräg Mörser-1.3G</v>
      </c>
      <c r="C522" s="236" t="str">
        <f t="shared" si="7"/>
        <v xml:space="preserve">                                          Batterien 49 schuss, 30mm schräg Mörser-1.3G</v>
      </c>
    </row>
    <row r="523" spans="1:10" ht="15.75">
      <c r="A523" s="243" t="s">
        <v>24</v>
      </c>
      <c r="B523" s="236" t="str">
        <f>IF('General price list'!$W$17=B522,A523,IFERROR(VLOOKUP(A523,Kategorie!C:AA,MATCH('General price list'!$W$17,Kategorie!$C$2:$AA$2,0),FALSE),IF(A523="","","× Chybí překlad ×")))</f>
        <v/>
      </c>
      <c r="C523" s="236" t="str">
        <f t="shared" si="7"/>
        <v xml:space="preserve">                                          </v>
      </c>
    </row>
    <row r="524" spans="1:10">
      <c r="A524" s="242" t="s">
        <v>7534</v>
      </c>
      <c r="B524" s="236" t="str">
        <f>IF('General price list'!$W$17=B523,A524,IFERROR(VLOOKUP(A524,Kategorie!C:AA,MATCH('General price list'!$W$17,Kategorie!$C$2:$AA$2,0),FALSE),IF(A524="","","× Chybí překlad ×")))</f>
        <v>Batterien 64 schuss, 30mm schräg Mörser-1.3G</v>
      </c>
      <c r="C524" s="236" t="str">
        <f t="shared" si="7"/>
        <v xml:space="preserve">                                          Batterien 64 schuss, 30mm schräg Mörser-1.3G</v>
      </c>
    </row>
    <row r="525" spans="1:10">
      <c r="A525" s="242" t="s">
        <v>24</v>
      </c>
      <c r="B525" s="236" t="str">
        <f>IF('General price list'!$W$17=B524,A525,IFERROR(VLOOKUP(A525,Kategorie!C:AA,MATCH('General price list'!$W$17,Kategorie!$C$2:$AA$2,0),FALSE),IF(A525="","","× Chybí překlad ×")))</f>
        <v/>
      </c>
      <c r="C525" s="236" t="str">
        <f t="shared" si="7"/>
        <v xml:space="preserve">                                          </v>
      </c>
    </row>
    <row r="526" spans="1:10">
      <c r="A526" s="242" t="s">
        <v>7543</v>
      </c>
      <c r="B526" s="236" t="str">
        <f>IF('General price list'!$W$17=B525,A526,IFERROR(VLOOKUP(A526,Kategorie!C:AA,MATCH('General price list'!$W$17,Kategorie!$C$2:$AA$2,0),FALSE),IF(A526="","","× Chybí překlad ×")))</f>
        <v>Batterien 64 schuss, 30mm gerader+schräg Mörser-1.3G</v>
      </c>
      <c r="C526" s="236" t="str">
        <f t="shared" si="7"/>
        <v xml:space="preserve">                                          Batterien 64 schuss, 30mm gerader+schräg Mörser-1.3G</v>
      </c>
    </row>
    <row r="527" spans="1:10" ht="15.75">
      <c r="A527" s="243" t="s">
        <v>24</v>
      </c>
      <c r="B527" s="236" t="str">
        <f>IF('General price list'!$W$17=B526,A527,IFERROR(VLOOKUP(A527,Kategorie!C:AA,MATCH('General price list'!$W$17,Kategorie!$C$2:$AA$2,0),FALSE),IF(A527="","","× Chybí překlad ×")))</f>
        <v/>
      </c>
      <c r="C527" s="236" t="str">
        <f t="shared" si="7"/>
        <v xml:space="preserve">                                          </v>
      </c>
    </row>
    <row r="528" spans="1:10">
      <c r="A528" s="242" t="s">
        <v>7604</v>
      </c>
      <c r="B528" s="236" t="str">
        <f>IF('General price list'!$W$17=B527,A528,IFERROR(VLOOKUP(A528,Kategorie!C:AA,MATCH('General price list'!$W$17,Kategorie!$C$2:$AA$2,0),FALSE),IF(A528="","","× Chybí překlad ×")))</f>
        <v>Batterien 16 schuss, 50mm Mörser-1.3G</v>
      </c>
      <c r="C528" s="236" t="str">
        <f t="shared" si="7"/>
        <v xml:space="preserve">                                          Batterien 16 schuss, 50mm Mörser-1.3G</v>
      </c>
      <c r="J528" s="236" t="s">
        <v>6955</v>
      </c>
    </row>
    <row r="529" spans="1:10">
      <c r="A529" s="242" t="s">
        <v>24</v>
      </c>
      <c r="B529" s="236" t="str">
        <f>IF('General price list'!$W$17=B528,A529,IFERROR(VLOOKUP(A529,Kategorie!C:AA,MATCH('General price list'!$W$17,Kategorie!$C$2:$AA$2,0),FALSE),IF(A529="","","× Chybí překlad ×")))</f>
        <v/>
      </c>
      <c r="C529" s="236" t="str">
        <f t="shared" si="7"/>
        <v xml:space="preserve">                                          </v>
      </c>
    </row>
    <row r="530" spans="1:10" ht="15.75">
      <c r="A530" s="243" t="s">
        <v>7972</v>
      </c>
      <c r="B530" s="236" t="str">
        <f>IF('General price list'!$W$17=B529,A530,IFERROR(VLOOKUP(A530,Kategorie!C:AA,MATCH('General price list'!$W$17,Kategorie!$C$2:$AA$2,0),FALSE),IF(A530="","","× Chybí překlad ×")))</f>
        <v>Batterien 36 schuss, 36+50mm Mörser-1.3G</v>
      </c>
      <c r="C530" s="236" t="str">
        <f t="shared" si="7"/>
        <v xml:space="preserve">                                          Batterien 36 schuss, 36+50mm Mörser-1.3G</v>
      </c>
    </row>
    <row r="531" spans="1:10">
      <c r="A531" s="242" t="s">
        <v>24</v>
      </c>
      <c r="B531" s="236" t="str">
        <f>IF('General price list'!$W$17=B530,A531,IFERROR(VLOOKUP(A531,Kategorie!C:AA,MATCH('General price list'!$W$17,Kategorie!$C$2:$AA$2,0),FALSE),IF(A531="","","× Chybí překlad ×")))</f>
        <v/>
      </c>
      <c r="C531" s="236" t="str">
        <f t="shared" si="7"/>
        <v xml:space="preserve">                                          </v>
      </c>
    </row>
    <row r="532" spans="1:10">
      <c r="A532" s="242" t="s">
        <v>7999</v>
      </c>
      <c r="B532" s="236" t="str">
        <f>IF('General price list'!$W$17=B531,A532,IFERROR(VLOOKUP(A532,Kategorie!C:AA,MATCH('General price list'!$W$17,Kategorie!$C$2:$AA$2,0),FALSE),IF(A532="","","× Chybí překlad ×")))</f>
        <v>Batterien 47 schuss, 30+50mm gerader+schräg Mörser-1.3G</v>
      </c>
      <c r="C532" s="236" t="str">
        <f t="shared" si="7"/>
        <v xml:space="preserve">                                          Batterien 47 schuss, 30+50mm gerader+schräg Mörser-1.3G</v>
      </c>
    </row>
    <row r="533" spans="1:10" ht="15.75">
      <c r="A533" s="243" t="s">
        <v>24</v>
      </c>
      <c r="B533" s="236" t="str">
        <f>IF('General price list'!$W$17=B532,A533,IFERROR(VLOOKUP(A533,Kategorie!C:AA,MATCH('General price list'!$W$17,Kategorie!$C$2:$AA$2,0),FALSE),IF(A533="","","× Chybí překlad ×")))</f>
        <v/>
      </c>
      <c r="C533" s="236" t="str">
        <f t="shared" si="7"/>
        <v xml:space="preserve">                                          </v>
      </c>
    </row>
    <row r="534" spans="1:10">
      <c r="A534" s="242" t="s">
        <v>8008</v>
      </c>
      <c r="B534" s="236" t="str">
        <f>IF('General price list'!$W$17=B533,A534,IFERROR(VLOOKUP(A534,Kategorie!C:AA,MATCH('General price list'!$W$17,Kategorie!$C$2:$AA$2,0),FALSE),IF(A534="","","× Chybí překlad ×")))</f>
        <v>Batterien 62 schuss, 20+25+30+48mm gerader+schräg+S Mörser-1.3G</v>
      </c>
      <c r="C534" s="236" t="str">
        <f t="shared" ref="C534:C544" si="8">IF(A534="x","×",$C$1&amp;B534)</f>
        <v xml:space="preserve">                                          Batterien 62 schuss, 20+25+30+48mm gerader+schräg+S Mörser-1.3G</v>
      </c>
      <c r="J534" s="236" t="s">
        <v>6964</v>
      </c>
    </row>
    <row r="535" spans="1:10" ht="15.75">
      <c r="A535" s="243" t="s">
        <v>24</v>
      </c>
      <c r="B535" s="236" t="str">
        <f>IF('General price list'!$W$17=B534,A535,IFERROR(VLOOKUP(A535,Kategorie!C:AA,MATCH('General price list'!$W$17,Kategorie!$C$2:$AA$2,0),FALSE),IF(A535="","","× Chybí překlad ×")))</f>
        <v/>
      </c>
      <c r="C535" s="236" t="str">
        <f t="shared" si="8"/>
        <v xml:space="preserve">                                          </v>
      </c>
    </row>
    <row r="536" spans="1:10">
      <c r="A536" s="242" t="s">
        <v>8017</v>
      </c>
      <c r="B536" s="236" t="str">
        <f>IF('General price list'!$W$17=B535,A536,IFERROR(VLOOKUP(A536,Kategorie!C:AA,MATCH('General price list'!$W$17,Kategorie!$C$2:$AA$2,0),FALSE),IF(A536="","","× Chybí překlad ×")))</f>
        <v>Batterien 63 schuss, 25+45mm gerader+schräg Mörser-1.3G</v>
      </c>
      <c r="C536" s="236" t="str">
        <f t="shared" si="8"/>
        <v xml:space="preserve">                                          Batterien 63 schuss, 25+45mm gerader+schräg Mörser-1.3G</v>
      </c>
    </row>
    <row r="537" spans="1:10">
      <c r="A537" s="242" t="s">
        <v>24</v>
      </c>
      <c r="B537" s="236" t="str">
        <f>IF('General price list'!$W$17=B536,A537,IFERROR(VLOOKUP(A537,Kategorie!C:AA,MATCH('General price list'!$W$17,Kategorie!$C$2:$AA$2,0),FALSE),IF(A537="","","× Chybí překlad ×")))</f>
        <v/>
      </c>
      <c r="C537" s="236" t="str">
        <f t="shared" si="8"/>
        <v xml:space="preserve">                                          </v>
      </c>
      <c r="J537" s="236" t="s">
        <v>6973</v>
      </c>
    </row>
    <row r="538" spans="1:10">
      <c r="A538" s="242" t="s">
        <v>7874</v>
      </c>
      <c r="B538" s="236" t="str">
        <f>IF('General price list'!$W$17=B537,A538,IFERROR(VLOOKUP(A538,Kategorie!C:AA,MATCH('General price list'!$W$17,Kategorie!$C$2:$AA$2,0),FALSE),IF(A538="","","× Chybí překlad ×")))</f>
        <v>Batterien 106 schuss, 20+25+30mm gerader+schräg+S Mörser-1.3G</v>
      </c>
      <c r="C538" s="236" t="str">
        <f t="shared" si="8"/>
        <v xml:space="preserve">                                          Batterien 106 schuss, 20+25+30mm gerader+schräg+S Mörser-1.3G</v>
      </c>
    </row>
    <row r="539" spans="1:10">
      <c r="A539" s="242" t="s">
        <v>24</v>
      </c>
      <c r="B539" s="236" t="str">
        <f>IF('General price list'!$W$17=B538,A539,IFERROR(VLOOKUP(A539,Kategorie!C:AA,MATCH('General price list'!$W$17,Kategorie!$C$2:$AA$2,0),FALSE),IF(A539="","","× Chybí překlad ×")))</f>
        <v/>
      </c>
      <c r="C539" s="236" t="str">
        <f t="shared" si="8"/>
        <v xml:space="preserve">                                          </v>
      </c>
    </row>
    <row r="540" spans="1:10">
      <c r="A540" s="242" t="s">
        <v>24</v>
      </c>
      <c r="B540" s="236" t="str">
        <f>IF('General price list'!$W$17=B539,A540,IFERROR(VLOOKUP(A540,Kategorie!C:AA,MATCH('General price list'!$W$17,Kategorie!$C$2:$AA$2,0),FALSE),IF(A540="","","× Chybí překlad ×")))</f>
        <v/>
      </c>
      <c r="C540" s="236" t="str">
        <f t="shared" si="8"/>
        <v xml:space="preserve">                                          </v>
      </c>
    </row>
    <row r="541" spans="1:10" ht="15.75">
      <c r="A541" s="243" t="s">
        <v>7928</v>
      </c>
      <c r="B541" s="236" t="str">
        <f>IF('General price list'!$W$17=B540,A541,IFERROR(VLOOKUP(A541,Kategorie!C:AA,MATCH('General price list'!$W$17,Kategorie!$C$2:$AA$2,0),FALSE),IF(A541="","","× Chybí překlad ×")))</f>
        <v>Verbundfeurwerk, multikaliber(20-30mm) F3 - 1.3G</v>
      </c>
      <c r="C541" s="236" t="str">
        <f t="shared" si="8"/>
        <v xml:space="preserve">                                          Verbundfeurwerk, multikaliber(20-30mm) F3 - 1.3G</v>
      </c>
    </row>
    <row r="542" spans="1:10">
      <c r="A542" s="242" t="s">
        <v>24</v>
      </c>
      <c r="B542" s="236" t="str">
        <f>IF('General price list'!$W$17=B541,A542,IFERROR(VLOOKUP(A542,Kategorie!C:AA,MATCH('General price list'!$W$17,Kategorie!$C$2:$AA$2,0),FALSE),IF(A542="","","× Chybí překlad ×")))</f>
        <v/>
      </c>
      <c r="C542" s="236" t="str">
        <f t="shared" si="8"/>
        <v xml:space="preserve">                                          </v>
      </c>
    </row>
    <row r="543" spans="1:10">
      <c r="A543" s="242" t="s">
        <v>11862</v>
      </c>
      <c r="B543" s="236" t="str">
        <f>IF('General price list'!$W$17=B542,A543,IFERROR(VLOOKUP(A543,Kategorie!C:AA,MATCH('General price list'!$W$17,Kategorie!$C$2:$AA$2,0),FALSE),IF(A543="","","× Chybí překlad ×")))</f>
        <v>Kartons gestalten</v>
      </c>
      <c r="C543" s="236" t="str">
        <f t="shared" si="8"/>
        <v xml:space="preserve">                                          Kartons gestalten</v>
      </c>
    </row>
    <row r="544" spans="1:10" ht="15.75">
      <c r="A544" s="243" t="s">
        <v>24</v>
      </c>
      <c r="B544" s="236" t="str">
        <f>IF('General price list'!$W$17=B543,A544,IFERROR(VLOOKUP(A544,Kategorie!C:AA,MATCH('General price list'!$W$17,Kategorie!$C$2:$AA$2,0),FALSE),IF(A544="","","× Chybí překlad ×")))</f>
        <v/>
      </c>
      <c r="C544" s="236" t="str">
        <f t="shared" si="8"/>
        <v xml:space="preserve">                                          </v>
      </c>
    </row>
    <row r="545" spans="1:1" ht="15" customHeight="1">
      <c r="A545" s="236" t="s">
        <v>24</v>
      </c>
    </row>
    <row r="546" spans="1:1" ht="15" customHeight="1">
      <c r="A546" s="236" t="s">
        <v>24</v>
      </c>
    </row>
    <row r="547" spans="1:1" ht="15" customHeight="1">
      <c r="A547" s="236" t="s">
        <v>24</v>
      </c>
    </row>
    <row r="548" spans="1:1" ht="15" customHeight="1">
      <c r="A548" s="236" t="s">
        <v>24</v>
      </c>
    </row>
  </sheetData>
  <dataConsolidate/>
  <pageMargins left="0.7" right="0.7" top="0.78740157499999996" bottom="0.78740157499999996" header="0.3" footer="0.3"/>
  <legacy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938D07-47BE-42F7-9703-31B0E6E2F027}">
  <sheetPr codeName="List6"/>
  <dimension ref="A1:Z223"/>
  <sheetViews>
    <sheetView workbookViewId="0">
      <pane xSplit="2" ySplit="4" topLeftCell="C194" activePane="bottomRight" state="frozen"/>
      <selection pane="topRight" activeCell="C1" sqref="C1"/>
      <selection pane="bottomLeft" activeCell="A5" sqref="A5"/>
      <selection pane="bottomRight" activeCell="I228" sqref="I228"/>
    </sheetView>
  </sheetViews>
  <sheetFormatPr defaultRowHeight="15" customHeight="1"/>
  <sheetData>
    <row r="1" spans="1:26">
      <c r="B1" s="121"/>
      <c r="C1" s="129">
        <v>24</v>
      </c>
      <c r="D1" s="129">
        <v>22</v>
      </c>
      <c r="E1" s="129">
        <v>23</v>
      </c>
      <c r="F1" s="129">
        <v>109</v>
      </c>
      <c r="G1" s="129">
        <v>110</v>
      </c>
      <c r="H1" s="129">
        <v>111</v>
      </c>
      <c r="I1" s="130">
        <v>112</v>
      </c>
      <c r="J1" s="129">
        <v>113</v>
      </c>
      <c r="K1" s="129">
        <v>114</v>
      </c>
      <c r="L1" s="129">
        <v>156</v>
      </c>
      <c r="M1" s="129">
        <v>160</v>
      </c>
      <c r="N1" s="131">
        <v>161</v>
      </c>
    </row>
    <row r="2" spans="1:26">
      <c r="A2" s="123"/>
      <c r="C2" s="132" t="s">
        <v>2861</v>
      </c>
      <c r="D2" s="132" t="s">
        <v>2863</v>
      </c>
      <c r="E2" s="132" t="s">
        <v>2862</v>
      </c>
      <c r="F2" s="132" t="s">
        <v>8332</v>
      </c>
      <c r="G2" s="132" t="s">
        <v>8329</v>
      </c>
      <c r="H2" s="132" t="s">
        <v>2864</v>
      </c>
      <c r="I2" s="132" t="s">
        <v>8740</v>
      </c>
      <c r="J2" s="132" t="s">
        <v>9604</v>
      </c>
      <c r="K2" s="132" t="s">
        <v>2865</v>
      </c>
      <c r="L2" s="132" t="s">
        <v>9605</v>
      </c>
      <c r="M2" s="132" t="s">
        <v>8685</v>
      </c>
      <c r="N2" s="132" t="s">
        <v>9603</v>
      </c>
    </row>
    <row r="3" spans="1:26">
      <c r="A3" s="124"/>
      <c r="C3" s="133" t="s">
        <v>9608</v>
      </c>
      <c r="D3" s="133" t="s">
        <v>9610</v>
      </c>
      <c r="E3" s="133" t="s">
        <v>9609</v>
      </c>
      <c r="F3" s="134" t="s">
        <v>9611</v>
      </c>
      <c r="G3" s="133" t="s">
        <v>9612</v>
      </c>
      <c r="H3" s="133" t="s">
        <v>8333</v>
      </c>
      <c r="I3" s="133" t="s">
        <v>9613</v>
      </c>
      <c r="J3" s="133" t="s">
        <v>8330</v>
      </c>
      <c r="K3" s="133" t="s">
        <v>8331</v>
      </c>
      <c r="L3" s="133" t="s">
        <v>9614</v>
      </c>
      <c r="M3" s="133" t="s">
        <v>9615</v>
      </c>
      <c r="N3" s="135" t="s">
        <v>9616</v>
      </c>
    </row>
    <row r="4" spans="1:26" ht="15.75" thickBot="1">
      <c r="C4" s="136" t="s">
        <v>18</v>
      </c>
      <c r="D4" s="136" t="s">
        <v>6489</v>
      </c>
      <c r="E4" s="136" t="s">
        <v>6490</v>
      </c>
      <c r="F4" s="136" t="s">
        <v>6491</v>
      </c>
      <c r="G4" s="136" t="s">
        <v>6492</v>
      </c>
      <c r="H4" s="136" t="s">
        <v>6493</v>
      </c>
      <c r="I4" s="136" t="s">
        <v>2568</v>
      </c>
      <c r="J4" s="136" t="s">
        <v>6494</v>
      </c>
      <c r="K4" s="136" t="s">
        <v>6495</v>
      </c>
      <c r="L4" s="136" t="s">
        <v>9606</v>
      </c>
      <c r="M4" s="136" t="s">
        <v>9589</v>
      </c>
      <c r="N4" s="137" t="s">
        <v>9607</v>
      </c>
    </row>
    <row r="5" spans="1:26" ht="15.75" thickTop="1">
      <c r="A5" s="122"/>
      <c r="B5" s="122"/>
      <c r="C5" s="126" t="s">
        <v>6498</v>
      </c>
      <c r="D5" s="127" t="s">
        <v>6496</v>
      </c>
      <c r="E5" s="127" t="s">
        <v>6497</v>
      </c>
      <c r="F5" s="127" t="s">
        <v>6499</v>
      </c>
      <c r="G5" s="127" t="s">
        <v>6500</v>
      </c>
      <c r="H5" s="127" t="s">
        <v>6501</v>
      </c>
      <c r="I5" s="127" t="s">
        <v>6502</v>
      </c>
      <c r="J5" s="127" t="s">
        <v>6503</v>
      </c>
      <c r="K5" s="127" t="s">
        <v>6504</v>
      </c>
      <c r="L5" s="127" t="s">
        <v>9617</v>
      </c>
      <c r="M5" s="128" t="s">
        <v>10864</v>
      </c>
      <c r="N5" s="111" t="s">
        <v>10659</v>
      </c>
      <c r="Z5" t="str">
        <f>UPPER(LEFT(M5,1)) &amp; LOWER(RIGHT(M5,LEN(M5)-1))</f>
        <v>Laste pürotehnika</v>
      </c>
    </row>
    <row r="6" spans="1:26">
      <c r="A6" s="122"/>
      <c r="C6" s="125" t="s">
        <v>6507</v>
      </c>
      <c r="D6" s="33" t="s">
        <v>6505</v>
      </c>
      <c r="E6" s="33" t="s">
        <v>6506</v>
      </c>
      <c r="F6" s="33" t="s">
        <v>6508</v>
      </c>
      <c r="G6" s="33" t="s">
        <v>6509</v>
      </c>
      <c r="H6" s="33" t="s">
        <v>6510</v>
      </c>
      <c r="I6" s="33" t="s">
        <v>6511</v>
      </c>
      <c r="J6" s="33" t="s">
        <v>6512</v>
      </c>
      <c r="K6" s="33" t="s">
        <v>6513</v>
      </c>
      <c r="L6" s="33" t="s">
        <v>9618</v>
      </c>
      <c r="M6" s="32" t="s">
        <v>10865</v>
      </c>
      <c r="N6" s="1" t="s">
        <v>10660</v>
      </c>
    </row>
    <row r="7" spans="1:26">
      <c r="A7" s="122"/>
      <c r="C7" s="125" t="s">
        <v>6516</v>
      </c>
      <c r="D7" s="33" t="s">
        <v>6514</v>
      </c>
      <c r="E7" s="33" t="s">
        <v>6515</v>
      </c>
      <c r="F7" s="33" t="s">
        <v>6517</v>
      </c>
      <c r="G7" s="33" t="s">
        <v>6518</v>
      </c>
      <c r="H7" s="33" t="s">
        <v>6519</v>
      </c>
      <c r="I7" s="33" t="s">
        <v>6520</v>
      </c>
      <c r="J7" s="33" t="s">
        <v>6521</v>
      </c>
      <c r="K7" s="33" t="s">
        <v>6522</v>
      </c>
      <c r="L7" s="33" t="s">
        <v>9619</v>
      </c>
      <c r="M7" s="32" t="s">
        <v>10866</v>
      </c>
      <c r="N7" s="1" t="s">
        <v>10661</v>
      </c>
    </row>
    <row r="8" spans="1:26">
      <c r="A8" s="122"/>
      <c r="C8" s="125" t="s">
        <v>6525</v>
      </c>
      <c r="D8" s="33" t="s">
        <v>6523</v>
      </c>
      <c r="E8" s="33" t="s">
        <v>6524</v>
      </c>
      <c r="F8" s="33" t="s">
        <v>6526</v>
      </c>
      <c r="G8" s="33" t="s">
        <v>6527</v>
      </c>
      <c r="H8" s="33" t="s">
        <v>6528</v>
      </c>
      <c r="I8" s="33" t="s">
        <v>6529</v>
      </c>
      <c r="J8" s="33" t="s">
        <v>6530</v>
      </c>
      <c r="K8" s="33" t="s">
        <v>6531</v>
      </c>
      <c r="L8" s="33" t="s">
        <v>9620</v>
      </c>
      <c r="M8" s="32" t="s">
        <v>10867</v>
      </c>
      <c r="N8" s="1" t="s">
        <v>10662</v>
      </c>
    </row>
    <row r="9" spans="1:26">
      <c r="A9" s="122"/>
      <c r="C9" s="125" t="s">
        <v>6534</v>
      </c>
      <c r="D9" s="33" t="s">
        <v>6532</v>
      </c>
      <c r="E9" s="33" t="s">
        <v>6533</v>
      </c>
      <c r="F9" s="33" t="s">
        <v>6535</v>
      </c>
      <c r="G9" s="33" t="s">
        <v>6536</v>
      </c>
      <c r="H9" s="33" t="s">
        <v>6537</v>
      </c>
      <c r="I9" s="33" t="s">
        <v>6538</v>
      </c>
      <c r="J9" s="33" t="s">
        <v>6535</v>
      </c>
      <c r="K9" s="33" t="s">
        <v>6539</v>
      </c>
      <c r="L9" s="33" t="s">
        <v>9621</v>
      </c>
      <c r="M9" s="32" t="s">
        <v>10868</v>
      </c>
      <c r="N9" s="1" t="s">
        <v>10663</v>
      </c>
    </row>
    <row r="10" spans="1:26">
      <c r="A10" s="122"/>
      <c r="C10" s="125" t="s">
        <v>6542</v>
      </c>
      <c r="D10" s="33" t="s">
        <v>6540</v>
      </c>
      <c r="E10" s="33" t="s">
        <v>6541</v>
      </c>
      <c r="F10" s="33" t="s">
        <v>6543</v>
      </c>
      <c r="G10" s="33" t="s">
        <v>6544</v>
      </c>
      <c r="H10" s="33" t="s">
        <v>6545</v>
      </c>
      <c r="I10" s="33" t="s">
        <v>6546</v>
      </c>
      <c r="J10" s="33" t="s">
        <v>6547</v>
      </c>
      <c r="K10" s="33" t="s">
        <v>6548</v>
      </c>
      <c r="L10" s="33" t="s">
        <v>9622</v>
      </c>
      <c r="M10" s="32" t="s">
        <v>10869</v>
      </c>
      <c r="N10" s="1" t="s">
        <v>10664</v>
      </c>
    </row>
    <row r="11" spans="1:26">
      <c r="A11" s="122"/>
      <c r="C11" s="125" t="s">
        <v>6551</v>
      </c>
      <c r="D11" s="33" t="s">
        <v>6549</v>
      </c>
      <c r="E11" s="33" t="s">
        <v>6550</v>
      </c>
      <c r="F11" s="33" t="s">
        <v>6552</v>
      </c>
      <c r="G11" s="33" t="s">
        <v>6553</v>
      </c>
      <c r="H11" s="33" t="s">
        <v>6554</v>
      </c>
      <c r="I11" s="33" t="s">
        <v>6555</v>
      </c>
      <c r="J11" s="33" t="s">
        <v>6556</v>
      </c>
      <c r="K11" s="33" t="s">
        <v>6557</v>
      </c>
      <c r="L11" s="33" t="s">
        <v>11091</v>
      </c>
      <c r="M11" s="32" t="s">
        <v>10870</v>
      </c>
      <c r="N11" s="1" t="s">
        <v>10665</v>
      </c>
    </row>
    <row r="12" spans="1:26">
      <c r="A12" s="122"/>
      <c r="C12" s="125" t="s">
        <v>6560</v>
      </c>
      <c r="D12" s="33" t="s">
        <v>6558</v>
      </c>
      <c r="E12" s="33" t="s">
        <v>6559</v>
      </c>
      <c r="F12" s="33" t="s">
        <v>6561</v>
      </c>
      <c r="G12" s="33" t="s">
        <v>6562</v>
      </c>
      <c r="H12" s="33" t="s">
        <v>6563</v>
      </c>
      <c r="I12" s="33" t="s">
        <v>6564</v>
      </c>
      <c r="J12" s="33" t="s">
        <v>6565</v>
      </c>
      <c r="K12" s="33" t="s">
        <v>6566</v>
      </c>
      <c r="L12" s="33" t="s">
        <v>11092</v>
      </c>
      <c r="M12" s="32" t="s">
        <v>10871</v>
      </c>
      <c r="N12" s="1" t="s">
        <v>10666</v>
      </c>
    </row>
    <row r="13" spans="1:26">
      <c r="A13" s="122"/>
      <c r="C13" s="125" t="s">
        <v>6569</v>
      </c>
      <c r="D13" s="33" t="s">
        <v>6567</v>
      </c>
      <c r="E13" s="33" t="s">
        <v>6568</v>
      </c>
      <c r="F13" s="33" t="s">
        <v>6570</v>
      </c>
      <c r="G13" s="33" t="s">
        <v>6571</v>
      </c>
      <c r="H13" s="33" t="s">
        <v>6572</v>
      </c>
      <c r="I13" s="33" t="s">
        <v>6573</v>
      </c>
      <c r="J13" s="33" t="s">
        <v>6574</v>
      </c>
      <c r="K13" s="33" t="s">
        <v>6575</v>
      </c>
      <c r="L13" s="33" t="s">
        <v>9623</v>
      </c>
      <c r="M13" s="32" t="s">
        <v>10872</v>
      </c>
      <c r="N13" s="1" t="s">
        <v>10667</v>
      </c>
    </row>
    <row r="14" spans="1:26">
      <c r="A14" s="122"/>
      <c r="C14" s="125" t="s">
        <v>6577</v>
      </c>
      <c r="D14" s="33" t="s">
        <v>6549</v>
      </c>
      <c r="E14" s="33" t="s">
        <v>6576</v>
      </c>
      <c r="F14" s="33" t="s">
        <v>6578</v>
      </c>
      <c r="G14" s="33" t="s">
        <v>6579</v>
      </c>
      <c r="H14" s="33" t="s">
        <v>6580</v>
      </c>
      <c r="I14" s="33" t="s">
        <v>6581</v>
      </c>
      <c r="J14" s="33" t="s">
        <v>6582</v>
      </c>
      <c r="K14" s="33" t="s">
        <v>6583</v>
      </c>
      <c r="L14" s="33" t="s">
        <v>11093</v>
      </c>
      <c r="M14" s="32" t="s">
        <v>10873</v>
      </c>
      <c r="N14" s="1" t="s">
        <v>10668</v>
      </c>
    </row>
    <row r="15" spans="1:26">
      <c r="A15" s="122"/>
      <c r="C15" s="125" t="s">
        <v>6586</v>
      </c>
      <c r="D15" s="33" t="s">
        <v>6584</v>
      </c>
      <c r="E15" s="33" t="s">
        <v>6585</v>
      </c>
      <c r="F15" s="33" t="s">
        <v>6587</v>
      </c>
      <c r="G15" s="33" t="s">
        <v>6588</v>
      </c>
      <c r="H15" s="33" t="s">
        <v>6589</v>
      </c>
      <c r="I15" s="33" t="s">
        <v>6590</v>
      </c>
      <c r="J15" s="33" t="s">
        <v>6591</v>
      </c>
      <c r="K15" s="33" t="s">
        <v>6592</v>
      </c>
      <c r="L15" s="33" t="s">
        <v>11094</v>
      </c>
      <c r="M15" s="32" t="s">
        <v>10874</v>
      </c>
      <c r="N15" s="1" t="s">
        <v>10669</v>
      </c>
    </row>
    <row r="16" spans="1:26">
      <c r="A16" s="122"/>
      <c r="C16" s="125" t="s">
        <v>6595</v>
      </c>
      <c r="D16" s="33" t="s">
        <v>6593</v>
      </c>
      <c r="E16" s="33" t="s">
        <v>6594</v>
      </c>
      <c r="F16" s="33" t="s">
        <v>6596</v>
      </c>
      <c r="G16" s="33" t="s">
        <v>6597</v>
      </c>
      <c r="H16" s="33" t="s">
        <v>6598</v>
      </c>
      <c r="I16" s="33" t="s">
        <v>6599</v>
      </c>
      <c r="J16" s="33" t="s">
        <v>6600</v>
      </c>
      <c r="K16" s="33" t="s">
        <v>6601</v>
      </c>
      <c r="L16" s="33" t="s">
        <v>11095</v>
      </c>
      <c r="M16" s="32" t="s">
        <v>10875</v>
      </c>
      <c r="N16" s="1" t="s">
        <v>10670</v>
      </c>
    </row>
    <row r="17" spans="1:14">
      <c r="A17" s="122"/>
      <c r="C17" s="125" t="s">
        <v>6604</v>
      </c>
      <c r="D17" s="33" t="s">
        <v>6602</v>
      </c>
      <c r="E17" s="33" t="s">
        <v>6603</v>
      </c>
      <c r="F17" s="33" t="s">
        <v>6605</v>
      </c>
      <c r="G17" s="33" t="s">
        <v>6603</v>
      </c>
      <c r="H17" s="33" t="s">
        <v>6606</v>
      </c>
      <c r="I17" s="33" t="s">
        <v>6604</v>
      </c>
      <c r="J17" s="33" t="s">
        <v>6607</v>
      </c>
      <c r="K17" s="33" t="s">
        <v>6608</v>
      </c>
      <c r="L17" s="33" t="s">
        <v>11096</v>
      </c>
      <c r="M17" s="32" t="s">
        <v>9590</v>
      </c>
      <c r="N17" s="1" t="s">
        <v>10671</v>
      </c>
    </row>
    <row r="18" spans="1:14">
      <c r="A18" s="122"/>
      <c r="C18" s="125" t="s">
        <v>6611</v>
      </c>
      <c r="D18" s="33" t="s">
        <v>6609</v>
      </c>
      <c r="E18" s="33" t="s">
        <v>6610</v>
      </c>
      <c r="F18" s="33" t="s">
        <v>6612</v>
      </c>
      <c r="G18" s="33" t="s">
        <v>6612</v>
      </c>
      <c r="H18" s="33" t="s">
        <v>6613</v>
      </c>
      <c r="I18" s="33" t="s">
        <v>6614</v>
      </c>
      <c r="J18" s="33" t="s">
        <v>6615</v>
      </c>
      <c r="K18" s="33" t="s">
        <v>6616</v>
      </c>
      <c r="L18" s="33" t="s">
        <v>11097</v>
      </c>
      <c r="M18" s="32" t="s">
        <v>10876</v>
      </c>
      <c r="N18" s="1" t="s">
        <v>10672</v>
      </c>
    </row>
    <row r="19" spans="1:14">
      <c r="A19" s="122"/>
      <c r="C19" s="125" t="s">
        <v>6619</v>
      </c>
      <c r="D19" s="33" t="s">
        <v>6617</v>
      </c>
      <c r="E19" s="33" t="s">
        <v>6618</v>
      </c>
      <c r="F19" s="33" t="s">
        <v>6620</v>
      </c>
      <c r="G19" s="33" t="s">
        <v>6621</v>
      </c>
      <c r="H19" s="33" t="s">
        <v>6622</v>
      </c>
      <c r="I19" s="33" t="s">
        <v>6623</v>
      </c>
      <c r="J19" s="33" t="s">
        <v>6624</v>
      </c>
      <c r="K19" s="33" t="s">
        <v>6616</v>
      </c>
      <c r="L19" s="33" t="s">
        <v>11098</v>
      </c>
      <c r="M19" s="32" t="s">
        <v>10877</v>
      </c>
      <c r="N19" s="1" t="s">
        <v>10673</v>
      </c>
    </row>
    <row r="20" spans="1:14">
      <c r="A20" s="122"/>
      <c r="C20" s="125" t="s">
        <v>6627</v>
      </c>
      <c r="D20" s="33" t="s">
        <v>6625</v>
      </c>
      <c r="E20" s="33" t="s">
        <v>6626</v>
      </c>
      <c r="F20" s="33" t="s">
        <v>6628</v>
      </c>
      <c r="G20" s="33" t="s">
        <v>6629</v>
      </c>
      <c r="H20" s="33" t="s">
        <v>6630</v>
      </c>
      <c r="I20" s="33" t="s">
        <v>6631</v>
      </c>
      <c r="J20" s="33" t="s">
        <v>6632</v>
      </c>
      <c r="K20" s="33" t="s">
        <v>6633</v>
      </c>
      <c r="L20" s="33" t="s">
        <v>11099</v>
      </c>
      <c r="M20" s="32" t="s">
        <v>10878</v>
      </c>
      <c r="N20" s="1" t="s">
        <v>10674</v>
      </c>
    </row>
    <row r="21" spans="1:14">
      <c r="A21" s="122"/>
      <c r="C21" s="125" t="s">
        <v>6636</v>
      </c>
      <c r="D21" s="33" t="s">
        <v>6634</v>
      </c>
      <c r="E21" s="33" t="s">
        <v>6635</v>
      </c>
      <c r="F21" s="33" t="s">
        <v>6637</v>
      </c>
      <c r="G21" s="33" t="s">
        <v>6638</v>
      </c>
      <c r="H21" s="33" t="s">
        <v>6639</v>
      </c>
      <c r="I21" s="33" t="s">
        <v>6640</v>
      </c>
      <c r="J21" s="33" t="s">
        <v>6641</v>
      </c>
      <c r="K21" s="33" t="s">
        <v>6635</v>
      </c>
      <c r="L21" s="33" t="s">
        <v>11100</v>
      </c>
      <c r="M21" s="32" t="s">
        <v>10879</v>
      </c>
      <c r="N21" s="1" t="s">
        <v>6640</v>
      </c>
    </row>
    <row r="22" spans="1:14">
      <c r="A22" s="122"/>
      <c r="C22" s="125" t="s">
        <v>6644</v>
      </c>
      <c r="D22" s="33" t="s">
        <v>6642</v>
      </c>
      <c r="E22" s="33" t="s">
        <v>6643</v>
      </c>
      <c r="F22" s="33" t="s">
        <v>6645</v>
      </c>
      <c r="G22" s="33" t="s">
        <v>6646</v>
      </c>
      <c r="H22" s="33" t="s">
        <v>6647</v>
      </c>
      <c r="I22" s="33" t="s">
        <v>6648</v>
      </c>
      <c r="J22" s="33" t="s">
        <v>6649</v>
      </c>
      <c r="K22" s="33" t="s">
        <v>6650</v>
      </c>
      <c r="L22" s="33" t="s">
        <v>11101</v>
      </c>
      <c r="M22" s="32" t="s">
        <v>10880</v>
      </c>
      <c r="N22" s="1" t="s">
        <v>10675</v>
      </c>
    </row>
    <row r="23" spans="1:14">
      <c r="A23" s="122"/>
      <c r="C23" s="125" t="s">
        <v>6653</v>
      </c>
      <c r="D23" s="33" t="s">
        <v>6651</v>
      </c>
      <c r="E23" s="33" t="s">
        <v>6652</v>
      </c>
      <c r="F23" s="33" t="s">
        <v>6654</v>
      </c>
      <c r="G23" s="33" t="s">
        <v>6655</v>
      </c>
      <c r="H23" s="33" t="s">
        <v>6656</v>
      </c>
      <c r="I23" s="33" t="s">
        <v>6657</v>
      </c>
      <c r="J23" s="33" t="s">
        <v>6658</v>
      </c>
      <c r="K23" s="33" t="s">
        <v>6659</v>
      </c>
      <c r="L23" s="33" t="s">
        <v>11102</v>
      </c>
      <c r="M23" s="32" t="s">
        <v>10881</v>
      </c>
      <c r="N23" s="1" t="s">
        <v>10676</v>
      </c>
    </row>
    <row r="24" spans="1:14">
      <c r="A24" s="122"/>
      <c r="C24" s="125" t="s">
        <v>6662</v>
      </c>
      <c r="D24" s="33" t="s">
        <v>6660</v>
      </c>
      <c r="E24" s="33" t="s">
        <v>6661</v>
      </c>
      <c r="F24" s="33" t="s">
        <v>6663</v>
      </c>
      <c r="G24" s="33" t="s">
        <v>6664</v>
      </c>
      <c r="H24" s="33" t="s">
        <v>6665</v>
      </c>
      <c r="I24" s="33" t="s">
        <v>6666</v>
      </c>
      <c r="J24" s="33" t="s">
        <v>6667</v>
      </c>
      <c r="K24" s="33" t="s">
        <v>6668</v>
      </c>
      <c r="L24" s="33" t="s">
        <v>11103</v>
      </c>
      <c r="M24" s="32" t="s">
        <v>10882</v>
      </c>
      <c r="N24" s="1" t="s">
        <v>10677</v>
      </c>
    </row>
    <row r="25" spans="1:14">
      <c r="A25" s="122"/>
      <c r="C25" s="125" t="s">
        <v>6671</v>
      </c>
      <c r="D25" s="33" t="s">
        <v>6669</v>
      </c>
      <c r="E25" s="33" t="s">
        <v>6670</v>
      </c>
      <c r="F25" s="33" t="s">
        <v>6672</v>
      </c>
      <c r="G25" s="33" t="s">
        <v>6673</v>
      </c>
      <c r="H25" s="33" t="s">
        <v>6674</v>
      </c>
      <c r="I25" s="33" t="s">
        <v>6675</v>
      </c>
      <c r="J25" s="33" t="s">
        <v>6676</v>
      </c>
      <c r="K25" s="33" t="s">
        <v>6677</v>
      </c>
      <c r="L25" s="33" t="s">
        <v>11104</v>
      </c>
      <c r="M25" s="32" t="s">
        <v>10883</v>
      </c>
      <c r="N25" s="1" t="s">
        <v>10678</v>
      </c>
    </row>
    <row r="26" spans="1:14">
      <c r="A26" s="122"/>
      <c r="C26" s="125" t="s">
        <v>6680</v>
      </c>
      <c r="D26" s="33" t="s">
        <v>6678</v>
      </c>
      <c r="E26" s="33" t="s">
        <v>6679</v>
      </c>
      <c r="F26" s="33" t="s">
        <v>6681</v>
      </c>
      <c r="G26" s="33" t="s">
        <v>6682</v>
      </c>
      <c r="H26" s="33" t="s">
        <v>6683</v>
      </c>
      <c r="I26" s="33" t="s">
        <v>6684</v>
      </c>
      <c r="J26" s="33" t="s">
        <v>6685</v>
      </c>
      <c r="K26" s="33" t="s">
        <v>6686</v>
      </c>
      <c r="L26" s="33" t="s">
        <v>11105</v>
      </c>
      <c r="M26" s="32" t="s">
        <v>10884</v>
      </c>
      <c r="N26" s="1" t="s">
        <v>10679</v>
      </c>
    </row>
    <row r="27" spans="1:14">
      <c r="A27" s="122"/>
      <c r="C27" s="125" t="s">
        <v>6689</v>
      </c>
      <c r="D27" s="33" t="s">
        <v>6687</v>
      </c>
      <c r="E27" s="33" t="s">
        <v>6688</v>
      </c>
      <c r="F27" s="33" t="s">
        <v>6690</v>
      </c>
      <c r="G27" s="33" t="s">
        <v>6691</v>
      </c>
      <c r="H27" s="33" t="s">
        <v>6692</v>
      </c>
      <c r="I27" s="33" t="s">
        <v>6693</v>
      </c>
      <c r="J27" s="33" t="s">
        <v>6694</v>
      </c>
      <c r="K27" s="33" t="s">
        <v>6695</v>
      </c>
      <c r="L27" s="33" t="s">
        <v>11106</v>
      </c>
      <c r="M27" s="32" t="s">
        <v>10885</v>
      </c>
      <c r="N27" s="1" t="s">
        <v>10680</v>
      </c>
    </row>
    <row r="28" spans="1:14">
      <c r="A28" s="122"/>
      <c r="C28" s="125" t="s">
        <v>6698</v>
      </c>
      <c r="D28" s="33" t="s">
        <v>6696</v>
      </c>
      <c r="E28" s="33" t="s">
        <v>6697</v>
      </c>
      <c r="F28" s="33" t="s">
        <v>6699</v>
      </c>
      <c r="G28" s="33" t="s">
        <v>6700</v>
      </c>
      <c r="H28" s="33" t="s">
        <v>6701</v>
      </c>
      <c r="I28" s="33" t="s">
        <v>6702</v>
      </c>
      <c r="J28" s="33" t="s">
        <v>6703</v>
      </c>
      <c r="K28" s="33" t="s">
        <v>6704</v>
      </c>
      <c r="L28" s="33" t="s">
        <v>9624</v>
      </c>
      <c r="M28" s="32" t="s">
        <v>10886</v>
      </c>
      <c r="N28" s="1" t="s">
        <v>10681</v>
      </c>
    </row>
    <row r="29" spans="1:14">
      <c r="A29" s="122"/>
      <c r="C29" s="125" t="s">
        <v>6707</v>
      </c>
      <c r="D29" s="33" t="s">
        <v>6705</v>
      </c>
      <c r="E29" s="33" t="s">
        <v>6706</v>
      </c>
      <c r="F29" s="33" t="s">
        <v>6708</v>
      </c>
      <c r="G29" s="33" t="s">
        <v>6709</v>
      </c>
      <c r="H29" s="33" t="s">
        <v>6710</v>
      </c>
      <c r="I29" s="33" t="s">
        <v>6711</v>
      </c>
      <c r="J29" s="33" t="s">
        <v>6712</v>
      </c>
      <c r="K29" s="33" t="s">
        <v>6713</v>
      </c>
      <c r="L29" s="33" t="s">
        <v>9625</v>
      </c>
      <c r="M29" s="32" t="s">
        <v>10887</v>
      </c>
      <c r="N29" s="1" t="s">
        <v>10682</v>
      </c>
    </row>
    <row r="30" spans="1:14">
      <c r="A30" s="122"/>
      <c r="C30" s="125" t="s">
        <v>6716</v>
      </c>
      <c r="D30" s="33" t="s">
        <v>6714</v>
      </c>
      <c r="E30" s="33" t="s">
        <v>6715</v>
      </c>
      <c r="F30" s="33" t="s">
        <v>6717</v>
      </c>
      <c r="G30" s="33" t="s">
        <v>6718</v>
      </c>
      <c r="H30" s="33" t="s">
        <v>6719</v>
      </c>
      <c r="I30" s="33" t="s">
        <v>6720</v>
      </c>
      <c r="J30" s="33" t="s">
        <v>6721</v>
      </c>
      <c r="K30" s="33" t="s">
        <v>6722</v>
      </c>
      <c r="L30" s="33" t="s">
        <v>11107</v>
      </c>
      <c r="M30" s="32" t="s">
        <v>10888</v>
      </c>
      <c r="N30" s="1" t="s">
        <v>10683</v>
      </c>
    </row>
    <row r="31" spans="1:14">
      <c r="A31" s="122"/>
      <c r="C31" s="125" t="s">
        <v>6725</v>
      </c>
      <c r="D31" s="33" t="s">
        <v>6723</v>
      </c>
      <c r="E31" s="33" t="s">
        <v>6724</v>
      </c>
      <c r="F31" s="33" t="s">
        <v>6726</v>
      </c>
      <c r="G31" s="33" t="s">
        <v>6727</v>
      </c>
      <c r="H31" s="33" t="s">
        <v>6728</v>
      </c>
      <c r="I31" s="33" t="s">
        <v>6729</v>
      </c>
      <c r="J31" s="33" t="s">
        <v>6730</v>
      </c>
      <c r="K31" s="33" t="s">
        <v>6731</v>
      </c>
      <c r="L31" s="33" t="s">
        <v>11108</v>
      </c>
      <c r="M31" s="32" t="s">
        <v>10889</v>
      </c>
      <c r="N31" s="1" t="s">
        <v>10684</v>
      </c>
    </row>
    <row r="32" spans="1:14">
      <c r="A32" s="122"/>
      <c r="C32" s="125" t="s">
        <v>6734</v>
      </c>
      <c r="D32" s="33" t="s">
        <v>6732</v>
      </c>
      <c r="E32" s="33" t="s">
        <v>6733</v>
      </c>
      <c r="F32" s="33" t="s">
        <v>6735</v>
      </c>
      <c r="G32" s="33" t="s">
        <v>6736</v>
      </c>
      <c r="H32" s="33" t="s">
        <v>6737</v>
      </c>
      <c r="I32" s="33" t="s">
        <v>6738</v>
      </c>
      <c r="J32" s="33" t="s">
        <v>6739</v>
      </c>
      <c r="K32" s="33" t="s">
        <v>6740</v>
      </c>
      <c r="L32" s="33" t="s">
        <v>9626</v>
      </c>
      <c r="M32" s="32" t="s">
        <v>11305</v>
      </c>
      <c r="N32" s="1" t="s">
        <v>10685</v>
      </c>
    </row>
    <row r="33" spans="1:14">
      <c r="A33" s="122"/>
      <c r="C33" s="125" t="s">
        <v>6743</v>
      </c>
      <c r="D33" s="33" t="s">
        <v>6741</v>
      </c>
      <c r="E33" s="33" t="s">
        <v>6742</v>
      </c>
      <c r="F33" s="33" t="s">
        <v>6744</v>
      </c>
      <c r="G33" s="33" t="s">
        <v>6745</v>
      </c>
      <c r="H33" s="33" t="s">
        <v>6746</v>
      </c>
      <c r="I33" s="33" t="s">
        <v>6747</v>
      </c>
      <c r="J33" s="33" t="s">
        <v>6748</v>
      </c>
      <c r="K33" s="33" t="s">
        <v>6749</v>
      </c>
      <c r="L33" s="33" t="s">
        <v>11109</v>
      </c>
      <c r="M33" s="32" t="s">
        <v>10890</v>
      </c>
      <c r="N33" s="1" t="s">
        <v>11609</v>
      </c>
    </row>
    <row r="34" spans="1:14">
      <c r="A34" s="122"/>
      <c r="C34" s="125" t="s">
        <v>6752</v>
      </c>
      <c r="D34" s="33" t="s">
        <v>6750</v>
      </c>
      <c r="E34" s="33" t="s">
        <v>6751</v>
      </c>
      <c r="F34" s="33" t="s">
        <v>6753</v>
      </c>
      <c r="G34" s="33" t="s">
        <v>6754</v>
      </c>
      <c r="H34" s="33" t="s">
        <v>6755</v>
      </c>
      <c r="I34" s="33" t="s">
        <v>6756</v>
      </c>
      <c r="J34" s="33" t="s">
        <v>6757</v>
      </c>
      <c r="K34" s="33" t="s">
        <v>6758</v>
      </c>
      <c r="L34" s="33" t="s">
        <v>9627</v>
      </c>
      <c r="M34" s="32" t="s">
        <v>10891</v>
      </c>
      <c r="N34" s="1" t="s">
        <v>10686</v>
      </c>
    </row>
    <row r="35" spans="1:14">
      <c r="A35" s="122"/>
      <c r="C35" s="125" t="s">
        <v>6761</v>
      </c>
      <c r="D35" s="33" t="s">
        <v>6759</v>
      </c>
      <c r="E35" s="35" t="s">
        <v>6760</v>
      </c>
      <c r="F35" s="34" t="s">
        <v>6762</v>
      </c>
      <c r="G35" s="32" t="s">
        <v>6763</v>
      </c>
      <c r="H35" s="32" t="s">
        <v>6764</v>
      </c>
      <c r="I35" s="32" t="s">
        <v>6765</v>
      </c>
      <c r="J35" s="32" t="s">
        <v>6766</v>
      </c>
      <c r="K35" s="32" t="s">
        <v>6767</v>
      </c>
      <c r="L35" s="32" t="s">
        <v>11110</v>
      </c>
      <c r="M35" s="32" t="s">
        <v>10892</v>
      </c>
      <c r="N35" s="1" t="s">
        <v>10687</v>
      </c>
    </row>
    <row r="36" spans="1:14">
      <c r="A36" s="122"/>
      <c r="C36" s="125" t="s">
        <v>6770</v>
      </c>
      <c r="D36" s="33" t="s">
        <v>6768</v>
      </c>
      <c r="E36" s="33" t="s">
        <v>6769</v>
      </c>
      <c r="F36" s="33" t="s">
        <v>6771</v>
      </c>
      <c r="G36" s="33" t="s">
        <v>6772</v>
      </c>
      <c r="H36" s="33" t="s">
        <v>6773</v>
      </c>
      <c r="I36" s="33" t="s">
        <v>6774</v>
      </c>
      <c r="J36" s="33" t="s">
        <v>6775</v>
      </c>
      <c r="K36" s="33" t="s">
        <v>6776</v>
      </c>
      <c r="L36" s="33" t="s">
        <v>11111</v>
      </c>
      <c r="M36" s="32" t="s">
        <v>10893</v>
      </c>
      <c r="N36" s="1" t="s">
        <v>10688</v>
      </c>
    </row>
    <row r="37" spans="1:14">
      <c r="A37" s="122"/>
      <c r="C37" s="125" t="s">
        <v>6779</v>
      </c>
      <c r="D37" s="33" t="s">
        <v>6777</v>
      </c>
      <c r="E37" s="33" t="s">
        <v>6778</v>
      </c>
      <c r="F37" s="33" t="s">
        <v>6780</v>
      </c>
      <c r="G37" s="33" t="s">
        <v>6781</v>
      </c>
      <c r="H37" s="33" t="s">
        <v>6782</v>
      </c>
      <c r="I37" s="33" t="s">
        <v>6783</v>
      </c>
      <c r="J37" s="33" t="s">
        <v>6784</v>
      </c>
      <c r="K37" s="33" t="s">
        <v>6785</v>
      </c>
      <c r="L37" s="33" t="s">
        <v>11112</v>
      </c>
      <c r="M37" s="32" t="s">
        <v>10894</v>
      </c>
      <c r="N37" s="1" t="s">
        <v>10689</v>
      </c>
    </row>
    <row r="38" spans="1:14">
      <c r="A38" s="122"/>
      <c r="C38" s="125" t="s">
        <v>6788</v>
      </c>
      <c r="D38" s="33" t="s">
        <v>6786</v>
      </c>
      <c r="E38" s="33" t="s">
        <v>6787</v>
      </c>
      <c r="F38" s="33" t="s">
        <v>6789</v>
      </c>
      <c r="G38" s="33" t="s">
        <v>6790</v>
      </c>
      <c r="H38" s="33" t="s">
        <v>6791</v>
      </c>
      <c r="I38" s="33" t="s">
        <v>6792</v>
      </c>
      <c r="J38" s="33" t="s">
        <v>6793</v>
      </c>
      <c r="K38" s="33" t="s">
        <v>6794</v>
      </c>
      <c r="L38" s="33" t="s">
        <v>11113</v>
      </c>
      <c r="M38" s="32" t="s">
        <v>10895</v>
      </c>
      <c r="N38" s="1" t="s">
        <v>10690</v>
      </c>
    </row>
    <row r="39" spans="1:14">
      <c r="A39" s="122"/>
      <c r="C39" s="125" t="s">
        <v>6797</v>
      </c>
      <c r="D39" s="33" t="s">
        <v>6795</v>
      </c>
      <c r="E39" s="33" t="s">
        <v>6796</v>
      </c>
      <c r="F39" s="33" t="s">
        <v>6798</v>
      </c>
      <c r="G39" s="33" t="s">
        <v>6799</v>
      </c>
      <c r="H39" s="33" t="s">
        <v>6800</v>
      </c>
      <c r="I39" s="33" t="s">
        <v>6801</v>
      </c>
      <c r="J39" s="33" t="s">
        <v>6802</v>
      </c>
      <c r="K39" s="33" t="s">
        <v>6803</v>
      </c>
      <c r="L39" s="33" t="s">
        <v>9628</v>
      </c>
      <c r="M39" s="32" t="s">
        <v>10896</v>
      </c>
      <c r="N39" s="1" t="s">
        <v>10691</v>
      </c>
    </row>
    <row r="40" spans="1:14">
      <c r="A40" s="122"/>
      <c r="C40" s="125" t="s">
        <v>6806</v>
      </c>
      <c r="D40" s="33" t="s">
        <v>6804</v>
      </c>
      <c r="E40" s="33" t="s">
        <v>6805</v>
      </c>
      <c r="F40" s="33" t="s">
        <v>6807</v>
      </c>
      <c r="G40" s="33" t="s">
        <v>6808</v>
      </c>
      <c r="H40" s="33" t="s">
        <v>6809</v>
      </c>
      <c r="I40" s="33" t="s">
        <v>6810</v>
      </c>
      <c r="J40" s="33" t="s">
        <v>6811</v>
      </c>
      <c r="K40" s="33" t="s">
        <v>6812</v>
      </c>
      <c r="L40" s="33" t="s">
        <v>11114</v>
      </c>
      <c r="M40" s="32" t="s">
        <v>10897</v>
      </c>
      <c r="N40" s="1" t="s">
        <v>10692</v>
      </c>
    </row>
    <row r="41" spans="1:14">
      <c r="A41" s="122"/>
      <c r="C41" s="125" t="s">
        <v>6815</v>
      </c>
      <c r="D41" s="33" t="s">
        <v>6813</v>
      </c>
      <c r="E41" s="33" t="s">
        <v>6814</v>
      </c>
      <c r="F41" s="33" t="s">
        <v>6816</v>
      </c>
      <c r="G41" s="33" t="s">
        <v>6817</v>
      </c>
      <c r="H41" s="33" t="s">
        <v>6818</v>
      </c>
      <c r="I41" s="33" t="s">
        <v>6819</v>
      </c>
      <c r="J41" s="33" t="s">
        <v>6820</v>
      </c>
      <c r="K41" s="33" t="s">
        <v>6821</v>
      </c>
      <c r="L41" s="33" t="s">
        <v>11115</v>
      </c>
      <c r="M41" s="32" t="s">
        <v>10898</v>
      </c>
      <c r="N41" s="1" t="s">
        <v>10693</v>
      </c>
    </row>
    <row r="42" spans="1:14">
      <c r="A42" s="122"/>
      <c r="C42" s="125" t="s">
        <v>6824</v>
      </c>
      <c r="D42" s="33" t="s">
        <v>6822</v>
      </c>
      <c r="E42" s="33" t="s">
        <v>6823</v>
      </c>
      <c r="F42" s="33" t="s">
        <v>6825</v>
      </c>
      <c r="G42" s="33" t="s">
        <v>6826</v>
      </c>
      <c r="H42" s="33" t="s">
        <v>6827</v>
      </c>
      <c r="I42" s="33" t="s">
        <v>6828</v>
      </c>
      <c r="J42" s="33" t="s">
        <v>6829</v>
      </c>
      <c r="K42" s="33" t="s">
        <v>6830</v>
      </c>
      <c r="L42" s="33" t="s">
        <v>9629</v>
      </c>
      <c r="M42" s="32" t="s">
        <v>10899</v>
      </c>
      <c r="N42" s="1" t="s">
        <v>10694</v>
      </c>
    </row>
    <row r="43" spans="1:14">
      <c r="A43" s="122"/>
      <c r="C43" s="125" t="s">
        <v>6833</v>
      </c>
      <c r="D43" s="33" t="s">
        <v>6831</v>
      </c>
      <c r="E43" s="33" t="s">
        <v>6832</v>
      </c>
      <c r="F43" s="33" t="s">
        <v>6834</v>
      </c>
      <c r="G43" s="33" t="s">
        <v>6835</v>
      </c>
      <c r="H43" s="33" t="s">
        <v>6836</v>
      </c>
      <c r="I43" s="33" t="s">
        <v>6837</v>
      </c>
      <c r="J43" s="33" t="s">
        <v>6838</v>
      </c>
      <c r="K43" s="33" t="s">
        <v>6839</v>
      </c>
      <c r="L43" s="33" t="s">
        <v>9630</v>
      </c>
      <c r="M43" s="32" t="s">
        <v>10900</v>
      </c>
      <c r="N43" s="1" t="s">
        <v>10695</v>
      </c>
    </row>
    <row r="44" spans="1:14">
      <c r="A44" s="122"/>
      <c r="C44" s="125" t="s">
        <v>6842</v>
      </c>
      <c r="D44" s="33" t="s">
        <v>6840</v>
      </c>
      <c r="E44" s="33" t="s">
        <v>6841</v>
      </c>
      <c r="F44" s="33" t="s">
        <v>6843</v>
      </c>
      <c r="G44" s="33" t="s">
        <v>6844</v>
      </c>
      <c r="H44" s="33" t="s">
        <v>6845</v>
      </c>
      <c r="I44" s="33" t="s">
        <v>6846</v>
      </c>
      <c r="J44" s="33" t="s">
        <v>6843</v>
      </c>
      <c r="K44" s="33" t="s">
        <v>6847</v>
      </c>
      <c r="L44" s="33" t="s">
        <v>11116</v>
      </c>
      <c r="M44" s="32" t="s">
        <v>10901</v>
      </c>
      <c r="N44" s="1" t="s">
        <v>10696</v>
      </c>
    </row>
    <row r="45" spans="1:14">
      <c r="A45" s="122"/>
      <c r="C45" s="125" t="s">
        <v>6849</v>
      </c>
      <c r="D45" s="33" t="s">
        <v>6848</v>
      </c>
      <c r="E45" s="33" t="s">
        <v>6848</v>
      </c>
      <c r="F45" s="33" t="s">
        <v>6850</v>
      </c>
      <c r="G45" s="33" t="s">
        <v>6851</v>
      </c>
      <c r="H45" s="33" t="s">
        <v>6852</v>
      </c>
      <c r="I45" s="33" t="s">
        <v>6853</v>
      </c>
      <c r="J45" s="33" t="s">
        <v>6854</v>
      </c>
      <c r="K45" s="33" t="s">
        <v>6855</v>
      </c>
      <c r="L45" s="33" t="s">
        <v>11117</v>
      </c>
      <c r="M45" s="32" t="s">
        <v>10902</v>
      </c>
      <c r="N45" s="1" t="s">
        <v>10697</v>
      </c>
    </row>
    <row r="46" spans="1:14">
      <c r="A46" s="122"/>
      <c r="C46" s="125" t="s">
        <v>6858</v>
      </c>
      <c r="D46" s="33" t="s">
        <v>6856</v>
      </c>
      <c r="E46" s="33" t="s">
        <v>6857</v>
      </c>
      <c r="F46" s="33" t="s">
        <v>6859</v>
      </c>
      <c r="G46" s="33" t="s">
        <v>6860</v>
      </c>
      <c r="H46" s="33" t="s">
        <v>6861</v>
      </c>
      <c r="I46" s="33" t="s">
        <v>6862</v>
      </c>
      <c r="J46" s="33" t="s">
        <v>6859</v>
      </c>
      <c r="K46" s="33" t="s">
        <v>6863</v>
      </c>
      <c r="L46" s="33" t="s">
        <v>9631</v>
      </c>
      <c r="M46" s="32" t="s">
        <v>10903</v>
      </c>
      <c r="N46" s="1" t="s">
        <v>10698</v>
      </c>
    </row>
    <row r="47" spans="1:14">
      <c r="A47" s="122"/>
      <c r="C47" s="125" t="s">
        <v>13240</v>
      </c>
      <c r="D47" s="33" t="s">
        <v>13482</v>
      </c>
      <c r="E47" s="33" t="s">
        <v>13483</v>
      </c>
      <c r="F47" s="33" t="s">
        <v>13484</v>
      </c>
      <c r="G47" s="33" t="s">
        <v>13485</v>
      </c>
      <c r="H47" s="33" t="s">
        <v>13486</v>
      </c>
      <c r="I47" s="33" t="s">
        <v>13487</v>
      </c>
      <c r="J47" s="33" t="s">
        <v>13488</v>
      </c>
      <c r="K47" s="33" t="s">
        <v>13489</v>
      </c>
      <c r="L47" s="33" t="s">
        <v>13490</v>
      </c>
      <c r="M47" s="32" t="s">
        <v>10904</v>
      </c>
      <c r="N47" s="1" t="s">
        <v>13491</v>
      </c>
    </row>
    <row r="48" spans="1:14">
      <c r="A48" s="122"/>
      <c r="C48" s="125" t="s">
        <v>6867</v>
      </c>
      <c r="D48" s="33" t="s">
        <v>6865</v>
      </c>
      <c r="E48" s="33" t="s">
        <v>6866</v>
      </c>
      <c r="F48" s="33" t="s">
        <v>6868</v>
      </c>
      <c r="G48" s="33" t="s">
        <v>6869</v>
      </c>
      <c r="H48" s="33" t="s">
        <v>6870</v>
      </c>
      <c r="I48" s="33" t="s">
        <v>6871</v>
      </c>
      <c r="J48" s="33" t="s">
        <v>6872</v>
      </c>
      <c r="K48" s="33" t="s">
        <v>6873</v>
      </c>
      <c r="L48" s="33" t="s">
        <v>11118</v>
      </c>
      <c r="M48" s="32" t="s">
        <v>11306</v>
      </c>
      <c r="N48" s="1" t="s">
        <v>10699</v>
      </c>
    </row>
    <row r="49" spans="1:14">
      <c r="A49" s="122"/>
      <c r="C49" s="125" t="s">
        <v>6876</v>
      </c>
      <c r="D49" s="33" t="s">
        <v>6874</v>
      </c>
      <c r="E49" s="33" t="s">
        <v>6875</v>
      </c>
      <c r="F49" s="33" t="s">
        <v>6877</v>
      </c>
      <c r="G49" s="33" t="s">
        <v>6878</v>
      </c>
      <c r="H49" s="33" t="s">
        <v>6879</v>
      </c>
      <c r="I49" s="33" t="s">
        <v>6880</v>
      </c>
      <c r="J49" s="33" t="s">
        <v>6881</v>
      </c>
      <c r="K49" s="33" t="s">
        <v>6882</v>
      </c>
      <c r="L49" s="33" t="s">
        <v>11119</v>
      </c>
      <c r="M49" s="32" t="s">
        <v>11307</v>
      </c>
      <c r="N49" s="1" t="s">
        <v>10700</v>
      </c>
    </row>
    <row r="50" spans="1:14">
      <c r="A50" s="122"/>
      <c r="C50" s="125" t="s">
        <v>6885</v>
      </c>
      <c r="D50" s="33" t="s">
        <v>6883</v>
      </c>
      <c r="E50" s="35" t="s">
        <v>6884</v>
      </c>
      <c r="F50" s="34" t="s">
        <v>6886</v>
      </c>
      <c r="G50" s="32" t="s">
        <v>6887</v>
      </c>
      <c r="H50" s="32" t="s">
        <v>6888</v>
      </c>
      <c r="I50" s="32" t="s">
        <v>6889</v>
      </c>
      <c r="J50" s="32" t="s">
        <v>6890</v>
      </c>
      <c r="K50" s="32" t="s">
        <v>6891</v>
      </c>
      <c r="L50" s="32" t="s">
        <v>11120</v>
      </c>
      <c r="M50" s="32" t="s">
        <v>11308</v>
      </c>
      <c r="N50" s="1" t="s">
        <v>10701</v>
      </c>
    </row>
    <row r="51" spans="1:14">
      <c r="A51" s="122"/>
      <c r="C51" s="125" t="s">
        <v>6894</v>
      </c>
      <c r="D51" s="33" t="s">
        <v>6892</v>
      </c>
      <c r="E51" s="33" t="s">
        <v>6893</v>
      </c>
      <c r="F51" s="33" t="s">
        <v>6895</v>
      </c>
      <c r="G51" s="33" t="s">
        <v>6896</v>
      </c>
      <c r="H51" s="33" t="s">
        <v>6897</v>
      </c>
      <c r="I51" s="33" t="s">
        <v>6871</v>
      </c>
      <c r="J51" s="33" t="s">
        <v>6898</v>
      </c>
      <c r="K51" s="33" t="s">
        <v>6899</v>
      </c>
      <c r="L51" s="33" t="s">
        <v>11121</v>
      </c>
      <c r="M51" s="32" t="s">
        <v>10905</v>
      </c>
      <c r="N51" s="1" t="s">
        <v>10702</v>
      </c>
    </row>
    <row r="52" spans="1:14">
      <c r="A52" s="122"/>
      <c r="C52" s="125" t="s">
        <v>6902</v>
      </c>
      <c r="D52" s="33" t="s">
        <v>6900</v>
      </c>
      <c r="E52" s="33" t="s">
        <v>6901</v>
      </c>
      <c r="F52" s="33" t="s">
        <v>6903</v>
      </c>
      <c r="G52" s="33" t="s">
        <v>6904</v>
      </c>
      <c r="H52" s="33" t="s">
        <v>6905</v>
      </c>
      <c r="I52" s="33" t="s">
        <v>6906</v>
      </c>
      <c r="J52" s="33" t="s">
        <v>6907</v>
      </c>
      <c r="K52" s="33" t="s">
        <v>6908</v>
      </c>
      <c r="L52" s="33" t="s">
        <v>11122</v>
      </c>
      <c r="M52" s="32" t="s">
        <v>11309</v>
      </c>
      <c r="N52" s="1" t="s">
        <v>10703</v>
      </c>
    </row>
    <row r="53" spans="1:14">
      <c r="A53" s="122"/>
      <c r="C53" s="125" t="s">
        <v>6911</v>
      </c>
      <c r="D53" s="33" t="s">
        <v>6909</v>
      </c>
      <c r="E53" s="33" t="s">
        <v>6910</v>
      </c>
      <c r="F53" s="33" t="s">
        <v>6912</v>
      </c>
      <c r="G53" s="33" t="s">
        <v>6913</v>
      </c>
      <c r="H53" s="33" t="s">
        <v>6914</v>
      </c>
      <c r="I53" s="33" t="s">
        <v>6915</v>
      </c>
      <c r="J53" s="33" t="s">
        <v>6916</v>
      </c>
      <c r="K53" s="33" t="s">
        <v>6917</v>
      </c>
      <c r="L53" s="33" t="s">
        <v>11123</v>
      </c>
      <c r="M53" s="32" t="s">
        <v>11310</v>
      </c>
      <c r="N53" s="1" t="s">
        <v>10704</v>
      </c>
    </row>
    <row r="54" spans="1:14">
      <c r="A54" s="122"/>
      <c r="C54" s="125" t="s">
        <v>6920</v>
      </c>
      <c r="D54" s="33" t="s">
        <v>6918</v>
      </c>
      <c r="E54" s="33" t="s">
        <v>6919</v>
      </c>
      <c r="F54" s="33" t="s">
        <v>6921</v>
      </c>
      <c r="G54" s="33" t="s">
        <v>6919</v>
      </c>
      <c r="H54" s="33" t="s">
        <v>6922</v>
      </c>
      <c r="I54" s="33" t="s">
        <v>6923</v>
      </c>
      <c r="J54" s="33" t="s">
        <v>6924</v>
      </c>
      <c r="K54" s="33" t="s">
        <v>6925</v>
      </c>
      <c r="L54" s="33" t="s">
        <v>11124</v>
      </c>
      <c r="M54" s="32" t="s">
        <v>10906</v>
      </c>
      <c r="N54" s="1" t="s">
        <v>10706</v>
      </c>
    </row>
    <row r="55" spans="1:14">
      <c r="A55" s="122"/>
      <c r="C55" s="125" t="s">
        <v>6928</v>
      </c>
      <c r="D55" s="33" t="s">
        <v>6926</v>
      </c>
      <c r="E55" s="33" t="s">
        <v>6927</v>
      </c>
      <c r="F55" s="33" t="s">
        <v>6929</v>
      </c>
      <c r="G55" s="33" t="s">
        <v>6930</v>
      </c>
      <c r="H55" s="33" t="s">
        <v>6931</v>
      </c>
      <c r="I55" s="33" t="s">
        <v>6932</v>
      </c>
      <c r="J55" s="33" t="s">
        <v>6933</v>
      </c>
      <c r="K55" s="33" t="s">
        <v>6934</v>
      </c>
      <c r="L55" s="33" t="s">
        <v>11125</v>
      </c>
      <c r="M55" s="32" t="s">
        <v>10907</v>
      </c>
      <c r="N55" s="1" t="s">
        <v>10707</v>
      </c>
    </row>
    <row r="56" spans="1:14">
      <c r="A56" s="122"/>
      <c r="C56" s="125" t="s">
        <v>6937</v>
      </c>
      <c r="D56" s="33" t="s">
        <v>6935</v>
      </c>
      <c r="E56" s="33" t="s">
        <v>6936</v>
      </c>
      <c r="F56" s="33" t="s">
        <v>6938</v>
      </c>
      <c r="G56" s="33" t="s">
        <v>6939</v>
      </c>
      <c r="H56" s="33" t="s">
        <v>6940</v>
      </c>
      <c r="I56" s="33" t="s">
        <v>6941</v>
      </c>
      <c r="J56" s="33" t="s">
        <v>6942</v>
      </c>
      <c r="K56" s="33" t="s">
        <v>6943</v>
      </c>
      <c r="L56" s="33" t="s">
        <v>11126</v>
      </c>
      <c r="M56" s="32" t="s">
        <v>11311</v>
      </c>
      <c r="N56" s="1" t="s">
        <v>10708</v>
      </c>
    </row>
    <row r="57" spans="1:14">
      <c r="A57" s="122"/>
      <c r="C57" s="125" t="s">
        <v>6946</v>
      </c>
      <c r="D57" s="33" t="s">
        <v>6944</v>
      </c>
      <c r="E57" s="33" t="s">
        <v>6945</v>
      </c>
      <c r="F57" s="33" t="s">
        <v>6947</v>
      </c>
      <c r="G57" s="33" t="s">
        <v>6948</v>
      </c>
      <c r="H57" s="33" t="s">
        <v>6949</v>
      </c>
      <c r="I57" s="33" t="s">
        <v>6950</v>
      </c>
      <c r="J57" s="33" t="s">
        <v>6951</v>
      </c>
      <c r="K57" s="33" t="s">
        <v>6952</v>
      </c>
      <c r="L57" s="33" t="s">
        <v>11127</v>
      </c>
      <c r="M57" s="32" t="s">
        <v>11312</v>
      </c>
      <c r="N57" s="1" t="s">
        <v>10709</v>
      </c>
    </row>
    <row r="58" spans="1:14">
      <c r="A58" s="122"/>
      <c r="C58" s="125" t="s">
        <v>6955</v>
      </c>
      <c r="D58" s="33" t="s">
        <v>6953</v>
      </c>
      <c r="E58" s="33" t="s">
        <v>6954</v>
      </c>
      <c r="F58" s="33" t="s">
        <v>6956</v>
      </c>
      <c r="G58" s="33" t="s">
        <v>6957</v>
      </c>
      <c r="H58" s="33" t="s">
        <v>6958</v>
      </c>
      <c r="I58" s="33" t="s">
        <v>6959</v>
      </c>
      <c r="J58" s="33" t="s">
        <v>6960</v>
      </c>
      <c r="K58" s="33" t="s">
        <v>6961</v>
      </c>
      <c r="L58" s="33" t="s">
        <v>11128</v>
      </c>
      <c r="M58" s="32" t="s">
        <v>11313</v>
      </c>
      <c r="N58" s="1" t="s">
        <v>10710</v>
      </c>
    </row>
    <row r="59" spans="1:14">
      <c r="A59" s="122"/>
      <c r="C59" s="125" t="s">
        <v>6964</v>
      </c>
      <c r="D59" s="33" t="s">
        <v>6962</v>
      </c>
      <c r="E59" s="33" t="s">
        <v>6963</v>
      </c>
      <c r="F59" s="33" t="s">
        <v>6965</v>
      </c>
      <c r="G59" s="33" t="s">
        <v>6966</v>
      </c>
      <c r="H59" s="33" t="s">
        <v>6967</v>
      </c>
      <c r="I59" s="33" t="s">
        <v>6968</v>
      </c>
      <c r="J59" s="33" t="s">
        <v>6969</v>
      </c>
      <c r="K59" s="33" t="s">
        <v>6970</v>
      </c>
      <c r="L59" s="33" t="s">
        <v>11129</v>
      </c>
      <c r="M59" s="32" t="s">
        <v>10908</v>
      </c>
      <c r="N59" s="1" t="s">
        <v>10711</v>
      </c>
    </row>
    <row r="60" spans="1:14">
      <c r="A60" s="122"/>
      <c r="C60" s="125" t="s">
        <v>6973</v>
      </c>
      <c r="D60" s="33" t="s">
        <v>6971</v>
      </c>
      <c r="E60" s="35" t="s">
        <v>6972</v>
      </c>
      <c r="F60" s="34" t="s">
        <v>6974</v>
      </c>
      <c r="G60" s="32" t="s">
        <v>6975</v>
      </c>
      <c r="H60" s="32" t="s">
        <v>6976</v>
      </c>
      <c r="I60" s="32" t="s">
        <v>6977</v>
      </c>
      <c r="J60" s="32" t="s">
        <v>6978</v>
      </c>
      <c r="K60" s="32" t="s">
        <v>6979</v>
      </c>
      <c r="L60" s="32" t="s">
        <v>11130</v>
      </c>
      <c r="M60" s="32" t="s">
        <v>11314</v>
      </c>
      <c r="N60" s="1" t="s">
        <v>10712</v>
      </c>
    </row>
    <row r="61" spans="1:14">
      <c r="A61" s="122"/>
      <c r="C61" s="125" t="s">
        <v>6982</v>
      </c>
      <c r="D61" s="33" t="s">
        <v>6980</v>
      </c>
      <c r="E61" s="33" t="s">
        <v>6981</v>
      </c>
      <c r="F61" s="33" t="s">
        <v>6983</v>
      </c>
      <c r="G61" s="33" t="s">
        <v>6984</v>
      </c>
      <c r="H61" s="33" t="s">
        <v>6985</v>
      </c>
      <c r="I61" s="33" t="s">
        <v>6986</v>
      </c>
      <c r="J61" s="33" t="s">
        <v>6987</v>
      </c>
      <c r="K61" s="33" t="s">
        <v>6988</v>
      </c>
      <c r="L61" s="33" t="s">
        <v>11131</v>
      </c>
      <c r="M61" s="32" t="s">
        <v>11315</v>
      </c>
      <c r="N61" s="1" t="s">
        <v>10713</v>
      </c>
    </row>
    <row r="62" spans="1:14">
      <c r="A62" s="122"/>
      <c r="C62" s="125" t="s">
        <v>6991</v>
      </c>
      <c r="D62" s="33" t="s">
        <v>6989</v>
      </c>
      <c r="E62" s="35" t="s">
        <v>6990</v>
      </c>
      <c r="F62" s="34" t="s">
        <v>6992</v>
      </c>
      <c r="G62" s="32" t="s">
        <v>6993</v>
      </c>
      <c r="H62" s="32" t="s">
        <v>6994</v>
      </c>
      <c r="I62" s="32" t="s">
        <v>6995</v>
      </c>
      <c r="J62" s="32" t="s">
        <v>6996</v>
      </c>
      <c r="K62" s="32" t="s">
        <v>6997</v>
      </c>
      <c r="L62" s="32" t="s">
        <v>11132</v>
      </c>
      <c r="M62" s="32" t="s">
        <v>11316</v>
      </c>
      <c r="N62" s="1" t="s">
        <v>10714</v>
      </c>
    </row>
    <row r="63" spans="1:14">
      <c r="A63" s="122"/>
      <c r="C63" s="125" t="s">
        <v>7000</v>
      </c>
      <c r="D63" s="33" t="s">
        <v>6998</v>
      </c>
      <c r="E63" s="33" t="s">
        <v>6999</v>
      </c>
      <c r="F63" s="33" t="s">
        <v>7001</v>
      </c>
      <c r="G63" s="33" t="s">
        <v>7002</v>
      </c>
      <c r="H63" s="33" t="s">
        <v>7003</v>
      </c>
      <c r="I63" s="33" t="s">
        <v>7004</v>
      </c>
      <c r="J63" s="33" t="s">
        <v>7005</v>
      </c>
      <c r="K63" s="33" t="s">
        <v>7006</v>
      </c>
      <c r="L63" s="33" t="s">
        <v>11133</v>
      </c>
      <c r="M63" s="32" t="s">
        <v>11317</v>
      </c>
      <c r="N63" s="1" t="s">
        <v>10715</v>
      </c>
    </row>
    <row r="64" spans="1:14">
      <c r="A64" s="122"/>
      <c r="C64" s="125" t="s">
        <v>7009</v>
      </c>
      <c r="D64" s="33" t="s">
        <v>7007</v>
      </c>
      <c r="E64" s="33" t="s">
        <v>7008</v>
      </c>
      <c r="F64" s="33" t="s">
        <v>7010</v>
      </c>
      <c r="G64" s="33" t="s">
        <v>7011</v>
      </c>
      <c r="H64" s="33" t="s">
        <v>7012</v>
      </c>
      <c r="I64" s="33" t="s">
        <v>7013</v>
      </c>
      <c r="J64" s="33" t="s">
        <v>7014</v>
      </c>
      <c r="K64" s="33" t="s">
        <v>7015</v>
      </c>
      <c r="L64" s="33" t="s">
        <v>11134</v>
      </c>
      <c r="M64" s="32" t="s">
        <v>11318</v>
      </c>
      <c r="N64" s="1" t="s">
        <v>10716</v>
      </c>
    </row>
    <row r="65" spans="1:14">
      <c r="A65" s="122"/>
      <c r="C65" s="125" t="s">
        <v>7018</v>
      </c>
      <c r="D65" s="33" t="s">
        <v>7016</v>
      </c>
      <c r="E65" s="33" t="s">
        <v>7017</v>
      </c>
      <c r="F65" s="33" t="s">
        <v>7019</v>
      </c>
      <c r="G65" s="33" t="s">
        <v>7020</v>
      </c>
      <c r="H65" s="33" t="s">
        <v>7021</v>
      </c>
      <c r="I65" s="33" t="s">
        <v>7022</v>
      </c>
      <c r="J65" s="33" t="s">
        <v>7023</v>
      </c>
      <c r="K65" s="33" t="s">
        <v>7024</v>
      </c>
      <c r="L65" s="33" t="s">
        <v>11135</v>
      </c>
      <c r="M65" s="32" t="s">
        <v>11319</v>
      </c>
      <c r="N65" s="1" t="s">
        <v>10717</v>
      </c>
    </row>
    <row r="66" spans="1:14">
      <c r="A66" s="122"/>
      <c r="C66" s="125" t="s">
        <v>7027</v>
      </c>
      <c r="D66" s="33" t="s">
        <v>7025</v>
      </c>
      <c r="E66" s="33" t="s">
        <v>7026</v>
      </c>
      <c r="F66" s="33" t="s">
        <v>7028</v>
      </c>
      <c r="G66" s="33" t="s">
        <v>7029</v>
      </c>
      <c r="H66" s="33" t="s">
        <v>7030</v>
      </c>
      <c r="I66" s="33" t="s">
        <v>7031</v>
      </c>
      <c r="J66" s="33" t="s">
        <v>7032</v>
      </c>
      <c r="K66" s="33" t="s">
        <v>7033</v>
      </c>
      <c r="L66" s="33" t="s">
        <v>11136</v>
      </c>
      <c r="M66" s="32" t="s">
        <v>11320</v>
      </c>
      <c r="N66" s="1" t="s">
        <v>10718</v>
      </c>
    </row>
    <row r="67" spans="1:14">
      <c r="A67" s="122"/>
      <c r="C67" s="125" t="s">
        <v>7036</v>
      </c>
      <c r="D67" s="33" t="s">
        <v>7034</v>
      </c>
      <c r="E67" s="33" t="s">
        <v>7035</v>
      </c>
      <c r="F67" s="33" t="s">
        <v>7037</v>
      </c>
      <c r="G67" s="33" t="s">
        <v>7038</v>
      </c>
      <c r="H67" s="33" t="s">
        <v>7039</v>
      </c>
      <c r="I67" s="33" t="s">
        <v>7040</v>
      </c>
      <c r="J67" s="33" t="s">
        <v>7041</v>
      </c>
      <c r="K67" s="33" t="s">
        <v>7042</v>
      </c>
      <c r="L67" s="33" t="s">
        <v>11137</v>
      </c>
      <c r="M67" s="32" t="s">
        <v>11321</v>
      </c>
      <c r="N67" s="1" t="s">
        <v>10719</v>
      </c>
    </row>
    <row r="68" spans="1:14">
      <c r="A68" s="122"/>
      <c r="C68" s="125" t="s">
        <v>7045</v>
      </c>
      <c r="D68" s="33" t="s">
        <v>7043</v>
      </c>
      <c r="E68" s="33" t="s">
        <v>7044</v>
      </c>
      <c r="F68" s="33" t="s">
        <v>7046</v>
      </c>
      <c r="G68" s="33" t="s">
        <v>7047</v>
      </c>
      <c r="H68" s="33" t="s">
        <v>7048</v>
      </c>
      <c r="I68" s="33" t="s">
        <v>7049</v>
      </c>
      <c r="J68" s="33" t="s">
        <v>7050</v>
      </c>
      <c r="K68" s="33" t="s">
        <v>7051</v>
      </c>
      <c r="L68" s="33" t="s">
        <v>11138</v>
      </c>
      <c r="M68" s="32" t="s">
        <v>10909</v>
      </c>
      <c r="N68" s="1" t="s">
        <v>10720</v>
      </c>
    </row>
    <row r="69" spans="1:14">
      <c r="A69" s="122"/>
      <c r="C69" s="125" t="s">
        <v>7054</v>
      </c>
      <c r="D69" s="33" t="s">
        <v>7052</v>
      </c>
      <c r="E69" s="33" t="s">
        <v>7053</v>
      </c>
      <c r="F69" s="33" t="s">
        <v>7055</v>
      </c>
      <c r="G69" s="33" t="s">
        <v>7056</v>
      </c>
      <c r="H69" s="33" t="s">
        <v>7048</v>
      </c>
      <c r="I69" s="33" t="s">
        <v>7057</v>
      </c>
      <c r="J69" s="33" t="s">
        <v>7058</v>
      </c>
      <c r="K69" s="33" t="s">
        <v>7059</v>
      </c>
      <c r="L69" s="33" t="s">
        <v>11138</v>
      </c>
      <c r="M69" s="32" t="s">
        <v>11322</v>
      </c>
      <c r="N69" s="1" t="s">
        <v>10721</v>
      </c>
    </row>
    <row r="70" spans="1:14">
      <c r="A70" s="122"/>
      <c r="C70" s="125" t="s">
        <v>7062</v>
      </c>
      <c r="D70" s="33" t="s">
        <v>7060</v>
      </c>
      <c r="E70" s="35" t="s">
        <v>7061</v>
      </c>
      <c r="F70" s="34" t="s">
        <v>7063</v>
      </c>
      <c r="G70" s="32" t="s">
        <v>7064</v>
      </c>
      <c r="H70" s="32" t="s">
        <v>7065</v>
      </c>
      <c r="I70" s="32" t="s">
        <v>7066</v>
      </c>
      <c r="J70" s="32" t="s">
        <v>7067</v>
      </c>
      <c r="K70" s="32" t="s">
        <v>7068</v>
      </c>
      <c r="L70" s="32" t="s">
        <v>11139</v>
      </c>
      <c r="M70" s="32" t="s">
        <v>11323</v>
      </c>
      <c r="N70" s="1" t="s">
        <v>10722</v>
      </c>
    </row>
    <row r="71" spans="1:14">
      <c r="A71" s="122"/>
      <c r="C71" s="125" t="s">
        <v>7071</v>
      </c>
      <c r="D71" s="33" t="s">
        <v>7069</v>
      </c>
      <c r="E71" s="33" t="s">
        <v>7070</v>
      </c>
      <c r="F71" s="33" t="s">
        <v>7072</v>
      </c>
      <c r="G71" s="33" t="s">
        <v>7073</v>
      </c>
      <c r="H71" s="33" t="s">
        <v>7074</v>
      </c>
      <c r="I71" s="33" t="s">
        <v>7075</v>
      </c>
      <c r="J71" s="33" t="s">
        <v>7076</v>
      </c>
      <c r="K71" s="33" t="s">
        <v>7077</v>
      </c>
      <c r="L71" s="33" t="s">
        <v>11140</v>
      </c>
      <c r="M71" s="32" t="s">
        <v>11324</v>
      </c>
      <c r="N71" s="1" t="s">
        <v>10723</v>
      </c>
    </row>
    <row r="72" spans="1:14">
      <c r="A72" s="122"/>
      <c r="C72" s="125" t="s">
        <v>7080</v>
      </c>
      <c r="D72" s="33" t="s">
        <v>7078</v>
      </c>
      <c r="E72" s="33" t="s">
        <v>7079</v>
      </c>
      <c r="F72" s="33" t="s">
        <v>7081</v>
      </c>
      <c r="G72" s="33" t="s">
        <v>7082</v>
      </c>
      <c r="H72" s="33" t="s">
        <v>7083</v>
      </c>
      <c r="I72" s="33" t="s">
        <v>7084</v>
      </c>
      <c r="J72" s="33" t="s">
        <v>7085</v>
      </c>
      <c r="K72" s="33" t="s">
        <v>7086</v>
      </c>
      <c r="L72" s="33" t="s">
        <v>11141</v>
      </c>
      <c r="M72" s="32" t="s">
        <v>10910</v>
      </c>
      <c r="N72" s="1" t="s">
        <v>10724</v>
      </c>
    </row>
    <row r="73" spans="1:14">
      <c r="A73" s="122"/>
      <c r="C73" s="125" t="s">
        <v>7089</v>
      </c>
      <c r="D73" s="33" t="s">
        <v>7087</v>
      </c>
      <c r="E73" s="33" t="s">
        <v>7088</v>
      </c>
      <c r="F73" s="33" t="s">
        <v>7090</v>
      </c>
      <c r="G73" s="33" t="s">
        <v>7091</v>
      </c>
      <c r="H73" s="33" t="s">
        <v>7092</v>
      </c>
      <c r="I73" s="33" t="s">
        <v>7093</v>
      </c>
      <c r="J73" s="33" t="s">
        <v>7094</v>
      </c>
      <c r="K73" s="33" t="s">
        <v>7095</v>
      </c>
      <c r="L73" s="33" t="s">
        <v>11142</v>
      </c>
      <c r="M73" s="32" t="s">
        <v>11325</v>
      </c>
      <c r="N73" s="1" t="s">
        <v>10725</v>
      </c>
    </row>
    <row r="74" spans="1:14">
      <c r="A74" s="122"/>
      <c r="C74" s="125" t="s">
        <v>7098</v>
      </c>
      <c r="D74" s="33" t="s">
        <v>7096</v>
      </c>
      <c r="E74" s="33" t="s">
        <v>7097</v>
      </c>
      <c r="F74" s="33" t="s">
        <v>7099</v>
      </c>
      <c r="G74" s="33" t="s">
        <v>7100</v>
      </c>
      <c r="H74" s="33" t="s">
        <v>7101</v>
      </c>
      <c r="I74" s="33" t="s">
        <v>7102</v>
      </c>
      <c r="J74" s="33" t="s">
        <v>7103</v>
      </c>
      <c r="K74" s="33" t="s">
        <v>7104</v>
      </c>
      <c r="L74" s="33" t="s">
        <v>11143</v>
      </c>
      <c r="M74" s="32" t="s">
        <v>11326</v>
      </c>
      <c r="N74" s="1" t="s">
        <v>10726</v>
      </c>
    </row>
    <row r="75" spans="1:14">
      <c r="A75" s="122"/>
      <c r="C75" s="125" t="s">
        <v>7107</v>
      </c>
      <c r="D75" s="33" t="s">
        <v>7105</v>
      </c>
      <c r="E75" s="33" t="s">
        <v>7106</v>
      </c>
      <c r="F75" s="33" t="s">
        <v>7108</v>
      </c>
      <c r="G75" s="33" t="s">
        <v>7109</v>
      </c>
      <c r="H75" s="33" t="s">
        <v>7110</v>
      </c>
      <c r="I75" s="33" t="s">
        <v>7111</v>
      </c>
      <c r="J75" s="33" t="s">
        <v>7112</v>
      </c>
      <c r="K75" s="33" t="s">
        <v>7113</v>
      </c>
      <c r="L75" s="33" t="s">
        <v>11144</v>
      </c>
      <c r="M75" s="32" t="s">
        <v>11327</v>
      </c>
      <c r="N75" s="1" t="s">
        <v>10727</v>
      </c>
    </row>
    <row r="76" spans="1:14">
      <c r="A76" s="122"/>
      <c r="C76" s="125" t="s">
        <v>7116</v>
      </c>
      <c r="D76" s="33" t="s">
        <v>7114</v>
      </c>
      <c r="E76" s="33" t="s">
        <v>7115</v>
      </c>
      <c r="F76" s="33" t="s">
        <v>7117</v>
      </c>
      <c r="G76" s="33" t="s">
        <v>7118</v>
      </c>
      <c r="H76" s="33" t="s">
        <v>7119</v>
      </c>
      <c r="I76" s="33" t="s">
        <v>7120</v>
      </c>
      <c r="J76" s="33" t="s">
        <v>7121</v>
      </c>
      <c r="K76" s="33" t="s">
        <v>7122</v>
      </c>
      <c r="L76" s="33" t="s">
        <v>11145</v>
      </c>
      <c r="M76" s="32" t="s">
        <v>11328</v>
      </c>
      <c r="N76" s="1" t="s">
        <v>10728</v>
      </c>
    </row>
    <row r="77" spans="1:14">
      <c r="A77" s="122"/>
      <c r="C77" s="125" t="s">
        <v>7125</v>
      </c>
      <c r="D77" s="33" t="s">
        <v>7123</v>
      </c>
      <c r="E77" s="33" t="s">
        <v>7124</v>
      </c>
      <c r="F77" s="33" t="s">
        <v>7126</v>
      </c>
      <c r="G77" s="33" t="s">
        <v>7127</v>
      </c>
      <c r="H77" s="33" t="s">
        <v>7128</v>
      </c>
      <c r="I77" s="33" t="s">
        <v>7129</v>
      </c>
      <c r="J77" s="33" t="s">
        <v>7130</v>
      </c>
      <c r="K77" s="33" t="s">
        <v>7131</v>
      </c>
      <c r="L77" s="33" t="s">
        <v>11146</v>
      </c>
      <c r="M77" s="32" t="s">
        <v>11329</v>
      </c>
      <c r="N77" s="1" t="s">
        <v>10729</v>
      </c>
    </row>
    <row r="78" spans="1:14">
      <c r="A78" s="122"/>
      <c r="C78" s="125" t="s">
        <v>7134</v>
      </c>
      <c r="D78" s="33" t="s">
        <v>7132</v>
      </c>
      <c r="E78" s="33" t="s">
        <v>7133</v>
      </c>
      <c r="F78" s="33" t="s">
        <v>7135</v>
      </c>
      <c r="G78" s="33" t="s">
        <v>7136</v>
      </c>
      <c r="H78" s="33" t="s">
        <v>7137</v>
      </c>
      <c r="I78" s="33" t="s">
        <v>7138</v>
      </c>
      <c r="J78" s="33" t="s">
        <v>7139</v>
      </c>
      <c r="K78" s="33" t="s">
        <v>7140</v>
      </c>
      <c r="L78" s="33" t="s">
        <v>11147</v>
      </c>
      <c r="M78" s="32" t="s">
        <v>10911</v>
      </c>
      <c r="N78" s="1" t="s">
        <v>10730</v>
      </c>
    </row>
    <row r="79" spans="1:14">
      <c r="A79" s="122"/>
      <c r="C79" s="125" t="s">
        <v>7143</v>
      </c>
      <c r="D79" s="33" t="s">
        <v>7141</v>
      </c>
      <c r="E79" s="35" t="s">
        <v>7142</v>
      </c>
      <c r="F79" s="34" t="s">
        <v>7144</v>
      </c>
      <c r="G79" s="32" t="s">
        <v>7145</v>
      </c>
      <c r="H79" s="32" t="s">
        <v>7146</v>
      </c>
      <c r="I79" s="32" t="s">
        <v>7147</v>
      </c>
      <c r="J79" s="32" t="s">
        <v>7148</v>
      </c>
      <c r="K79" s="32" t="s">
        <v>7149</v>
      </c>
      <c r="L79" s="32" t="s">
        <v>11148</v>
      </c>
      <c r="M79" s="32" t="s">
        <v>10912</v>
      </c>
      <c r="N79" s="1" t="s">
        <v>10731</v>
      </c>
    </row>
    <row r="80" spans="1:14">
      <c r="A80" s="122"/>
      <c r="C80" s="125" t="s">
        <v>7152</v>
      </c>
      <c r="D80" s="33" t="s">
        <v>7150</v>
      </c>
      <c r="E80" s="33" t="s">
        <v>7151</v>
      </c>
      <c r="F80" s="33" t="s">
        <v>7153</v>
      </c>
      <c r="G80" s="33" t="s">
        <v>7154</v>
      </c>
      <c r="H80" s="33" t="s">
        <v>7155</v>
      </c>
      <c r="I80" s="33" t="s">
        <v>7156</v>
      </c>
      <c r="J80" s="33" t="s">
        <v>7157</v>
      </c>
      <c r="K80" s="33" t="s">
        <v>7158</v>
      </c>
      <c r="L80" s="33" t="s">
        <v>11149</v>
      </c>
      <c r="M80" s="32" t="s">
        <v>11330</v>
      </c>
      <c r="N80" s="1" t="s">
        <v>10732</v>
      </c>
    </row>
    <row r="81" spans="1:14">
      <c r="A81" s="122"/>
      <c r="C81" s="125" t="s">
        <v>7161</v>
      </c>
      <c r="D81" s="33" t="s">
        <v>7159</v>
      </c>
      <c r="E81" s="33" t="s">
        <v>7160</v>
      </c>
      <c r="F81" s="33" t="s">
        <v>7162</v>
      </c>
      <c r="G81" s="33" t="s">
        <v>7163</v>
      </c>
      <c r="H81" s="33" t="s">
        <v>7164</v>
      </c>
      <c r="I81" s="33" t="s">
        <v>7165</v>
      </c>
      <c r="J81" s="33" t="s">
        <v>7166</v>
      </c>
      <c r="K81" s="33" t="s">
        <v>7167</v>
      </c>
      <c r="L81" s="33" t="s">
        <v>11150</v>
      </c>
      <c r="M81" s="32" t="s">
        <v>11331</v>
      </c>
      <c r="N81" s="1" t="s">
        <v>10733</v>
      </c>
    </row>
    <row r="82" spans="1:14">
      <c r="A82" s="122"/>
      <c r="C82" s="125" t="s">
        <v>7170</v>
      </c>
      <c r="D82" s="33" t="s">
        <v>7168</v>
      </c>
      <c r="E82" s="33" t="s">
        <v>7169</v>
      </c>
      <c r="F82" s="33" t="s">
        <v>7171</v>
      </c>
      <c r="G82" s="33" t="s">
        <v>7172</v>
      </c>
      <c r="H82" s="33" t="s">
        <v>7173</v>
      </c>
      <c r="I82" s="33" t="s">
        <v>7174</v>
      </c>
      <c r="J82" s="33" t="s">
        <v>7175</v>
      </c>
      <c r="K82" s="33" t="s">
        <v>7176</v>
      </c>
      <c r="L82" s="33" t="s">
        <v>11151</v>
      </c>
      <c r="M82" s="32" t="s">
        <v>11332</v>
      </c>
      <c r="N82" s="1" t="s">
        <v>10734</v>
      </c>
    </row>
    <row r="83" spans="1:14">
      <c r="A83" s="122"/>
      <c r="C83" s="125" t="s">
        <v>7179</v>
      </c>
      <c r="D83" s="33" t="s">
        <v>7177</v>
      </c>
      <c r="E83" s="33" t="s">
        <v>7178</v>
      </c>
      <c r="F83" s="33" t="s">
        <v>7180</v>
      </c>
      <c r="G83" s="33" t="s">
        <v>7181</v>
      </c>
      <c r="H83" s="33" t="s">
        <v>7182</v>
      </c>
      <c r="I83" s="33" t="s">
        <v>7183</v>
      </c>
      <c r="J83" s="33" t="s">
        <v>7184</v>
      </c>
      <c r="K83" s="33" t="s">
        <v>7185</v>
      </c>
      <c r="L83" s="33" t="s">
        <v>11150</v>
      </c>
      <c r="M83" s="32" t="s">
        <v>11333</v>
      </c>
      <c r="N83" s="1" t="s">
        <v>10735</v>
      </c>
    </row>
    <row r="84" spans="1:14">
      <c r="A84" s="122"/>
      <c r="C84" s="125" t="s">
        <v>7188</v>
      </c>
      <c r="D84" s="33" t="s">
        <v>7186</v>
      </c>
      <c r="E84" s="33" t="s">
        <v>7187</v>
      </c>
      <c r="F84" s="33" t="s">
        <v>7189</v>
      </c>
      <c r="G84" s="33" t="s">
        <v>7190</v>
      </c>
      <c r="H84" s="33" t="s">
        <v>7191</v>
      </c>
      <c r="I84" s="33" t="s">
        <v>7192</v>
      </c>
      <c r="J84" s="33" t="s">
        <v>7193</v>
      </c>
      <c r="K84" s="33" t="s">
        <v>7194</v>
      </c>
      <c r="L84" s="33" t="s">
        <v>11151</v>
      </c>
      <c r="M84" s="32" t="s">
        <v>11334</v>
      </c>
      <c r="N84" s="1" t="s">
        <v>10736</v>
      </c>
    </row>
    <row r="85" spans="1:14">
      <c r="A85" s="122"/>
      <c r="C85" s="125" t="s">
        <v>7197</v>
      </c>
      <c r="D85" s="33" t="s">
        <v>7195</v>
      </c>
      <c r="E85" s="33" t="s">
        <v>7196</v>
      </c>
      <c r="F85" s="33" t="s">
        <v>7198</v>
      </c>
      <c r="G85" s="33" t="s">
        <v>7199</v>
      </c>
      <c r="H85" s="33" t="s">
        <v>7200</v>
      </c>
      <c r="I85" s="33" t="s">
        <v>7201</v>
      </c>
      <c r="J85" s="33" t="s">
        <v>7202</v>
      </c>
      <c r="K85" s="33" t="s">
        <v>7203</v>
      </c>
      <c r="L85" s="33" t="s">
        <v>11152</v>
      </c>
      <c r="M85" s="32" t="s">
        <v>11312</v>
      </c>
      <c r="N85" s="1" t="s">
        <v>10738</v>
      </c>
    </row>
    <row r="86" spans="1:14">
      <c r="A86" s="122"/>
      <c r="C86" s="125" t="s">
        <v>7206</v>
      </c>
      <c r="D86" s="33" t="s">
        <v>7204</v>
      </c>
      <c r="E86" s="33" t="s">
        <v>7205</v>
      </c>
      <c r="F86" s="33" t="s">
        <v>7207</v>
      </c>
      <c r="G86" s="33" t="s">
        <v>7208</v>
      </c>
      <c r="H86" s="33" t="s">
        <v>7209</v>
      </c>
      <c r="I86" s="33" t="s">
        <v>7210</v>
      </c>
      <c r="J86" s="33" t="s">
        <v>7211</v>
      </c>
      <c r="K86" s="33" t="s">
        <v>7212</v>
      </c>
      <c r="L86" s="33" t="s">
        <v>11153</v>
      </c>
      <c r="M86" s="32" t="s">
        <v>11335</v>
      </c>
      <c r="N86" s="1" t="s">
        <v>10739</v>
      </c>
    </row>
    <row r="87" spans="1:14">
      <c r="A87" s="122"/>
      <c r="C87" s="125" t="s">
        <v>7215</v>
      </c>
      <c r="D87" s="33" t="s">
        <v>7213</v>
      </c>
      <c r="E87" s="33" t="s">
        <v>7214</v>
      </c>
      <c r="F87" s="33" t="s">
        <v>7216</v>
      </c>
      <c r="G87" s="33" t="s">
        <v>7217</v>
      </c>
      <c r="H87" s="33" t="s">
        <v>7218</v>
      </c>
      <c r="I87" s="33" t="s">
        <v>7219</v>
      </c>
      <c r="J87" s="33" t="s">
        <v>7220</v>
      </c>
      <c r="K87" s="33" t="s">
        <v>7221</v>
      </c>
      <c r="L87" s="33" t="s">
        <v>11154</v>
      </c>
      <c r="M87" s="32" t="s">
        <v>11336</v>
      </c>
      <c r="N87" s="1" t="s">
        <v>10740</v>
      </c>
    </row>
    <row r="88" spans="1:14">
      <c r="A88" s="122"/>
      <c r="C88" s="125" t="s">
        <v>7224</v>
      </c>
      <c r="D88" s="33" t="s">
        <v>7222</v>
      </c>
      <c r="E88" s="33" t="s">
        <v>7223</v>
      </c>
      <c r="F88" s="33" t="s">
        <v>7225</v>
      </c>
      <c r="G88" s="33" t="s">
        <v>7226</v>
      </c>
      <c r="H88" s="33" t="s">
        <v>7227</v>
      </c>
      <c r="I88" s="33" t="s">
        <v>7210</v>
      </c>
      <c r="J88" s="33" t="s">
        <v>7228</v>
      </c>
      <c r="K88" s="33" t="s">
        <v>7229</v>
      </c>
      <c r="L88" s="33" t="s">
        <v>11155</v>
      </c>
      <c r="M88" s="32" t="s">
        <v>11337</v>
      </c>
      <c r="N88" s="1" t="s">
        <v>10741</v>
      </c>
    </row>
    <row r="89" spans="1:14">
      <c r="A89" s="122"/>
      <c r="C89" s="125" t="s">
        <v>7232</v>
      </c>
      <c r="D89" s="33" t="s">
        <v>7230</v>
      </c>
      <c r="E89" s="33" t="s">
        <v>7231</v>
      </c>
      <c r="F89" s="33" t="s">
        <v>7233</v>
      </c>
      <c r="G89" s="33" t="s">
        <v>7234</v>
      </c>
      <c r="H89" s="33" t="s">
        <v>7235</v>
      </c>
      <c r="I89" s="33" t="s">
        <v>7236</v>
      </c>
      <c r="J89" s="33" t="s">
        <v>7237</v>
      </c>
      <c r="K89" s="33" t="s">
        <v>7238</v>
      </c>
      <c r="L89" s="33" t="s">
        <v>11156</v>
      </c>
      <c r="M89" s="32" t="s">
        <v>11338</v>
      </c>
      <c r="N89" s="1" t="s">
        <v>10742</v>
      </c>
    </row>
    <row r="90" spans="1:14">
      <c r="A90" s="122"/>
      <c r="C90" s="125" t="s">
        <v>7241</v>
      </c>
      <c r="D90" s="33" t="s">
        <v>7239</v>
      </c>
      <c r="E90" s="33" t="s">
        <v>7240</v>
      </c>
      <c r="F90" s="33" t="s">
        <v>7242</v>
      </c>
      <c r="G90" s="33" t="s">
        <v>7243</v>
      </c>
      <c r="H90" s="33" t="s">
        <v>7244</v>
      </c>
      <c r="I90" s="33" t="s">
        <v>7245</v>
      </c>
      <c r="J90" s="33" t="s">
        <v>7246</v>
      </c>
      <c r="K90" s="33" t="s">
        <v>7247</v>
      </c>
      <c r="L90" s="33" t="s">
        <v>11157</v>
      </c>
      <c r="M90" s="32" t="s">
        <v>11339</v>
      </c>
      <c r="N90" s="1" t="s">
        <v>10744</v>
      </c>
    </row>
    <row r="91" spans="1:14">
      <c r="A91" s="122"/>
      <c r="C91" s="125" t="s">
        <v>7250</v>
      </c>
      <c r="D91" s="33" t="s">
        <v>7248</v>
      </c>
      <c r="E91" s="33" t="s">
        <v>7249</v>
      </c>
      <c r="F91" s="33" t="s">
        <v>7251</v>
      </c>
      <c r="G91" s="33" t="s">
        <v>7252</v>
      </c>
      <c r="H91" s="33" t="s">
        <v>7253</v>
      </c>
      <c r="I91" s="33" t="s">
        <v>7254</v>
      </c>
      <c r="J91" s="33" t="s">
        <v>7255</v>
      </c>
      <c r="K91" s="33" t="s">
        <v>7256</v>
      </c>
      <c r="L91" s="33" t="s">
        <v>11158</v>
      </c>
      <c r="M91" s="32" t="s">
        <v>11340</v>
      </c>
      <c r="N91" s="1" t="s">
        <v>10745</v>
      </c>
    </row>
    <row r="92" spans="1:14">
      <c r="A92" s="122"/>
      <c r="C92" s="125" t="s">
        <v>7259</v>
      </c>
      <c r="D92" s="33" t="s">
        <v>7257</v>
      </c>
      <c r="E92" s="33" t="s">
        <v>7258</v>
      </c>
      <c r="F92" s="33" t="s">
        <v>7260</v>
      </c>
      <c r="G92" s="33" t="s">
        <v>7261</v>
      </c>
      <c r="H92" s="33" t="s">
        <v>7262</v>
      </c>
      <c r="I92" s="33" t="s">
        <v>7263</v>
      </c>
      <c r="J92" s="33" t="s">
        <v>7264</v>
      </c>
      <c r="K92" s="33" t="s">
        <v>7265</v>
      </c>
      <c r="L92" s="33" t="s">
        <v>11159</v>
      </c>
      <c r="M92" s="32" t="s">
        <v>11341</v>
      </c>
      <c r="N92" s="1" t="s">
        <v>10746</v>
      </c>
    </row>
    <row r="93" spans="1:14">
      <c r="A93" s="122"/>
      <c r="C93" s="125" t="s">
        <v>7268</v>
      </c>
      <c r="D93" s="33" t="s">
        <v>7266</v>
      </c>
      <c r="E93" s="33" t="s">
        <v>7267</v>
      </c>
      <c r="F93" s="33" t="s">
        <v>7269</v>
      </c>
      <c r="G93" s="33" t="s">
        <v>7270</v>
      </c>
      <c r="H93" s="33" t="s">
        <v>7271</v>
      </c>
      <c r="I93" s="33" t="s">
        <v>7272</v>
      </c>
      <c r="J93" s="33" t="s">
        <v>7273</v>
      </c>
      <c r="K93" s="33" t="s">
        <v>7274</v>
      </c>
      <c r="L93" s="33" t="s">
        <v>11160</v>
      </c>
      <c r="M93" s="32" t="s">
        <v>11342</v>
      </c>
      <c r="N93" s="1" t="s">
        <v>10747</v>
      </c>
    </row>
    <row r="94" spans="1:14">
      <c r="A94" s="122"/>
      <c r="C94" s="125" t="s">
        <v>7277</v>
      </c>
      <c r="D94" s="33" t="s">
        <v>7275</v>
      </c>
      <c r="E94" s="33" t="s">
        <v>7276</v>
      </c>
      <c r="F94" s="33" t="s">
        <v>7278</v>
      </c>
      <c r="G94" s="33" t="s">
        <v>7279</v>
      </c>
      <c r="H94" s="33" t="s">
        <v>7280</v>
      </c>
      <c r="I94" s="33" t="s">
        <v>7281</v>
      </c>
      <c r="J94" s="33" t="s">
        <v>7282</v>
      </c>
      <c r="K94" s="33" t="s">
        <v>7283</v>
      </c>
      <c r="L94" s="33" t="s">
        <v>11161</v>
      </c>
      <c r="M94" s="32" t="s">
        <v>11343</v>
      </c>
      <c r="N94" s="1" t="s">
        <v>10748</v>
      </c>
    </row>
    <row r="95" spans="1:14">
      <c r="A95" s="122"/>
      <c r="C95" s="125" t="s">
        <v>7286</v>
      </c>
      <c r="D95" s="33" t="s">
        <v>7284</v>
      </c>
      <c r="E95" s="33" t="s">
        <v>7285</v>
      </c>
      <c r="F95" s="33" t="s">
        <v>7287</v>
      </c>
      <c r="G95" s="33" t="s">
        <v>7288</v>
      </c>
      <c r="H95" s="33" t="s">
        <v>7289</v>
      </c>
      <c r="I95" s="33" t="s">
        <v>7290</v>
      </c>
      <c r="J95" s="33" t="s">
        <v>7291</v>
      </c>
      <c r="K95" s="33" t="s">
        <v>7292</v>
      </c>
      <c r="L95" s="33" t="s">
        <v>11162</v>
      </c>
      <c r="M95" s="32" t="s">
        <v>11344</v>
      </c>
      <c r="N95" s="1" t="s">
        <v>10749</v>
      </c>
    </row>
    <row r="96" spans="1:14">
      <c r="A96" s="122"/>
      <c r="C96" s="125" t="s">
        <v>7295</v>
      </c>
      <c r="D96" s="33" t="s">
        <v>7293</v>
      </c>
      <c r="E96" s="33" t="s">
        <v>7294</v>
      </c>
      <c r="F96" s="33" t="s">
        <v>7296</v>
      </c>
      <c r="G96" s="33" t="s">
        <v>7297</v>
      </c>
      <c r="H96" s="33" t="s">
        <v>7298</v>
      </c>
      <c r="I96" s="33" t="s">
        <v>7299</v>
      </c>
      <c r="J96" s="33" t="s">
        <v>7300</v>
      </c>
      <c r="K96" s="33" t="s">
        <v>7301</v>
      </c>
      <c r="L96" s="33" t="s">
        <v>11163</v>
      </c>
      <c r="M96" s="32" t="s">
        <v>11345</v>
      </c>
      <c r="N96" s="1" t="s">
        <v>10750</v>
      </c>
    </row>
    <row r="97" spans="1:14">
      <c r="A97" s="122"/>
      <c r="C97" s="125" t="s">
        <v>7304</v>
      </c>
      <c r="D97" s="33" t="s">
        <v>7302</v>
      </c>
      <c r="E97" s="33" t="s">
        <v>7303</v>
      </c>
      <c r="F97" s="33" t="s">
        <v>7305</v>
      </c>
      <c r="G97" s="33" t="s">
        <v>7306</v>
      </c>
      <c r="H97" s="33" t="s">
        <v>7307</v>
      </c>
      <c r="I97" s="33" t="s">
        <v>7308</v>
      </c>
      <c r="J97" s="33" t="s">
        <v>7309</v>
      </c>
      <c r="K97" s="33" t="s">
        <v>7310</v>
      </c>
      <c r="L97" s="33" t="s">
        <v>11164</v>
      </c>
      <c r="M97" s="32" t="s">
        <v>11346</v>
      </c>
      <c r="N97" s="1" t="s">
        <v>10751</v>
      </c>
    </row>
    <row r="98" spans="1:14">
      <c r="A98" s="122"/>
      <c r="C98" s="125" t="s">
        <v>7313</v>
      </c>
      <c r="D98" s="33" t="s">
        <v>7311</v>
      </c>
      <c r="E98" s="33" t="s">
        <v>7312</v>
      </c>
      <c r="F98" s="33" t="s">
        <v>7314</v>
      </c>
      <c r="G98" s="33" t="s">
        <v>7315</v>
      </c>
      <c r="H98" s="33" t="s">
        <v>7316</v>
      </c>
      <c r="I98" s="33" t="s">
        <v>7317</v>
      </c>
      <c r="J98" s="33" t="s">
        <v>7318</v>
      </c>
      <c r="K98" s="33" t="s">
        <v>7319</v>
      </c>
      <c r="L98" s="33" t="s">
        <v>11165</v>
      </c>
      <c r="M98" s="32" t="s">
        <v>11347</v>
      </c>
      <c r="N98" s="1" t="s">
        <v>10752</v>
      </c>
    </row>
    <row r="99" spans="1:14">
      <c r="A99" s="122"/>
      <c r="C99" s="125" t="s">
        <v>7322</v>
      </c>
      <c r="D99" s="33" t="s">
        <v>7320</v>
      </c>
      <c r="E99" s="33" t="s">
        <v>7321</v>
      </c>
      <c r="F99" s="33" t="s">
        <v>7323</v>
      </c>
      <c r="G99" s="33" t="s">
        <v>7324</v>
      </c>
      <c r="H99" s="33" t="s">
        <v>7325</v>
      </c>
      <c r="I99" s="33" t="s">
        <v>7326</v>
      </c>
      <c r="J99" s="33" t="s">
        <v>7327</v>
      </c>
      <c r="K99" s="33" t="s">
        <v>7328</v>
      </c>
      <c r="L99" s="33" t="s">
        <v>11166</v>
      </c>
      <c r="M99" s="32" t="s">
        <v>11348</v>
      </c>
      <c r="N99" s="1" t="s">
        <v>10753</v>
      </c>
    </row>
    <row r="100" spans="1:14">
      <c r="A100" s="122"/>
      <c r="C100" s="125" t="s">
        <v>7331</v>
      </c>
      <c r="D100" s="33" t="s">
        <v>7329</v>
      </c>
      <c r="E100" s="33" t="s">
        <v>7330</v>
      </c>
      <c r="F100" s="33" t="s">
        <v>7332</v>
      </c>
      <c r="G100" s="33" t="s">
        <v>7333</v>
      </c>
      <c r="H100" s="33" t="s">
        <v>7334</v>
      </c>
      <c r="I100" s="33" t="s">
        <v>7335</v>
      </c>
      <c r="J100" s="33" t="s">
        <v>7336</v>
      </c>
      <c r="K100" s="33" t="s">
        <v>7337</v>
      </c>
      <c r="L100" s="33" t="s">
        <v>11167</v>
      </c>
      <c r="M100" s="32" t="s">
        <v>11349</v>
      </c>
      <c r="N100" s="1" t="s">
        <v>10754</v>
      </c>
    </row>
    <row r="101" spans="1:14">
      <c r="A101" s="122"/>
      <c r="C101" s="125" t="s">
        <v>7340</v>
      </c>
      <c r="D101" s="33" t="s">
        <v>7338</v>
      </c>
      <c r="E101" s="33" t="s">
        <v>7339</v>
      </c>
      <c r="F101" s="33" t="s">
        <v>7341</v>
      </c>
      <c r="G101" s="33" t="s">
        <v>7342</v>
      </c>
      <c r="H101" s="33" t="s">
        <v>7343</v>
      </c>
      <c r="I101" s="33" t="s">
        <v>7344</v>
      </c>
      <c r="J101" s="33" t="s">
        <v>7345</v>
      </c>
      <c r="K101" s="33" t="s">
        <v>7346</v>
      </c>
      <c r="L101" s="33" t="s">
        <v>11168</v>
      </c>
      <c r="M101" s="32" t="s">
        <v>11350</v>
      </c>
      <c r="N101" s="1" t="s">
        <v>10755</v>
      </c>
    </row>
    <row r="102" spans="1:14">
      <c r="A102" s="122"/>
      <c r="C102" s="125" t="s">
        <v>7349</v>
      </c>
      <c r="D102" s="33" t="s">
        <v>7347</v>
      </c>
      <c r="E102" s="35" t="s">
        <v>7348</v>
      </c>
      <c r="F102" s="34" t="s">
        <v>7350</v>
      </c>
      <c r="G102" s="32" t="s">
        <v>7351</v>
      </c>
      <c r="H102" s="32" t="s">
        <v>7352</v>
      </c>
      <c r="I102" s="32" t="s">
        <v>7353</v>
      </c>
      <c r="J102" s="32" t="s">
        <v>7354</v>
      </c>
      <c r="K102" s="32" t="s">
        <v>7355</v>
      </c>
      <c r="L102" s="32" t="s">
        <v>11169</v>
      </c>
      <c r="M102" s="32" t="s">
        <v>11351</v>
      </c>
      <c r="N102" s="1" t="s">
        <v>10756</v>
      </c>
    </row>
    <row r="103" spans="1:14">
      <c r="A103" s="122"/>
      <c r="C103" s="125" t="s">
        <v>7358</v>
      </c>
      <c r="D103" s="33" t="s">
        <v>7356</v>
      </c>
      <c r="E103" s="33" t="s">
        <v>7357</v>
      </c>
      <c r="F103" s="33" t="s">
        <v>7359</v>
      </c>
      <c r="G103" s="33" t="s">
        <v>7360</v>
      </c>
      <c r="H103" s="33" t="s">
        <v>7361</v>
      </c>
      <c r="I103" s="33" t="s">
        <v>7344</v>
      </c>
      <c r="J103" s="33" t="s">
        <v>7362</v>
      </c>
      <c r="K103" s="33" t="s">
        <v>7363</v>
      </c>
      <c r="L103" s="33" t="s">
        <v>11170</v>
      </c>
      <c r="M103" s="32" t="s">
        <v>11352</v>
      </c>
      <c r="N103" s="1" t="s">
        <v>10757</v>
      </c>
    </row>
    <row r="104" spans="1:14">
      <c r="A104" s="122"/>
      <c r="C104" s="125" t="s">
        <v>7366</v>
      </c>
      <c r="D104" s="33" t="s">
        <v>7364</v>
      </c>
      <c r="E104" s="33" t="s">
        <v>7365</v>
      </c>
      <c r="F104" s="33" t="s">
        <v>7367</v>
      </c>
      <c r="G104" s="33" t="s">
        <v>7368</v>
      </c>
      <c r="H104" s="33" t="s">
        <v>7369</v>
      </c>
      <c r="I104" s="33" t="s">
        <v>7370</v>
      </c>
      <c r="J104" s="33" t="s">
        <v>7371</v>
      </c>
      <c r="K104" s="33" t="s">
        <v>7372</v>
      </c>
      <c r="L104" s="33" t="s">
        <v>11171</v>
      </c>
      <c r="M104" s="32" t="s">
        <v>11353</v>
      </c>
      <c r="N104" s="1" t="s">
        <v>10758</v>
      </c>
    </row>
    <row r="105" spans="1:14">
      <c r="A105" s="122"/>
      <c r="C105" s="125" t="s">
        <v>7375</v>
      </c>
      <c r="D105" s="33" t="s">
        <v>7373</v>
      </c>
      <c r="E105" s="33" t="s">
        <v>7374</v>
      </c>
      <c r="F105" s="33" t="s">
        <v>7376</v>
      </c>
      <c r="G105" s="33" t="s">
        <v>7377</v>
      </c>
      <c r="H105" s="33" t="s">
        <v>7378</v>
      </c>
      <c r="I105" s="33" t="s">
        <v>7379</v>
      </c>
      <c r="J105" s="33" t="s">
        <v>7380</v>
      </c>
      <c r="K105" s="33" t="s">
        <v>7381</v>
      </c>
      <c r="L105" s="33" t="s">
        <v>11172</v>
      </c>
      <c r="M105" s="32" t="s">
        <v>11354</v>
      </c>
      <c r="N105" s="1" t="s">
        <v>10759</v>
      </c>
    </row>
    <row r="106" spans="1:14">
      <c r="A106" s="122"/>
      <c r="C106" s="125" t="s">
        <v>7384</v>
      </c>
      <c r="D106" s="33" t="s">
        <v>7382</v>
      </c>
      <c r="E106" s="33" t="s">
        <v>7383</v>
      </c>
      <c r="F106" s="33" t="s">
        <v>7385</v>
      </c>
      <c r="G106" s="33" t="s">
        <v>7386</v>
      </c>
      <c r="H106" s="33" t="s">
        <v>7387</v>
      </c>
      <c r="I106" s="33" t="s">
        <v>7388</v>
      </c>
      <c r="J106" s="33" t="s">
        <v>7389</v>
      </c>
      <c r="K106" s="33" t="s">
        <v>7390</v>
      </c>
      <c r="L106" s="33" t="s">
        <v>11173</v>
      </c>
      <c r="M106" s="32" t="s">
        <v>11355</v>
      </c>
      <c r="N106" s="1" t="s">
        <v>10760</v>
      </c>
    </row>
    <row r="107" spans="1:14">
      <c r="A107" s="122"/>
      <c r="C107" s="125" t="s">
        <v>7393</v>
      </c>
      <c r="D107" s="33" t="s">
        <v>7391</v>
      </c>
      <c r="E107" s="33" t="s">
        <v>7392</v>
      </c>
      <c r="F107" s="33" t="s">
        <v>7394</v>
      </c>
      <c r="G107" s="33" t="s">
        <v>7395</v>
      </c>
      <c r="H107" s="33" t="s">
        <v>7396</v>
      </c>
      <c r="I107" s="33" t="s">
        <v>7397</v>
      </c>
      <c r="J107" s="33" t="s">
        <v>7398</v>
      </c>
      <c r="K107" s="33" t="s">
        <v>7399</v>
      </c>
      <c r="L107" s="33" t="s">
        <v>11174</v>
      </c>
      <c r="M107" s="32" t="s">
        <v>11356</v>
      </c>
      <c r="N107" s="1" t="s">
        <v>10761</v>
      </c>
    </row>
    <row r="108" spans="1:14">
      <c r="A108" s="122"/>
      <c r="C108" s="125" t="s">
        <v>7402</v>
      </c>
      <c r="D108" s="33" t="s">
        <v>7400</v>
      </c>
      <c r="E108" s="33" t="s">
        <v>7401</v>
      </c>
      <c r="F108" s="33" t="s">
        <v>7403</v>
      </c>
      <c r="G108" s="33" t="s">
        <v>7404</v>
      </c>
      <c r="H108" s="33" t="s">
        <v>7405</v>
      </c>
      <c r="I108" s="33" t="s">
        <v>7406</v>
      </c>
      <c r="J108" s="33" t="s">
        <v>7407</v>
      </c>
      <c r="K108" s="33" t="s">
        <v>7408</v>
      </c>
      <c r="L108" s="33" t="s">
        <v>11175</v>
      </c>
      <c r="M108" s="32" t="s">
        <v>11357</v>
      </c>
      <c r="N108" s="1" t="s">
        <v>10762</v>
      </c>
    </row>
    <row r="109" spans="1:14">
      <c r="A109" s="122"/>
      <c r="C109" s="125" t="s">
        <v>7411</v>
      </c>
      <c r="D109" s="33" t="s">
        <v>7409</v>
      </c>
      <c r="E109" s="33" t="s">
        <v>7410</v>
      </c>
      <c r="F109" s="33" t="s">
        <v>7412</v>
      </c>
      <c r="G109" s="33" t="s">
        <v>7413</v>
      </c>
      <c r="H109" s="33" t="s">
        <v>7414</v>
      </c>
      <c r="I109" s="33" t="s">
        <v>7415</v>
      </c>
      <c r="J109" s="33" t="s">
        <v>7416</v>
      </c>
      <c r="K109" s="33" t="s">
        <v>7417</v>
      </c>
      <c r="L109" s="33" t="s">
        <v>11176</v>
      </c>
      <c r="M109" s="32" t="s">
        <v>11358</v>
      </c>
      <c r="N109" s="1" t="s">
        <v>10763</v>
      </c>
    </row>
    <row r="110" spans="1:14">
      <c r="A110" s="122"/>
      <c r="C110" s="125" t="s">
        <v>7420</v>
      </c>
      <c r="D110" s="33" t="s">
        <v>7418</v>
      </c>
      <c r="E110" s="33" t="s">
        <v>7419</v>
      </c>
      <c r="F110" s="33" t="s">
        <v>7421</v>
      </c>
      <c r="G110" s="33" t="s">
        <v>7422</v>
      </c>
      <c r="H110" s="33" t="s">
        <v>7423</v>
      </c>
      <c r="I110" s="33" t="s">
        <v>7424</v>
      </c>
      <c r="J110" s="33" t="s">
        <v>7425</v>
      </c>
      <c r="K110" s="33" t="s">
        <v>7426</v>
      </c>
      <c r="L110" s="33" t="s">
        <v>11177</v>
      </c>
      <c r="M110" s="32" t="s">
        <v>11359</v>
      </c>
      <c r="N110" s="1" t="s">
        <v>10764</v>
      </c>
    </row>
    <row r="111" spans="1:14">
      <c r="A111" s="122"/>
      <c r="C111" s="125" t="s">
        <v>7429</v>
      </c>
      <c r="D111" s="33" t="s">
        <v>7427</v>
      </c>
      <c r="E111" s="33" t="s">
        <v>7428</v>
      </c>
      <c r="F111" s="33" t="s">
        <v>7430</v>
      </c>
      <c r="G111" s="33" t="s">
        <v>7431</v>
      </c>
      <c r="H111" s="33" t="s">
        <v>7432</v>
      </c>
      <c r="I111" s="33" t="s">
        <v>7433</v>
      </c>
      <c r="J111" s="33" t="s">
        <v>7434</v>
      </c>
      <c r="K111" s="33" t="s">
        <v>7435</v>
      </c>
      <c r="L111" s="33" t="s">
        <v>11178</v>
      </c>
      <c r="M111" s="32" t="s">
        <v>11360</v>
      </c>
      <c r="N111" s="1" t="s">
        <v>10765</v>
      </c>
    </row>
    <row r="112" spans="1:14">
      <c r="A112" s="122"/>
      <c r="C112" s="125" t="s">
        <v>7438</v>
      </c>
      <c r="D112" s="33" t="s">
        <v>7436</v>
      </c>
      <c r="E112" s="33" t="s">
        <v>7437</v>
      </c>
      <c r="F112" s="33" t="s">
        <v>7439</v>
      </c>
      <c r="G112" s="33" t="s">
        <v>7440</v>
      </c>
      <c r="H112" s="33" t="s">
        <v>7441</v>
      </c>
      <c r="I112" s="33" t="s">
        <v>7442</v>
      </c>
      <c r="J112" s="33" t="s">
        <v>7443</v>
      </c>
      <c r="K112" s="33" t="s">
        <v>7444</v>
      </c>
      <c r="L112" s="33" t="s">
        <v>11179</v>
      </c>
      <c r="M112" s="32" t="s">
        <v>11361</v>
      </c>
      <c r="N112" s="1" t="s">
        <v>10766</v>
      </c>
    </row>
    <row r="113" spans="1:14">
      <c r="A113" s="122"/>
      <c r="C113" s="125" t="s">
        <v>7447</v>
      </c>
      <c r="D113" s="33" t="s">
        <v>7445</v>
      </c>
      <c r="E113" s="35" t="s">
        <v>7446</v>
      </c>
      <c r="F113" s="34" t="s">
        <v>7448</v>
      </c>
      <c r="G113" s="32" t="s">
        <v>7449</v>
      </c>
      <c r="H113" s="32" t="s">
        <v>7450</v>
      </c>
      <c r="I113" s="32" t="s">
        <v>7451</v>
      </c>
      <c r="J113" s="32" t="s">
        <v>7452</v>
      </c>
      <c r="K113" s="32" t="s">
        <v>7453</v>
      </c>
      <c r="L113" s="32" t="s">
        <v>11180</v>
      </c>
      <c r="M113" s="32" t="s">
        <v>11362</v>
      </c>
      <c r="N113" s="1" t="s">
        <v>10767</v>
      </c>
    </row>
    <row r="114" spans="1:14">
      <c r="A114" s="122"/>
      <c r="C114" s="125" t="s">
        <v>7456</v>
      </c>
      <c r="D114" s="33" t="s">
        <v>7454</v>
      </c>
      <c r="E114" s="33" t="s">
        <v>7455</v>
      </c>
      <c r="F114" s="33" t="s">
        <v>7457</v>
      </c>
      <c r="G114" s="33" t="s">
        <v>7449</v>
      </c>
      <c r="H114" s="33" t="s">
        <v>7458</v>
      </c>
      <c r="I114" s="33" t="s">
        <v>7459</v>
      </c>
      <c r="J114" s="33" t="s">
        <v>7460</v>
      </c>
      <c r="K114" s="33" t="s">
        <v>7461</v>
      </c>
      <c r="L114" s="33" t="s">
        <v>11181</v>
      </c>
      <c r="M114" s="32" t="s">
        <v>11363</v>
      </c>
      <c r="N114" s="1" t="s">
        <v>10769</v>
      </c>
    </row>
    <row r="115" spans="1:14">
      <c r="A115" s="122"/>
      <c r="C115" s="125" t="s">
        <v>7464</v>
      </c>
      <c r="D115" s="33" t="s">
        <v>7462</v>
      </c>
      <c r="E115" s="33" t="s">
        <v>7463</v>
      </c>
      <c r="F115" s="33" t="s">
        <v>7465</v>
      </c>
      <c r="G115" s="33" t="s">
        <v>7466</v>
      </c>
      <c r="H115" s="33" t="s">
        <v>7467</v>
      </c>
      <c r="I115" s="33" t="s">
        <v>7468</v>
      </c>
      <c r="J115" s="33" t="s">
        <v>7469</v>
      </c>
      <c r="K115" s="33" t="s">
        <v>7470</v>
      </c>
      <c r="L115" s="33" t="s">
        <v>11182</v>
      </c>
      <c r="M115" s="32" t="s">
        <v>11364</v>
      </c>
      <c r="N115" s="1" t="s">
        <v>10770</v>
      </c>
    </row>
    <row r="116" spans="1:14">
      <c r="A116" s="122"/>
      <c r="C116" s="125" t="s">
        <v>7473</v>
      </c>
      <c r="D116" s="33" t="s">
        <v>7471</v>
      </c>
      <c r="E116" s="33" t="s">
        <v>7472</v>
      </c>
      <c r="F116" s="33" t="s">
        <v>7474</v>
      </c>
      <c r="G116" s="33" t="s">
        <v>7475</v>
      </c>
      <c r="H116" s="33" t="s">
        <v>7467</v>
      </c>
      <c r="I116" s="33" t="s">
        <v>7468</v>
      </c>
      <c r="J116" s="33" t="s">
        <v>7476</v>
      </c>
      <c r="K116" s="33" t="s">
        <v>7477</v>
      </c>
      <c r="L116" s="33" t="s">
        <v>11183</v>
      </c>
      <c r="M116" s="32" t="s">
        <v>11365</v>
      </c>
      <c r="N116" s="1" t="s">
        <v>10771</v>
      </c>
    </row>
    <row r="117" spans="1:14">
      <c r="A117" s="122"/>
      <c r="C117" s="125" t="s">
        <v>7480</v>
      </c>
      <c r="D117" s="33" t="s">
        <v>7478</v>
      </c>
      <c r="E117" s="33" t="s">
        <v>7479</v>
      </c>
      <c r="F117" s="33" t="s">
        <v>7481</v>
      </c>
      <c r="G117" s="33" t="s">
        <v>7482</v>
      </c>
      <c r="H117" s="33" t="s">
        <v>7483</v>
      </c>
      <c r="I117" s="33" t="s">
        <v>7484</v>
      </c>
      <c r="J117" s="33" t="s">
        <v>7485</v>
      </c>
      <c r="K117" s="33" t="s">
        <v>7486</v>
      </c>
      <c r="L117" s="33" t="s">
        <v>11184</v>
      </c>
      <c r="M117" s="32" t="s">
        <v>11366</v>
      </c>
      <c r="N117" s="1" t="s">
        <v>10772</v>
      </c>
    </row>
    <row r="118" spans="1:14">
      <c r="A118" s="122"/>
      <c r="C118" s="125" t="s">
        <v>7489</v>
      </c>
      <c r="D118" s="33" t="s">
        <v>7487</v>
      </c>
      <c r="E118" s="33" t="s">
        <v>7488</v>
      </c>
      <c r="F118" s="33" t="s">
        <v>7490</v>
      </c>
      <c r="G118" s="33" t="s">
        <v>7491</v>
      </c>
      <c r="H118" s="33" t="s">
        <v>7492</v>
      </c>
      <c r="I118" s="33" t="s">
        <v>7493</v>
      </c>
      <c r="J118" s="33" t="s">
        <v>7494</v>
      </c>
      <c r="K118" s="33" t="s">
        <v>7495</v>
      </c>
      <c r="L118" s="33" t="s">
        <v>11185</v>
      </c>
      <c r="M118" s="32" t="s">
        <v>11367</v>
      </c>
      <c r="N118" s="1" t="s">
        <v>10773</v>
      </c>
    </row>
    <row r="119" spans="1:14">
      <c r="A119" s="122"/>
      <c r="C119" s="125" t="s">
        <v>7498</v>
      </c>
      <c r="D119" s="33" t="s">
        <v>7496</v>
      </c>
      <c r="E119" s="33" t="s">
        <v>7497</v>
      </c>
      <c r="F119" s="33" t="s">
        <v>7499</v>
      </c>
      <c r="G119" s="33" t="s">
        <v>7500</v>
      </c>
      <c r="H119" s="33" t="s">
        <v>7501</v>
      </c>
      <c r="I119" s="33" t="s">
        <v>7502</v>
      </c>
      <c r="J119" s="33" t="s">
        <v>7503</v>
      </c>
      <c r="K119" s="33" t="s">
        <v>7504</v>
      </c>
      <c r="L119" s="33" t="s">
        <v>11186</v>
      </c>
      <c r="M119" s="32" t="s">
        <v>11368</v>
      </c>
      <c r="N119" s="1" t="s">
        <v>10774</v>
      </c>
    </row>
    <row r="120" spans="1:14">
      <c r="A120" s="122"/>
      <c r="C120" s="125" t="s">
        <v>7507</v>
      </c>
      <c r="D120" s="33" t="s">
        <v>7505</v>
      </c>
      <c r="E120" s="35" t="s">
        <v>7506</v>
      </c>
      <c r="F120" s="34" t="s">
        <v>7508</v>
      </c>
      <c r="G120" s="32" t="s">
        <v>7509</v>
      </c>
      <c r="H120" s="32" t="s">
        <v>7510</v>
      </c>
      <c r="I120" s="32" t="s">
        <v>7511</v>
      </c>
      <c r="J120" s="32" t="s">
        <v>7512</v>
      </c>
      <c r="K120" s="32" t="s">
        <v>7513</v>
      </c>
      <c r="L120" s="32" t="s">
        <v>11187</v>
      </c>
      <c r="M120" s="32" t="s">
        <v>11369</v>
      </c>
      <c r="N120" s="1" t="s">
        <v>10775</v>
      </c>
    </row>
    <row r="121" spans="1:14">
      <c r="A121" s="122"/>
      <c r="C121" s="125" t="s">
        <v>7516</v>
      </c>
      <c r="D121" s="33" t="s">
        <v>7514</v>
      </c>
      <c r="E121" s="33" t="s">
        <v>7515</v>
      </c>
      <c r="F121" s="33" t="s">
        <v>7517</v>
      </c>
      <c r="G121" s="33" t="s">
        <v>7518</v>
      </c>
      <c r="H121" s="33" t="s">
        <v>7519</v>
      </c>
      <c r="I121" s="33" t="s">
        <v>7520</v>
      </c>
      <c r="J121" s="33" t="s">
        <v>7521</v>
      </c>
      <c r="K121" s="33" t="s">
        <v>7522</v>
      </c>
      <c r="L121" s="33" t="s">
        <v>11188</v>
      </c>
      <c r="M121" s="32" t="s">
        <v>11370</v>
      </c>
      <c r="N121" s="1" t="s">
        <v>10776</v>
      </c>
    </row>
    <row r="122" spans="1:14">
      <c r="A122" s="122"/>
      <c r="C122" s="125" t="s">
        <v>7525</v>
      </c>
      <c r="D122" s="33" t="s">
        <v>7523</v>
      </c>
      <c r="E122" s="33" t="s">
        <v>7524</v>
      </c>
      <c r="F122" s="33" t="s">
        <v>7526</v>
      </c>
      <c r="G122" s="33" t="s">
        <v>7527</v>
      </c>
      <c r="H122" s="33" t="s">
        <v>7528</v>
      </c>
      <c r="I122" s="33" t="s">
        <v>7529</v>
      </c>
      <c r="J122" s="33" t="s">
        <v>7530</v>
      </c>
      <c r="K122" s="33" t="s">
        <v>7531</v>
      </c>
      <c r="L122" s="33" t="s">
        <v>11189</v>
      </c>
      <c r="M122" s="32" t="s">
        <v>11370</v>
      </c>
      <c r="N122" s="1" t="s">
        <v>10777</v>
      </c>
    </row>
    <row r="123" spans="1:14">
      <c r="A123" s="122"/>
      <c r="C123" s="125" t="s">
        <v>7534</v>
      </c>
      <c r="D123" s="33" t="s">
        <v>7532</v>
      </c>
      <c r="E123" s="33" t="s">
        <v>7533</v>
      </c>
      <c r="F123" s="33" t="s">
        <v>7535</v>
      </c>
      <c r="G123" s="33" t="s">
        <v>7536</v>
      </c>
      <c r="H123" s="33" t="s">
        <v>7537</v>
      </c>
      <c r="I123" s="33" t="s">
        <v>7538</v>
      </c>
      <c r="J123" s="33" t="s">
        <v>7539</v>
      </c>
      <c r="K123" s="33" t="s">
        <v>7540</v>
      </c>
      <c r="L123" s="33" t="s">
        <v>11190</v>
      </c>
      <c r="M123" s="32" t="s">
        <v>11371</v>
      </c>
      <c r="N123" s="1" t="s">
        <v>10778</v>
      </c>
    </row>
    <row r="124" spans="1:14">
      <c r="A124" s="122"/>
      <c r="C124" s="125" t="s">
        <v>7543</v>
      </c>
      <c r="D124" s="33" t="s">
        <v>7541</v>
      </c>
      <c r="E124" s="33" t="s">
        <v>7542</v>
      </c>
      <c r="F124" s="33" t="s">
        <v>7544</v>
      </c>
      <c r="G124" s="33" t="s">
        <v>7545</v>
      </c>
      <c r="H124" s="33" t="s">
        <v>7546</v>
      </c>
      <c r="I124" s="33" t="s">
        <v>7547</v>
      </c>
      <c r="J124" s="33" t="s">
        <v>7548</v>
      </c>
      <c r="K124" s="33" t="s">
        <v>7549</v>
      </c>
      <c r="L124" s="33" t="s">
        <v>11191</v>
      </c>
      <c r="M124" s="32" t="s">
        <v>11372</v>
      </c>
      <c r="N124" s="1" t="s">
        <v>10779</v>
      </c>
    </row>
    <row r="125" spans="1:14">
      <c r="A125" s="122"/>
      <c r="C125" s="125" t="s">
        <v>7552</v>
      </c>
      <c r="D125" s="33" t="s">
        <v>7550</v>
      </c>
      <c r="E125" s="33" t="s">
        <v>7551</v>
      </c>
      <c r="F125" s="33" t="s">
        <v>7553</v>
      </c>
      <c r="G125" s="33" t="s">
        <v>7554</v>
      </c>
      <c r="H125" s="33" t="s">
        <v>7555</v>
      </c>
      <c r="I125" s="33" t="s">
        <v>7547</v>
      </c>
      <c r="J125" s="33" t="s">
        <v>7556</v>
      </c>
      <c r="K125" s="33" t="s">
        <v>7557</v>
      </c>
      <c r="L125" s="33" t="s">
        <v>11191</v>
      </c>
      <c r="M125" s="32" t="s">
        <v>11373</v>
      </c>
      <c r="N125" s="1" t="s">
        <v>10780</v>
      </c>
    </row>
    <row r="126" spans="1:14">
      <c r="A126" s="122"/>
      <c r="C126" s="125" t="s">
        <v>7560</v>
      </c>
      <c r="D126" s="33" t="s">
        <v>7558</v>
      </c>
      <c r="E126" s="33" t="s">
        <v>7559</v>
      </c>
      <c r="F126" s="33" t="s">
        <v>7561</v>
      </c>
      <c r="G126" s="33" t="s">
        <v>7562</v>
      </c>
      <c r="H126" s="33" t="s">
        <v>7563</v>
      </c>
      <c r="I126" s="33" t="s">
        <v>7564</v>
      </c>
      <c r="J126" s="33" t="s">
        <v>7565</v>
      </c>
      <c r="K126" s="33" t="s">
        <v>7566</v>
      </c>
      <c r="L126" s="33" t="s">
        <v>11192</v>
      </c>
      <c r="M126" s="32" t="s">
        <v>11374</v>
      </c>
      <c r="N126" s="1" t="s">
        <v>10781</v>
      </c>
    </row>
    <row r="127" spans="1:14">
      <c r="A127" s="122"/>
      <c r="C127" s="125" t="s">
        <v>7569</v>
      </c>
      <c r="D127" s="33" t="s">
        <v>7567</v>
      </c>
      <c r="E127" s="33" t="s">
        <v>7568</v>
      </c>
      <c r="F127" s="33" t="s">
        <v>7570</v>
      </c>
      <c r="G127" s="33" t="s">
        <v>7571</v>
      </c>
      <c r="H127" s="33" t="s">
        <v>7572</v>
      </c>
      <c r="I127" s="33" t="s">
        <v>7573</v>
      </c>
      <c r="J127" s="33" t="s">
        <v>7574</v>
      </c>
      <c r="K127" s="33" t="s">
        <v>7575</v>
      </c>
      <c r="L127" s="33" t="s">
        <v>11193</v>
      </c>
      <c r="M127" s="32" t="s">
        <v>11374</v>
      </c>
      <c r="N127" s="1" t="s">
        <v>10782</v>
      </c>
    </row>
    <row r="128" spans="1:14">
      <c r="A128" s="122"/>
      <c r="C128" s="125" t="s">
        <v>7578</v>
      </c>
      <c r="D128" s="33" t="s">
        <v>7576</v>
      </c>
      <c r="E128" s="33" t="s">
        <v>7577</v>
      </c>
      <c r="F128" s="33" t="s">
        <v>7579</v>
      </c>
      <c r="G128" s="33" t="s">
        <v>7580</v>
      </c>
      <c r="H128" s="33" t="s">
        <v>7581</v>
      </c>
      <c r="I128" s="33" t="s">
        <v>7183</v>
      </c>
      <c r="J128" s="33" t="s">
        <v>7582</v>
      </c>
      <c r="K128" s="33" t="s">
        <v>7583</v>
      </c>
      <c r="L128" s="33" t="s">
        <v>11194</v>
      </c>
      <c r="M128" s="32" t="s">
        <v>11375</v>
      </c>
      <c r="N128" s="1" t="s">
        <v>10783</v>
      </c>
    </row>
    <row r="129" spans="1:14">
      <c r="A129" s="122"/>
      <c r="C129" s="125" t="s">
        <v>7586</v>
      </c>
      <c r="D129" s="33" t="s">
        <v>7584</v>
      </c>
      <c r="E129" s="33" t="s">
        <v>7585</v>
      </c>
      <c r="F129" s="33" t="s">
        <v>7587</v>
      </c>
      <c r="G129" s="33" t="s">
        <v>7588</v>
      </c>
      <c r="H129" s="33" t="s">
        <v>7589</v>
      </c>
      <c r="I129" s="33" t="s">
        <v>7590</v>
      </c>
      <c r="J129" s="33" t="s">
        <v>7591</v>
      </c>
      <c r="K129" s="33" t="s">
        <v>7592</v>
      </c>
      <c r="L129" s="33" t="s">
        <v>11195</v>
      </c>
      <c r="M129" s="32" t="s">
        <v>11376</v>
      </c>
      <c r="N129" s="1" t="s">
        <v>10784</v>
      </c>
    </row>
    <row r="130" spans="1:14">
      <c r="A130" s="122"/>
      <c r="C130" s="125" t="s">
        <v>7595</v>
      </c>
      <c r="D130" s="33" t="s">
        <v>7593</v>
      </c>
      <c r="E130" s="33" t="s">
        <v>7594</v>
      </c>
      <c r="F130" s="33" t="s">
        <v>7596</v>
      </c>
      <c r="G130" s="33" t="s">
        <v>7597</v>
      </c>
      <c r="H130" s="33" t="s">
        <v>7598</v>
      </c>
      <c r="I130" s="33" t="s">
        <v>7599</v>
      </c>
      <c r="J130" s="33" t="s">
        <v>7600</v>
      </c>
      <c r="K130" s="33" t="s">
        <v>7601</v>
      </c>
      <c r="L130" s="33" t="s">
        <v>11196</v>
      </c>
      <c r="M130" s="32" t="s">
        <v>11377</v>
      </c>
      <c r="N130" s="1" t="s">
        <v>10785</v>
      </c>
    </row>
    <row r="131" spans="1:14">
      <c r="A131" s="122"/>
      <c r="C131" s="125" t="s">
        <v>7604</v>
      </c>
      <c r="D131" s="33" t="s">
        <v>7602</v>
      </c>
      <c r="E131" s="33" t="s">
        <v>7603</v>
      </c>
      <c r="F131" s="33" t="s">
        <v>7605</v>
      </c>
      <c r="G131" s="33" t="s">
        <v>7606</v>
      </c>
      <c r="H131" s="33" t="s">
        <v>7607</v>
      </c>
      <c r="I131" s="33" t="s">
        <v>7608</v>
      </c>
      <c r="J131" s="33" t="s">
        <v>7609</v>
      </c>
      <c r="K131" s="33" t="s">
        <v>7610</v>
      </c>
      <c r="L131" s="33" t="s">
        <v>11197</v>
      </c>
      <c r="M131" s="32" t="s">
        <v>11378</v>
      </c>
      <c r="N131" s="1" t="s">
        <v>10786</v>
      </c>
    </row>
    <row r="132" spans="1:14">
      <c r="A132" s="122"/>
      <c r="C132" s="125" t="s">
        <v>7613</v>
      </c>
      <c r="D132" s="33" t="s">
        <v>7611</v>
      </c>
      <c r="E132" s="35" t="s">
        <v>7612</v>
      </c>
      <c r="F132" s="34" t="s">
        <v>7614</v>
      </c>
      <c r="G132" s="32" t="s">
        <v>7615</v>
      </c>
      <c r="H132" s="32" t="s">
        <v>7616</v>
      </c>
      <c r="I132" s="32" t="s">
        <v>7617</v>
      </c>
      <c r="J132" s="32" t="s">
        <v>7618</v>
      </c>
      <c r="K132" s="32" t="s">
        <v>7619</v>
      </c>
      <c r="L132" s="32" t="s">
        <v>11198</v>
      </c>
      <c r="M132" s="32" t="s">
        <v>11379</v>
      </c>
      <c r="N132" s="1" t="s">
        <v>10787</v>
      </c>
    </row>
    <row r="133" spans="1:14">
      <c r="A133" s="122"/>
      <c r="C133" s="125" t="s">
        <v>7622</v>
      </c>
      <c r="D133" s="33" t="s">
        <v>7620</v>
      </c>
      <c r="E133" s="33" t="s">
        <v>7621</v>
      </c>
      <c r="F133" s="33" t="s">
        <v>7623</v>
      </c>
      <c r="G133" s="33" t="s">
        <v>7624</v>
      </c>
      <c r="H133" s="33" t="s">
        <v>7625</v>
      </c>
      <c r="I133" s="33" t="s">
        <v>7626</v>
      </c>
      <c r="J133" s="33" t="s">
        <v>7627</v>
      </c>
      <c r="K133" s="33" t="s">
        <v>7628</v>
      </c>
      <c r="L133" s="33" t="s">
        <v>11199</v>
      </c>
      <c r="M133" s="32" t="s">
        <v>11380</v>
      </c>
      <c r="N133" s="1" t="s">
        <v>10788</v>
      </c>
    </row>
    <row r="134" spans="1:14">
      <c r="A134" s="122"/>
      <c r="C134" s="125" t="s">
        <v>7631</v>
      </c>
      <c r="D134" s="33" t="s">
        <v>7629</v>
      </c>
      <c r="E134" s="33" t="s">
        <v>7630</v>
      </c>
      <c r="F134" s="33" t="s">
        <v>7632</v>
      </c>
      <c r="G134" s="33" t="s">
        <v>7633</v>
      </c>
      <c r="H134" s="33" t="s">
        <v>7634</v>
      </c>
      <c r="I134" s="33" t="s">
        <v>7635</v>
      </c>
      <c r="J134" s="33" t="s">
        <v>7636</v>
      </c>
      <c r="K134" s="33" t="s">
        <v>7637</v>
      </c>
      <c r="L134" s="33" t="s">
        <v>11200</v>
      </c>
      <c r="M134" s="32" t="s">
        <v>11381</v>
      </c>
      <c r="N134" s="1" t="s">
        <v>10789</v>
      </c>
    </row>
    <row r="135" spans="1:14">
      <c r="A135" s="122"/>
      <c r="C135" s="125" t="s">
        <v>7640</v>
      </c>
      <c r="D135" s="33" t="s">
        <v>7638</v>
      </c>
      <c r="E135" s="33" t="s">
        <v>7639</v>
      </c>
      <c r="F135" s="33" t="s">
        <v>7641</v>
      </c>
      <c r="G135" s="33" t="s">
        <v>7642</v>
      </c>
      <c r="H135" s="33" t="s">
        <v>7643</v>
      </c>
      <c r="I135" s="33" t="s">
        <v>7644</v>
      </c>
      <c r="J135" s="33" t="s">
        <v>7645</v>
      </c>
      <c r="K135" s="33" t="s">
        <v>7646</v>
      </c>
      <c r="L135" s="33" t="s">
        <v>11201</v>
      </c>
      <c r="M135" s="32" t="s">
        <v>11382</v>
      </c>
      <c r="N135" s="1" t="s">
        <v>10790</v>
      </c>
    </row>
    <row r="136" spans="1:14">
      <c r="A136" s="122"/>
      <c r="C136" s="125" t="s">
        <v>7649</v>
      </c>
      <c r="D136" s="33" t="s">
        <v>7647</v>
      </c>
      <c r="E136" s="33" t="s">
        <v>7648</v>
      </c>
      <c r="F136" s="33" t="s">
        <v>7650</v>
      </c>
      <c r="G136" s="33" t="s">
        <v>7651</v>
      </c>
      <c r="H136" s="33" t="s">
        <v>7652</v>
      </c>
      <c r="I136" s="33" t="s">
        <v>7653</v>
      </c>
      <c r="J136" s="33" t="s">
        <v>7654</v>
      </c>
      <c r="K136" s="33" t="s">
        <v>7655</v>
      </c>
      <c r="L136" s="33" t="s">
        <v>11202</v>
      </c>
      <c r="M136" s="32" t="s">
        <v>11383</v>
      </c>
      <c r="N136" s="1" t="s">
        <v>10791</v>
      </c>
    </row>
    <row r="137" spans="1:14">
      <c r="A137" s="122"/>
      <c r="C137" s="125" t="s">
        <v>7658</v>
      </c>
      <c r="D137" s="33" t="s">
        <v>7656</v>
      </c>
      <c r="E137" s="33" t="s">
        <v>7657</v>
      </c>
      <c r="F137" s="33" t="s">
        <v>7659</v>
      </c>
      <c r="G137" s="33" t="s">
        <v>7660</v>
      </c>
      <c r="H137" s="33" t="s">
        <v>7661</v>
      </c>
      <c r="I137" s="33" t="s">
        <v>7662</v>
      </c>
      <c r="J137" s="33" t="s">
        <v>7663</v>
      </c>
      <c r="K137" s="33" t="s">
        <v>7664</v>
      </c>
      <c r="L137" s="33" t="s">
        <v>11203</v>
      </c>
      <c r="M137" s="32" t="s">
        <v>11384</v>
      </c>
      <c r="N137" s="1" t="s">
        <v>10792</v>
      </c>
    </row>
    <row r="138" spans="1:14">
      <c r="A138" s="122"/>
      <c r="C138" s="125" t="s">
        <v>7667</v>
      </c>
      <c r="D138" s="33" t="s">
        <v>7665</v>
      </c>
      <c r="E138" s="33" t="s">
        <v>7666</v>
      </c>
      <c r="F138" s="33" t="s">
        <v>7668</v>
      </c>
      <c r="G138" s="33" t="s">
        <v>7669</v>
      </c>
      <c r="H138" s="33" t="s">
        <v>7670</v>
      </c>
      <c r="I138" s="33" t="s">
        <v>7671</v>
      </c>
      <c r="J138" s="33" t="s">
        <v>7672</v>
      </c>
      <c r="K138" s="33" t="s">
        <v>7673</v>
      </c>
      <c r="L138" s="33" t="s">
        <v>11204</v>
      </c>
      <c r="M138" s="32" t="s">
        <v>11385</v>
      </c>
      <c r="N138" s="1" t="s">
        <v>10793</v>
      </c>
    </row>
    <row r="139" spans="1:14">
      <c r="A139" s="122"/>
      <c r="C139" s="125" t="s">
        <v>7676</v>
      </c>
      <c r="D139" s="33" t="s">
        <v>7674</v>
      </c>
      <c r="E139" s="33" t="s">
        <v>7675</v>
      </c>
      <c r="F139" s="33" t="s">
        <v>7677</v>
      </c>
      <c r="G139" s="33" t="s">
        <v>7678</v>
      </c>
      <c r="H139" s="33" t="s">
        <v>7679</v>
      </c>
      <c r="I139" s="33" t="s">
        <v>7680</v>
      </c>
      <c r="J139" s="33" t="s">
        <v>7681</v>
      </c>
      <c r="K139" s="33" t="s">
        <v>7682</v>
      </c>
      <c r="L139" s="33" t="s">
        <v>11205</v>
      </c>
      <c r="M139" s="32" t="s">
        <v>11386</v>
      </c>
      <c r="N139" s="1" t="s">
        <v>10794</v>
      </c>
    </row>
    <row r="140" spans="1:14">
      <c r="A140" s="122"/>
      <c r="C140" s="125" t="s">
        <v>7685</v>
      </c>
      <c r="D140" s="33" t="s">
        <v>7683</v>
      </c>
      <c r="E140" s="33" t="s">
        <v>7684</v>
      </c>
      <c r="F140" s="33" t="s">
        <v>7686</v>
      </c>
      <c r="G140" s="33" t="s">
        <v>7687</v>
      </c>
      <c r="H140" s="33" t="s">
        <v>7688</v>
      </c>
      <c r="I140" s="33" t="s">
        <v>7689</v>
      </c>
      <c r="J140" s="33" t="s">
        <v>7690</v>
      </c>
      <c r="K140" s="33" t="s">
        <v>7691</v>
      </c>
      <c r="L140" s="33" t="s">
        <v>11206</v>
      </c>
      <c r="M140" s="32" t="s">
        <v>11387</v>
      </c>
      <c r="N140" s="1" t="s">
        <v>10795</v>
      </c>
    </row>
    <row r="141" spans="1:14">
      <c r="A141" s="122"/>
      <c r="C141" s="125" t="s">
        <v>7694</v>
      </c>
      <c r="D141" s="33" t="s">
        <v>7692</v>
      </c>
      <c r="E141" s="33" t="s">
        <v>7693</v>
      </c>
      <c r="F141" s="33" t="s">
        <v>7695</v>
      </c>
      <c r="G141" s="33" t="s">
        <v>7696</v>
      </c>
      <c r="H141" s="33" t="s">
        <v>7697</v>
      </c>
      <c r="I141" s="33" t="s">
        <v>7698</v>
      </c>
      <c r="J141" s="33" t="s">
        <v>7699</v>
      </c>
      <c r="K141" s="33" t="s">
        <v>7700</v>
      </c>
      <c r="L141" s="33" t="s">
        <v>11207</v>
      </c>
      <c r="M141" s="32" t="s">
        <v>11388</v>
      </c>
      <c r="N141" s="1" t="s">
        <v>10796</v>
      </c>
    </row>
    <row r="142" spans="1:14">
      <c r="A142" s="122"/>
      <c r="C142" s="125" t="s">
        <v>7703</v>
      </c>
      <c r="D142" s="33" t="s">
        <v>7701</v>
      </c>
      <c r="E142" s="33" t="s">
        <v>7702</v>
      </c>
      <c r="F142" s="33" t="s">
        <v>7704</v>
      </c>
      <c r="G142" s="33" t="s">
        <v>7705</v>
      </c>
      <c r="H142" s="33" t="s">
        <v>7706</v>
      </c>
      <c r="I142" s="33" t="s">
        <v>7707</v>
      </c>
      <c r="J142" s="33" t="s">
        <v>7708</v>
      </c>
      <c r="K142" s="33" t="s">
        <v>7709</v>
      </c>
      <c r="L142" s="33" t="s">
        <v>11208</v>
      </c>
      <c r="M142" s="32" t="s">
        <v>11389</v>
      </c>
      <c r="N142" s="1" t="s">
        <v>10797</v>
      </c>
    </row>
    <row r="143" spans="1:14">
      <c r="A143" s="122"/>
      <c r="C143" s="125" t="s">
        <v>7712</v>
      </c>
      <c r="D143" s="33" t="s">
        <v>7710</v>
      </c>
      <c r="E143" s="33" t="s">
        <v>7711</v>
      </c>
      <c r="F143" s="33" t="s">
        <v>7713</v>
      </c>
      <c r="G143" s="33" t="s">
        <v>7714</v>
      </c>
      <c r="H143" s="33" t="s">
        <v>7715</v>
      </c>
      <c r="I143" s="33" t="s">
        <v>7716</v>
      </c>
      <c r="J143" s="33" t="s">
        <v>7717</v>
      </c>
      <c r="K143" s="33" t="s">
        <v>7718</v>
      </c>
      <c r="L143" s="33" t="s">
        <v>11209</v>
      </c>
      <c r="M143" s="32" t="s">
        <v>11390</v>
      </c>
      <c r="N143" s="1" t="s">
        <v>10798</v>
      </c>
    </row>
    <row r="144" spans="1:14">
      <c r="A144" s="122"/>
      <c r="C144" s="125" t="s">
        <v>7721</v>
      </c>
      <c r="D144" s="33" t="s">
        <v>7719</v>
      </c>
      <c r="E144" s="33" t="s">
        <v>7720</v>
      </c>
      <c r="F144" s="33" t="s">
        <v>7722</v>
      </c>
      <c r="G144" s="33" t="s">
        <v>7723</v>
      </c>
      <c r="H144" s="33" t="s">
        <v>7724</v>
      </c>
      <c r="I144" s="33" t="s">
        <v>7725</v>
      </c>
      <c r="J144" s="33" t="s">
        <v>7726</v>
      </c>
      <c r="K144" s="33" t="s">
        <v>7727</v>
      </c>
      <c r="L144" s="33" t="s">
        <v>9632</v>
      </c>
      <c r="M144" s="32" t="s">
        <v>10913</v>
      </c>
      <c r="N144" s="1" t="s">
        <v>10799</v>
      </c>
    </row>
    <row r="145" spans="1:14">
      <c r="A145" s="122"/>
      <c r="C145" s="125" t="s">
        <v>7730</v>
      </c>
      <c r="D145" s="33" t="s">
        <v>7728</v>
      </c>
      <c r="E145" s="33" t="s">
        <v>7729</v>
      </c>
      <c r="F145" s="33" t="s">
        <v>7731</v>
      </c>
      <c r="G145" s="33" t="s">
        <v>7732</v>
      </c>
      <c r="H145" s="33" t="s">
        <v>7733</v>
      </c>
      <c r="I145" s="33" t="s">
        <v>7734</v>
      </c>
      <c r="J145" s="33" t="s">
        <v>7735</v>
      </c>
      <c r="K145" s="33" t="s">
        <v>7736</v>
      </c>
      <c r="L145" s="33" t="s">
        <v>11210</v>
      </c>
      <c r="M145" s="32" t="s">
        <v>11391</v>
      </c>
      <c r="N145" s="1" t="s">
        <v>10800</v>
      </c>
    </row>
    <row r="146" spans="1:14">
      <c r="A146" s="122"/>
      <c r="C146" s="125" t="s">
        <v>7739</v>
      </c>
      <c r="D146" s="33" t="s">
        <v>7737</v>
      </c>
      <c r="E146" s="35" t="s">
        <v>7738</v>
      </c>
      <c r="F146" s="34" t="s">
        <v>7740</v>
      </c>
      <c r="G146" s="32" t="s">
        <v>7741</v>
      </c>
      <c r="H146" s="32" t="s">
        <v>7742</v>
      </c>
      <c r="I146" s="32" t="s">
        <v>7743</v>
      </c>
      <c r="J146" s="32" t="s">
        <v>7744</v>
      </c>
      <c r="K146" s="32" t="s">
        <v>7745</v>
      </c>
      <c r="L146" s="32" t="s">
        <v>11211</v>
      </c>
      <c r="M146" s="32" t="s">
        <v>11392</v>
      </c>
      <c r="N146" s="1" t="s">
        <v>10801</v>
      </c>
    </row>
    <row r="147" spans="1:14">
      <c r="A147" s="122"/>
      <c r="C147" s="125" t="s">
        <v>7748</v>
      </c>
      <c r="D147" s="33" t="s">
        <v>7746</v>
      </c>
      <c r="E147" s="33" t="s">
        <v>7747</v>
      </c>
      <c r="F147" s="33" t="s">
        <v>7749</v>
      </c>
      <c r="G147" s="33" t="s">
        <v>7750</v>
      </c>
      <c r="H147" s="33" t="s">
        <v>7751</v>
      </c>
      <c r="I147" s="33" t="s">
        <v>7752</v>
      </c>
      <c r="J147" s="33" t="s">
        <v>7753</v>
      </c>
      <c r="K147" s="33" t="s">
        <v>7754</v>
      </c>
      <c r="L147" s="33" t="s">
        <v>11212</v>
      </c>
      <c r="M147" s="32" t="s">
        <v>11393</v>
      </c>
      <c r="N147" s="1" t="s">
        <v>10802</v>
      </c>
    </row>
    <row r="148" spans="1:14">
      <c r="A148" s="122"/>
      <c r="C148" s="125" t="s">
        <v>7757</v>
      </c>
      <c r="D148" s="33" t="s">
        <v>7755</v>
      </c>
      <c r="E148" s="33" t="s">
        <v>7756</v>
      </c>
      <c r="F148" s="33" t="s">
        <v>7758</v>
      </c>
      <c r="G148" s="33" t="s">
        <v>7759</v>
      </c>
      <c r="H148" s="33" t="s">
        <v>7760</v>
      </c>
      <c r="I148" s="33" t="s">
        <v>7761</v>
      </c>
      <c r="J148" s="33" t="s">
        <v>7762</v>
      </c>
      <c r="K148" s="33" t="s">
        <v>7763</v>
      </c>
      <c r="L148" s="33" t="s">
        <v>11213</v>
      </c>
      <c r="M148" s="32" t="s">
        <v>11394</v>
      </c>
      <c r="N148" s="1" t="s">
        <v>10803</v>
      </c>
    </row>
    <row r="149" spans="1:14">
      <c r="A149" s="122"/>
      <c r="C149" s="125" t="s">
        <v>7766</v>
      </c>
      <c r="D149" s="33" t="s">
        <v>7764</v>
      </c>
      <c r="E149" s="33" t="s">
        <v>7765</v>
      </c>
      <c r="F149" s="33" t="s">
        <v>7767</v>
      </c>
      <c r="G149" s="33" t="s">
        <v>7768</v>
      </c>
      <c r="H149" s="33" t="s">
        <v>7769</v>
      </c>
      <c r="I149" s="33" t="s">
        <v>7770</v>
      </c>
      <c r="J149" s="33" t="s">
        <v>7771</v>
      </c>
      <c r="K149" s="33" t="s">
        <v>7772</v>
      </c>
      <c r="L149" s="33" t="s">
        <v>11214</v>
      </c>
      <c r="M149" s="32" t="s">
        <v>11395</v>
      </c>
      <c r="N149" s="1" t="s">
        <v>10804</v>
      </c>
    </row>
    <row r="150" spans="1:14">
      <c r="A150" s="122"/>
      <c r="C150" s="125" t="s">
        <v>7775</v>
      </c>
      <c r="D150" s="33" t="s">
        <v>7773</v>
      </c>
      <c r="E150" s="33" t="s">
        <v>7774</v>
      </c>
      <c r="F150" s="33" t="s">
        <v>7776</v>
      </c>
      <c r="G150" s="33" t="s">
        <v>7777</v>
      </c>
      <c r="H150" s="33" t="s">
        <v>7778</v>
      </c>
      <c r="I150" s="33" t="s">
        <v>7779</v>
      </c>
      <c r="J150" s="33" t="s">
        <v>7780</v>
      </c>
      <c r="K150" s="33" t="s">
        <v>7781</v>
      </c>
      <c r="L150" s="33" t="s">
        <v>11215</v>
      </c>
      <c r="M150" s="32" t="s">
        <v>11396</v>
      </c>
      <c r="N150" s="1" t="s">
        <v>10805</v>
      </c>
    </row>
    <row r="151" spans="1:14">
      <c r="A151" s="122"/>
      <c r="C151" s="125" t="s">
        <v>7784</v>
      </c>
      <c r="D151" s="33" t="s">
        <v>7782</v>
      </c>
      <c r="E151" s="33" t="s">
        <v>7783</v>
      </c>
      <c r="F151" s="33" t="s">
        <v>7785</v>
      </c>
      <c r="G151" s="33" t="s">
        <v>7786</v>
      </c>
      <c r="H151" s="33" t="s">
        <v>7787</v>
      </c>
      <c r="I151" s="33" t="s">
        <v>7788</v>
      </c>
      <c r="J151" s="33" t="s">
        <v>7789</v>
      </c>
      <c r="K151" s="33" t="s">
        <v>7790</v>
      </c>
      <c r="L151" s="33" t="s">
        <v>11216</v>
      </c>
      <c r="M151" s="32" t="s">
        <v>11397</v>
      </c>
      <c r="N151" s="1" t="s">
        <v>10806</v>
      </c>
    </row>
    <row r="152" spans="1:14">
      <c r="A152" s="122"/>
      <c r="C152" s="125" t="s">
        <v>7793</v>
      </c>
      <c r="D152" s="33" t="s">
        <v>7791</v>
      </c>
      <c r="E152" s="33" t="s">
        <v>7792</v>
      </c>
      <c r="F152" s="33" t="s">
        <v>7794</v>
      </c>
      <c r="G152" s="33" t="s">
        <v>7795</v>
      </c>
      <c r="H152" s="33" t="s">
        <v>7796</v>
      </c>
      <c r="I152" s="33" t="s">
        <v>7797</v>
      </c>
      <c r="J152" s="33" t="s">
        <v>7798</v>
      </c>
      <c r="K152" s="33" t="s">
        <v>7799</v>
      </c>
      <c r="L152" s="33" t="s">
        <v>11217</v>
      </c>
      <c r="M152" s="32" t="s">
        <v>11398</v>
      </c>
      <c r="N152" s="1" t="s">
        <v>10807</v>
      </c>
    </row>
    <row r="153" spans="1:14">
      <c r="A153" s="122"/>
      <c r="C153" s="125" t="s">
        <v>7802</v>
      </c>
      <c r="D153" s="33" t="s">
        <v>7800</v>
      </c>
      <c r="E153" s="33" t="s">
        <v>7801</v>
      </c>
      <c r="F153" s="33" t="s">
        <v>7803</v>
      </c>
      <c r="G153" s="33" t="s">
        <v>7804</v>
      </c>
      <c r="H153" s="33" t="s">
        <v>7805</v>
      </c>
      <c r="I153" s="33" t="s">
        <v>7806</v>
      </c>
      <c r="J153" s="33" t="s">
        <v>7807</v>
      </c>
      <c r="K153" s="33" t="s">
        <v>7808</v>
      </c>
      <c r="L153" s="33" t="s">
        <v>11218</v>
      </c>
      <c r="M153" s="32" t="s">
        <v>11399</v>
      </c>
      <c r="N153" s="1" t="s">
        <v>10808</v>
      </c>
    </row>
    <row r="154" spans="1:14">
      <c r="A154" s="122"/>
      <c r="C154" s="125" t="s">
        <v>7811</v>
      </c>
      <c r="D154" s="33" t="s">
        <v>7809</v>
      </c>
      <c r="E154" s="33" t="s">
        <v>7810</v>
      </c>
      <c r="F154" s="33" t="s">
        <v>7812</v>
      </c>
      <c r="G154" s="33" t="s">
        <v>7813</v>
      </c>
      <c r="H154" s="33" t="s">
        <v>7814</v>
      </c>
      <c r="I154" s="33" t="s">
        <v>7815</v>
      </c>
      <c r="J154" s="33" t="s">
        <v>7816</v>
      </c>
      <c r="K154" s="33" t="s">
        <v>7817</v>
      </c>
      <c r="L154" s="33" t="s">
        <v>11219</v>
      </c>
      <c r="M154" s="32" t="s">
        <v>11400</v>
      </c>
      <c r="N154" s="1" t="s">
        <v>10809</v>
      </c>
    </row>
    <row r="155" spans="1:14">
      <c r="A155" s="122"/>
      <c r="C155" s="125" t="s">
        <v>7820</v>
      </c>
      <c r="D155" s="33" t="s">
        <v>7818</v>
      </c>
      <c r="E155" s="35" t="s">
        <v>7819</v>
      </c>
      <c r="F155" s="34" t="s">
        <v>7821</v>
      </c>
      <c r="G155" s="32" t="s">
        <v>7822</v>
      </c>
      <c r="H155" s="32" t="s">
        <v>7823</v>
      </c>
      <c r="I155" s="32" t="s">
        <v>7824</v>
      </c>
      <c r="J155" s="32" t="s">
        <v>7825</v>
      </c>
      <c r="K155" s="32" t="s">
        <v>7826</v>
      </c>
      <c r="L155" s="32"/>
      <c r="M155" s="32" t="s">
        <v>11401</v>
      </c>
      <c r="N155" s="1" t="s">
        <v>10810</v>
      </c>
    </row>
    <row r="156" spans="1:14">
      <c r="A156" s="122"/>
      <c r="C156" s="125" t="s">
        <v>7829</v>
      </c>
      <c r="D156" s="33" t="s">
        <v>7827</v>
      </c>
      <c r="E156" s="33" t="s">
        <v>7828</v>
      </c>
      <c r="F156" s="33" t="s">
        <v>7830</v>
      </c>
      <c r="G156" s="33" t="s">
        <v>7831</v>
      </c>
      <c r="H156" s="33" t="s">
        <v>7832</v>
      </c>
      <c r="I156" s="33" t="s">
        <v>7833</v>
      </c>
      <c r="J156" s="33" t="s">
        <v>7834</v>
      </c>
      <c r="K156" s="33" t="s">
        <v>7835</v>
      </c>
      <c r="L156" s="33" t="s">
        <v>11220</v>
      </c>
      <c r="M156" s="32" t="s">
        <v>11402</v>
      </c>
      <c r="N156" s="1" t="s">
        <v>10811</v>
      </c>
    </row>
    <row r="157" spans="1:14">
      <c r="A157" s="122"/>
      <c r="C157" s="125" t="s">
        <v>7838</v>
      </c>
      <c r="D157" s="33" t="s">
        <v>7836</v>
      </c>
      <c r="E157" s="33" t="s">
        <v>7837</v>
      </c>
      <c r="F157" s="33" t="s">
        <v>7839</v>
      </c>
      <c r="G157" s="33" t="s">
        <v>7840</v>
      </c>
      <c r="H157" s="33" t="s">
        <v>7841</v>
      </c>
      <c r="I157" s="33" t="s">
        <v>7842</v>
      </c>
      <c r="J157" s="33" t="s">
        <v>7843</v>
      </c>
      <c r="K157" s="33" t="s">
        <v>7844</v>
      </c>
      <c r="L157" s="33" t="s">
        <v>11221</v>
      </c>
      <c r="M157" s="32" t="s">
        <v>11403</v>
      </c>
      <c r="N157" s="1" t="s">
        <v>10812</v>
      </c>
    </row>
    <row r="158" spans="1:14">
      <c r="A158" s="122"/>
      <c r="C158" s="125" t="s">
        <v>7847</v>
      </c>
      <c r="D158" s="33" t="s">
        <v>7845</v>
      </c>
      <c r="E158" s="33" t="s">
        <v>7846</v>
      </c>
      <c r="F158" s="33" t="s">
        <v>7848</v>
      </c>
      <c r="G158" s="33" t="s">
        <v>7849</v>
      </c>
      <c r="H158" s="33" t="s">
        <v>7850</v>
      </c>
      <c r="I158" s="33" t="s">
        <v>7851</v>
      </c>
      <c r="J158" s="33" t="s">
        <v>7852</v>
      </c>
      <c r="K158" s="33" t="s">
        <v>7853</v>
      </c>
      <c r="L158" s="33" t="s">
        <v>11222</v>
      </c>
      <c r="M158" s="32" t="s">
        <v>11404</v>
      </c>
      <c r="N158" s="1" t="s">
        <v>10813</v>
      </c>
    </row>
    <row r="159" spans="1:14">
      <c r="A159" s="122"/>
      <c r="C159" s="125" t="s">
        <v>7856</v>
      </c>
      <c r="D159" s="33" t="s">
        <v>7854</v>
      </c>
      <c r="E159" s="35" t="s">
        <v>7855</v>
      </c>
      <c r="F159" s="34" t="s">
        <v>7857</v>
      </c>
      <c r="G159" s="32" t="s">
        <v>7858</v>
      </c>
      <c r="H159" s="32" t="s">
        <v>7859</v>
      </c>
      <c r="I159" s="32" t="s">
        <v>7860</v>
      </c>
      <c r="J159" s="32" t="s">
        <v>7861</v>
      </c>
      <c r="K159" s="32" t="s">
        <v>7862</v>
      </c>
      <c r="L159" s="32" t="s">
        <v>11223</v>
      </c>
      <c r="M159" s="32" t="s">
        <v>11405</v>
      </c>
      <c r="N159" s="1" t="s">
        <v>10814</v>
      </c>
    </row>
    <row r="160" spans="1:14">
      <c r="A160" s="122"/>
      <c r="C160" s="125" t="s">
        <v>7865</v>
      </c>
      <c r="D160" s="33" t="s">
        <v>7863</v>
      </c>
      <c r="E160" s="33" t="s">
        <v>7864</v>
      </c>
      <c r="F160" s="33" t="s">
        <v>7866</v>
      </c>
      <c r="G160" s="33" t="s">
        <v>7867</v>
      </c>
      <c r="H160" s="33" t="s">
        <v>7868</v>
      </c>
      <c r="I160" s="33" t="s">
        <v>7869</v>
      </c>
      <c r="J160" s="33" t="s">
        <v>7870</v>
      </c>
      <c r="K160" s="33" t="s">
        <v>7871</v>
      </c>
      <c r="L160" s="33" t="s">
        <v>11224</v>
      </c>
      <c r="M160" s="32" t="s">
        <v>11406</v>
      </c>
      <c r="N160" s="1" t="s">
        <v>10815</v>
      </c>
    </row>
    <row r="161" spans="1:14">
      <c r="A161" s="122"/>
      <c r="C161" s="125" t="s">
        <v>7874</v>
      </c>
      <c r="D161" s="33" t="s">
        <v>7872</v>
      </c>
      <c r="E161" s="33" t="s">
        <v>7873</v>
      </c>
      <c r="F161" s="33" t="s">
        <v>7875</v>
      </c>
      <c r="G161" s="33" t="s">
        <v>7876</v>
      </c>
      <c r="H161" s="33" t="s">
        <v>7877</v>
      </c>
      <c r="I161" s="33" t="s">
        <v>7878</v>
      </c>
      <c r="J161" s="33" t="s">
        <v>7879</v>
      </c>
      <c r="K161" s="33" t="s">
        <v>7880</v>
      </c>
      <c r="L161" s="33" t="s">
        <v>11225</v>
      </c>
      <c r="M161" s="32" t="s">
        <v>11407</v>
      </c>
      <c r="N161" s="1" t="s">
        <v>10816</v>
      </c>
    </row>
    <row r="162" spans="1:14">
      <c r="A162" s="122"/>
      <c r="C162" s="125" t="s">
        <v>7883</v>
      </c>
      <c r="D162" s="33" t="s">
        <v>7881</v>
      </c>
      <c r="E162" s="33" t="s">
        <v>7882</v>
      </c>
      <c r="F162" s="33" t="s">
        <v>7884</v>
      </c>
      <c r="G162" s="33" t="s">
        <v>7885</v>
      </c>
      <c r="H162" s="33" t="s">
        <v>7886</v>
      </c>
      <c r="I162" s="33" t="s">
        <v>7887</v>
      </c>
      <c r="J162" s="33" t="s">
        <v>7888</v>
      </c>
      <c r="K162" s="33" t="s">
        <v>7889</v>
      </c>
      <c r="L162" s="33" t="s">
        <v>9633</v>
      </c>
      <c r="M162" s="32" t="s">
        <v>11408</v>
      </c>
      <c r="N162" s="1" t="s">
        <v>10817</v>
      </c>
    </row>
    <row r="163" spans="1:14">
      <c r="A163" s="122"/>
      <c r="C163" s="125" t="s">
        <v>7892</v>
      </c>
      <c r="D163" s="33" t="s">
        <v>7890</v>
      </c>
      <c r="E163" s="33" t="s">
        <v>7891</v>
      </c>
      <c r="F163" s="33" t="s">
        <v>7893</v>
      </c>
      <c r="G163" s="33" t="s">
        <v>7894</v>
      </c>
      <c r="H163" s="33" t="s">
        <v>7895</v>
      </c>
      <c r="I163" s="33" t="s">
        <v>7896</v>
      </c>
      <c r="J163" s="33" t="s">
        <v>7897</v>
      </c>
      <c r="K163" s="33" t="s">
        <v>7898</v>
      </c>
      <c r="L163" s="33" t="s">
        <v>11226</v>
      </c>
      <c r="M163" s="32" t="s">
        <v>11409</v>
      </c>
      <c r="N163" s="1" t="s">
        <v>10818</v>
      </c>
    </row>
    <row r="164" spans="1:14">
      <c r="A164" s="122"/>
      <c r="C164" s="125" t="s">
        <v>7901</v>
      </c>
      <c r="D164" s="33" t="s">
        <v>7899</v>
      </c>
      <c r="E164" s="33" t="s">
        <v>7900</v>
      </c>
      <c r="F164" s="33" t="s">
        <v>7902</v>
      </c>
      <c r="G164" s="33" t="s">
        <v>7903</v>
      </c>
      <c r="H164" s="33" t="s">
        <v>7904</v>
      </c>
      <c r="I164" s="33" t="s">
        <v>7905</v>
      </c>
      <c r="J164" s="33" t="s">
        <v>7906</v>
      </c>
      <c r="K164" s="33" t="s">
        <v>7907</v>
      </c>
      <c r="L164" s="33" t="s">
        <v>11227</v>
      </c>
      <c r="M164" s="32" t="s">
        <v>11410</v>
      </c>
      <c r="N164" s="1" t="s">
        <v>10819</v>
      </c>
    </row>
    <row r="165" spans="1:14">
      <c r="A165" s="122"/>
      <c r="C165" s="125" t="s">
        <v>7910</v>
      </c>
      <c r="D165" s="33" t="s">
        <v>7908</v>
      </c>
      <c r="E165" s="33" t="s">
        <v>7909</v>
      </c>
      <c r="F165" s="33" t="s">
        <v>7911</v>
      </c>
      <c r="G165" s="33" t="s">
        <v>7912</v>
      </c>
      <c r="H165" s="33" t="s">
        <v>7913</v>
      </c>
      <c r="I165" s="33" t="s">
        <v>7914</v>
      </c>
      <c r="J165" s="33" t="s">
        <v>7915</v>
      </c>
      <c r="K165" s="33" t="s">
        <v>7916</v>
      </c>
      <c r="L165" s="33" t="s">
        <v>11228</v>
      </c>
      <c r="M165" s="32" t="s">
        <v>11411</v>
      </c>
      <c r="N165" s="1" t="s">
        <v>10820</v>
      </c>
    </row>
    <row r="166" spans="1:14">
      <c r="A166" s="122"/>
      <c r="C166" s="125" t="s">
        <v>7919</v>
      </c>
      <c r="D166" s="33" t="s">
        <v>7917</v>
      </c>
      <c r="E166" s="33" t="s">
        <v>7918</v>
      </c>
      <c r="F166" s="33" t="s">
        <v>7920</v>
      </c>
      <c r="G166" s="33" t="s">
        <v>7921</v>
      </c>
      <c r="H166" s="33" t="s">
        <v>7922</v>
      </c>
      <c r="I166" s="33" t="s">
        <v>7923</v>
      </c>
      <c r="J166" s="33" t="s">
        <v>7924</v>
      </c>
      <c r="K166" s="33" t="s">
        <v>7925</v>
      </c>
      <c r="L166" s="33" t="s">
        <v>11229</v>
      </c>
      <c r="M166" s="32" t="s">
        <v>11412</v>
      </c>
      <c r="N166" s="1" t="s">
        <v>10821</v>
      </c>
    </row>
    <row r="167" spans="1:14">
      <c r="A167" s="122"/>
      <c r="C167" s="125" t="s">
        <v>7928</v>
      </c>
      <c r="D167" s="33" t="s">
        <v>7926</v>
      </c>
      <c r="E167" s="33" t="s">
        <v>7927</v>
      </c>
      <c r="F167" s="33" t="s">
        <v>7929</v>
      </c>
      <c r="G167" s="33" t="s">
        <v>7930</v>
      </c>
      <c r="H167" s="33" t="s">
        <v>7931</v>
      </c>
      <c r="I167" s="33" t="s">
        <v>7932</v>
      </c>
      <c r="J167" s="33" t="s">
        <v>7933</v>
      </c>
      <c r="K167" s="33" t="s">
        <v>7934</v>
      </c>
      <c r="L167" s="33" t="s">
        <v>11230</v>
      </c>
      <c r="M167" s="32" t="s">
        <v>11413</v>
      </c>
      <c r="N167" s="1" t="s">
        <v>10822</v>
      </c>
    </row>
    <row r="168" spans="1:14">
      <c r="A168" s="122"/>
      <c r="C168" s="125" t="s">
        <v>7937</v>
      </c>
      <c r="D168" s="33" t="s">
        <v>7935</v>
      </c>
      <c r="E168" s="33" t="s">
        <v>7936</v>
      </c>
      <c r="F168" s="33" t="s">
        <v>7938</v>
      </c>
      <c r="G168" s="33" t="s">
        <v>7939</v>
      </c>
      <c r="H168" s="33" t="s">
        <v>7940</v>
      </c>
      <c r="I168" s="33" t="s">
        <v>7941</v>
      </c>
      <c r="J168" s="33" t="s">
        <v>7942</v>
      </c>
      <c r="K168" s="33" t="s">
        <v>7943</v>
      </c>
      <c r="L168" s="33" t="s">
        <v>11231</v>
      </c>
      <c r="M168" s="32" t="s">
        <v>11414</v>
      </c>
      <c r="N168" s="1" t="s">
        <v>10823</v>
      </c>
    </row>
    <row r="169" spans="1:14">
      <c r="A169" s="122"/>
      <c r="C169" s="125" t="s">
        <v>7946</v>
      </c>
      <c r="D169" s="33" t="s">
        <v>7944</v>
      </c>
      <c r="E169" s="33" t="s">
        <v>7945</v>
      </c>
      <c r="F169" s="33" t="s">
        <v>7947</v>
      </c>
      <c r="G169" s="33" t="s">
        <v>7948</v>
      </c>
      <c r="H169" s="33" t="s">
        <v>7949</v>
      </c>
      <c r="I169" s="33" t="s">
        <v>7725</v>
      </c>
      <c r="J169" s="33" t="s">
        <v>7950</v>
      </c>
      <c r="K169" s="33" t="s">
        <v>7951</v>
      </c>
      <c r="L169" s="33" t="s">
        <v>9634</v>
      </c>
      <c r="M169" s="32" t="s">
        <v>10914</v>
      </c>
      <c r="N169" s="1" t="s">
        <v>10824</v>
      </c>
    </row>
    <row r="170" spans="1:14">
      <c r="A170" s="122"/>
      <c r="C170" s="125" t="s">
        <v>7954</v>
      </c>
      <c r="D170" s="33" t="s">
        <v>7952</v>
      </c>
      <c r="E170" s="33" t="s">
        <v>7953</v>
      </c>
      <c r="F170" s="33" t="s">
        <v>7955</v>
      </c>
      <c r="G170" s="33" t="s">
        <v>7956</v>
      </c>
      <c r="H170" s="33" t="s">
        <v>7957</v>
      </c>
      <c r="I170" s="33" t="s">
        <v>7958</v>
      </c>
      <c r="J170" s="33" t="s">
        <v>7959</v>
      </c>
      <c r="K170" s="33" t="s">
        <v>7960</v>
      </c>
      <c r="L170" s="33" t="s">
        <v>11232</v>
      </c>
      <c r="M170" s="32" t="s">
        <v>11415</v>
      </c>
      <c r="N170" s="1" t="s">
        <v>10825</v>
      </c>
    </row>
    <row r="171" spans="1:14">
      <c r="A171" s="122"/>
      <c r="C171" s="125" t="s">
        <v>7963</v>
      </c>
      <c r="D171" s="33" t="s">
        <v>7961</v>
      </c>
      <c r="E171" s="33" t="s">
        <v>7962</v>
      </c>
      <c r="F171" s="33" t="s">
        <v>7964</v>
      </c>
      <c r="G171" s="33" t="s">
        <v>7965</v>
      </c>
      <c r="H171" s="33" t="s">
        <v>7966</v>
      </c>
      <c r="I171" s="33" t="s">
        <v>7967</v>
      </c>
      <c r="J171" s="33" t="s">
        <v>7968</v>
      </c>
      <c r="K171" s="33" t="s">
        <v>7969</v>
      </c>
      <c r="L171" s="33" t="s">
        <v>11233</v>
      </c>
      <c r="M171" s="32" t="s">
        <v>11416</v>
      </c>
      <c r="N171" s="1" t="s">
        <v>10826</v>
      </c>
    </row>
    <row r="172" spans="1:14">
      <c r="A172" s="122"/>
      <c r="C172" s="125" t="s">
        <v>7972</v>
      </c>
      <c r="D172" s="33" t="s">
        <v>7970</v>
      </c>
      <c r="E172" s="33" t="s">
        <v>7971</v>
      </c>
      <c r="F172" s="33" t="s">
        <v>7973</v>
      </c>
      <c r="G172" s="33" t="s">
        <v>7974</v>
      </c>
      <c r="H172" s="33" t="s">
        <v>7975</v>
      </c>
      <c r="I172" s="33" t="s">
        <v>7976</v>
      </c>
      <c r="J172" s="33" t="s">
        <v>7977</v>
      </c>
      <c r="K172" s="33" t="s">
        <v>7978</v>
      </c>
      <c r="L172" s="33" t="s">
        <v>11234</v>
      </c>
      <c r="M172" s="32" t="s">
        <v>11417</v>
      </c>
      <c r="N172" s="1" t="s">
        <v>10827</v>
      </c>
    </row>
    <row r="173" spans="1:14">
      <c r="A173" s="122"/>
      <c r="C173" s="125" t="s">
        <v>7981</v>
      </c>
      <c r="D173" s="33" t="s">
        <v>7979</v>
      </c>
      <c r="E173" s="33" t="s">
        <v>7980</v>
      </c>
      <c r="F173" s="33" t="s">
        <v>7982</v>
      </c>
      <c r="G173" s="33" t="s">
        <v>7983</v>
      </c>
      <c r="H173" s="33" t="s">
        <v>7984</v>
      </c>
      <c r="I173" s="33" t="s">
        <v>7985</v>
      </c>
      <c r="J173" s="33" t="s">
        <v>7986</v>
      </c>
      <c r="K173" s="33" t="s">
        <v>7987</v>
      </c>
      <c r="L173" s="33" t="s">
        <v>11235</v>
      </c>
      <c r="M173" s="32" t="s">
        <v>11418</v>
      </c>
      <c r="N173" s="1" t="s">
        <v>10828</v>
      </c>
    </row>
    <row r="174" spans="1:14">
      <c r="A174" s="122"/>
      <c r="C174" s="125" t="s">
        <v>7990</v>
      </c>
      <c r="D174" s="33" t="s">
        <v>7988</v>
      </c>
      <c r="E174" s="33" t="s">
        <v>7989</v>
      </c>
      <c r="F174" s="33" t="s">
        <v>7991</v>
      </c>
      <c r="G174" s="33" t="s">
        <v>7992</v>
      </c>
      <c r="H174" s="33" t="s">
        <v>7993</v>
      </c>
      <c r="I174" s="33" t="s">
        <v>7994</v>
      </c>
      <c r="J174" s="33" t="s">
        <v>7995</v>
      </c>
      <c r="K174" s="33" t="s">
        <v>7996</v>
      </c>
      <c r="L174" s="33" t="s">
        <v>11236</v>
      </c>
      <c r="M174" s="32" t="s">
        <v>11419</v>
      </c>
      <c r="N174" s="1" t="s">
        <v>10829</v>
      </c>
    </row>
    <row r="175" spans="1:14">
      <c r="A175" s="122"/>
      <c r="C175" s="125" t="s">
        <v>7999</v>
      </c>
      <c r="D175" s="33" t="s">
        <v>7997</v>
      </c>
      <c r="E175" s="33" t="s">
        <v>7998</v>
      </c>
      <c r="F175" s="33" t="s">
        <v>8000</v>
      </c>
      <c r="G175" s="33" t="s">
        <v>8001</v>
      </c>
      <c r="H175" s="33" t="s">
        <v>8002</v>
      </c>
      <c r="I175" s="33" t="s">
        <v>8003</v>
      </c>
      <c r="J175" s="33" t="s">
        <v>8004</v>
      </c>
      <c r="K175" s="33" t="s">
        <v>8005</v>
      </c>
      <c r="L175" s="33" t="s">
        <v>11237</v>
      </c>
      <c r="M175" s="32" t="s">
        <v>11420</v>
      </c>
      <c r="N175" s="1" t="s">
        <v>10830</v>
      </c>
    </row>
    <row r="176" spans="1:14">
      <c r="A176" s="122"/>
      <c r="C176" s="125" t="s">
        <v>8008</v>
      </c>
      <c r="D176" s="33" t="s">
        <v>8006</v>
      </c>
      <c r="E176" s="35" t="s">
        <v>8007</v>
      </c>
      <c r="F176" s="34" t="s">
        <v>8009</v>
      </c>
      <c r="G176" s="32" t="s">
        <v>8010</v>
      </c>
      <c r="H176" s="32" t="s">
        <v>8011</v>
      </c>
      <c r="I176" s="32" t="s">
        <v>8012</v>
      </c>
      <c r="J176" s="32" t="s">
        <v>8013</v>
      </c>
      <c r="K176" s="32" t="s">
        <v>8014</v>
      </c>
      <c r="L176" s="32" t="s">
        <v>11238</v>
      </c>
      <c r="M176" s="32" t="s">
        <v>11421</v>
      </c>
      <c r="N176" s="1" t="s">
        <v>10831</v>
      </c>
    </row>
    <row r="177" spans="1:14">
      <c r="A177" s="122"/>
      <c r="C177" s="125" t="s">
        <v>8017</v>
      </c>
      <c r="D177" s="33" t="s">
        <v>8015</v>
      </c>
      <c r="E177" s="33" t="s">
        <v>8016</v>
      </c>
      <c r="F177" s="33" t="s">
        <v>8018</v>
      </c>
      <c r="G177" s="33" t="s">
        <v>8019</v>
      </c>
      <c r="H177" s="33" t="s">
        <v>8020</v>
      </c>
      <c r="I177" s="33" t="s">
        <v>8021</v>
      </c>
      <c r="J177" s="33" t="s">
        <v>8022</v>
      </c>
      <c r="K177" s="33" t="s">
        <v>8023</v>
      </c>
      <c r="L177" s="33" t="s">
        <v>11239</v>
      </c>
      <c r="M177" s="32" t="s">
        <v>11422</v>
      </c>
      <c r="N177" s="1" t="s">
        <v>10832</v>
      </c>
    </row>
    <row r="178" spans="1:14">
      <c r="A178" s="122"/>
      <c r="C178" s="125" t="s">
        <v>8026</v>
      </c>
      <c r="D178" s="33" t="s">
        <v>8024</v>
      </c>
      <c r="E178" s="33" t="s">
        <v>8025</v>
      </c>
      <c r="F178" s="33" t="s">
        <v>8027</v>
      </c>
      <c r="G178" s="33" t="s">
        <v>8028</v>
      </c>
      <c r="H178" s="33" t="s">
        <v>8029</v>
      </c>
      <c r="I178" s="33" t="s">
        <v>8030</v>
      </c>
      <c r="J178" s="33" t="s">
        <v>8031</v>
      </c>
      <c r="K178" s="33" t="s">
        <v>8032</v>
      </c>
      <c r="L178" s="33" t="s">
        <v>11240</v>
      </c>
      <c r="M178" s="32" t="s">
        <v>11423</v>
      </c>
      <c r="N178" s="1" t="s">
        <v>10833</v>
      </c>
    </row>
    <row r="179" spans="1:14">
      <c r="A179" s="122"/>
      <c r="C179" s="125" t="s">
        <v>8035</v>
      </c>
      <c r="D179" s="33" t="s">
        <v>8033</v>
      </c>
      <c r="E179" s="33" t="s">
        <v>8034</v>
      </c>
      <c r="F179" s="33" t="s">
        <v>8036</v>
      </c>
      <c r="G179" s="33" t="s">
        <v>8037</v>
      </c>
      <c r="H179" s="33" t="s">
        <v>8038</v>
      </c>
      <c r="I179" s="33" t="s">
        <v>8039</v>
      </c>
      <c r="J179" s="33" t="s">
        <v>8040</v>
      </c>
      <c r="K179" s="33" t="s">
        <v>8041</v>
      </c>
      <c r="L179" s="33" t="s">
        <v>11241</v>
      </c>
      <c r="M179" s="32" t="s">
        <v>10915</v>
      </c>
      <c r="N179" s="1" t="s">
        <v>10834</v>
      </c>
    </row>
    <row r="180" spans="1:14">
      <c r="A180" s="122"/>
      <c r="C180" s="125" t="s">
        <v>8044</v>
      </c>
      <c r="D180" s="33" t="s">
        <v>8042</v>
      </c>
      <c r="E180" s="33" t="s">
        <v>8043</v>
      </c>
      <c r="F180" s="33" t="s">
        <v>8045</v>
      </c>
      <c r="G180" s="33" t="s">
        <v>8046</v>
      </c>
      <c r="H180" s="33" t="s">
        <v>8047</v>
      </c>
      <c r="I180" s="33" t="s">
        <v>8048</v>
      </c>
      <c r="J180" s="33" t="s">
        <v>8049</v>
      </c>
      <c r="K180" s="33" t="s">
        <v>8050</v>
      </c>
      <c r="L180" s="33" t="s">
        <v>11242</v>
      </c>
      <c r="M180" s="32" t="s">
        <v>11424</v>
      </c>
      <c r="N180" s="1" t="s">
        <v>10835</v>
      </c>
    </row>
    <row r="181" spans="1:14">
      <c r="A181" s="122"/>
      <c r="C181" s="125" t="s">
        <v>8053</v>
      </c>
      <c r="D181" s="33" t="s">
        <v>8051</v>
      </c>
      <c r="E181" s="33" t="s">
        <v>8052</v>
      </c>
      <c r="F181" s="33" t="s">
        <v>8054</v>
      </c>
      <c r="G181" s="33" t="s">
        <v>8055</v>
      </c>
      <c r="H181" s="33" t="s">
        <v>8056</v>
      </c>
      <c r="I181" s="33" t="s">
        <v>8057</v>
      </c>
      <c r="J181" s="33" t="s">
        <v>8058</v>
      </c>
      <c r="K181" s="33" t="s">
        <v>8059</v>
      </c>
      <c r="L181" s="33" t="s">
        <v>11243</v>
      </c>
      <c r="M181" s="32" t="s">
        <v>11425</v>
      </c>
      <c r="N181" s="1" t="s">
        <v>10836</v>
      </c>
    </row>
    <row r="182" spans="1:14">
      <c r="A182" s="122"/>
      <c r="C182" s="125" t="s">
        <v>8062</v>
      </c>
      <c r="D182" s="33" t="s">
        <v>8060</v>
      </c>
      <c r="E182" s="33" t="s">
        <v>8061</v>
      </c>
      <c r="F182" s="33" t="s">
        <v>8063</v>
      </c>
      <c r="G182" s="33" t="s">
        <v>8064</v>
      </c>
      <c r="H182" s="33" t="s">
        <v>8065</v>
      </c>
      <c r="I182" s="33" t="s">
        <v>8061</v>
      </c>
      <c r="J182" s="33" t="s">
        <v>8066</v>
      </c>
      <c r="K182" s="33" t="s">
        <v>8067</v>
      </c>
      <c r="L182" s="33" t="s">
        <v>11244</v>
      </c>
      <c r="M182" s="32" t="s">
        <v>10916</v>
      </c>
      <c r="N182" s="1" t="s">
        <v>10837</v>
      </c>
    </row>
    <row r="183" spans="1:14">
      <c r="A183" s="122"/>
      <c r="C183" s="125" t="s">
        <v>8070</v>
      </c>
      <c r="D183" s="33" t="s">
        <v>8068</v>
      </c>
      <c r="E183" s="33" t="s">
        <v>8069</v>
      </c>
      <c r="F183" s="33" t="s">
        <v>8071</v>
      </c>
      <c r="G183" s="33" t="s">
        <v>8072</v>
      </c>
      <c r="H183" s="33" t="s">
        <v>8073</v>
      </c>
      <c r="I183" s="33" t="s">
        <v>8069</v>
      </c>
      <c r="J183" s="33" t="s">
        <v>8074</v>
      </c>
      <c r="K183" s="33" t="s">
        <v>8075</v>
      </c>
      <c r="L183" s="33" t="s">
        <v>9635</v>
      </c>
      <c r="M183" s="32" t="s">
        <v>10917</v>
      </c>
      <c r="N183" s="1" t="s">
        <v>10838</v>
      </c>
    </row>
    <row r="184" spans="1:14">
      <c r="A184" s="122"/>
      <c r="C184" s="125" t="s">
        <v>8078</v>
      </c>
      <c r="D184" s="33" t="s">
        <v>8076</v>
      </c>
      <c r="E184" s="33" t="s">
        <v>8077</v>
      </c>
      <c r="F184" s="33" t="s">
        <v>8079</v>
      </c>
      <c r="G184" s="33" t="s">
        <v>8080</v>
      </c>
      <c r="H184" s="33" t="s">
        <v>8081</v>
      </c>
      <c r="I184" s="33" t="s">
        <v>8077</v>
      </c>
      <c r="J184" s="33" t="s">
        <v>8082</v>
      </c>
      <c r="K184" s="33" t="s">
        <v>8083</v>
      </c>
      <c r="L184" s="33" t="s">
        <v>11245</v>
      </c>
      <c r="M184" s="32" t="s">
        <v>11426</v>
      </c>
      <c r="N184" s="1" t="s">
        <v>10839</v>
      </c>
    </row>
    <row r="185" spans="1:14">
      <c r="A185" s="122"/>
      <c r="C185" s="125" t="s">
        <v>8086</v>
      </c>
      <c r="D185" s="33" t="s">
        <v>8084</v>
      </c>
      <c r="E185" s="33" t="s">
        <v>8085</v>
      </c>
      <c r="F185" s="33" t="s">
        <v>8087</v>
      </c>
      <c r="G185" s="33" t="s">
        <v>8088</v>
      </c>
      <c r="H185" s="33" t="s">
        <v>8089</v>
      </c>
      <c r="I185" s="33" t="s">
        <v>8085</v>
      </c>
      <c r="J185" s="33" t="s">
        <v>8090</v>
      </c>
      <c r="K185" s="33" t="s">
        <v>8091</v>
      </c>
      <c r="L185" s="33" t="s">
        <v>11246</v>
      </c>
      <c r="M185" s="32" t="s">
        <v>11427</v>
      </c>
      <c r="N185" s="1" t="s">
        <v>10840</v>
      </c>
    </row>
    <row r="186" spans="1:14">
      <c r="A186" s="122"/>
      <c r="C186" s="125" t="s">
        <v>8094</v>
      </c>
      <c r="D186" s="33" t="s">
        <v>8092</v>
      </c>
      <c r="E186" s="33" t="s">
        <v>8093</v>
      </c>
      <c r="F186" s="33" t="s">
        <v>8095</v>
      </c>
      <c r="G186" s="33" t="s">
        <v>8096</v>
      </c>
      <c r="H186" s="33" t="s">
        <v>8097</v>
      </c>
      <c r="I186" s="33" t="s">
        <v>8093</v>
      </c>
      <c r="J186" s="33" t="s">
        <v>8098</v>
      </c>
      <c r="K186" s="33" t="s">
        <v>8099</v>
      </c>
      <c r="L186" s="33" t="s">
        <v>9636</v>
      </c>
      <c r="M186" s="32" t="s">
        <v>11428</v>
      </c>
      <c r="N186" s="1" t="s">
        <v>10841</v>
      </c>
    </row>
    <row r="187" spans="1:14">
      <c r="A187" s="122"/>
      <c r="C187" s="125" t="s">
        <v>8102</v>
      </c>
      <c r="D187" s="33" t="s">
        <v>8100</v>
      </c>
      <c r="E187" s="33" t="s">
        <v>8101</v>
      </c>
      <c r="F187" s="33" t="s">
        <v>8103</v>
      </c>
      <c r="G187" s="33" t="s">
        <v>8104</v>
      </c>
      <c r="H187" s="33" t="s">
        <v>8105</v>
      </c>
      <c r="I187" s="33" t="s">
        <v>8101</v>
      </c>
      <c r="J187" s="33" t="s">
        <v>8106</v>
      </c>
      <c r="K187" s="33" t="s">
        <v>8107</v>
      </c>
      <c r="L187" s="33" t="s">
        <v>9637</v>
      </c>
      <c r="M187" s="32" t="s">
        <v>11429</v>
      </c>
      <c r="N187" s="1" t="s">
        <v>10842</v>
      </c>
    </row>
    <row r="188" spans="1:14">
      <c r="A188" s="122"/>
      <c r="C188" s="125" t="s">
        <v>8110</v>
      </c>
      <c r="D188" s="33" t="s">
        <v>8108</v>
      </c>
      <c r="E188" s="33" t="s">
        <v>8109</v>
      </c>
      <c r="F188" s="33" t="s">
        <v>8111</v>
      </c>
      <c r="G188" s="33" t="s">
        <v>8112</v>
      </c>
      <c r="H188" s="33" t="s">
        <v>8113</v>
      </c>
      <c r="I188" s="33" t="s">
        <v>8109</v>
      </c>
      <c r="J188" s="33" t="s">
        <v>8114</v>
      </c>
      <c r="K188" s="33" t="s">
        <v>8115</v>
      </c>
      <c r="L188" s="33" t="s">
        <v>9638</v>
      </c>
      <c r="M188" s="32" t="s">
        <v>11430</v>
      </c>
      <c r="N188" s="1" t="s">
        <v>10843</v>
      </c>
    </row>
    <row r="189" spans="1:14">
      <c r="A189" s="122"/>
      <c r="C189" s="125" t="s">
        <v>8118</v>
      </c>
      <c r="D189" s="33" t="s">
        <v>8116</v>
      </c>
      <c r="E189" s="33" t="s">
        <v>8117</v>
      </c>
      <c r="F189" s="33" t="s">
        <v>8119</v>
      </c>
      <c r="G189" s="33" t="s">
        <v>8120</v>
      </c>
      <c r="H189" s="33" t="s">
        <v>8121</v>
      </c>
      <c r="I189" s="33" t="s">
        <v>8117</v>
      </c>
      <c r="J189" s="33" t="s">
        <v>8122</v>
      </c>
      <c r="K189" s="33" t="s">
        <v>8123</v>
      </c>
      <c r="L189" s="33" t="s">
        <v>9639</v>
      </c>
      <c r="M189" s="32" t="s">
        <v>11431</v>
      </c>
      <c r="N189" s="1" t="s">
        <v>10844</v>
      </c>
    </row>
    <row r="190" spans="1:14">
      <c r="A190" s="122"/>
      <c r="C190" s="125" t="s">
        <v>8126</v>
      </c>
      <c r="D190" s="33" t="s">
        <v>8124</v>
      </c>
      <c r="E190" s="33" t="s">
        <v>8125</v>
      </c>
      <c r="F190" s="33" t="s">
        <v>8127</v>
      </c>
      <c r="G190" s="33" t="s">
        <v>8128</v>
      </c>
      <c r="H190" s="33" t="s">
        <v>8129</v>
      </c>
      <c r="I190" s="33" t="s">
        <v>8125</v>
      </c>
      <c r="J190" s="33" t="s">
        <v>8130</v>
      </c>
      <c r="K190" s="33" t="s">
        <v>8131</v>
      </c>
      <c r="L190" s="33" t="s">
        <v>9640</v>
      </c>
      <c r="M190" s="32" t="s">
        <v>11432</v>
      </c>
      <c r="N190" s="1" t="s">
        <v>10845</v>
      </c>
    </row>
    <row r="191" spans="1:14">
      <c r="A191" s="122"/>
      <c r="C191" s="125" t="s">
        <v>8134</v>
      </c>
      <c r="D191" s="33" t="s">
        <v>8132</v>
      </c>
      <c r="E191" s="33" t="s">
        <v>8133</v>
      </c>
      <c r="F191" s="33" t="s">
        <v>8135</v>
      </c>
      <c r="G191" s="33" t="s">
        <v>8136</v>
      </c>
      <c r="H191" s="33" t="s">
        <v>8137</v>
      </c>
      <c r="I191" s="33" t="s">
        <v>8133</v>
      </c>
      <c r="J191" s="33" t="s">
        <v>8138</v>
      </c>
      <c r="K191" s="33" t="s">
        <v>8139</v>
      </c>
      <c r="L191" s="33" t="s">
        <v>11247</v>
      </c>
      <c r="M191" s="32" t="s">
        <v>11433</v>
      </c>
      <c r="N191" s="1" t="s">
        <v>10846</v>
      </c>
    </row>
    <row r="192" spans="1:14">
      <c r="A192" s="122"/>
      <c r="C192" s="125" t="s">
        <v>8142</v>
      </c>
      <c r="D192" s="33" t="s">
        <v>8140</v>
      </c>
      <c r="E192" s="33" t="s">
        <v>8141</v>
      </c>
      <c r="F192" s="33" t="s">
        <v>8143</v>
      </c>
      <c r="G192" s="33" t="s">
        <v>8144</v>
      </c>
      <c r="H192" s="33" t="s">
        <v>8145</v>
      </c>
      <c r="I192" s="33" t="s">
        <v>8141</v>
      </c>
      <c r="J192" s="33" t="s">
        <v>8146</v>
      </c>
      <c r="K192" s="33" t="s">
        <v>8147</v>
      </c>
      <c r="L192" s="33" t="s">
        <v>11248</v>
      </c>
      <c r="M192" s="32" t="s">
        <v>11434</v>
      </c>
      <c r="N192" s="1" t="s">
        <v>10847</v>
      </c>
    </row>
    <row r="193" spans="1:14">
      <c r="A193" s="122"/>
      <c r="C193" s="125" t="s">
        <v>8150</v>
      </c>
      <c r="D193" s="33" t="s">
        <v>8148</v>
      </c>
      <c r="E193" s="35" t="s">
        <v>8149</v>
      </c>
      <c r="F193" s="34" t="s">
        <v>8151</v>
      </c>
      <c r="G193" s="32" t="s">
        <v>8152</v>
      </c>
      <c r="H193" s="32" t="s">
        <v>8153</v>
      </c>
      <c r="I193" s="32" t="s">
        <v>8149</v>
      </c>
      <c r="J193" s="32" t="s">
        <v>8154</v>
      </c>
      <c r="K193" s="32" t="s">
        <v>8155</v>
      </c>
      <c r="L193" s="32" t="s">
        <v>11249</v>
      </c>
      <c r="M193" s="32" t="s">
        <v>11435</v>
      </c>
      <c r="N193" s="1" t="s">
        <v>10848</v>
      </c>
    </row>
    <row r="194" spans="1:14">
      <c r="A194" s="122"/>
      <c r="C194" s="125" t="s">
        <v>8158</v>
      </c>
      <c r="D194" s="33" t="s">
        <v>8156</v>
      </c>
      <c r="E194" s="33" t="s">
        <v>8157</v>
      </c>
      <c r="F194" s="33" t="s">
        <v>8159</v>
      </c>
      <c r="G194" s="33" t="s">
        <v>8160</v>
      </c>
      <c r="H194" s="33" t="s">
        <v>8161</v>
      </c>
      <c r="I194" s="33" t="s">
        <v>8157</v>
      </c>
      <c r="J194" s="33" t="s">
        <v>8162</v>
      </c>
      <c r="K194" s="33" t="s">
        <v>8163</v>
      </c>
      <c r="L194" s="33" t="s">
        <v>11250</v>
      </c>
      <c r="M194" s="32" t="s">
        <v>11436</v>
      </c>
      <c r="N194" s="1" t="s">
        <v>10849</v>
      </c>
    </row>
    <row r="195" spans="1:14">
      <c r="A195" s="122"/>
      <c r="C195" s="125" t="s">
        <v>8166</v>
      </c>
      <c r="D195" s="33" t="s">
        <v>8164</v>
      </c>
      <c r="E195" s="33" t="s">
        <v>8165</v>
      </c>
      <c r="F195" s="33" t="s">
        <v>8167</v>
      </c>
      <c r="G195" s="33" t="s">
        <v>8168</v>
      </c>
      <c r="H195" s="33" t="s">
        <v>8169</v>
      </c>
      <c r="I195" s="33" t="s">
        <v>8165</v>
      </c>
      <c r="J195" s="33" t="s">
        <v>8170</v>
      </c>
      <c r="K195" s="33" t="s">
        <v>8171</v>
      </c>
      <c r="L195" s="33" t="s">
        <v>9641</v>
      </c>
      <c r="M195" s="32" t="s">
        <v>11437</v>
      </c>
      <c r="N195" s="1" t="s">
        <v>10850</v>
      </c>
    </row>
    <row r="196" spans="1:14">
      <c r="A196" s="122"/>
      <c r="C196" s="125" t="s">
        <v>8174</v>
      </c>
      <c r="D196" s="33" t="s">
        <v>8172</v>
      </c>
      <c r="E196" s="33" t="s">
        <v>8173</v>
      </c>
      <c r="F196" s="33" t="s">
        <v>8175</v>
      </c>
      <c r="G196" s="33" t="s">
        <v>8176</v>
      </c>
      <c r="H196" s="33" t="s">
        <v>8177</v>
      </c>
      <c r="I196" s="33" t="s">
        <v>8173</v>
      </c>
      <c r="J196" s="33" t="s">
        <v>8178</v>
      </c>
      <c r="K196" s="33" t="s">
        <v>8179</v>
      </c>
      <c r="L196" s="33" t="s">
        <v>9642</v>
      </c>
      <c r="M196" s="32" t="s">
        <v>11438</v>
      </c>
      <c r="N196" s="1" t="s">
        <v>10851</v>
      </c>
    </row>
    <row r="197" spans="1:14">
      <c r="A197" s="122"/>
      <c r="C197" s="125" t="s">
        <v>8182</v>
      </c>
      <c r="D197" s="33" t="s">
        <v>8180</v>
      </c>
      <c r="E197" s="33" t="s">
        <v>8181</v>
      </c>
      <c r="F197" s="33" t="s">
        <v>8183</v>
      </c>
      <c r="G197" s="33" t="s">
        <v>8184</v>
      </c>
      <c r="H197" s="33" t="s">
        <v>8185</v>
      </c>
      <c r="I197" s="33" t="s">
        <v>8181</v>
      </c>
      <c r="J197" s="33" t="s">
        <v>8186</v>
      </c>
      <c r="K197" s="33" t="s">
        <v>8187</v>
      </c>
      <c r="L197" s="33" t="s">
        <v>9643</v>
      </c>
      <c r="M197" s="32" t="s">
        <v>11439</v>
      </c>
      <c r="N197" s="1" t="s">
        <v>10852</v>
      </c>
    </row>
    <row r="198" spans="1:14">
      <c r="A198" s="122"/>
      <c r="C198" s="125" t="s">
        <v>8190</v>
      </c>
      <c r="D198" s="33" t="s">
        <v>8188</v>
      </c>
      <c r="E198" s="33" t="s">
        <v>8189</v>
      </c>
      <c r="F198" s="33" t="s">
        <v>8191</v>
      </c>
      <c r="G198" s="33" t="s">
        <v>8192</v>
      </c>
      <c r="H198" s="33" t="s">
        <v>8193</v>
      </c>
      <c r="I198" s="33" t="s">
        <v>8189</v>
      </c>
      <c r="J198" s="33" t="s">
        <v>8194</v>
      </c>
      <c r="K198" s="33" t="s">
        <v>8195</v>
      </c>
      <c r="L198" s="33" t="s">
        <v>9644</v>
      </c>
      <c r="M198" s="32" t="s">
        <v>11440</v>
      </c>
      <c r="N198" s="1" t="s">
        <v>10853</v>
      </c>
    </row>
    <row r="199" spans="1:14">
      <c r="A199" s="122"/>
      <c r="C199" s="125" t="s">
        <v>8198</v>
      </c>
      <c r="D199" s="33" t="s">
        <v>8196</v>
      </c>
      <c r="E199" s="33" t="s">
        <v>8197</v>
      </c>
      <c r="F199" s="33" t="s">
        <v>8199</v>
      </c>
      <c r="G199" s="33" t="s">
        <v>8200</v>
      </c>
      <c r="H199" s="33" t="s">
        <v>8201</v>
      </c>
      <c r="I199" s="33" t="s">
        <v>8197</v>
      </c>
      <c r="J199" s="33" t="s">
        <v>8202</v>
      </c>
      <c r="K199" s="33" t="s">
        <v>8203</v>
      </c>
      <c r="L199" s="33" t="s">
        <v>11246</v>
      </c>
      <c r="M199" s="32" t="s">
        <v>11441</v>
      </c>
      <c r="N199" s="1" t="s">
        <v>10854</v>
      </c>
    </row>
    <row r="200" spans="1:14">
      <c r="A200" s="122"/>
      <c r="C200" s="125" t="s">
        <v>8206</v>
      </c>
      <c r="D200" s="33" t="s">
        <v>8204</v>
      </c>
      <c r="E200" s="33" t="s">
        <v>8205</v>
      </c>
      <c r="F200" s="33" t="s">
        <v>8207</v>
      </c>
      <c r="G200" s="33" t="s">
        <v>8208</v>
      </c>
      <c r="H200" s="33" t="s">
        <v>8209</v>
      </c>
      <c r="I200" s="33" t="s">
        <v>8205</v>
      </c>
      <c r="J200" s="33" t="s">
        <v>8210</v>
      </c>
      <c r="K200" s="33" t="s">
        <v>8211</v>
      </c>
      <c r="L200" s="33" t="s">
        <v>11251</v>
      </c>
      <c r="M200" s="32" t="s">
        <v>11442</v>
      </c>
      <c r="N200" s="1" t="s">
        <v>10855</v>
      </c>
    </row>
    <row r="201" spans="1:14">
      <c r="A201" s="122"/>
      <c r="C201" s="125" t="s">
        <v>8214</v>
      </c>
      <c r="D201" s="33" t="s">
        <v>8212</v>
      </c>
      <c r="E201" s="33" t="s">
        <v>8213</v>
      </c>
      <c r="F201" s="33" t="s">
        <v>8215</v>
      </c>
      <c r="G201" s="33" t="s">
        <v>8216</v>
      </c>
      <c r="H201" s="33" t="s">
        <v>8217</v>
      </c>
      <c r="I201" s="33" t="s">
        <v>8213</v>
      </c>
      <c r="J201" s="33" t="s">
        <v>8218</v>
      </c>
      <c r="K201" s="33" t="s">
        <v>8219</v>
      </c>
      <c r="L201" s="33" t="s">
        <v>11252</v>
      </c>
      <c r="M201" s="32" t="s">
        <v>10918</v>
      </c>
      <c r="N201" s="1" t="s">
        <v>10856</v>
      </c>
    </row>
    <row r="202" spans="1:14">
      <c r="A202" s="122"/>
      <c r="C202" s="125" t="s">
        <v>8222</v>
      </c>
      <c r="D202" s="33" t="s">
        <v>8220</v>
      </c>
      <c r="E202" s="33" t="s">
        <v>8221</v>
      </c>
      <c r="F202" s="33" t="s">
        <v>8223</v>
      </c>
      <c r="G202" s="33" t="s">
        <v>8224</v>
      </c>
      <c r="H202" s="33" t="s">
        <v>8225</v>
      </c>
      <c r="I202" s="33" t="s">
        <v>8221</v>
      </c>
      <c r="J202" s="33" t="s">
        <v>8226</v>
      </c>
      <c r="K202" s="33" t="s">
        <v>8227</v>
      </c>
      <c r="L202" s="33" t="s">
        <v>11253</v>
      </c>
      <c r="M202" s="32" t="s">
        <v>10919</v>
      </c>
      <c r="N202" s="1" t="s">
        <v>10857</v>
      </c>
    </row>
    <row r="203" spans="1:14">
      <c r="A203" s="122"/>
      <c r="C203" s="125" t="s">
        <v>8230</v>
      </c>
      <c r="D203" s="33" t="s">
        <v>8228</v>
      </c>
      <c r="E203" s="33" t="s">
        <v>8229</v>
      </c>
      <c r="F203" s="33" t="s">
        <v>8231</v>
      </c>
      <c r="G203" s="33" t="s">
        <v>8232</v>
      </c>
      <c r="H203" s="33" t="s">
        <v>8233</v>
      </c>
      <c r="I203" s="33" t="s">
        <v>8229</v>
      </c>
      <c r="J203" s="33" t="s">
        <v>8234</v>
      </c>
      <c r="K203" s="33" t="s">
        <v>8235</v>
      </c>
      <c r="L203" s="33" t="s">
        <v>11254</v>
      </c>
      <c r="M203" s="32" t="s">
        <v>11443</v>
      </c>
      <c r="N203" s="1" t="s">
        <v>10858</v>
      </c>
    </row>
    <row r="204" spans="1:14">
      <c r="A204" s="122"/>
      <c r="C204" s="125" t="s">
        <v>8238</v>
      </c>
      <c r="D204" s="33" t="s">
        <v>8236</v>
      </c>
      <c r="E204" s="33" t="s">
        <v>8237</v>
      </c>
      <c r="F204" s="33" t="s">
        <v>8239</v>
      </c>
      <c r="G204" s="33" t="s">
        <v>8240</v>
      </c>
      <c r="H204" s="33" t="s">
        <v>8241</v>
      </c>
      <c r="I204" s="33" t="s">
        <v>8237</v>
      </c>
      <c r="J204" s="33" t="s">
        <v>8242</v>
      </c>
      <c r="K204" s="33" t="s">
        <v>8243</v>
      </c>
      <c r="L204" s="33" t="s">
        <v>11255</v>
      </c>
      <c r="M204" s="32" t="s">
        <v>11444</v>
      </c>
      <c r="N204" s="1" t="s">
        <v>10859</v>
      </c>
    </row>
    <row r="205" spans="1:14">
      <c r="A205" s="122"/>
      <c r="C205" s="125" t="s">
        <v>8246</v>
      </c>
      <c r="D205" s="33" t="s">
        <v>8244</v>
      </c>
      <c r="E205" s="33" t="s">
        <v>8245</v>
      </c>
      <c r="F205" s="33" t="s">
        <v>8247</v>
      </c>
      <c r="G205" s="33" t="s">
        <v>8248</v>
      </c>
      <c r="H205" s="33" t="s">
        <v>8249</v>
      </c>
      <c r="I205" s="33" t="s">
        <v>8245</v>
      </c>
      <c r="J205" s="33" t="s">
        <v>8250</v>
      </c>
      <c r="K205" s="33" t="s">
        <v>8251</v>
      </c>
      <c r="L205" s="33" t="s">
        <v>11256</v>
      </c>
      <c r="M205" s="32" t="s">
        <v>11445</v>
      </c>
      <c r="N205" s="1" t="s">
        <v>10860</v>
      </c>
    </row>
    <row r="206" spans="1:14">
      <c r="A206" s="122"/>
      <c r="C206" s="125" t="s">
        <v>8254</v>
      </c>
      <c r="D206" s="33" t="s">
        <v>8252</v>
      </c>
      <c r="E206" s="33" t="s">
        <v>8253</v>
      </c>
      <c r="F206" s="33" t="s">
        <v>8255</v>
      </c>
      <c r="G206" s="33" t="s">
        <v>8256</v>
      </c>
      <c r="H206" s="33" t="s">
        <v>8257</v>
      </c>
      <c r="I206" s="33" t="s">
        <v>8253</v>
      </c>
      <c r="J206" s="33" t="s">
        <v>8258</v>
      </c>
      <c r="K206" s="33" t="s">
        <v>8259</v>
      </c>
      <c r="L206" s="33" t="s">
        <v>11257</v>
      </c>
      <c r="M206" s="32" t="s">
        <v>11446</v>
      </c>
      <c r="N206" s="1" t="s">
        <v>10861</v>
      </c>
    </row>
    <row r="207" spans="1:14">
      <c r="A207" s="122"/>
      <c r="C207" s="125" t="s">
        <v>8262</v>
      </c>
      <c r="D207" s="33" t="s">
        <v>8260</v>
      </c>
      <c r="E207" s="33" t="s">
        <v>8261</v>
      </c>
      <c r="F207" s="33" t="s">
        <v>8263</v>
      </c>
      <c r="G207" s="33" t="s">
        <v>8264</v>
      </c>
      <c r="H207" s="33" t="s">
        <v>8265</v>
      </c>
      <c r="I207" s="33" t="s">
        <v>8261</v>
      </c>
      <c r="J207" s="33" t="s">
        <v>8266</v>
      </c>
      <c r="K207" s="33" t="s">
        <v>8267</v>
      </c>
      <c r="L207" s="33" t="s">
        <v>9645</v>
      </c>
      <c r="M207" s="32" t="s">
        <v>10920</v>
      </c>
      <c r="N207" s="1" t="s">
        <v>10862</v>
      </c>
    </row>
    <row r="208" spans="1:14">
      <c r="A208" s="122"/>
      <c r="C208" s="125" t="s">
        <v>8270</v>
      </c>
      <c r="D208" s="33" t="s">
        <v>8268</v>
      </c>
      <c r="E208" s="33" t="s">
        <v>8269</v>
      </c>
      <c r="F208" s="33" t="s">
        <v>8271</v>
      </c>
      <c r="G208" s="33" t="s">
        <v>8272</v>
      </c>
      <c r="H208" s="33" t="s">
        <v>8273</v>
      </c>
      <c r="I208" s="33" t="s">
        <v>8269</v>
      </c>
      <c r="J208" s="33" t="s">
        <v>8274</v>
      </c>
      <c r="K208" s="33" t="s">
        <v>8275</v>
      </c>
      <c r="L208" s="33" t="s">
        <v>9646</v>
      </c>
      <c r="M208" s="32" t="s">
        <v>10921</v>
      </c>
      <c r="N208" s="1" t="s">
        <v>10863</v>
      </c>
    </row>
    <row r="209" spans="1:16">
      <c r="A209" s="122"/>
      <c r="C209" s="125" t="s">
        <v>8277</v>
      </c>
      <c r="D209" s="33" t="s">
        <v>6549</v>
      </c>
      <c r="E209" s="35" t="s">
        <v>8276</v>
      </c>
      <c r="F209" s="34" t="s">
        <v>11258</v>
      </c>
      <c r="G209" s="32" t="s">
        <v>11259</v>
      </c>
      <c r="H209" s="32" t="s">
        <v>11260</v>
      </c>
      <c r="I209" s="32" t="s">
        <v>8276</v>
      </c>
      <c r="J209" s="32" t="s">
        <v>11258</v>
      </c>
      <c r="K209" s="32" t="s">
        <v>11261</v>
      </c>
      <c r="L209" s="32" t="s">
        <v>11262</v>
      </c>
      <c r="M209" s="32" t="s">
        <v>11447</v>
      </c>
      <c r="N209" s="1" t="s">
        <v>11263</v>
      </c>
    </row>
    <row r="210" spans="1:16">
      <c r="A210" s="122"/>
      <c r="C210" s="125" t="s">
        <v>8280</v>
      </c>
      <c r="D210" s="33" t="s">
        <v>8278</v>
      </c>
      <c r="E210" s="33" t="s">
        <v>8279</v>
      </c>
      <c r="F210" s="33" t="s">
        <v>11264</v>
      </c>
      <c r="G210" s="33" t="s">
        <v>11265</v>
      </c>
      <c r="H210" s="33" t="s">
        <v>11266</v>
      </c>
      <c r="I210" s="33" t="s">
        <v>8279</v>
      </c>
      <c r="J210" s="33" t="s">
        <v>11267</v>
      </c>
      <c r="K210" s="33" t="s">
        <v>11268</v>
      </c>
      <c r="L210" s="33" t="s">
        <v>11269</v>
      </c>
      <c r="M210" s="32" t="s">
        <v>11448</v>
      </c>
      <c r="N210" s="1" t="s">
        <v>11270</v>
      </c>
    </row>
    <row r="211" spans="1:16">
      <c r="A211" s="122"/>
      <c r="C211" s="125" t="s">
        <v>8283</v>
      </c>
      <c r="D211" s="33" t="s">
        <v>8281</v>
      </c>
      <c r="E211" s="33" t="s">
        <v>8282</v>
      </c>
      <c r="F211" s="33" t="s">
        <v>11271</v>
      </c>
      <c r="G211" s="33" t="s">
        <v>11272</v>
      </c>
      <c r="H211" s="33" t="s">
        <v>11273</v>
      </c>
      <c r="I211" s="33" t="s">
        <v>8282</v>
      </c>
      <c r="J211" s="33" t="s">
        <v>11274</v>
      </c>
      <c r="K211" s="33" t="s">
        <v>11275</v>
      </c>
      <c r="L211" s="33" t="s">
        <v>11276</v>
      </c>
      <c r="M211" s="32" t="s">
        <v>11449</v>
      </c>
      <c r="N211" s="1" t="s">
        <v>11277</v>
      </c>
    </row>
    <row r="212" spans="1:16">
      <c r="A212" s="122"/>
      <c r="C212" s="125" t="s">
        <v>8286</v>
      </c>
      <c r="D212" s="33" t="s">
        <v>8284</v>
      </c>
      <c r="E212" s="33" t="s">
        <v>8285</v>
      </c>
      <c r="F212" s="33" t="s">
        <v>11278</v>
      </c>
      <c r="G212" s="33" t="s">
        <v>11279</v>
      </c>
      <c r="H212" s="33" t="s">
        <v>11280</v>
      </c>
      <c r="I212" s="33" t="s">
        <v>8285</v>
      </c>
      <c r="J212" s="33" t="s">
        <v>11281</v>
      </c>
      <c r="K212" s="33" t="s">
        <v>11282</v>
      </c>
      <c r="L212" s="33" t="s">
        <v>11283</v>
      </c>
      <c r="M212" s="32" t="s">
        <v>11450</v>
      </c>
      <c r="N212" s="1" t="s">
        <v>11284</v>
      </c>
    </row>
    <row r="213" spans="1:16">
      <c r="A213" s="122"/>
      <c r="C213" s="125" t="s">
        <v>8289</v>
      </c>
      <c r="D213" s="33" t="s">
        <v>8287</v>
      </c>
      <c r="E213" s="33" t="s">
        <v>8288</v>
      </c>
      <c r="F213" s="33" t="s">
        <v>6895</v>
      </c>
      <c r="G213" s="33" t="s">
        <v>8290</v>
      </c>
      <c r="H213" s="33" t="s">
        <v>8291</v>
      </c>
      <c r="I213" s="33" t="s">
        <v>8292</v>
      </c>
      <c r="J213" s="33" t="s">
        <v>8293</v>
      </c>
      <c r="K213" s="33" t="s">
        <v>8294</v>
      </c>
      <c r="L213" s="33"/>
      <c r="M213" s="32" t="s">
        <v>11451</v>
      </c>
      <c r="N213" s="1" t="s">
        <v>10705</v>
      </c>
    </row>
    <row r="214" spans="1:16">
      <c r="A214" s="122"/>
      <c r="C214" s="125" t="s">
        <v>8297</v>
      </c>
      <c r="D214" s="33" t="s">
        <v>8295</v>
      </c>
      <c r="E214" s="33" t="s">
        <v>8296</v>
      </c>
      <c r="F214" s="33" t="s">
        <v>8298</v>
      </c>
      <c r="G214" s="33" t="s">
        <v>8299</v>
      </c>
      <c r="H214" s="33" t="s">
        <v>8300</v>
      </c>
      <c r="I214" s="33"/>
      <c r="J214" s="33" t="s">
        <v>8301</v>
      </c>
      <c r="K214" s="33" t="s">
        <v>8302</v>
      </c>
      <c r="L214" s="33"/>
      <c r="M214" s="32" t="s">
        <v>11452</v>
      </c>
      <c r="N214" s="1" t="s">
        <v>10737</v>
      </c>
    </row>
    <row r="215" spans="1:16">
      <c r="A215" s="122"/>
      <c r="C215" s="125" t="s">
        <v>8305</v>
      </c>
      <c r="D215" s="33" t="s">
        <v>8303</v>
      </c>
      <c r="E215" s="33" t="s">
        <v>8304</v>
      </c>
      <c r="F215" s="33" t="s">
        <v>8306</v>
      </c>
      <c r="G215" s="33" t="s">
        <v>8307</v>
      </c>
      <c r="H215" s="33" t="s">
        <v>8308</v>
      </c>
      <c r="I215" s="33" t="s">
        <v>8309</v>
      </c>
      <c r="J215" s="33" t="s">
        <v>8310</v>
      </c>
      <c r="K215" s="33" t="s">
        <v>8311</v>
      </c>
      <c r="L215" s="33"/>
      <c r="M215" s="32" t="s">
        <v>11453</v>
      </c>
      <c r="N215" s="1" t="s">
        <v>10743</v>
      </c>
    </row>
    <row r="216" spans="1:16">
      <c r="A216" s="122"/>
      <c r="C216" s="125" t="s">
        <v>8314</v>
      </c>
      <c r="D216" s="33" t="s">
        <v>8312</v>
      </c>
      <c r="E216" s="33" t="s">
        <v>8313</v>
      </c>
      <c r="F216" s="33" t="s">
        <v>8315</v>
      </c>
      <c r="G216" s="33" t="s">
        <v>7440</v>
      </c>
      <c r="H216" s="33" t="s">
        <v>8316</v>
      </c>
      <c r="I216" s="33" t="s">
        <v>8317</v>
      </c>
      <c r="J216" s="33" t="s">
        <v>8318</v>
      </c>
      <c r="K216" s="33" t="s">
        <v>8319</v>
      </c>
      <c r="L216" s="33"/>
      <c r="M216" s="32" t="s">
        <v>11454</v>
      </c>
      <c r="N216" s="1" t="s">
        <v>10768</v>
      </c>
    </row>
    <row r="217" spans="1:16">
      <c r="A217" s="122"/>
      <c r="C217" s="125" t="s">
        <v>8322</v>
      </c>
      <c r="D217" s="33" t="s">
        <v>8320</v>
      </c>
      <c r="E217" s="33" t="s">
        <v>8321</v>
      </c>
      <c r="F217" s="33" t="s">
        <v>11285</v>
      </c>
      <c r="G217" s="33" t="s">
        <v>11286</v>
      </c>
      <c r="H217" s="33" t="s">
        <v>11287</v>
      </c>
      <c r="I217" s="33" t="s">
        <v>8321</v>
      </c>
      <c r="J217" s="33" t="s">
        <v>11288</v>
      </c>
      <c r="K217" s="33" t="s">
        <v>11289</v>
      </c>
      <c r="L217" s="33" t="s">
        <v>11290</v>
      </c>
      <c r="M217" s="32" t="s">
        <v>11455</v>
      </c>
      <c r="N217" s="1" t="s">
        <v>10791</v>
      </c>
    </row>
    <row r="218" spans="1:16">
      <c r="A218" s="122"/>
      <c r="C218" s="125" t="s">
        <v>8325</v>
      </c>
      <c r="D218" s="33" t="s">
        <v>8323</v>
      </c>
      <c r="E218" s="33" t="s">
        <v>8324</v>
      </c>
      <c r="F218" s="33" t="s">
        <v>11291</v>
      </c>
      <c r="G218" s="33" t="s">
        <v>11292</v>
      </c>
      <c r="H218" s="33" t="s">
        <v>11293</v>
      </c>
      <c r="I218" s="33" t="s">
        <v>8324</v>
      </c>
      <c r="J218" s="33" t="s">
        <v>11291</v>
      </c>
      <c r="K218" s="33" t="s">
        <v>11294</v>
      </c>
      <c r="L218" s="33" t="s">
        <v>11295</v>
      </c>
      <c r="M218" s="32" t="s">
        <v>11296</v>
      </c>
      <c r="N218" s="1" t="s">
        <v>11297</v>
      </c>
    </row>
    <row r="219" spans="1:16">
      <c r="A219" s="122"/>
      <c r="C219" s="125" t="s">
        <v>8328</v>
      </c>
      <c r="D219" s="33" t="s">
        <v>8326</v>
      </c>
      <c r="E219" s="33" t="s">
        <v>8327</v>
      </c>
      <c r="F219" s="33" t="s">
        <v>11298</v>
      </c>
      <c r="G219" s="33" t="s">
        <v>11299</v>
      </c>
      <c r="H219" s="33" t="s">
        <v>11300</v>
      </c>
      <c r="I219" s="33" t="s">
        <v>8327</v>
      </c>
      <c r="J219" s="33" t="s">
        <v>11301</v>
      </c>
      <c r="K219" s="33" t="s">
        <v>11302</v>
      </c>
      <c r="L219" s="33" t="s">
        <v>11303</v>
      </c>
      <c r="M219" s="32" t="s">
        <v>11456</v>
      </c>
      <c r="N219" s="1" t="s">
        <v>11304</v>
      </c>
    </row>
    <row r="220" spans="1:16" ht="15" customHeight="1">
      <c r="C220" s="213" t="s">
        <v>11610</v>
      </c>
      <c r="D220" s="213" t="s">
        <v>11610</v>
      </c>
      <c r="E220" s="213" t="s">
        <v>11610</v>
      </c>
      <c r="F220" s="213" t="s">
        <v>11610</v>
      </c>
      <c r="G220" s="213" t="s">
        <v>11610</v>
      </c>
      <c r="H220" s="213" t="s">
        <v>11610</v>
      </c>
      <c r="I220" s="213" t="s">
        <v>11610</v>
      </c>
      <c r="J220" s="213" t="s">
        <v>11610</v>
      </c>
      <c r="K220" s="213" t="s">
        <v>11610</v>
      </c>
      <c r="L220" s="213" t="s">
        <v>11610</v>
      </c>
      <c r="M220" s="213" t="s">
        <v>11610</v>
      </c>
      <c r="N220" s="213" t="s">
        <v>11610</v>
      </c>
    </row>
    <row r="221" spans="1:16" ht="15" customHeight="1">
      <c r="C221" t="s">
        <v>11862</v>
      </c>
      <c r="D221" t="s">
        <v>11872</v>
      </c>
      <c r="E221" t="s">
        <v>11863</v>
      </c>
      <c r="F221" t="s">
        <v>11866</v>
      </c>
      <c r="G221" t="s">
        <v>11867</v>
      </c>
      <c r="H221" t="s">
        <v>11868</v>
      </c>
      <c r="I221" t="s">
        <v>11864</v>
      </c>
      <c r="J221" t="s">
        <v>11866</v>
      </c>
      <c r="K221" t="s">
        <v>11865</v>
      </c>
      <c r="L221" t="s">
        <v>11871</v>
      </c>
      <c r="M221" t="s">
        <v>11869</v>
      </c>
      <c r="N221" t="s">
        <v>11870</v>
      </c>
    </row>
    <row r="222" spans="1:16" ht="15" customHeight="1">
      <c r="C222" s="502" t="s">
        <v>12227</v>
      </c>
      <c r="D222" s="503" t="s">
        <v>12228</v>
      </c>
      <c r="E222" s="503" t="s">
        <v>12229</v>
      </c>
      <c r="F222" s="503" t="s">
        <v>12230</v>
      </c>
      <c r="G222" s="503" t="s">
        <v>12231</v>
      </c>
      <c r="H222" s="503" t="s">
        <v>12232</v>
      </c>
      <c r="I222" s="503" t="s">
        <v>12233</v>
      </c>
      <c r="J222" s="503" t="s">
        <v>12234</v>
      </c>
      <c r="K222" s="503" t="s">
        <v>12235</v>
      </c>
      <c r="L222" s="503" t="s">
        <v>12236</v>
      </c>
      <c r="M222" s="504" t="s">
        <v>12237</v>
      </c>
      <c r="N222" s="217" t="s">
        <v>12238</v>
      </c>
    </row>
    <row r="223" spans="1:16" ht="15" customHeight="1">
      <c r="C223" s="980" t="s">
        <v>13492</v>
      </c>
      <c r="D223" s="980" t="s">
        <v>13492</v>
      </c>
      <c r="E223" s="980" t="s">
        <v>13492</v>
      </c>
      <c r="F223" s="980" t="s">
        <v>13492</v>
      </c>
      <c r="G223" s="980" t="s">
        <v>13492</v>
      </c>
      <c r="H223" s="980" t="s">
        <v>13492</v>
      </c>
      <c r="I223" s="980" t="s">
        <v>13492</v>
      </c>
      <c r="J223" s="980" t="s">
        <v>13492</v>
      </c>
      <c r="K223" s="980" t="s">
        <v>13492</v>
      </c>
      <c r="L223" s="980" t="s">
        <v>13492</v>
      </c>
      <c r="M223" s="28" t="s">
        <v>13492</v>
      </c>
      <c r="N223" s="980" t="s">
        <v>13492</v>
      </c>
      <c r="O223" s="980" t="s">
        <v>13492</v>
      </c>
      <c r="P223" s="980" t="s">
        <v>13492</v>
      </c>
    </row>
  </sheetData>
  <conditionalFormatting sqref="C1:C221 C223:C1048576 D220:N220">
    <cfRule type="duplicateValues" dxfId="6" priority="2"/>
  </conditionalFormatting>
  <conditionalFormatting sqref="C222">
    <cfRule type="duplicateValues" dxfId="5" priority="1"/>
  </conditionalFormatting>
  <pageMargins left="0.7" right="0.7" top="0.78740157499999996" bottom="0.78740157499999996" header="0.3" footer="0.3"/>
  <legacyDrawing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27A388-DFFE-4760-A531-916E74EA0560}">
  <sheetPr codeName="List9"/>
  <dimension ref="A1:V137"/>
  <sheetViews>
    <sheetView workbookViewId="0">
      <pane xSplit="1" ySplit="2" topLeftCell="G59" activePane="bottomRight" state="frozen"/>
      <selection pane="topRight" activeCell="B1" sqref="B1"/>
      <selection pane="bottomLeft" activeCell="A3" sqref="A3"/>
      <selection pane="bottomRight" activeCell="A81" sqref="A81"/>
    </sheetView>
  </sheetViews>
  <sheetFormatPr defaultColWidth="9.140625" defaultRowHeight="15" customHeight="1"/>
  <cols>
    <col min="1" max="12" width="35.42578125" style="155" customWidth="1"/>
    <col min="13" max="16384" width="9.140625" style="155"/>
  </cols>
  <sheetData>
    <row r="1" spans="1:22" s="170" customFormat="1" ht="15" customHeight="1">
      <c r="A1" s="146" t="s">
        <v>2861</v>
      </c>
      <c r="B1" s="146" t="s">
        <v>2862</v>
      </c>
      <c r="C1" s="146" t="s">
        <v>2863</v>
      </c>
      <c r="D1" s="167" t="s">
        <v>8740</v>
      </c>
      <c r="E1" s="168" t="s">
        <v>2865</v>
      </c>
      <c r="F1" s="168" t="s">
        <v>2864</v>
      </c>
      <c r="G1" s="168" t="s">
        <v>8332</v>
      </c>
      <c r="H1" s="168" t="s">
        <v>9604</v>
      </c>
      <c r="I1" s="168" t="s">
        <v>8329</v>
      </c>
      <c r="J1" s="168" t="s">
        <v>8685</v>
      </c>
      <c r="K1" s="168" t="s">
        <v>9603</v>
      </c>
      <c r="L1" s="169" t="s">
        <v>9605</v>
      </c>
      <c r="M1" s="168"/>
      <c r="N1" s="168" t="s">
        <v>2875</v>
      </c>
      <c r="O1" s="168"/>
      <c r="P1" s="168"/>
      <c r="Q1" s="168"/>
      <c r="R1" s="168"/>
      <c r="S1" s="168" t="s">
        <v>8797</v>
      </c>
      <c r="T1" s="168"/>
      <c r="U1" s="168"/>
      <c r="V1" s="168"/>
    </row>
    <row r="2" spans="1:22" ht="15" customHeight="1">
      <c r="A2" s="152"/>
      <c r="B2" s="152"/>
      <c r="C2" s="152"/>
      <c r="D2" s="153">
        <v>5.55</v>
      </c>
      <c r="E2" s="154"/>
      <c r="F2" s="154" t="s">
        <v>8333</v>
      </c>
      <c r="G2" s="154"/>
      <c r="H2" s="154"/>
      <c r="I2" s="154"/>
      <c r="J2" s="154" t="s">
        <v>9049</v>
      </c>
      <c r="K2" s="154"/>
      <c r="L2" s="154" t="s">
        <v>9614</v>
      </c>
      <c r="M2" s="154"/>
      <c r="N2" s="154"/>
      <c r="O2" s="154"/>
      <c r="P2" s="154"/>
      <c r="Q2" s="154"/>
      <c r="R2" s="154"/>
      <c r="S2" s="154"/>
      <c r="T2" s="154"/>
      <c r="U2" s="154"/>
      <c r="V2" s="154"/>
    </row>
    <row r="3" spans="1:22" ht="15" customHeight="1">
      <c r="A3" s="147" t="s">
        <v>2657</v>
      </c>
      <c r="B3" s="13" t="s">
        <v>2893</v>
      </c>
      <c r="C3" s="13" t="s">
        <v>2756</v>
      </c>
      <c r="D3" s="156" t="s">
        <v>8426</v>
      </c>
      <c r="E3" s="155" t="s">
        <v>8741</v>
      </c>
      <c r="F3" s="155" t="s">
        <v>8629</v>
      </c>
      <c r="G3" s="155" t="s">
        <v>8427</v>
      </c>
      <c r="H3" s="155" t="s">
        <v>8428</v>
      </c>
      <c r="I3" s="155" t="s">
        <v>8429</v>
      </c>
      <c r="J3" s="155" t="s">
        <v>8686</v>
      </c>
      <c r="K3" s="155" t="s">
        <v>9591</v>
      </c>
      <c r="L3" s="155" t="s">
        <v>10248</v>
      </c>
    </row>
    <row r="4" spans="1:22" ht="15" customHeight="1">
      <c r="A4" s="147" t="s">
        <v>2885</v>
      </c>
      <c r="B4" s="13" t="s">
        <v>2894</v>
      </c>
      <c r="C4" s="13" t="s">
        <v>2757</v>
      </c>
      <c r="D4" s="156" t="s">
        <v>8430</v>
      </c>
      <c r="E4" s="155" t="s">
        <v>8742</v>
      </c>
      <c r="F4" s="155" t="s">
        <v>8630</v>
      </c>
      <c r="G4" s="155" t="s">
        <v>8431</v>
      </c>
      <c r="H4" s="155" t="s">
        <v>8432</v>
      </c>
      <c r="I4" s="155" t="s">
        <v>8433</v>
      </c>
      <c r="J4" s="155" t="s">
        <v>8687</v>
      </c>
      <c r="K4" s="155" t="s">
        <v>9592</v>
      </c>
      <c r="L4" s="155" t="s">
        <v>10249</v>
      </c>
    </row>
    <row r="5" spans="1:22" ht="15" customHeight="1">
      <c r="A5" s="157" t="s">
        <v>2264</v>
      </c>
      <c r="B5" s="13" t="s">
        <v>2266</v>
      </c>
      <c r="C5" s="13" t="s">
        <v>2265</v>
      </c>
      <c r="D5" s="156" t="s">
        <v>8434</v>
      </c>
      <c r="E5" s="155" t="s">
        <v>8743</v>
      </c>
      <c r="F5" s="155" t="s">
        <v>8631</v>
      </c>
      <c r="G5" s="155" t="s">
        <v>8435</v>
      </c>
      <c r="H5" s="155" t="s">
        <v>8436</v>
      </c>
      <c r="I5" s="155" t="s">
        <v>8437</v>
      </c>
      <c r="J5" s="155" t="s">
        <v>8688</v>
      </c>
      <c r="K5" s="155" t="s">
        <v>10922</v>
      </c>
      <c r="L5" s="155" t="s">
        <v>10250</v>
      </c>
    </row>
    <row r="6" spans="1:22" ht="15" customHeight="1">
      <c r="A6" s="151" t="s">
        <v>12098</v>
      </c>
      <c r="B6" s="13" t="s">
        <v>2868</v>
      </c>
      <c r="C6" s="147" t="s">
        <v>2870</v>
      </c>
      <c r="D6" s="156" t="s">
        <v>8438</v>
      </c>
      <c r="E6" s="155" t="s">
        <v>8744</v>
      </c>
      <c r="F6" s="155" t="s">
        <v>8416</v>
      </c>
      <c r="G6" s="155" t="s">
        <v>8439</v>
      </c>
      <c r="H6" s="155" t="s">
        <v>8417</v>
      </c>
      <c r="I6" s="155" t="s">
        <v>8440</v>
      </c>
      <c r="J6" s="155" t="s">
        <v>8689</v>
      </c>
      <c r="K6" s="155" t="s">
        <v>10923</v>
      </c>
      <c r="L6" s="155" t="s">
        <v>10251</v>
      </c>
    </row>
    <row r="7" spans="1:22" ht="15" customHeight="1">
      <c r="A7" s="157" t="s">
        <v>2852</v>
      </c>
      <c r="B7" s="13" t="s">
        <v>2867</v>
      </c>
      <c r="C7" s="13" t="s">
        <v>2248</v>
      </c>
      <c r="D7" s="155" t="s">
        <v>8441</v>
      </c>
      <c r="E7" s="155" t="s">
        <v>8745</v>
      </c>
      <c r="F7" s="155" t="s">
        <v>8632</v>
      </c>
      <c r="G7" s="155" t="s">
        <v>8442</v>
      </c>
      <c r="H7" s="155" t="s">
        <v>8443</v>
      </c>
      <c r="I7" s="155" t="s">
        <v>8444</v>
      </c>
      <c r="J7" s="155" t="s">
        <v>8690</v>
      </c>
      <c r="K7" s="155" t="s">
        <v>10924</v>
      </c>
      <c r="L7" s="155" t="s">
        <v>10252</v>
      </c>
    </row>
    <row r="8" spans="1:22" ht="15" customHeight="1">
      <c r="A8" s="158" t="s">
        <v>2866</v>
      </c>
      <c r="B8" s="147" t="s">
        <v>2869</v>
      </c>
      <c r="C8" s="147" t="s">
        <v>2879</v>
      </c>
      <c r="D8" s="155" t="s">
        <v>8445</v>
      </c>
      <c r="E8" s="155" t="s">
        <v>8746</v>
      </c>
      <c r="F8" s="155" t="s">
        <v>8633</v>
      </c>
      <c r="G8" s="155" t="s">
        <v>8446</v>
      </c>
      <c r="H8" s="155" t="s">
        <v>8447</v>
      </c>
      <c r="I8" s="155" t="s">
        <v>8448</v>
      </c>
      <c r="J8" s="155" t="s">
        <v>8691</v>
      </c>
      <c r="K8" s="155" t="s">
        <v>10925</v>
      </c>
      <c r="L8" s="155" t="s">
        <v>10253</v>
      </c>
    </row>
    <row r="9" spans="1:22" ht="15" customHeight="1">
      <c r="A9" s="967" t="s">
        <v>8418</v>
      </c>
      <c r="B9" s="968" t="s">
        <v>8419</v>
      </c>
      <c r="C9" s="968" t="s">
        <v>8420</v>
      </c>
      <c r="D9" s="171" t="s">
        <v>8449</v>
      </c>
      <c r="E9" s="171" t="s">
        <v>8795</v>
      </c>
      <c r="F9" s="171" t="s">
        <v>8683</v>
      </c>
      <c r="G9" s="171" t="s">
        <v>8450</v>
      </c>
      <c r="H9" s="171" t="s">
        <v>8451</v>
      </c>
      <c r="I9" s="171" t="s">
        <v>8796</v>
      </c>
      <c r="J9" s="171" t="s">
        <v>8692</v>
      </c>
      <c r="K9" s="171" t="s">
        <v>10926</v>
      </c>
      <c r="L9" s="171" t="s">
        <v>13366</v>
      </c>
    </row>
    <row r="10" spans="1:22" ht="15" customHeight="1">
      <c r="A10" s="159" t="s">
        <v>2186</v>
      </c>
      <c r="B10" s="147" t="s">
        <v>14</v>
      </c>
      <c r="C10" s="147" t="s">
        <v>2880</v>
      </c>
      <c r="D10" s="155" t="s">
        <v>14</v>
      </c>
      <c r="E10" s="155" t="s">
        <v>8747</v>
      </c>
      <c r="F10" s="155" t="s">
        <v>8634</v>
      </c>
      <c r="G10" s="155" t="s">
        <v>8452</v>
      </c>
      <c r="H10" s="155" t="s">
        <v>8453</v>
      </c>
      <c r="I10" s="155" t="s">
        <v>8454</v>
      </c>
      <c r="J10" s="155" t="s">
        <v>8693</v>
      </c>
      <c r="K10" s="155" t="s">
        <v>10927</v>
      </c>
      <c r="L10" s="155" t="s">
        <v>10254</v>
      </c>
    </row>
    <row r="11" spans="1:22" ht="15" customHeight="1">
      <c r="A11" s="151" t="s">
        <v>2656</v>
      </c>
      <c r="B11" s="147" t="s">
        <v>2677</v>
      </c>
      <c r="C11" s="147" t="s">
        <v>2881</v>
      </c>
      <c r="D11" s="155" t="s">
        <v>2677</v>
      </c>
      <c r="E11" s="155" t="s">
        <v>8748</v>
      </c>
      <c r="F11" s="155" t="s">
        <v>8635</v>
      </c>
      <c r="G11" s="155" t="s">
        <v>8455</v>
      </c>
      <c r="H11" s="155" t="s">
        <v>8456</v>
      </c>
      <c r="I11" s="155" t="s">
        <v>8457</v>
      </c>
      <c r="J11" s="155" t="s">
        <v>8694</v>
      </c>
      <c r="K11" s="155" t="s">
        <v>10928</v>
      </c>
      <c r="L11" s="155" t="s">
        <v>10255</v>
      </c>
    </row>
    <row r="12" spans="1:22" ht="15" customHeight="1">
      <c r="A12" s="151" t="s">
        <v>2854</v>
      </c>
      <c r="B12" s="147" t="s">
        <v>2855</v>
      </c>
      <c r="C12" s="147" t="s">
        <v>8421</v>
      </c>
      <c r="D12" s="155" t="s">
        <v>8458</v>
      </c>
      <c r="E12" s="155" t="s">
        <v>8749</v>
      </c>
      <c r="F12" s="155" t="s">
        <v>8636</v>
      </c>
      <c r="G12" s="155" t="s">
        <v>8459</v>
      </c>
      <c r="H12" s="155" t="s">
        <v>8460</v>
      </c>
      <c r="I12" s="155" t="s">
        <v>8461</v>
      </c>
      <c r="J12" s="155" t="s">
        <v>8695</v>
      </c>
      <c r="K12" s="155" t="s">
        <v>10929</v>
      </c>
      <c r="L12" s="155" t="s">
        <v>10256</v>
      </c>
    </row>
    <row r="13" spans="1:22" ht="15" customHeight="1">
      <c r="A13" s="967" t="s">
        <v>2886</v>
      </c>
      <c r="B13" s="968" t="s">
        <v>2891</v>
      </c>
      <c r="C13" s="968" t="s">
        <v>2892</v>
      </c>
      <c r="D13" s="171" t="s">
        <v>8462</v>
      </c>
      <c r="E13" s="155" t="s">
        <v>8750</v>
      </c>
      <c r="F13" s="155" t="s">
        <v>8637</v>
      </c>
      <c r="G13" s="155" t="s">
        <v>8463</v>
      </c>
      <c r="H13" s="171" t="s">
        <v>8464</v>
      </c>
      <c r="I13" s="155" t="s">
        <v>8465</v>
      </c>
      <c r="J13" s="155" t="s">
        <v>8696</v>
      </c>
      <c r="K13" s="171" t="s">
        <v>10930</v>
      </c>
      <c r="L13" s="171" t="s">
        <v>13367</v>
      </c>
    </row>
    <row r="14" spans="1:22" ht="15" customHeight="1">
      <c r="A14" s="157" t="s">
        <v>2206</v>
      </c>
      <c r="B14" s="13" t="s">
        <v>2258</v>
      </c>
      <c r="C14" s="13" t="s">
        <v>2247</v>
      </c>
      <c r="D14" s="160" t="s">
        <v>11749</v>
      </c>
      <c r="E14" s="155" t="s">
        <v>8751</v>
      </c>
      <c r="F14" s="155" t="s">
        <v>8638</v>
      </c>
      <c r="G14" s="155" t="s">
        <v>8466</v>
      </c>
      <c r="H14" s="155" t="s">
        <v>8467</v>
      </c>
      <c r="I14" s="155" t="s">
        <v>8468</v>
      </c>
      <c r="J14" s="155" t="s">
        <v>8697</v>
      </c>
      <c r="K14" s="155" t="s">
        <v>10931</v>
      </c>
      <c r="L14" s="155" t="s">
        <v>2206</v>
      </c>
    </row>
    <row r="15" spans="1:22" ht="15" customHeight="1">
      <c r="A15" s="161" t="s">
        <v>2856</v>
      </c>
      <c r="B15" s="13" t="s">
        <v>2871</v>
      </c>
      <c r="C15" s="13" t="s">
        <v>2872</v>
      </c>
      <c r="D15" s="156" t="s">
        <v>11750</v>
      </c>
      <c r="E15" s="155" t="s">
        <v>8752</v>
      </c>
      <c r="F15" s="155" t="s">
        <v>8639</v>
      </c>
      <c r="G15" s="155" t="s">
        <v>8469</v>
      </c>
      <c r="H15" s="155" t="s">
        <v>8470</v>
      </c>
      <c r="I15" s="155" t="s">
        <v>8471</v>
      </c>
      <c r="J15" s="155" t="s">
        <v>8698</v>
      </c>
      <c r="K15" s="155" t="s">
        <v>10932</v>
      </c>
      <c r="L15" s="155" t="s">
        <v>10257</v>
      </c>
    </row>
    <row r="16" spans="1:22" ht="15" customHeight="1">
      <c r="A16" s="159" t="s">
        <v>2180</v>
      </c>
      <c r="B16" s="13" t="s">
        <v>2255</v>
      </c>
      <c r="C16" s="13" t="s">
        <v>2244</v>
      </c>
      <c r="D16" s="156" t="s">
        <v>8472</v>
      </c>
      <c r="E16" s="155" t="s">
        <v>8753</v>
      </c>
      <c r="F16" s="155" t="s">
        <v>8640</v>
      </c>
      <c r="G16" s="155" t="s">
        <v>8473</v>
      </c>
      <c r="H16" s="155" t="s">
        <v>8474</v>
      </c>
      <c r="I16" s="155" t="s">
        <v>8475</v>
      </c>
      <c r="J16" s="155" t="s">
        <v>8699</v>
      </c>
      <c r="K16" s="155" t="s">
        <v>10933</v>
      </c>
      <c r="L16" s="155" t="s">
        <v>10258</v>
      </c>
    </row>
    <row r="17" spans="1:15" ht="15" customHeight="1">
      <c r="A17" s="159" t="s">
        <v>2205</v>
      </c>
      <c r="B17" s="13" t="s">
        <v>2257</v>
      </c>
      <c r="C17" s="13" t="s">
        <v>2246</v>
      </c>
      <c r="D17" s="156" t="s">
        <v>8476</v>
      </c>
      <c r="E17" s="155" t="s">
        <v>8754</v>
      </c>
      <c r="F17" s="155" t="s">
        <v>8641</v>
      </c>
      <c r="G17" s="155" t="s">
        <v>8477</v>
      </c>
      <c r="H17" s="155" t="s">
        <v>8478</v>
      </c>
      <c r="I17" s="155" t="s">
        <v>8479</v>
      </c>
      <c r="J17" s="155" t="s">
        <v>8700</v>
      </c>
      <c r="K17" s="155" t="s">
        <v>10934</v>
      </c>
      <c r="L17" s="155" t="s">
        <v>10259</v>
      </c>
    </row>
    <row r="18" spans="1:15" ht="15" customHeight="1">
      <c r="A18" s="162" t="s">
        <v>2181</v>
      </c>
      <c r="B18" s="13" t="s">
        <v>2256</v>
      </c>
      <c r="C18" s="13" t="s">
        <v>2245</v>
      </c>
      <c r="D18" s="156" t="s">
        <v>8480</v>
      </c>
      <c r="E18" s="155" t="s">
        <v>8755</v>
      </c>
      <c r="F18" s="155" t="s">
        <v>8642</v>
      </c>
      <c r="G18" s="155" t="s">
        <v>8481</v>
      </c>
      <c r="H18" s="155" t="s">
        <v>8482</v>
      </c>
      <c r="I18" s="155" t="s">
        <v>8483</v>
      </c>
      <c r="J18" s="155" t="s">
        <v>8701</v>
      </c>
      <c r="K18" s="155" t="s">
        <v>10935</v>
      </c>
      <c r="L18" s="155" t="s">
        <v>10260</v>
      </c>
    </row>
    <row r="19" spans="1:15" ht="15" customHeight="1">
      <c r="A19" s="151" t="s">
        <v>2222</v>
      </c>
      <c r="B19" s="13" t="s">
        <v>8422</v>
      </c>
      <c r="C19" s="13" t="s">
        <v>2253</v>
      </c>
      <c r="D19" s="155" t="s">
        <v>8484</v>
      </c>
      <c r="E19" s="155" t="s">
        <v>8756</v>
      </c>
      <c r="F19" s="148" t="s">
        <v>8643</v>
      </c>
      <c r="G19" s="148" t="s">
        <v>8485</v>
      </c>
      <c r="H19" s="148" t="s">
        <v>8486</v>
      </c>
      <c r="I19" s="148" t="s">
        <v>8487</v>
      </c>
      <c r="J19" s="148" t="s">
        <v>8702</v>
      </c>
      <c r="K19" s="149" t="s">
        <v>10936</v>
      </c>
      <c r="L19" s="150" t="s">
        <v>10261</v>
      </c>
      <c r="N19" s="148"/>
      <c r="O19" s="148"/>
    </row>
    <row r="20" spans="1:15" ht="15" customHeight="1">
      <c r="A20" s="157" t="s">
        <v>2436</v>
      </c>
      <c r="B20" s="13" t="s">
        <v>2678</v>
      </c>
      <c r="C20" s="13" t="s">
        <v>2437</v>
      </c>
      <c r="D20" s="155" t="s">
        <v>8488</v>
      </c>
      <c r="E20" s="155" t="s">
        <v>8757</v>
      </c>
      <c r="F20" s="148" t="s">
        <v>8644</v>
      </c>
      <c r="G20" s="148" t="s">
        <v>8489</v>
      </c>
      <c r="H20" s="148" t="s">
        <v>8490</v>
      </c>
      <c r="I20" s="148" t="s">
        <v>8491</v>
      </c>
      <c r="J20" s="148" t="s">
        <v>8703</v>
      </c>
      <c r="K20" s="148" t="s">
        <v>10937</v>
      </c>
      <c r="L20" s="155" t="s">
        <v>10262</v>
      </c>
    </row>
    <row r="21" spans="1:15" ht="15" customHeight="1">
      <c r="A21" s="157" t="s">
        <v>11694</v>
      </c>
      <c r="B21" s="13" t="s">
        <v>11705</v>
      </c>
      <c r="C21" s="13" t="s">
        <v>11704</v>
      </c>
      <c r="D21" s="155" t="s">
        <v>11703</v>
      </c>
      <c r="E21" s="155" t="s">
        <v>11702</v>
      </c>
      <c r="F21" s="148" t="s">
        <v>11701</v>
      </c>
      <c r="G21" s="148" t="s">
        <v>11700</v>
      </c>
      <c r="H21" s="148" t="s">
        <v>11699</v>
      </c>
      <c r="I21" s="148" t="s">
        <v>11698</v>
      </c>
      <c r="J21" s="148" t="s">
        <v>11697</v>
      </c>
      <c r="K21" s="148" t="s">
        <v>11696</v>
      </c>
      <c r="L21" s="155" t="s">
        <v>11695</v>
      </c>
    </row>
    <row r="22" spans="1:15" ht="15" customHeight="1">
      <c r="A22" s="157" t="s">
        <v>11687</v>
      </c>
      <c r="B22" s="13" t="s">
        <v>11688</v>
      </c>
      <c r="C22" s="13" t="s">
        <v>11687</v>
      </c>
      <c r="D22" s="155" t="s">
        <v>11689</v>
      </c>
      <c r="E22" s="155" t="s">
        <v>11690</v>
      </c>
      <c r="F22" s="148" t="s">
        <v>11689</v>
      </c>
      <c r="G22" s="148" t="s">
        <v>11687</v>
      </c>
      <c r="H22" s="148" t="s">
        <v>11687</v>
      </c>
      <c r="I22" s="148" t="s">
        <v>11689</v>
      </c>
      <c r="J22" s="148" t="s">
        <v>11691</v>
      </c>
      <c r="K22" s="148" t="s">
        <v>11692</v>
      </c>
      <c r="L22" s="155" t="s">
        <v>11693</v>
      </c>
    </row>
    <row r="23" spans="1:15" ht="15" customHeight="1">
      <c r="A23" s="151" t="s">
        <v>2254</v>
      </c>
      <c r="B23" s="151" t="s">
        <v>11684</v>
      </c>
      <c r="C23" s="147" t="s">
        <v>11685</v>
      </c>
      <c r="D23" s="155" t="s">
        <v>8492</v>
      </c>
      <c r="E23" s="155" t="s">
        <v>8758</v>
      </c>
      <c r="F23" s="148" t="s">
        <v>8645</v>
      </c>
      <c r="G23" s="148" t="s">
        <v>2884</v>
      </c>
      <c r="H23" s="148" t="s">
        <v>2254</v>
      </c>
      <c r="I23" s="155" t="s">
        <v>2254</v>
      </c>
      <c r="J23" s="155" t="s">
        <v>8704</v>
      </c>
      <c r="K23" s="155" t="s">
        <v>2254</v>
      </c>
      <c r="L23" s="155" t="s">
        <v>10299</v>
      </c>
    </row>
    <row r="24" spans="1:15" ht="15" customHeight="1">
      <c r="A24" s="157" t="s">
        <v>2218</v>
      </c>
      <c r="B24" s="151" t="s">
        <v>5</v>
      </c>
      <c r="C24" s="147" t="s">
        <v>2249</v>
      </c>
      <c r="D24" s="163" t="s">
        <v>8493</v>
      </c>
      <c r="E24" s="155" t="s">
        <v>8759</v>
      </c>
      <c r="F24" s="164" t="s">
        <v>8646</v>
      </c>
      <c r="G24" s="164" t="s">
        <v>8494</v>
      </c>
      <c r="H24" s="164" t="s">
        <v>8494</v>
      </c>
      <c r="I24" s="164" t="s">
        <v>8495</v>
      </c>
      <c r="J24" s="164" t="s">
        <v>8705</v>
      </c>
      <c r="K24" s="155" t="s">
        <v>10938</v>
      </c>
      <c r="L24" s="155" t="s">
        <v>10263</v>
      </c>
    </row>
    <row r="25" spans="1:15" ht="15" customHeight="1">
      <c r="A25" s="151" t="s">
        <v>2851</v>
      </c>
      <c r="B25" s="151" t="s">
        <v>2873</v>
      </c>
      <c r="C25" s="147" t="s">
        <v>2242</v>
      </c>
      <c r="D25" s="163" t="s">
        <v>8496</v>
      </c>
      <c r="E25" s="155" t="s">
        <v>8760</v>
      </c>
      <c r="F25" s="155" t="s">
        <v>8647</v>
      </c>
      <c r="G25" s="155" t="s">
        <v>8497</v>
      </c>
      <c r="H25" s="155" t="s">
        <v>8497</v>
      </c>
      <c r="I25" s="155" t="s">
        <v>8498</v>
      </c>
      <c r="J25" s="155" t="s">
        <v>8706</v>
      </c>
      <c r="K25" s="155" t="s">
        <v>10939</v>
      </c>
      <c r="L25" s="155" t="s">
        <v>10264</v>
      </c>
    </row>
    <row r="26" spans="1:15" ht="15" customHeight="1">
      <c r="A26" s="151" t="s">
        <v>12099</v>
      </c>
      <c r="B26" s="157" t="s">
        <v>2878</v>
      </c>
      <c r="C26" s="147" t="s">
        <v>2853</v>
      </c>
      <c r="D26" s="163" t="s">
        <v>8499</v>
      </c>
      <c r="E26" s="155" t="s">
        <v>8761</v>
      </c>
      <c r="F26" s="155" t="s">
        <v>8648</v>
      </c>
      <c r="G26" s="155" t="s">
        <v>8424</v>
      </c>
      <c r="H26" s="149" t="s">
        <v>8424</v>
      </c>
      <c r="I26" s="155" t="s">
        <v>8500</v>
      </c>
      <c r="J26" s="155" t="s">
        <v>8707</v>
      </c>
      <c r="K26" s="155" t="s">
        <v>10940</v>
      </c>
      <c r="L26" s="155" t="s">
        <v>10265</v>
      </c>
    </row>
    <row r="27" spans="1:15" ht="15" customHeight="1">
      <c r="A27" s="157" t="s">
        <v>2207</v>
      </c>
      <c r="B27" s="13" t="s">
        <v>2874</v>
      </c>
      <c r="C27" s="13" t="s">
        <v>2267</v>
      </c>
      <c r="D27" s="163" t="s">
        <v>8501</v>
      </c>
      <c r="E27" s="155" t="s">
        <v>8762</v>
      </c>
      <c r="F27" s="155" t="s">
        <v>8649</v>
      </c>
      <c r="G27" s="155" t="s">
        <v>8502</v>
      </c>
      <c r="H27" s="155" t="s">
        <v>2267</v>
      </c>
      <c r="I27" s="155" t="s">
        <v>8503</v>
      </c>
      <c r="J27" s="155" t="s">
        <v>8708</v>
      </c>
      <c r="K27" s="155" t="s">
        <v>10941</v>
      </c>
      <c r="L27" s="155" t="s">
        <v>10301</v>
      </c>
    </row>
    <row r="28" spans="1:15" ht="15" customHeight="1">
      <c r="A28" s="151" t="s">
        <v>2220</v>
      </c>
      <c r="B28" s="13" t="s">
        <v>2204</v>
      </c>
      <c r="C28" s="13" t="s">
        <v>2251</v>
      </c>
      <c r="D28" s="163" t="s">
        <v>8504</v>
      </c>
      <c r="E28" s="155" t="s">
        <v>8763</v>
      </c>
      <c r="F28" s="155" t="s">
        <v>8650</v>
      </c>
      <c r="G28" s="155" t="s">
        <v>8505</v>
      </c>
      <c r="H28" s="155" t="s">
        <v>8506</v>
      </c>
      <c r="I28" s="155" t="s">
        <v>8507</v>
      </c>
      <c r="J28" s="155" t="s">
        <v>8709</v>
      </c>
      <c r="K28" s="155" t="s">
        <v>10942</v>
      </c>
      <c r="L28" s="155" t="s">
        <v>10266</v>
      </c>
    </row>
    <row r="29" spans="1:15" ht="15" customHeight="1">
      <c r="A29" s="151" t="s">
        <v>11708</v>
      </c>
      <c r="B29" s="13" t="s">
        <v>2876</v>
      </c>
      <c r="C29" s="13" t="s">
        <v>2877</v>
      </c>
      <c r="D29" s="163" t="s">
        <v>8508</v>
      </c>
      <c r="E29" s="155" t="s">
        <v>8764</v>
      </c>
      <c r="F29" s="155" t="s">
        <v>8651</v>
      </c>
      <c r="G29" s="155" t="s">
        <v>8509</v>
      </c>
      <c r="H29" s="155" t="s">
        <v>8510</v>
      </c>
      <c r="I29" s="155" t="s">
        <v>8511</v>
      </c>
      <c r="J29" s="155" t="s">
        <v>8710</v>
      </c>
      <c r="K29" s="155" t="s">
        <v>10943</v>
      </c>
      <c r="L29" s="155" t="s">
        <v>10267</v>
      </c>
    </row>
    <row r="30" spans="1:15" ht="15" customHeight="1">
      <c r="A30" s="151" t="s">
        <v>2213</v>
      </c>
      <c r="B30" s="147" t="s">
        <v>2</v>
      </c>
      <c r="C30" s="147" t="s">
        <v>2243</v>
      </c>
      <c r="D30" s="155" t="s">
        <v>8512</v>
      </c>
      <c r="E30" s="155" t="s">
        <v>8765</v>
      </c>
      <c r="F30" s="155" t="s">
        <v>8652</v>
      </c>
      <c r="G30" s="155" t="s">
        <v>8513</v>
      </c>
      <c r="H30" s="155" t="s">
        <v>8513</v>
      </c>
      <c r="I30" s="155" t="s">
        <v>8514</v>
      </c>
      <c r="J30" s="155" t="s">
        <v>8711</v>
      </c>
      <c r="K30" s="155" t="s">
        <v>10944</v>
      </c>
      <c r="L30" s="155" t="s">
        <v>10268</v>
      </c>
    </row>
    <row r="31" spans="1:15" ht="15" customHeight="1">
      <c r="A31" s="151" t="s">
        <v>2858</v>
      </c>
      <c r="B31" s="13" t="s">
        <v>2887</v>
      </c>
      <c r="C31" s="13" t="s">
        <v>2888</v>
      </c>
      <c r="D31" s="156" t="s">
        <v>8515</v>
      </c>
      <c r="E31" s="155" t="s">
        <v>8766</v>
      </c>
      <c r="F31" s="155" t="s">
        <v>8653</v>
      </c>
      <c r="G31" s="155" t="s">
        <v>8516</v>
      </c>
      <c r="H31" s="155" t="s">
        <v>8516</v>
      </c>
      <c r="I31" s="155" t="s">
        <v>8517</v>
      </c>
      <c r="J31" s="155" t="s">
        <v>8712</v>
      </c>
      <c r="K31" s="155" t="s">
        <v>10945</v>
      </c>
      <c r="L31" s="155" t="s">
        <v>10269</v>
      </c>
    </row>
    <row r="32" spans="1:15" ht="15" customHeight="1">
      <c r="A32" s="151" t="s">
        <v>2214</v>
      </c>
      <c r="B32" s="151" t="s">
        <v>8521</v>
      </c>
      <c r="C32" s="147" t="s">
        <v>11686</v>
      </c>
      <c r="D32" s="165" t="s">
        <v>8518</v>
      </c>
      <c r="E32" s="155" t="s">
        <v>8767</v>
      </c>
      <c r="F32" s="155" t="s">
        <v>8684</v>
      </c>
      <c r="G32" s="155" t="s">
        <v>8519</v>
      </c>
      <c r="H32" s="155" t="s">
        <v>8520</v>
      </c>
      <c r="I32" s="155" t="s">
        <v>8521</v>
      </c>
      <c r="K32" s="155" t="s">
        <v>10946</v>
      </c>
      <c r="L32" s="155" t="s">
        <v>10300</v>
      </c>
    </row>
    <row r="33" spans="1:12" ht="15" customHeight="1">
      <c r="A33" s="157" t="s">
        <v>2860</v>
      </c>
      <c r="B33" s="13" t="s">
        <v>2758</v>
      </c>
      <c r="C33" s="969" t="s">
        <v>2846</v>
      </c>
      <c r="D33" s="165" t="s">
        <v>8522</v>
      </c>
      <c r="E33" s="155" t="s">
        <v>8768</v>
      </c>
      <c r="F33" s="155" t="s">
        <v>8654</v>
      </c>
      <c r="G33" s="155" t="s">
        <v>8523</v>
      </c>
      <c r="H33" s="148" t="s">
        <v>8523</v>
      </c>
      <c r="I33" s="155" t="s">
        <v>8524</v>
      </c>
      <c r="J33" s="155" t="s">
        <v>8713</v>
      </c>
      <c r="K33" s="155" t="s">
        <v>10947</v>
      </c>
      <c r="L33" s="155" t="s">
        <v>10270</v>
      </c>
    </row>
    <row r="34" spans="1:12" ht="15" customHeight="1">
      <c r="A34" s="151" t="s">
        <v>9</v>
      </c>
      <c r="B34" s="13" t="s">
        <v>2882</v>
      </c>
      <c r="C34" s="13" t="s">
        <v>2883</v>
      </c>
      <c r="D34" s="163" t="s">
        <v>2930</v>
      </c>
      <c r="E34" s="155" t="s">
        <v>2931</v>
      </c>
      <c r="F34" s="148" t="s">
        <v>2932</v>
      </c>
      <c r="G34" s="148" t="s">
        <v>2928</v>
      </c>
      <c r="H34" s="148" t="s">
        <v>2928</v>
      </c>
      <c r="I34" s="148" t="s">
        <v>2929</v>
      </c>
      <c r="J34" s="148" t="s">
        <v>8714</v>
      </c>
      <c r="K34" s="155" t="s">
        <v>10948</v>
      </c>
      <c r="L34" s="155" t="s">
        <v>10271</v>
      </c>
    </row>
    <row r="35" spans="1:12" ht="15" customHeight="1">
      <c r="A35" s="166" t="s">
        <v>2859</v>
      </c>
      <c r="B35" s="13" t="s">
        <v>2889</v>
      </c>
      <c r="C35" s="13" t="s">
        <v>2890</v>
      </c>
      <c r="D35" s="163" t="s">
        <v>8525</v>
      </c>
      <c r="E35" s="155" t="s">
        <v>8769</v>
      </c>
      <c r="F35" s="155" t="s">
        <v>8655</v>
      </c>
      <c r="G35" s="155" t="s">
        <v>8526</v>
      </c>
      <c r="H35" s="155" t="s">
        <v>8527</v>
      </c>
      <c r="I35" s="155" t="s">
        <v>8528</v>
      </c>
      <c r="J35" s="155" t="s">
        <v>8715</v>
      </c>
      <c r="K35" s="155" t="s">
        <v>10949</v>
      </c>
      <c r="L35" s="155" t="s">
        <v>10272</v>
      </c>
    </row>
    <row r="36" spans="1:12" ht="15" customHeight="1">
      <c r="A36" s="151" t="s">
        <v>2221</v>
      </c>
      <c r="B36" s="13" t="s">
        <v>6</v>
      </c>
      <c r="C36" s="13" t="s">
        <v>2252</v>
      </c>
      <c r="D36" s="163" t="s">
        <v>8423</v>
      </c>
      <c r="E36" s="155" t="s">
        <v>8770</v>
      </c>
      <c r="F36" s="155" t="s">
        <v>8656</v>
      </c>
      <c r="G36" s="155" t="s">
        <v>8529</v>
      </c>
      <c r="H36" s="155" t="s">
        <v>8529</v>
      </c>
      <c r="I36" s="155" t="s">
        <v>8530</v>
      </c>
      <c r="J36" s="155" t="s">
        <v>8716</v>
      </c>
      <c r="K36" s="155" t="s">
        <v>10950</v>
      </c>
      <c r="L36" s="155" t="s">
        <v>10273</v>
      </c>
    </row>
    <row r="37" spans="1:12" ht="15" customHeight="1">
      <c r="A37" s="161" t="s">
        <v>11544</v>
      </c>
      <c r="B37" s="147" t="s">
        <v>11645</v>
      </c>
      <c r="C37" s="147" t="s">
        <v>11646</v>
      </c>
      <c r="D37" s="163" t="s">
        <v>11647</v>
      </c>
      <c r="E37" s="155" t="s">
        <v>11648</v>
      </c>
      <c r="F37" s="155" t="s">
        <v>11649</v>
      </c>
      <c r="G37" s="155" t="s">
        <v>11647</v>
      </c>
      <c r="H37" s="155" t="s">
        <v>11650</v>
      </c>
      <c r="I37" s="155" t="s">
        <v>11651</v>
      </c>
      <c r="J37" s="155" t="s">
        <v>11652</v>
      </c>
      <c r="K37" s="155" t="s">
        <v>11653</v>
      </c>
      <c r="L37" s="155" t="s">
        <v>11644</v>
      </c>
    </row>
    <row r="38" spans="1:12" ht="15" customHeight="1">
      <c r="A38" s="151" t="s">
        <v>2219</v>
      </c>
      <c r="B38" s="13" t="s">
        <v>2203</v>
      </c>
      <c r="C38" s="13" t="s">
        <v>2250</v>
      </c>
      <c r="D38" s="163" t="s">
        <v>8531</v>
      </c>
      <c r="E38" s="155" t="s">
        <v>8771</v>
      </c>
      <c r="F38" s="155" t="s">
        <v>8657</v>
      </c>
      <c r="G38" s="155" t="s">
        <v>8532</v>
      </c>
      <c r="H38" s="155" t="s">
        <v>8533</v>
      </c>
      <c r="I38" s="155" t="s">
        <v>8534</v>
      </c>
      <c r="J38" s="155" t="s">
        <v>8717</v>
      </c>
      <c r="K38" s="155" t="s">
        <v>10951</v>
      </c>
      <c r="L38" s="155" t="s">
        <v>10274</v>
      </c>
    </row>
    <row r="39" spans="1:12" ht="15" customHeight="1">
      <c r="A39" s="151" t="s">
        <v>7</v>
      </c>
      <c r="B39" s="151" t="s">
        <v>7</v>
      </c>
      <c r="C39" s="147" t="s">
        <v>7</v>
      </c>
      <c r="D39" s="163" t="s">
        <v>8535</v>
      </c>
      <c r="E39" s="155" t="s">
        <v>7</v>
      </c>
      <c r="F39" s="155" t="s">
        <v>8658</v>
      </c>
      <c r="G39" s="155" t="s">
        <v>7</v>
      </c>
      <c r="H39" s="155" t="s">
        <v>7</v>
      </c>
      <c r="I39" s="155" t="s">
        <v>8536</v>
      </c>
      <c r="J39" s="155" t="s">
        <v>8718</v>
      </c>
      <c r="K39" s="155" t="s">
        <v>8718</v>
      </c>
      <c r="L39" s="155" t="s">
        <v>7</v>
      </c>
    </row>
    <row r="40" spans="1:12" ht="15" customHeight="1">
      <c r="A40" s="151" t="s">
        <v>2755</v>
      </c>
      <c r="B40" s="151" t="s">
        <v>2802</v>
      </c>
      <c r="C40" s="147" t="s">
        <v>2805</v>
      </c>
      <c r="D40" s="163" t="s">
        <v>8537</v>
      </c>
      <c r="E40" s="155" t="s">
        <v>8772</v>
      </c>
      <c r="F40" s="155" t="s">
        <v>8659</v>
      </c>
      <c r="G40" s="155" t="s">
        <v>8538</v>
      </c>
      <c r="H40" s="155" t="s">
        <v>8539</v>
      </c>
      <c r="I40" s="155" t="s">
        <v>8540</v>
      </c>
      <c r="J40" s="155" t="s">
        <v>8719</v>
      </c>
      <c r="K40" s="155" t="s">
        <v>9594</v>
      </c>
      <c r="L40" s="155" t="s">
        <v>10275</v>
      </c>
    </row>
    <row r="41" spans="1:12" ht="15" customHeight="1">
      <c r="A41" s="151" t="s">
        <v>2800</v>
      </c>
      <c r="B41" s="151" t="s">
        <v>2803</v>
      </c>
      <c r="C41" s="147" t="s">
        <v>2806</v>
      </c>
      <c r="D41" s="163" t="s">
        <v>8541</v>
      </c>
      <c r="E41" s="155" t="s">
        <v>8773</v>
      </c>
      <c r="F41" s="155" t="s">
        <v>8660</v>
      </c>
      <c r="G41" s="155" t="s">
        <v>8542</v>
      </c>
      <c r="H41" s="155" t="s">
        <v>8543</v>
      </c>
      <c r="I41" s="155" t="s">
        <v>8544</v>
      </c>
      <c r="J41" s="155" t="s">
        <v>8720</v>
      </c>
      <c r="K41" s="155" t="s">
        <v>9595</v>
      </c>
      <c r="L41" s="155" t="s">
        <v>10276</v>
      </c>
    </row>
    <row r="42" spans="1:12" ht="15" customHeight="1">
      <c r="A42" s="151" t="s">
        <v>11773</v>
      </c>
      <c r="B42" s="151" t="s">
        <v>11774</v>
      </c>
      <c r="C42" s="147" t="s">
        <v>11775</v>
      </c>
      <c r="D42" s="163" t="s">
        <v>11776</v>
      </c>
      <c r="E42" s="155" t="s">
        <v>11777</v>
      </c>
      <c r="F42" s="155" t="s">
        <v>11778</v>
      </c>
      <c r="G42" s="155" t="s">
        <v>11779</v>
      </c>
      <c r="H42" s="155" t="s">
        <v>11780</v>
      </c>
      <c r="I42" s="155" t="s">
        <v>11781</v>
      </c>
      <c r="J42" s="155" t="s">
        <v>11782</v>
      </c>
      <c r="K42" s="155" t="s">
        <v>11783</v>
      </c>
      <c r="L42" s="155" t="s">
        <v>11784</v>
      </c>
    </row>
    <row r="43" spans="1:12" ht="15" customHeight="1">
      <c r="A43" s="151" t="s">
        <v>2801</v>
      </c>
      <c r="B43" s="151" t="s">
        <v>2804</v>
      </c>
      <c r="C43" s="147" t="s">
        <v>2895</v>
      </c>
      <c r="D43" s="163" t="s">
        <v>8545</v>
      </c>
      <c r="E43" s="155" t="s">
        <v>8774</v>
      </c>
      <c r="F43" s="155" t="s">
        <v>8661</v>
      </c>
      <c r="G43" s="155" t="s">
        <v>8546</v>
      </c>
      <c r="H43" s="155" t="s">
        <v>8547</v>
      </c>
      <c r="I43" s="155" t="s">
        <v>8548</v>
      </c>
      <c r="J43" s="155" t="s">
        <v>8721</v>
      </c>
      <c r="K43" s="155" t="s">
        <v>9596</v>
      </c>
      <c r="L43" s="155" t="s">
        <v>10277</v>
      </c>
    </row>
    <row r="44" spans="1:12" ht="15" customHeight="1">
      <c r="A44" s="151" t="s">
        <v>2844</v>
      </c>
      <c r="B44" s="151" t="s">
        <v>2843</v>
      </c>
      <c r="C44" s="147" t="s">
        <v>2845</v>
      </c>
      <c r="D44" s="163" t="s">
        <v>8549</v>
      </c>
      <c r="E44" s="155" t="s">
        <v>8775</v>
      </c>
      <c r="F44" s="155" t="s">
        <v>8662</v>
      </c>
      <c r="G44" s="155" t="s">
        <v>8550</v>
      </c>
      <c r="H44" s="155" t="s">
        <v>8551</v>
      </c>
      <c r="I44" s="155" t="s">
        <v>8552</v>
      </c>
      <c r="J44" s="155" t="s">
        <v>8722</v>
      </c>
      <c r="K44" s="155" t="s">
        <v>9597</v>
      </c>
      <c r="L44" s="155" t="s">
        <v>10278</v>
      </c>
    </row>
    <row r="45" spans="1:12" ht="15" customHeight="1">
      <c r="A45" s="151" t="s">
        <v>2675</v>
      </c>
      <c r="B45" s="151" t="s">
        <v>2741</v>
      </c>
      <c r="C45" s="147" t="s">
        <v>2798</v>
      </c>
      <c r="D45" s="163" t="s">
        <v>8553</v>
      </c>
      <c r="E45" s="155" t="s">
        <v>8776</v>
      </c>
      <c r="F45" s="155" t="s">
        <v>8663</v>
      </c>
      <c r="G45" s="155" t="s">
        <v>8554</v>
      </c>
      <c r="H45" s="155" t="s">
        <v>8555</v>
      </c>
      <c r="I45" s="155" t="s">
        <v>8556</v>
      </c>
      <c r="J45" s="155" t="s">
        <v>8723</v>
      </c>
      <c r="K45" s="155" t="s">
        <v>9598</v>
      </c>
      <c r="L45" s="155" t="s">
        <v>10279</v>
      </c>
    </row>
    <row r="46" spans="1:12" ht="15" customHeight="1">
      <c r="A46" s="151" t="s">
        <v>13241</v>
      </c>
      <c r="B46" s="151" t="s">
        <v>13242</v>
      </c>
      <c r="C46" s="147" t="s">
        <v>13243</v>
      </c>
      <c r="D46" s="163" t="s">
        <v>13241</v>
      </c>
      <c r="E46" s="155" t="s">
        <v>13244</v>
      </c>
      <c r="F46" s="155" t="s">
        <v>13245</v>
      </c>
      <c r="G46" s="155" t="s">
        <v>13246</v>
      </c>
      <c r="H46" s="155" t="s">
        <v>13246</v>
      </c>
      <c r="I46" s="155" t="s">
        <v>13247</v>
      </c>
      <c r="J46" s="155" t="s">
        <v>13248</v>
      </c>
      <c r="K46" s="155" t="s">
        <v>13249</v>
      </c>
      <c r="L46" s="155" t="s">
        <v>13250</v>
      </c>
    </row>
    <row r="47" spans="1:12" ht="15" customHeight="1">
      <c r="A47" s="151" t="s">
        <v>2660</v>
      </c>
      <c r="B47" s="151" t="s">
        <v>2740</v>
      </c>
      <c r="C47" s="147" t="s">
        <v>2799</v>
      </c>
      <c r="D47" s="163" t="s">
        <v>8557</v>
      </c>
      <c r="E47" s="155" t="s">
        <v>8777</v>
      </c>
      <c r="F47" s="155" t="s">
        <v>8664</v>
      </c>
      <c r="G47" s="155" t="s">
        <v>8558</v>
      </c>
      <c r="H47" s="155" t="s">
        <v>8559</v>
      </c>
      <c r="I47" s="155" t="s">
        <v>8560</v>
      </c>
      <c r="J47" s="155" t="s">
        <v>8724</v>
      </c>
      <c r="K47" s="155" t="s">
        <v>9599</v>
      </c>
      <c r="L47" s="155" t="s">
        <v>10302</v>
      </c>
    </row>
    <row r="48" spans="1:12" ht="15" customHeight="1">
      <c r="A48" s="151" t="s">
        <v>2896</v>
      </c>
      <c r="B48" s="151" t="s">
        <v>2899</v>
      </c>
      <c r="C48" s="147" t="s">
        <v>2900</v>
      </c>
      <c r="D48" s="163" t="s">
        <v>8561</v>
      </c>
      <c r="E48" s="155" t="s">
        <v>8778</v>
      </c>
      <c r="F48" s="155" t="s">
        <v>8665</v>
      </c>
      <c r="G48" s="155" t="s">
        <v>8562</v>
      </c>
      <c r="H48" s="155" t="s">
        <v>8563</v>
      </c>
      <c r="I48" s="155" t="s">
        <v>8564</v>
      </c>
      <c r="J48" s="155" t="s">
        <v>8720</v>
      </c>
      <c r="K48" s="155" t="s">
        <v>9600</v>
      </c>
      <c r="L48" s="155" t="s">
        <v>10282</v>
      </c>
    </row>
    <row r="49" spans="1:12" ht="15" customHeight="1">
      <c r="A49" s="151" t="s">
        <v>2897</v>
      </c>
      <c r="B49" s="151" t="s">
        <v>2901</v>
      </c>
      <c r="C49" s="147" t="s">
        <v>2902</v>
      </c>
      <c r="D49" s="163" t="s">
        <v>8565</v>
      </c>
      <c r="E49" s="155" t="s">
        <v>8779</v>
      </c>
      <c r="F49" s="155" t="s">
        <v>8666</v>
      </c>
      <c r="G49" s="155" t="s">
        <v>8565</v>
      </c>
      <c r="H49" s="155" t="s">
        <v>2901</v>
      </c>
      <c r="I49" s="155" t="s">
        <v>8566</v>
      </c>
      <c r="J49" s="155" t="s">
        <v>8713</v>
      </c>
      <c r="K49" s="155" t="s">
        <v>9601</v>
      </c>
      <c r="L49" s="155" t="s">
        <v>10280</v>
      </c>
    </row>
    <row r="50" spans="1:12" ht="15" customHeight="1">
      <c r="A50" s="151" t="s">
        <v>2898</v>
      </c>
      <c r="B50" s="151" t="s">
        <v>2903</v>
      </c>
      <c r="C50" s="147" t="s">
        <v>2904</v>
      </c>
      <c r="D50" s="163" t="s">
        <v>8567</v>
      </c>
      <c r="E50" s="155" t="s">
        <v>8780</v>
      </c>
      <c r="F50" s="155" t="s">
        <v>8667</v>
      </c>
      <c r="G50" s="155" t="s">
        <v>8568</v>
      </c>
      <c r="H50" s="155" t="s">
        <v>8569</v>
      </c>
      <c r="I50" s="155" t="s">
        <v>8570</v>
      </c>
      <c r="J50" s="155" t="s">
        <v>8725</v>
      </c>
      <c r="K50" s="155" t="s">
        <v>9602</v>
      </c>
      <c r="L50" s="155" t="s">
        <v>10281</v>
      </c>
    </row>
    <row r="51" spans="1:12" ht="15" customHeight="1">
      <c r="A51" s="151" t="s">
        <v>2648</v>
      </c>
      <c r="B51" s="151" t="s">
        <v>2273</v>
      </c>
      <c r="C51" s="147" t="s">
        <v>2268</v>
      </c>
      <c r="D51" s="163" t="s">
        <v>8571</v>
      </c>
      <c r="E51" s="155" t="s">
        <v>8781</v>
      </c>
      <c r="F51" s="155" t="s">
        <v>8668</v>
      </c>
      <c r="G51" s="155" t="s">
        <v>8572</v>
      </c>
      <c r="H51" s="155" t="s">
        <v>8573</v>
      </c>
      <c r="I51" s="155" t="s">
        <v>8574</v>
      </c>
      <c r="J51" s="155" t="s">
        <v>8726</v>
      </c>
      <c r="K51" s="155" t="s">
        <v>10952</v>
      </c>
      <c r="L51" s="155" t="s">
        <v>10283</v>
      </c>
    </row>
    <row r="52" spans="1:12" ht="15" customHeight="1">
      <c r="A52" s="151" t="s">
        <v>13864</v>
      </c>
      <c r="B52" s="151" t="s">
        <v>13865</v>
      </c>
      <c r="C52" s="147" t="s">
        <v>13866</v>
      </c>
      <c r="D52" s="163" t="s">
        <v>13867</v>
      </c>
      <c r="E52" s="155" t="s">
        <v>13868</v>
      </c>
      <c r="F52" s="155" t="s">
        <v>13869</v>
      </c>
      <c r="G52" s="155" t="s">
        <v>13870</v>
      </c>
      <c r="H52" s="155" t="s">
        <v>13871</v>
      </c>
      <c r="I52" s="155" t="s">
        <v>13872</v>
      </c>
      <c r="J52" s="155" t="s">
        <v>13873</v>
      </c>
      <c r="K52" s="155" t="s">
        <v>13874</v>
      </c>
      <c r="L52" s="155" t="s">
        <v>13875</v>
      </c>
    </row>
    <row r="53" spans="1:12" ht="15" customHeight="1">
      <c r="A53" s="151" t="s">
        <v>2649</v>
      </c>
      <c r="B53" s="151" t="s">
        <v>2274</v>
      </c>
      <c r="C53" s="147" t="s">
        <v>2269</v>
      </c>
      <c r="D53" s="163" t="s">
        <v>8575</v>
      </c>
      <c r="E53" s="155" t="s">
        <v>8782</v>
      </c>
      <c r="F53" s="155" t="s">
        <v>8669</v>
      </c>
      <c r="G53" s="155" t="s">
        <v>8576</v>
      </c>
      <c r="H53" s="155" t="s">
        <v>8577</v>
      </c>
      <c r="I53" s="155" t="s">
        <v>8578</v>
      </c>
      <c r="J53" s="155" t="s">
        <v>8727</v>
      </c>
      <c r="K53" s="155" t="s">
        <v>10953</v>
      </c>
      <c r="L53" s="155" t="s">
        <v>10284</v>
      </c>
    </row>
    <row r="54" spans="1:12" ht="15" customHeight="1">
      <c r="A54" s="151" t="s">
        <v>2647</v>
      </c>
      <c r="B54" s="151" t="s">
        <v>2275</v>
      </c>
      <c r="C54" s="147" t="s">
        <v>2270</v>
      </c>
      <c r="D54" s="163" t="s">
        <v>8579</v>
      </c>
      <c r="E54" s="155" t="s">
        <v>8783</v>
      </c>
      <c r="F54" s="155" t="s">
        <v>8670</v>
      </c>
      <c r="G54" s="155" t="s">
        <v>8580</v>
      </c>
      <c r="H54" s="155" t="s">
        <v>8581</v>
      </c>
      <c r="I54" s="155" t="s">
        <v>8582</v>
      </c>
      <c r="J54" s="155" t="s">
        <v>8728</v>
      </c>
      <c r="K54" s="155" t="s">
        <v>10954</v>
      </c>
      <c r="L54" s="155" t="s">
        <v>10285</v>
      </c>
    </row>
    <row r="55" spans="1:12" ht="15" customHeight="1">
      <c r="A55" s="151" t="s">
        <v>2650</v>
      </c>
      <c r="B55" s="151" t="s">
        <v>2276</v>
      </c>
      <c r="C55" s="147" t="s">
        <v>2271</v>
      </c>
      <c r="D55" s="163" t="s">
        <v>8583</v>
      </c>
      <c r="E55" s="155" t="s">
        <v>8784</v>
      </c>
      <c r="F55" s="155" t="s">
        <v>8671</v>
      </c>
      <c r="G55" s="155" t="s">
        <v>8584</v>
      </c>
      <c r="H55" s="155" t="s">
        <v>8585</v>
      </c>
      <c r="I55" s="155" t="s">
        <v>8586</v>
      </c>
      <c r="J55" s="155" t="s">
        <v>8729</v>
      </c>
      <c r="K55" s="155" t="s">
        <v>10955</v>
      </c>
      <c r="L55" s="155" t="s">
        <v>10286</v>
      </c>
    </row>
    <row r="56" spans="1:12" ht="15" customHeight="1">
      <c r="A56" s="151" t="s">
        <v>2651</v>
      </c>
      <c r="B56" s="151" t="s">
        <v>2277</v>
      </c>
      <c r="C56" s="147" t="s">
        <v>2272</v>
      </c>
      <c r="D56" s="163" t="s">
        <v>8587</v>
      </c>
      <c r="E56" s="155" t="s">
        <v>8785</v>
      </c>
      <c r="F56" s="155" t="s">
        <v>8672</v>
      </c>
      <c r="G56" s="155" t="s">
        <v>8588</v>
      </c>
      <c r="H56" s="155" t="s">
        <v>8589</v>
      </c>
      <c r="I56" s="155" t="s">
        <v>8590</v>
      </c>
      <c r="J56" s="155" t="s">
        <v>8730</v>
      </c>
      <c r="K56" s="155" t="s">
        <v>10956</v>
      </c>
      <c r="L56" s="155" t="s">
        <v>10287</v>
      </c>
    </row>
    <row r="57" spans="1:12" ht="15" customHeight="1">
      <c r="A57" s="151" t="s">
        <v>2750</v>
      </c>
      <c r="B57" s="151" t="s">
        <v>2751</v>
      </c>
      <c r="C57" s="147" t="s">
        <v>2797</v>
      </c>
      <c r="D57" s="163" t="s">
        <v>8591</v>
      </c>
      <c r="E57" s="155" t="s">
        <v>10967</v>
      </c>
      <c r="F57" s="155" t="s">
        <v>8673</v>
      </c>
      <c r="G57" s="155" t="s">
        <v>8592</v>
      </c>
      <c r="H57" s="155" t="s">
        <v>8593</v>
      </c>
      <c r="I57" s="155" t="s">
        <v>8594</v>
      </c>
      <c r="J57" s="155" t="s">
        <v>10968</v>
      </c>
      <c r="K57" s="155" t="s">
        <v>10957</v>
      </c>
      <c r="L57" s="155" t="s">
        <v>10288</v>
      </c>
    </row>
    <row r="58" spans="1:12" ht="15" customHeight="1">
      <c r="A58" s="151" t="s">
        <v>2652</v>
      </c>
      <c r="B58" s="151" t="s">
        <v>2752</v>
      </c>
      <c r="C58" s="147" t="s">
        <v>2796</v>
      </c>
      <c r="D58" s="163" t="s">
        <v>8595</v>
      </c>
      <c r="E58" s="155" t="s">
        <v>8786</v>
      </c>
      <c r="F58" s="155" t="s">
        <v>8674</v>
      </c>
      <c r="G58" s="155" t="s">
        <v>8596</v>
      </c>
      <c r="H58" s="155" t="s">
        <v>8597</v>
      </c>
      <c r="I58" s="155" t="s">
        <v>8598</v>
      </c>
      <c r="J58" s="155" t="s">
        <v>8731</v>
      </c>
      <c r="K58" s="155" t="s">
        <v>10958</v>
      </c>
      <c r="L58" s="155" t="s">
        <v>10289</v>
      </c>
    </row>
    <row r="59" spans="1:12" ht="15" customHeight="1">
      <c r="A59" s="151" t="s">
        <v>2909</v>
      </c>
      <c r="B59" s="151" t="s">
        <v>2910</v>
      </c>
      <c r="C59" s="147" t="s">
        <v>2911</v>
      </c>
      <c r="D59" s="163" t="s">
        <v>8599</v>
      </c>
      <c r="E59" s="155" t="s">
        <v>8787</v>
      </c>
      <c r="F59" s="155" t="s">
        <v>8675</v>
      </c>
      <c r="G59" s="155" t="s">
        <v>8600</v>
      </c>
      <c r="H59" s="155" t="s">
        <v>8601</v>
      </c>
      <c r="I59" s="155" t="s">
        <v>8602</v>
      </c>
      <c r="J59" s="155" t="s">
        <v>8732</v>
      </c>
      <c r="K59" s="155" t="s">
        <v>10959</v>
      </c>
      <c r="L59" s="155" t="s">
        <v>10290</v>
      </c>
    </row>
    <row r="60" spans="1:12" ht="15" customHeight="1">
      <c r="A60" s="151" t="s">
        <v>2742</v>
      </c>
      <c r="B60" s="151" t="s">
        <v>2754</v>
      </c>
      <c r="C60" s="147" t="s">
        <v>2807</v>
      </c>
      <c r="D60" s="163" t="s">
        <v>8603</v>
      </c>
      <c r="E60" s="155" t="s">
        <v>8788</v>
      </c>
      <c r="F60" s="155" t="s">
        <v>8676</v>
      </c>
      <c r="G60" s="155" t="s">
        <v>8604</v>
      </c>
      <c r="H60" s="155" t="s">
        <v>8605</v>
      </c>
      <c r="I60" s="155" t="s">
        <v>8606</v>
      </c>
      <c r="J60" s="155" t="s">
        <v>8733</v>
      </c>
      <c r="K60" s="155" t="s">
        <v>10960</v>
      </c>
      <c r="L60" s="155" t="s">
        <v>10291</v>
      </c>
    </row>
    <row r="61" spans="1:12" ht="15" customHeight="1">
      <c r="A61" s="151" t="s">
        <v>2749</v>
      </c>
      <c r="B61" s="151" t="s">
        <v>2259</v>
      </c>
      <c r="C61" s="147" t="s">
        <v>2808</v>
      </c>
      <c r="D61" s="163" t="s">
        <v>8607</v>
      </c>
      <c r="E61" s="155" t="s">
        <v>8789</v>
      </c>
      <c r="F61" s="155" t="s">
        <v>8677</v>
      </c>
      <c r="G61" s="155" t="s">
        <v>8608</v>
      </c>
      <c r="H61" s="155" t="s">
        <v>8609</v>
      </c>
      <c r="I61" s="155" t="s">
        <v>8610</v>
      </c>
      <c r="J61" s="155" t="s">
        <v>8734</v>
      </c>
      <c r="K61" s="155" t="s">
        <v>10961</v>
      </c>
      <c r="L61" s="155" t="s">
        <v>10292</v>
      </c>
    </row>
    <row r="62" spans="1:12">
      <c r="A62" s="151" t="s">
        <v>2915</v>
      </c>
      <c r="B62" s="151" t="s">
        <v>2920</v>
      </c>
      <c r="C62" s="147" t="s">
        <v>2923</v>
      </c>
      <c r="D62" s="163" t="s">
        <v>8611</v>
      </c>
      <c r="E62" s="155" t="s">
        <v>8790</v>
      </c>
      <c r="F62" s="155" t="s">
        <v>8678</v>
      </c>
      <c r="G62" s="155" t="s">
        <v>8612</v>
      </c>
      <c r="H62" s="155" t="s">
        <v>8612</v>
      </c>
      <c r="I62" s="155" t="s">
        <v>8613</v>
      </c>
      <c r="J62" s="155" t="s">
        <v>8735</v>
      </c>
      <c r="K62" s="155" t="s">
        <v>10962</v>
      </c>
      <c r="L62" s="155" t="s">
        <v>10293</v>
      </c>
    </row>
    <row r="63" spans="1:12">
      <c r="A63" s="151" t="s">
        <v>2916</v>
      </c>
      <c r="B63" s="151" t="s">
        <v>2918</v>
      </c>
      <c r="C63" s="147" t="s">
        <v>2922</v>
      </c>
      <c r="D63" s="163" t="s">
        <v>8614</v>
      </c>
      <c r="E63" s="155" t="s">
        <v>8791</v>
      </c>
      <c r="F63" s="155" t="s">
        <v>8679</v>
      </c>
      <c r="G63" s="155" t="s">
        <v>8615</v>
      </c>
      <c r="H63" s="155" t="s">
        <v>8616</v>
      </c>
      <c r="I63" s="155" t="s">
        <v>8617</v>
      </c>
      <c r="J63" s="155" t="s">
        <v>8736</v>
      </c>
      <c r="K63" s="155" t="s">
        <v>10963</v>
      </c>
      <c r="L63" s="155" t="s">
        <v>10294</v>
      </c>
    </row>
    <row r="64" spans="1:12">
      <c r="A64" s="151" t="s">
        <v>2917</v>
      </c>
      <c r="B64" s="151" t="s">
        <v>2919</v>
      </c>
      <c r="C64" s="147" t="s">
        <v>2921</v>
      </c>
      <c r="D64" s="163" t="s">
        <v>8618</v>
      </c>
      <c r="E64" s="155" t="s">
        <v>8792</v>
      </c>
      <c r="F64" s="155" t="s">
        <v>8680</v>
      </c>
      <c r="G64" s="155" t="s">
        <v>8619</v>
      </c>
      <c r="H64" s="155" t="s">
        <v>8620</v>
      </c>
      <c r="I64" s="155" t="s">
        <v>8621</v>
      </c>
      <c r="J64" s="155" t="s">
        <v>8737</v>
      </c>
      <c r="K64" s="155" t="s">
        <v>10964</v>
      </c>
      <c r="L64" s="155" t="s">
        <v>10295</v>
      </c>
    </row>
    <row r="65" spans="1:13">
      <c r="A65" s="151" t="s">
        <v>2924</v>
      </c>
      <c r="B65" s="151" t="s">
        <v>8334</v>
      </c>
      <c r="C65" s="147" t="s">
        <v>8336</v>
      </c>
      <c r="D65" s="163" t="s">
        <v>8622</v>
      </c>
      <c r="E65" s="155" t="s">
        <v>8793</v>
      </c>
      <c r="F65" s="155" t="s">
        <v>8681</v>
      </c>
      <c r="G65" s="155" t="s">
        <v>8623</v>
      </c>
      <c r="H65" s="155" t="s">
        <v>8624</v>
      </c>
      <c r="I65" s="155" t="s">
        <v>8625</v>
      </c>
      <c r="J65" s="155" t="s">
        <v>8738</v>
      </c>
      <c r="K65" s="155" t="s">
        <v>10965</v>
      </c>
      <c r="L65" s="155" t="s">
        <v>10296</v>
      </c>
    </row>
    <row r="66" spans="1:13">
      <c r="A66" s="151" t="s">
        <v>2912</v>
      </c>
      <c r="B66" s="151" t="s">
        <v>8335</v>
      </c>
      <c r="C66" s="147" t="s">
        <v>8337</v>
      </c>
      <c r="D66" s="163" t="s">
        <v>8626</v>
      </c>
      <c r="E66" s="155" t="s">
        <v>8794</v>
      </c>
      <c r="F66" s="155" t="s">
        <v>8682</v>
      </c>
      <c r="G66" s="155" t="s">
        <v>8627</v>
      </c>
      <c r="H66" s="155" t="s">
        <v>8627</v>
      </c>
      <c r="I66" s="155" t="s">
        <v>8628</v>
      </c>
      <c r="J66" s="155" t="s">
        <v>8739</v>
      </c>
      <c r="K66" s="155" t="s">
        <v>10966</v>
      </c>
      <c r="L66" s="155" t="s">
        <v>10297</v>
      </c>
    </row>
    <row r="67" spans="1:13">
      <c r="A67" s="151" t="s">
        <v>11471</v>
      </c>
      <c r="B67" s="151" t="s">
        <v>11667</v>
      </c>
      <c r="C67" s="147" t="s">
        <v>11668</v>
      </c>
      <c r="D67" s="163" t="s">
        <v>11659</v>
      </c>
      <c r="E67" s="155" t="s">
        <v>11669</v>
      </c>
      <c r="F67" s="155" t="s">
        <v>11660</v>
      </c>
      <c r="G67" s="155" t="s">
        <v>11661</v>
      </c>
      <c r="H67" s="155" t="s">
        <v>11662</v>
      </c>
      <c r="I67" s="155" t="s">
        <v>11663</v>
      </c>
      <c r="J67" s="155" t="s">
        <v>11664</v>
      </c>
      <c r="K67" s="155" t="s">
        <v>11665</v>
      </c>
      <c r="L67" s="155" t="s">
        <v>11666</v>
      </c>
    </row>
    <row r="68" spans="1:13">
      <c r="A68" s="151" t="s">
        <v>2646</v>
      </c>
      <c r="B68" s="151" t="s">
        <v>9041</v>
      </c>
      <c r="C68" s="147" t="s">
        <v>9042</v>
      </c>
      <c r="D68" s="163" t="s">
        <v>9043</v>
      </c>
      <c r="E68" s="155" t="s">
        <v>9044</v>
      </c>
      <c r="F68" s="155" t="s">
        <v>9045</v>
      </c>
      <c r="G68" s="155" t="s">
        <v>9046</v>
      </c>
      <c r="H68" s="155" t="s">
        <v>9046</v>
      </c>
      <c r="I68" s="155" t="s">
        <v>9047</v>
      </c>
      <c r="J68" s="155" t="s">
        <v>9048</v>
      </c>
      <c r="K68" s="155" t="s">
        <v>10247</v>
      </c>
      <c r="L68" s="155" t="s">
        <v>10298</v>
      </c>
    </row>
    <row r="69" spans="1:13">
      <c r="A69" s="151" t="s">
        <v>11476</v>
      </c>
      <c r="B69" s="151" t="s">
        <v>13251</v>
      </c>
      <c r="C69" s="151" t="s">
        <v>13252</v>
      </c>
      <c r="D69" s="151" t="s">
        <v>13253</v>
      </c>
      <c r="E69" s="151" t="s">
        <v>13254</v>
      </c>
      <c r="F69" s="151" t="s">
        <v>13255</v>
      </c>
      <c r="G69" s="151" t="s">
        <v>13256</v>
      </c>
      <c r="H69" s="151" t="s">
        <v>13257</v>
      </c>
      <c r="I69" s="151" t="s">
        <v>13258</v>
      </c>
      <c r="J69" s="151" t="s">
        <v>13259</v>
      </c>
      <c r="K69" s="151" t="s">
        <v>9603</v>
      </c>
      <c r="L69" s="151" t="s">
        <v>13260</v>
      </c>
      <c r="M69" s="151" t="str">
        <f t="shared" ref="M69" si="0">UPPER(M1)</f>
        <v/>
      </c>
    </row>
    <row r="70" spans="1:13">
      <c r="A70" s="151" t="s">
        <v>11470</v>
      </c>
      <c r="B70" s="151" t="s">
        <v>11483</v>
      </c>
      <c r="C70" s="147" t="s">
        <v>11484</v>
      </c>
      <c r="D70" s="163" t="s">
        <v>11485</v>
      </c>
      <c r="E70" s="155" t="s">
        <v>11486</v>
      </c>
      <c r="F70" s="155" t="s">
        <v>11487</v>
      </c>
      <c r="G70" s="155" t="s">
        <v>11490</v>
      </c>
      <c r="H70" s="155" t="s">
        <v>11490</v>
      </c>
      <c r="I70" s="155" t="s">
        <v>11491</v>
      </c>
      <c r="J70" s="155" t="s">
        <v>11493</v>
      </c>
      <c r="K70" s="155" t="s">
        <v>11495</v>
      </c>
      <c r="L70" s="155" t="s">
        <v>11643</v>
      </c>
    </row>
    <row r="71" spans="1:13">
      <c r="A71" s="151" t="s">
        <v>11478</v>
      </c>
      <c r="B71" s="151" t="s">
        <v>11479</v>
      </c>
      <c r="C71" s="147" t="s">
        <v>11480</v>
      </c>
      <c r="D71" s="163" t="s">
        <v>11481</v>
      </c>
      <c r="E71" s="155" t="s">
        <v>11489</v>
      </c>
      <c r="F71" s="155" t="s">
        <v>11488</v>
      </c>
      <c r="G71" s="155" t="s">
        <v>11482</v>
      </c>
      <c r="H71" s="155" t="s">
        <v>11715</v>
      </c>
      <c r="I71" s="155" t="s">
        <v>11492</v>
      </c>
      <c r="J71" s="155" t="s">
        <v>11494</v>
      </c>
      <c r="K71" s="155" t="s">
        <v>11496</v>
      </c>
      <c r="L71" s="155" t="s">
        <v>11713</v>
      </c>
    </row>
    <row r="72" spans="1:13">
      <c r="A72" s="151" t="s">
        <v>11723</v>
      </c>
      <c r="B72" s="151" t="s">
        <v>11722</v>
      </c>
      <c r="C72" s="147" t="s">
        <v>11721</v>
      </c>
      <c r="D72" s="163" t="s">
        <v>11720</v>
      </c>
      <c r="E72" s="155" t="s">
        <v>11719</v>
      </c>
      <c r="F72" s="155" t="s">
        <v>11718</v>
      </c>
      <c r="G72" s="155" t="s">
        <v>11717</v>
      </c>
      <c r="H72" s="155" t="s">
        <v>11716</v>
      </c>
      <c r="I72" s="155" t="s">
        <v>11710</v>
      </c>
      <c r="J72" s="155" t="s">
        <v>11711</v>
      </c>
      <c r="K72" s="155" t="s">
        <v>11712</v>
      </c>
      <c r="L72" s="155" t="s">
        <v>11714</v>
      </c>
    </row>
    <row r="73" spans="1:13" ht="24">
      <c r="A73" s="151" t="s">
        <v>11541</v>
      </c>
      <c r="B73" s="967" t="s">
        <v>11504</v>
      </c>
      <c r="C73" s="155" t="s">
        <v>11497</v>
      </c>
      <c r="D73" s="155" t="s">
        <v>11505</v>
      </c>
      <c r="E73" s="155" t="s">
        <v>11509</v>
      </c>
      <c r="F73" s="155" t="s">
        <v>11513</v>
      </c>
      <c r="G73" s="155" t="s">
        <v>11517</v>
      </c>
      <c r="H73" s="171" t="s">
        <v>11522</v>
      </c>
      <c r="I73" s="155" t="s">
        <v>11525</v>
      </c>
      <c r="J73" s="155" t="s">
        <v>11529</v>
      </c>
      <c r="K73" s="155" t="s">
        <v>11533</v>
      </c>
      <c r="L73" s="155" t="s">
        <v>11537</v>
      </c>
    </row>
    <row r="74" spans="1:13" ht="30">
      <c r="A74" s="151" t="s">
        <v>11475</v>
      </c>
      <c r="B74" s="967" t="s">
        <v>11501</v>
      </c>
      <c r="C74" s="147" t="s">
        <v>11498</v>
      </c>
      <c r="D74" s="163" t="s">
        <v>11506</v>
      </c>
      <c r="E74" s="155" t="s">
        <v>11510</v>
      </c>
      <c r="F74" s="155" t="s">
        <v>11514</v>
      </c>
      <c r="G74" s="155" t="s">
        <v>11518</v>
      </c>
      <c r="H74" s="171" t="s">
        <v>11523</v>
      </c>
      <c r="I74" s="155" t="s">
        <v>11526</v>
      </c>
      <c r="J74" s="155" t="s">
        <v>11530</v>
      </c>
      <c r="K74" s="155" t="s">
        <v>11534</v>
      </c>
      <c r="L74" s="155" t="s">
        <v>11538</v>
      </c>
    </row>
    <row r="75" spans="1:13" ht="24">
      <c r="A75" s="151" t="s">
        <v>11542</v>
      </c>
      <c r="B75" s="967" t="s">
        <v>11502</v>
      </c>
      <c r="C75" s="147" t="s">
        <v>11499</v>
      </c>
      <c r="D75" s="163" t="s">
        <v>11507</v>
      </c>
      <c r="E75" s="155" t="s">
        <v>11511</v>
      </c>
      <c r="F75" s="155" t="s">
        <v>11515</v>
      </c>
      <c r="G75" s="155" t="s">
        <v>11519</v>
      </c>
      <c r="H75" s="171" t="s">
        <v>11524</v>
      </c>
      <c r="I75" s="155" t="s">
        <v>11527</v>
      </c>
      <c r="J75" s="155" t="s">
        <v>11531</v>
      </c>
      <c r="K75" s="155" t="s">
        <v>11535</v>
      </c>
      <c r="L75" s="155" t="s">
        <v>11539</v>
      </c>
    </row>
    <row r="76" spans="1:13">
      <c r="A76" s="151" t="s">
        <v>12508</v>
      </c>
      <c r="B76" s="151" t="s">
        <v>12509</v>
      </c>
      <c r="C76" s="147" t="s">
        <v>12510</v>
      </c>
      <c r="D76" s="163" t="s">
        <v>12511</v>
      </c>
      <c r="E76" s="155" t="s">
        <v>12512</v>
      </c>
      <c r="F76" s="155" t="s">
        <v>12513</v>
      </c>
      <c r="G76" s="155" t="s">
        <v>12514</v>
      </c>
      <c r="H76" s="171" t="s">
        <v>12515</v>
      </c>
      <c r="I76" s="155" t="s">
        <v>12516</v>
      </c>
      <c r="J76" s="155" t="s">
        <v>12517</v>
      </c>
      <c r="K76" s="155" t="s">
        <v>12518</v>
      </c>
      <c r="L76" s="155" t="s">
        <v>12519</v>
      </c>
    </row>
    <row r="77" spans="1:13" ht="60">
      <c r="A77" s="151" t="s">
        <v>11672</v>
      </c>
      <c r="B77" s="151" t="s">
        <v>11683</v>
      </c>
      <c r="C77" s="147" t="s">
        <v>11673</v>
      </c>
      <c r="D77" s="163" t="s">
        <v>11682</v>
      </c>
      <c r="E77" s="155" t="s">
        <v>11681</v>
      </c>
      <c r="F77" s="155" t="s">
        <v>11680</v>
      </c>
      <c r="G77" s="155" t="s">
        <v>11679</v>
      </c>
      <c r="H77" s="171" t="s">
        <v>11678</v>
      </c>
      <c r="I77" s="155" t="s">
        <v>11677</v>
      </c>
      <c r="J77" s="155" t="s">
        <v>11676</v>
      </c>
      <c r="K77" s="155" t="s">
        <v>11675</v>
      </c>
      <c r="L77" s="155" t="s">
        <v>11674</v>
      </c>
    </row>
    <row r="78" spans="1:13">
      <c r="A78" s="151" t="s">
        <v>11725</v>
      </c>
      <c r="B78" s="151" t="s">
        <v>11735</v>
      </c>
      <c r="C78" s="147" t="s">
        <v>11734</v>
      </c>
      <c r="D78" s="163" t="s">
        <v>11730</v>
      </c>
      <c r="E78" s="155" t="s">
        <v>11733</v>
      </c>
      <c r="F78" s="155" t="s">
        <v>11732</v>
      </c>
      <c r="G78" s="155" t="s">
        <v>11731</v>
      </c>
      <c r="H78" s="171" t="s">
        <v>11730</v>
      </c>
      <c r="I78" s="155" t="s">
        <v>11729</v>
      </c>
      <c r="J78" s="155" t="s">
        <v>11728</v>
      </c>
      <c r="K78" s="155" t="s">
        <v>11727</v>
      </c>
      <c r="L78" s="155" t="s">
        <v>11726</v>
      </c>
    </row>
    <row r="79" spans="1:13">
      <c r="A79" s="151" t="s">
        <v>11543</v>
      </c>
      <c r="B79" s="151" t="s">
        <v>11503</v>
      </c>
      <c r="C79" s="147" t="s">
        <v>11500</v>
      </c>
      <c r="D79" s="163" t="s">
        <v>11508</v>
      </c>
      <c r="E79" s="155" t="s">
        <v>11512</v>
      </c>
      <c r="F79" s="155" t="s">
        <v>11516</v>
      </c>
      <c r="G79" s="155" t="s">
        <v>11520</v>
      </c>
      <c r="H79" s="155" t="s">
        <v>11521</v>
      </c>
      <c r="I79" s="155" t="s">
        <v>11528</v>
      </c>
      <c r="J79" s="155" t="s">
        <v>11532</v>
      </c>
      <c r="K79" s="155" t="s">
        <v>11536</v>
      </c>
      <c r="L79" s="155" t="s">
        <v>11540</v>
      </c>
    </row>
    <row r="80" spans="1:13" ht="24.75">
      <c r="A80" s="176" t="s">
        <v>13876</v>
      </c>
      <c r="B80" s="177" t="s">
        <v>13877</v>
      </c>
      <c r="C80" s="211" t="s">
        <v>13878</v>
      </c>
      <c r="D80" s="178" t="s">
        <v>13261</v>
      </c>
      <c r="E80" s="179" t="s">
        <v>13879</v>
      </c>
      <c r="F80" s="179" t="s">
        <v>13368</v>
      </c>
      <c r="G80" s="179" t="s">
        <v>13880</v>
      </c>
      <c r="H80" s="179" t="s">
        <v>13881</v>
      </c>
      <c r="I80" s="179" t="s">
        <v>13882</v>
      </c>
      <c r="J80" s="179" t="s">
        <v>13883</v>
      </c>
      <c r="K80" s="179" t="s">
        <v>13262</v>
      </c>
      <c r="L80" s="180" t="s">
        <v>13884</v>
      </c>
    </row>
    <row r="81" spans="1:12">
      <c r="A81" s="181" t="s">
        <v>13895</v>
      </c>
      <c r="B81" s="151" t="s">
        <v>13896</v>
      </c>
      <c r="C81" s="147" t="s">
        <v>13897</v>
      </c>
      <c r="D81" s="163" t="s">
        <v>11873</v>
      </c>
      <c r="E81" s="155" t="s">
        <v>13898</v>
      </c>
      <c r="F81" s="155" t="s">
        <v>11874</v>
      </c>
      <c r="G81" s="155" t="s">
        <v>13899</v>
      </c>
      <c r="H81" s="155" t="s">
        <v>13900</v>
      </c>
      <c r="I81" s="155" t="s">
        <v>13901</v>
      </c>
      <c r="J81" s="179" t="s">
        <v>13902</v>
      </c>
      <c r="K81" s="155" t="s">
        <v>11875</v>
      </c>
      <c r="L81" s="180" t="s">
        <v>13903</v>
      </c>
    </row>
    <row r="82" spans="1:12">
      <c r="A82" s="181" t="s">
        <v>11477</v>
      </c>
      <c r="B82" s="151" t="s">
        <v>11551</v>
      </c>
      <c r="C82" s="147" t="s">
        <v>11607</v>
      </c>
      <c r="D82" s="163" t="s">
        <v>11573</v>
      </c>
      <c r="E82" s="155" t="s">
        <v>11584</v>
      </c>
      <c r="F82" s="155" t="s">
        <v>11625</v>
      </c>
      <c r="G82" s="155" t="s">
        <v>11557</v>
      </c>
      <c r="H82" s="155" t="s">
        <v>11590</v>
      </c>
      <c r="I82" s="155" t="s">
        <v>11554</v>
      </c>
      <c r="J82" s="179" t="s">
        <v>11631</v>
      </c>
      <c r="K82" s="155" t="s">
        <v>11548</v>
      </c>
      <c r="L82" s="180" t="s">
        <v>11637</v>
      </c>
    </row>
    <row r="83" spans="1:12">
      <c r="A83" s="181" t="s">
        <v>11546</v>
      </c>
      <c r="B83" s="151" t="s">
        <v>11552</v>
      </c>
      <c r="C83" s="147" t="s">
        <v>11608</v>
      </c>
      <c r="D83" s="163" t="s">
        <v>11574</v>
      </c>
      <c r="E83" s="155" t="s">
        <v>11585</v>
      </c>
      <c r="F83" s="155" t="s">
        <v>11626</v>
      </c>
      <c r="G83" s="155" t="s">
        <v>11559</v>
      </c>
      <c r="H83" s="155" t="s">
        <v>11591</v>
      </c>
      <c r="I83" s="155" t="s">
        <v>11555</v>
      </c>
      <c r="J83" s="179" t="s">
        <v>11632</v>
      </c>
      <c r="K83" s="155" t="s">
        <v>11549</v>
      </c>
      <c r="L83" s="180" t="s">
        <v>11638</v>
      </c>
    </row>
    <row r="84" spans="1:12">
      <c r="A84" s="182" t="s">
        <v>11547</v>
      </c>
      <c r="B84" s="183" t="s">
        <v>11553</v>
      </c>
      <c r="C84" s="184" t="s">
        <v>11606</v>
      </c>
      <c r="D84" s="185" t="s">
        <v>11575</v>
      </c>
      <c r="E84" s="186" t="s">
        <v>11586</v>
      </c>
      <c r="F84" s="186" t="s">
        <v>11627</v>
      </c>
      <c r="G84" s="186" t="s">
        <v>11558</v>
      </c>
      <c r="H84" s="186" t="s">
        <v>11592</v>
      </c>
      <c r="I84" s="186" t="s">
        <v>11556</v>
      </c>
      <c r="J84" s="179" t="s">
        <v>11633</v>
      </c>
      <c r="K84" s="186" t="s">
        <v>11550</v>
      </c>
      <c r="L84" s="180" t="s">
        <v>11639</v>
      </c>
    </row>
    <row r="85" spans="1:12">
      <c r="A85" s="151" t="s">
        <v>11472</v>
      </c>
      <c r="B85" s="151" t="s">
        <v>11569</v>
      </c>
      <c r="C85" s="147" t="s">
        <v>11601</v>
      </c>
      <c r="D85" s="163" t="s">
        <v>11578</v>
      </c>
      <c r="E85" s="155" t="s">
        <v>11587</v>
      </c>
      <c r="F85" s="179" t="s">
        <v>11628</v>
      </c>
      <c r="G85" s="179" t="s">
        <v>11598</v>
      </c>
      <c r="H85" s="179" t="s">
        <v>11569</v>
      </c>
      <c r="I85" s="179" t="s">
        <v>11593</v>
      </c>
      <c r="J85" s="179" t="s">
        <v>11634</v>
      </c>
      <c r="K85" s="179" t="s">
        <v>11472</v>
      </c>
      <c r="L85" s="179" t="s">
        <v>11640</v>
      </c>
    </row>
    <row r="86" spans="1:12" s="387" customFormat="1">
      <c r="A86" s="384" t="s">
        <v>11562</v>
      </c>
      <c r="B86" s="384" t="s">
        <v>11567</v>
      </c>
      <c r="C86" s="385" t="s">
        <v>11602</v>
      </c>
      <c r="D86" s="386" t="s">
        <v>11572</v>
      </c>
      <c r="E86" s="387" t="s">
        <v>11562</v>
      </c>
      <c r="F86" s="387" t="s">
        <v>11567</v>
      </c>
      <c r="G86" s="387" t="s">
        <v>11567</v>
      </c>
      <c r="H86" s="387" t="s">
        <v>11567</v>
      </c>
      <c r="I86" s="387" t="s">
        <v>11594</v>
      </c>
      <c r="J86" s="387" t="s">
        <v>11567</v>
      </c>
      <c r="K86" s="387" t="s">
        <v>11562</v>
      </c>
      <c r="L86" s="387" t="s">
        <v>11567</v>
      </c>
    </row>
    <row r="87" spans="1:12" s="387" customFormat="1">
      <c r="A87" s="384" t="s">
        <v>11563</v>
      </c>
      <c r="B87" s="384" t="s">
        <v>11568</v>
      </c>
      <c r="C87" s="385" t="s">
        <v>11603</v>
      </c>
      <c r="D87" s="386" t="s">
        <v>11576</v>
      </c>
      <c r="E87" s="387" t="s">
        <v>11563</v>
      </c>
      <c r="F87" s="387" t="s">
        <v>11568</v>
      </c>
      <c r="G87" s="387" t="s">
        <v>11568</v>
      </c>
      <c r="H87" s="387" t="s">
        <v>11568</v>
      </c>
      <c r="I87" s="387" t="s">
        <v>11595</v>
      </c>
      <c r="J87" s="387" t="s">
        <v>11568</v>
      </c>
      <c r="K87" s="387" t="s">
        <v>11563</v>
      </c>
      <c r="L87" s="387" t="s">
        <v>11568</v>
      </c>
    </row>
    <row r="88" spans="1:12" s="387" customFormat="1">
      <c r="A88" s="384" t="s">
        <v>11560</v>
      </c>
      <c r="B88" s="384" t="s">
        <v>11565</v>
      </c>
      <c r="C88" s="385" t="s">
        <v>11604</v>
      </c>
      <c r="D88" s="386" t="s">
        <v>11570</v>
      </c>
      <c r="E88" s="387" t="s">
        <v>11589</v>
      </c>
      <c r="F88" s="387" t="s">
        <v>11629</v>
      </c>
      <c r="G88" s="387" t="s">
        <v>11599</v>
      </c>
      <c r="H88" s="387" t="s">
        <v>11565</v>
      </c>
      <c r="I88" s="387" t="s">
        <v>11596</v>
      </c>
      <c r="J88" s="387" t="s">
        <v>11635</v>
      </c>
      <c r="K88" s="387" t="s">
        <v>11560</v>
      </c>
      <c r="L88" s="387" t="s">
        <v>11641</v>
      </c>
    </row>
    <row r="89" spans="1:12" s="387" customFormat="1">
      <c r="A89" s="384" t="s">
        <v>11564</v>
      </c>
      <c r="B89" s="384" t="s">
        <v>11566</v>
      </c>
      <c r="C89" s="385" t="s">
        <v>11605</v>
      </c>
      <c r="D89" s="386" t="s">
        <v>11571</v>
      </c>
      <c r="E89" s="387" t="s">
        <v>11588</v>
      </c>
      <c r="F89" s="387" t="s">
        <v>11630</v>
      </c>
      <c r="G89" s="387" t="s">
        <v>11600</v>
      </c>
      <c r="H89" s="387" t="s">
        <v>11566</v>
      </c>
      <c r="I89" s="387" t="s">
        <v>11597</v>
      </c>
      <c r="J89" s="387" t="s">
        <v>11636</v>
      </c>
      <c r="K89" s="387" t="s">
        <v>11564</v>
      </c>
      <c r="L89" s="387" t="s">
        <v>11642</v>
      </c>
    </row>
    <row r="90" spans="1:12" s="387" customFormat="1">
      <c r="A90" s="387" t="s">
        <v>13885</v>
      </c>
      <c r="B90" s="387" t="s">
        <v>13886</v>
      </c>
      <c r="C90" s="385" t="s">
        <v>13887</v>
      </c>
      <c r="D90" s="386" t="s">
        <v>13888</v>
      </c>
      <c r="E90" s="387" t="s">
        <v>13889</v>
      </c>
      <c r="F90" s="387" t="s">
        <v>13890</v>
      </c>
      <c r="G90" s="387" t="s">
        <v>13891</v>
      </c>
      <c r="H90" s="387" t="s">
        <v>13886</v>
      </c>
      <c r="I90" s="387" t="s">
        <v>13892</v>
      </c>
      <c r="J90" s="387" t="s">
        <v>13893</v>
      </c>
      <c r="K90" s="387" t="s">
        <v>13885</v>
      </c>
      <c r="L90" s="387" t="s">
        <v>13894</v>
      </c>
    </row>
    <row r="91" spans="1:12" s="971" customFormat="1">
      <c r="A91" s="970">
        <v>420799999333</v>
      </c>
      <c r="B91" s="970">
        <v>420799999333</v>
      </c>
      <c r="C91" s="970">
        <v>420799999333</v>
      </c>
      <c r="D91" s="972" t="s">
        <v>11579</v>
      </c>
      <c r="E91" s="971">
        <v>420799999333</v>
      </c>
      <c r="F91" s="971">
        <v>420799999333</v>
      </c>
      <c r="G91" s="971">
        <v>420799999333</v>
      </c>
      <c r="H91" s="971">
        <v>420799999333</v>
      </c>
      <c r="I91" s="971">
        <v>420799999333</v>
      </c>
      <c r="J91" s="971">
        <v>420799999333</v>
      </c>
      <c r="K91" s="971">
        <v>420799999333</v>
      </c>
      <c r="L91" s="971">
        <v>420799999333</v>
      </c>
    </row>
    <row r="92" spans="1:12" s="971" customFormat="1">
      <c r="A92" s="972">
        <v>420799799733</v>
      </c>
      <c r="B92" s="972">
        <v>420799799733</v>
      </c>
      <c r="C92" s="972">
        <v>420799799733</v>
      </c>
      <c r="D92" s="972" t="s">
        <v>11577</v>
      </c>
      <c r="E92" s="971">
        <v>420799799733</v>
      </c>
      <c r="F92" s="971">
        <v>420799799733</v>
      </c>
      <c r="G92" s="971">
        <v>420799799733</v>
      </c>
      <c r="H92" s="971">
        <v>420799799733</v>
      </c>
      <c r="I92" s="971">
        <v>420799799733</v>
      </c>
      <c r="J92" s="971">
        <v>420799799733</v>
      </c>
      <c r="K92" s="971">
        <v>420799799733</v>
      </c>
      <c r="L92" s="971">
        <v>420799799733</v>
      </c>
    </row>
    <row r="93" spans="1:12" s="387" customFormat="1">
      <c r="A93" s="384" t="s">
        <v>11580</v>
      </c>
      <c r="B93" s="384" t="s">
        <v>11580</v>
      </c>
      <c r="C93" s="384" t="s">
        <v>11580</v>
      </c>
      <c r="D93" s="386" t="s">
        <v>11582</v>
      </c>
      <c r="E93" s="387" t="s">
        <v>11580</v>
      </c>
      <c r="F93" s="387" t="s">
        <v>11580</v>
      </c>
      <c r="G93" s="387" t="s">
        <v>11580</v>
      </c>
      <c r="H93" s="387" t="s">
        <v>11580</v>
      </c>
      <c r="I93" s="387" t="s">
        <v>11580</v>
      </c>
      <c r="J93" s="387" t="s">
        <v>11580</v>
      </c>
      <c r="K93" s="387" t="s">
        <v>11580</v>
      </c>
      <c r="L93" s="388" t="s">
        <v>11580</v>
      </c>
    </row>
    <row r="94" spans="1:12" s="387" customFormat="1">
      <c r="A94" s="384" t="s">
        <v>11581</v>
      </c>
      <c r="B94" s="384" t="s">
        <v>11581</v>
      </c>
      <c r="C94" s="384" t="s">
        <v>11581</v>
      </c>
      <c r="D94" s="386" t="s">
        <v>11583</v>
      </c>
      <c r="E94" s="387" t="s">
        <v>11581</v>
      </c>
      <c r="F94" s="389" t="s">
        <v>11581</v>
      </c>
      <c r="G94" s="387" t="s">
        <v>11581</v>
      </c>
      <c r="H94" s="387" t="s">
        <v>11581</v>
      </c>
      <c r="I94" s="387" t="s">
        <v>11581</v>
      </c>
      <c r="J94" s="389" t="s">
        <v>11581</v>
      </c>
      <c r="K94" s="387" t="s">
        <v>11581</v>
      </c>
      <c r="L94" s="390" t="s">
        <v>11581</v>
      </c>
    </row>
    <row r="95" spans="1:12" s="387" customFormat="1">
      <c r="A95" s="391" t="s">
        <v>11707</v>
      </c>
      <c r="B95" s="384" t="s">
        <v>11707</v>
      </c>
      <c r="C95" s="385" t="s">
        <v>11707</v>
      </c>
      <c r="D95" s="392" t="s">
        <v>11751</v>
      </c>
      <c r="E95" s="387" t="s">
        <v>11707</v>
      </c>
      <c r="F95" s="393" t="s">
        <v>11724</v>
      </c>
      <c r="G95" s="387" t="s">
        <v>11707</v>
      </c>
      <c r="H95" s="387" t="s">
        <v>11707</v>
      </c>
      <c r="I95" s="387" t="s">
        <v>11707</v>
      </c>
      <c r="J95" s="387" t="s">
        <v>11724</v>
      </c>
      <c r="K95" s="387" t="s">
        <v>11707</v>
      </c>
      <c r="L95" s="387" t="s">
        <v>11724</v>
      </c>
    </row>
    <row r="96" spans="1:12">
      <c r="A96" s="151" t="s">
        <v>11851</v>
      </c>
      <c r="B96" s="151" t="s">
        <v>11861</v>
      </c>
      <c r="C96" t="s">
        <v>11852</v>
      </c>
      <c r="D96" s="163" t="s">
        <v>11860</v>
      </c>
      <c r="E96" s="155" t="s">
        <v>11859</v>
      </c>
      <c r="F96" s="155" t="s">
        <v>11858</v>
      </c>
      <c r="G96" s="155" t="s">
        <v>11857</v>
      </c>
      <c r="H96" s="155" t="s">
        <v>11857</v>
      </c>
      <c r="I96" s="155" t="s">
        <v>11856</v>
      </c>
      <c r="J96" s="155" t="s">
        <v>11855</v>
      </c>
      <c r="K96" t="s">
        <v>11854</v>
      </c>
      <c r="L96" s="155" t="s">
        <v>11853</v>
      </c>
    </row>
    <row r="97" spans="1:12">
      <c r="A97" s="155" t="s">
        <v>12109</v>
      </c>
      <c r="B97" s="151" t="s">
        <v>12057</v>
      </c>
      <c r="C97" s="147" t="s">
        <v>12058</v>
      </c>
      <c r="D97" s="155" t="s">
        <v>12059</v>
      </c>
      <c r="E97" t="s">
        <v>12060</v>
      </c>
      <c r="F97" t="s">
        <v>12061</v>
      </c>
      <c r="G97" t="s">
        <v>12062</v>
      </c>
      <c r="H97" t="s">
        <v>12062</v>
      </c>
      <c r="I97" s="155" t="s">
        <v>12063</v>
      </c>
      <c r="J97" s="155" t="s">
        <v>12064</v>
      </c>
      <c r="K97" t="s">
        <v>12065</v>
      </c>
      <c r="L97" t="s">
        <v>12066</v>
      </c>
    </row>
    <row r="98" spans="1:12">
      <c r="A98" s="151" t="s">
        <v>12067</v>
      </c>
      <c r="B98" s="151" t="s">
        <v>12068</v>
      </c>
      <c r="C98" s="147" t="s">
        <v>12069</v>
      </c>
      <c r="D98" s="163" t="s">
        <v>12070</v>
      </c>
      <c r="E98" t="s">
        <v>12071</v>
      </c>
      <c r="F98" t="s">
        <v>12072</v>
      </c>
      <c r="G98" t="s">
        <v>12073</v>
      </c>
      <c r="H98" s="155" t="s">
        <v>12073</v>
      </c>
      <c r="I98" s="155" t="s">
        <v>12074</v>
      </c>
      <c r="J98" t="s">
        <v>12075</v>
      </c>
      <c r="K98" t="s">
        <v>12076</v>
      </c>
      <c r="L98" t="s">
        <v>12077</v>
      </c>
    </row>
    <row r="99" spans="1:12">
      <c r="A99" s="151" t="s">
        <v>12078</v>
      </c>
      <c r="B99" s="151" t="s">
        <v>12078</v>
      </c>
      <c r="C99" s="147" t="s">
        <v>12079</v>
      </c>
      <c r="D99" s="163" t="s">
        <v>12080</v>
      </c>
      <c r="E99" s="155" t="s">
        <v>12081</v>
      </c>
      <c r="F99" s="155" t="s">
        <v>12082</v>
      </c>
      <c r="G99" s="155" t="s">
        <v>12083</v>
      </c>
      <c r="H99" s="155" t="s">
        <v>12084</v>
      </c>
      <c r="I99" s="155" t="s">
        <v>12078</v>
      </c>
      <c r="J99" s="155" t="s">
        <v>12085</v>
      </c>
      <c r="K99" s="155" t="s">
        <v>12086</v>
      </c>
      <c r="L99" s="155" t="s">
        <v>12087</v>
      </c>
    </row>
    <row r="100" spans="1:12">
      <c r="A100" s="151" t="s">
        <v>12088</v>
      </c>
      <c r="B100" s="151" t="s">
        <v>12089</v>
      </c>
      <c r="C100" s="147" t="s">
        <v>12090</v>
      </c>
      <c r="D100" s="163" t="s">
        <v>12091</v>
      </c>
      <c r="E100" s="155" t="s">
        <v>12092</v>
      </c>
      <c r="F100" s="155" t="s">
        <v>12093</v>
      </c>
      <c r="G100" s="155" t="s">
        <v>12094</v>
      </c>
      <c r="H100" s="155" t="s">
        <v>12094</v>
      </c>
      <c r="I100" s="155" t="s">
        <v>12095</v>
      </c>
      <c r="J100" s="155" t="s">
        <v>12096</v>
      </c>
      <c r="K100" s="155" t="s">
        <v>12086</v>
      </c>
      <c r="L100" s="155" t="s">
        <v>12097</v>
      </c>
    </row>
    <row r="101" spans="1:12">
      <c r="A101" s="151" t="s">
        <v>13498</v>
      </c>
      <c r="B101" s="151" t="s">
        <v>13499</v>
      </c>
      <c r="C101" s="147" t="s">
        <v>13500</v>
      </c>
      <c r="D101" t="s">
        <v>13501</v>
      </c>
      <c r="E101" s="155" t="s">
        <v>13502</v>
      </c>
      <c r="F101" s="155" t="s">
        <v>13503</v>
      </c>
      <c r="G101" s="155" t="s">
        <v>13504</v>
      </c>
      <c r="H101" s="155" t="s">
        <v>13505</v>
      </c>
      <c r="I101" s="155" t="s">
        <v>13506</v>
      </c>
      <c r="J101" s="155" t="s">
        <v>13507</v>
      </c>
      <c r="K101" s="155" t="s">
        <v>13508</v>
      </c>
      <c r="L101" s="155" t="s">
        <v>13509</v>
      </c>
    </row>
    <row r="102" spans="1:12">
      <c r="A102" s="151" t="s">
        <v>12167</v>
      </c>
      <c r="B102" s="151" t="s">
        <v>12169</v>
      </c>
      <c r="C102" s="147" t="s">
        <v>12168</v>
      </c>
      <c r="D102" s="163" t="s">
        <v>12170</v>
      </c>
      <c r="E102" s="155" t="s">
        <v>12171</v>
      </c>
      <c r="F102" s="155" t="s">
        <v>12172</v>
      </c>
      <c r="G102" s="155" t="s">
        <v>12173</v>
      </c>
      <c r="H102" s="155" t="s">
        <v>12174</v>
      </c>
      <c r="I102" s="155" t="s">
        <v>12175</v>
      </c>
      <c r="J102" s="155" t="s">
        <v>12176</v>
      </c>
      <c r="K102" s="155" t="s">
        <v>12177</v>
      </c>
      <c r="L102" s="155" t="s">
        <v>12178</v>
      </c>
    </row>
    <row r="103" spans="1:12">
      <c r="A103" s="151" t="s">
        <v>12179</v>
      </c>
      <c r="B103" s="151" t="s">
        <v>12190</v>
      </c>
      <c r="C103" s="147" t="s">
        <v>12180</v>
      </c>
      <c r="D103" s="501" t="s">
        <v>12189</v>
      </c>
      <c r="E103" s="155" t="s">
        <v>12188</v>
      </c>
      <c r="F103" s="155" t="s">
        <v>12187</v>
      </c>
      <c r="G103" s="155" t="s">
        <v>12186</v>
      </c>
      <c r="H103" t="s">
        <v>12185</v>
      </c>
      <c r="I103" s="155" t="s">
        <v>12184</v>
      </c>
      <c r="J103" s="155" t="s">
        <v>12183</v>
      </c>
      <c r="K103" s="155" t="s">
        <v>12182</v>
      </c>
      <c r="L103" s="155" t="s">
        <v>12181</v>
      </c>
    </row>
    <row r="104" spans="1:12" s="976" customFormat="1" ht="15.75" thickBot="1">
      <c r="A104" s="973" t="s">
        <v>13199</v>
      </c>
      <c r="B104" s="973" t="s">
        <v>13200</v>
      </c>
      <c r="C104" s="974" t="s">
        <v>13201</v>
      </c>
      <c r="D104" s="975" t="s">
        <v>13202</v>
      </c>
      <c r="E104" s="976" t="s">
        <v>13203</v>
      </c>
      <c r="F104" s="976" t="s">
        <v>13204</v>
      </c>
      <c r="G104" s="976" t="s">
        <v>13205</v>
      </c>
      <c r="H104" s="976" t="s">
        <v>13205</v>
      </c>
      <c r="I104" s="976" t="s">
        <v>13206</v>
      </c>
      <c r="J104" s="976" t="s">
        <v>13207</v>
      </c>
      <c r="K104" s="976" t="s">
        <v>13208</v>
      </c>
      <c r="L104" s="976" t="s">
        <v>13209</v>
      </c>
    </row>
    <row r="105" spans="1:12">
      <c r="A105" s="151" t="s">
        <v>12599</v>
      </c>
      <c r="B105" s="151" t="s">
        <v>13263</v>
      </c>
      <c r="C105" s="147" t="s">
        <v>13264</v>
      </c>
      <c r="D105" s="163" t="s">
        <v>13265</v>
      </c>
      <c r="E105" s="155" t="s">
        <v>13266</v>
      </c>
      <c r="F105" s="155" t="s">
        <v>13267</v>
      </c>
      <c r="G105" s="155" t="s">
        <v>13268</v>
      </c>
      <c r="H105" s="155" t="s">
        <v>13268</v>
      </c>
      <c r="I105" s="155" t="s">
        <v>13269</v>
      </c>
      <c r="J105" s="155" t="s">
        <v>13270</v>
      </c>
      <c r="K105" s="155" t="s">
        <v>13271</v>
      </c>
      <c r="L105" s="155" t="s">
        <v>13272</v>
      </c>
    </row>
    <row r="106" spans="1:12">
      <c r="A106" s="151" t="s">
        <v>13273</v>
      </c>
      <c r="B106" s="151" t="s">
        <v>13274</v>
      </c>
      <c r="C106" s="147" t="s">
        <v>13275</v>
      </c>
      <c r="D106" s="163" t="s">
        <v>13276</v>
      </c>
      <c r="E106" s="155" t="s">
        <v>13277</v>
      </c>
      <c r="F106" s="155" t="s">
        <v>13278</v>
      </c>
      <c r="G106" s="155" t="s">
        <v>13279</v>
      </c>
      <c r="H106" s="155" t="s">
        <v>13280</v>
      </c>
      <c r="I106" s="155" t="s">
        <v>13281</v>
      </c>
      <c r="J106" s="155" t="s">
        <v>13282</v>
      </c>
      <c r="K106" s="155" t="s">
        <v>13283</v>
      </c>
      <c r="L106" s="155" t="s">
        <v>13284</v>
      </c>
    </row>
    <row r="107" spans="1:12">
      <c r="A107" s="151" t="s">
        <v>13285</v>
      </c>
      <c r="B107" s="151" t="s">
        <v>13286</v>
      </c>
      <c r="C107" s="147" t="s">
        <v>13287</v>
      </c>
      <c r="D107" s="163" t="s">
        <v>13288</v>
      </c>
      <c r="E107" s="155" t="s">
        <v>13289</v>
      </c>
      <c r="F107" s="155" t="s">
        <v>13290</v>
      </c>
      <c r="G107" s="155" t="s">
        <v>13291</v>
      </c>
      <c r="H107" s="155" t="s">
        <v>13292</v>
      </c>
      <c r="I107" s="155" t="s">
        <v>13293</v>
      </c>
      <c r="J107" s="155" t="s">
        <v>13294</v>
      </c>
      <c r="K107" s="155" t="s">
        <v>13295</v>
      </c>
      <c r="L107" s="155" t="s">
        <v>13296</v>
      </c>
    </row>
    <row r="108" spans="1:12">
      <c r="A108" s="151" t="s">
        <v>12598</v>
      </c>
      <c r="B108" s="151" t="s">
        <v>13297</v>
      </c>
      <c r="C108" s="147" t="s">
        <v>13298</v>
      </c>
      <c r="D108" s="163" t="s">
        <v>13299</v>
      </c>
      <c r="E108" s="155" t="s">
        <v>13300</v>
      </c>
      <c r="F108" s="155" t="s">
        <v>13301</v>
      </c>
      <c r="G108" s="155" t="s">
        <v>13302</v>
      </c>
      <c r="H108" s="155" t="s">
        <v>13303</v>
      </c>
      <c r="I108" s="155" t="s">
        <v>13304</v>
      </c>
      <c r="J108" s="155" t="s">
        <v>13305</v>
      </c>
      <c r="K108" s="155" t="s">
        <v>13306</v>
      </c>
      <c r="L108" s="155" t="s">
        <v>13307</v>
      </c>
    </row>
    <row r="109" spans="1:12">
      <c r="A109" s="151"/>
      <c r="B109" s="151"/>
      <c r="C109" s="147"/>
      <c r="D109" s="163"/>
    </row>
    <row r="110" spans="1:12">
      <c r="A110" s="151"/>
      <c r="B110" s="151"/>
      <c r="C110" s="147"/>
      <c r="D110" s="163"/>
    </row>
    <row r="111" spans="1:12">
      <c r="A111" s="151"/>
      <c r="B111" s="151"/>
      <c r="C111" s="147"/>
      <c r="D111" s="163"/>
    </row>
    <row r="112" spans="1:12">
      <c r="A112" s="151"/>
      <c r="B112" s="151"/>
      <c r="C112" s="147"/>
      <c r="D112" s="163"/>
    </row>
    <row r="113" spans="1:12">
      <c r="A113" s="151"/>
      <c r="B113" s="151"/>
      <c r="C113" s="147"/>
      <c r="D113" s="163"/>
    </row>
    <row r="114" spans="1:12">
      <c r="A114" s="151"/>
      <c r="B114" s="151"/>
      <c r="C114" s="147"/>
      <c r="D114" s="163"/>
    </row>
    <row r="115" spans="1:12">
      <c r="A115" s="151" t="s">
        <v>13308</v>
      </c>
      <c r="B115" s="151" t="s">
        <v>13309</v>
      </c>
      <c r="C115" s="147" t="s">
        <v>13310</v>
      </c>
      <c r="D115" s="163" t="s">
        <v>13311</v>
      </c>
      <c r="E115" s="155" t="s">
        <v>13312</v>
      </c>
      <c r="F115" s="155" t="s">
        <v>13313</v>
      </c>
      <c r="G115" s="155" t="s">
        <v>13314</v>
      </c>
      <c r="H115" s="155" t="s">
        <v>13315</v>
      </c>
      <c r="I115" s="155" t="s">
        <v>13316</v>
      </c>
      <c r="J115" s="155" t="s">
        <v>13317</v>
      </c>
      <c r="K115" s="155" t="s">
        <v>13318</v>
      </c>
      <c r="L115" s="155" t="s">
        <v>13319</v>
      </c>
    </row>
    <row r="116" spans="1:12">
      <c r="A116" s="151" t="s">
        <v>13320</v>
      </c>
      <c r="B116" s="151" t="s">
        <v>13321</v>
      </c>
      <c r="C116" s="147" t="s">
        <v>13322</v>
      </c>
      <c r="D116" s="163" t="s">
        <v>13323</v>
      </c>
      <c r="E116" s="155" t="s">
        <v>13324</v>
      </c>
      <c r="F116" s="155" t="s">
        <v>13325</v>
      </c>
      <c r="G116" s="155" t="s">
        <v>13326</v>
      </c>
      <c r="H116" s="155" t="s">
        <v>13327</v>
      </c>
      <c r="I116" s="155" t="s">
        <v>13328</v>
      </c>
      <c r="J116" s="155" t="s">
        <v>13329</v>
      </c>
      <c r="K116" s="155" t="s">
        <v>13330</v>
      </c>
      <c r="L116" s="155" t="s">
        <v>13331</v>
      </c>
    </row>
    <row r="117" spans="1:12">
      <c r="A117" s="151" t="s">
        <v>13332</v>
      </c>
      <c r="B117" s="151" t="s">
        <v>13333</v>
      </c>
      <c r="C117" s="147" t="s">
        <v>13334</v>
      </c>
      <c r="D117" s="163" t="s">
        <v>13335</v>
      </c>
      <c r="E117" s="155" t="s">
        <v>13336</v>
      </c>
      <c r="F117" s="155" t="s">
        <v>13337</v>
      </c>
      <c r="G117" s="155" t="s">
        <v>13338</v>
      </c>
      <c r="H117" s="155" t="s">
        <v>13339</v>
      </c>
      <c r="I117" s="155" t="s">
        <v>13340</v>
      </c>
      <c r="J117" s="155" t="s">
        <v>13341</v>
      </c>
      <c r="K117" s="155" t="s">
        <v>13342</v>
      </c>
      <c r="L117" s="155" t="s">
        <v>13343</v>
      </c>
    </row>
    <row r="118" spans="1:12">
      <c r="A118" s="151" t="s">
        <v>2223</v>
      </c>
      <c r="B118" s="151" t="s">
        <v>13344</v>
      </c>
      <c r="C118" s="147" t="s">
        <v>13345</v>
      </c>
      <c r="D118" s="163" t="s">
        <v>13346</v>
      </c>
      <c r="E118" s="155" t="s">
        <v>13347</v>
      </c>
      <c r="F118" s="155" t="s">
        <v>13348</v>
      </c>
      <c r="G118" s="155" t="s">
        <v>13349</v>
      </c>
      <c r="H118" s="155" t="s">
        <v>13350</v>
      </c>
      <c r="I118" s="155" t="s">
        <v>13351</v>
      </c>
      <c r="J118" s="155" t="s">
        <v>13352</v>
      </c>
      <c r="K118" s="155" t="s">
        <v>13353</v>
      </c>
      <c r="L118" s="155" t="s">
        <v>13354</v>
      </c>
    </row>
    <row r="119" spans="1:12">
      <c r="A119" s="151" t="s">
        <v>17</v>
      </c>
      <c r="B119" s="151" t="s">
        <v>13355</v>
      </c>
      <c r="C119" s="147" t="s">
        <v>13356</v>
      </c>
      <c r="D119" s="163" t="s">
        <v>13357</v>
      </c>
      <c r="E119" s="155" t="s">
        <v>13358</v>
      </c>
      <c r="F119" s="155" t="s">
        <v>13359</v>
      </c>
      <c r="G119" s="155" t="s">
        <v>13360</v>
      </c>
      <c r="H119" s="155" t="s">
        <v>13361</v>
      </c>
      <c r="I119" s="155" t="s">
        <v>13362</v>
      </c>
      <c r="J119" s="155" t="s">
        <v>13363</v>
      </c>
      <c r="K119" s="155" t="s">
        <v>13364</v>
      </c>
      <c r="L119" s="155" t="s">
        <v>13365</v>
      </c>
    </row>
    <row r="120" spans="1:12">
      <c r="A120" s="151"/>
      <c r="B120" s="151"/>
      <c r="C120" s="147"/>
      <c r="D120" s="163"/>
    </row>
    <row r="121" spans="1:12">
      <c r="A121" s="151"/>
      <c r="B121" s="151"/>
      <c r="C121" s="147"/>
      <c r="D121" s="163"/>
    </row>
    <row r="122" spans="1:12">
      <c r="A122" s="151"/>
      <c r="B122" s="151"/>
      <c r="C122" s="147"/>
      <c r="D122" s="163"/>
    </row>
    <row r="123" spans="1:12">
      <c r="A123" s="151"/>
      <c r="B123" s="151"/>
      <c r="C123" s="147"/>
      <c r="D123" s="163"/>
    </row>
    <row r="124" spans="1:12">
      <c r="A124" s="151"/>
      <c r="B124" s="151"/>
      <c r="C124" s="147"/>
      <c r="D124" s="163"/>
    </row>
    <row r="125" spans="1:12">
      <c r="A125" s="151"/>
      <c r="B125" s="151"/>
      <c r="C125" s="147"/>
      <c r="D125" s="163"/>
    </row>
    <row r="126" spans="1:12">
      <c r="A126" s="151"/>
      <c r="B126" s="151"/>
      <c r="C126" s="147"/>
      <c r="D126" s="163"/>
    </row>
    <row r="127" spans="1:12">
      <c r="A127" s="151"/>
      <c r="B127" s="151"/>
      <c r="C127" s="147"/>
      <c r="D127" s="163"/>
    </row>
    <row r="128" spans="1:12">
      <c r="A128" s="151"/>
      <c r="B128" s="151"/>
      <c r="C128" s="147"/>
      <c r="D128" s="163"/>
    </row>
    <row r="129" spans="1:4">
      <c r="A129" s="151"/>
      <c r="B129" s="151"/>
      <c r="C129" s="147"/>
      <c r="D129" s="163"/>
    </row>
    <row r="130" spans="1:4">
      <c r="A130" s="151"/>
      <c r="B130" s="151"/>
      <c r="C130" s="147"/>
      <c r="D130" s="163"/>
    </row>
    <row r="131" spans="1:4">
      <c r="A131" s="151"/>
      <c r="B131" s="151"/>
      <c r="C131" s="147"/>
      <c r="D131" s="163"/>
    </row>
    <row r="132" spans="1:4">
      <c r="A132" s="151"/>
      <c r="B132" s="151"/>
      <c r="C132" s="147"/>
      <c r="D132" s="163"/>
    </row>
    <row r="133" spans="1:4">
      <c r="A133" s="151"/>
      <c r="B133" s="151"/>
      <c r="C133" s="147"/>
      <c r="D133" s="163"/>
    </row>
    <row r="134" spans="1:4">
      <c r="A134" s="151"/>
      <c r="B134" s="151"/>
      <c r="C134" s="147"/>
      <c r="D134" s="163"/>
    </row>
    <row r="135" spans="1:4">
      <c r="A135" s="151"/>
      <c r="B135" s="151"/>
      <c r="C135" s="147"/>
      <c r="D135" s="163"/>
    </row>
    <row r="136" spans="1:4">
      <c r="A136" s="151"/>
      <c r="B136" s="151"/>
      <c r="C136" s="147"/>
      <c r="D136" s="163"/>
    </row>
    <row r="137" spans="1:4">
      <c r="A137" s="151"/>
      <c r="B137" s="151"/>
      <c r="C137" s="147"/>
      <c r="D137" s="163"/>
    </row>
  </sheetData>
  <sortState xmlns:xlrd2="http://schemas.microsoft.com/office/spreadsheetml/2017/richdata2" ref="A3:A39">
    <sortCondition ref="A1:A39"/>
  </sortState>
  <conditionalFormatting sqref="A1:A89 A91 A93:A96 A98:A137 B93:C94">
    <cfRule type="duplicateValues" dxfId="4" priority="3383"/>
  </conditionalFormatting>
  <conditionalFormatting sqref="B91">
    <cfRule type="duplicateValues" dxfId="3" priority="2"/>
  </conditionalFormatting>
  <conditionalFormatting sqref="C91">
    <cfRule type="duplicateValues" dxfId="2" priority="1"/>
  </conditionalFormatting>
  <pageMargins left="0.7" right="0.7" top="0.78740157499999996" bottom="0.78740157499999996" header="0.3" footer="0.3"/>
  <legacy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12</vt:i4>
      </vt:variant>
      <vt:variant>
        <vt:lpstr>Pojmenované oblasti</vt:lpstr>
      </vt:variant>
      <vt:variant>
        <vt:i4>12</vt:i4>
      </vt:variant>
    </vt:vector>
  </HeadingPairs>
  <TitlesOfParts>
    <vt:vector size="24" baseType="lpstr">
      <vt:lpstr>HLAVIČKA</vt:lpstr>
      <vt:lpstr>Deutsche Markt</vt:lpstr>
      <vt:lpstr>Terms and Conditions</vt:lpstr>
      <vt:lpstr>Germany transport cost</vt:lpstr>
      <vt:lpstr>General price list</vt:lpstr>
      <vt:lpstr>info_all</vt:lpstr>
      <vt:lpstr>Kat.</vt:lpstr>
      <vt:lpstr>Kategorie</vt:lpstr>
      <vt:lpstr>Jazyky_ceník</vt:lpstr>
      <vt:lpstr>Popisy</vt:lpstr>
      <vt:lpstr>Výpočet času</vt:lpstr>
      <vt:lpstr>Act_Kurs</vt:lpstr>
      <vt:lpstr>cbmPAL</vt:lpstr>
      <vt:lpstr>Act_Kurs!detail_kurzu?curr_eur</vt:lpstr>
      <vt:lpstr>nextPAL</vt:lpstr>
      <vt:lpstr>nextVK</vt:lpstr>
      <vt:lpstr>odhPAL</vt:lpstr>
      <vt:lpstr>PALzKoje</vt:lpstr>
      <vt:lpstr>prvniPAL</vt:lpstr>
      <vt:lpstr>prvniVK</vt:lpstr>
      <vt:lpstr>tvorbaPAL</vt:lpstr>
      <vt:lpstr>VK</vt:lpstr>
      <vt:lpstr>vystKONTROLA</vt:lpstr>
      <vt:lpstr>zacatek</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Petr</dc:creator>
  <cp:lastModifiedBy>Jan Bilík</cp:lastModifiedBy>
  <cp:lastPrinted>2023-01-30T20:23:09Z</cp:lastPrinted>
  <dcterms:created xsi:type="dcterms:W3CDTF">2019-07-29T07:38:07Z</dcterms:created>
  <dcterms:modified xsi:type="dcterms:W3CDTF">2024-02-23T06:39:47Z</dcterms:modified>
</cp:coreProperties>
</file>